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test_options\"/>
    </mc:Choice>
  </mc:AlternateContent>
  <xr:revisionPtr revIDLastSave="0" documentId="8_{2B9F70A1-E71C-40F3-83A2-7C89A0428C2F}" xr6:coauthVersionLast="47" xr6:coauthVersionMax="47" xr10:uidLastSave="{00000000-0000-0000-0000-000000000000}"/>
  <bookViews>
    <workbookView xWindow="-110" yWindow="-110" windowWidth="19420" windowHeight="10420" xr2:uid="{E7BEB54A-0137-4C9D-9A27-AE067AEC772F}"/>
  </bookViews>
  <sheets>
    <sheet name="חשבוניות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2" i="1"/>
  <c r="C2" i="1"/>
  <c r="F2" i="1"/>
  <c r="G2" i="1"/>
  <c r="H2" i="1"/>
  <c r="I2" i="1"/>
  <c r="J2" i="1"/>
  <c r="K2" i="1"/>
  <c r="M2" i="1"/>
  <c r="O2" i="1"/>
  <c r="Q2" i="1"/>
  <c r="R2" i="1"/>
  <c r="W2" i="1"/>
  <c r="AA2" i="1"/>
  <c r="AB2" i="1"/>
  <c r="AE2" i="1"/>
  <c r="AF2" i="1"/>
  <c r="AM2" i="1"/>
  <c r="AN2" i="1"/>
  <c r="AO2" i="1"/>
  <c r="AQ2" i="1"/>
  <c r="AX2" i="1"/>
  <c r="BD2" i="1"/>
  <c r="B3" i="1"/>
  <c r="C3" i="1"/>
  <c r="F3" i="1"/>
  <c r="G3" i="1"/>
  <c r="H3" i="1"/>
  <c r="I3" i="1"/>
  <c r="J3" i="1"/>
  <c r="K3" i="1"/>
  <c r="M3" i="1"/>
  <c r="O3" i="1"/>
  <c r="Q3" i="1"/>
  <c r="R3" i="1"/>
  <c r="W3" i="1"/>
  <c r="AA3" i="1"/>
  <c r="AB3" i="1"/>
  <c r="AE3" i="1"/>
  <c r="AF3" i="1"/>
  <c r="AM3" i="1"/>
  <c r="AN3" i="1"/>
  <c r="AO3" i="1"/>
  <c r="AQ3" i="1"/>
  <c r="AX3" i="1"/>
  <c r="BD3" i="1"/>
  <c r="B4" i="1"/>
  <c r="C4" i="1"/>
  <c r="F4" i="1"/>
  <c r="G4" i="1"/>
  <c r="H4" i="1"/>
  <c r="I4" i="1"/>
  <c r="J4" i="1"/>
  <c r="K4" i="1"/>
  <c r="M4" i="1"/>
  <c r="O4" i="1"/>
  <c r="Q4" i="1"/>
  <c r="R4" i="1"/>
  <c r="W4" i="1"/>
  <c r="AA4" i="1"/>
  <c r="AB4" i="1"/>
  <c r="AE4" i="1"/>
  <c r="AF4" i="1"/>
  <c r="AM4" i="1"/>
  <c r="AN4" i="1"/>
  <c r="AO4" i="1"/>
  <c r="AQ4" i="1"/>
  <c r="AX4" i="1"/>
  <c r="BD4" i="1"/>
  <c r="B5" i="1"/>
  <c r="C5" i="1"/>
  <c r="F5" i="1"/>
  <c r="G5" i="1"/>
  <c r="H5" i="1"/>
  <c r="I5" i="1"/>
  <c r="J5" i="1"/>
  <c r="K5" i="1"/>
  <c r="M5" i="1"/>
  <c r="O5" i="1"/>
  <c r="Q5" i="1"/>
  <c r="R5" i="1"/>
  <c r="W5" i="1"/>
  <c r="AA5" i="1"/>
  <c r="AB5" i="1"/>
  <c r="AE5" i="1"/>
  <c r="AF5" i="1"/>
  <c r="AM5" i="1"/>
  <c r="AN5" i="1"/>
  <c r="AO5" i="1"/>
  <c r="AQ5" i="1"/>
  <c r="AX5" i="1"/>
  <c r="BD5" i="1"/>
  <c r="B6" i="1"/>
  <c r="C6" i="1"/>
  <c r="D6" i="1"/>
  <c r="F6" i="1"/>
  <c r="G6" i="1"/>
  <c r="H6" i="1"/>
  <c r="I6" i="1"/>
  <c r="J6" i="1"/>
  <c r="K6" i="1"/>
  <c r="M6" i="1"/>
  <c r="O6" i="1"/>
  <c r="Q6" i="1"/>
  <c r="R6" i="1"/>
  <c r="W6" i="1"/>
  <c r="AA6" i="1"/>
  <c r="AB6" i="1"/>
  <c r="AM6" i="1"/>
  <c r="AN6" i="1"/>
  <c r="AO6" i="1"/>
  <c r="AQ6" i="1"/>
  <c r="AX6" i="1"/>
  <c r="BD6" i="1"/>
  <c r="B7" i="1"/>
  <c r="E7" i="1"/>
  <c r="F7" i="1"/>
  <c r="G7" i="1"/>
  <c r="H7" i="1"/>
  <c r="I7" i="1"/>
  <c r="J7" i="1"/>
  <c r="K7" i="1"/>
  <c r="M7" i="1"/>
  <c r="O7" i="1"/>
  <c r="Q7" i="1"/>
  <c r="R7" i="1"/>
  <c r="W7" i="1"/>
  <c r="AA7" i="1"/>
  <c r="AB7" i="1"/>
  <c r="AM7" i="1"/>
  <c r="AN7" i="1"/>
  <c r="AO7" i="1"/>
  <c r="AQ7" i="1"/>
  <c r="AX7" i="1"/>
  <c r="BD7" i="1"/>
  <c r="B8" i="1"/>
  <c r="E8" i="1"/>
  <c r="F8" i="1"/>
  <c r="G8" i="1"/>
  <c r="H8" i="1"/>
  <c r="I8" i="1"/>
  <c r="J8" i="1"/>
  <c r="K8" i="1"/>
  <c r="M8" i="1"/>
  <c r="O8" i="1"/>
  <c r="Q8" i="1"/>
  <c r="R8" i="1"/>
  <c r="W8" i="1"/>
  <c r="AA8" i="1"/>
  <c r="AB8" i="1"/>
  <c r="AM8" i="1"/>
  <c r="AN8" i="1"/>
  <c r="AO8" i="1"/>
  <c r="AQ8" i="1"/>
  <c r="AX8" i="1"/>
  <c r="BD8" i="1"/>
  <c r="B9" i="1"/>
  <c r="E9" i="1"/>
  <c r="F9" i="1"/>
  <c r="G9" i="1"/>
  <c r="H9" i="1"/>
  <c r="I9" i="1"/>
  <c r="J9" i="1"/>
  <c r="K9" i="1"/>
  <c r="M9" i="1"/>
  <c r="O9" i="1"/>
  <c r="Q9" i="1"/>
  <c r="R9" i="1"/>
  <c r="W9" i="1"/>
  <c r="AA9" i="1"/>
  <c r="AB9" i="1"/>
  <c r="AM9" i="1"/>
  <c r="AN9" i="1"/>
  <c r="AO9" i="1"/>
  <c r="AQ9" i="1"/>
  <c r="AX9" i="1"/>
  <c r="BD9" i="1"/>
  <c r="B10" i="1"/>
  <c r="E10" i="1"/>
  <c r="F10" i="1"/>
  <c r="G10" i="1"/>
  <c r="H10" i="1"/>
  <c r="I10" i="1"/>
  <c r="J10" i="1"/>
  <c r="K10" i="1"/>
  <c r="M10" i="1"/>
  <c r="O10" i="1"/>
  <c r="Q10" i="1"/>
  <c r="R10" i="1"/>
  <c r="W10" i="1"/>
  <c r="AA10" i="1"/>
  <c r="AB10" i="1"/>
  <c r="AM10" i="1"/>
  <c r="AN10" i="1"/>
  <c r="AO10" i="1"/>
  <c r="AQ10" i="1"/>
  <c r="AX10" i="1"/>
  <c r="BD10" i="1"/>
  <c r="B11" i="1"/>
  <c r="E11" i="1"/>
  <c r="F11" i="1"/>
  <c r="G11" i="1"/>
  <c r="H11" i="1"/>
  <c r="I11" i="1"/>
  <c r="J11" i="1"/>
  <c r="K11" i="1"/>
  <c r="M11" i="1"/>
  <c r="O11" i="1"/>
  <c r="Q11" i="1"/>
  <c r="R11" i="1"/>
  <c r="W11" i="1"/>
  <c r="AA11" i="1"/>
  <c r="AB11" i="1"/>
  <c r="AM11" i="1"/>
  <c r="AN11" i="1"/>
  <c r="AO11" i="1"/>
  <c r="AQ11" i="1"/>
  <c r="AX11" i="1"/>
  <c r="BD11" i="1"/>
  <c r="B12" i="1"/>
  <c r="E12" i="1"/>
  <c r="F12" i="1"/>
  <c r="G12" i="1"/>
  <c r="H12" i="1"/>
  <c r="I12" i="1"/>
  <c r="J12" i="1"/>
  <c r="K12" i="1"/>
  <c r="M12" i="1"/>
  <c r="O12" i="1"/>
  <c r="Q12" i="1"/>
  <c r="R12" i="1"/>
  <c r="W12" i="1"/>
  <c r="AA12" i="1"/>
  <c r="AB12" i="1"/>
  <c r="AM12" i="1"/>
  <c r="AN12" i="1"/>
  <c r="AO12" i="1"/>
  <c r="AQ12" i="1"/>
  <c r="AX12" i="1"/>
  <c r="BD12" i="1"/>
  <c r="B13" i="1"/>
  <c r="C13" i="1"/>
  <c r="D13" i="1"/>
  <c r="E13" i="1"/>
  <c r="F13" i="1"/>
  <c r="G13" i="1"/>
  <c r="H13" i="1"/>
  <c r="I13" i="1"/>
  <c r="J13" i="1"/>
  <c r="K13" i="1"/>
  <c r="M13" i="1"/>
  <c r="O13" i="1"/>
  <c r="Q13" i="1"/>
  <c r="R13" i="1"/>
  <c r="W13" i="1"/>
  <c r="AA13" i="1"/>
  <c r="AB13" i="1"/>
  <c r="AE13" i="1"/>
  <c r="AF13" i="1"/>
  <c r="AM13" i="1"/>
  <c r="AN13" i="1"/>
  <c r="AO13" i="1"/>
  <c r="AQ13" i="1"/>
  <c r="AX13" i="1"/>
  <c r="BD13" i="1"/>
  <c r="B14" i="1"/>
  <c r="C14" i="1"/>
  <c r="D14" i="1"/>
  <c r="E14" i="1"/>
  <c r="F14" i="1"/>
  <c r="G14" i="1"/>
  <c r="H14" i="1"/>
  <c r="I14" i="1"/>
  <c r="J14" i="1"/>
  <c r="K14" i="1"/>
  <c r="M14" i="1"/>
  <c r="O14" i="1"/>
  <c r="Q14" i="1"/>
  <c r="R14" i="1"/>
  <c r="W14" i="1"/>
  <c r="AA14" i="1"/>
  <c r="AB14" i="1"/>
  <c r="AE14" i="1"/>
  <c r="AF14" i="1"/>
  <c r="AM14" i="1"/>
  <c r="AN14" i="1"/>
  <c r="AO14" i="1"/>
  <c r="AQ14" i="1"/>
  <c r="AX14" i="1"/>
  <c r="BD14" i="1"/>
  <c r="B15" i="1"/>
  <c r="C15" i="1"/>
  <c r="D15" i="1"/>
  <c r="E15" i="1"/>
  <c r="F15" i="1"/>
  <c r="G15" i="1"/>
  <c r="H15" i="1"/>
  <c r="I15" i="1"/>
  <c r="J15" i="1"/>
  <c r="K15" i="1"/>
  <c r="M15" i="1"/>
  <c r="O15" i="1"/>
  <c r="Q15" i="1"/>
  <c r="R15" i="1"/>
  <c r="W15" i="1"/>
  <c r="AA15" i="1"/>
  <c r="AB15" i="1"/>
  <c r="AE15" i="1"/>
  <c r="AF15" i="1"/>
  <c r="AM15" i="1"/>
  <c r="AN15" i="1"/>
  <c r="AO15" i="1"/>
  <c r="AQ15" i="1"/>
  <c r="AX15" i="1"/>
  <c r="BD15" i="1"/>
  <c r="B16" i="1"/>
  <c r="C16" i="1"/>
  <c r="D16" i="1"/>
  <c r="E16" i="1"/>
  <c r="F16" i="1"/>
  <c r="G16" i="1"/>
  <c r="H16" i="1"/>
  <c r="I16" i="1"/>
  <c r="J16" i="1"/>
  <c r="K16" i="1"/>
  <c r="M16" i="1"/>
  <c r="O16" i="1"/>
  <c r="Q16" i="1"/>
  <c r="R16" i="1"/>
  <c r="W16" i="1"/>
  <c r="AA16" i="1"/>
  <c r="AB16" i="1"/>
  <c r="AE16" i="1"/>
  <c r="AF16" i="1"/>
  <c r="AM16" i="1"/>
  <c r="AN16" i="1"/>
  <c r="AO16" i="1"/>
  <c r="AQ16" i="1"/>
  <c r="AX16" i="1"/>
  <c r="BD16" i="1"/>
  <c r="B17" i="1"/>
  <c r="C17" i="1"/>
  <c r="D17" i="1"/>
  <c r="E17" i="1"/>
  <c r="F17" i="1"/>
  <c r="G17" i="1"/>
  <c r="H17" i="1"/>
  <c r="I17" i="1"/>
  <c r="J17" i="1"/>
  <c r="K17" i="1"/>
  <c r="M17" i="1"/>
  <c r="O17" i="1"/>
  <c r="Q17" i="1"/>
  <c r="R17" i="1"/>
  <c r="W17" i="1"/>
  <c r="AA17" i="1"/>
  <c r="AB17" i="1"/>
  <c r="AE17" i="1"/>
  <c r="AF17" i="1"/>
  <c r="AM17" i="1"/>
  <c r="AN17" i="1"/>
  <c r="AO17" i="1"/>
  <c r="AQ17" i="1"/>
  <c r="AX17" i="1"/>
  <c r="BD17" i="1"/>
  <c r="B18" i="1"/>
  <c r="C18" i="1"/>
  <c r="D18" i="1"/>
  <c r="E18" i="1"/>
  <c r="F18" i="1"/>
  <c r="G18" i="1"/>
  <c r="H18" i="1"/>
  <c r="I18" i="1"/>
  <c r="J18" i="1"/>
  <c r="K18" i="1"/>
  <c r="M18" i="1"/>
  <c r="O18" i="1"/>
  <c r="Q18" i="1"/>
  <c r="R18" i="1"/>
  <c r="W18" i="1"/>
  <c r="AA18" i="1"/>
  <c r="AB18" i="1"/>
  <c r="AE18" i="1"/>
  <c r="AF18" i="1"/>
  <c r="AM18" i="1"/>
  <c r="AN18" i="1"/>
  <c r="AO18" i="1"/>
  <c r="AQ18" i="1"/>
  <c r="AX18" i="1"/>
  <c r="BD18" i="1"/>
  <c r="B19" i="1"/>
  <c r="C19" i="1"/>
  <c r="D19" i="1"/>
  <c r="E19" i="1"/>
  <c r="F19" i="1"/>
  <c r="G19" i="1"/>
  <c r="H19" i="1"/>
  <c r="I19" i="1"/>
  <c r="J19" i="1"/>
  <c r="K19" i="1"/>
  <c r="M19" i="1"/>
  <c r="O19" i="1"/>
  <c r="Q19" i="1"/>
  <c r="R19" i="1"/>
  <c r="W19" i="1"/>
  <c r="AA19" i="1"/>
  <c r="AB19" i="1"/>
  <c r="AE19" i="1"/>
  <c r="AF19" i="1"/>
  <c r="AM19" i="1"/>
  <c r="AN19" i="1"/>
  <c r="AO19" i="1"/>
  <c r="AQ19" i="1"/>
  <c r="AX19" i="1"/>
  <c r="BD19" i="1"/>
  <c r="B20" i="1"/>
  <c r="C20" i="1"/>
  <c r="D20" i="1"/>
  <c r="E20" i="1"/>
  <c r="F20" i="1"/>
  <c r="G20" i="1"/>
  <c r="H20" i="1"/>
  <c r="I20" i="1"/>
  <c r="J20" i="1"/>
  <c r="K20" i="1"/>
  <c r="M20" i="1"/>
  <c r="O20" i="1"/>
  <c r="Q20" i="1"/>
  <c r="R20" i="1"/>
  <c r="W20" i="1"/>
  <c r="AA20" i="1"/>
  <c r="AB20" i="1"/>
  <c r="AE20" i="1"/>
  <c r="AF20" i="1"/>
  <c r="AM20" i="1"/>
  <c r="AN20" i="1"/>
  <c r="AO20" i="1"/>
  <c r="AQ20" i="1"/>
  <c r="AX20" i="1"/>
  <c r="BD20" i="1"/>
  <c r="B21" i="1"/>
  <c r="C21" i="1"/>
  <c r="D21" i="1"/>
  <c r="E21" i="1"/>
  <c r="F21" i="1"/>
  <c r="G21" i="1"/>
  <c r="H21" i="1"/>
  <c r="I21" i="1"/>
  <c r="J21" i="1"/>
  <c r="K21" i="1"/>
  <c r="M21" i="1"/>
  <c r="O21" i="1"/>
  <c r="Q21" i="1"/>
  <c r="R21" i="1"/>
  <c r="W21" i="1"/>
  <c r="AA21" i="1"/>
  <c r="AB21" i="1"/>
  <c r="AE21" i="1"/>
  <c r="AF21" i="1"/>
  <c r="AM21" i="1"/>
  <c r="AN21" i="1"/>
  <c r="AO21" i="1"/>
  <c r="AQ21" i="1"/>
  <c r="AX21" i="1"/>
  <c r="BD21" i="1"/>
  <c r="B22" i="1"/>
  <c r="C22" i="1"/>
  <c r="D22" i="1"/>
  <c r="E22" i="1"/>
  <c r="F22" i="1"/>
  <c r="G22" i="1"/>
  <c r="H22" i="1"/>
  <c r="I22" i="1"/>
  <c r="J22" i="1"/>
  <c r="K22" i="1"/>
  <c r="M22" i="1"/>
  <c r="O22" i="1"/>
  <c r="Q22" i="1"/>
  <c r="R22" i="1"/>
  <c r="W22" i="1"/>
  <c r="AA22" i="1"/>
  <c r="AB22" i="1"/>
  <c r="AE22" i="1"/>
  <c r="AF22" i="1"/>
  <c r="AM22" i="1"/>
  <c r="AN22" i="1"/>
  <c r="AO22" i="1"/>
  <c r="AQ22" i="1"/>
  <c r="AX22" i="1"/>
  <c r="BD22" i="1"/>
  <c r="B23" i="1"/>
  <c r="C23" i="1"/>
  <c r="D23" i="1"/>
  <c r="E23" i="1"/>
  <c r="F23" i="1"/>
  <c r="G23" i="1"/>
  <c r="H23" i="1"/>
  <c r="I23" i="1"/>
  <c r="J23" i="1"/>
  <c r="K23" i="1"/>
  <c r="M23" i="1"/>
  <c r="O23" i="1"/>
  <c r="Q23" i="1"/>
  <c r="R23" i="1"/>
  <c r="W23" i="1"/>
  <c r="AA23" i="1"/>
  <c r="AB23" i="1"/>
  <c r="AE23" i="1"/>
  <c r="AF23" i="1"/>
  <c r="AM23" i="1"/>
  <c r="AN23" i="1"/>
  <c r="AO23" i="1"/>
  <c r="AQ23" i="1"/>
  <c r="AX23" i="1"/>
  <c r="BD23" i="1"/>
  <c r="B24" i="1"/>
  <c r="C24" i="1"/>
  <c r="D24" i="1"/>
  <c r="E24" i="1"/>
  <c r="F24" i="1"/>
  <c r="G24" i="1"/>
  <c r="H24" i="1"/>
  <c r="I24" i="1"/>
  <c r="J24" i="1"/>
  <c r="K24" i="1"/>
  <c r="M24" i="1"/>
  <c r="O24" i="1"/>
  <c r="Q24" i="1"/>
  <c r="R24" i="1"/>
  <c r="W24" i="1"/>
  <c r="AA24" i="1"/>
  <c r="AB24" i="1"/>
  <c r="AE24" i="1"/>
  <c r="AF24" i="1"/>
  <c r="AM24" i="1"/>
  <c r="AN24" i="1"/>
  <c r="AO24" i="1"/>
  <c r="AQ24" i="1"/>
  <c r="AX24" i="1"/>
  <c r="BD24" i="1"/>
  <c r="B25" i="1"/>
  <c r="C25" i="1"/>
  <c r="D25" i="1"/>
  <c r="E25" i="1"/>
  <c r="F25" i="1"/>
  <c r="G25" i="1"/>
  <c r="H25" i="1"/>
  <c r="I25" i="1"/>
  <c r="J25" i="1"/>
  <c r="K25" i="1"/>
  <c r="M25" i="1"/>
  <c r="O25" i="1"/>
  <c r="Q25" i="1"/>
  <c r="R25" i="1"/>
  <c r="W25" i="1"/>
  <c r="AA25" i="1"/>
  <c r="AB25" i="1"/>
  <c r="AE25" i="1"/>
  <c r="AF25" i="1"/>
  <c r="AM25" i="1"/>
  <c r="AN25" i="1"/>
  <c r="AO25" i="1"/>
  <c r="AQ25" i="1"/>
  <c r="AX25" i="1"/>
  <c r="BD25" i="1"/>
  <c r="B26" i="1"/>
  <c r="C26" i="1"/>
  <c r="D26" i="1"/>
  <c r="E26" i="1"/>
  <c r="F26" i="1"/>
  <c r="G26" i="1"/>
  <c r="H26" i="1"/>
  <c r="I26" i="1"/>
  <c r="J26" i="1"/>
  <c r="K26" i="1"/>
  <c r="M26" i="1"/>
  <c r="O26" i="1"/>
  <c r="Q26" i="1"/>
  <c r="R26" i="1"/>
  <c r="W26" i="1"/>
  <c r="AA26" i="1"/>
  <c r="AB26" i="1"/>
  <c r="AE26" i="1"/>
  <c r="AF26" i="1"/>
  <c r="AM26" i="1"/>
  <c r="AN26" i="1"/>
  <c r="AO26" i="1"/>
  <c r="AQ26" i="1"/>
  <c r="AX26" i="1"/>
  <c r="BD26" i="1"/>
  <c r="B27" i="1"/>
  <c r="C27" i="1"/>
  <c r="D27" i="1"/>
  <c r="E27" i="1"/>
  <c r="F27" i="1"/>
  <c r="G27" i="1"/>
  <c r="H27" i="1"/>
  <c r="I27" i="1"/>
  <c r="J27" i="1"/>
  <c r="K27" i="1"/>
  <c r="M27" i="1"/>
  <c r="O27" i="1"/>
  <c r="Q27" i="1"/>
  <c r="R27" i="1"/>
  <c r="W27" i="1"/>
  <c r="AA27" i="1"/>
  <c r="AB27" i="1"/>
  <c r="AE27" i="1"/>
  <c r="AF27" i="1"/>
  <c r="AM27" i="1"/>
  <c r="AN27" i="1"/>
  <c r="AO27" i="1"/>
  <c r="AQ27" i="1"/>
  <c r="AX27" i="1"/>
  <c r="BD27" i="1"/>
  <c r="B28" i="1"/>
  <c r="C28" i="1"/>
  <c r="D28" i="1"/>
  <c r="E28" i="1"/>
  <c r="F28" i="1"/>
  <c r="G28" i="1"/>
  <c r="H28" i="1"/>
  <c r="I28" i="1"/>
  <c r="J28" i="1"/>
  <c r="K28" i="1"/>
  <c r="M28" i="1"/>
  <c r="O28" i="1"/>
  <c r="Q28" i="1"/>
  <c r="R28" i="1"/>
  <c r="W28" i="1"/>
  <c r="AA28" i="1"/>
  <c r="AB28" i="1"/>
  <c r="AE28" i="1"/>
  <c r="AF28" i="1"/>
  <c r="AM28" i="1"/>
  <c r="AN28" i="1"/>
  <c r="AO28" i="1"/>
  <c r="AQ28" i="1"/>
  <c r="AX28" i="1"/>
  <c r="BD28" i="1"/>
  <c r="B29" i="1"/>
  <c r="C29" i="1"/>
  <c r="D29" i="1"/>
  <c r="E29" i="1"/>
  <c r="F29" i="1"/>
  <c r="G29" i="1"/>
  <c r="H29" i="1"/>
  <c r="I29" i="1"/>
  <c r="J29" i="1"/>
  <c r="K29" i="1"/>
  <c r="M29" i="1"/>
  <c r="O29" i="1"/>
  <c r="Q29" i="1"/>
  <c r="R29" i="1"/>
  <c r="W29" i="1"/>
  <c r="AA29" i="1"/>
  <c r="AB29" i="1"/>
  <c r="AE29" i="1"/>
  <c r="AF29" i="1"/>
  <c r="AM29" i="1"/>
  <c r="AN29" i="1"/>
  <c r="AO29" i="1"/>
  <c r="AQ29" i="1"/>
  <c r="AX29" i="1"/>
  <c r="BD29" i="1"/>
  <c r="B30" i="1"/>
  <c r="C30" i="1"/>
  <c r="D30" i="1"/>
  <c r="E30" i="1"/>
  <c r="F30" i="1"/>
  <c r="G30" i="1"/>
  <c r="H30" i="1"/>
  <c r="I30" i="1"/>
  <c r="J30" i="1"/>
  <c r="K30" i="1"/>
  <c r="M30" i="1"/>
  <c r="O30" i="1"/>
  <c r="Q30" i="1"/>
  <c r="R30" i="1"/>
  <c r="W30" i="1"/>
  <c r="AA30" i="1"/>
  <c r="AB30" i="1"/>
  <c r="AE30" i="1"/>
  <c r="AF30" i="1"/>
  <c r="AM30" i="1"/>
  <c r="AN30" i="1"/>
  <c r="AO30" i="1"/>
  <c r="AQ30" i="1"/>
  <c r="AX30" i="1"/>
  <c r="BD30" i="1"/>
  <c r="B31" i="1"/>
  <c r="C31" i="1"/>
  <c r="D31" i="1"/>
  <c r="E31" i="1"/>
  <c r="F31" i="1"/>
  <c r="G31" i="1"/>
  <c r="H31" i="1"/>
  <c r="I31" i="1"/>
  <c r="J31" i="1"/>
  <c r="K31" i="1"/>
  <c r="M31" i="1"/>
  <c r="O31" i="1"/>
  <c r="Q31" i="1"/>
  <c r="R31" i="1"/>
  <c r="W31" i="1"/>
  <c r="AA31" i="1"/>
  <c r="AB31" i="1"/>
  <c r="AE31" i="1"/>
  <c r="AF31" i="1"/>
  <c r="AM31" i="1"/>
  <c r="AN31" i="1"/>
  <c r="AO31" i="1"/>
  <c r="AQ31" i="1"/>
  <c r="AX31" i="1"/>
  <c r="BD31" i="1"/>
  <c r="B32" i="1"/>
  <c r="C32" i="1"/>
  <c r="D32" i="1"/>
  <c r="E32" i="1"/>
  <c r="F32" i="1"/>
  <c r="G32" i="1"/>
  <c r="H32" i="1"/>
  <c r="I32" i="1"/>
  <c r="J32" i="1"/>
  <c r="K32" i="1"/>
  <c r="M32" i="1"/>
  <c r="O32" i="1"/>
  <c r="Q32" i="1"/>
  <c r="R32" i="1"/>
  <c r="W32" i="1"/>
  <c r="AA32" i="1"/>
  <c r="AB32" i="1"/>
  <c r="AE32" i="1"/>
  <c r="AF32" i="1"/>
  <c r="AM32" i="1"/>
  <c r="AN32" i="1"/>
  <c r="AO32" i="1"/>
  <c r="AQ32" i="1"/>
  <c r="AX32" i="1"/>
  <c r="BD32" i="1"/>
  <c r="B33" i="1"/>
  <c r="C33" i="1"/>
  <c r="D33" i="1"/>
  <c r="E33" i="1"/>
  <c r="F33" i="1"/>
  <c r="G33" i="1"/>
  <c r="H33" i="1"/>
  <c r="I33" i="1"/>
  <c r="J33" i="1"/>
  <c r="K33" i="1"/>
  <c r="M33" i="1"/>
  <c r="O33" i="1"/>
  <c r="Q33" i="1"/>
  <c r="R33" i="1"/>
  <c r="W33" i="1"/>
  <c r="AA33" i="1"/>
  <c r="AB33" i="1"/>
  <c r="AE33" i="1"/>
  <c r="AF33" i="1"/>
  <c r="AM33" i="1"/>
  <c r="AN33" i="1"/>
  <c r="AO33" i="1"/>
  <c r="AQ33" i="1"/>
  <c r="AX33" i="1"/>
  <c r="BD33" i="1"/>
  <c r="B34" i="1"/>
  <c r="C34" i="1"/>
  <c r="D34" i="1"/>
  <c r="E34" i="1"/>
  <c r="F34" i="1"/>
  <c r="G34" i="1"/>
  <c r="H34" i="1"/>
  <c r="I34" i="1"/>
  <c r="J34" i="1"/>
  <c r="K34" i="1"/>
  <c r="M34" i="1"/>
  <c r="O34" i="1"/>
  <c r="Q34" i="1"/>
  <c r="R34" i="1"/>
  <c r="W34" i="1"/>
  <c r="AA34" i="1"/>
  <c r="AB34" i="1"/>
  <c r="AE34" i="1"/>
  <c r="AF34" i="1"/>
  <c r="AM34" i="1"/>
  <c r="AN34" i="1"/>
  <c r="AO34" i="1"/>
  <c r="AQ34" i="1"/>
  <c r="AX34" i="1"/>
  <c r="BD34" i="1"/>
  <c r="B35" i="1"/>
  <c r="C35" i="1"/>
  <c r="D35" i="1"/>
  <c r="E35" i="1"/>
  <c r="F35" i="1"/>
  <c r="G35" i="1"/>
  <c r="H35" i="1"/>
  <c r="I35" i="1"/>
  <c r="J35" i="1"/>
  <c r="K35" i="1"/>
  <c r="M35" i="1"/>
  <c r="O35" i="1"/>
  <c r="Q35" i="1"/>
  <c r="R35" i="1"/>
  <c r="W35" i="1"/>
  <c r="AA35" i="1"/>
  <c r="AB35" i="1"/>
  <c r="AE35" i="1"/>
  <c r="AF35" i="1"/>
  <c r="AM35" i="1"/>
  <c r="AN35" i="1"/>
  <c r="AO35" i="1"/>
  <c r="AQ35" i="1"/>
  <c r="AX35" i="1"/>
  <c r="BD35" i="1"/>
  <c r="B36" i="1"/>
  <c r="C36" i="1"/>
  <c r="D36" i="1"/>
  <c r="E36" i="1"/>
  <c r="F36" i="1"/>
  <c r="G36" i="1"/>
  <c r="H36" i="1"/>
  <c r="I36" i="1"/>
  <c r="J36" i="1"/>
  <c r="K36" i="1"/>
  <c r="M36" i="1"/>
  <c r="O36" i="1"/>
  <c r="Q36" i="1"/>
  <c r="R36" i="1"/>
  <c r="W36" i="1"/>
  <c r="AA36" i="1"/>
  <c r="AB36" i="1"/>
  <c r="AE36" i="1"/>
  <c r="AF36" i="1"/>
  <c r="AM36" i="1"/>
  <c r="AN36" i="1"/>
  <c r="AO36" i="1"/>
  <c r="AQ36" i="1"/>
  <c r="AX36" i="1"/>
  <c r="BD36" i="1"/>
  <c r="B37" i="1"/>
  <c r="C37" i="1"/>
  <c r="E37" i="1"/>
  <c r="F37" i="1"/>
  <c r="G37" i="1"/>
  <c r="H37" i="1"/>
  <c r="I37" i="1"/>
  <c r="J37" i="1"/>
  <c r="K37" i="1"/>
  <c r="M37" i="1"/>
  <c r="O37" i="1"/>
  <c r="Q37" i="1"/>
  <c r="R37" i="1"/>
  <c r="W37" i="1"/>
  <c r="AA37" i="1"/>
  <c r="AB37" i="1"/>
  <c r="AE37" i="1"/>
  <c r="AF37" i="1"/>
  <c r="AM37" i="1"/>
  <c r="AN37" i="1"/>
  <c r="AO37" i="1"/>
  <c r="AQ37" i="1"/>
  <c r="AX37" i="1"/>
  <c r="BD37" i="1"/>
  <c r="B38" i="1"/>
  <c r="E38" i="1"/>
  <c r="F38" i="1"/>
  <c r="G38" i="1"/>
  <c r="H38" i="1"/>
  <c r="I38" i="1"/>
  <c r="J38" i="1"/>
  <c r="K38" i="1"/>
  <c r="M38" i="1"/>
  <c r="O38" i="1"/>
  <c r="Q38" i="1"/>
  <c r="R38" i="1"/>
  <c r="W38" i="1"/>
  <c r="AA38" i="1"/>
  <c r="AB38" i="1"/>
  <c r="AE38" i="1"/>
  <c r="AF38" i="1"/>
  <c r="AM38" i="1"/>
  <c r="AN38" i="1"/>
  <c r="AO38" i="1"/>
  <c r="AQ38" i="1"/>
  <c r="AX38" i="1"/>
  <c r="BD38" i="1"/>
  <c r="B39" i="1"/>
  <c r="C39" i="1"/>
  <c r="E39" i="1"/>
  <c r="F39" i="1"/>
  <c r="G39" i="1"/>
  <c r="H39" i="1"/>
  <c r="I39" i="1"/>
  <c r="J39" i="1"/>
  <c r="K39" i="1"/>
  <c r="M39" i="1"/>
  <c r="O39" i="1"/>
  <c r="Q39" i="1"/>
  <c r="R39" i="1"/>
  <c r="W39" i="1"/>
  <c r="AA39" i="1"/>
  <c r="AB39" i="1"/>
  <c r="AE39" i="1"/>
  <c r="AF39" i="1"/>
  <c r="AM39" i="1"/>
  <c r="AN39" i="1"/>
  <c r="AO39" i="1"/>
  <c r="AQ39" i="1"/>
  <c r="AX39" i="1"/>
  <c r="BD39" i="1"/>
  <c r="B40" i="1"/>
  <c r="C40" i="1"/>
  <c r="E40" i="1"/>
  <c r="F40" i="1"/>
  <c r="G40" i="1"/>
  <c r="H40" i="1"/>
  <c r="I40" i="1"/>
  <c r="J40" i="1"/>
  <c r="K40" i="1"/>
  <c r="M40" i="1"/>
  <c r="O40" i="1"/>
  <c r="Q40" i="1"/>
  <c r="R40" i="1"/>
  <c r="W40" i="1"/>
  <c r="AA40" i="1"/>
  <c r="AB40" i="1"/>
  <c r="AE40" i="1"/>
  <c r="AF40" i="1"/>
  <c r="AM40" i="1"/>
  <c r="AN40" i="1"/>
  <c r="AO40" i="1"/>
  <c r="AQ40" i="1"/>
  <c r="AX40" i="1"/>
  <c r="BD40" i="1"/>
  <c r="B41" i="1"/>
  <c r="C41" i="1"/>
  <c r="E41" i="1"/>
  <c r="F41" i="1"/>
  <c r="G41" i="1"/>
  <c r="H41" i="1"/>
  <c r="I41" i="1"/>
  <c r="J41" i="1"/>
  <c r="K41" i="1"/>
  <c r="M41" i="1"/>
  <c r="O41" i="1"/>
  <c r="Q41" i="1"/>
  <c r="R41" i="1"/>
  <c r="W41" i="1"/>
  <c r="AA41" i="1"/>
  <c r="AB41" i="1"/>
  <c r="AE41" i="1"/>
  <c r="AF41" i="1"/>
  <c r="AM41" i="1"/>
  <c r="AN41" i="1"/>
  <c r="AO41" i="1"/>
  <c r="AQ41" i="1"/>
  <c r="AX41" i="1"/>
  <c r="BD41" i="1"/>
  <c r="B42" i="1"/>
  <c r="C42" i="1"/>
  <c r="E42" i="1"/>
  <c r="F42" i="1"/>
  <c r="G42" i="1"/>
  <c r="H42" i="1"/>
  <c r="I42" i="1"/>
  <c r="J42" i="1"/>
  <c r="K42" i="1"/>
  <c r="M42" i="1"/>
  <c r="O42" i="1"/>
  <c r="Q42" i="1"/>
  <c r="R42" i="1"/>
  <c r="W42" i="1"/>
  <c r="AA42" i="1"/>
  <c r="AB42" i="1"/>
  <c r="AE42" i="1"/>
  <c r="AF42" i="1"/>
  <c r="AM42" i="1"/>
  <c r="AN42" i="1"/>
  <c r="AO42" i="1"/>
  <c r="AQ42" i="1"/>
  <c r="AX42" i="1"/>
  <c r="BD42" i="1"/>
  <c r="B43" i="1"/>
  <c r="C43" i="1"/>
  <c r="E43" i="1"/>
  <c r="F43" i="1"/>
  <c r="G43" i="1"/>
  <c r="H43" i="1"/>
  <c r="I43" i="1"/>
  <c r="J43" i="1"/>
  <c r="K43" i="1"/>
  <c r="M43" i="1"/>
  <c r="O43" i="1"/>
  <c r="Q43" i="1"/>
  <c r="R43" i="1"/>
  <c r="W43" i="1"/>
  <c r="AA43" i="1"/>
  <c r="AB43" i="1"/>
  <c r="AE43" i="1"/>
  <c r="AF43" i="1"/>
  <c r="AM43" i="1"/>
  <c r="AN43" i="1"/>
  <c r="AO43" i="1"/>
  <c r="AQ43" i="1"/>
  <c r="AX43" i="1"/>
  <c r="BD43" i="1"/>
  <c r="B44" i="1"/>
  <c r="C44" i="1"/>
  <c r="E44" i="1"/>
  <c r="F44" i="1"/>
  <c r="G44" i="1"/>
  <c r="H44" i="1"/>
  <c r="I44" i="1"/>
  <c r="J44" i="1"/>
  <c r="K44" i="1"/>
  <c r="M44" i="1"/>
  <c r="O44" i="1"/>
  <c r="Q44" i="1"/>
  <c r="R44" i="1"/>
  <c r="W44" i="1"/>
  <c r="AA44" i="1"/>
  <c r="AB44" i="1"/>
  <c r="AE44" i="1"/>
  <c r="AF44" i="1"/>
  <c r="AM44" i="1"/>
  <c r="AN44" i="1"/>
  <c r="AO44" i="1"/>
  <c r="AQ44" i="1"/>
  <c r="AX44" i="1"/>
  <c r="BD44" i="1"/>
  <c r="B45" i="1"/>
  <c r="C45" i="1"/>
  <c r="E45" i="1"/>
  <c r="F45" i="1"/>
  <c r="G45" i="1"/>
  <c r="H45" i="1"/>
  <c r="I45" i="1"/>
  <c r="J45" i="1"/>
  <c r="K45" i="1"/>
  <c r="M45" i="1"/>
  <c r="O45" i="1"/>
  <c r="Q45" i="1"/>
  <c r="R45" i="1"/>
  <c r="W45" i="1"/>
  <c r="AA45" i="1"/>
  <c r="AB45" i="1"/>
  <c r="AE45" i="1"/>
  <c r="AF45" i="1"/>
  <c r="AM45" i="1"/>
  <c r="AN45" i="1"/>
  <c r="AO45" i="1"/>
  <c r="AQ45" i="1"/>
  <c r="AX45" i="1"/>
  <c r="BD45" i="1"/>
  <c r="B46" i="1"/>
  <c r="C46" i="1"/>
  <c r="E46" i="1"/>
  <c r="F46" i="1"/>
  <c r="G46" i="1"/>
  <c r="H46" i="1"/>
  <c r="I46" i="1"/>
  <c r="J46" i="1"/>
  <c r="K46" i="1"/>
  <c r="M46" i="1"/>
  <c r="O46" i="1"/>
  <c r="Q46" i="1"/>
  <c r="R46" i="1"/>
  <c r="W46" i="1"/>
  <c r="AA46" i="1"/>
  <c r="AB46" i="1"/>
  <c r="AE46" i="1"/>
  <c r="AF46" i="1"/>
  <c r="AM46" i="1"/>
  <c r="AN46" i="1"/>
  <c r="AO46" i="1"/>
  <c r="AQ46" i="1"/>
  <c r="AX46" i="1"/>
  <c r="BD46" i="1"/>
  <c r="B47" i="1"/>
  <c r="C47" i="1"/>
  <c r="D47" i="1"/>
  <c r="E47" i="1"/>
  <c r="F47" i="1"/>
  <c r="G47" i="1"/>
  <c r="H47" i="1"/>
  <c r="I47" i="1"/>
  <c r="J47" i="1"/>
  <c r="K47" i="1"/>
  <c r="M47" i="1"/>
  <c r="O47" i="1"/>
  <c r="Q47" i="1"/>
  <c r="R47" i="1"/>
  <c r="W47" i="1"/>
  <c r="AA47" i="1"/>
  <c r="AB47" i="1"/>
  <c r="AE47" i="1"/>
  <c r="AF47" i="1"/>
  <c r="AM47" i="1"/>
  <c r="AN47" i="1"/>
  <c r="AO47" i="1"/>
  <c r="AQ47" i="1"/>
  <c r="AX47" i="1"/>
  <c r="BD47" i="1"/>
  <c r="B48" i="1"/>
  <c r="C48" i="1"/>
  <c r="D48" i="1"/>
  <c r="E48" i="1"/>
  <c r="F48" i="1"/>
  <c r="G48" i="1"/>
  <c r="H48" i="1"/>
  <c r="I48" i="1"/>
  <c r="J48" i="1"/>
  <c r="K48" i="1"/>
  <c r="M48" i="1"/>
  <c r="O48" i="1"/>
  <c r="Q48" i="1"/>
  <c r="R48" i="1"/>
  <c r="W48" i="1"/>
  <c r="AA48" i="1"/>
  <c r="AB48" i="1"/>
  <c r="AE48" i="1"/>
  <c r="AF48" i="1"/>
  <c r="AM48" i="1"/>
  <c r="AN48" i="1"/>
  <c r="AO48" i="1"/>
  <c r="AQ48" i="1"/>
  <c r="AX48" i="1"/>
  <c r="BD48" i="1"/>
  <c r="B49" i="1"/>
  <c r="C49" i="1"/>
  <c r="E49" i="1"/>
  <c r="F49" i="1"/>
  <c r="G49" i="1"/>
  <c r="H49" i="1"/>
  <c r="I49" i="1"/>
  <c r="J49" i="1"/>
  <c r="K49" i="1"/>
  <c r="M49" i="1"/>
  <c r="O49" i="1"/>
  <c r="Q49" i="1"/>
  <c r="R49" i="1"/>
  <c r="W49" i="1"/>
  <c r="AA49" i="1"/>
  <c r="AM49" i="1"/>
  <c r="AN49" i="1"/>
  <c r="AO49" i="1"/>
  <c r="AP49" i="1"/>
  <c r="AQ49" i="1"/>
  <c r="BD49" i="1"/>
  <c r="B50" i="1"/>
  <c r="C50" i="1"/>
  <c r="E50" i="1"/>
  <c r="F50" i="1"/>
  <c r="G50" i="1"/>
  <c r="H50" i="1"/>
  <c r="I50" i="1"/>
  <c r="J50" i="1"/>
  <c r="K50" i="1"/>
  <c r="M50" i="1"/>
  <c r="O50" i="1"/>
  <c r="Q50" i="1"/>
  <c r="R50" i="1"/>
  <c r="W50" i="1"/>
  <c r="AA50" i="1"/>
  <c r="AB50" i="1"/>
  <c r="AE50" i="1"/>
  <c r="AF50" i="1"/>
  <c r="AM50" i="1"/>
  <c r="AN50" i="1"/>
  <c r="AO50" i="1"/>
  <c r="AQ50" i="1"/>
  <c r="AX50" i="1"/>
  <c r="BD50" i="1"/>
  <c r="B51" i="1"/>
  <c r="C51" i="1"/>
  <c r="D51" i="1"/>
  <c r="E51" i="1"/>
  <c r="F51" i="1"/>
  <c r="G51" i="1"/>
  <c r="H51" i="1"/>
  <c r="I51" i="1"/>
  <c r="J51" i="1"/>
  <c r="K51" i="1"/>
  <c r="M51" i="1"/>
  <c r="O51" i="1"/>
  <c r="Q51" i="1"/>
  <c r="R51" i="1"/>
  <c r="W51" i="1"/>
  <c r="AA51" i="1"/>
  <c r="AB51" i="1"/>
  <c r="AE51" i="1"/>
  <c r="AF51" i="1"/>
  <c r="AM51" i="1"/>
  <c r="AN51" i="1"/>
  <c r="AO51" i="1"/>
  <c r="AQ51" i="1"/>
  <c r="AX51" i="1"/>
  <c r="BD51" i="1"/>
  <c r="B52" i="1"/>
  <c r="C52" i="1"/>
  <c r="D52" i="1"/>
  <c r="E52" i="1"/>
  <c r="F52" i="1"/>
  <c r="G52" i="1"/>
  <c r="H52" i="1"/>
  <c r="I52" i="1"/>
  <c r="J52" i="1"/>
  <c r="K52" i="1"/>
  <c r="M52" i="1"/>
  <c r="O52" i="1"/>
  <c r="Q52" i="1"/>
  <c r="R52" i="1"/>
  <c r="W52" i="1"/>
  <c r="AA52" i="1"/>
  <c r="AB52" i="1"/>
  <c r="AE52" i="1"/>
  <c r="AF52" i="1"/>
  <c r="AM52" i="1"/>
  <c r="AN52" i="1"/>
  <c r="AO52" i="1"/>
  <c r="AQ52" i="1"/>
  <c r="AX52" i="1"/>
  <c r="BD52" i="1"/>
  <c r="B53" i="1"/>
  <c r="C53" i="1"/>
  <c r="D53" i="1"/>
  <c r="E53" i="1"/>
  <c r="F53" i="1"/>
  <c r="G53" i="1"/>
  <c r="H53" i="1"/>
  <c r="I53" i="1"/>
  <c r="J53" i="1"/>
  <c r="K53" i="1"/>
  <c r="M53" i="1"/>
  <c r="O53" i="1"/>
  <c r="Q53" i="1"/>
  <c r="R53" i="1"/>
  <c r="W53" i="1"/>
  <c r="AA53" i="1"/>
  <c r="AB53" i="1"/>
  <c r="AE53" i="1"/>
  <c r="AF53" i="1"/>
  <c r="AM53" i="1"/>
  <c r="AN53" i="1"/>
  <c r="AO53" i="1"/>
  <c r="AQ53" i="1"/>
  <c r="AX53" i="1"/>
  <c r="BD53" i="1"/>
  <c r="B54" i="1"/>
  <c r="C54" i="1"/>
  <c r="D54" i="1"/>
  <c r="E54" i="1"/>
  <c r="F54" i="1"/>
  <c r="G54" i="1"/>
  <c r="H54" i="1"/>
  <c r="I54" i="1"/>
  <c r="J54" i="1"/>
  <c r="K54" i="1"/>
  <c r="M54" i="1"/>
  <c r="O54" i="1"/>
  <c r="Q54" i="1"/>
  <c r="R54" i="1"/>
  <c r="W54" i="1"/>
  <c r="AA54" i="1"/>
  <c r="AB54" i="1"/>
  <c r="AE54" i="1"/>
  <c r="AF54" i="1"/>
  <c r="AM54" i="1"/>
  <c r="AN54" i="1"/>
  <c r="AO54" i="1"/>
  <c r="AQ54" i="1"/>
  <c r="AX54" i="1"/>
  <c r="BD54" i="1"/>
  <c r="B55" i="1"/>
  <c r="C55" i="1"/>
  <c r="D55" i="1"/>
  <c r="E55" i="1"/>
  <c r="F55" i="1"/>
  <c r="G55" i="1"/>
  <c r="H55" i="1"/>
  <c r="I55" i="1"/>
  <c r="J55" i="1"/>
  <c r="K55" i="1"/>
  <c r="M55" i="1"/>
  <c r="O55" i="1"/>
  <c r="Q55" i="1"/>
  <c r="R55" i="1"/>
  <c r="W55" i="1"/>
  <c r="AA55" i="1"/>
  <c r="AB55" i="1"/>
  <c r="AE55" i="1"/>
  <c r="AF55" i="1"/>
  <c r="AM55" i="1"/>
  <c r="AN55" i="1"/>
  <c r="AO55" i="1"/>
  <c r="AQ55" i="1"/>
  <c r="AX55" i="1"/>
  <c r="BD55" i="1"/>
  <c r="B56" i="1"/>
  <c r="C56" i="1"/>
  <c r="D56" i="1"/>
  <c r="E56" i="1"/>
  <c r="F56" i="1"/>
  <c r="G56" i="1"/>
  <c r="H56" i="1"/>
  <c r="I56" i="1"/>
  <c r="J56" i="1"/>
  <c r="K56" i="1"/>
  <c r="M56" i="1"/>
  <c r="O56" i="1"/>
  <c r="Q56" i="1"/>
  <c r="R56" i="1"/>
  <c r="W56" i="1"/>
  <c r="AA56" i="1"/>
  <c r="AB56" i="1"/>
  <c r="AE56" i="1"/>
  <c r="AF56" i="1"/>
  <c r="AM56" i="1"/>
  <c r="AN56" i="1"/>
  <c r="AO56" i="1"/>
  <c r="AQ56" i="1"/>
  <c r="AX56" i="1"/>
  <c r="BD56" i="1"/>
  <c r="B57" i="1"/>
  <c r="C57" i="1"/>
  <c r="D57" i="1"/>
  <c r="E57" i="1"/>
  <c r="F57" i="1"/>
  <c r="G57" i="1"/>
  <c r="H57" i="1"/>
  <c r="I57" i="1"/>
  <c r="J57" i="1"/>
  <c r="K57" i="1"/>
  <c r="M57" i="1"/>
  <c r="O57" i="1"/>
  <c r="Q57" i="1"/>
  <c r="R57" i="1"/>
  <c r="W57" i="1"/>
  <c r="AA57" i="1"/>
  <c r="AB57" i="1"/>
  <c r="AE57" i="1"/>
  <c r="AF57" i="1"/>
  <c r="AM57" i="1"/>
  <c r="AN57" i="1"/>
  <c r="AO57" i="1"/>
  <c r="AQ57" i="1"/>
  <c r="AX57" i="1"/>
  <c r="BD57" i="1"/>
  <c r="B58" i="1"/>
  <c r="C58" i="1"/>
  <c r="D58" i="1"/>
  <c r="E58" i="1"/>
  <c r="F58" i="1"/>
  <c r="G58" i="1"/>
  <c r="H58" i="1"/>
  <c r="I58" i="1"/>
  <c r="J58" i="1"/>
  <c r="K58" i="1"/>
  <c r="M58" i="1"/>
  <c r="O58" i="1"/>
  <c r="Q58" i="1"/>
  <c r="R58" i="1"/>
  <c r="W58" i="1"/>
  <c r="AA58" i="1"/>
  <c r="AB58" i="1"/>
  <c r="AE58" i="1"/>
  <c r="AF58" i="1"/>
  <c r="AM58" i="1"/>
  <c r="AN58" i="1"/>
  <c r="AO58" i="1"/>
  <c r="AQ58" i="1"/>
  <c r="AX58" i="1"/>
  <c r="BD58" i="1"/>
  <c r="B59" i="1"/>
  <c r="C59" i="1"/>
  <c r="D59" i="1"/>
  <c r="E59" i="1"/>
  <c r="F59" i="1"/>
  <c r="G59" i="1"/>
  <c r="H59" i="1"/>
  <c r="I59" i="1"/>
  <c r="J59" i="1"/>
  <c r="K59" i="1"/>
  <c r="M59" i="1"/>
  <c r="O59" i="1"/>
  <c r="Q59" i="1"/>
  <c r="R59" i="1"/>
  <c r="W59" i="1"/>
  <c r="AA59" i="1"/>
  <c r="AB59" i="1"/>
  <c r="AE59" i="1"/>
  <c r="AF59" i="1"/>
  <c r="AM59" i="1"/>
  <c r="AN59" i="1"/>
  <c r="AO59" i="1"/>
  <c r="AQ59" i="1"/>
  <c r="AX59" i="1"/>
  <c r="BD59" i="1"/>
  <c r="B60" i="1"/>
  <c r="C60" i="1"/>
  <c r="D60" i="1"/>
  <c r="E60" i="1"/>
  <c r="F60" i="1"/>
  <c r="G60" i="1"/>
  <c r="H60" i="1"/>
  <c r="I60" i="1"/>
  <c r="J60" i="1"/>
  <c r="K60" i="1"/>
  <c r="M60" i="1"/>
  <c r="O60" i="1"/>
  <c r="Q60" i="1"/>
  <c r="R60" i="1"/>
  <c r="W60" i="1"/>
  <c r="AA60" i="1"/>
  <c r="AB60" i="1"/>
  <c r="AE60" i="1"/>
  <c r="AF60" i="1"/>
  <c r="AM60" i="1"/>
  <c r="AN60" i="1"/>
  <c r="AO60" i="1"/>
  <c r="AQ60" i="1"/>
  <c r="AX60" i="1"/>
  <c r="BD60" i="1"/>
  <c r="B61" i="1"/>
  <c r="C61" i="1"/>
  <c r="D61" i="1"/>
  <c r="E61" i="1"/>
  <c r="F61" i="1"/>
  <c r="G61" i="1"/>
  <c r="H61" i="1"/>
  <c r="I61" i="1"/>
  <c r="J61" i="1"/>
  <c r="K61" i="1"/>
  <c r="M61" i="1"/>
  <c r="O61" i="1"/>
  <c r="Q61" i="1"/>
  <c r="R61" i="1"/>
  <c r="W61" i="1"/>
  <c r="AA61" i="1"/>
  <c r="AB61" i="1"/>
  <c r="AE61" i="1"/>
  <c r="AF61" i="1"/>
  <c r="AM61" i="1"/>
  <c r="AN61" i="1"/>
  <c r="AO61" i="1"/>
  <c r="AQ61" i="1"/>
  <c r="AX61" i="1"/>
  <c r="BD61" i="1"/>
  <c r="B62" i="1"/>
  <c r="C62" i="1"/>
  <c r="D62" i="1"/>
  <c r="E62" i="1"/>
  <c r="F62" i="1"/>
  <c r="G62" i="1"/>
  <c r="H62" i="1"/>
  <c r="I62" i="1"/>
  <c r="J62" i="1"/>
  <c r="K62" i="1"/>
  <c r="M62" i="1"/>
  <c r="O62" i="1"/>
  <c r="Q62" i="1"/>
  <c r="R62" i="1"/>
  <c r="W62" i="1"/>
  <c r="AA62" i="1"/>
  <c r="AB62" i="1"/>
  <c r="AE62" i="1"/>
  <c r="AF62" i="1"/>
  <c r="AM62" i="1"/>
  <c r="AN62" i="1"/>
  <c r="AO62" i="1"/>
  <c r="AQ62" i="1"/>
  <c r="AX62" i="1"/>
  <c r="BD62" i="1"/>
  <c r="B63" i="1"/>
  <c r="C63" i="1"/>
  <c r="D63" i="1"/>
  <c r="E63" i="1"/>
  <c r="F63" i="1"/>
  <c r="G63" i="1"/>
  <c r="H63" i="1"/>
  <c r="I63" i="1"/>
  <c r="J63" i="1"/>
  <c r="K63" i="1"/>
  <c r="M63" i="1"/>
  <c r="O63" i="1"/>
  <c r="Q63" i="1"/>
  <c r="R63" i="1"/>
  <c r="W63" i="1"/>
  <c r="AA63" i="1"/>
  <c r="AB63" i="1"/>
  <c r="AE63" i="1"/>
  <c r="AF63" i="1"/>
  <c r="AM63" i="1"/>
  <c r="AN63" i="1"/>
  <c r="AO63" i="1"/>
  <c r="AQ63" i="1"/>
  <c r="AX63" i="1"/>
  <c r="BD63" i="1"/>
  <c r="B64" i="1"/>
  <c r="C64" i="1"/>
  <c r="D64" i="1"/>
  <c r="E64" i="1"/>
  <c r="F64" i="1"/>
  <c r="G64" i="1"/>
  <c r="H64" i="1"/>
  <c r="I64" i="1"/>
  <c r="J64" i="1"/>
  <c r="K64" i="1"/>
  <c r="M64" i="1"/>
  <c r="O64" i="1"/>
  <c r="Q64" i="1"/>
  <c r="R64" i="1"/>
  <c r="W64" i="1"/>
  <c r="AA64" i="1"/>
  <c r="AB64" i="1"/>
  <c r="AE64" i="1"/>
  <c r="AF64" i="1"/>
  <c r="AM64" i="1"/>
  <c r="AN64" i="1"/>
  <c r="AO64" i="1"/>
  <c r="AQ64" i="1"/>
  <c r="AX64" i="1"/>
  <c r="BD64" i="1"/>
  <c r="B65" i="1"/>
  <c r="C65" i="1"/>
  <c r="E65" i="1"/>
  <c r="F65" i="1"/>
  <c r="G65" i="1"/>
  <c r="H65" i="1"/>
  <c r="I65" i="1"/>
  <c r="J65" i="1"/>
  <c r="K65" i="1"/>
  <c r="M65" i="1"/>
  <c r="O65" i="1"/>
  <c r="Q65" i="1"/>
  <c r="R65" i="1"/>
  <c r="W65" i="1"/>
  <c r="AA65" i="1"/>
  <c r="AB65" i="1"/>
  <c r="AE65" i="1"/>
  <c r="AF65" i="1"/>
  <c r="AM65" i="1"/>
  <c r="AN65" i="1"/>
  <c r="AO65" i="1"/>
  <c r="AQ65" i="1"/>
  <c r="AX65" i="1"/>
  <c r="BD65" i="1"/>
  <c r="B66" i="1"/>
  <c r="E66" i="1"/>
  <c r="F66" i="1"/>
  <c r="G66" i="1"/>
  <c r="H66" i="1"/>
  <c r="I66" i="1"/>
  <c r="J66" i="1"/>
  <c r="K66" i="1"/>
  <c r="M66" i="1"/>
  <c r="O66" i="1"/>
  <c r="Q66" i="1"/>
  <c r="R66" i="1"/>
  <c r="W66" i="1"/>
  <c r="AA66" i="1"/>
  <c r="AB66" i="1"/>
  <c r="AM66" i="1"/>
  <c r="AN66" i="1"/>
  <c r="AO66" i="1"/>
  <c r="AQ66" i="1"/>
  <c r="AX66" i="1"/>
  <c r="BD66" i="1"/>
  <c r="B67" i="1"/>
  <c r="E67" i="1"/>
  <c r="F67" i="1"/>
  <c r="G67" i="1"/>
  <c r="H67" i="1"/>
  <c r="I67" i="1"/>
  <c r="J67" i="1"/>
  <c r="K67" i="1"/>
  <c r="M67" i="1"/>
  <c r="O67" i="1"/>
  <c r="Q67" i="1"/>
  <c r="R67" i="1"/>
  <c r="W67" i="1"/>
  <c r="AA67" i="1"/>
  <c r="AB67" i="1"/>
  <c r="AM67" i="1"/>
  <c r="AN67" i="1"/>
  <c r="AO67" i="1"/>
  <c r="AQ67" i="1"/>
  <c r="AX67" i="1"/>
  <c r="BD67" i="1"/>
  <c r="B68" i="1"/>
  <c r="E68" i="1"/>
  <c r="F68" i="1"/>
  <c r="G68" i="1"/>
  <c r="H68" i="1"/>
  <c r="I68" i="1"/>
  <c r="J68" i="1"/>
  <c r="K68" i="1"/>
  <c r="M68" i="1"/>
  <c r="O68" i="1"/>
  <c r="Q68" i="1"/>
  <c r="R68" i="1"/>
  <c r="W68" i="1"/>
  <c r="AA68" i="1"/>
  <c r="AM68" i="1"/>
  <c r="AN68" i="1"/>
  <c r="AO68" i="1"/>
  <c r="AQ68" i="1"/>
  <c r="BB68" i="1"/>
  <c r="BD68" i="1"/>
  <c r="B69" i="1"/>
  <c r="E69" i="1"/>
  <c r="F69" i="1"/>
  <c r="G69" i="1"/>
  <c r="H69" i="1"/>
  <c r="I69" i="1"/>
  <c r="J69" i="1"/>
  <c r="K69" i="1"/>
  <c r="M69" i="1"/>
  <c r="O69" i="1"/>
  <c r="Q69" i="1"/>
  <c r="R69" i="1"/>
  <c r="W69" i="1"/>
  <c r="AA69" i="1"/>
  <c r="AM69" i="1"/>
  <c r="AN69" i="1"/>
  <c r="AO69" i="1"/>
  <c r="AQ69" i="1"/>
  <c r="BB69" i="1"/>
  <c r="BD69" i="1"/>
  <c r="B70" i="1"/>
  <c r="E70" i="1"/>
  <c r="F70" i="1"/>
  <c r="G70" i="1"/>
  <c r="H70" i="1"/>
  <c r="I70" i="1"/>
  <c r="J70" i="1"/>
  <c r="K70" i="1"/>
  <c r="M70" i="1"/>
  <c r="O70" i="1"/>
  <c r="Q70" i="1"/>
  <c r="R70" i="1"/>
  <c r="W70" i="1"/>
  <c r="AA70" i="1"/>
  <c r="AM70" i="1"/>
  <c r="AN70" i="1"/>
  <c r="AO70" i="1"/>
  <c r="AQ70" i="1"/>
  <c r="BB70" i="1"/>
  <c r="BD70" i="1"/>
  <c r="B71" i="1"/>
  <c r="E71" i="1"/>
  <c r="F71" i="1"/>
  <c r="G71" i="1"/>
  <c r="H71" i="1"/>
  <c r="I71" i="1"/>
  <c r="J71" i="1"/>
  <c r="K71" i="1"/>
  <c r="M71" i="1"/>
  <c r="O71" i="1"/>
  <c r="Q71" i="1"/>
  <c r="R71" i="1"/>
  <c r="W71" i="1"/>
  <c r="AA71" i="1"/>
  <c r="AM71" i="1"/>
  <c r="AN71" i="1"/>
  <c r="AO71" i="1"/>
  <c r="AQ71" i="1"/>
  <c r="BB71" i="1"/>
  <c r="BD71" i="1"/>
  <c r="B72" i="1"/>
  <c r="E72" i="1"/>
  <c r="F72" i="1"/>
  <c r="G72" i="1"/>
  <c r="H72" i="1"/>
  <c r="I72" i="1"/>
  <c r="J72" i="1"/>
  <c r="K72" i="1"/>
  <c r="M72" i="1"/>
  <c r="O72" i="1"/>
  <c r="Q72" i="1"/>
  <c r="R72" i="1"/>
  <c r="W72" i="1"/>
  <c r="AA72" i="1"/>
  <c r="AM72" i="1"/>
  <c r="AN72" i="1"/>
  <c r="AO72" i="1"/>
  <c r="AQ72" i="1"/>
  <c r="BB72" i="1"/>
  <c r="BD72" i="1"/>
  <c r="B73" i="1"/>
  <c r="E73" i="1"/>
  <c r="F73" i="1"/>
  <c r="G73" i="1"/>
  <c r="H73" i="1"/>
  <c r="I73" i="1"/>
  <c r="J73" i="1"/>
  <c r="K73" i="1"/>
  <c r="M73" i="1"/>
  <c r="O73" i="1"/>
  <c r="Q73" i="1"/>
  <c r="R73" i="1"/>
  <c r="W73" i="1"/>
  <c r="AA73" i="1"/>
  <c r="AM73" i="1"/>
  <c r="AN73" i="1"/>
  <c r="AO73" i="1"/>
  <c r="AQ73" i="1"/>
  <c r="BB73" i="1"/>
  <c r="BD73" i="1"/>
  <c r="B74" i="1"/>
  <c r="E74" i="1"/>
  <c r="F74" i="1"/>
  <c r="G74" i="1"/>
  <c r="H74" i="1"/>
  <c r="I74" i="1"/>
  <c r="J74" i="1"/>
  <c r="K74" i="1"/>
  <c r="M74" i="1"/>
  <c r="O74" i="1"/>
  <c r="Q74" i="1"/>
  <c r="R74" i="1"/>
  <c r="W74" i="1"/>
  <c r="AA74" i="1"/>
  <c r="AM74" i="1"/>
  <c r="AN74" i="1"/>
  <c r="AO74" i="1"/>
  <c r="AQ74" i="1"/>
  <c r="BB74" i="1"/>
  <c r="BD74" i="1"/>
  <c r="B75" i="1"/>
  <c r="E75" i="1"/>
  <c r="F75" i="1"/>
  <c r="G75" i="1"/>
  <c r="H75" i="1"/>
  <c r="I75" i="1"/>
  <c r="J75" i="1"/>
  <c r="K75" i="1"/>
  <c r="M75" i="1"/>
  <c r="O75" i="1"/>
  <c r="Q75" i="1"/>
  <c r="R75" i="1"/>
  <c r="W75" i="1"/>
  <c r="AA75" i="1"/>
  <c r="AM75" i="1"/>
  <c r="AN75" i="1"/>
  <c r="AO75" i="1"/>
  <c r="AQ75" i="1"/>
  <c r="BB75" i="1"/>
  <c r="BD75" i="1"/>
  <c r="B76" i="1"/>
  <c r="E76" i="1"/>
  <c r="F76" i="1"/>
  <c r="G76" i="1"/>
  <c r="H76" i="1"/>
  <c r="I76" i="1"/>
  <c r="J76" i="1"/>
  <c r="K76" i="1"/>
  <c r="M76" i="1"/>
  <c r="O76" i="1"/>
  <c r="Q76" i="1"/>
  <c r="R76" i="1"/>
  <c r="W76" i="1"/>
  <c r="AA76" i="1"/>
  <c r="AM76" i="1"/>
  <c r="AN76" i="1"/>
  <c r="AO76" i="1"/>
  <c r="AQ76" i="1"/>
  <c r="BB76" i="1"/>
  <c r="BD76" i="1"/>
  <c r="B77" i="1"/>
  <c r="E77" i="1"/>
  <c r="F77" i="1"/>
  <c r="G77" i="1"/>
  <c r="H77" i="1"/>
  <c r="I77" i="1"/>
  <c r="J77" i="1"/>
  <c r="K77" i="1"/>
  <c r="M77" i="1"/>
  <c r="O77" i="1"/>
  <c r="Q77" i="1"/>
  <c r="R77" i="1"/>
  <c r="W77" i="1"/>
  <c r="AA77" i="1"/>
  <c r="AM77" i="1"/>
  <c r="AN77" i="1"/>
  <c r="AO77" i="1"/>
  <c r="AQ77" i="1"/>
  <c r="BB77" i="1"/>
  <c r="BD77" i="1"/>
  <c r="B78" i="1"/>
  <c r="E78" i="1"/>
  <c r="F78" i="1"/>
  <c r="G78" i="1"/>
  <c r="H78" i="1"/>
  <c r="I78" i="1"/>
  <c r="J78" i="1"/>
  <c r="K78" i="1"/>
  <c r="M78" i="1"/>
  <c r="O78" i="1"/>
  <c r="Q78" i="1"/>
  <c r="R78" i="1"/>
  <c r="W78" i="1"/>
  <c r="AA78" i="1"/>
  <c r="AM78" i="1"/>
  <c r="AN78" i="1"/>
  <c r="AO78" i="1"/>
  <c r="AQ78" i="1"/>
  <c r="BB78" i="1"/>
  <c r="BD78" i="1"/>
  <c r="B79" i="1"/>
  <c r="E79" i="1"/>
  <c r="F79" i="1"/>
  <c r="G79" i="1"/>
  <c r="H79" i="1"/>
  <c r="I79" i="1"/>
  <c r="J79" i="1"/>
  <c r="K79" i="1"/>
  <c r="M79" i="1"/>
  <c r="O79" i="1"/>
  <c r="Q79" i="1"/>
  <c r="R79" i="1"/>
  <c r="W79" i="1"/>
  <c r="AA79" i="1"/>
  <c r="AM79" i="1"/>
  <c r="AN79" i="1"/>
  <c r="AO79" i="1"/>
  <c r="AQ79" i="1"/>
  <c r="BB79" i="1"/>
  <c r="BD79" i="1"/>
  <c r="B80" i="1"/>
  <c r="E80" i="1"/>
  <c r="F80" i="1"/>
  <c r="G80" i="1"/>
  <c r="H80" i="1"/>
  <c r="I80" i="1"/>
  <c r="J80" i="1"/>
  <c r="K80" i="1"/>
  <c r="M80" i="1"/>
  <c r="O80" i="1"/>
  <c r="Q80" i="1"/>
  <c r="R80" i="1"/>
  <c r="W80" i="1"/>
  <c r="AA80" i="1"/>
  <c r="AB80" i="1"/>
  <c r="AM80" i="1"/>
  <c r="AN80" i="1"/>
  <c r="AO80" i="1"/>
  <c r="AQ80" i="1"/>
  <c r="AX80" i="1"/>
  <c r="BD80" i="1"/>
  <c r="B81" i="1"/>
  <c r="C81" i="1"/>
  <c r="E81" i="1"/>
  <c r="F81" i="1"/>
  <c r="G81" i="1"/>
  <c r="H81" i="1"/>
  <c r="I81" i="1"/>
  <c r="J81" i="1"/>
  <c r="K81" i="1"/>
  <c r="M81" i="1"/>
  <c r="O81" i="1"/>
  <c r="Q81" i="1"/>
  <c r="R81" i="1"/>
  <c r="W81" i="1"/>
  <c r="AA81" i="1"/>
  <c r="AB81" i="1"/>
  <c r="AE81" i="1"/>
  <c r="AF81" i="1"/>
  <c r="AM81" i="1"/>
  <c r="AN81" i="1"/>
  <c r="AO81" i="1"/>
  <c r="AQ81" i="1"/>
  <c r="AX81" i="1"/>
  <c r="BD81" i="1"/>
  <c r="B82" i="1"/>
  <c r="C82" i="1"/>
  <c r="E82" i="1"/>
  <c r="F82" i="1"/>
  <c r="G82" i="1"/>
  <c r="H82" i="1"/>
  <c r="I82" i="1"/>
  <c r="J82" i="1"/>
  <c r="K82" i="1"/>
  <c r="M82" i="1"/>
  <c r="O82" i="1"/>
  <c r="Q82" i="1"/>
  <c r="R82" i="1"/>
  <c r="W82" i="1"/>
  <c r="AA82" i="1"/>
  <c r="AB82" i="1"/>
  <c r="AE82" i="1"/>
  <c r="AF82" i="1"/>
  <c r="AM82" i="1"/>
  <c r="AN82" i="1"/>
  <c r="AO82" i="1"/>
  <c r="AQ82" i="1"/>
  <c r="AX82" i="1"/>
  <c r="BD82" i="1"/>
  <c r="B83" i="1"/>
  <c r="C83" i="1"/>
  <c r="E83" i="1"/>
  <c r="F83" i="1"/>
  <c r="G83" i="1"/>
  <c r="H83" i="1"/>
  <c r="I83" i="1"/>
  <c r="J83" i="1"/>
  <c r="K83" i="1"/>
  <c r="M83" i="1"/>
  <c r="O83" i="1"/>
  <c r="Q83" i="1"/>
  <c r="R83" i="1"/>
  <c r="W83" i="1"/>
  <c r="AA83" i="1"/>
  <c r="AB83" i="1"/>
  <c r="AE83" i="1"/>
  <c r="AF83" i="1"/>
  <c r="AM83" i="1"/>
  <c r="AN83" i="1"/>
  <c r="AO83" i="1"/>
  <c r="AQ83" i="1"/>
  <c r="AX83" i="1"/>
  <c r="BD83" i="1"/>
  <c r="B84" i="1"/>
  <c r="C84" i="1"/>
  <c r="E84" i="1"/>
  <c r="F84" i="1"/>
  <c r="G84" i="1"/>
  <c r="H84" i="1"/>
  <c r="I84" i="1"/>
  <c r="J84" i="1"/>
  <c r="K84" i="1"/>
  <c r="M84" i="1"/>
  <c r="O84" i="1"/>
  <c r="Q84" i="1"/>
  <c r="R84" i="1"/>
  <c r="W84" i="1"/>
  <c r="AA84" i="1"/>
  <c r="AM84" i="1"/>
  <c r="AN84" i="1"/>
  <c r="AO84" i="1"/>
  <c r="AQ84" i="1"/>
  <c r="BB84" i="1"/>
  <c r="BD84" i="1"/>
  <c r="B85" i="1"/>
  <c r="C85" i="1"/>
  <c r="E85" i="1"/>
  <c r="F85" i="1"/>
  <c r="G85" i="1"/>
  <c r="H85" i="1"/>
  <c r="I85" i="1"/>
  <c r="J85" i="1"/>
  <c r="K85" i="1"/>
  <c r="M85" i="1"/>
  <c r="O85" i="1"/>
  <c r="Q85" i="1"/>
  <c r="R85" i="1"/>
  <c r="W85" i="1"/>
  <c r="AA85" i="1"/>
  <c r="AM85" i="1"/>
  <c r="AN85" i="1"/>
  <c r="AO85" i="1"/>
  <c r="AQ85" i="1"/>
  <c r="BB85" i="1"/>
  <c r="BD85" i="1"/>
  <c r="B86" i="1"/>
  <c r="C86" i="1"/>
  <c r="E86" i="1"/>
  <c r="F86" i="1"/>
  <c r="G86" i="1"/>
  <c r="H86" i="1"/>
  <c r="I86" i="1"/>
  <c r="J86" i="1"/>
  <c r="K86" i="1"/>
  <c r="M86" i="1"/>
  <c r="O86" i="1"/>
  <c r="Q86" i="1"/>
  <c r="R86" i="1"/>
  <c r="W86" i="1"/>
  <c r="AA86" i="1"/>
  <c r="AM86" i="1"/>
  <c r="AN86" i="1"/>
  <c r="AO86" i="1"/>
  <c r="AQ86" i="1"/>
  <c r="BB86" i="1"/>
  <c r="BD86" i="1"/>
  <c r="B87" i="1"/>
  <c r="C87" i="1"/>
  <c r="D87" i="1"/>
  <c r="E87" i="1"/>
  <c r="F87" i="1"/>
  <c r="G87" i="1"/>
  <c r="H87" i="1"/>
  <c r="I87" i="1"/>
  <c r="J87" i="1"/>
  <c r="K87" i="1"/>
  <c r="M87" i="1"/>
  <c r="O87" i="1"/>
  <c r="Q87" i="1"/>
  <c r="R87" i="1"/>
  <c r="W87" i="1"/>
  <c r="AA87" i="1"/>
  <c r="AB87" i="1"/>
  <c r="AE87" i="1"/>
  <c r="AF87" i="1"/>
  <c r="AM87" i="1"/>
  <c r="AN87" i="1"/>
  <c r="AO87" i="1"/>
  <c r="AQ87" i="1"/>
  <c r="AX87" i="1"/>
  <c r="BD87" i="1"/>
  <c r="B88" i="1"/>
  <c r="C88" i="1"/>
  <c r="D88" i="1"/>
  <c r="E88" i="1"/>
  <c r="F88" i="1"/>
  <c r="G88" i="1"/>
  <c r="H88" i="1"/>
  <c r="I88" i="1"/>
  <c r="J88" i="1"/>
  <c r="K88" i="1"/>
  <c r="M88" i="1"/>
  <c r="O88" i="1"/>
  <c r="Q88" i="1"/>
  <c r="R88" i="1"/>
  <c r="W88" i="1"/>
  <c r="AA88" i="1"/>
  <c r="AB88" i="1"/>
  <c r="AE88" i="1"/>
  <c r="AF88" i="1"/>
  <c r="AM88" i="1"/>
  <c r="AN88" i="1"/>
  <c r="AO88" i="1"/>
  <c r="AQ88" i="1"/>
  <c r="AX88" i="1"/>
  <c r="BD88" i="1"/>
  <c r="B89" i="1"/>
  <c r="C89" i="1"/>
  <c r="E89" i="1"/>
  <c r="F89" i="1"/>
  <c r="G89" i="1"/>
  <c r="H89" i="1"/>
  <c r="I89" i="1"/>
  <c r="J89" i="1"/>
  <c r="K89" i="1"/>
  <c r="M89" i="1"/>
  <c r="O89" i="1"/>
  <c r="Q89" i="1"/>
  <c r="R89" i="1"/>
  <c r="W89" i="1"/>
  <c r="AA89" i="1"/>
  <c r="AB89" i="1"/>
  <c r="AE89" i="1"/>
  <c r="AF89" i="1"/>
  <c r="AM89" i="1"/>
  <c r="AN89" i="1"/>
  <c r="AO89" i="1"/>
  <c r="AQ89" i="1"/>
  <c r="AX89" i="1"/>
  <c r="BD89" i="1"/>
  <c r="B90" i="1"/>
  <c r="C90" i="1"/>
  <c r="E90" i="1"/>
  <c r="F90" i="1"/>
  <c r="G90" i="1"/>
  <c r="H90" i="1"/>
  <c r="I90" i="1"/>
  <c r="J90" i="1"/>
  <c r="K90" i="1"/>
  <c r="M90" i="1"/>
  <c r="O90" i="1"/>
  <c r="Q90" i="1"/>
  <c r="R90" i="1"/>
  <c r="W90" i="1"/>
  <c r="AA90" i="1"/>
  <c r="AB90" i="1"/>
  <c r="AE90" i="1"/>
  <c r="AF90" i="1"/>
  <c r="AM90" i="1"/>
  <c r="AN90" i="1"/>
  <c r="AO90" i="1"/>
  <c r="AQ90" i="1"/>
  <c r="AX90" i="1"/>
  <c r="BD90" i="1"/>
  <c r="B91" i="1"/>
  <c r="C91" i="1"/>
  <c r="E91" i="1"/>
  <c r="F91" i="1"/>
  <c r="G91" i="1"/>
  <c r="H91" i="1"/>
  <c r="I91" i="1"/>
  <c r="J91" i="1"/>
  <c r="K91" i="1"/>
  <c r="M91" i="1"/>
  <c r="O91" i="1"/>
  <c r="Q91" i="1"/>
  <c r="R91" i="1"/>
  <c r="W91" i="1"/>
  <c r="AA91" i="1"/>
  <c r="AB91" i="1"/>
  <c r="AE91" i="1"/>
  <c r="AF91" i="1"/>
  <c r="AM91" i="1"/>
  <c r="AN91" i="1"/>
  <c r="AO91" i="1"/>
  <c r="AQ91" i="1"/>
  <c r="AX91" i="1"/>
  <c r="BD91" i="1"/>
  <c r="B92" i="1"/>
  <c r="C92" i="1"/>
  <c r="E92" i="1"/>
  <c r="F92" i="1"/>
  <c r="G92" i="1"/>
  <c r="H92" i="1"/>
  <c r="I92" i="1"/>
  <c r="J92" i="1"/>
  <c r="K92" i="1"/>
  <c r="M92" i="1"/>
  <c r="O92" i="1"/>
  <c r="Q92" i="1"/>
  <c r="R92" i="1"/>
  <c r="W92" i="1"/>
  <c r="AA92" i="1"/>
  <c r="AB92" i="1"/>
  <c r="AE92" i="1"/>
  <c r="AF92" i="1"/>
  <c r="AM92" i="1"/>
  <c r="AN92" i="1"/>
  <c r="AO92" i="1"/>
  <c r="AQ92" i="1"/>
  <c r="AX92" i="1"/>
  <c r="BD92" i="1"/>
  <c r="B93" i="1"/>
  <c r="C93" i="1"/>
  <c r="E93" i="1"/>
  <c r="F93" i="1"/>
  <c r="G93" i="1"/>
  <c r="H93" i="1"/>
  <c r="I93" i="1"/>
  <c r="J93" i="1"/>
  <c r="K93" i="1"/>
  <c r="M93" i="1"/>
  <c r="O93" i="1"/>
  <c r="Q93" i="1"/>
  <c r="R93" i="1"/>
  <c r="W93" i="1"/>
  <c r="AA93" i="1"/>
  <c r="AB93" i="1"/>
  <c r="AE93" i="1"/>
  <c r="AF93" i="1"/>
  <c r="AM93" i="1"/>
  <c r="AN93" i="1"/>
  <c r="AO93" i="1"/>
  <c r="AQ93" i="1"/>
  <c r="AX93" i="1"/>
  <c r="BD93" i="1"/>
  <c r="B94" i="1"/>
  <c r="C94" i="1"/>
  <c r="E94" i="1"/>
  <c r="F94" i="1"/>
  <c r="G94" i="1"/>
  <c r="H94" i="1"/>
  <c r="I94" i="1"/>
  <c r="J94" i="1"/>
  <c r="K94" i="1"/>
  <c r="M94" i="1"/>
  <c r="O94" i="1"/>
  <c r="Q94" i="1"/>
  <c r="R94" i="1"/>
  <c r="W94" i="1"/>
  <c r="AA94" i="1"/>
  <c r="AB94" i="1"/>
  <c r="AE94" i="1"/>
  <c r="AF94" i="1"/>
  <c r="AM94" i="1"/>
  <c r="AN94" i="1"/>
  <c r="AO94" i="1"/>
  <c r="AQ94" i="1"/>
  <c r="AX94" i="1"/>
  <c r="BD94" i="1"/>
  <c r="B95" i="1"/>
  <c r="C95" i="1"/>
  <c r="E95" i="1"/>
  <c r="F95" i="1"/>
  <c r="G95" i="1"/>
  <c r="H95" i="1"/>
  <c r="I95" i="1"/>
  <c r="J95" i="1"/>
  <c r="K95" i="1"/>
  <c r="M95" i="1"/>
  <c r="O95" i="1"/>
  <c r="Q95" i="1"/>
  <c r="R95" i="1"/>
  <c r="W95" i="1"/>
  <c r="AA95" i="1"/>
  <c r="AB95" i="1"/>
  <c r="AE95" i="1"/>
  <c r="AF95" i="1"/>
  <c r="AM95" i="1"/>
  <c r="AN95" i="1"/>
  <c r="AO95" i="1"/>
  <c r="AQ95" i="1"/>
  <c r="AX95" i="1"/>
  <c r="BD95" i="1"/>
  <c r="B96" i="1"/>
  <c r="C96" i="1"/>
  <c r="E96" i="1"/>
  <c r="F96" i="1"/>
  <c r="G96" i="1"/>
  <c r="H96" i="1"/>
  <c r="I96" i="1"/>
  <c r="J96" i="1"/>
  <c r="K96" i="1"/>
  <c r="M96" i="1"/>
  <c r="O96" i="1"/>
  <c r="Q96" i="1"/>
  <c r="R96" i="1"/>
  <c r="W96" i="1"/>
  <c r="AA96" i="1"/>
  <c r="AB96" i="1"/>
  <c r="AE96" i="1"/>
  <c r="AF96" i="1"/>
  <c r="AM96" i="1"/>
  <c r="AN96" i="1"/>
  <c r="AO96" i="1"/>
  <c r="AQ96" i="1"/>
  <c r="AX96" i="1"/>
  <c r="BD96" i="1"/>
  <c r="B97" i="1"/>
  <c r="C97" i="1"/>
  <c r="E97" i="1"/>
  <c r="F97" i="1"/>
  <c r="G97" i="1"/>
  <c r="H97" i="1"/>
  <c r="I97" i="1"/>
  <c r="J97" i="1"/>
  <c r="K97" i="1"/>
  <c r="M97" i="1"/>
  <c r="O97" i="1"/>
  <c r="Q97" i="1"/>
  <c r="R97" i="1"/>
  <c r="W97" i="1"/>
  <c r="AA97" i="1"/>
  <c r="AB97" i="1"/>
  <c r="AE97" i="1"/>
  <c r="AF97" i="1"/>
  <c r="AM97" i="1"/>
  <c r="AN97" i="1"/>
  <c r="AO97" i="1"/>
  <c r="AQ97" i="1"/>
  <c r="AX97" i="1"/>
  <c r="BD97" i="1"/>
  <c r="B98" i="1"/>
  <c r="C98" i="1"/>
  <c r="D98" i="1"/>
  <c r="E98" i="1"/>
  <c r="F98" i="1"/>
  <c r="G98" i="1"/>
  <c r="H98" i="1"/>
  <c r="I98" i="1"/>
  <c r="J98" i="1"/>
  <c r="K98" i="1"/>
  <c r="M98" i="1"/>
  <c r="O98" i="1"/>
  <c r="Q98" i="1"/>
  <c r="R98" i="1"/>
  <c r="W98" i="1"/>
  <c r="AA98" i="1"/>
  <c r="AB98" i="1"/>
  <c r="AE98" i="1"/>
  <c r="AF98" i="1"/>
  <c r="AM98" i="1"/>
  <c r="AN98" i="1"/>
  <c r="AO98" i="1"/>
  <c r="AQ98" i="1"/>
  <c r="AX98" i="1"/>
  <c r="BD98" i="1"/>
  <c r="B99" i="1"/>
  <c r="C99" i="1"/>
  <c r="D99" i="1"/>
  <c r="E99" i="1"/>
  <c r="F99" i="1"/>
  <c r="G99" i="1"/>
  <c r="H99" i="1"/>
  <c r="I99" i="1"/>
  <c r="J99" i="1"/>
  <c r="K99" i="1"/>
  <c r="M99" i="1"/>
  <c r="O99" i="1"/>
  <c r="Q99" i="1"/>
  <c r="R99" i="1"/>
  <c r="W99" i="1"/>
  <c r="AA99" i="1"/>
  <c r="AB99" i="1"/>
  <c r="AE99" i="1"/>
  <c r="AF99" i="1"/>
  <c r="AM99" i="1"/>
  <c r="AN99" i="1"/>
  <c r="AO99" i="1"/>
  <c r="AQ99" i="1"/>
  <c r="AX99" i="1"/>
  <c r="BD99" i="1"/>
  <c r="B100" i="1"/>
  <c r="C100" i="1"/>
  <c r="D100" i="1"/>
  <c r="E100" i="1"/>
  <c r="F100" i="1"/>
  <c r="G100" i="1"/>
  <c r="H100" i="1"/>
  <c r="I100" i="1"/>
  <c r="J100" i="1"/>
  <c r="K100" i="1"/>
  <c r="M100" i="1"/>
  <c r="O100" i="1"/>
  <c r="Q100" i="1"/>
  <c r="R100" i="1"/>
  <c r="W100" i="1"/>
  <c r="AA100" i="1"/>
  <c r="AB100" i="1"/>
  <c r="AE100" i="1"/>
  <c r="AF100" i="1"/>
  <c r="AM100" i="1"/>
  <c r="AN100" i="1"/>
  <c r="AO100" i="1"/>
  <c r="AQ100" i="1"/>
  <c r="AX100" i="1"/>
  <c r="BD100" i="1"/>
  <c r="B101" i="1"/>
  <c r="C101" i="1"/>
  <c r="D101" i="1"/>
  <c r="E101" i="1"/>
  <c r="F101" i="1"/>
  <c r="G101" i="1"/>
  <c r="H101" i="1"/>
  <c r="I101" i="1"/>
  <c r="J101" i="1"/>
  <c r="K101" i="1"/>
  <c r="M101" i="1"/>
  <c r="O101" i="1"/>
  <c r="Q101" i="1"/>
  <c r="R101" i="1"/>
  <c r="W101" i="1"/>
  <c r="AA101" i="1"/>
  <c r="AB101" i="1"/>
  <c r="AE101" i="1"/>
  <c r="AF101" i="1"/>
  <c r="AM101" i="1"/>
  <c r="AN101" i="1"/>
  <c r="AO101" i="1"/>
  <c r="AQ101" i="1"/>
  <c r="AX101" i="1"/>
  <c r="BD101" i="1"/>
  <c r="B102" i="1"/>
  <c r="C102" i="1"/>
  <c r="D102" i="1"/>
  <c r="E102" i="1"/>
  <c r="F102" i="1"/>
  <c r="G102" i="1"/>
  <c r="H102" i="1"/>
  <c r="I102" i="1"/>
  <c r="J102" i="1"/>
  <c r="K102" i="1"/>
  <c r="M102" i="1"/>
  <c r="O102" i="1"/>
  <c r="Q102" i="1"/>
  <c r="R102" i="1"/>
  <c r="W102" i="1"/>
  <c r="AA102" i="1"/>
  <c r="AB102" i="1"/>
  <c r="AE102" i="1"/>
  <c r="AF102" i="1"/>
  <c r="AM102" i="1"/>
  <c r="AN102" i="1"/>
  <c r="AO102" i="1"/>
  <c r="AQ102" i="1"/>
  <c r="AX102" i="1"/>
  <c r="BD102" i="1"/>
  <c r="B103" i="1"/>
  <c r="C103" i="1"/>
  <c r="D103" i="1"/>
  <c r="E103" i="1"/>
  <c r="F103" i="1"/>
  <c r="G103" i="1"/>
  <c r="H103" i="1"/>
  <c r="I103" i="1"/>
  <c r="J103" i="1"/>
  <c r="K103" i="1"/>
  <c r="M103" i="1"/>
  <c r="O103" i="1"/>
  <c r="Q103" i="1"/>
  <c r="R103" i="1"/>
  <c r="W103" i="1"/>
  <c r="AA103" i="1"/>
  <c r="AB103" i="1"/>
  <c r="AE103" i="1"/>
  <c r="AF103" i="1"/>
  <c r="AM103" i="1"/>
  <c r="AN103" i="1"/>
  <c r="AO103" i="1"/>
  <c r="AQ103" i="1"/>
  <c r="AX103" i="1"/>
  <c r="BD103" i="1"/>
  <c r="B104" i="1"/>
  <c r="C104" i="1"/>
  <c r="E104" i="1"/>
  <c r="F104" i="1"/>
  <c r="G104" i="1"/>
  <c r="H104" i="1"/>
  <c r="I104" i="1"/>
  <c r="J104" i="1"/>
  <c r="K104" i="1"/>
  <c r="M104" i="1"/>
  <c r="O104" i="1"/>
  <c r="Q104" i="1"/>
  <c r="R104" i="1"/>
  <c r="W104" i="1"/>
  <c r="AA104" i="1"/>
  <c r="AB104" i="1"/>
  <c r="AE104" i="1"/>
  <c r="AF104" i="1"/>
  <c r="AM104" i="1"/>
  <c r="AN104" i="1"/>
  <c r="AO104" i="1"/>
  <c r="AQ104" i="1"/>
  <c r="AX104" i="1"/>
  <c r="BD104" i="1"/>
  <c r="B105" i="1"/>
  <c r="C105" i="1"/>
  <c r="E105" i="1"/>
  <c r="F105" i="1"/>
  <c r="G105" i="1"/>
  <c r="H105" i="1"/>
  <c r="I105" i="1"/>
  <c r="J105" i="1"/>
  <c r="K105" i="1"/>
  <c r="M105" i="1"/>
  <c r="O105" i="1"/>
  <c r="Q105" i="1"/>
  <c r="R105" i="1"/>
  <c r="W105" i="1"/>
  <c r="AA105" i="1"/>
  <c r="AB105" i="1"/>
  <c r="AE105" i="1"/>
  <c r="AF105" i="1"/>
  <c r="AM105" i="1"/>
  <c r="AN105" i="1"/>
  <c r="AO105" i="1"/>
  <c r="AQ105" i="1"/>
  <c r="AX105" i="1"/>
  <c r="BD105" i="1"/>
  <c r="B106" i="1"/>
  <c r="C106" i="1"/>
  <c r="E106" i="1"/>
  <c r="F106" i="1"/>
  <c r="G106" i="1"/>
  <c r="H106" i="1"/>
  <c r="I106" i="1"/>
  <c r="J106" i="1"/>
  <c r="K106" i="1"/>
  <c r="M106" i="1"/>
  <c r="O106" i="1"/>
  <c r="Q106" i="1"/>
  <c r="R106" i="1"/>
  <c r="W106" i="1"/>
  <c r="AA106" i="1"/>
  <c r="AB106" i="1"/>
  <c r="AE106" i="1"/>
  <c r="AF106" i="1"/>
  <c r="AM106" i="1"/>
  <c r="AN106" i="1"/>
  <c r="AO106" i="1"/>
  <c r="AQ106" i="1"/>
  <c r="AX106" i="1"/>
  <c r="BD106" i="1"/>
  <c r="B107" i="1"/>
  <c r="C107" i="1"/>
  <c r="E107" i="1"/>
  <c r="F107" i="1"/>
  <c r="G107" i="1"/>
  <c r="H107" i="1"/>
  <c r="I107" i="1"/>
  <c r="J107" i="1"/>
  <c r="K107" i="1"/>
  <c r="M107" i="1"/>
  <c r="O107" i="1"/>
  <c r="Q107" i="1"/>
  <c r="R107" i="1"/>
  <c r="W107" i="1"/>
  <c r="AA107" i="1"/>
  <c r="AB107" i="1"/>
  <c r="AE107" i="1"/>
  <c r="AF107" i="1"/>
  <c r="AM107" i="1"/>
  <c r="AN107" i="1"/>
  <c r="AO107" i="1"/>
  <c r="AQ107" i="1"/>
  <c r="AX107" i="1"/>
  <c r="BD107" i="1"/>
  <c r="B108" i="1"/>
  <c r="C108" i="1"/>
  <c r="E108" i="1"/>
  <c r="F108" i="1"/>
  <c r="G108" i="1"/>
  <c r="H108" i="1"/>
  <c r="I108" i="1"/>
  <c r="J108" i="1"/>
  <c r="K108" i="1"/>
  <c r="M108" i="1"/>
  <c r="O108" i="1"/>
  <c r="Q108" i="1"/>
  <c r="R108" i="1"/>
  <c r="W108" i="1"/>
  <c r="AA108" i="1"/>
  <c r="AM108" i="1"/>
  <c r="AN108" i="1"/>
  <c r="AO108" i="1"/>
  <c r="AQ108" i="1"/>
  <c r="BB108" i="1"/>
  <c r="BD108" i="1"/>
  <c r="B109" i="1"/>
  <c r="C109" i="1"/>
  <c r="E109" i="1"/>
  <c r="F109" i="1"/>
  <c r="G109" i="1"/>
  <c r="H109" i="1"/>
  <c r="I109" i="1"/>
  <c r="J109" i="1"/>
  <c r="K109" i="1"/>
  <c r="M109" i="1"/>
  <c r="O109" i="1"/>
  <c r="Q109" i="1"/>
  <c r="R109" i="1"/>
  <c r="W109" i="1"/>
  <c r="AA109" i="1"/>
  <c r="AM109" i="1"/>
  <c r="AN109" i="1"/>
  <c r="AO109" i="1"/>
  <c r="AQ109" i="1"/>
  <c r="BB109" i="1"/>
  <c r="BD109" i="1"/>
  <c r="B110" i="1"/>
  <c r="C110" i="1"/>
  <c r="E110" i="1"/>
  <c r="F110" i="1"/>
  <c r="G110" i="1"/>
  <c r="H110" i="1"/>
  <c r="I110" i="1"/>
  <c r="J110" i="1"/>
  <c r="K110" i="1"/>
  <c r="M110" i="1"/>
  <c r="O110" i="1"/>
  <c r="Q110" i="1"/>
  <c r="R110" i="1"/>
  <c r="W110" i="1"/>
  <c r="AA110" i="1"/>
  <c r="AM110" i="1"/>
  <c r="AN110" i="1"/>
  <c r="AO110" i="1"/>
  <c r="AQ110" i="1"/>
  <c r="BB110" i="1"/>
  <c r="BD110" i="1"/>
  <c r="B111" i="1"/>
  <c r="C111" i="1"/>
  <c r="D111" i="1"/>
  <c r="E111" i="1"/>
  <c r="F111" i="1"/>
  <c r="G111" i="1"/>
  <c r="H111" i="1"/>
  <c r="I111" i="1"/>
  <c r="J111" i="1"/>
  <c r="K111" i="1"/>
  <c r="M111" i="1"/>
  <c r="O111" i="1"/>
  <c r="Q111" i="1"/>
  <c r="R111" i="1"/>
  <c r="W111" i="1"/>
  <c r="AA111" i="1"/>
  <c r="AB111" i="1"/>
  <c r="AE111" i="1"/>
  <c r="AF111" i="1"/>
  <c r="AM111" i="1"/>
  <c r="AN111" i="1"/>
  <c r="AO111" i="1"/>
  <c r="AQ111" i="1"/>
  <c r="AX111" i="1"/>
  <c r="BD111" i="1"/>
  <c r="B112" i="1"/>
  <c r="C112" i="1"/>
  <c r="D112" i="1"/>
  <c r="E112" i="1"/>
  <c r="F112" i="1"/>
  <c r="G112" i="1"/>
  <c r="H112" i="1"/>
  <c r="I112" i="1"/>
  <c r="J112" i="1"/>
  <c r="K112" i="1"/>
  <c r="M112" i="1"/>
  <c r="O112" i="1"/>
  <c r="Q112" i="1"/>
  <c r="R112" i="1"/>
  <c r="W112" i="1"/>
  <c r="AA112" i="1"/>
  <c r="AB112" i="1"/>
  <c r="AE112" i="1"/>
  <c r="AF112" i="1"/>
  <c r="AM112" i="1"/>
  <c r="AN112" i="1"/>
  <c r="AO112" i="1"/>
  <c r="AQ112" i="1"/>
  <c r="AX112" i="1"/>
  <c r="BD112" i="1"/>
  <c r="B113" i="1"/>
  <c r="C113" i="1"/>
  <c r="E113" i="1"/>
  <c r="F113" i="1"/>
  <c r="G113" i="1"/>
  <c r="H113" i="1"/>
  <c r="I113" i="1"/>
  <c r="J113" i="1"/>
  <c r="K113" i="1"/>
  <c r="M113" i="1"/>
  <c r="O113" i="1"/>
  <c r="Q113" i="1"/>
  <c r="R113" i="1"/>
  <c r="W113" i="1"/>
  <c r="AA113" i="1"/>
  <c r="AB113" i="1"/>
  <c r="AE113" i="1"/>
  <c r="AF113" i="1"/>
  <c r="AM113" i="1"/>
  <c r="AN113" i="1"/>
  <c r="AO113" i="1"/>
  <c r="AQ113" i="1"/>
  <c r="AX113" i="1"/>
  <c r="BD113" i="1"/>
  <c r="B114" i="1"/>
  <c r="C114" i="1"/>
  <c r="E114" i="1"/>
  <c r="F114" i="1"/>
  <c r="G114" i="1"/>
  <c r="H114" i="1"/>
  <c r="I114" i="1"/>
  <c r="J114" i="1"/>
  <c r="K114" i="1"/>
  <c r="M114" i="1"/>
  <c r="O114" i="1"/>
  <c r="Q114" i="1"/>
  <c r="R114" i="1"/>
  <c r="W114" i="1"/>
  <c r="AA114" i="1"/>
  <c r="AB114" i="1"/>
  <c r="AE114" i="1"/>
  <c r="AF114" i="1"/>
  <c r="AM114" i="1"/>
  <c r="AN114" i="1"/>
  <c r="AO114" i="1"/>
  <c r="AQ114" i="1"/>
  <c r="AX114" i="1"/>
  <c r="BD114" i="1"/>
  <c r="B115" i="1"/>
  <c r="C115" i="1"/>
  <c r="E115" i="1"/>
  <c r="F115" i="1"/>
  <c r="G115" i="1"/>
  <c r="H115" i="1"/>
  <c r="I115" i="1"/>
  <c r="J115" i="1"/>
  <c r="K115" i="1"/>
  <c r="M115" i="1"/>
  <c r="O115" i="1"/>
  <c r="Q115" i="1"/>
  <c r="R115" i="1"/>
  <c r="W115" i="1"/>
  <c r="AA115" i="1"/>
  <c r="AB115" i="1"/>
  <c r="AE115" i="1"/>
  <c r="AF115" i="1"/>
  <c r="AM115" i="1"/>
  <c r="AN115" i="1"/>
  <c r="AO115" i="1"/>
  <c r="AQ115" i="1"/>
  <c r="AX115" i="1"/>
  <c r="BD115" i="1"/>
  <c r="B116" i="1"/>
  <c r="C116" i="1"/>
  <c r="E116" i="1"/>
  <c r="F116" i="1"/>
  <c r="G116" i="1"/>
  <c r="H116" i="1"/>
  <c r="I116" i="1"/>
  <c r="J116" i="1"/>
  <c r="K116" i="1"/>
  <c r="M116" i="1"/>
  <c r="O116" i="1"/>
  <c r="Q116" i="1"/>
  <c r="R116" i="1"/>
  <c r="W116" i="1"/>
  <c r="AA116" i="1"/>
  <c r="AB116" i="1"/>
  <c r="AE116" i="1"/>
  <c r="AF116" i="1"/>
  <c r="AM116" i="1"/>
  <c r="AN116" i="1"/>
  <c r="AO116" i="1"/>
  <c r="AQ116" i="1"/>
  <c r="AX116" i="1"/>
  <c r="BD116" i="1"/>
  <c r="B117" i="1"/>
  <c r="C117" i="1"/>
  <c r="E117" i="1"/>
  <c r="F117" i="1"/>
  <c r="G117" i="1"/>
  <c r="H117" i="1"/>
  <c r="I117" i="1"/>
  <c r="J117" i="1"/>
  <c r="K117" i="1"/>
  <c r="M117" i="1"/>
  <c r="O117" i="1"/>
  <c r="Q117" i="1"/>
  <c r="R117" i="1"/>
  <c r="W117" i="1"/>
  <c r="AA117" i="1"/>
  <c r="AB117" i="1"/>
  <c r="AE117" i="1"/>
  <c r="AF117" i="1"/>
  <c r="AM117" i="1"/>
  <c r="AN117" i="1"/>
  <c r="AO117" i="1"/>
  <c r="AQ117" i="1"/>
  <c r="AX117" i="1"/>
  <c r="BD117" i="1"/>
  <c r="B118" i="1"/>
  <c r="C118" i="1"/>
  <c r="D118" i="1"/>
  <c r="E118" i="1"/>
  <c r="F118" i="1"/>
  <c r="G118" i="1"/>
  <c r="H118" i="1"/>
  <c r="I118" i="1"/>
  <c r="J118" i="1"/>
  <c r="K118" i="1"/>
  <c r="M118" i="1"/>
  <c r="O118" i="1"/>
  <c r="Q118" i="1"/>
  <c r="R118" i="1"/>
  <c r="W118" i="1"/>
  <c r="AA118" i="1"/>
  <c r="AB118" i="1"/>
  <c r="AE118" i="1"/>
  <c r="AF118" i="1"/>
  <c r="AM118" i="1"/>
  <c r="AN118" i="1"/>
  <c r="AO118" i="1"/>
  <c r="AQ118" i="1"/>
  <c r="AX118" i="1"/>
  <c r="BD118" i="1"/>
  <c r="B119" i="1"/>
  <c r="C119" i="1"/>
  <c r="D119" i="1"/>
  <c r="E119" i="1"/>
  <c r="F119" i="1"/>
  <c r="G119" i="1"/>
  <c r="H119" i="1"/>
  <c r="I119" i="1"/>
  <c r="J119" i="1"/>
  <c r="K119" i="1"/>
  <c r="M119" i="1"/>
  <c r="O119" i="1"/>
  <c r="Q119" i="1"/>
  <c r="R119" i="1"/>
  <c r="W119" i="1"/>
  <c r="AA119" i="1"/>
  <c r="AB119" i="1"/>
  <c r="AE119" i="1"/>
  <c r="AF119" i="1"/>
  <c r="AM119" i="1"/>
  <c r="AN119" i="1"/>
  <c r="AO119" i="1"/>
  <c r="AQ119" i="1"/>
  <c r="AX119" i="1"/>
  <c r="BD119" i="1"/>
  <c r="B120" i="1"/>
  <c r="C120" i="1"/>
  <c r="D120" i="1"/>
  <c r="E120" i="1"/>
  <c r="F120" i="1"/>
  <c r="G120" i="1"/>
  <c r="H120" i="1"/>
  <c r="I120" i="1"/>
  <c r="J120" i="1"/>
  <c r="K120" i="1"/>
  <c r="M120" i="1"/>
  <c r="O120" i="1"/>
  <c r="Q120" i="1"/>
  <c r="R120" i="1"/>
  <c r="W120" i="1"/>
  <c r="AA120" i="1"/>
  <c r="AB120" i="1"/>
  <c r="AE120" i="1"/>
  <c r="AF120" i="1"/>
  <c r="AM120" i="1"/>
  <c r="AN120" i="1"/>
  <c r="AO120" i="1"/>
  <c r="AQ120" i="1"/>
  <c r="AX120" i="1"/>
  <c r="BD120" i="1"/>
  <c r="B121" i="1"/>
  <c r="C121" i="1"/>
  <c r="D121" i="1"/>
  <c r="E121" i="1"/>
  <c r="F121" i="1"/>
  <c r="G121" i="1"/>
  <c r="H121" i="1"/>
  <c r="I121" i="1"/>
  <c r="J121" i="1"/>
  <c r="K121" i="1"/>
  <c r="M121" i="1"/>
  <c r="O121" i="1"/>
  <c r="Q121" i="1"/>
  <c r="R121" i="1"/>
  <c r="W121" i="1"/>
  <c r="AA121" i="1"/>
  <c r="AB121" i="1"/>
  <c r="AE121" i="1"/>
  <c r="AF121" i="1"/>
  <c r="AM121" i="1"/>
  <c r="AN121" i="1"/>
  <c r="AO121" i="1"/>
  <c r="AQ121" i="1"/>
  <c r="AX121" i="1"/>
  <c r="BD121" i="1"/>
  <c r="B122" i="1"/>
  <c r="E122" i="1"/>
  <c r="F122" i="1"/>
  <c r="G122" i="1"/>
  <c r="H122" i="1"/>
  <c r="I122" i="1"/>
  <c r="J122" i="1"/>
  <c r="K122" i="1"/>
  <c r="M122" i="1"/>
  <c r="O122" i="1"/>
  <c r="Q122" i="1"/>
  <c r="R122" i="1"/>
  <c r="W122" i="1"/>
  <c r="AA122" i="1"/>
  <c r="AB122" i="1"/>
  <c r="AM122" i="1"/>
  <c r="AN122" i="1"/>
  <c r="AO122" i="1"/>
  <c r="AQ122" i="1"/>
  <c r="AX122" i="1"/>
  <c r="BD122" i="1"/>
  <c r="B123" i="1"/>
  <c r="E123" i="1"/>
  <c r="F123" i="1"/>
  <c r="G123" i="1"/>
  <c r="H123" i="1"/>
  <c r="I123" i="1"/>
  <c r="J123" i="1"/>
  <c r="K123" i="1"/>
  <c r="M123" i="1"/>
  <c r="O123" i="1"/>
  <c r="Q123" i="1"/>
  <c r="R123" i="1"/>
  <c r="W123" i="1"/>
  <c r="AA123" i="1"/>
  <c r="AM123" i="1"/>
  <c r="AN123" i="1"/>
  <c r="AO123" i="1"/>
  <c r="AQ123" i="1"/>
  <c r="BD123" i="1"/>
  <c r="B124" i="1"/>
  <c r="C124" i="1"/>
  <c r="D124" i="1"/>
  <c r="E124" i="1"/>
  <c r="F124" i="1"/>
  <c r="G124" i="1"/>
  <c r="H124" i="1"/>
  <c r="I124" i="1"/>
  <c r="J124" i="1"/>
  <c r="K124" i="1"/>
  <c r="M124" i="1"/>
  <c r="O124" i="1"/>
  <c r="Q124" i="1"/>
  <c r="R124" i="1"/>
  <c r="W124" i="1"/>
  <c r="AA124" i="1"/>
  <c r="AB124" i="1"/>
  <c r="AE124" i="1"/>
  <c r="AF124" i="1"/>
  <c r="AM124" i="1"/>
  <c r="AN124" i="1"/>
  <c r="AO124" i="1"/>
  <c r="AQ124" i="1"/>
  <c r="AX124" i="1"/>
  <c r="BD124" i="1"/>
  <c r="B125" i="1"/>
  <c r="C125" i="1"/>
  <c r="D125" i="1"/>
  <c r="E125" i="1"/>
  <c r="F125" i="1"/>
  <c r="G125" i="1"/>
  <c r="H125" i="1"/>
  <c r="I125" i="1"/>
  <c r="J125" i="1"/>
  <c r="K125" i="1"/>
  <c r="M125" i="1"/>
  <c r="O125" i="1"/>
  <c r="Q125" i="1"/>
  <c r="R125" i="1"/>
  <c r="W125" i="1"/>
  <c r="AA125" i="1"/>
  <c r="AB125" i="1"/>
  <c r="AE125" i="1"/>
  <c r="AF125" i="1"/>
  <c r="AM125" i="1"/>
  <c r="AN125" i="1"/>
  <c r="AO125" i="1"/>
  <c r="AQ125" i="1"/>
  <c r="AX125" i="1"/>
  <c r="BD125" i="1"/>
  <c r="B126" i="1"/>
  <c r="C126" i="1"/>
  <c r="D126" i="1"/>
  <c r="E126" i="1"/>
  <c r="F126" i="1"/>
  <c r="G126" i="1"/>
  <c r="H126" i="1"/>
  <c r="I126" i="1"/>
  <c r="J126" i="1"/>
  <c r="K126" i="1"/>
  <c r="M126" i="1"/>
  <c r="O126" i="1"/>
  <c r="Q126" i="1"/>
  <c r="R126" i="1"/>
  <c r="W126" i="1"/>
  <c r="AA126" i="1"/>
  <c r="AB126" i="1"/>
  <c r="AE126" i="1"/>
  <c r="AF126" i="1"/>
  <c r="AM126" i="1"/>
  <c r="AN126" i="1"/>
  <c r="AO126" i="1"/>
  <c r="AQ126" i="1"/>
  <c r="AX126" i="1"/>
  <c r="BD126" i="1"/>
  <c r="B127" i="1"/>
  <c r="C127" i="1"/>
  <c r="D127" i="1"/>
  <c r="E127" i="1"/>
  <c r="F127" i="1"/>
  <c r="G127" i="1"/>
  <c r="H127" i="1"/>
  <c r="I127" i="1"/>
  <c r="J127" i="1"/>
  <c r="K127" i="1"/>
  <c r="M127" i="1"/>
  <c r="O127" i="1"/>
  <c r="Q127" i="1"/>
  <c r="R127" i="1"/>
  <c r="W127" i="1"/>
  <c r="AA127" i="1"/>
  <c r="AB127" i="1"/>
  <c r="AE127" i="1"/>
  <c r="AF127" i="1"/>
  <c r="AM127" i="1"/>
  <c r="AN127" i="1"/>
  <c r="AO127" i="1"/>
  <c r="AQ127" i="1"/>
  <c r="AX127" i="1"/>
  <c r="BD127" i="1"/>
  <c r="B128" i="1"/>
  <c r="C128" i="1"/>
  <c r="D128" i="1"/>
  <c r="E128" i="1"/>
  <c r="F128" i="1"/>
  <c r="G128" i="1"/>
  <c r="H128" i="1"/>
  <c r="I128" i="1"/>
  <c r="J128" i="1"/>
  <c r="K128" i="1"/>
  <c r="M128" i="1"/>
  <c r="O128" i="1"/>
  <c r="Q128" i="1"/>
  <c r="R128" i="1"/>
  <c r="W128" i="1"/>
  <c r="AA128" i="1"/>
  <c r="AB128" i="1"/>
  <c r="AE128" i="1"/>
  <c r="AF128" i="1"/>
  <c r="AM128" i="1"/>
  <c r="AN128" i="1"/>
  <c r="AO128" i="1"/>
  <c r="AQ128" i="1"/>
  <c r="AX128" i="1"/>
  <c r="BD128" i="1"/>
  <c r="B129" i="1"/>
  <c r="E129" i="1"/>
  <c r="F129" i="1"/>
  <c r="G129" i="1"/>
  <c r="H129" i="1"/>
  <c r="I129" i="1"/>
  <c r="J129" i="1"/>
  <c r="K129" i="1"/>
  <c r="M129" i="1"/>
  <c r="O129" i="1"/>
  <c r="Q129" i="1"/>
  <c r="R129" i="1"/>
  <c r="W129" i="1"/>
  <c r="AA129" i="1"/>
  <c r="AM129" i="1"/>
  <c r="AN129" i="1"/>
  <c r="AO129" i="1"/>
  <c r="AQ129" i="1"/>
  <c r="BB129" i="1"/>
  <c r="BD129" i="1"/>
  <c r="B130" i="1"/>
  <c r="E130" i="1"/>
  <c r="F130" i="1"/>
  <c r="G130" i="1"/>
  <c r="H130" i="1"/>
  <c r="I130" i="1"/>
  <c r="J130" i="1"/>
  <c r="K130" i="1"/>
  <c r="M130" i="1"/>
  <c r="O130" i="1"/>
  <c r="Q130" i="1"/>
  <c r="R130" i="1"/>
  <c r="W130" i="1"/>
  <c r="AA130" i="1"/>
  <c r="AM130" i="1"/>
  <c r="AN130" i="1"/>
  <c r="AO130" i="1"/>
  <c r="AQ130" i="1"/>
  <c r="BB130" i="1"/>
  <c r="BD130" i="1"/>
  <c r="B131" i="1"/>
  <c r="E131" i="1"/>
  <c r="F131" i="1"/>
  <c r="G131" i="1"/>
  <c r="H131" i="1"/>
  <c r="I131" i="1"/>
  <c r="J131" i="1"/>
  <c r="K131" i="1"/>
  <c r="M131" i="1"/>
  <c r="O131" i="1"/>
  <c r="Q131" i="1"/>
  <c r="R131" i="1"/>
  <c r="W131" i="1"/>
  <c r="AA131" i="1"/>
  <c r="AB131" i="1"/>
  <c r="AM131" i="1"/>
  <c r="AN131" i="1"/>
  <c r="AO131" i="1"/>
  <c r="AQ131" i="1"/>
  <c r="AX131" i="1"/>
  <c r="BD131" i="1"/>
  <c r="B132" i="1"/>
  <c r="C132" i="1"/>
  <c r="E132" i="1"/>
  <c r="F132" i="1"/>
  <c r="G132" i="1"/>
  <c r="H132" i="1"/>
  <c r="I132" i="1"/>
  <c r="J132" i="1"/>
  <c r="K132" i="1"/>
  <c r="M132" i="1"/>
  <c r="O132" i="1"/>
  <c r="Q132" i="1"/>
  <c r="R132" i="1"/>
  <c r="W132" i="1"/>
  <c r="AA132" i="1"/>
  <c r="AM132" i="1"/>
  <c r="AN132" i="1"/>
  <c r="AO132" i="1"/>
  <c r="AQ132" i="1"/>
  <c r="BB132" i="1"/>
  <c r="BD132" i="1"/>
  <c r="B133" i="1"/>
  <c r="C133" i="1"/>
  <c r="E133" i="1"/>
  <c r="F133" i="1"/>
  <c r="G133" i="1"/>
  <c r="H133" i="1"/>
  <c r="I133" i="1"/>
  <c r="J133" i="1"/>
  <c r="K133" i="1"/>
  <c r="M133" i="1"/>
  <c r="O133" i="1"/>
  <c r="Q133" i="1"/>
  <c r="R133" i="1"/>
  <c r="W133" i="1"/>
  <c r="AA133" i="1"/>
  <c r="AM133" i="1"/>
  <c r="AN133" i="1"/>
  <c r="AO133" i="1"/>
  <c r="AQ133" i="1"/>
  <c r="BB133" i="1"/>
  <c r="BD133" i="1"/>
  <c r="B134" i="1"/>
  <c r="C134" i="1"/>
  <c r="D134" i="1"/>
  <c r="E134" i="1"/>
  <c r="F134" i="1"/>
  <c r="G134" i="1"/>
  <c r="H134" i="1"/>
  <c r="I134" i="1"/>
  <c r="J134" i="1"/>
  <c r="K134" i="1"/>
  <c r="M134" i="1"/>
  <c r="O134" i="1"/>
  <c r="Q134" i="1"/>
  <c r="R134" i="1"/>
  <c r="W134" i="1"/>
  <c r="AA134" i="1"/>
  <c r="AB134" i="1"/>
  <c r="AE134" i="1"/>
  <c r="AF134" i="1"/>
  <c r="AM134" i="1"/>
  <c r="AN134" i="1"/>
  <c r="AO134" i="1"/>
  <c r="AQ134" i="1"/>
  <c r="AX134" i="1"/>
  <c r="BD134" i="1"/>
  <c r="B135" i="1"/>
  <c r="C135" i="1"/>
  <c r="D135" i="1"/>
  <c r="E135" i="1"/>
  <c r="F135" i="1"/>
  <c r="G135" i="1"/>
  <c r="H135" i="1"/>
  <c r="I135" i="1"/>
  <c r="J135" i="1"/>
  <c r="K135" i="1"/>
  <c r="M135" i="1"/>
  <c r="O135" i="1"/>
  <c r="Q135" i="1"/>
  <c r="R135" i="1"/>
  <c r="W135" i="1"/>
  <c r="AA135" i="1"/>
  <c r="AB135" i="1"/>
  <c r="AE135" i="1"/>
  <c r="AF135" i="1"/>
  <c r="AM135" i="1"/>
  <c r="AN135" i="1"/>
  <c r="AO135" i="1"/>
  <c r="AQ135" i="1"/>
  <c r="AX135" i="1"/>
  <c r="BD135" i="1"/>
  <c r="B136" i="1"/>
  <c r="C136" i="1"/>
  <c r="E136" i="1"/>
  <c r="F136" i="1"/>
  <c r="G136" i="1"/>
  <c r="H136" i="1"/>
  <c r="I136" i="1"/>
  <c r="J136" i="1"/>
  <c r="K136" i="1"/>
  <c r="M136" i="1"/>
  <c r="O136" i="1"/>
  <c r="Q136" i="1"/>
  <c r="R136" i="1"/>
  <c r="W136" i="1"/>
  <c r="AA136" i="1"/>
  <c r="AB136" i="1"/>
  <c r="AE136" i="1"/>
  <c r="AF136" i="1"/>
  <c r="AM136" i="1"/>
  <c r="AN136" i="1"/>
  <c r="AO136" i="1"/>
  <c r="AQ136" i="1"/>
  <c r="AX136" i="1"/>
  <c r="BD136" i="1"/>
  <c r="B137" i="1"/>
  <c r="C137" i="1"/>
  <c r="E137" i="1"/>
  <c r="F137" i="1"/>
  <c r="G137" i="1"/>
  <c r="H137" i="1"/>
  <c r="I137" i="1"/>
  <c r="J137" i="1"/>
  <c r="K137" i="1"/>
  <c r="M137" i="1"/>
  <c r="O137" i="1"/>
  <c r="Q137" i="1"/>
  <c r="R137" i="1"/>
  <c r="W137" i="1"/>
  <c r="AA137" i="1"/>
  <c r="AB137" i="1"/>
  <c r="AE137" i="1"/>
  <c r="AF137" i="1"/>
  <c r="AM137" i="1"/>
  <c r="AN137" i="1"/>
  <c r="AO137" i="1"/>
  <c r="AQ137" i="1"/>
  <c r="AX137" i="1"/>
  <c r="BD137" i="1"/>
  <c r="B138" i="1"/>
  <c r="C138" i="1"/>
  <c r="D138" i="1"/>
  <c r="E138" i="1"/>
  <c r="F138" i="1"/>
  <c r="G138" i="1"/>
  <c r="H138" i="1"/>
  <c r="I138" i="1"/>
  <c r="J138" i="1"/>
  <c r="K138" i="1"/>
  <c r="M138" i="1"/>
  <c r="O138" i="1"/>
  <c r="Q138" i="1"/>
  <c r="R138" i="1"/>
  <c r="W138" i="1"/>
  <c r="AA138" i="1"/>
  <c r="AB138" i="1"/>
  <c r="AE138" i="1"/>
  <c r="AF138" i="1"/>
  <c r="AM138" i="1"/>
  <c r="AN138" i="1"/>
  <c r="AO138" i="1"/>
  <c r="AQ138" i="1"/>
  <c r="AX138" i="1"/>
  <c r="BD138" i="1"/>
  <c r="B139" i="1"/>
  <c r="C139" i="1"/>
  <c r="D139" i="1"/>
  <c r="E139" i="1"/>
  <c r="F139" i="1"/>
  <c r="G139" i="1"/>
  <c r="H139" i="1"/>
  <c r="I139" i="1"/>
  <c r="J139" i="1"/>
  <c r="K139" i="1"/>
  <c r="M139" i="1"/>
  <c r="O139" i="1"/>
  <c r="Q139" i="1"/>
  <c r="R139" i="1"/>
  <c r="W139" i="1"/>
  <c r="AA139" i="1"/>
  <c r="AB139" i="1"/>
  <c r="AE139" i="1"/>
  <c r="AF139" i="1"/>
  <c r="AM139" i="1"/>
  <c r="AN139" i="1"/>
  <c r="AO139" i="1"/>
  <c r="AQ139" i="1"/>
  <c r="AX139" i="1"/>
  <c r="BD139" i="1"/>
  <c r="B140" i="1"/>
  <c r="C140" i="1"/>
  <c r="D140" i="1"/>
  <c r="E140" i="1"/>
  <c r="F140" i="1"/>
  <c r="G140" i="1"/>
  <c r="H140" i="1"/>
  <c r="I140" i="1"/>
  <c r="J140" i="1"/>
  <c r="K140" i="1"/>
  <c r="M140" i="1"/>
  <c r="O140" i="1"/>
  <c r="Q140" i="1"/>
  <c r="R140" i="1"/>
  <c r="W140" i="1"/>
  <c r="AA140" i="1"/>
  <c r="AB140" i="1"/>
  <c r="AE140" i="1"/>
  <c r="AF140" i="1"/>
  <c r="AM140" i="1"/>
  <c r="AN140" i="1"/>
  <c r="AO140" i="1"/>
  <c r="AQ140" i="1"/>
  <c r="AX140" i="1"/>
  <c r="BD140" i="1"/>
  <c r="B141" i="1"/>
  <c r="C141" i="1"/>
  <c r="D141" i="1"/>
  <c r="E141" i="1"/>
  <c r="F141" i="1"/>
  <c r="G141" i="1"/>
  <c r="H141" i="1"/>
  <c r="I141" i="1"/>
  <c r="J141" i="1"/>
  <c r="K141" i="1"/>
  <c r="M141" i="1"/>
  <c r="O141" i="1"/>
  <c r="Q141" i="1"/>
  <c r="R141" i="1"/>
  <c r="W141" i="1"/>
  <c r="AA141" i="1"/>
  <c r="AB141" i="1"/>
  <c r="AE141" i="1"/>
  <c r="AF141" i="1"/>
  <c r="AM141" i="1"/>
  <c r="AN141" i="1"/>
  <c r="AO141" i="1"/>
  <c r="AQ141" i="1"/>
  <c r="AX141" i="1"/>
  <c r="BD141" i="1"/>
  <c r="B142" i="1"/>
  <c r="C142" i="1"/>
  <c r="D142" i="1"/>
  <c r="E142" i="1"/>
  <c r="F142" i="1"/>
  <c r="G142" i="1"/>
  <c r="H142" i="1"/>
  <c r="I142" i="1"/>
  <c r="J142" i="1"/>
  <c r="K142" i="1"/>
  <c r="M142" i="1"/>
  <c r="O142" i="1"/>
  <c r="Q142" i="1"/>
  <c r="R142" i="1"/>
  <c r="W142" i="1"/>
  <c r="AA142" i="1"/>
  <c r="AB142" i="1"/>
  <c r="AE142" i="1"/>
  <c r="AF142" i="1"/>
  <c r="AM142" i="1"/>
  <c r="AN142" i="1"/>
  <c r="AO142" i="1"/>
  <c r="AQ142" i="1"/>
  <c r="AX142" i="1"/>
  <c r="BD142" i="1"/>
  <c r="B143" i="1"/>
  <c r="C143" i="1"/>
  <c r="D143" i="1"/>
  <c r="E143" i="1"/>
  <c r="F143" i="1"/>
  <c r="G143" i="1"/>
  <c r="H143" i="1"/>
  <c r="I143" i="1"/>
  <c r="J143" i="1"/>
  <c r="K143" i="1"/>
  <c r="M143" i="1"/>
  <c r="O143" i="1"/>
  <c r="Q143" i="1"/>
  <c r="R143" i="1"/>
  <c r="W143" i="1"/>
  <c r="AA143" i="1"/>
  <c r="AB143" i="1"/>
  <c r="AE143" i="1"/>
  <c r="AF143" i="1"/>
  <c r="AM143" i="1"/>
  <c r="AN143" i="1"/>
  <c r="AO143" i="1"/>
  <c r="AQ143" i="1"/>
  <c r="AX143" i="1"/>
  <c r="BD143" i="1"/>
  <c r="B144" i="1"/>
  <c r="C144" i="1"/>
  <c r="E144" i="1"/>
  <c r="F144" i="1"/>
  <c r="G144" i="1"/>
  <c r="H144" i="1"/>
  <c r="I144" i="1"/>
  <c r="J144" i="1"/>
  <c r="K144" i="1"/>
  <c r="M144" i="1"/>
  <c r="O144" i="1"/>
  <c r="Q144" i="1"/>
  <c r="R144" i="1"/>
  <c r="W144" i="1"/>
  <c r="AA144" i="1"/>
  <c r="AB144" i="1"/>
  <c r="AE144" i="1"/>
  <c r="AF144" i="1"/>
  <c r="AM144" i="1"/>
  <c r="AN144" i="1"/>
  <c r="AO144" i="1"/>
  <c r="AQ144" i="1"/>
  <c r="AX144" i="1"/>
  <c r="BD144" i="1"/>
  <c r="B145" i="1"/>
  <c r="C145" i="1"/>
  <c r="E145" i="1"/>
  <c r="F145" i="1"/>
  <c r="G145" i="1"/>
  <c r="H145" i="1"/>
  <c r="I145" i="1"/>
  <c r="J145" i="1"/>
  <c r="K145" i="1"/>
  <c r="M145" i="1"/>
  <c r="O145" i="1"/>
  <c r="Q145" i="1"/>
  <c r="R145" i="1"/>
  <c r="W145" i="1"/>
  <c r="AA145" i="1"/>
  <c r="AB145" i="1"/>
  <c r="AE145" i="1"/>
  <c r="AF145" i="1"/>
  <c r="AM145" i="1"/>
  <c r="AN145" i="1"/>
  <c r="AO145" i="1"/>
  <c r="AQ145" i="1"/>
  <c r="AX145" i="1"/>
  <c r="BD145" i="1"/>
  <c r="B146" i="1"/>
  <c r="C146" i="1"/>
  <c r="E146" i="1"/>
  <c r="F146" i="1"/>
  <c r="G146" i="1"/>
  <c r="H146" i="1"/>
  <c r="I146" i="1"/>
  <c r="J146" i="1"/>
  <c r="K146" i="1"/>
  <c r="M146" i="1"/>
  <c r="O146" i="1"/>
  <c r="Q146" i="1"/>
  <c r="R146" i="1"/>
  <c r="W146" i="1"/>
  <c r="AA146" i="1"/>
  <c r="AM146" i="1"/>
  <c r="AN146" i="1"/>
  <c r="AO146" i="1"/>
  <c r="AQ146" i="1"/>
  <c r="BB146" i="1"/>
  <c r="BD146" i="1"/>
  <c r="B147" i="1"/>
  <c r="C147" i="1"/>
  <c r="E147" i="1"/>
  <c r="F147" i="1"/>
  <c r="G147" i="1"/>
  <c r="H147" i="1"/>
  <c r="I147" i="1"/>
  <c r="J147" i="1"/>
  <c r="K147" i="1"/>
  <c r="M147" i="1"/>
  <c r="O147" i="1"/>
  <c r="Q147" i="1"/>
  <c r="R147" i="1"/>
  <c r="W147" i="1"/>
  <c r="AA147" i="1"/>
  <c r="AM147" i="1"/>
  <c r="AN147" i="1"/>
  <c r="AO147" i="1"/>
  <c r="AQ147" i="1"/>
  <c r="BB147" i="1"/>
  <c r="BD147" i="1"/>
  <c r="B148" i="1"/>
  <c r="C148" i="1"/>
  <c r="E148" i="1"/>
  <c r="F148" i="1"/>
  <c r="G148" i="1"/>
  <c r="H148" i="1"/>
  <c r="I148" i="1"/>
  <c r="J148" i="1"/>
  <c r="K148" i="1"/>
  <c r="M148" i="1"/>
  <c r="O148" i="1"/>
  <c r="Q148" i="1"/>
  <c r="R148" i="1"/>
  <c r="W148" i="1"/>
  <c r="AA148" i="1"/>
  <c r="AM148" i="1"/>
  <c r="AN148" i="1"/>
  <c r="AO148" i="1"/>
  <c r="AQ148" i="1"/>
  <c r="BB148" i="1"/>
  <c r="BD148" i="1"/>
  <c r="B149" i="1"/>
  <c r="C149" i="1"/>
  <c r="E149" i="1"/>
  <c r="F149" i="1"/>
  <c r="G149" i="1"/>
  <c r="H149" i="1"/>
  <c r="I149" i="1"/>
  <c r="J149" i="1"/>
  <c r="K149" i="1"/>
  <c r="M149" i="1"/>
  <c r="O149" i="1"/>
  <c r="Q149" i="1"/>
  <c r="R149" i="1"/>
  <c r="W149" i="1"/>
  <c r="AA149" i="1"/>
  <c r="AM149" i="1"/>
  <c r="AN149" i="1"/>
  <c r="AO149" i="1"/>
  <c r="AQ149" i="1"/>
  <c r="BB149" i="1"/>
  <c r="BD149" i="1"/>
  <c r="B150" i="1"/>
  <c r="C150" i="1"/>
  <c r="E150" i="1"/>
  <c r="F150" i="1"/>
  <c r="G150" i="1"/>
  <c r="H150" i="1"/>
  <c r="I150" i="1"/>
  <c r="J150" i="1"/>
  <c r="K150" i="1"/>
  <c r="M150" i="1"/>
  <c r="O150" i="1"/>
  <c r="Q150" i="1"/>
  <c r="R150" i="1"/>
  <c r="W150" i="1"/>
  <c r="AA150" i="1"/>
  <c r="AM150" i="1"/>
  <c r="AN150" i="1"/>
  <c r="AO150" i="1"/>
  <c r="AQ150" i="1"/>
  <c r="BB150" i="1"/>
  <c r="BD150" i="1"/>
  <c r="B151" i="1"/>
  <c r="C151" i="1"/>
  <c r="E151" i="1"/>
  <c r="F151" i="1"/>
  <c r="G151" i="1"/>
  <c r="H151" i="1"/>
  <c r="I151" i="1"/>
  <c r="J151" i="1"/>
  <c r="K151" i="1"/>
  <c r="M151" i="1"/>
  <c r="O151" i="1"/>
  <c r="Q151" i="1"/>
  <c r="R151" i="1"/>
  <c r="W151" i="1"/>
  <c r="AA151" i="1"/>
  <c r="AM151" i="1"/>
  <c r="AN151" i="1"/>
  <c r="AO151" i="1"/>
  <c r="AQ151" i="1"/>
  <c r="BB151" i="1"/>
  <c r="BD151" i="1"/>
  <c r="B152" i="1"/>
  <c r="C152" i="1"/>
  <c r="E152" i="1"/>
  <c r="F152" i="1"/>
  <c r="G152" i="1"/>
  <c r="H152" i="1"/>
  <c r="I152" i="1"/>
  <c r="J152" i="1"/>
  <c r="K152" i="1"/>
  <c r="M152" i="1"/>
  <c r="O152" i="1"/>
  <c r="Q152" i="1"/>
  <c r="R152" i="1"/>
  <c r="W152" i="1"/>
  <c r="AA152" i="1"/>
  <c r="AM152" i="1"/>
  <c r="AN152" i="1"/>
  <c r="AO152" i="1"/>
  <c r="AQ152" i="1"/>
  <c r="BB152" i="1"/>
  <c r="BD152" i="1"/>
  <c r="B153" i="1"/>
  <c r="C153" i="1"/>
  <c r="E153" i="1"/>
  <c r="F153" i="1"/>
  <c r="G153" i="1"/>
  <c r="H153" i="1"/>
  <c r="I153" i="1"/>
  <c r="J153" i="1"/>
  <c r="K153" i="1"/>
  <c r="M153" i="1"/>
  <c r="O153" i="1"/>
  <c r="Q153" i="1"/>
  <c r="R153" i="1"/>
  <c r="W153" i="1"/>
  <c r="AA153" i="1"/>
  <c r="AM153" i="1"/>
  <c r="AN153" i="1"/>
  <c r="AO153" i="1"/>
  <c r="AQ153" i="1"/>
  <c r="BB153" i="1"/>
  <c r="BD153" i="1"/>
  <c r="B154" i="1"/>
  <c r="E154" i="1"/>
  <c r="F154" i="1"/>
  <c r="G154" i="1"/>
  <c r="H154" i="1"/>
  <c r="I154" i="1"/>
  <c r="J154" i="1"/>
  <c r="K154" i="1"/>
  <c r="M154" i="1"/>
  <c r="O154" i="1"/>
  <c r="Q154" i="1"/>
  <c r="R154" i="1"/>
  <c r="W154" i="1"/>
  <c r="AA154" i="1"/>
  <c r="AM154" i="1"/>
  <c r="AN154" i="1"/>
  <c r="AO154" i="1"/>
  <c r="AQ154" i="1"/>
  <c r="BB154" i="1"/>
  <c r="BD154" i="1"/>
  <c r="B155" i="1"/>
  <c r="C155" i="1"/>
  <c r="E155" i="1"/>
  <c r="F155" i="1"/>
  <c r="G155" i="1"/>
  <c r="H155" i="1"/>
  <c r="I155" i="1"/>
  <c r="J155" i="1"/>
  <c r="K155" i="1"/>
  <c r="M155" i="1"/>
  <c r="O155" i="1"/>
  <c r="Q155" i="1"/>
  <c r="R155" i="1"/>
  <c r="W155" i="1"/>
  <c r="AA155" i="1"/>
  <c r="AB155" i="1"/>
  <c r="AE155" i="1"/>
  <c r="AF155" i="1"/>
  <c r="AM155" i="1"/>
  <c r="AN155" i="1"/>
  <c r="AO155" i="1"/>
  <c r="AQ155" i="1"/>
  <c r="AX155" i="1"/>
  <c r="BD155" i="1"/>
  <c r="B156" i="1"/>
  <c r="C156" i="1"/>
  <c r="D156" i="1"/>
  <c r="E156" i="1"/>
  <c r="F156" i="1"/>
  <c r="G156" i="1"/>
  <c r="H156" i="1"/>
  <c r="I156" i="1"/>
  <c r="J156" i="1"/>
  <c r="K156" i="1"/>
  <c r="M156" i="1"/>
  <c r="O156" i="1"/>
  <c r="Q156" i="1"/>
  <c r="R156" i="1"/>
  <c r="W156" i="1"/>
  <c r="AA156" i="1"/>
  <c r="AB156" i="1"/>
  <c r="AE156" i="1"/>
  <c r="AF156" i="1"/>
  <c r="AM156" i="1"/>
  <c r="AN156" i="1"/>
  <c r="AO156" i="1"/>
  <c r="AQ156" i="1"/>
  <c r="AX156" i="1"/>
  <c r="BD156" i="1"/>
  <c r="B157" i="1"/>
  <c r="C157" i="1"/>
  <c r="D157" i="1"/>
  <c r="E157" i="1"/>
  <c r="F157" i="1"/>
  <c r="G157" i="1"/>
  <c r="H157" i="1"/>
  <c r="I157" i="1"/>
  <c r="J157" i="1"/>
  <c r="K157" i="1"/>
  <c r="M157" i="1"/>
  <c r="O157" i="1"/>
  <c r="Q157" i="1"/>
  <c r="R157" i="1"/>
  <c r="W157" i="1"/>
  <c r="AA157" i="1"/>
  <c r="AB157" i="1"/>
  <c r="AE157" i="1"/>
  <c r="AF157" i="1"/>
  <c r="AM157" i="1"/>
  <c r="AN157" i="1"/>
  <c r="AO157" i="1"/>
  <c r="AQ157" i="1"/>
  <c r="AX157" i="1"/>
  <c r="BD157" i="1"/>
  <c r="B158" i="1"/>
  <c r="C158" i="1"/>
  <c r="D158" i="1"/>
  <c r="E158" i="1"/>
  <c r="F158" i="1"/>
  <c r="G158" i="1"/>
  <c r="H158" i="1"/>
  <c r="I158" i="1"/>
  <c r="J158" i="1"/>
  <c r="K158" i="1"/>
  <c r="M158" i="1"/>
  <c r="O158" i="1"/>
  <c r="Q158" i="1"/>
  <c r="R158" i="1"/>
  <c r="W158" i="1"/>
  <c r="AA158" i="1"/>
  <c r="AB158" i="1"/>
  <c r="AE158" i="1"/>
  <c r="AF158" i="1"/>
  <c r="AM158" i="1"/>
  <c r="AN158" i="1"/>
  <c r="AO158" i="1"/>
  <c r="AQ158" i="1"/>
  <c r="AX158" i="1"/>
  <c r="BD158" i="1"/>
  <c r="B159" i="1"/>
  <c r="C159" i="1"/>
  <c r="D159" i="1"/>
  <c r="E159" i="1"/>
  <c r="F159" i="1"/>
  <c r="G159" i="1"/>
  <c r="H159" i="1"/>
  <c r="I159" i="1"/>
  <c r="J159" i="1"/>
  <c r="K159" i="1"/>
  <c r="M159" i="1"/>
  <c r="O159" i="1"/>
  <c r="Q159" i="1"/>
  <c r="R159" i="1"/>
  <c r="W159" i="1"/>
  <c r="AA159" i="1"/>
  <c r="AB159" i="1"/>
  <c r="AM159" i="1"/>
  <c r="AN159" i="1"/>
  <c r="AO159" i="1"/>
  <c r="AQ159" i="1"/>
  <c r="AX159" i="1"/>
  <c r="BD159" i="1"/>
  <c r="B160" i="1"/>
  <c r="E160" i="1"/>
  <c r="F160" i="1"/>
  <c r="G160" i="1"/>
  <c r="H160" i="1"/>
  <c r="I160" i="1"/>
  <c r="J160" i="1"/>
  <c r="K160" i="1"/>
  <c r="M160" i="1"/>
  <c r="O160" i="1"/>
  <c r="Q160" i="1"/>
  <c r="R160" i="1"/>
  <c r="W160" i="1"/>
  <c r="AA160" i="1"/>
  <c r="AB160" i="1"/>
  <c r="AE160" i="1"/>
  <c r="AF160" i="1"/>
  <c r="AM160" i="1"/>
  <c r="AN160" i="1"/>
  <c r="AO160" i="1"/>
  <c r="AQ160" i="1"/>
  <c r="AX160" i="1"/>
  <c r="BD160" i="1"/>
  <c r="B161" i="1"/>
  <c r="E161" i="1"/>
  <c r="F161" i="1"/>
  <c r="G161" i="1"/>
  <c r="H161" i="1"/>
  <c r="I161" i="1"/>
  <c r="J161" i="1"/>
  <c r="K161" i="1"/>
  <c r="M161" i="1"/>
  <c r="O161" i="1"/>
  <c r="Q161" i="1"/>
  <c r="R161" i="1"/>
  <c r="W161" i="1"/>
  <c r="AA161" i="1"/>
  <c r="AB161" i="1"/>
  <c r="AE161" i="1"/>
  <c r="AF161" i="1"/>
  <c r="AM161" i="1"/>
  <c r="AN161" i="1"/>
  <c r="AO161" i="1"/>
  <c r="AQ161" i="1"/>
  <c r="AX161" i="1"/>
  <c r="BD161" i="1"/>
  <c r="B162" i="1"/>
  <c r="C162" i="1"/>
  <c r="E162" i="1"/>
  <c r="F162" i="1"/>
  <c r="G162" i="1"/>
  <c r="H162" i="1"/>
  <c r="I162" i="1"/>
  <c r="J162" i="1"/>
  <c r="K162" i="1"/>
  <c r="M162" i="1"/>
  <c r="O162" i="1"/>
  <c r="Q162" i="1"/>
  <c r="R162" i="1"/>
  <c r="W162" i="1"/>
  <c r="AA162" i="1"/>
  <c r="AB162" i="1"/>
  <c r="AE162" i="1"/>
  <c r="AF162" i="1"/>
  <c r="AM162" i="1"/>
  <c r="AN162" i="1"/>
  <c r="AO162" i="1"/>
  <c r="AQ162" i="1"/>
  <c r="AX162" i="1"/>
  <c r="BD162" i="1"/>
  <c r="B163" i="1"/>
  <c r="E163" i="1"/>
  <c r="F163" i="1"/>
  <c r="G163" i="1"/>
  <c r="H163" i="1"/>
  <c r="I163" i="1"/>
  <c r="J163" i="1"/>
  <c r="K163" i="1"/>
  <c r="M163" i="1"/>
  <c r="O163" i="1"/>
  <c r="Q163" i="1"/>
  <c r="R163" i="1"/>
  <c r="W163" i="1"/>
  <c r="AA163" i="1"/>
  <c r="AB163" i="1"/>
  <c r="AM163" i="1"/>
  <c r="AN163" i="1"/>
  <c r="AO163" i="1"/>
  <c r="AQ163" i="1"/>
  <c r="AX163" i="1"/>
  <c r="BD163" i="1"/>
  <c r="B164" i="1"/>
  <c r="E164" i="1"/>
  <c r="F164" i="1"/>
  <c r="G164" i="1"/>
  <c r="H164" i="1"/>
  <c r="I164" i="1"/>
  <c r="J164" i="1"/>
  <c r="K164" i="1"/>
  <c r="M164" i="1"/>
  <c r="O164" i="1"/>
  <c r="Q164" i="1"/>
  <c r="R164" i="1"/>
  <c r="W164" i="1"/>
  <c r="AA164" i="1"/>
  <c r="AB164" i="1"/>
  <c r="AM164" i="1"/>
  <c r="AN164" i="1"/>
  <c r="AO164" i="1"/>
  <c r="AQ164" i="1"/>
  <c r="AX164" i="1"/>
  <c r="BD164" i="1"/>
  <c r="B165" i="1"/>
  <c r="E165" i="1"/>
  <c r="F165" i="1"/>
  <c r="G165" i="1"/>
  <c r="H165" i="1"/>
  <c r="I165" i="1"/>
  <c r="J165" i="1"/>
  <c r="K165" i="1"/>
  <c r="M165" i="1"/>
  <c r="O165" i="1"/>
  <c r="Q165" i="1"/>
  <c r="R165" i="1"/>
  <c r="W165" i="1"/>
  <c r="AA165" i="1"/>
  <c r="AB165" i="1"/>
  <c r="AM165" i="1"/>
  <c r="AN165" i="1"/>
  <c r="AO165" i="1"/>
  <c r="AQ165" i="1"/>
  <c r="AX165" i="1"/>
  <c r="BD165" i="1"/>
  <c r="B166" i="1"/>
  <c r="E166" i="1"/>
  <c r="F166" i="1"/>
  <c r="G166" i="1"/>
  <c r="H166" i="1"/>
  <c r="I166" i="1"/>
  <c r="J166" i="1"/>
  <c r="K166" i="1"/>
  <c r="M166" i="1"/>
  <c r="O166" i="1"/>
  <c r="Q166" i="1"/>
  <c r="R166" i="1"/>
  <c r="W166" i="1"/>
  <c r="AA166" i="1"/>
  <c r="AB166" i="1"/>
  <c r="AM166" i="1"/>
  <c r="AN166" i="1"/>
  <c r="AO166" i="1"/>
  <c r="AQ166" i="1"/>
  <c r="AX166" i="1"/>
  <c r="BD166" i="1"/>
  <c r="B167" i="1"/>
  <c r="E167" i="1"/>
  <c r="F167" i="1"/>
  <c r="G167" i="1"/>
  <c r="H167" i="1"/>
  <c r="I167" i="1"/>
  <c r="J167" i="1"/>
  <c r="K167" i="1"/>
  <c r="M167" i="1"/>
  <c r="O167" i="1"/>
  <c r="Q167" i="1"/>
  <c r="R167" i="1"/>
  <c r="W167" i="1"/>
  <c r="AA167" i="1"/>
  <c r="AB167" i="1"/>
  <c r="AM167" i="1"/>
  <c r="AN167" i="1"/>
  <c r="AO167" i="1"/>
  <c r="AQ167" i="1"/>
  <c r="AX167" i="1"/>
  <c r="BD167" i="1"/>
  <c r="B168" i="1"/>
  <c r="E168" i="1"/>
  <c r="F168" i="1"/>
  <c r="G168" i="1"/>
  <c r="H168" i="1"/>
  <c r="I168" i="1"/>
  <c r="J168" i="1"/>
  <c r="K168" i="1"/>
  <c r="M168" i="1"/>
  <c r="O168" i="1"/>
  <c r="Q168" i="1"/>
  <c r="R168" i="1"/>
  <c r="W168" i="1"/>
  <c r="AA168" i="1"/>
  <c r="AB168" i="1"/>
  <c r="AM168" i="1"/>
  <c r="AN168" i="1"/>
  <c r="AO168" i="1"/>
  <c r="AQ168" i="1"/>
  <c r="AX168" i="1"/>
  <c r="BD168" i="1"/>
  <c r="B169" i="1"/>
  <c r="C169" i="1"/>
  <c r="D169" i="1"/>
  <c r="E169" i="1"/>
  <c r="F169" i="1"/>
  <c r="G169" i="1"/>
  <c r="H169" i="1"/>
  <c r="I169" i="1"/>
  <c r="J169" i="1"/>
  <c r="K169" i="1"/>
  <c r="M169" i="1"/>
  <c r="O169" i="1"/>
  <c r="Q169" i="1"/>
  <c r="R169" i="1"/>
  <c r="W169" i="1"/>
  <c r="AA169" i="1"/>
  <c r="AB169" i="1"/>
  <c r="AM169" i="1"/>
  <c r="AN169" i="1"/>
  <c r="AO169" i="1"/>
  <c r="AQ169" i="1"/>
  <c r="AX169" i="1"/>
  <c r="BD169" i="1"/>
  <c r="B170" i="1"/>
  <c r="E170" i="1"/>
  <c r="F170" i="1"/>
  <c r="G170" i="1"/>
  <c r="H170" i="1"/>
  <c r="I170" i="1"/>
  <c r="J170" i="1"/>
  <c r="K170" i="1"/>
  <c r="M170" i="1"/>
  <c r="O170" i="1"/>
  <c r="Q170" i="1"/>
  <c r="R170" i="1"/>
  <c r="W170" i="1"/>
  <c r="AA170" i="1"/>
  <c r="AM170" i="1"/>
  <c r="AN170" i="1"/>
  <c r="AO170" i="1"/>
  <c r="AQ170" i="1"/>
  <c r="BB170" i="1"/>
  <c r="BD170" i="1"/>
  <c r="B171" i="1"/>
  <c r="E171" i="1"/>
  <c r="F171" i="1"/>
  <c r="G171" i="1"/>
  <c r="H171" i="1"/>
  <c r="I171" i="1"/>
  <c r="J171" i="1"/>
  <c r="K171" i="1"/>
  <c r="M171" i="1"/>
  <c r="O171" i="1"/>
  <c r="Q171" i="1"/>
  <c r="R171" i="1"/>
  <c r="W171" i="1"/>
  <c r="AA171" i="1"/>
  <c r="AM171" i="1"/>
  <c r="AN171" i="1"/>
  <c r="AO171" i="1"/>
  <c r="AQ171" i="1"/>
  <c r="BB171" i="1"/>
  <c r="BD171" i="1"/>
  <c r="B172" i="1"/>
  <c r="E172" i="1"/>
  <c r="F172" i="1"/>
  <c r="G172" i="1"/>
  <c r="H172" i="1"/>
  <c r="I172" i="1"/>
  <c r="J172" i="1"/>
  <c r="K172" i="1"/>
  <c r="M172" i="1"/>
  <c r="O172" i="1"/>
  <c r="Q172" i="1"/>
  <c r="R172" i="1"/>
  <c r="W172" i="1"/>
  <c r="AA172" i="1"/>
  <c r="AM172" i="1"/>
  <c r="AN172" i="1"/>
  <c r="AO172" i="1"/>
  <c r="AQ172" i="1"/>
  <c r="BB172" i="1"/>
  <c r="BD172" i="1"/>
  <c r="B173" i="1"/>
  <c r="E173" i="1"/>
  <c r="F173" i="1"/>
  <c r="G173" i="1"/>
  <c r="H173" i="1"/>
  <c r="I173" i="1"/>
  <c r="J173" i="1"/>
  <c r="K173" i="1"/>
  <c r="M173" i="1"/>
  <c r="O173" i="1"/>
  <c r="Q173" i="1"/>
  <c r="R173" i="1"/>
  <c r="W173" i="1"/>
  <c r="AA173" i="1"/>
  <c r="AM173" i="1"/>
  <c r="AN173" i="1"/>
  <c r="AO173" i="1"/>
  <c r="AQ173" i="1"/>
  <c r="BB173" i="1"/>
  <c r="BD173" i="1"/>
  <c r="B174" i="1"/>
  <c r="E174" i="1"/>
  <c r="F174" i="1"/>
  <c r="G174" i="1"/>
  <c r="H174" i="1"/>
  <c r="I174" i="1"/>
  <c r="J174" i="1"/>
  <c r="K174" i="1"/>
  <c r="M174" i="1"/>
  <c r="O174" i="1"/>
  <c r="Q174" i="1"/>
  <c r="R174" i="1"/>
  <c r="W174" i="1"/>
  <c r="AA174" i="1"/>
  <c r="AM174" i="1"/>
  <c r="AN174" i="1"/>
  <c r="AO174" i="1"/>
  <c r="AP174" i="1"/>
  <c r="AQ174" i="1"/>
  <c r="BB174" i="1"/>
  <c r="BD174" i="1"/>
  <c r="B175" i="1"/>
  <c r="E175" i="1"/>
  <c r="F175" i="1"/>
  <c r="G175" i="1"/>
  <c r="H175" i="1"/>
  <c r="I175" i="1"/>
  <c r="J175" i="1"/>
  <c r="K175" i="1"/>
  <c r="M175" i="1"/>
  <c r="O175" i="1"/>
  <c r="Q175" i="1"/>
  <c r="R175" i="1"/>
  <c r="W175" i="1"/>
  <c r="AA175" i="1"/>
  <c r="AM175" i="1"/>
  <c r="AN175" i="1"/>
  <c r="AO175" i="1"/>
  <c r="AQ175" i="1"/>
  <c r="BB175" i="1"/>
  <c r="BD175" i="1"/>
  <c r="B176" i="1"/>
  <c r="E176" i="1"/>
  <c r="F176" i="1"/>
  <c r="G176" i="1"/>
  <c r="H176" i="1"/>
  <c r="I176" i="1"/>
  <c r="J176" i="1"/>
  <c r="K176" i="1"/>
  <c r="M176" i="1"/>
  <c r="O176" i="1"/>
  <c r="Q176" i="1"/>
  <c r="R176" i="1"/>
  <c r="W176" i="1"/>
  <c r="AA176" i="1"/>
  <c r="AM176" i="1"/>
  <c r="AN176" i="1"/>
  <c r="AO176" i="1"/>
  <c r="AQ176" i="1"/>
  <c r="BB176" i="1"/>
  <c r="BD176" i="1"/>
  <c r="B177" i="1"/>
  <c r="E177" i="1"/>
  <c r="F177" i="1"/>
  <c r="G177" i="1"/>
  <c r="H177" i="1"/>
  <c r="I177" i="1"/>
  <c r="J177" i="1"/>
  <c r="K177" i="1"/>
  <c r="M177" i="1"/>
  <c r="O177" i="1"/>
  <c r="Q177" i="1"/>
  <c r="R177" i="1"/>
  <c r="W177" i="1"/>
  <c r="AA177" i="1"/>
  <c r="AM177" i="1"/>
  <c r="AN177" i="1"/>
  <c r="AO177" i="1"/>
  <c r="AQ177" i="1"/>
  <c r="BB177" i="1"/>
  <c r="BD177" i="1"/>
  <c r="B178" i="1"/>
  <c r="E178" i="1"/>
  <c r="F178" i="1"/>
  <c r="G178" i="1"/>
  <c r="H178" i="1"/>
  <c r="I178" i="1"/>
  <c r="J178" i="1"/>
  <c r="K178" i="1"/>
  <c r="M178" i="1"/>
  <c r="O178" i="1"/>
  <c r="Q178" i="1"/>
  <c r="R178" i="1"/>
  <c r="W178" i="1"/>
  <c r="AA178" i="1"/>
  <c r="AM178" i="1"/>
  <c r="AN178" i="1"/>
  <c r="AO178" i="1"/>
  <c r="AQ178" i="1"/>
  <c r="BB178" i="1"/>
  <c r="BD178" i="1"/>
  <c r="B179" i="1"/>
  <c r="E179" i="1"/>
  <c r="F179" i="1"/>
  <c r="G179" i="1"/>
  <c r="H179" i="1"/>
  <c r="I179" i="1"/>
  <c r="J179" i="1"/>
  <c r="K179" i="1"/>
  <c r="M179" i="1"/>
  <c r="O179" i="1"/>
  <c r="Q179" i="1"/>
  <c r="R179" i="1"/>
  <c r="W179" i="1"/>
  <c r="AA179" i="1"/>
  <c r="AM179" i="1"/>
  <c r="AN179" i="1"/>
  <c r="AO179" i="1"/>
  <c r="AQ179" i="1"/>
  <c r="BB179" i="1"/>
  <c r="BD179" i="1"/>
  <c r="B180" i="1"/>
  <c r="E180" i="1"/>
  <c r="F180" i="1"/>
  <c r="G180" i="1"/>
  <c r="H180" i="1"/>
  <c r="I180" i="1"/>
  <c r="J180" i="1"/>
  <c r="K180" i="1"/>
  <c r="M180" i="1"/>
  <c r="O180" i="1"/>
  <c r="Q180" i="1"/>
  <c r="R180" i="1"/>
  <c r="W180" i="1"/>
  <c r="AA180" i="1"/>
  <c r="AM180" i="1"/>
  <c r="AN180" i="1"/>
  <c r="AO180" i="1"/>
  <c r="AQ180" i="1"/>
  <c r="BB180" i="1"/>
  <c r="BD180" i="1"/>
  <c r="B181" i="1"/>
  <c r="E181" i="1"/>
  <c r="F181" i="1"/>
  <c r="G181" i="1"/>
  <c r="H181" i="1"/>
  <c r="I181" i="1"/>
  <c r="J181" i="1"/>
  <c r="K181" i="1"/>
  <c r="M181" i="1"/>
  <c r="O181" i="1"/>
  <c r="Q181" i="1"/>
  <c r="R181" i="1"/>
  <c r="W181" i="1"/>
  <c r="AA181" i="1"/>
  <c r="AM181" i="1"/>
  <c r="AN181" i="1"/>
  <c r="AO181" i="1"/>
  <c r="AQ181" i="1"/>
  <c r="BB181" i="1"/>
  <c r="BD181" i="1"/>
  <c r="B182" i="1"/>
  <c r="E182" i="1"/>
  <c r="F182" i="1"/>
  <c r="G182" i="1"/>
  <c r="H182" i="1"/>
  <c r="I182" i="1"/>
  <c r="J182" i="1"/>
  <c r="K182" i="1"/>
  <c r="M182" i="1"/>
  <c r="O182" i="1"/>
  <c r="Q182" i="1"/>
  <c r="R182" i="1"/>
  <c r="W182" i="1"/>
  <c r="AA182" i="1"/>
  <c r="AM182" i="1"/>
  <c r="AN182" i="1"/>
  <c r="AO182" i="1"/>
  <c r="AQ182" i="1"/>
  <c r="BB182" i="1"/>
  <c r="BD182" i="1"/>
  <c r="B183" i="1"/>
  <c r="E183" i="1"/>
  <c r="F183" i="1"/>
  <c r="G183" i="1"/>
  <c r="H183" i="1"/>
  <c r="I183" i="1"/>
  <c r="J183" i="1"/>
  <c r="K183" i="1"/>
  <c r="M183" i="1"/>
  <c r="O183" i="1"/>
  <c r="Q183" i="1"/>
  <c r="R183" i="1"/>
  <c r="W183" i="1"/>
  <c r="AA183" i="1"/>
  <c r="AM183" i="1"/>
  <c r="AN183" i="1"/>
  <c r="AO183" i="1"/>
  <c r="AQ183" i="1"/>
  <c r="BB183" i="1"/>
  <c r="BD183" i="1"/>
  <c r="B184" i="1"/>
  <c r="E184" i="1"/>
  <c r="F184" i="1"/>
  <c r="G184" i="1"/>
  <c r="H184" i="1"/>
  <c r="I184" i="1"/>
  <c r="J184" i="1"/>
  <c r="K184" i="1"/>
  <c r="M184" i="1"/>
  <c r="O184" i="1"/>
  <c r="Q184" i="1"/>
  <c r="R184" i="1"/>
  <c r="W184" i="1"/>
  <c r="AA184" i="1"/>
  <c r="AM184" i="1"/>
  <c r="AN184" i="1"/>
  <c r="AO184" i="1"/>
  <c r="AP184" i="1"/>
  <c r="AQ184" i="1"/>
  <c r="BB184" i="1"/>
  <c r="BD184" i="1"/>
  <c r="B185" i="1"/>
  <c r="E185" i="1"/>
  <c r="F185" i="1"/>
  <c r="G185" i="1"/>
  <c r="H185" i="1"/>
  <c r="I185" i="1"/>
  <c r="J185" i="1"/>
  <c r="K185" i="1"/>
  <c r="M185" i="1"/>
  <c r="O185" i="1"/>
  <c r="Q185" i="1"/>
  <c r="R185" i="1"/>
  <c r="W185" i="1"/>
  <c r="AA185" i="1"/>
  <c r="AM185" i="1"/>
  <c r="AN185" i="1"/>
  <c r="AO185" i="1"/>
  <c r="AQ185" i="1"/>
  <c r="BB185" i="1"/>
  <c r="BD185" i="1"/>
  <c r="B186" i="1"/>
  <c r="E186" i="1"/>
  <c r="F186" i="1"/>
  <c r="G186" i="1"/>
  <c r="H186" i="1"/>
  <c r="I186" i="1"/>
  <c r="J186" i="1"/>
  <c r="K186" i="1"/>
  <c r="M186" i="1"/>
  <c r="O186" i="1"/>
  <c r="Q186" i="1"/>
  <c r="R186" i="1"/>
  <c r="W186" i="1"/>
  <c r="AA186" i="1"/>
  <c r="AM186" i="1"/>
  <c r="AN186" i="1"/>
  <c r="AO186" i="1"/>
  <c r="AQ186" i="1"/>
  <c r="BB186" i="1"/>
  <c r="BD186" i="1"/>
  <c r="B187" i="1"/>
  <c r="E187" i="1"/>
  <c r="F187" i="1"/>
  <c r="G187" i="1"/>
  <c r="H187" i="1"/>
  <c r="I187" i="1"/>
  <c r="J187" i="1"/>
  <c r="K187" i="1"/>
  <c r="M187" i="1"/>
  <c r="O187" i="1"/>
  <c r="Q187" i="1"/>
  <c r="R187" i="1"/>
  <c r="W187" i="1"/>
  <c r="AA187" i="1"/>
  <c r="AM187" i="1"/>
  <c r="AN187" i="1"/>
  <c r="AO187" i="1"/>
  <c r="AQ187" i="1"/>
  <c r="BB187" i="1"/>
  <c r="BD187" i="1"/>
  <c r="B188" i="1"/>
  <c r="E188" i="1"/>
  <c r="F188" i="1"/>
  <c r="G188" i="1"/>
  <c r="H188" i="1"/>
  <c r="I188" i="1"/>
  <c r="J188" i="1"/>
  <c r="K188" i="1"/>
  <c r="M188" i="1"/>
  <c r="O188" i="1"/>
  <c r="Q188" i="1"/>
  <c r="R188" i="1"/>
  <c r="W188" i="1"/>
  <c r="AA188" i="1"/>
  <c r="AM188" i="1"/>
  <c r="AN188" i="1"/>
  <c r="AO188" i="1"/>
  <c r="AQ188" i="1"/>
  <c r="BB188" i="1"/>
  <c r="BD188" i="1"/>
  <c r="B189" i="1"/>
  <c r="E189" i="1"/>
  <c r="F189" i="1"/>
  <c r="G189" i="1"/>
  <c r="H189" i="1"/>
  <c r="I189" i="1"/>
  <c r="J189" i="1"/>
  <c r="K189" i="1"/>
  <c r="M189" i="1"/>
  <c r="O189" i="1"/>
  <c r="Q189" i="1"/>
  <c r="R189" i="1"/>
  <c r="W189" i="1"/>
  <c r="AA189" i="1"/>
  <c r="AM189" i="1"/>
  <c r="AN189" i="1"/>
  <c r="AO189" i="1"/>
  <c r="AQ189" i="1"/>
  <c r="BB189" i="1"/>
  <c r="BD189" i="1"/>
  <c r="B190" i="1"/>
  <c r="E190" i="1"/>
  <c r="F190" i="1"/>
  <c r="G190" i="1"/>
  <c r="H190" i="1"/>
  <c r="I190" i="1"/>
  <c r="J190" i="1"/>
  <c r="K190" i="1"/>
  <c r="M190" i="1"/>
  <c r="O190" i="1"/>
  <c r="Q190" i="1"/>
  <c r="R190" i="1"/>
  <c r="W190" i="1"/>
  <c r="AA190" i="1"/>
  <c r="AM190" i="1"/>
  <c r="AN190" i="1"/>
  <c r="AO190" i="1"/>
  <c r="AQ190" i="1"/>
  <c r="BB190" i="1"/>
  <c r="BD190" i="1"/>
  <c r="B191" i="1"/>
  <c r="C191" i="1"/>
  <c r="D191" i="1"/>
  <c r="E191" i="1"/>
  <c r="F191" i="1"/>
  <c r="G191" i="1"/>
  <c r="H191" i="1"/>
  <c r="I191" i="1"/>
  <c r="J191" i="1"/>
  <c r="K191" i="1"/>
  <c r="M191" i="1"/>
  <c r="O191" i="1"/>
  <c r="Q191" i="1"/>
  <c r="R191" i="1"/>
  <c r="W191" i="1"/>
  <c r="AA191" i="1"/>
  <c r="AB191" i="1"/>
  <c r="AM191" i="1"/>
  <c r="AN191" i="1"/>
  <c r="AO191" i="1"/>
  <c r="AP191" i="1"/>
  <c r="AQ191" i="1"/>
  <c r="AX191" i="1"/>
  <c r="BD191" i="1"/>
  <c r="B192" i="1"/>
  <c r="E192" i="1"/>
  <c r="F192" i="1"/>
  <c r="G192" i="1"/>
  <c r="H192" i="1"/>
  <c r="I192" i="1"/>
  <c r="J192" i="1"/>
  <c r="K192" i="1"/>
  <c r="M192" i="1"/>
  <c r="O192" i="1"/>
  <c r="Q192" i="1"/>
  <c r="R192" i="1"/>
  <c r="W192" i="1"/>
  <c r="AA192" i="1"/>
  <c r="AB192" i="1"/>
  <c r="AM192" i="1"/>
  <c r="AN192" i="1"/>
  <c r="AO192" i="1"/>
  <c r="AP192" i="1"/>
  <c r="AQ192" i="1"/>
  <c r="AX192" i="1"/>
  <c r="BD192" i="1"/>
  <c r="B193" i="1"/>
  <c r="C193" i="1"/>
  <c r="E193" i="1"/>
  <c r="F193" i="1"/>
  <c r="G193" i="1"/>
  <c r="H193" i="1"/>
  <c r="I193" i="1"/>
  <c r="J193" i="1"/>
  <c r="K193" i="1"/>
  <c r="M193" i="1"/>
  <c r="O193" i="1"/>
  <c r="Q193" i="1"/>
  <c r="R193" i="1"/>
  <c r="W193" i="1"/>
  <c r="AA193" i="1"/>
  <c r="AM193" i="1"/>
  <c r="AN193" i="1"/>
  <c r="AO193" i="1"/>
  <c r="AQ193" i="1"/>
  <c r="BB193" i="1"/>
  <c r="BD193" i="1"/>
  <c r="B194" i="1"/>
  <c r="C194" i="1"/>
  <c r="E194" i="1"/>
  <c r="F194" i="1"/>
  <c r="G194" i="1"/>
  <c r="H194" i="1"/>
  <c r="I194" i="1"/>
  <c r="J194" i="1"/>
  <c r="K194" i="1"/>
  <c r="M194" i="1"/>
  <c r="O194" i="1"/>
  <c r="Q194" i="1"/>
  <c r="R194" i="1"/>
  <c r="W194" i="1"/>
  <c r="AA194" i="1"/>
  <c r="AM194" i="1"/>
  <c r="AN194" i="1"/>
  <c r="AO194" i="1"/>
  <c r="AQ194" i="1"/>
  <c r="BB194" i="1"/>
  <c r="BD194" i="1"/>
  <c r="B195" i="1"/>
  <c r="E195" i="1"/>
  <c r="F195" i="1"/>
  <c r="G195" i="1"/>
  <c r="H195" i="1"/>
  <c r="I195" i="1"/>
  <c r="J195" i="1"/>
  <c r="K195" i="1"/>
  <c r="M195" i="1"/>
  <c r="O195" i="1"/>
  <c r="Q195" i="1"/>
  <c r="R195" i="1"/>
  <c r="W195" i="1"/>
  <c r="AA195" i="1"/>
  <c r="AM195" i="1"/>
  <c r="AN195" i="1"/>
  <c r="AO195" i="1"/>
  <c r="AQ195" i="1"/>
  <c r="BB195" i="1"/>
  <c r="BD195" i="1"/>
  <c r="B196" i="1"/>
  <c r="E196" i="1"/>
  <c r="F196" i="1"/>
  <c r="G196" i="1"/>
  <c r="H196" i="1"/>
  <c r="I196" i="1"/>
  <c r="J196" i="1"/>
  <c r="K196" i="1"/>
  <c r="M196" i="1"/>
  <c r="O196" i="1"/>
  <c r="Q196" i="1"/>
  <c r="R196" i="1"/>
  <c r="W196" i="1"/>
  <c r="AA196" i="1"/>
  <c r="AM196" i="1"/>
  <c r="AN196" i="1"/>
  <c r="AO196" i="1"/>
  <c r="AQ196" i="1"/>
  <c r="BB196" i="1"/>
  <c r="BD196" i="1"/>
  <c r="B197" i="1"/>
  <c r="E197" i="1"/>
  <c r="F197" i="1"/>
  <c r="G197" i="1"/>
  <c r="H197" i="1"/>
  <c r="I197" i="1"/>
  <c r="J197" i="1"/>
  <c r="K197" i="1"/>
  <c r="M197" i="1"/>
  <c r="O197" i="1"/>
  <c r="Q197" i="1"/>
  <c r="R197" i="1"/>
  <c r="W197" i="1"/>
  <c r="AA197" i="1"/>
  <c r="AM197" i="1"/>
  <c r="AN197" i="1"/>
  <c r="AO197" i="1"/>
  <c r="AQ197" i="1"/>
  <c r="BB197" i="1"/>
  <c r="BD197" i="1"/>
  <c r="B198" i="1"/>
  <c r="E198" i="1"/>
  <c r="F198" i="1"/>
  <c r="G198" i="1"/>
  <c r="H198" i="1"/>
  <c r="I198" i="1"/>
  <c r="J198" i="1"/>
  <c r="K198" i="1"/>
  <c r="M198" i="1"/>
  <c r="O198" i="1"/>
  <c r="Q198" i="1"/>
  <c r="R198" i="1"/>
  <c r="W198" i="1"/>
  <c r="AA198" i="1"/>
  <c r="AM198" i="1"/>
  <c r="AN198" i="1"/>
  <c r="AO198" i="1"/>
  <c r="AQ198" i="1"/>
  <c r="BB198" i="1"/>
  <c r="BD198" i="1"/>
  <c r="B199" i="1"/>
  <c r="E199" i="1"/>
  <c r="F199" i="1"/>
  <c r="G199" i="1"/>
  <c r="H199" i="1"/>
  <c r="I199" i="1"/>
  <c r="J199" i="1"/>
  <c r="K199" i="1"/>
  <c r="M199" i="1"/>
  <c r="O199" i="1"/>
  <c r="Q199" i="1"/>
  <c r="R199" i="1"/>
  <c r="W199" i="1"/>
  <c r="AA199" i="1"/>
  <c r="AM199" i="1"/>
  <c r="AN199" i="1"/>
  <c r="AO199" i="1"/>
  <c r="AQ199" i="1"/>
  <c r="BB199" i="1"/>
  <c r="BD199" i="1"/>
  <c r="B200" i="1"/>
  <c r="E200" i="1"/>
  <c r="F200" i="1"/>
  <c r="G200" i="1"/>
  <c r="H200" i="1"/>
  <c r="I200" i="1"/>
  <c r="J200" i="1"/>
  <c r="K200" i="1"/>
  <c r="M200" i="1"/>
  <c r="O200" i="1"/>
  <c r="Q200" i="1"/>
  <c r="R200" i="1"/>
  <c r="W200" i="1"/>
  <c r="AA200" i="1"/>
  <c r="AM200" i="1"/>
  <c r="AN200" i="1"/>
  <c r="AO200" i="1"/>
  <c r="AQ200" i="1"/>
  <c r="BB200" i="1"/>
  <c r="BD200" i="1"/>
  <c r="B201" i="1"/>
  <c r="E201" i="1"/>
  <c r="F201" i="1"/>
  <c r="G201" i="1"/>
  <c r="H201" i="1"/>
  <c r="I201" i="1"/>
  <c r="J201" i="1"/>
  <c r="K201" i="1"/>
  <c r="M201" i="1"/>
  <c r="O201" i="1"/>
  <c r="Q201" i="1"/>
  <c r="R201" i="1"/>
  <c r="W201" i="1"/>
  <c r="AA201" i="1"/>
  <c r="AM201" i="1"/>
  <c r="AN201" i="1"/>
  <c r="AO201" i="1"/>
  <c r="AQ201" i="1"/>
  <c r="BB201" i="1"/>
  <c r="BD201" i="1"/>
  <c r="B202" i="1"/>
  <c r="E202" i="1"/>
  <c r="F202" i="1"/>
  <c r="G202" i="1"/>
  <c r="H202" i="1"/>
  <c r="I202" i="1"/>
  <c r="J202" i="1"/>
  <c r="K202" i="1"/>
  <c r="M202" i="1"/>
  <c r="O202" i="1"/>
  <c r="Q202" i="1"/>
  <c r="R202" i="1"/>
  <c r="W202" i="1"/>
  <c r="AA202" i="1"/>
  <c r="AM202" i="1"/>
  <c r="AN202" i="1"/>
  <c r="AO202" i="1"/>
  <c r="AQ202" i="1"/>
  <c r="BB202" i="1"/>
  <c r="BD202" i="1"/>
  <c r="B203" i="1"/>
  <c r="E203" i="1"/>
  <c r="F203" i="1"/>
  <c r="G203" i="1"/>
  <c r="H203" i="1"/>
  <c r="I203" i="1"/>
  <c r="J203" i="1"/>
  <c r="K203" i="1"/>
  <c r="M203" i="1"/>
  <c r="O203" i="1"/>
  <c r="Q203" i="1"/>
  <c r="R203" i="1"/>
  <c r="W203" i="1"/>
  <c r="AA203" i="1"/>
  <c r="AM203" i="1"/>
  <c r="AN203" i="1"/>
  <c r="AO203" i="1"/>
  <c r="AQ203" i="1"/>
  <c r="BB203" i="1"/>
  <c r="BD203" i="1"/>
  <c r="B204" i="1"/>
  <c r="E204" i="1"/>
  <c r="F204" i="1"/>
  <c r="G204" i="1"/>
  <c r="H204" i="1"/>
  <c r="I204" i="1"/>
  <c r="J204" i="1"/>
  <c r="K204" i="1"/>
  <c r="M204" i="1"/>
  <c r="O204" i="1"/>
  <c r="Q204" i="1"/>
  <c r="R204" i="1"/>
  <c r="W204" i="1"/>
  <c r="AA204" i="1"/>
  <c r="AM204" i="1"/>
  <c r="AN204" i="1"/>
  <c r="AO204" i="1"/>
  <c r="AQ204" i="1"/>
  <c r="BB204" i="1"/>
  <c r="BD204" i="1"/>
  <c r="B205" i="1"/>
  <c r="E205" i="1"/>
  <c r="F205" i="1"/>
  <c r="G205" i="1"/>
  <c r="H205" i="1"/>
  <c r="I205" i="1"/>
  <c r="J205" i="1"/>
  <c r="K205" i="1"/>
  <c r="M205" i="1"/>
  <c r="O205" i="1"/>
  <c r="Q205" i="1"/>
  <c r="R205" i="1"/>
  <c r="W205" i="1"/>
  <c r="AA205" i="1"/>
  <c r="AM205" i="1"/>
  <c r="AN205" i="1"/>
  <c r="AO205" i="1"/>
  <c r="AQ205" i="1"/>
  <c r="BB205" i="1"/>
  <c r="BD205" i="1"/>
  <c r="B206" i="1"/>
  <c r="E206" i="1"/>
  <c r="F206" i="1"/>
  <c r="G206" i="1"/>
  <c r="H206" i="1"/>
  <c r="I206" i="1"/>
  <c r="J206" i="1"/>
  <c r="K206" i="1"/>
  <c r="M206" i="1"/>
  <c r="O206" i="1"/>
  <c r="Q206" i="1"/>
  <c r="R206" i="1"/>
  <c r="W206" i="1"/>
  <c r="AA206" i="1"/>
  <c r="AM206" i="1"/>
  <c r="AN206" i="1"/>
  <c r="AO206" i="1"/>
  <c r="AQ206" i="1"/>
  <c r="BB206" i="1"/>
  <c r="BD206" i="1"/>
  <c r="B207" i="1"/>
  <c r="E207" i="1"/>
  <c r="F207" i="1"/>
  <c r="G207" i="1"/>
  <c r="H207" i="1"/>
  <c r="I207" i="1"/>
  <c r="J207" i="1"/>
  <c r="K207" i="1"/>
  <c r="M207" i="1"/>
  <c r="O207" i="1"/>
  <c r="Q207" i="1"/>
  <c r="R207" i="1"/>
  <c r="W207" i="1"/>
  <c r="AA207" i="1"/>
  <c r="AM207" i="1"/>
  <c r="AN207" i="1"/>
  <c r="AO207" i="1"/>
  <c r="AQ207" i="1"/>
  <c r="BB207" i="1"/>
  <c r="BD207" i="1"/>
  <c r="B208" i="1"/>
  <c r="E208" i="1"/>
  <c r="F208" i="1"/>
  <c r="G208" i="1"/>
  <c r="H208" i="1"/>
  <c r="I208" i="1"/>
  <c r="J208" i="1"/>
  <c r="K208" i="1"/>
  <c r="M208" i="1"/>
  <c r="O208" i="1"/>
  <c r="Q208" i="1"/>
  <c r="R208" i="1"/>
  <c r="W208" i="1"/>
  <c r="AA208" i="1"/>
  <c r="AM208" i="1"/>
  <c r="AN208" i="1"/>
  <c r="AO208" i="1"/>
  <c r="AQ208" i="1"/>
  <c r="BB208" i="1"/>
  <c r="BD208" i="1"/>
  <c r="B209" i="1"/>
  <c r="E209" i="1"/>
  <c r="F209" i="1"/>
  <c r="G209" i="1"/>
  <c r="H209" i="1"/>
  <c r="I209" i="1"/>
  <c r="J209" i="1"/>
  <c r="K209" i="1"/>
  <c r="M209" i="1"/>
  <c r="O209" i="1"/>
  <c r="Q209" i="1"/>
  <c r="R209" i="1"/>
  <c r="W209" i="1"/>
  <c r="AA209" i="1"/>
  <c r="AM209" i="1"/>
  <c r="AN209" i="1"/>
  <c r="AO209" i="1"/>
  <c r="AQ209" i="1"/>
  <c r="BB209" i="1"/>
  <c r="BD209" i="1"/>
  <c r="B210" i="1"/>
  <c r="E210" i="1"/>
  <c r="F210" i="1"/>
  <c r="G210" i="1"/>
  <c r="H210" i="1"/>
  <c r="I210" i="1"/>
  <c r="J210" i="1"/>
  <c r="K210" i="1"/>
  <c r="M210" i="1"/>
  <c r="O210" i="1"/>
  <c r="Q210" i="1"/>
  <c r="R210" i="1"/>
  <c r="W210" i="1"/>
  <c r="AA210" i="1"/>
  <c r="AM210" i="1"/>
  <c r="AN210" i="1"/>
  <c r="AO210" i="1"/>
  <c r="AQ210" i="1"/>
  <c r="BB210" i="1"/>
  <c r="BD210" i="1"/>
  <c r="B211" i="1"/>
  <c r="E211" i="1"/>
  <c r="F211" i="1"/>
  <c r="G211" i="1"/>
  <c r="H211" i="1"/>
  <c r="I211" i="1"/>
  <c r="J211" i="1"/>
  <c r="K211" i="1"/>
  <c r="M211" i="1"/>
  <c r="O211" i="1"/>
  <c r="Q211" i="1"/>
  <c r="R211" i="1"/>
  <c r="W211" i="1"/>
  <c r="AA211" i="1"/>
  <c r="AM211" i="1"/>
  <c r="AN211" i="1"/>
  <c r="AO211" i="1"/>
  <c r="AQ211" i="1"/>
  <c r="BB211" i="1"/>
  <c r="BD211" i="1"/>
  <c r="B212" i="1"/>
  <c r="E212" i="1"/>
  <c r="F212" i="1"/>
  <c r="G212" i="1"/>
  <c r="H212" i="1"/>
  <c r="I212" i="1"/>
  <c r="J212" i="1"/>
  <c r="K212" i="1"/>
  <c r="M212" i="1"/>
  <c r="O212" i="1"/>
  <c r="Q212" i="1"/>
  <c r="R212" i="1"/>
  <c r="W212" i="1"/>
  <c r="AA212" i="1"/>
  <c r="AM212" i="1"/>
  <c r="AN212" i="1"/>
  <c r="AO212" i="1"/>
  <c r="AQ212" i="1"/>
  <c r="BB212" i="1"/>
  <c r="BD212" i="1"/>
  <c r="B213" i="1"/>
  <c r="E213" i="1"/>
  <c r="F213" i="1"/>
  <c r="G213" i="1"/>
  <c r="H213" i="1"/>
  <c r="I213" i="1"/>
  <c r="J213" i="1"/>
  <c r="K213" i="1"/>
  <c r="M213" i="1"/>
  <c r="O213" i="1"/>
  <c r="Q213" i="1"/>
  <c r="R213" i="1"/>
  <c r="W213" i="1"/>
  <c r="AA213" i="1"/>
  <c r="AM213" i="1"/>
  <c r="AN213" i="1"/>
  <c r="AO213" i="1"/>
  <c r="AQ213" i="1"/>
  <c r="BB213" i="1"/>
  <c r="BD213" i="1"/>
  <c r="B214" i="1"/>
  <c r="E214" i="1"/>
  <c r="F214" i="1"/>
  <c r="G214" i="1"/>
  <c r="H214" i="1"/>
  <c r="I214" i="1"/>
  <c r="J214" i="1"/>
  <c r="K214" i="1"/>
  <c r="M214" i="1"/>
  <c r="O214" i="1"/>
  <c r="Q214" i="1"/>
  <c r="R214" i="1"/>
  <c r="W214" i="1"/>
  <c r="AA214" i="1"/>
  <c r="AM214" i="1"/>
  <c r="AN214" i="1"/>
  <c r="AO214" i="1"/>
  <c r="AQ214" i="1"/>
  <c r="BB214" i="1"/>
  <c r="BD214" i="1"/>
  <c r="B215" i="1"/>
  <c r="E215" i="1"/>
  <c r="F215" i="1"/>
  <c r="G215" i="1"/>
  <c r="H215" i="1"/>
  <c r="I215" i="1"/>
  <c r="J215" i="1"/>
  <c r="K215" i="1"/>
  <c r="M215" i="1"/>
  <c r="O215" i="1"/>
  <c r="Q215" i="1"/>
  <c r="R215" i="1"/>
  <c r="W215" i="1"/>
  <c r="AA215" i="1"/>
  <c r="AM215" i="1"/>
  <c r="AN215" i="1"/>
  <c r="AO215" i="1"/>
  <c r="AQ215" i="1"/>
  <c r="BB215" i="1"/>
  <c r="BD215" i="1"/>
  <c r="B216" i="1"/>
  <c r="E216" i="1"/>
  <c r="F216" i="1"/>
  <c r="G216" i="1"/>
  <c r="H216" i="1"/>
  <c r="I216" i="1"/>
  <c r="J216" i="1"/>
  <c r="K216" i="1"/>
  <c r="M216" i="1"/>
  <c r="O216" i="1"/>
  <c r="Q216" i="1"/>
  <c r="R216" i="1"/>
  <c r="W216" i="1"/>
  <c r="AA216" i="1"/>
  <c r="AM216" i="1"/>
  <c r="AN216" i="1"/>
  <c r="AO216" i="1"/>
  <c r="AQ216" i="1"/>
  <c r="BB216" i="1"/>
  <c r="BD216" i="1"/>
  <c r="B217" i="1"/>
  <c r="E217" i="1"/>
  <c r="F217" i="1"/>
  <c r="G217" i="1"/>
  <c r="H217" i="1"/>
  <c r="I217" i="1"/>
  <c r="J217" i="1"/>
  <c r="K217" i="1"/>
  <c r="M217" i="1"/>
  <c r="O217" i="1"/>
  <c r="Q217" i="1"/>
  <c r="R217" i="1"/>
  <c r="W217" i="1"/>
  <c r="AA217" i="1"/>
  <c r="AM217" i="1"/>
  <c r="AN217" i="1"/>
  <c r="AO217" i="1"/>
  <c r="AQ217" i="1"/>
  <c r="BB217" i="1"/>
  <c r="BD217" i="1"/>
  <c r="B218" i="1"/>
  <c r="E218" i="1"/>
  <c r="F218" i="1"/>
  <c r="G218" i="1"/>
  <c r="H218" i="1"/>
  <c r="I218" i="1"/>
  <c r="J218" i="1"/>
  <c r="K218" i="1"/>
  <c r="M218" i="1"/>
  <c r="O218" i="1"/>
  <c r="Q218" i="1"/>
  <c r="R218" i="1"/>
  <c r="W218" i="1"/>
  <c r="AA218" i="1"/>
  <c r="AM218" i="1"/>
  <c r="AN218" i="1"/>
  <c r="AO218" i="1"/>
  <c r="AQ218" i="1"/>
  <c r="BB218" i="1"/>
  <c r="BD218" i="1"/>
  <c r="B219" i="1"/>
  <c r="C219" i="1"/>
  <c r="E219" i="1"/>
  <c r="F219" i="1"/>
  <c r="G219" i="1"/>
  <c r="H219" i="1"/>
  <c r="I219" i="1"/>
  <c r="J219" i="1"/>
  <c r="K219" i="1"/>
  <c r="M219" i="1"/>
  <c r="O219" i="1"/>
  <c r="Q219" i="1"/>
  <c r="R219" i="1"/>
  <c r="W219" i="1"/>
  <c r="AA219" i="1"/>
  <c r="AB219" i="1"/>
  <c r="AE219" i="1"/>
  <c r="AF219" i="1"/>
  <c r="AM219" i="1"/>
  <c r="AN219" i="1"/>
  <c r="AO219" i="1"/>
  <c r="AQ219" i="1"/>
  <c r="AX219" i="1"/>
  <c r="BD219" i="1"/>
  <c r="B220" i="1"/>
  <c r="C220" i="1"/>
  <c r="E220" i="1"/>
  <c r="F220" i="1"/>
  <c r="G220" i="1"/>
  <c r="H220" i="1"/>
  <c r="I220" i="1"/>
  <c r="J220" i="1"/>
  <c r="K220" i="1"/>
  <c r="M220" i="1"/>
  <c r="O220" i="1"/>
  <c r="Q220" i="1"/>
  <c r="R220" i="1"/>
  <c r="W220" i="1"/>
  <c r="AA220" i="1"/>
  <c r="AB220" i="1"/>
  <c r="AE220" i="1"/>
  <c r="AF220" i="1"/>
  <c r="AM220" i="1"/>
  <c r="AN220" i="1"/>
  <c r="AO220" i="1"/>
  <c r="AQ220" i="1"/>
  <c r="AX220" i="1"/>
  <c r="BD220" i="1"/>
  <c r="B221" i="1"/>
  <c r="C221" i="1"/>
  <c r="E221" i="1"/>
  <c r="F221" i="1"/>
  <c r="G221" i="1"/>
  <c r="H221" i="1"/>
  <c r="I221" i="1"/>
  <c r="J221" i="1"/>
  <c r="K221" i="1"/>
  <c r="M221" i="1"/>
  <c r="O221" i="1"/>
  <c r="Q221" i="1"/>
  <c r="R221" i="1"/>
  <c r="W221" i="1"/>
  <c r="AA221" i="1"/>
  <c r="AB221" i="1"/>
  <c r="AE221" i="1"/>
  <c r="AF221" i="1"/>
  <c r="AM221" i="1"/>
  <c r="AN221" i="1"/>
  <c r="AO221" i="1"/>
  <c r="AQ221" i="1"/>
  <c r="AX221" i="1"/>
  <c r="BD221" i="1"/>
  <c r="B222" i="1"/>
  <c r="C222" i="1"/>
  <c r="D222" i="1"/>
  <c r="E222" i="1"/>
  <c r="F222" i="1"/>
  <c r="G222" i="1"/>
  <c r="H222" i="1"/>
  <c r="I222" i="1"/>
  <c r="J222" i="1"/>
  <c r="K222" i="1"/>
  <c r="M222" i="1"/>
  <c r="O222" i="1"/>
  <c r="Q222" i="1"/>
  <c r="R222" i="1"/>
  <c r="W222" i="1"/>
  <c r="AA222" i="1"/>
  <c r="AB222" i="1"/>
  <c r="AE222" i="1"/>
  <c r="AF222" i="1"/>
  <c r="AM222" i="1"/>
  <c r="AN222" i="1"/>
  <c r="AO222" i="1"/>
  <c r="AQ222" i="1"/>
  <c r="AX222" i="1"/>
  <c r="BD222" i="1"/>
  <c r="B223" i="1"/>
  <c r="C223" i="1"/>
  <c r="D223" i="1"/>
  <c r="E223" i="1"/>
  <c r="F223" i="1"/>
  <c r="G223" i="1"/>
  <c r="H223" i="1"/>
  <c r="I223" i="1"/>
  <c r="J223" i="1"/>
  <c r="K223" i="1"/>
  <c r="M223" i="1"/>
  <c r="O223" i="1"/>
  <c r="Q223" i="1"/>
  <c r="R223" i="1"/>
  <c r="W223" i="1"/>
  <c r="AA223" i="1"/>
  <c r="AB223" i="1"/>
  <c r="AE223" i="1"/>
  <c r="AF223" i="1"/>
  <c r="AM223" i="1"/>
  <c r="AN223" i="1"/>
  <c r="AO223" i="1"/>
  <c r="AQ223" i="1"/>
  <c r="AX223" i="1"/>
  <c r="BD223" i="1"/>
  <c r="B224" i="1"/>
  <c r="C224" i="1"/>
  <c r="D224" i="1"/>
  <c r="E224" i="1"/>
  <c r="F224" i="1"/>
  <c r="G224" i="1"/>
  <c r="H224" i="1"/>
  <c r="I224" i="1"/>
  <c r="J224" i="1"/>
  <c r="K224" i="1"/>
  <c r="M224" i="1"/>
  <c r="O224" i="1"/>
  <c r="Q224" i="1"/>
  <c r="R224" i="1"/>
  <c r="W224" i="1"/>
  <c r="AA224" i="1"/>
  <c r="AB224" i="1"/>
  <c r="AE224" i="1"/>
  <c r="AF224" i="1"/>
  <c r="AM224" i="1"/>
  <c r="AN224" i="1"/>
  <c r="AO224" i="1"/>
  <c r="AQ224" i="1"/>
  <c r="AX224" i="1"/>
  <c r="BD224" i="1"/>
  <c r="B225" i="1"/>
  <c r="C225" i="1"/>
  <c r="D225" i="1"/>
  <c r="E225" i="1"/>
  <c r="F225" i="1"/>
  <c r="G225" i="1"/>
  <c r="H225" i="1"/>
  <c r="I225" i="1"/>
  <c r="J225" i="1"/>
  <c r="K225" i="1"/>
  <c r="M225" i="1"/>
  <c r="O225" i="1"/>
  <c r="Q225" i="1"/>
  <c r="R225" i="1"/>
  <c r="W225" i="1"/>
  <c r="AA225" i="1"/>
  <c r="AB225" i="1"/>
  <c r="AE225" i="1"/>
  <c r="AF225" i="1"/>
  <c r="AM225" i="1"/>
  <c r="AN225" i="1"/>
  <c r="AO225" i="1"/>
  <c r="AQ225" i="1"/>
  <c r="AX225" i="1"/>
  <c r="BD225" i="1"/>
  <c r="B226" i="1"/>
  <c r="E226" i="1"/>
  <c r="F226" i="1"/>
  <c r="G226" i="1"/>
  <c r="H226" i="1"/>
  <c r="I226" i="1"/>
  <c r="J226" i="1"/>
  <c r="K226" i="1"/>
  <c r="M226" i="1"/>
  <c r="O226" i="1"/>
  <c r="Q226" i="1"/>
  <c r="R226" i="1"/>
  <c r="W226" i="1"/>
  <c r="AA226" i="1"/>
  <c r="AM226" i="1"/>
  <c r="AN226" i="1"/>
  <c r="AO226" i="1"/>
  <c r="AQ226" i="1"/>
  <c r="BD226" i="1"/>
  <c r="B227" i="1"/>
  <c r="E227" i="1"/>
  <c r="F227" i="1"/>
  <c r="G227" i="1"/>
  <c r="H227" i="1"/>
  <c r="I227" i="1"/>
  <c r="J227" i="1"/>
  <c r="K227" i="1"/>
  <c r="M227" i="1"/>
  <c r="O227" i="1"/>
  <c r="Q227" i="1"/>
  <c r="R227" i="1"/>
  <c r="W227" i="1"/>
  <c r="AA227" i="1"/>
  <c r="AM227" i="1"/>
  <c r="AN227" i="1"/>
  <c r="AO227" i="1"/>
  <c r="AQ227" i="1"/>
  <c r="BB227" i="1"/>
  <c r="BD227" i="1"/>
  <c r="B228" i="1"/>
  <c r="E228" i="1"/>
  <c r="F228" i="1"/>
  <c r="G228" i="1"/>
  <c r="H228" i="1"/>
  <c r="I228" i="1"/>
  <c r="J228" i="1"/>
  <c r="K228" i="1"/>
  <c r="M228" i="1"/>
  <c r="O228" i="1"/>
  <c r="Q228" i="1"/>
  <c r="R228" i="1"/>
  <c r="W228" i="1"/>
  <c r="AA228" i="1"/>
  <c r="AM228" i="1"/>
  <c r="AN228" i="1"/>
  <c r="AO228" i="1"/>
  <c r="AQ228" i="1"/>
  <c r="BB228" i="1"/>
  <c r="BD228" i="1"/>
  <c r="B229" i="1"/>
  <c r="C229" i="1"/>
  <c r="D229" i="1"/>
  <c r="E229" i="1"/>
  <c r="F229" i="1"/>
  <c r="G229" i="1"/>
  <c r="H229" i="1"/>
  <c r="I229" i="1"/>
  <c r="J229" i="1"/>
  <c r="K229" i="1"/>
  <c r="M229" i="1"/>
  <c r="O229" i="1"/>
  <c r="Q229" i="1"/>
  <c r="R229" i="1"/>
  <c r="W229" i="1"/>
  <c r="AA229" i="1"/>
  <c r="AB229" i="1"/>
  <c r="AE229" i="1"/>
  <c r="AF229" i="1"/>
  <c r="AM229" i="1"/>
  <c r="AN229" i="1"/>
  <c r="AO229" i="1"/>
  <c r="AQ229" i="1"/>
  <c r="AX229" i="1"/>
  <c r="BD229" i="1"/>
  <c r="B230" i="1"/>
  <c r="C230" i="1"/>
  <c r="D230" i="1"/>
  <c r="E230" i="1"/>
  <c r="F230" i="1"/>
  <c r="G230" i="1"/>
  <c r="H230" i="1"/>
  <c r="I230" i="1"/>
  <c r="J230" i="1"/>
  <c r="K230" i="1"/>
  <c r="M230" i="1"/>
  <c r="O230" i="1"/>
  <c r="Q230" i="1"/>
  <c r="R230" i="1"/>
  <c r="W230" i="1"/>
  <c r="AA230" i="1"/>
  <c r="AB230" i="1"/>
  <c r="AE230" i="1"/>
  <c r="AF230" i="1"/>
  <c r="AM230" i="1"/>
  <c r="AN230" i="1"/>
  <c r="AO230" i="1"/>
  <c r="AQ230" i="1"/>
  <c r="AX230" i="1"/>
  <c r="BD230" i="1"/>
  <c r="B231" i="1"/>
  <c r="C231" i="1"/>
  <c r="D231" i="1"/>
  <c r="E231" i="1"/>
  <c r="F231" i="1"/>
  <c r="G231" i="1"/>
  <c r="H231" i="1"/>
  <c r="I231" i="1"/>
  <c r="J231" i="1"/>
  <c r="K231" i="1"/>
  <c r="M231" i="1"/>
  <c r="O231" i="1"/>
  <c r="Q231" i="1"/>
  <c r="R231" i="1"/>
  <c r="W231" i="1"/>
  <c r="AA231" i="1"/>
  <c r="AB231" i="1"/>
  <c r="AE231" i="1"/>
  <c r="AF231" i="1"/>
  <c r="AM231" i="1"/>
  <c r="AN231" i="1"/>
  <c r="AO231" i="1"/>
  <c r="AQ231" i="1"/>
  <c r="AX231" i="1"/>
  <c r="BD231" i="1"/>
  <c r="B232" i="1"/>
  <c r="C232" i="1"/>
  <c r="D232" i="1"/>
  <c r="E232" i="1"/>
  <c r="F232" i="1"/>
  <c r="G232" i="1"/>
  <c r="H232" i="1"/>
  <c r="I232" i="1"/>
  <c r="J232" i="1"/>
  <c r="K232" i="1"/>
  <c r="M232" i="1"/>
  <c r="O232" i="1"/>
  <c r="Q232" i="1"/>
  <c r="R232" i="1"/>
  <c r="W232" i="1"/>
  <c r="AA232" i="1"/>
  <c r="AB232" i="1"/>
  <c r="AE232" i="1"/>
  <c r="AF232" i="1"/>
  <c r="AM232" i="1"/>
  <c r="AN232" i="1"/>
  <c r="AO232" i="1"/>
  <c r="AQ232" i="1"/>
  <c r="AX232" i="1"/>
  <c r="BD232" i="1"/>
  <c r="B233" i="1"/>
  <c r="C233" i="1"/>
  <c r="D233" i="1"/>
  <c r="E233" i="1"/>
  <c r="F233" i="1"/>
  <c r="G233" i="1"/>
  <c r="H233" i="1"/>
  <c r="I233" i="1"/>
  <c r="J233" i="1"/>
  <c r="K233" i="1"/>
  <c r="M233" i="1"/>
  <c r="O233" i="1"/>
  <c r="Q233" i="1"/>
  <c r="R233" i="1"/>
  <c r="W233" i="1"/>
  <c r="AA233" i="1"/>
  <c r="AB233" i="1"/>
  <c r="AE233" i="1"/>
  <c r="AF233" i="1"/>
  <c r="AM233" i="1"/>
  <c r="AN233" i="1"/>
  <c r="AO233" i="1"/>
  <c r="AQ233" i="1"/>
  <c r="AX233" i="1"/>
  <c r="BD233" i="1"/>
  <c r="B234" i="1"/>
  <c r="C234" i="1"/>
  <c r="D234" i="1"/>
  <c r="E234" i="1"/>
  <c r="F234" i="1"/>
  <c r="G234" i="1"/>
  <c r="H234" i="1"/>
  <c r="I234" i="1"/>
  <c r="J234" i="1"/>
  <c r="K234" i="1"/>
  <c r="M234" i="1"/>
  <c r="O234" i="1"/>
  <c r="Q234" i="1"/>
  <c r="R234" i="1"/>
  <c r="W234" i="1"/>
  <c r="AA234" i="1"/>
  <c r="AB234" i="1"/>
  <c r="AE234" i="1"/>
  <c r="AF234" i="1"/>
  <c r="AM234" i="1"/>
  <c r="AN234" i="1"/>
  <c r="AO234" i="1"/>
  <c r="AQ234" i="1"/>
  <c r="AX234" i="1"/>
  <c r="BD234" i="1"/>
  <c r="B235" i="1"/>
  <c r="C235" i="1"/>
  <c r="D235" i="1"/>
  <c r="E235" i="1"/>
  <c r="F235" i="1"/>
  <c r="G235" i="1"/>
  <c r="H235" i="1"/>
  <c r="I235" i="1"/>
  <c r="J235" i="1"/>
  <c r="K235" i="1"/>
  <c r="M235" i="1"/>
  <c r="O235" i="1"/>
  <c r="Q235" i="1"/>
  <c r="R235" i="1"/>
  <c r="W235" i="1"/>
  <c r="AA235" i="1"/>
  <c r="AB235" i="1"/>
  <c r="AM235" i="1"/>
  <c r="AN235" i="1"/>
  <c r="AO235" i="1"/>
  <c r="AQ235" i="1"/>
  <c r="AX235" i="1"/>
  <c r="BD235" i="1"/>
  <c r="B236" i="1"/>
  <c r="E236" i="1"/>
  <c r="F236" i="1"/>
  <c r="G236" i="1"/>
  <c r="H236" i="1"/>
  <c r="I236" i="1"/>
  <c r="J236" i="1"/>
  <c r="K236" i="1"/>
  <c r="M236" i="1"/>
  <c r="O236" i="1"/>
  <c r="Q236" i="1"/>
  <c r="R236" i="1"/>
  <c r="W236" i="1"/>
  <c r="AA236" i="1"/>
  <c r="AB236" i="1"/>
  <c r="AM236" i="1"/>
  <c r="AN236" i="1"/>
  <c r="AO236" i="1"/>
  <c r="AQ236" i="1"/>
  <c r="AX236" i="1"/>
  <c r="BD236" i="1"/>
  <c r="B237" i="1"/>
  <c r="C237" i="1"/>
  <c r="E237" i="1"/>
  <c r="F237" i="1"/>
  <c r="G237" i="1"/>
  <c r="H237" i="1"/>
  <c r="I237" i="1"/>
  <c r="J237" i="1"/>
  <c r="K237" i="1"/>
  <c r="M237" i="1"/>
  <c r="O237" i="1"/>
  <c r="Q237" i="1"/>
  <c r="R237" i="1"/>
  <c r="W237" i="1"/>
  <c r="AA237" i="1"/>
  <c r="AB237" i="1"/>
  <c r="AE237" i="1"/>
  <c r="AF237" i="1"/>
  <c r="AM237" i="1"/>
  <c r="AN237" i="1"/>
  <c r="AO237" i="1"/>
  <c r="AQ237" i="1"/>
  <c r="AX237" i="1"/>
  <c r="BD237" i="1"/>
  <c r="B238" i="1"/>
  <c r="C238" i="1"/>
  <c r="E238" i="1"/>
  <c r="F238" i="1"/>
  <c r="G238" i="1"/>
  <c r="H238" i="1"/>
  <c r="I238" i="1"/>
  <c r="J238" i="1"/>
  <c r="K238" i="1"/>
  <c r="M238" i="1"/>
  <c r="O238" i="1"/>
  <c r="Q238" i="1"/>
  <c r="R238" i="1"/>
  <c r="W238" i="1"/>
  <c r="AA238" i="1"/>
  <c r="AB238" i="1"/>
  <c r="AE238" i="1"/>
  <c r="AF238" i="1"/>
  <c r="AM238" i="1"/>
  <c r="AN238" i="1"/>
  <c r="AO238" i="1"/>
  <c r="AQ238" i="1"/>
  <c r="AX238" i="1"/>
  <c r="BD238" i="1"/>
  <c r="B239" i="1"/>
  <c r="C239" i="1"/>
  <c r="E239" i="1"/>
  <c r="F239" i="1"/>
  <c r="G239" i="1"/>
  <c r="H239" i="1"/>
  <c r="I239" i="1"/>
  <c r="J239" i="1"/>
  <c r="K239" i="1"/>
  <c r="M239" i="1"/>
  <c r="O239" i="1"/>
  <c r="Q239" i="1"/>
  <c r="R239" i="1"/>
  <c r="W239" i="1"/>
  <c r="AA239" i="1"/>
  <c r="AB239" i="1"/>
  <c r="AE239" i="1"/>
  <c r="AF239" i="1"/>
  <c r="AM239" i="1"/>
  <c r="AN239" i="1"/>
  <c r="AO239" i="1"/>
  <c r="AQ239" i="1"/>
  <c r="AX239" i="1"/>
  <c r="BD239" i="1"/>
  <c r="B240" i="1"/>
  <c r="C240" i="1"/>
  <c r="E240" i="1"/>
  <c r="F240" i="1"/>
  <c r="G240" i="1"/>
  <c r="H240" i="1"/>
  <c r="I240" i="1"/>
  <c r="J240" i="1"/>
  <c r="K240" i="1"/>
  <c r="M240" i="1"/>
  <c r="O240" i="1"/>
  <c r="Q240" i="1"/>
  <c r="R240" i="1"/>
  <c r="W240" i="1"/>
  <c r="AA240" i="1"/>
  <c r="AB240" i="1"/>
  <c r="AE240" i="1"/>
  <c r="AF240" i="1"/>
  <c r="AM240" i="1"/>
  <c r="AN240" i="1"/>
  <c r="AO240" i="1"/>
  <c r="AQ240" i="1"/>
  <c r="AX240" i="1"/>
  <c r="BD240" i="1"/>
  <c r="B241" i="1"/>
  <c r="C241" i="1"/>
  <c r="E241" i="1"/>
  <c r="F241" i="1"/>
  <c r="G241" i="1"/>
  <c r="H241" i="1"/>
  <c r="I241" i="1"/>
  <c r="J241" i="1"/>
  <c r="K241" i="1"/>
  <c r="M241" i="1"/>
  <c r="O241" i="1"/>
  <c r="Q241" i="1"/>
  <c r="R241" i="1"/>
  <c r="W241" i="1"/>
  <c r="AA241" i="1"/>
  <c r="AB241" i="1"/>
  <c r="AE241" i="1"/>
  <c r="AF241" i="1"/>
  <c r="AM241" i="1"/>
  <c r="AN241" i="1"/>
  <c r="AO241" i="1"/>
  <c r="AQ241" i="1"/>
  <c r="AX241" i="1"/>
  <c r="BD241" i="1"/>
  <c r="B242" i="1"/>
  <c r="C242" i="1"/>
  <c r="E242" i="1"/>
  <c r="F242" i="1"/>
  <c r="G242" i="1"/>
  <c r="H242" i="1"/>
  <c r="I242" i="1"/>
  <c r="J242" i="1"/>
  <c r="K242" i="1"/>
  <c r="M242" i="1"/>
  <c r="O242" i="1"/>
  <c r="Q242" i="1"/>
  <c r="R242" i="1"/>
  <c r="W242" i="1"/>
  <c r="AA242" i="1"/>
  <c r="AB242" i="1"/>
  <c r="AE242" i="1"/>
  <c r="AF242" i="1"/>
  <c r="AM242" i="1"/>
  <c r="AN242" i="1"/>
  <c r="AO242" i="1"/>
  <c r="AQ242" i="1"/>
  <c r="AX242" i="1"/>
  <c r="BD242" i="1"/>
  <c r="B243" i="1"/>
  <c r="C243" i="1"/>
  <c r="E243" i="1"/>
  <c r="F243" i="1"/>
  <c r="G243" i="1"/>
  <c r="H243" i="1"/>
  <c r="I243" i="1"/>
  <c r="J243" i="1"/>
  <c r="K243" i="1"/>
  <c r="M243" i="1"/>
  <c r="O243" i="1"/>
  <c r="Q243" i="1"/>
  <c r="R243" i="1"/>
  <c r="W243" i="1"/>
  <c r="AA243" i="1"/>
  <c r="AB243" i="1"/>
  <c r="AE243" i="1"/>
  <c r="AF243" i="1"/>
  <c r="AM243" i="1"/>
  <c r="AN243" i="1"/>
  <c r="AO243" i="1"/>
  <c r="AQ243" i="1"/>
  <c r="AX243" i="1"/>
  <c r="BD243" i="1"/>
  <c r="B244" i="1"/>
  <c r="C244" i="1"/>
  <c r="E244" i="1"/>
  <c r="F244" i="1"/>
  <c r="G244" i="1"/>
  <c r="H244" i="1"/>
  <c r="I244" i="1"/>
  <c r="J244" i="1"/>
  <c r="K244" i="1"/>
  <c r="M244" i="1"/>
  <c r="O244" i="1"/>
  <c r="Q244" i="1"/>
  <c r="R244" i="1"/>
  <c r="W244" i="1"/>
  <c r="AA244" i="1"/>
  <c r="AB244" i="1"/>
  <c r="AE244" i="1"/>
  <c r="AF244" i="1"/>
  <c r="AM244" i="1"/>
  <c r="AN244" i="1"/>
  <c r="AO244" i="1"/>
  <c r="AQ244" i="1"/>
  <c r="AX244" i="1"/>
  <c r="BD244" i="1"/>
  <c r="B245" i="1"/>
  <c r="C245" i="1"/>
  <c r="E245" i="1"/>
  <c r="F245" i="1"/>
  <c r="G245" i="1"/>
  <c r="H245" i="1"/>
  <c r="I245" i="1"/>
  <c r="J245" i="1"/>
  <c r="K245" i="1"/>
  <c r="M245" i="1"/>
  <c r="O245" i="1"/>
  <c r="Q245" i="1"/>
  <c r="R245" i="1"/>
  <c r="W245" i="1"/>
  <c r="AA245" i="1"/>
  <c r="AB245" i="1"/>
  <c r="AE245" i="1"/>
  <c r="AF245" i="1"/>
  <c r="AM245" i="1"/>
  <c r="AN245" i="1"/>
  <c r="AO245" i="1"/>
  <c r="AQ245" i="1"/>
  <c r="AX245" i="1"/>
  <c r="BD245" i="1"/>
  <c r="B246" i="1"/>
  <c r="C246" i="1"/>
  <c r="E246" i="1"/>
  <c r="F246" i="1"/>
  <c r="G246" i="1"/>
  <c r="H246" i="1"/>
  <c r="I246" i="1"/>
  <c r="J246" i="1"/>
  <c r="K246" i="1"/>
  <c r="M246" i="1"/>
  <c r="O246" i="1"/>
  <c r="Q246" i="1"/>
  <c r="R246" i="1"/>
  <c r="W246" i="1"/>
  <c r="AA246" i="1"/>
  <c r="AB246" i="1"/>
  <c r="AE246" i="1"/>
  <c r="AF246" i="1"/>
  <c r="AM246" i="1"/>
  <c r="AN246" i="1"/>
  <c r="AO246" i="1"/>
  <c r="AQ246" i="1"/>
  <c r="AX246" i="1"/>
  <c r="BD246" i="1"/>
  <c r="B247" i="1"/>
  <c r="C247" i="1"/>
  <c r="E247" i="1"/>
  <c r="F247" i="1"/>
  <c r="G247" i="1"/>
  <c r="H247" i="1"/>
  <c r="I247" i="1"/>
  <c r="J247" i="1"/>
  <c r="K247" i="1"/>
  <c r="M247" i="1"/>
  <c r="O247" i="1"/>
  <c r="Q247" i="1"/>
  <c r="R247" i="1"/>
  <c r="W247" i="1"/>
  <c r="AA247" i="1"/>
  <c r="AB247" i="1"/>
  <c r="AE247" i="1"/>
  <c r="AF247" i="1"/>
  <c r="AM247" i="1"/>
  <c r="AN247" i="1"/>
  <c r="AO247" i="1"/>
  <c r="AQ247" i="1"/>
  <c r="AX247" i="1"/>
  <c r="BD247" i="1"/>
  <c r="B248" i="1"/>
  <c r="C248" i="1"/>
  <c r="E248" i="1"/>
  <c r="F248" i="1"/>
  <c r="G248" i="1"/>
  <c r="H248" i="1"/>
  <c r="I248" i="1"/>
  <c r="J248" i="1"/>
  <c r="K248" i="1"/>
  <c r="M248" i="1"/>
  <c r="O248" i="1"/>
  <c r="Q248" i="1"/>
  <c r="R248" i="1"/>
  <c r="W248" i="1"/>
  <c r="AA248" i="1"/>
  <c r="AB248" i="1"/>
  <c r="AE248" i="1"/>
  <c r="AF248" i="1"/>
  <c r="AM248" i="1"/>
  <c r="AN248" i="1"/>
  <c r="AO248" i="1"/>
  <c r="AQ248" i="1"/>
  <c r="AX248" i="1"/>
  <c r="BD248" i="1"/>
  <c r="B249" i="1"/>
  <c r="C249" i="1"/>
  <c r="E249" i="1"/>
  <c r="F249" i="1"/>
  <c r="G249" i="1"/>
  <c r="H249" i="1"/>
  <c r="I249" i="1"/>
  <c r="J249" i="1"/>
  <c r="K249" i="1"/>
  <c r="M249" i="1"/>
  <c r="O249" i="1"/>
  <c r="Q249" i="1"/>
  <c r="R249" i="1"/>
  <c r="W249" i="1"/>
  <c r="AA249" i="1"/>
  <c r="AB249" i="1"/>
  <c r="AE249" i="1"/>
  <c r="AF249" i="1"/>
  <c r="AM249" i="1"/>
  <c r="AN249" i="1"/>
  <c r="AO249" i="1"/>
  <c r="AQ249" i="1"/>
  <c r="AX249" i="1"/>
  <c r="BD249" i="1"/>
  <c r="B250" i="1"/>
  <c r="C250" i="1"/>
  <c r="E250" i="1"/>
  <c r="F250" i="1"/>
  <c r="G250" i="1"/>
  <c r="H250" i="1"/>
  <c r="I250" i="1"/>
  <c r="J250" i="1"/>
  <c r="K250" i="1"/>
  <c r="M250" i="1"/>
  <c r="O250" i="1"/>
  <c r="Q250" i="1"/>
  <c r="R250" i="1"/>
  <c r="W250" i="1"/>
  <c r="AA250" i="1"/>
  <c r="AB250" i="1"/>
  <c r="AE250" i="1"/>
  <c r="AF250" i="1"/>
  <c r="AM250" i="1"/>
  <c r="AN250" i="1"/>
  <c r="AO250" i="1"/>
  <c r="AQ250" i="1"/>
  <c r="AX250" i="1"/>
  <c r="BD250" i="1"/>
  <c r="B251" i="1"/>
  <c r="C251" i="1"/>
  <c r="E251" i="1"/>
  <c r="F251" i="1"/>
  <c r="G251" i="1"/>
  <c r="H251" i="1"/>
  <c r="I251" i="1"/>
  <c r="J251" i="1"/>
  <c r="K251" i="1"/>
  <c r="M251" i="1"/>
  <c r="O251" i="1"/>
  <c r="Q251" i="1"/>
  <c r="R251" i="1"/>
  <c r="W251" i="1"/>
  <c r="AA251" i="1"/>
  <c r="AB251" i="1"/>
  <c r="AE251" i="1"/>
  <c r="AF251" i="1"/>
  <c r="AM251" i="1"/>
  <c r="AN251" i="1"/>
  <c r="AO251" i="1"/>
  <c r="AQ251" i="1"/>
  <c r="AX251" i="1"/>
  <c r="BD251" i="1"/>
  <c r="B252" i="1"/>
  <c r="E252" i="1"/>
  <c r="F252" i="1"/>
  <c r="G252" i="1"/>
  <c r="H252" i="1"/>
  <c r="I252" i="1"/>
  <c r="J252" i="1"/>
  <c r="K252" i="1"/>
  <c r="M252" i="1"/>
  <c r="O252" i="1"/>
  <c r="Q252" i="1"/>
  <c r="R252" i="1"/>
  <c r="W252" i="1"/>
  <c r="AA252" i="1"/>
  <c r="AB252" i="1"/>
  <c r="AM252" i="1"/>
  <c r="AN252" i="1"/>
  <c r="AO252" i="1"/>
  <c r="AQ252" i="1"/>
  <c r="AX252" i="1"/>
  <c r="BD252" i="1"/>
  <c r="B253" i="1"/>
  <c r="E253" i="1"/>
  <c r="F253" i="1"/>
  <c r="G253" i="1"/>
  <c r="H253" i="1"/>
  <c r="I253" i="1"/>
  <c r="J253" i="1"/>
  <c r="K253" i="1"/>
  <c r="M253" i="1"/>
  <c r="O253" i="1"/>
  <c r="Q253" i="1"/>
  <c r="R253" i="1"/>
  <c r="W253" i="1"/>
  <c r="AA253" i="1"/>
  <c r="AB253" i="1"/>
  <c r="AM253" i="1"/>
  <c r="AN253" i="1"/>
  <c r="AO253" i="1"/>
  <c r="AQ253" i="1"/>
  <c r="AX253" i="1"/>
  <c r="BD253" i="1"/>
  <c r="B254" i="1"/>
  <c r="C254" i="1"/>
  <c r="D254" i="1"/>
  <c r="E254" i="1"/>
  <c r="F254" i="1"/>
  <c r="G254" i="1"/>
  <c r="H254" i="1"/>
  <c r="I254" i="1"/>
  <c r="J254" i="1"/>
  <c r="K254" i="1"/>
  <c r="M254" i="1"/>
  <c r="O254" i="1"/>
  <c r="Q254" i="1"/>
  <c r="R254" i="1"/>
  <c r="W254" i="1"/>
  <c r="AA254" i="1"/>
  <c r="AB254" i="1"/>
  <c r="AM254" i="1"/>
  <c r="AN254" i="1"/>
  <c r="AO254" i="1"/>
  <c r="AQ254" i="1"/>
  <c r="AX254" i="1"/>
  <c r="BD254" i="1"/>
  <c r="B255" i="1"/>
  <c r="C255" i="1"/>
  <c r="E255" i="1"/>
  <c r="F255" i="1"/>
  <c r="G255" i="1"/>
  <c r="H255" i="1"/>
  <c r="I255" i="1"/>
  <c r="J255" i="1"/>
  <c r="K255" i="1"/>
  <c r="M255" i="1"/>
  <c r="O255" i="1"/>
  <c r="Q255" i="1"/>
  <c r="R255" i="1"/>
  <c r="W255" i="1"/>
  <c r="AA255" i="1"/>
  <c r="AB255" i="1"/>
  <c r="AE255" i="1"/>
  <c r="AF255" i="1"/>
  <c r="AM255" i="1"/>
  <c r="AN255" i="1"/>
  <c r="AO255" i="1"/>
  <c r="AQ255" i="1"/>
  <c r="AX255" i="1"/>
  <c r="BD255" i="1"/>
  <c r="B256" i="1"/>
  <c r="C256" i="1"/>
  <c r="E256" i="1"/>
  <c r="F256" i="1"/>
  <c r="G256" i="1"/>
  <c r="H256" i="1"/>
  <c r="I256" i="1"/>
  <c r="J256" i="1"/>
  <c r="K256" i="1"/>
  <c r="M256" i="1"/>
  <c r="O256" i="1"/>
  <c r="Q256" i="1"/>
  <c r="R256" i="1"/>
  <c r="W256" i="1"/>
  <c r="AA256" i="1"/>
  <c r="AM256" i="1"/>
  <c r="AN256" i="1"/>
  <c r="AO256" i="1"/>
  <c r="AQ256" i="1"/>
  <c r="BB256" i="1"/>
  <c r="BD256" i="1"/>
  <c r="B257" i="1"/>
  <c r="C257" i="1"/>
  <c r="E257" i="1"/>
  <c r="F257" i="1"/>
  <c r="G257" i="1"/>
  <c r="H257" i="1"/>
  <c r="I257" i="1"/>
  <c r="J257" i="1"/>
  <c r="K257" i="1"/>
  <c r="M257" i="1"/>
  <c r="O257" i="1"/>
  <c r="Q257" i="1"/>
  <c r="R257" i="1"/>
  <c r="W257" i="1"/>
  <c r="AA257" i="1"/>
  <c r="AM257" i="1"/>
  <c r="AN257" i="1"/>
  <c r="AO257" i="1"/>
  <c r="AQ257" i="1"/>
  <c r="BB257" i="1"/>
  <c r="BD257" i="1"/>
  <c r="B258" i="1"/>
  <c r="E258" i="1"/>
  <c r="F258" i="1"/>
  <c r="G258" i="1"/>
  <c r="H258" i="1"/>
  <c r="I258" i="1"/>
  <c r="J258" i="1"/>
  <c r="K258" i="1"/>
  <c r="M258" i="1"/>
  <c r="O258" i="1"/>
  <c r="Q258" i="1"/>
  <c r="R258" i="1"/>
  <c r="W258" i="1"/>
  <c r="AA258" i="1"/>
  <c r="AB258" i="1"/>
  <c r="AM258" i="1"/>
  <c r="AN258" i="1"/>
  <c r="AO258" i="1"/>
  <c r="AQ258" i="1"/>
  <c r="AX258" i="1"/>
  <c r="BD258" i="1"/>
  <c r="B259" i="1"/>
  <c r="E259" i="1"/>
  <c r="F259" i="1"/>
  <c r="G259" i="1"/>
  <c r="H259" i="1"/>
  <c r="I259" i="1"/>
  <c r="J259" i="1"/>
  <c r="K259" i="1"/>
  <c r="M259" i="1"/>
  <c r="O259" i="1"/>
  <c r="Q259" i="1"/>
  <c r="R259" i="1"/>
  <c r="W259" i="1"/>
  <c r="AA259" i="1"/>
  <c r="AM259" i="1"/>
  <c r="AN259" i="1"/>
  <c r="AO259" i="1"/>
  <c r="AQ259" i="1"/>
  <c r="BB259" i="1"/>
  <c r="BD259" i="1"/>
  <c r="B260" i="1"/>
  <c r="E260" i="1"/>
  <c r="F260" i="1"/>
  <c r="G260" i="1"/>
  <c r="H260" i="1"/>
  <c r="I260" i="1"/>
  <c r="J260" i="1"/>
  <c r="K260" i="1"/>
  <c r="M260" i="1"/>
  <c r="O260" i="1"/>
  <c r="Q260" i="1"/>
  <c r="R260" i="1"/>
  <c r="W260" i="1"/>
  <c r="AA260" i="1"/>
  <c r="AM260" i="1"/>
  <c r="AN260" i="1"/>
  <c r="AO260" i="1"/>
  <c r="AQ260" i="1"/>
  <c r="BB260" i="1"/>
  <c r="BD260" i="1"/>
  <c r="B261" i="1"/>
  <c r="E261" i="1"/>
  <c r="F261" i="1"/>
  <c r="G261" i="1"/>
  <c r="H261" i="1"/>
  <c r="I261" i="1"/>
  <c r="J261" i="1"/>
  <c r="K261" i="1"/>
  <c r="M261" i="1"/>
  <c r="O261" i="1"/>
  <c r="Q261" i="1"/>
  <c r="R261" i="1"/>
  <c r="W261" i="1"/>
  <c r="AA261" i="1"/>
  <c r="AM261" i="1"/>
  <c r="AN261" i="1"/>
  <c r="AO261" i="1"/>
  <c r="AQ261" i="1"/>
  <c r="BD261" i="1"/>
  <c r="B262" i="1"/>
  <c r="C262" i="1"/>
  <c r="E262" i="1"/>
  <c r="F262" i="1"/>
  <c r="G262" i="1"/>
  <c r="H262" i="1"/>
  <c r="I262" i="1"/>
  <c r="J262" i="1"/>
  <c r="K262" i="1"/>
  <c r="M262" i="1"/>
  <c r="O262" i="1"/>
  <c r="Q262" i="1"/>
  <c r="R262" i="1"/>
  <c r="W262" i="1"/>
  <c r="AA262" i="1"/>
  <c r="AB262" i="1"/>
  <c r="AE262" i="1"/>
  <c r="AF262" i="1"/>
  <c r="AM262" i="1"/>
  <c r="AN262" i="1"/>
  <c r="AO262" i="1"/>
  <c r="AQ262" i="1"/>
  <c r="AX262" i="1"/>
  <c r="BD262" i="1"/>
  <c r="B263" i="1"/>
  <c r="E263" i="1"/>
  <c r="F263" i="1"/>
  <c r="G263" i="1"/>
  <c r="H263" i="1"/>
  <c r="I263" i="1"/>
  <c r="J263" i="1"/>
  <c r="K263" i="1"/>
  <c r="M263" i="1"/>
  <c r="O263" i="1"/>
  <c r="Q263" i="1"/>
  <c r="R263" i="1"/>
  <c r="W263" i="1"/>
  <c r="AA263" i="1"/>
  <c r="AB263" i="1"/>
  <c r="AM263" i="1"/>
  <c r="AN263" i="1"/>
  <c r="AO263" i="1"/>
  <c r="AQ263" i="1"/>
  <c r="AX263" i="1"/>
  <c r="BD263" i="1"/>
  <c r="B264" i="1"/>
  <c r="E264" i="1"/>
  <c r="F264" i="1"/>
  <c r="G264" i="1"/>
  <c r="H264" i="1"/>
  <c r="I264" i="1"/>
  <c r="J264" i="1"/>
  <c r="K264" i="1"/>
  <c r="M264" i="1"/>
  <c r="O264" i="1"/>
  <c r="Q264" i="1"/>
  <c r="R264" i="1"/>
  <c r="W264" i="1"/>
  <c r="AA264" i="1"/>
  <c r="AB264" i="1"/>
  <c r="AM264" i="1"/>
  <c r="AN264" i="1"/>
  <c r="AO264" i="1"/>
  <c r="AQ264" i="1"/>
  <c r="AX264" i="1"/>
  <c r="BD264" i="1"/>
  <c r="B265" i="1"/>
  <c r="C265" i="1"/>
  <c r="E265" i="1"/>
  <c r="F265" i="1"/>
  <c r="G265" i="1"/>
  <c r="H265" i="1"/>
  <c r="I265" i="1"/>
  <c r="J265" i="1"/>
  <c r="K265" i="1"/>
  <c r="M265" i="1"/>
  <c r="O265" i="1"/>
  <c r="Q265" i="1"/>
  <c r="R265" i="1"/>
  <c r="W265" i="1"/>
  <c r="AA265" i="1"/>
  <c r="AB265" i="1"/>
  <c r="AE265" i="1"/>
  <c r="AF265" i="1"/>
  <c r="AM265" i="1"/>
  <c r="AN265" i="1"/>
  <c r="AO265" i="1"/>
  <c r="AQ265" i="1"/>
  <c r="AX265" i="1"/>
  <c r="BD265" i="1"/>
  <c r="B266" i="1"/>
  <c r="C266" i="1"/>
  <c r="E266" i="1"/>
  <c r="F266" i="1"/>
  <c r="G266" i="1"/>
  <c r="H266" i="1"/>
  <c r="I266" i="1"/>
  <c r="J266" i="1"/>
  <c r="K266" i="1"/>
  <c r="M266" i="1"/>
  <c r="O266" i="1"/>
  <c r="Q266" i="1"/>
  <c r="R266" i="1"/>
  <c r="W266" i="1"/>
  <c r="AA266" i="1"/>
  <c r="AB266" i="1"/>
  <c r="AE266" i="1"/>
  <c r="AF266" i="1"/>
  <c r="AM266" i="1"/>
  <c r="AN266" i="1"/>
  <c r="AO266" i="1"/>
  <c r="AQ266" i="1"/>
  <c r="AX266" i="1"/>
  <c r="BD266" i="1"/>
  <c r="B267" i="1"/>
  <c r="C267" i="1"/>
  <c r="E267" i="1"/>
  <c r="F267" i="1"/>
  <c r="G267" i="1"/>
  <c r="H267" i="1"/>
  <c r="I267" i="1"/>
  <c r="J267" i="1"/>
  <c r="K267" i="1"/>
  <c r="M267" i="1"/>
  <c r="O267" i="1"/>
  <c r="Q267" i="1"/>
  <c r="R267" i="1"/>
  <c r="W267" i="1"/>
  <c r="AA267" i="1"/>
  <c r="AB267" i="1"/>
  <c r="AE267" i="1"/>
  <c r="AF267" i="1"/>
  <c r="AM267" i="1"/>
  <c r="AN267" i="1"/>
  <c r="AO267" i="1"/>
  <c r="AQ267" i="1"/>
  <c r="AX267" i="1"/>
  <c r="BD267" i="1"/>
  <c r="B268" i="1"/>
  <c r="C268" i="1"/>
  <c r="E268" i="1"/>
  <c r="F268" i="1"/>
  <c r="G268" i="1"/>
  <c r="H268" i="1"/>
  <c r="I268" i="1"/>
  <c r="J268" i="1"/>
  <c r="K268" i="1"/>
  <c r="M268" i="1"/>
  <c r="O268" i="1"/>
  <c r="Q268" i="1"/>
  <c r="R268" i="1"/>
  <c r="W268" i="1"/>
  <c r="AA268" i="1"/>
  <c r="AB268" i="1"/>
  <c r="AE268" i="1"/>
  <c r="AF268" i="1"/>
  <c r="AM268" i="1"/>
  <c r="AN268" i="1"/>
  <c r="AO268" i="1"/>
  <c r="AQ268" i="1"/>
  <c r="AX268" i="1"/>
  <c r="BD268" i="1"/>
  <c r="B269" i="1"/>
  <c r="C269" i="1"/>
  <c r="E269" i="1"/>
  <c r="F269" i="1"/>
  <c r="G269" i="1"/>
  <c r="H269" i="1"/>
  <c r="I269" i="1"/>
  <c r="J269" i="1"/>
  <c r="K269" i="1"/>
  <c r="M269" i="1"/>
  <c r="O269" i="1"/>
  <c r="Q269" i="1"/>
  <c r="R269" i="1"/>
  <c r="W269" i="1"/>
  <c r="AA269" i="1"/>
  <c r="AB269" i="1"/>
  <c r="AE269" i="1"/>
  <c r="AF269" i="1"/>
  <c r="AM269" i="1"/>
  <c r="AN269" i="1"/>
  <c r="AO269" i="1"/>
  <c r="AQ269" i="1"/>
  <c r="AX269" i="1"/>
  <c r="BD269" i="1"/>
  <c r="B270" i="1"/>
  <c r="C270" i="1"/>
  <c r="E270" i="1"/>
  <c r="F270" i="1"/>
  <c r="G270" i="1"/>
  <c r="H270" i="1"/>
  <c r="I270" i="1"/>
  <c r="J270" i="1"/>
  <c r="K270" i="1"/>
  <c r="M270" i="1"/>
  <c r="O270" i="1"/>
  <c r="Q270" i="1"/>
  <c r="R270" i="1"/>
  <c r="W270" i="1"/>
  <c r="AA270" i="1"/>
  <c r="AB270" i="1"/>
  <c r="AE270" i="1"/>
  <c r="AF270" i="1"/>
  <c r="AM270" i="1"/>
  <c r="AN270" i="1"/>
  <c r="AO270" i="1"/>
  <c r="AQ270" i="1"/>
  <c r="AX270" i="1"/>
  <c r="BD270" i="1"/>
  <c r="B271" i="1"/>
  <c r="C271" i="1"/>
  <c r="D271" i="1"/>
  <c r="E271" i="1"/>
  <c r="F271" i="1"/>
  <c r="G271" i="1"/>
  <c r="H271" i="1"/>
  <c r="I271" i="1"/>
  <c r="J271" i="1"/>
  <c r="K271" i="1"/>
  <c r="M271" i="1"/>
  <c r="O271" i="1"/>
  <c r="Q271" i="1"/>
  <c r="R271" i="1"/>
  <c r="W271" i="1"/>
  <c r="AA271" i="1"/>
  <c r="AB271" i="1"/>
  <c r="AE271" i="1"/>
  <c r="AF271" i="1"/>
  <c r="AM271" i="1"/>
  <c r="AN271" i="1"/>
  <c r="AO271" i="1"/>
  <c r="AQ271" i="1"/>
  <c r="AX271" i="1"/>
  <c r="BD271" i="1"/>
  <c r="B272" i="1"/>
  <c r="C272" i="1"/>
  <c r="E272" i="1"/>
  <c r="F272" i="1"/>
  <c r="G272" i="1"/>
  <c r="H272" i="1"/>
  <c r="I272" i="1"/>
  <c r="J272" i="1"/>
  <c r="K272" i="1"/>
  <c r="M272" i="1"/>
  <c r="O272" i="1"/>
  <c r="Q272" i="1"/>
  <c r="R272" i="1"/>
  <c r="W272" i="1"/>
  <c r="AA272" i="1"/>
  <c r="AB272" i="1"/>
  <c r="AE272" i="1"/>
  <c r="AF272" i="1"/>
  <c r="AM272" i="1"/>
  <c r="AN272" i="1"/>
  <c r="AO272" i="1"/>
  <c r="AQ272" i="1"/>
  <c r="AX272" i="1"/>
  <c r="BD272" i="1"/>
  <c r="B273" i="1"/>
  <c r="C273" i="1"/>
  <c r="E273" i="1"/>
  <c r="F273" i="1"/>
  <c r="G273" i="1"/>
  <c r="H273" i="1"/>
  <c r="I273" i="1"/>
  <c r="J273" i="1"/>
  <c r="K273" i="1"/>
  <c r="M273" i="1"/>
  <c r="O273" i="1"/>
  <c r="Q273" i="1"/>
  <c r="R273" i="1"/>
  <c r="W273" i="1"/>
  <c r="AA273" i="1"/>
  <c r="AB273" i="1"/>
  <c r="AE273" i="1"/>
  <c r="AF273" i="1"/>
  <c r="AM273" i="1"/>
  <c r="AN273" i="1"/>
  <c r="AO273" i="1"/>
  <c r="AQ273" i="1"/>
  <c r="AX273" i="1"/>
  <c r="BD273" i="1"/>
  <c r="B274" i="1"/>
  <c r="C274" i="1"/>
  <c r="E274" i="1"/>
  <c r="F274" i="1"/>
  <c r="G274" i="1"/>
  <c r="H274" i="1"/>
  <c r="I274" i="1"/>
  <c r="J274" i="1"/>
  <c r="K274" i="1"/>
  <c r="M274" i="1"/>
  <c r="O274" i="1"/>
  <c r="Q274" i="1"/>
  <c r="R274" i="1"/>
  <c r="W274" i="1"/>
  <c r="AA274" i="1"/>
  <c r="AB274" i="1"/>
  <c r="AE274" i="1"/>
  <c r="AF274" i="1"/>
  <c r="AM274" i="1"/>
  <c r="AN274" i="1"/>
  <c r="AO274" i="1"/>
  <c r="AQ274" i="1"/>
  <c r="AX274" i="1"/>
  <c r="BD274" i="1"/>
  <c r="B275" i="1"/>
  <c r="C275" i="1"/>
  <c r="E275" i="1"/>
  <c r="F275" i="1"/>
  <c r="G275" i="1"/>
  <c r="H275" i="1"/>
  <c r="I275" i="1"/>
  <c r="J275" i="1"/>
  <c r="K275" i="1"/>
  <c r="M275" i="1"/>
  <c r="O275" i="1"/>
  <c r="Q275" i="1"/>
  <c r="R275" i="1"/>
  <c r="W275" i="1"/>
  <c r="AA275" i="1"/>
  <c r="AB275" i="1"/>
  <c r="AE275" i="1"/>
  <c r="AF275" i="1"/>
  <c r="AM275" i="1"/>
  <c r="AN275" i="1"/>
  <c r="AO275" i="1"/>
  <c r="AQ275" i="1"/>
  <c r="AX275" i="1"/>
  <c r="BD275" i="1"/>
  <c r="B276" i="1"/>
  <c r="C276" i="1"/>
  <c r="E276" i="1"/>
  <c r="F276" i="1"/>
  <c r="G276" i="1"/>
  <c r="H276" i="1"/>
  <c r="I276" i="1"/>
  <c r="J276" i="1"/>
  <c r="K276" i="1"/>
  <c r="M276" i="1"/>
  <c r="O276" i="1"/>
  <c r="Q276" i="1"/>
  <c r="R276" i="1"/>
  <c r="W276" i="1"/>
  <c r="AA276" i="1"/>
  <c r="AB276" i="1"/>
  <c r="AE276" i="1"/>
  <c r="AF276" i="1"/>
  <c r="AM276" i="1"/>
  <c r="AN276" i="1"/>
  <c r="AO276" i="1"/>
  <c r="AQ276" i="1"/>
  <c r="AX276" i="1"/>
  <c r="BD276" i="1"/>
  <c r="B277" i="1"/>
  <c r="C277" i="1"/>
  <c r="D277" i="1"/>
  <c r="E277" i="1"/>
  <c r="F277" i="1"/>
  <c r="G277" i="1"/>
  <c r="H277" i="1"/>
  <c r="I277" i="1"/>
  <c r="J277" i="1"/>
  <c r="K277" i="1"/>
  <c r="M277" i="1"/>
  <c r="O277" i="1"/>
  <c r="Q277" i="1"/>
  <c r="R277" i="1"/>
  <c r="W277" i="1"/>
  <c r="AA277" i="1"/>
  <c r="AB277" i="1"/>
  <c r="AE277" i="1"/>
  <c r="AF277" i="1"/>
  <c r="AM277" i="1"/>
  <c r="AN277" i="1"/>
  <c r="AO277" i="1"/>
  <c r="AQ277" i="1"/>
  <c r="AX277" i="1"/>
  <c r="BD277" i="1"/>
  <c r="B278" i="1"/>
  <c r="C278" i="1"/>
  <c r="D278" i="1"/>
  <c r="E278" i="1"/>
  <c r="F278" i="1"/>
  <c r="G278" i="1"/>
  <c r="H278" i="1"/>
  <c r="I278" i="1"/>
  <c r="J278" i="1"/>
  <c r="K278" i="1"/>
  <c r="M278" i="1"/>
  <c r="O278" i="1"/>
  <c r="Q278" i="1"/>
  <c r="R278" i="1"/>
  <c r="W278" i="1"/>
  <c r="AA278" i="1"/>
  <c r="AB278" i="1"/>
  <c r="AE278" i="1"/>
  <c r="AF278" i="1"/>
  <c r="AM278" i="1"/>
  <c r="AN278" i="1"/>
  <c r="AO278" i="1"/>
  <c r="AQ278" i="1"/>
  <c r="AX278" i="1"/>
  <c r="BD278" i="1"/>
  <c r="B279" i="1"/>
  <c r="C279" i="1"/>
  <c r="D279" i="1"/>
  <c r="E279" i="1"/>
  <c r="F279" i="1"/>
  <c r="G279" i="1"/>
  <c r="H279" i="1"/>
  <c r="I279" i="1"/>
  <c r="J279" i="1"/>
  <c r="K279" i="1"/>
  <c r="M279" i="1"/>
  <c r="O279" i="1"/>
  <c r="Q279" i="1"/>
  <c r="R279" i="1"/>
  <c r="W279" i="1"/>
  <c r="AA279" i="1"/>
  <c r="AB279" i="1"/>
  <c r="AE279" i="1"/>
  <c r="AF279" i="1"/>
  <c r="AM279" i="1"/>
  <c r="AN279" i="1"/>
  <c r="AO279" i="1"/>
  <c r="AQ279" i="1"/>
  <c r="AX279" i="1"/>
  <c r="BD279" i="1"/>
  <c r="B280" i="1"/>
  <c r="C280" i="1"/>
  <c r="E280" i="1"/>
  <c r="F280" i="1"/>
  <c r="G280" i="1"/>
  <c r="H280" i="1"/>
  <c r="I280" i="1"/>
  <c r="J280" i="1"/>
  <c r="K280" i="1"/>
  <c r="M280" i="1"/>
  <c r="O280" i="1"/>
  <c r="Q280" i="1"/>
  <c r="R280" i="1"/>
  <c r="W280" i="1"/>
  <c r="AA280" i="1"/>
  <c r="AB280" i="1"/>
  <c r="AE280" i="1"/>
  <c r="AF280" i="1"/>
  <c r="AM280" i="1"/>
  <c r="AN280" i="1"/>
  <c r="AO280" i="1"/>
  <c r="AQ280" i="1"/>
  <c r="AX280" i="1"/>
  <c r="BD280" i="1"/>
  <c r="B281" i="1"/>
  <c r="C281" i="1"/>
  <c r="E281" i="1"/>
  <c r="F281" i="1"/>
  <c r="G281" i="1"/>
  <c r="H281" i="1"/>
  <c r="I281" i="1"/>
  <c r="J281" i="1"/>
  <c r="K281" i="1"/>
  <c r="M281" i="1"/>
  <c r="O281" i="1"/>
  <c r="Q281" i="1"/>
  <c r="R281" i="1"/>
  <c r="W281" i="1"/>
  <c r="AA281" i="1"/>
  <c r="AB281" i="1"/>
  <c r="AE281" i="1"/>
  <c r="AF281" i="1"/>
  <c r="AM281" i="1"/>
  <c r="AN281" i="1"/>
  <c r="AO281" i="1"/>
  <c r="AQ281" i="1"/>
  <c r="AX281" i="1"/>
  <c r="BD281" i="1"/>
  <c r="B282" i="1"/>
  <c r="C282" i="1"/>
  <c r="D282" i="1"/>
  <c r="E282" i="1"/>
  <c r="F282" i="1"/>
  <c r="G282" i="1"/>
  <c r="H282" i="1"/>
  <c r="I282" i="1"/>
  <c r="J282" i="1"/>
  <c r="K282" i="1"/>
  <c r="M282" i="1"/>
  <c r="O282" i="1"/>
  <c r="Q282" i="1"/>
  <c r="R282" i="1"/>
  <c r="W282" i="1"/>
  <c r="AA282" i="1"/>
  <c r="AB282" i="1"/>
  <c r="AE282" i="1"/>
  <c r="AF282" i="1"/>
  <c r="AM282" i="1"/>
  <c r="AN282" i="1"/>
  <c r="AO282" i="1"/>
  <c r="AQ282" i="1"/>
  <c r="AX282" i="1"/>
  <c r="BD282" i="1"/>
  <c r="B283" i="1"/>
  <c r="C283" i="1"/>
  <c r="D283" i="1"/>
  <c r="E283" i="1"/>
  <c r="F283" i="1"/>
  <c r="G283" i="1"/>
  <c r="H283" i="1"/>
  <c r="I283" i="1"/>
  <c r="J283" i="1"/>
  <c r="K283" i="1"/>
  <c r="M283" i="1"/>
  <c r="O283" i="1"/>
  <c r="Q283" i="1"/>
  <c r="R283" i="1"/>
  <c r="W283" i="1"/>
  <c r="AA283" i="1"/>
  <c r="AB283" i="1"/>
  <c r="AE283" i="1"/>
  <c r="AF283" i="1"/>
  <c r="AM283" i="1"/>
  <c r="AN283" i="1"/>
  <c r="AO283" i="1"/>
  <c r="AQ283" i="1"/>
  <c r="AX283" i="1"/>
  <c r="BD283" i="1"/>
  <c r="B284" i="1"/>
  <c r="C284" i="1"/>
  <c r="D284" i="1"/>
  <c r="E284" i="1"/>
  <c r="F284" i="1"/>
  <c r="G284" i="1"/>
  <c r="H284" i="1"/>
  <c r="I284" i="1"/>
  <c r="J284" i="1"/>
  <c r="K284" i="1"/>
  <c r="M284" i="1"/>
  <c r="O284" i="1"/>
  <c r="Q284" i="1"/>
  <c r="R284" i="1"/>
  <c r="W284" i="1"/>
  <c r="AA284" i="1"/>
  <c r="AB284" i="1"/>
  <c r="AE284" i="1"/>
  <c r="AF284" i="1"/>
  <c r="AM284" i="1"/>
  <c r="AN284" i="1"/>
  <c r="AO284" i="1"/>
  <c r="AQ284" i="1"/>
  <c r="AX284" i="1"/>
  <c r="BD284" i="1"/>
  <c r="B285" i="1"/>
  <c r="C285" i="1"/>
  <c r="D285" i="1"/>
  <c r="E285" i="1"/>
  <c r="F285" i="1"/>
  <c r="G285" i="1"/>
  <c r="H285" i="1"/>
  <c r="I285" i="1"/>
  <c r="J285" i="1"/>
  <c r="K285" i="1"/>
  <c r="M285" i="1"/>
  <c r="O285" i="1"/>
  <c r="Q285" i="1"/>
  <c r="R285" i="1"/>
  <c r="W285" i="1"/>
  <c r="AA285" i="1"/>
  <c r="AB285" i="1"/>
  <c r="AE285" i="1"/>
  <c r="AF285" i="1"/>
  <c r="AM285" i="1"/>
  <c r="AN285" i="1"/>
  <c r="AO285" i="1"/>
  <c r="AQ285" i="1"/>
  <c r="AX285" i="1"/>
  <c r="BD285" i="1"/>
  <c r="B286" i="1"/>
  <c r="E286" i="1"/>
  <c r="F286" i="1"/>
  <c r="G286" i="1"/>
  <c r="H286" i="1"/>
  <c r="I286" i="1"/>
  <c r="J286" i="1"/>
  <c r="K286" i="1"/>
  <c r="M286" i="1"/>
  <c r="O286" i="1"/>
  <c r="Q286" i="1"/>
  <c r="R286" i="1"/>
  <c r="W286" i="1"/>
  <c r="AA286" i="1"/>
  <c r="AM286" i="1"/>
  <c r="AN286" i="1"/>
  <c r="AO286" i="1"/>
  <c r="AQ286" i="1"/>
  <c r="BB286" i="1"/>
  <c r="BD286" i="1"/>
  <c r="B287" i="1"/>
  <c r="C287" i="1"/>
  <c r="E287" i="1"/>
  <c r="F287" i="1"/>
  <c r="G287" i="1"/>
  <c r="H287" i="1"/>
  <c r="I287" i="1"/>
  <c r="J287" i="1"/>
  <c r="K287" i="1"/>
  <c r="M287" i="1"/>
  <c r="O287" i="1"/>
  <c r="Q287" i="1"/>
  <c r="R287" i="1"/>
  <c r="W287" i="1"/>
  <c r="AA287" i="1"/>
  <c r="AB287" i="1"/>
  <c r="AE287" i="1"/>
  <c r="AF287" i="1"/>
  <c r="AM287" i="1"/>
  <c r="AN287" i="1"/>
  <c r="AO287" i="1"/>
  <c r="AQ287" i="1"/>
  <c r="AX287" i="1"/>
  <c r="BD287" i="1"/>
  <c r="B288" i="1"/>
  <c r="C288" i="1"/>
  <c r="E288" i="1"/>
  <c r="F288" i="1"/>
  <c r="G288" i="1"/>
  <c r="H288" i="1"/>
  <c r="I288" i="1"/>
  <c r="J288" i="1"/>
  <c r="K288" i="1"/>
  <c r="M288" i="1"/>
  <c r="O288" i="1"/>
  <c r="Q288" i="1"/>
  <c r="R288" i="1"/>
  <c r="W288" i="1"/>
  <c r="AA288" i="1"/>
  <c r="AM288" i="1"/>
  <c r="AN288" i="1"/>
  <c r="AO288" i="1"/>
  <c r="AQ288" i="1"/>
  <c r="BB288" i="1"/>
  <c r="BD288" i="1"/>
  <c r="B289" i="1"/>
  <c r="C289" i="1"/>
  <c r="E289" i="1"/>
  <c r="F289" i="1"/>
  <c r="G289" i="1"/>
  <c r="H289" i="1"/>
  <c r="I289" i="1"/>
  <c r="J289" i="1"/>
  <c r="K289" i="1"/>
  <c r="M289" i="1"/>
  <c r="O289" i="1"/>
  <c r="Q289" i="1"/>
  <c r="R289" i="1"/>
  <c r="W289" i="1"/>
  <c r="AA289" i="1"/>
  <c r="AB289" i="1"/>
  <c r="AE289" i="1"/>
  <c r="AF289" i="1"/>
  <c r="AM289" i="1"/>
  <c r="AN289" i="1"/>
  <c r="AO289" i="1"/>
  <c r="AQ289" i="1"/>
  <c r="AX289" i="1"/>
  <c r="BD289" i="1"/>
  <c r="B290" i="1"/>
  <c r="C290" i="1"/>
  <c r="E290" i="1"/>
  <c r="F290" i="1"/>
  <c r="G290" i="1"/>
  <c r="H290" i="1"/>
  <c r="I290" i="1"/>
  <c r="J290" i="1"/>
  <c r="K290" i="1"/>
  <c r="M290" i="1"/>
  <c r="O290" i="1"/>
  <c r="Q290" i="1"/>
  <c r="R290" i="1"/>
  <c r="W290" i="1"/>
  <c r="AA290" i="1"/>
  <c r="AB290" i="1"/>
  <c r="AE290" i="1"/>
  <c r="AF290" i="1"/>
  <c r="AM290" i="1"/>
  <c r="AN290" i="1"/>
  <c r="AO290" i="1"/>
  <c r="AQ290" i="1"/>
  <c r="AX290" i="1"/>
  <c r="BD290" i="1"/>
  <c r="B291" i="1"/>
  <c r="C291" i="1"/>
  <c r="D291" i="1"/>
  <c r="E291" i="1"/>
  <c r="F291" i="1"/>
  <c r="G291" i="1"/>
  <c r="H291" i="1"/>
  <c r="I291" i="1"/>
  <c r="J291" i="1"/>
  <c r="K291" i="1"/>
  <c r="M291" i="1"/>
  <c r="O291" i="1"/>
  <c r="Q291" i="1"/>
  <c r="R291" i="1"/>
  <c r="W291" i="1"/>
  <c r="AA291" i="1"/>
  <c r="AB291" i="1"/>
  <c r="AE291" i="1"/>
  <c r="AF291" i="1"/>
  <c r="AM291" i="1"/>
  <c r="AN291" i="1"/>
  <c r="AO291" i="1"/>
  <c r="AQ291" i="1"/>
  <c r="AX291" i="1"/>
  <c r="BD291" i="1"/>
  <c r="B292" i="1"/>
  <c r="C292" i="1"/>
  <c r="D292" i="1"/>
  <c r="E292" i="1"/>
  <c r="F292" i="1"/>
  <c r="G292" i="1"/>
  <c r="H292" i="1"/>
  <c r="I292" i="1"/>
  <c r="J292" i="1"/>
  <c r="K292" i="1"/>
  <c r="M292" i="1"/>
  <c r="O292" i="1"/>
  <c r="Q292" i="1"/>
  <c r="R292" i="1"/>
  <c r="W292" i="1"/>
  <c r="AA292" i="1"/>
  <c r="AB292" i="1"/>
  <c r="AE292" i="1"/>
  <c r="AF292" i="1"/>
  <c r="AM292" i="1"/>
  <c r="AN292" i="1"/>
  <c r="AO292" i="1"/>
  <c r="AQ292" i="1"/>
  <c r="AX292" i="1"/>
  <c r="BD292" i="1"/>
  <c r="B293" i="1"/>
  <c r="C293" i="1"/>
  <c r="E293" i="1"/>
  <c r="F293" i="1"/>
  <c r="G293" i="1"/>
  <c r="H293" i="1"/>
  <c r="I293" i="1"/>
  <c r="J293" i="1"/>
  <c r="K293" i="1"/>
  <c r="M293" i="1"/>
  <c r="O293" i="1"/>
  <c r="Q293" i="1"/>
  <c r="R293" i="1"/>
  <c r="W293" i="1"/>
  <c r="AA293" i="1"/>
  <c r="AB293" i="1"/>
  <c r="AE293" i="1"/>
  <c r="AF293" i="1"/>
  <c r="AM293" i="1"/>
  <c r="AN293" i="1"/>
  <c r="AO293" i="1"/>
  <c r="AQ293" i="1"/>
  <c r="AX293" i="1"/>
  <c r="BD293" i="1"/>
  <c r="B294" i="1"/>
  <c r="C294" i="1"/>
  <c r="D294" i="1"/>
  <c r="E294" i="1"/>
  <c r="F294" i="1"/>
  <c r="G294" i="1"/>
  <c r="H294" i="1"/>
  <c r="I294" i="1"/>
  <c r="J294" i="1"/>
  <c r="K294" i="1"/>
  <c r="M294" i="1"/>
  <c r="O294" i="1"/>
  <c r="Q294" i="1"/>
  <c r="R294" i="1"/>
  <c r="W294" i="1"/>
  <c r="AA294" i="1"/>
  <c r="AB294" i="1"/>
  <c r="AE294" i="1"/>
  <c r="AF294" i="1"/>
  <c r="AM294" i="1"/>
  <c r="AN294" i="1"/>
  <c r="AO294" i="1"/>
  <c r="AQ294" i="1"/>
  <c r="AX294" i="1"/>
  <c r="BD294" i="1"/>
  <c r="B295" i="1"/>
  <c r="C295" i="1"/>
  <c r="D295" i="1"/>
  <c r="E295" i="1"/>
  <c r="F295" i="1"/>
  <c r="G295" i="1"/>
  <c r="H295" i="1"/>
  <c r="I295" i="1"/>
  <c r="J295" i="1"/>
  <c r="K295" i="1"/>
  <c r="M295" i="1"/>
  <c r="O295" i="1"/>
  <c r="Q295" i="1"/>
  <c r="R295" i="1"/>
  <c r="W295" i="1"/>
  <c r="AA295" i="1"/>
  <c r="AB295" i="1"/>
  <c r="AE295" i="1"/>
  <c r="AF295" i="1"/>
  <c r="AM295" i="1"/>
  <c r="AN295" i="1"/>
  <c r="AO295" i="1"/>
  <c r="AQ295" i="1"/>
  <c r="AX295" i="1"/>
  <c r="BD295" i="1"/>
  <c r="B296" i="1"/>
  <c r="C296" i="1"/>
  <c r="D296" i="1"/>
  <c r="E296" i="1"/>
  <c r="F296" i="1"/>
  <c r="G296" i="1"/>
  <c r="H296" i="1"/>
  <c r="I296" i="1"/>
  <c r="J296" i="1"/>
  <c r="K296" i="1"/>
  <c r="M296" i="1"/>
  <c r="O296" i="1"/>
  <c r="Q296" i="1"/>
  <c r="R296" i="1"/>
  <c r="W296" i="1"/>
  <c r="AA296" i="1"/>
  <c r="AB296" i="1"/>
  <c r="AE296" i="1"/>
  <c r="AF296" i="1"/>
  <c r="AM296" i="1"/>
  <c r="AN296" i="1"/>
  <c r="AO296" i="1"/>
  <c r="AQ296" i="1"/>
  <c r="AX296" i="1"/>
  <c r="BD296" i="1"/>
  <c r="B297" i="1"/>
  <c r="C297" i="1"/>
  <c r="D297" i="1"/>
  <c r="E297" i="1"/>
  <c r="F297" i="1"/>
  <c r="G297" i="1"/>
  <c r="H297" i="1"/>
  <c r="I297" i="1"/>
  <c r="J297" i="1"/>
  <c r="K297" i="1"/>
  <c r="M297" i="1"/>
  <c r="O297" i="1"/>
  <c r="Q297" i="1"/>
  <c r="R297" i="1"/>
  <c r="W297" i="1"/>
  <c r="AA297" i="1"/>
  <c r="AB297" i="1"/>
  <c r="AE297" i="1"/>
  <c r="AF297" i="1"/>
  <c r="AM297" i="1"/>
  <c r="AN297" i="1"/>
  <c r="AO297" i="1"/>
  <c r="AQ297" i="1"/>
  <c r="AX297" i="1"/>
  <c r="BD297" i="1"/>
  <c r="B298" i="1"/>
  <c r="C298" i="1"/>
  <c r="D298" i="1"/>
  <c r="E298" i="1"/>
  <c r="F298" i="1"/>
  <c r="G298" i="1"/>
  <c r="H298" i="1"/>
  <c r="I298" i="1"/>
  <c r="J298" i="1"/>
  <c r="K298" i="1"/>
  <c r="M298" i="1"/>
  <c r="O298" i="1"/>
  <c r="Q298" i="1"/>
  <c r="R298" i="1"/>
  <c r="W298" i="1"/>
  <c r="AA298" i="1"/>
  <c r="AB298" i="1"/>
  <c r="AE298" i="1"/>
  <c r="AF298" i="1"/>
  <c r="AM298" i="1"/>
  <c r="AN298" i="1"/>
  <c r="AO298" i="1"/>
  <c r="AQ298" i="1"/>
  <c r="AX298" i="1"/>
  <c r="BD298" i="1"/>
  <c r="B299" i="1"/>
  <c r="C299" i="1"/>
  <c r="D299" i="1"/>
  <c r="E299" i="1"/>
  <c r="F299" i="1"/>
  <c r="G299" i="1"/>
  <c r="H299" i="1"/>
  <c r="I299" i="1"/>
  <c r="J299" i="1"/>
  <c r="K299" i="1"/>
  <c r="M299" i="1"/>
  <c r="O299" i="1"/>
  <c r="Q299" i="1"/>
  <c r="R299" i="1"/>
  <c r="W299" i="1"/>
  <c r="AA299" i="1"/>
  <c r="AB299" i="1"/>
  <c r="AE299" i="1"/>
  <c r="AF299" i="1"/>
  <c r="AM299" i="1"/>
  <c r="AN299" i="1"/>
  <c r="AO299" i="1"/>
  <c r="AQ299" i="1"/>
  <c r="AX299" i="1"/>
  <c r="BD299" i="1"/>
  <c r="B300" i="1"/>
  <c r="C300" i="1"/>
  <c r="D300" i="1"/>
  <c r="E300" i="1"/>
  <c r="F300" i="1"/>
  <c r="G300" i="1"/>
  <c r="H300" i="1"/>
  <c r="I300" i="1"/>
  <c r="J300" i="1"/>
  <c r="K300" i="1"/>
  <c r="M300" i="1"/>
  <c r="O300" i="1"/>
  <c r="Q300" i="1"/>
  <c r="R300" i="1"/>
  <c r="W300" i="1"/>
  <c r="AA300" i="1"/>
  <c r="AB300" i="1"/>
  <c r="AE300" i="1"/>
  <c r="AF300" i="1"/>
  <c r="AM300" i="1"/>
  <c r="AN300" i="1"/>
  <c r="AO300" i="1"/>
  <c r="AQ300" i="1"/>
  <c r="AX300" i="1"/>
  <c r="BD300" i="1"/>
  <c r="B301" i="1"/>
  <c r="C301" i="1"/>
  <c r="D301" i="1"/>
  <c r="E301" i="1"/>
  <c r="F301" i="1"/>
  <c r="G301" i="1"/>
  <c r="H301" i="1"/>
  <c r="I301" i="1"/>
  <c r="J301" i="1"/>
  <c r="K301" i="1"/>
  <c r="M301" i="1"/>
  <c r="O301" i="1"/>
  <c r="Q301" i="1"/>
  <c r="R301" i="1"/>
  <c r="W301" i="1"/>
  <c r="AA301" i="1"/>
  <c r="AB301" i="1"/>
  <c r="AE301" i="1"/>
  <c r="AF301" i="1"/>
  <c r="AM301" i="1"/>
  <c r="AN301" i="1"/>
  <c r="AO301" i="1"/>
  <c r="AQ301" i="1"/>
  <c r="AX301" i="1"/>
  <c r="BD301" i="1"/>
  <c r="B302" i="1"/>
  <c r="C302" i="1"/>
  <c r="D302" i="1"/>
  <c r="E302" i="1"/>
  <c r="F302" i="1"/>
  <c r="G302" i="1"/>
  <c r="H302" i="1"/>
  <c r="I302" i="1"/>
  <c r="J302" i="1"/>
  <c r="K302" i="1"/>
  <c r="M302" i="1"/>
  <c r="O302" i="1"/>
  <c r="Q302" i="1"/>
  <c r="R302" i="1"/>
  <c r="W302" i="1"/>
  <c r="AA302" i="1"/>
  <c r="AB302" i="1"/>
  <c r="AE302" i="1"/>
  <c r="AF302" i="1"/>
  <c r="AM302" i="1"/>
  <c r="AN302" i="1"/>
  <c r="AO302" i="1"/>
  <c r="AQ302" i="1"/>
  <c r="AX302" i="1"/>
  <c r="BD302" i="1"/>
  <c r="B303" i="1"/>
  <c r="C303" i="1"/>
  <c r="D303" i="1"/>
  <c r="E303" i="1"/>
  <c r="F303" i="1"/>
  <c r="G303" i="1"/>
  <c r="H303" i="1"/>
  <c r="I303" i="1"/>
  <c r="J303" i="1"/>
  <c r="K303" i="1"/>
  <c r="M303" i="1"/>
  <c r="O303" i="1"/>
  <c r="Q303" i="1"/>
  <c r="R303" i="1"/>
  <c r="W303" i="1"/>
  <c r="AA303" i="1"/>
  <c r="AB303" i="1"/>
  <c r="AE303" i="1"/>
  <c r="AF303" i="1"/>
  <c r="AM303" i="1"/>
  <c r="AN303" i="1"/>
  <c r="AO303" i="1"/>
  <c r="AQ303" i="1"/>
  <c r="AX303" i="1"/>
  <c r="BD303" i="1"/>
  <c r="B304" i="1"/>
  <c r="C304" i="1"/>
  <c r="D304" i="1"/>
  <c r="E304" i="1"/>
  <c r="F304" i="1"/>
  <c r="G304" i="1"/>
  <c r="H304" i="1"/>
  <c r="I304" i="1"/>
  <c r="J304" i="1"/>
  <c r="K304" i="1"/>
  <c r="M304" i="1"/>
  <c r="O304" i="1"/>
  <c r="Q304" i="1"/>
  <c r="R304" i="1"/>
  <c r="W304" i="1"/>
  <c r="AA304" i="1"/>
  <c r="AB304" i="1"/>
  <c r="AE304" i="1"/>
  <c r="AF304" i="1"/>
  <c r="AM304" i="1"/>
  <c r="AN304" i="1"/>
  <c r="AO304" i="1"/>
  <c r="AQ304" i="1"/>
  <c r="AX304" i="1"/>
  <c r="BD304" i="1"/>
  <c r="B305" i="1"/>
  <c r="C305" i="1"/>
  <c r="D305" i="1"/>
  <c r="E305" i="1"/>
  <c r="F305" i="1"/>
  <c r="G305" i="1"/>
  <c r="H305" i="1"/>
  <c r="I305" i="1"/>
  <c r="J305" i="1"/>
  <c r="K305" i="1"/>
  <c r="M305" i="1"/>
  <c r="O305" i="1"/>
  <c r="Q305" i="1"/>
  <c r="R305" i="1"/>
  <c r="W305" i="1"/>
  <c r="AA305" i="1"/>
  <c r="AB305" i="1"/>
  <c r="AE305" i="1"/>
  <c r="AF305" i="1"/>
  <c r="AM305" i="1"/>
  <c r="AN305" i="1"/>
  <c r="AO305" i="1"/>
  <c r="AQ305" i="1"/>
  <c r="AX305" i="1"/>
  <c r="BD305" i="1"/>
  <c r="B306" i="1"/>
  <c r="C306" i="1"/>
  <c r="D306" i="1"/>
  <c r="E306" i="1"/>
  <c r="F306" i="1"/>
  <c r="G306" i="1"/>
  <c r="H306" i="1"/>
  <c r="I306" i="1"/>
  <c r="J306" i="1"/>
  <c r="K306" i="1"/>
  <c r="M306" i="1"/>
  <c r="O306" i="1"/>
  <c r="Q306" i="1"/>
  <c r="R306" i="1"/>
  <c r="W306" i="1"/>
  <c r="AA306" i="1"/>
  <c r="AB306" i="1"/>
  <c r="AE306" i="1"/>
  <c r="AF306" i="1"/>
  <c r="AM306" i="1"/>
  <c r="AN306" i="1"/>
  <c r="AO306" i="1"/>
  <c r="AQ306" i="1"/>
  <c r="AX306" i="1"/>
  <c r="BD306" i="1"/>
  <c r="B307" i="1"/>
  <c r="C307" i="1"/>
  <c r="D307" i="1"/>
  <c r="E307" i="1"/>
  <c r="F307" i="1"/>
  <c r="G307" i="1"/>
  <c r="H307" i="1"/>
  <c r="I307" i="1"/>
  <c r="J307" i="1"/>
  <c r="K307" i="1"/>
  <c r="M307" i="1"/>
  <c r="O307" i="1"/>
  <c r="Q307" i="1"/>
  <c r="R307" i="1"/>
  <c r="W307" i="1"/>
  <c r="AA307" i="1"/>
  <c r="AB307" i="1"/>
  <c r="AE307" i="1"/>
  <c r="AF307" i="1"/>
  <c r="AM307" i="1"/>
  <c r="AN307" i="1"/>
  <c r="AO307" i="1"/>
  <c r="AQ307" i="1"/>
  <c r="AX307" i="1"/>
  <c r="BD307" i="1"/>
  <c r="B308" i="1"/>
  <c r="E308" i="1"/>
  <c r="F308" i="1"/>
  <c r="G308" i="1"/>
  <c r="H308" i="1"/>
  <c r="I308" i="1"/>
  <c r="J308" i="1"/>
  <c r="K308" i="1"/>
  <c r="M308" i="1"/>
  <c r="O308" i="1"/>
  <c r="Q308" i="1"/>
  <c r="R308" i="1"/>
  <c r="W308" i="1"/>
  <c r="AA308" i="1"/>
  <c r="AB308" i="1"/>
  <c r="AE308" i="1"/>
  <c r="AF308" i="1"/>
  <c r="AM308" i="1"/>
  <c r="AN308" i="1"/>
  <c r="AO308" i="1"/>
  <c r="AQ308" i="1"/>
  <c r="AX308" i="1"/>
  <c r="BD308" i="1"/>
  <c r="B309" i="1"/>
  <c r="E309" i="1"/>
  <c r="F309" i="1"/>
  <c r="G309" i="1"/>
  <c r="H309" i="1"/>
  <c r="I309" i="1"/>
  <c r="J309" i="1"/>
  <c r="K309" i="1"/>
  <c r="M309" i="1"/>
  <c r="O309" i="1"/>
  <c r="Q309" i="1"/>
  <c r="R309" i="1"/>
  <c r="W309" i="1"/>
  <c r="AA309" i="1"/>
  <c r="AB309" i="1"/>
  <c r="AE309" i="1"/>
  <c r="AF309" i="1"/>
  <c r="AM309" i="1"/>
  <c r="AN309" i="1"/>
  <c r="AO309" i="1"/>
  <c r="AQ309" i="1"/>
  <c r="AX309" i="1"/>
  <c r="BD309" i="1"/>
  <c r="B310" i="1"/>
  <c r="E310" i="1"/>
  <c r="F310" i="1"/>
  <c r="G310" i="1"/>
  <c r="H310" i="1"/>
  <c r="I310" i="1"/>
  <c r="J310" i="1"/>
  <c r="K310" i="1"/>
  <c r="M310" i="1"/>
  <c r="O310" i="1"/>
  <c r="Q310" i="1"/>
  <c r="R310" i="1"/>
  <c r="W310" i="1"/>
  <c r="AA310" i="1"/>
  <c r="AB310" i="1"/>
  <c r="AE310" i="1"/>
  <c r="AF310" i="1"/>
  <c r="AM310" i="1"/>
  <c r="AN310" i="1"/>
  <c r="AO310" i="1"/>
  <c r="AQ310" i="1"/>
  <c r="AX310" i="1"/>
  <c r="BD310" i="1"/>
  <c r="B311" i="1"/>
  <c r="C311" i="1"/>
  <c r="E311" i="1"/>
  <c r="F311" i="1"/>
  <c r="G311" i="1"/>
  <c r="H311" i="1"/>
  <c r="I311" i="1"/>
  <c r="J311" i="1"/>
  <c r="K311" i="1"/>
  <c r="M311" i="1"/>
  <c r="O311" i="1"/>
  <c r="Q311" i="1"/>
  <c r="R311" i="1"/>
  <c r="W311" i="1"/>
  <c r="AA311" i="1"/>
  <c r="AB311" i="1"/>
  <c r="AE311" i="1"/>
  <c r="AF311" i="1"/>
  <c r="AM311" i="1"/>
  <c r="AN311" i="1"/>
  <c r="AO311" i="1"/>
  <c r="AQ311" i="1"/>
  <c r="AX311" i="1"/>
  <c r="BD311" i="1"/>
  <c r="B312" i="1"/>
  <c r="E312" i="1"/>
  <c r="F312" i="1"/>
  <c r="G312" i="1"/>
  <c r="H312" i="1"/>
  <c r="I312" i="1"/>
  <c r="J312" i="1"/>
  <c r="K312" i="1"/>
  <c r="M312" i="1"/>
  <c r="O312" i="1"/>
  <c r="Q312" i="1"/>
  <c r="R312" i="1"/>
  <c r="W312" i="1"/>
  <c r="AA312" i="1"/>
  <c r="AB312" i="1"/>
  <c r="AM312" i="1"/>
  <c r="AN312" i="1"/>
  <c r="AO312" i="1"/>
  <c r="AQ312" i="1"/>
  <c r="AX312" i="1"/>
  <c r="BD312" i="1"/>
  <c r="B313" i="1"/>
  <c r="E313" i="1"/>
  <c r="F313" i="1"/>
  <c r="G313" i="1"/>
  <c r="H313" i="1"/>
  <c r="I313" i="1"/>
  <c r="J313" i="1"/>
  <c r="K313" i="1"/>
  <c r="M313" i="1"/>
  <c r="O313" i="1"/>
  <c r="Q313" i="1"/>
  <c r="R313" i="1"/>
  <c r="W313" i="1"/>
  <c r="AA313" i="1"/>
  <c r="AB313" i="1"/>
  <c r="AE313" i="1"/>
  <c r="AF313" i="1"/>
  <c r="AM313" i="1"/>
  <c r="AN313" i="1"/>
  <c r="AO313" i="1"/>
  <c r="AQ313" i="1"/>
  <c r="AX313" i="1"/>
  <c r="BD313" i="1"/>
  <c r="B314" i="1"/>
  <c r="E314" i="1"/>
  <c r="F314" i="1"/>
  <c r="G314" i="1"/>
  <c r="H314" i="1"/>
  <c r="I314" i="1"/>
  <c r="J314" i="1"/>
  <c r="K314" i="1"/>
  <c r="M314" i="1"/>
  <c r="O314" i="1"/>
  <c r="Q314" i="1"/>
  <c r="R314" i="1"/>
  <c r="W314" i="1"/>
  <c r="AA314" i="1"/>
  <c r="AB314" i="1"/>
  <c r="AE314" i="1"/>
  <c r="AF314" i="1"/>
  <c r="AM314" i="1"/>
  <c r="AN314" i="1"/>
  <c r="AO314" i="1"/>
  <c r="AQ314" i="1"/>
  <c r="AX314" i="1"/>
  <c r="BD314" i="1"/>
  <c r="B315" i="1"/>
  <c r="C315" i="1"/>
  <c r="E315" i="1"/>
  <c r="F315" i="1"/>
  <c r="G315" i="1"/>
  <c r="H315" i="1"/>
  <c r="I315" i="1"/>
  <c r="J315" i="1"/>
  <c r="K315" i="1"/>
  <c r="M315" i="1"/>
  <c r="O315" i="1"/>
  <c r="Q315" i="1"/>
  <c r="R315" i="1"/>
  <c r="W315" i="1"/>
  <c r="AA315" i="1"/>
  <c r="AB315" i="1"/>
  <c r="AE315" i="1"/>
  <c r="AF315" i="1"/>
  <c r="AM315" i="1"/>
  <c r="AN315" i="1"/>
  <c r="AO315" i="1"/>
  <c r="AQ315" i="1"/>
  <c r="AX315" i="1"/>
  <c r="BD315" i="1"/>
  <c r="B316" i="1"/>
  <c r="C316" i="1"/>
  <c r="D316" i="1"/>
  <c r="E316" i="1"/>
  <c r="F316" i="1"/>
  <c r="G316" i="1"/>
  <c r="H316" i="1"/>
  <c r="I316" i="1"/>
  <c r="J316" i="1"/>
  <c r="K316" i="1"/>
  <c r="M316" i="1"/>
  <c r="O316" i="1"/>
  <c r="Q316" i="1"/>
  <c r="R316" i="1"/>
  <c r="W316" i="1"/>
  <c r="AA316" i="1"/>
  <c r="AB316" i="1"/>
  <c r="AE316" i="1"/>
  <c r="AF316" i="1"/>
  <c r="AM316" i="1"/>
  <c r="AN316" i="1"/>
  <c r="AO316" i="1"/>
  <c r="AQ316" i="1"/>
  <c r="AX316" i="1"/>
  <c r="BD316" i="1"/>
  <c r="B317" i="1"/>
  <c r="C317" i="1"/>
  <c r="D317" i="1"/>
  <c r="E317" i="1"/>
  <c r="F317" i="1"/>
  <c r="G317" i="1"/>
  <c r="H317" i="1"/>
  <c r="I317" i="1"/>
  <c r="J317" i="1"/>
  <c r="K317" i="1"/>
  <c r="M317" i="1"/>
  <c r="O317" i="1"/>
  <c r="Q317" i="1"/>
  <c r="R317" i="1"/>
  <c r="W317" i="1"/>
  <c r="AA317" i="1"/>
  <c r="AB317" i="1"/>
  <c r="AE317" i="1"/>
  <c r="AF317" i="1"/>
  <c r="AM317" i="1"/>
  <c r="AN317" i="1"/>
  <c r="AO317" i="1"/>
  <c r="AQ317" i="1"/>
  <c r="AX317" i="1"/>
  <c r="BD317" i="1"/>
  <c r="B318" i="1"/>
  <c r="C318" i="1"/>
  <c r="D318" i="1"/>
  <c r="E318" i="1"/>
  <c r="F318" i="1"/>
  <c r="G318" i="1"/>
  <c r="H318" i="1"/>
  <c r="I318" i="1"/>
  <c r="J318" i="1"/>
  <c r="K318" i="1"/>
  <c r="M318" i="1"/>
  <c r="O318" i="1"/>
  <c r="Q318" i="1"/>
  <c r="R318" i="1"/>
  <c r="W318" i="1"/>
  <c r="AA318" i="1"/>
  <c r="AB318" i="1"/>
  <c r="AE318" i="1"/>
  <c r="AF318" i="1"/>
  <c r="AM318" i="1"/>
  <c r="AN318" i="1"/>
  <c r="AO318" i="1"/>
  <c r="AQ318" i="1"/>
  <c r="AX318" i="1"/>
  <c r="BD318" i="1"/>
  <c r="B319" i="1"/>
  <c r="C319" i="1"/>
  <c r="D319" i="1"/>
  <c r="E319" i="1"/>
  <c r="F319" i="1"/>
  <c r="G319" i="1"/>
  <c r="H319" i="1"/>
  <c r="I319" i="1"/>
  <c r="J319" i="1"/>
  <c r="K319" i="1"/>
  <c r="M319" i="1"/>
  <c r="O319" i="1"/>
  <c r="Q319" i="1"/>
  <c r="R319" i="1"/>
  <c r="W319" i="1"/>
  <c r="AA319" i="1"/>
  <c r="AB319" i="1"/>
  <c r="AE319" i="1"/>
  <c r="AF319" i="1"/>
  <c r="AM319" i="1"/>
  <c r="AN319" i="1"/>
  <c r="AO319" i="1"/>
  <c r="AQ319" i="1"/>
  <c r="AX319" i="1"/>
  <c r="BD319" i="1"/>
  <c r="B320" i="1"/>
  <c r="C320" i="1"/>
  <c r="D320" i="1"/>
  <c r="E320" i="1"/>
  <c r="F320" i="1"/>
  <c r="G320" i="1"/>
  <c r="H320" i="1"/>
  <c r="I320" i="1"/>
  <c r="J320" i="1"/>
  <c r="K320" i="1"/>
  <c r="M320" i="1"/>
  <c r="O320" i="1"/>
  <c r="Q320" i="1"/>
  <c r="R320" i="1"/>
  <c r="W320" i="1"/>
  <c r="AA320" i="1"/>
  <c r="AB320" i="1"/>
  <c r="AE320" i="1"/>
  <c r="AF320" i="1"/>
  <c r="AM320" i="1"/>
  <c r="AN320" i="1"/>
  <c r="AO320" i="1"/>
  <c r="AQ320" i="1"/>
  <c r="AX320" i="1"/>
  <c r="BD320" i="1"/>
  <c r="B321" i="1"/>
  <c r="C321" i="1"/>
  <c r="D321" i="1"/>
  <c r="E321" i="1"/>
  <c r="F321" i="1"/>
  <c r="G321" i="1"/>
  <c r="H321" i="1"/>
  <c r="I321" i="1"/>
  <c r="J321" i="1"/>
  <c r="K321" i="1"/>
  <c r="M321" i="1"/>
  <c r="O321" i="1"/>
  <c r="Q321" i="1"/>
  <c r="R321" i="1"/>
  <c r="W321" i="1"/>
  <c r="AA321" i="1"/>
  <c r="AB321" i="1"/>
  <c r="AE321" i="1"/>
  <c r="AF321" i="1"/>
  <c r="AM321" i="1"/>
  <c r="AN321" i="1"/>
  <c r="AO321" i="1"/>
  <c r="AQ321" i="1"/>
  <c r="AX321" i="1"/>
  <c r="BD321" i="1"/>
  <c r="B322" i="1"/>
  <c r="C322" i="1"/>
  <c r="D322" i="1"/>
  <c r="E322" i="1"/>
  <c r="F322" i="1"/>
  <c r="G322" i="1"/>
  <c r="H322" i="1"/>
  <c r="I322" i="1"/>
  <c r="J322" i="1"/>
  <c r="K322" i="1"/>
  <c r="M322" i="1"/>
  <c r="O322" i="1"/>
  <c r="Q322" i="1"/>
  <c r="R322" i="1"/>
  <c r="W322" i="1"/>
  <c r="AA322" i="1"/>
  <c r="AB322" i="1"/>
  <c r="AE322" i="1"/>
  <c r="AF322" i="1"/>
  <c r="AM322" i="1"/>
  <c r="AN322" i="1"/>
  <c r="AO322" i="1"/>
  <c r="AQ322" i="1"/>
  <c r="AX322" i="1"/>
  <c r="BD322" i="1"/>
  <c r="B323" i="1"/>
  <c r="C323" i="1"/>
  <c r="D323" i="1"/>
  <c r="E323" i="1"/>
  <c r="F323" i="1"/>
  <c r="G323" i="1"/>
  <c r="H323" i="1"/>
  <c r="I323" i="1"/>
  <c r="J323" i="1"/>
  <c r="K323" i="1"/>
  <c r="M323" i="1"/>
  <c r="O323" i="1"/>
  <c r="Q323" i="1"/>
  <c r="R323" i="1"/>
  <c r="W323" i="1"/>
  <c r="AA323" i="1"/>
  <c r="AB323" i="1"/>
  <c r="AE323" i="1"/>
  <c r="AF323" i="1"/>
  <c r="AM323" i="1"/>
  <c r="AN323" i="1"/>
  <c r="AO323" i="1"/>
  <c r="AQ323" i="1"/>
  <c r="AX323" i="1"/>
  <c r="BD323" i="1"/>
  <c r="B324" i="1"/>
  <c r="E324" i="1"/>
  <c r="F324" i="1"/>
  <c r="G324" i="1"/>
  <c r="H324" i="1"/>
  <c r="I324" i="1"/>
  <c r="J324" i="1"/>
  <c r="K324" i="1"/>
  <c r="M324" i="1"/>
  <c r="O324" i="1"/>
  <c r="Q324" i="1"/>
  <c r="R324" i="1"/>
  <c r="W324" i="1"/>
  <c r="AA324" i="1"/>
  <c r="AM324" i="1"/>
  <c r="AN324" i="1"/>
  <c r="AO324" i="1"/>
  <c r="AQ324" i="1"/>
  <c r="BD324" i="1"/>
  <c r="B325" i="1"/>
  <c r="E325" i="1"/>
  <c r="F325" i="1"/>
  <c r="G325" i="1"/>
  <c r="H325" i="1"/>
  <c r="I325" i="1"/>
  <c r="J325" i="1"/>
  <c r="K325" i="1"/>
  <c r="M325" i="1"/>
  <c r="O325" i="1"/>
  <c r="Q325" i="1"/>
  <c r="R325" i="1"/>
  <c r="W325" i="1"/>
  <c r="AA325" i="1"/>
  <c r="AM325" i="1"/>
  <c r="AN325" i="1"/>
  <c r="AO325" i="1"/>
  <c r="AQ325" i="1"/>
  <c r="BB325" i="1"/>
  <c r="BD325" i="1"/>
  <c r="B326" i="1"/>
  <c r="E326" i="1"/>
  <c r="F326" i="1"/>
  <c r="G326" i="1"/>
  <c r="H326" i="1"/>
  <c r="I326" i="1"/>
  <c r="J326" i="1"/>
  <c r="K326" i="1"/>
  <c r="M326" i="1"/>
  <c r="O326" i="1"/>
  <c r="Q326" i="1"/>
  <c r="R326" i="1"/>
  <c r="W326" i="1"/>
  <c r="AA326" i="1"/>
  <c r="AM326" i="1"/>
  <c r="AN326" i="1"/>
  <c r="AO326" i="1"/>
  <c r="AQ326" i="1"/>
  <c r="BB326" i="1"/>
  <c r="BD326" i="1"/>
  <c r="B327" i="1"/>
  <c r="E327" i="1"/>
  <c r="F327" i="1"/>
  <c r="G327" i="1"/>
  <c r="H327" i="1"/>
  <c r="I327" i="1"/>
  <c r="J327" i="1"/>
  <c r="K327" i="1"/>
  <c r="M327" i="1"/>
  <c r="O327" i="1"/>
  <c r="Q327" i="1"/>
  <c r="R327" i="1"/>
  <c r="W327" i="1"/>
  <c r="AA327" i="1"/>
  <c r="AM327" i="1"/>
  <c r="AN327" i="1"/>
  <c r="AO327" i="1"/>
  <c r="AQ327" i="1"/>
  <c r="BD327" i="1"/>
  <c r="B328" i="1"/>
  <c r="C328" i="1"/>
  <c r="E328" i="1"/>
  <c r="F328" i="1"/>
  <c r="G328" i="1"/>
  <c r="H328" i="1"/>
  <c r="I328" i="1"/>
  <c r="J328" i="1"/>
  <c r="K328" i="1"/>
  <c r="M328" i="1"/>
  <c r="O328" i="1"/>
  <c r="Q328" i="1"/>
  <c r="R328" i="1"/>
  <c r="W328" i="1"/>
  <c r="AA328" i="1"/>
  <c r="AB328" i="1"/>
  <c r="AE328" i="1"/>
  <c r="AF328" i="1"/>
  <c r="AM328" i="1"/>
  <c r="AN328" i="1"/>
  <c r="AO328" i="1"/>
  <c r="AQ328" i="1"/>
  <c r="AX328" i="1"/>
  <c r="BD328" i="1"/>
  <c r="B329" i="1"/>
  <c r="C329" i="1"/>
  <c r="E329" i="1"/>
  <c r="F329" i="1"/>
  <c r="G329" i="1"/>
  <c r="H329" i="1"/>
  <c r="I329" i="1"/>
  <c r="J329" i="1"/>
  <c r="K329" i="1"/>
  <c r="M329" i="1"/>
  <c r="O329" i="1"/>
  <c r="Q329" i="1"/>
  <c r="R329" i="1"/>
  <c r="W329" i="1"/>
  <c r="AA329" i="1"/>
  <c r="AB329" i="1"/>
  <c r="AE329" i="1"/>
  <c r="AF329" i="1"/>
  <c r="AM329" i="1"/>
  <c r="AN329" i="1"/>
  <c r="AO329" i="1"/>
  <c r="AQ329" i="1"/>
  <c r="AX329" i="1"/>
  <c r="BD329" i="1"/>
  <c r="B330" i="1"/>
  <c r="C330" i="1"/>
  <c r="E330" i="1"/>
  <c r="F330" i="1"/>
  <c r="G330" i="1"/>
  <c r="H330" i="1"/>
  <c r="I330" i="1"/>
  <c r="J330" i="1"/>
  <c r="K330" i="1"/>
  <c r="M330" i="1"/>
  <c r="O330" i="1"/>
  <c r="Q330" i="1"/>
  <c r="R330" i="1"/>
  <c r="W330" i="1"/>
  <c r="AA330" i="1"/>
  <c r="AB330" i="1"/>
  <c r="AE330" i="1"/>
  <c r="AF330" i="1"/>
  <c r="AM330" i="1"/>
  <c r="AN330" i="1"/>
  <c r="AO330" i="1"/>
  <c r="AQ330" i="1"/>
  <c r="AX330" i="1"/>
  <c r="BD330" i="1"/>
  <c r="B331" i="1"/>
  <c r="C331" i="1"/>
  <c r="E331" i="1"/>
  <c r="F331" i="1"/>
  <c r="G331" i="1"/>
  <c r="H331" i="1"/>
  <c r="I331" i="1"/>
  <c r="J331" i="1"/>
  <c r="K331" i="1"/>
  <c r="M331" i="1"/>
  <c r="O331" i="1"/>
  <c r="Q331" i="1"/>
  <c r="R331" i="1"/>
  <c r="W331" i="1"/>
  <c r="AA331" i="1"/>
  <c r="AB331" i="1"/>
  <c r="AE331" i="1"/>
  <c r="AF331" i="1"/>
  <c r="AM331" i="1"/>
  <c r="AN331" i="1"/>
  <c r="AO331" i="1"/>
  <c r="AQ331" i="1"/>
  <c r="AX331" i="1"/>
  <c r="BD331" i="1"/>
  <c r="B332" i="1"/>
  <c r="C332" i="1"/>
  <c r="E332" i="1"/>
  <c r="F332" i="1"/>
  <c r="G332" i="1"/>
  <c r="H332" i="1"/>
  <c r="I332" i="1"/>
  <c r="J332" i="1"/>
  <c r="K332" i="1"/>
  <c r="M332" i="1"/>
  <c r="O332" i="1"/>
  <c r="Q332" i="1"/>
  <c r="R332" i="1"/>
  <c r="W332" i="1"/>
  <c r="AA332" i="1"/>
  <c r="AB332" i="1"/>
  <c r="AE332" i="1"/>
  <c r="AF332" i="1"/>
  <c r="AM332" i="1"/>
  <c r="AN332" i="1"/>
  <c r="AO332" i="1"/>
  <c r="AQ332" i="1"/>
  <c r="AX332" i="1"/>
  <c r="BD332" i="1"/>
  <c r="B333" i="1"/>
  <c r="C333" i="1"/>
  <c r="D333" i="1"/>
  <c r="E333" i="1"/>
  <c r="F333" i="1"/>
  <c r="G333" i="1"/>
  <c r="H333" i="1"/>
  <c r="I333" i="1"/>
  <c r="J333" i="1"/>
  <c r="K333" i="1"/>
  <c r="M333" i="1"/>
  <c r="O333" i="1"/>
  <c r="Q333" i="1"/>
  <c r="R333" i="1"/>
  <c r="W333" i="1"/>
  <c r="AA333" i="1"/>
  <c r="AB333" i="1"/>
  <c r="AE333" i="1"/>
  <c r="AF333" i="1"/>
  <c r="AM333" i="1"/>
  <c r="AN333" i="1"/>
  <c r="AO333" i="1"/>
  <c r="AQ333" i="1"/>
  <c r="AX333" i="1"/>
  <c r="BD333" i="1"/>
  <c r="B334" i="1"/>
  <c r="C334" i="1"/>
  <c r="E334" i="1"/>
  <c r="F334" i="1"/>
  <c r="G334" i="1"/>
  <c r="H334" i="1"/>
  <c r="I334" i="1"/>
  <c r="J334" i="1"/>
  <c r="K334" i="1"/>
  <c r="M334" i="1"/>
  <c r="O334" i="1"/>
  <c r="Q334" i="1"/>
  <c r="R334" i="1"/>
  <c r="W334" i="1"/>
  <c r="AA334" i="1"/>
  <c r="AB334" i="1"/>
  <c r="AE334" i="1"/>
  <c r="AF334" i="1"/>
  <c r="AM334" i="1"/>
  <c r="AN334" i="1"/>
  <c r="AO334" i="1"/>
  <c r="AQ334" i="1"/>
  <c r="AX334" i="1"/>
  <c r="BD334" i="1"/>
  <c r="B335" i="1"/>
  <c r="C335" i="1"/>
  <c r="E335" i="1"/>
  <c r="F335" i="1"/>
  <c r="G335" i="1"/>
  <c r="H335" i="1"/>
  <c r="I335" i="1"/>
  <c r="J335" i="1"/>
  <c r="K335" i="1"/>
  <c r="M335" i="1"/>
  <c r="O335" i="1"/>
  <c r="Q335" i="1"/>
  <c r="R335" i="1"/>
  <c r="W335" i="1"/>
  <c r="AA335" i="1"/>
  <c r="AB335" i="1"/>
  <c r="AE335" i="1"/>
  <c r="AF335" i="1"/>
  <c r="AM335" i="1"/>
  <c r="AN335" i="1"/>
  <c r="AO335" i="1"/>
  <c r="AQ335" i="1"/>
  <c r="AX335" i="1"/>
  <c r="BD335" i="1"/>
  <c r="B336" i="1"/>
  <c r="C336" i="1"/>
  <c r="D336" i="1"/>
  <c r="E336" i="1"/>
  <c r="F336" i="1"/>
  <c r="G336" i="1"/>
  <c r="H336" i="1"/>
  <c r="I336" i="1"/>
  <c r="J336" i="1"/>
  <c r="K336" i="1"/>
  <c r="M336" i="1"/>
  <c r="O336" i="1"/>
  <c r="Q336" i="1"/>
  <c r="R336" i="1"/>
  <c r="W336" i="1"/>
  <c r="AA336" i="1"/>
  <c r="AB336" i="1"/>
  <c r="AE336" i="1"/>
  <c r="AF336" i="1"/>
  <c r="AM336" i="1"/>
  <c r="AN336" i="1"/>
  <c r="AO336" i="1"/>
  <c r="AQ336" i="1"/>
  <c r="AX336" i="1"/>
  <c r="BD336" i="1"/>
  <c r="B337" i="1"/>
  <c r="C337" i="1"/>
  <c r="D337" i="1"/>
  <c r="E337" i="1"/>
  <c r="F337" i="1"/>
  <c r="G337" i="1"/>
  <c r="H337" i="1"/>
  <c r="I337" i="1"/>
  <c r="J337" i="1"/>
  <c r="K337" i="1"/>
  <c r="M337" i="1"/>
  <c r="O337" i="1"/>
  <c r="Q337" i="1"/>
  <c r="R337" i="1"/>
  <c r="W337" i="1"/>
  <c r="AA337" i="1"/>
  <c r="AB337" i="1"/>
  <c r="AE337" i="1"/>
  <c r="AF337" i="1"/>
  <c r="AM337" i="1"/>
  <c r="AN337" i="1"/>
  <c r="AO337" i="1"/>
  <c r="AQ337" i="1"/>
  <c r="AX337" i="1"/>
  <c r="BD337" i="1"/>
  <c r="B338" i="1"/>
  <c r="C338" i="1"/>
  <c r="E338" i="1"/>
  <c r="F338" i="1"/>
  <c r="G338" i="1"/>
  <c r="H338" i="1"/>
  <c r="I338" i="1"/>
  <c r="J338" i="1"/>
  <c r="K338" i="1"/>
  <c r="M338" i="1"/>
  <c r="O338" i="1"/>
  <c r="Q338" i="1"/>
  <c r="R338" i="1"/>
  <c r="W338" i="1"/>
  <c r="AA338" i="1"/>
  <c r="AB338" i="1"/>
  <c r="AE338" i="1"/>
  <c r="AF338" i="1"/>
  <c r="AM338" i="1"/>
  <c r="AN338" i="1"/>
  <c r="AO338" i="1"/>
  <c r="AQ338" i="1"/>
  <c r="AX338" i="1"/>
  <c r="BD338" i="1"/>
  <c r="B339" i="1"/>
  <c r="C339" i="1"/>
  <c r="E339" i="1"/>
  <c r="F339" i="1"/>
  <c r="G339" i="1"/>
  <c r="H339" i="1"/>
  <c r="I339" i="1"/>
  <c r="J339" i="1"/>
  <c r="K339" i="1"/>
  <c r="M339" i="1"/>
  <c r="O339" i="1"/>
  <c r="Q339" i="1"/>
  <c r="R339" i="1"/>
  <c r="W339" i="1"/>
  <c r="AA339" i="1"/>
  <c r="AB339" i="1"/>
  <c r="AE339" i="1"/>
  <c r="AF339" i="1"/>
  <c r="AM339" i="1"/>
  <c r="AN339" i="1"/>
  <c r="AO339" i="1"/>
  <c r="AQ339" i="1"/>
  <c r="AX339" i="1"/>
  <c r="BD339" i="1"/>
  <c r="B340" i="1"/>
  <c r="C340" i="1"/>
  <c r="D340" i="1"/>
  <c r="E340" i="1"/>
  <c r="F340" i="1"/>
  <c r="G340" i="1"/>
  <c r="H340" i="1"/>
  <c r="I340" i="1"/>
  <c r="J340" i="1"/>
  <c r="K340" i="1"/>
  <c r="M340" i="1"/>
  <c r="O340" i="1"/>
  <c r="Q340" i="1"/>
  <c r="R340" i="1"/>
  <c r="W340" i="1"/>
  <c r="AA340" i="1"/>
  <c r="AB340" i="1"/>
  <c r="AE340" i="1"/>
  <c r="AF340" i="1"/>
  <c r="AM340" i="1"/>
  <c r="AN340" i="1"/>
  <c r="AO340" i="1"/>
  <c r="AQ340" i="1"/>
  <c r="AX340" i="1"/>
  <c r="BD340" i="1"/>
  <c r="B341" i="1"/>
  <c r="C341" i="1"/>
  <c r="D341" i="1"/>
  <c r="E341" i="1"/>
  <c r="F341" i="1"/>
  <c r="G341" i="1"/>
  <c r="H341" i="1"/>
  <c r="I341" i="1"/>
  <c r="J341" i="1"/>
  <c r="K341" i="1"/>
  <c r="M341" i="1"/>
  <c r="O341" i="1"/>
  <c r="Q341" i="1"/>
  <c r="R341" i="1"/>
  <c r="W341" i="1"/>
  <c r="AA341" i="1"/>
  <c r="AB341" i="1"/>
  <c r="AE341" i="1"/>
  <c r="AF341" i="1"/>
  <c r="AM341" i="1"/>
  <c r="AN341" i="1"/>
  <c r="AO341" i="1"/>
  <c r="AQ341" i="1"/>
  <c r="AX341" i="1"/>
  <c r="BD341" i="1"/>
  <c r="B342" i="1"/>
  <c r="C342" i="1"/>
  <c r="D342" i="1"/>
  <c r="E342" i="1"/>
  <c r="F342" i="1"/>
  <c r="G342" i="1"/>
  <c r="H342" i="1"/>
  <c r="I342" i="1"/>
  <c r="J342" i="1"/>
  <c r="K342" i="1"/>
  <c r="M342" i="1"/>
  <c r="O342" i="1"/>
  <c r="Q342" i="1"/>
  <c r="R342" i="1"/>
  <c r="W342" i="1"/>
  <c r="AA342" i="1"/>
  <c r="AB342" i="1"/>
  <c r="AE342" i="1"/>
  <c r="AF342" i="1"/>
  <c r="AM342" i="1"/>
  <c r="AN342" i="1"/>
  <c r="AO342" i="1"/>
  <c r="AQ342" i="1"/>
  <c r="AX342" i="1"/>
  <c r="BD342" i="1"/>
  <c r="B343" i="1"/>
  <c r="C343" i="1"/>
  <c r="D343" i="1"/>
  <c r="E343" i="1"/>
  <c r="F343" i="1"/>
  <c r="G343" i="1"/>
  <c r="H343" i="1"/>
  <c r="I343" i="1"/>
  <c r="J343" i="1"/>
  <c r="K343" i="1"/>
  <c r="M343" i="1"/>
  <c r="O343" i="1"/>
  <c r="Q343" i="1"/>
  <c r="R343" i="1"/>
  <c r="W343" i="1"/>
  <c r="AA343" i="1"/>
  <c r="AB343" i="1"/>
  <c r="AE343" i="1"/>
  <c r="AF343" i="1"/>
  <c r="AM343" i="1"/>
  <c r="AN343" i="1"/>
  <c r="AO343" i="1"/>
  <c r="AQ343" i="1"/>
  <c r="AX343" i="1"/>
  <c r="BD343" i="1"/>
  <c r="B344" i="1"/>
  <c r="C344" i="1"/>
  <c r="D344" i="1"/>
  <c r="E344" i="1"/>
  <c r="F344" i="1"/>
  <c r="G344" i="1"/>
  <c r="H344" i="1"/>
  <c r="I344" i="1"/>
  <c r="J344" i="1"/>
  <c r="K344" i="1"/>
  <c r="M344" i="1"/>
  <c r="O344" i="1"/>
  <c r="Q344" i="1"/>
  <c r="R344" i="1"/>
  <c r="W344" i="1"/>
  <c r="AA344" i="1"/>
  <c r="AB344" i="1"/>
  <c r="AE344" i="1"/>
  <c r="AF344" i="1"/>
  <c r="AM344" i="1"/>
  <c r="AN344" i="1"/>
  <c r="AO344" i="1"/>
  <c r="AQ344" i="1"/>
  <c r="AX344" i="1"/>
  <c r="BD344" i="1"/>
  <c r="B345" i="1"/>
  <c r="C345" i="1"/>
  <c r="D345" i="1"/>
  <c r="E345" i="1"/>
  <c r="F345" i="1"/>
  <c r="G345" i="1"/>
  <c r="H345" i="1"/>
  <c r="I345" i="1"/>
  <c r="J345" i="1"/>
  <c r="K345" i="1"/>
  <c r="M345" i="1"/>
  <c r="O345" i="1"/>
  <c r="Q345" i="1"/>
  <c r="R345" i="1"/>
  <c r="W345" i="1"/>
  <c r="AA345" i="1"/>
  <c r="AB345" i="1"/>
  <c r="AE345" i="1"/>
  <c r="AF345" i="1"/>
  <c r="AM345" i="1"/>
  <c r="AN345" i="1"/>
  <c r="AO345" i="1"/>
  <c r="AQ345" i="1"/>
  <c r="AX345" i="1"/>
  <c r="BD345" i="1"/>
  <c r="B346" i="1"/>
  <c r="C346" i="1"/>
  <c r="D346" i="1"/>
  <c r="E346" i="1"/>
  <c r="F346" i="1"/>
  <c r="G346" i="1"/>
  <c r="H346" i="1"/>
  <c r="I346" i="1"/>
  <c r="J346" i="1"/>
  <c r="K346" i="1"/>
  <c r="M346" i="1"/>
  <c r="O346" i="1"/>
  <c r="Q346" i="1"/>
  <c r="R346" i="1"/>
  <c r="W346" i="1"/>
  <c r="AA346" i="1"/>
  <c r="AB346" i="1"/>
  <c r="AE346" i="1"/>
  <c r="AF346" i="1"/>
  <c r="AM346" i="1"/>
  <c r="AN346" i="1"/>
  <c r="AO346" i="1"/>
  <c r="AQ346" i="1"/>
  <c r="AX346" i="1"/>
  <c r="BD346" i="1"/>
  <c r="B347" i="1"/>
  <c r="C347" i="1"/>
  <c r="D347" i="1"/>
  <c r="E347" i="1"/>
  <c r="F347" i="1"/>
  <c r="G347" i="1"/>
  <c r="H347" i="1"/>
  <c r="I347" i="1"/>
  <c r="J347" i="1"/>
  <c r="K347" i="1"/>
  <c r="M347" i="1"/>
  <c r="O347" i="1"/>
  <c r="Q347" i="1"/>
  <c r="R347" i="1"/>
  <c r="W347" i="1"/>
  <c r="AA347" i="1"/>
  <c r="AB347" i="1"/>
  <c r="AE347" i="1"/>
  <c r="AF347" i="1"/>
  <c r="AM347" i="1"/>
  <c r="AN347" i="1"/>
  <c r="AO347" i="1"/>
  <c r="AQ347" i="1"/>
  <c r="AX347" i="1"/>
  <c r="BD347" i="1"/>
  <c r="B348" i="1"/>
  <c r="C348" i="1"/>
  <c r="D348" i="1"/>
  <c r="E348" i="1"/>
  <c r="F348" i="1"/>
  <c r="G348" i="1"/>
  <c r="H348" i="1"/>
  <c r="I348" i="1"/>
  <c r="J348" i="1"/>
  <c r="K348" i="1"/>
  <c r="M348" i="1"/>
  <c r="O348" i="1"/>
  <c r="Q348" i="1"/>
  <c r="R348" i="1"/>
  <c r="W348" i="1"/>
  <c r="AA348" i="1"/>
  <c r="AB348" i="1"/>
  <c r="AE348" i="1"/>
  <c r="AF348" i="1"/>
  <c r="AM348" i="1"/>
  <c r="AN348" i="1"/>
  <c r="AO348" i="1"/>
  <c r="AQ348" i="1"/>
  <c r="AX348" i="1"/>
  <c r="BD348" i="1"/>
  <c r="B349" i="1"/>
  <c r="C349" i="1"/>
  <c r="E349" i="1"/>
  <c r="F349" i="1"/>
  <c r="G349" i="1"/>
  <c r="H349" i="1"/>
  <c r="I349" i="1"/>
  <c r="J349" i="1"/>
  <c r="K349" i="1"/>
  <c r="M349" i="1"/>
  <c r="O349" i="1"/>
  <c r="Q349" i="1"/>
  <c r="R349" i="1"/>
  <c r="W349" i="1"/>
  <c r="AA349" i="1"/>
  <c r="AB349" i="1"/>
  <c r="AE349" i="1"/>
  <c r="AF349" i="1"/>
  <c r="AM349" i="1"/>
  <c r="AN349" i="1"/>
  <c r="AO349" i="1"/>
  <c r="AQ349" i="1"/>
  <c r="AX349" i="1"/>
  <c r="BD349" i="1"/>
  <c r="B350" i="1"/>
  <c r="C350" i="1"/>
  <c r="E350" i="1"/>
  <c r="F350" i="1"/>
  <c r="G350" i="1"/>
  <c r="H350" i="1"/>
  <c r="I350" i="1"/>
  <c r="J350" i="1"/>
  <c r="K350" i="1"/>
  <c r="M350" i="1"/>
  <c r="O350" i="1"/>
  <c r="Q350" i="1"/>
  <c r="R350" i="1"/>
  <c r="W350" i="1"/>
  <c r="AA350" i="1"/>
  <c r="AB350" i="1"/>
  <c r="AE350" i="1"/>
  <c r="AF350" i="1"/>
  <c r="AM350" i="1"/>
  <c r="AN350" i="1"/>
  <c r="AO350" i="1"/>
  <c r="AQ350" i="1"/>
  <c r="AX350" i="1"/>
  <c r="BD350" i="1"/>
  <c r="B351" i="1"/>
  <c r="C351" i="1"/>
  <c r="E351" i="1"/>
  <c r="F351" i="1"/>
  <c r="G351" i="1"/>
  <c r="H351" i="1"/>
  <c r="I351" i="1"/>
  <c r="J351" i="1"/>
  <c r="K351" i="1"/>
  <c r="M351" i="1"/>
  <c r="O351" i="1"/>
  <c r="Q351" i="1"/>
  <c r="R351" i="1"/>
  <c r="W351" i="1"/>
  <c r="AA351" i="1"/>
  <c r="AB351" i="1"/>
  <c r="AE351" i="1"/>
  <c r="AF351" i="1"/>
  <c r="AM351" i="1"/>
  <c r="AN351" i="1"/>
  <c r="AO351" i="1"/>
  <c r="AQ351" i="1"/>
  <c r="AX351" i="1"/>
  <c r="BD351" i="1"/>
  <c r="B352" i="1"/>
  <c r="C352" i="1"/>
  <c r="E352" i="1"/>
  <c r="F352" i="1"/>
  <c r="G352" i="1"/>
  <c r="H352" i="1"/>
  <c r="I352" i="1"/>
  <c r="J352" i="1"/>
  <c r="K352" i="1"/>
  <c r="M352" i="1"/>
  <c r="O352" i="1"/>
  <c r="Q352" i="1"/>
  <c r="R352" i="1"/>
  <c r="W352" i="1"/>
  <c r="AA352" i="1"/>
  <c r="AB352" i="1"/>
  <c r="AE352" i="1"/>
  <c r="AF352" i="1"/>
  <c r="AM352" i="1"/>
  <c r="AN352" i="1"/>
  <c r="AO352" i="1"/>
  <c r="AQ352" i="1"/>
  <c r="AX352" i="1"/>
  <c r="BD352" i="1"/>
  <c r="B353" i="1"/>
  <c r="C353" i="1"/>
  <c r="E353" i="1"/>
  <c r="F353" i="1"/>
  <c r="G353" i="1"/>
  <c r="H353" i="1"/>
  <c r="I353" i="1"/>
  <c r="J353" i="1"/>
  <c r="K353" i="1"/>
  <c r="M353" i="1"/>
  <c r="O353" i="1"/>
  <c r="Q353" i="1"/>
  <c r="R353" i="1"/>
  <c r="W353" i="1"/>
  <c r="AA353" i="1"/>
  <c r="AB353" i="1"/>
  <c r="AE353" i="1"/>
  <c r="AF353" i="1"/>
  <c r="AM353" i="1"/>
  <c r="AN353" i="1"/>
  <c r="AO353" i="1"/>
  <c r="AQ353" i="1"/>
  <c r="AX353" i="1"/>
  <c r="BD353" i="1"/>
  <c r="B354" i="1"/>
  <c r="C354" i="1"/>
  <c r="E354" i="1"/>
  <c r="F354" i="1"/>
  <c r="G354" i="1"/>
  <c r="H354" i="1"/>
  <c r="I354" i="1"/>
  <c r="J354" i="1"/>
  <c r="K354" i="1"/>
  <c r="M354" i="1"/>
  <c r="O354" i="1"/>
  <c r="Q354" i="1"/>
  <c r="R354" i="1"/>
  <c r="W354" i="1"/>
  <c r="AA354" i="1"/>
  <c r="AM354" i="1"/>
  <c r="AN354" i="1"/>
  <c r="AO354" i="1"/>
  <c r="AQ354" i="1"/>
  <c r="BB354" i="1"/>
  <c r="BD354" i="1"/>
  <c r="B355" i="1"/>
  <c r="E355" i="1"/>
  <c r="F355" i="1"/>
  <c r="G355" i="1"/>
  <c r="H355" i="1"/>
  <c r="I355" i="1"/>
  <c r="J355" i="1"/>
  <c r="K355" i="1"/>
  <c r="M355" i="1"/>
  <c r="O355" i="1"/>
  <c r="Q355" i="1"/>
  <c r="R355" i="1"/>
  <c r="W355" i="1"/>
  <c r="AA355" i="1"/>
  <c r="AB355" i="1"/>
  <c r="AE355" i="1"/>
  <c r="AF355" i="1"/>
  <c r="AM355" i="1"/>
  <c r="AN355" i="1"/>
  <c r="AO355" i="1"/>
  <c r="AQ355" i="1"/>
  <c r="AX355" i="1"/>
  <c r="BD355" i="1"/>
  <c r="B356" i="1"/>
  <c r="E356" i="1"/>
  <c r="F356" i="1"/>
  <c r="G356" i="1"/>
  <c r="H356" i="1"/>
  <c r="I356" i="1"/>
  <c r="J356" i="1"/>
  <c r="K356" i="1"/>
  <c r="M356" i="1"/>
  <c r="O356" i="1"/>
  <c r="Q356" i="1"/>
  <c r="R356" i="1"/>
  <c r="W356" i="1"/>
  <c r="AA356" i="1"/>
  <c r="AB356" i="1"/>
  <c r="AE356" i="1"/>
  <c r="AF356" i="1"/>
  <c r="AM356" i="1"/>
  <c r="AN356" i="1"/>
  <c r="AO356" i="1"/>
  <c r="AQ356" i="1"/>
  <c r="AX356" i="1"/>
  <c r="BD356" i="1"/>
  <c r="B357" i="1"/>
  <c r="E357" i="1"/>
  <c r="F357" i="1"/>
  <c r="G357" i="1"/>
  <c r="H357" i="1"/>
  <c r="I357" i="1"/>
  <c r="J357" i="1"/>
  <c r="K357" i="1"/>
  <c r="M357" i="1"/>
  <c r="O357" i="1"/>
  <c r="Q357" i="1"/>
  <c r="R357" i="1"/>
  <c r="W357" i="1"/>
  <c r="AA357" i="1"/>
  <c r="AB357" i="1"/>
  <c r="AM357" i="1"/>
  <c r="AN357" i="1"/>
  <c r="AO357" i="1"/>
  <c r="AQ357" i="1"/>
  <c r="AX357" i="1"/>
  <c r="BD357" i="1"/>
  <c r="B358" i="1"/>
  <c r="E358" i="1"/>
  <c r="F358" i="1"/>
  <c r="G358" i="1"/>
  <c r="H358" i="1"/>
  <c r="I358" i="1"/>
  <c r="J358" i="1"/>
  <c r="K358" i="1"/>
  <c r="M358" i="1"/>
  <c r="O358" i="1"/>
  <c r="Q358" i="1"/>
  <c r="R358" i="1"/>
  <c r="W358" i="1"/>
  <c r="AA358" i="1"/>
  <c r="AB358" i="1"/>
  <c r="AM358" i="1"/>
  <c r="AN358" i="1"/>
  <c r="AO358" i="1"/>
  <c r="AQ358" i="1"/>
  <c r="AX358" i="1"/>
  <c r="BD358" i="1"/>
  <c r="B359" i="1"/>
  <c r="C359" i="1"/>
  <c r="E359" i="1"/>
  <c r="F359" i="1"/>
  <c r="G359" i="1"/>
  <c r="H359" i="1"/>
  <c r="I359" i="1"/>
  <c r="J359" i="1"/>
  <c r="K359" i="1"/>
  <c r="M359" i="1"/>
  <c r="O359" i="1"/>
  <c r="Q359" i="1"/>
  <c r="R359" i="1"/>
  <c r="W359" i="1"/>
  <c r="AA359" i="1"/>
  <c r="AM359" i="1"/>
  <c r="AN359" i="1"/>
  <c r="AO359" i="1"/>
  <c r="AQ359" i="1"/>
  <c r="BB359" i="1"/>
  <c r="BD359" i="1"/>
  <c r="B360" i="1"/>
  <c r="C360" i="1"/>
  <c r="E360" i="1"/>
  <c r="F360" i="1"/>
  <c r="G360" i="1"/>
  <c r="H360" i="1"/>
  <c r="I360" i="1"/>
  <c r="J360" i="1"/>
  <c r="K360" i="1"/>
  <c r="M360" i="1"/>
  <c r="O360" i="1"/>
  <c r="Q360" i="1"/>
  <c r="R360" i="1"/>
  <c r="W360" i="1"/>
  <c r="AA360" i="1"/>
  <c r="AB360" i="1"/>
  <c r="AE360" i="1"/>
  <c r="AF360" i="1"/>
  <c r="AM360" i="1"/>
  <c r="AN360" i="1"/>
  <c r="AO360" i="1"/>
  <c r="AQ360" i="1"/>
  <c r="AX360" i="1"/>
  <c r="BD360" i="1"/>
  <c r="B361" i="1"/>
  <c r="C361" i="1"/>
  <c r="E361" i="1"/>
  <c r="F361" i="1"/>
  <c r="G361" i="1"/>
  <c r="H361" i="1"/>
  <c r="I361" i="1"/>
  <c r="J361" i="1"/>
  <c r="K361" i="1"/>
  <c r="M361" i="1"/>
  <c r="O361" i="1"/>
  <c r="Q361" i="1"/>
  <c r="R361" i="1"/>
  <c r="W361" i="1"/>
  <c r="AA361" i="1"/>
  <c r="AB361" i="1"/>
  <c r="AE361" i="1"/>
  <c r="AF361" i="1"/>
  <c r="AM361" i="1"/>
  <c r="AN361" i="1"/>
  <c r="AO361" i="1"/>
  <c r="AQ361" i="1"/>
  <c r="AX361" i="1"/>
  <c r="BD361" i="1"/>
  <c r="B362" i="1"/>
  <c r="C362" i="1"/>
  <c r="E362" i="1"/>
  <c r="F362" i="1"/>
  <c r="G362" i="1"/>
  <c r="H362" i="1"/>
  <c r="I362" i="1"/>
  <c r="J362" i="1"/>
  <c r="K362" i="1"/>
  <c r="M362" i="1"/>
  <c r="O362" i="1"/>
  <c r="Q362" i="1"/>
  <c r="R362" i="1"/>
  <c r="W362" i="1"/>
  <c r="AA362" i="1"/>
  <c r="AB362" i="1"/>
  <c r="AE362" i="1"/>
  <c r="AF362" i="1"/>
  <c r="AM362" i="1"/>
  <c r="AN362" i="1"/>
  <c r="AO362" i="1"/>
  <c r="AQ362" i="1"/>
  <c r="AX362" i="1"/>
  <c r="BD362" i="1"/>
  <c r="B363" i="1"/>
  <c r="C363" i="1"/>
  <c r="E363" i="1"/>
  <c r="F363" i="1"/>
  <c r="G363" i="1"/>
  <c r="H363" i="1"/>
  <c r="I363" i="1"/>
  <c r="J363" i="1"/>
  <c r="K363" i="1"/>
  <c r="M363" i="1"/>
  <c r="O363" i="1"/>
  <c r="Q363" i="1"/>
  <c r="R363" i="1"/>
  <c r="W363" i="1"/>
  <c r="AA363" i="1"/>
  <c r="AB363" i="1"/>
  <c r="AE363" i="1"/>
  <c r="AF363" i="1"/>
  <c r="AM363" i="1"/>
  <c r="AN363" i="1"/>
  <c r="AO363" i="1"/>
  <c r="AQ363" i="1"/>
  <c r="AX363" i="1"/>
  <c r="BD363" i="1"/>
  <c r="B364" i="1"/>
  <c r="C364" i="1"/>
  <c r="E364" i="1"/>
  <c r="F364" i="1"/>
  <c r="G364" i="1"/>
  <c r="H364" i="1"/>
  <c r="I364" i="1"/>
  <c r="J364" i="1"/>
  <c r="K364" i="1"/>
  <c r="M364" i="1"/>
  <c r="O364" i="1"/>
  <c r="Q364" i="1"/>
  <c r="R364" i="1"/>
  <c r="W364" i="1"/>
  <c r="AA364" i="1"/>
  <c r="AB364" i="1"/>
  <c r="AE364" i="1"/>
  <c r="AF364" i="1"/>
  <c r="AM364" i="1"/>
  <c r="AN364" i="1"/>
  <c r="AO364" i="1"/>
  <c r="AQ364" i="1"/>
  <c r="AX364" i="1"/>
  <c r="BD364" i="1"/>
  <c r="B365" i="1"/>
  <c r="C365" i="1"/>
  <c r="E365" i="1"/>
  <c r="F365" i="1"/>
  <c r="G365" i="1"/>
  <c r="H365" i="1"/>
  <c r="I365" i="1"/>
  <c r="J365" i="1"/>
  <c r="K365" i="1"/>
  <c r="M365" i="1"/>
  <c r="O365" i="1"/>
  <c r="Q365" i="1"/>
  <c r="R365" i="1"/>
  <c r="W365" i="1"/>
  <c r="AA365" i="1"/>
  <c r="AB365" i="1"/>
  <c r="AE365" i="1"/>
  <c r="AF365" i="1"/>
  <c r="AM365" i="1"/>
  <c r="AN365" i="1"/>
  <c r="AO365" i="1"/>
  <c r="AQ365" i="1"/>
  <c r="AX365" i="1"/>
  <c r="BD365" i="1"/>
  <c r="B366" i="1"/>
  <c r="C366" i="1"/>
  <c r="E366" i="1"/>
  <c r="F366" i="1"/>
  <c r="G366" i="1"/>
  <c r="H366" i="1"/>
  <c r="I366" i="1"/>
  <c r="J366" i="1"/>
  <c r="K366" i="1"/>
  <c r="M366" i="1"/>
  <c r="O366" i="1"/>
  <c r="Q366" i="1"/>
  <c r="R366" i="1"/>
  <c r="W366" i="1"/>
  <c r="AA366" i="1"/>
  <c r="AB366" i="1"/>
  <c r="AE366" i="1"/>
  <c r="AF366" i="1"/>
  <c r="AM366" i="1"/>
  <c r="AN366" i="1"/>
  <c r="AO366" i="1"/>
  <c r="AQ366" i="1"/>
  <c r="AX366" i="1"/>
  <c r="BD366" i="1"/>
  <c r="B367" i="1"/>
  <c r="C367" i="1"/>
  <c r="E367" i="1"/>
  <c r="F367" i="1"/>
  <c r="G367" i="1"/>
  <c r="H367" i="1"/>
  <c r="I367" i="1"/>
  <c r="J367" i="1"/>
  <c r="K367" i="1"/>
  <c r="M367" i="1"/>
  <c r="O367" i="1"/>
  <c r="Q367" i="1"/>
  <c r="R367" i="1"/>
  <c r="W367" i="1"/>
  <c r="AA367" i="1"/>
  <c r="AB367" i="1"/>
  <c r="AE367" i="1"/>
  <c r="AF367" i="1"/>
  <c r="AM367" i="1"/>
  <c r="AN367" i="1"/>
  <c r="AO367" i="1"/>
  <c r="AQ367" i="1"/>
  <c r="AX367" i="1"/>
  <c r="BD367" i="1"/>
  <c r="B368" i="1"/>
  <c r="C368" i="1"/>
  <c r="E368" i="1"/>
  <c r="F368" i="1"/>
  <c r="G368" i="1"/>
  <c r="H368" i="1"/>
  <c r="I368" i="1"/>
  <c r="J368" i="1"/>
  <c r="K368" i="1"/>
  <c r="M368" i="1"/>
  <c r="O368" i="1"/>
  <c r="Q368" i="1"/>
  <c r="R368" i="1"/>
  <c r="W368" i="1"/>
  <c r="AA368" i="1"/>
  <c r="AM368" i="1"/>
  <c r="AN368" i="1"/>
  <c r="AO368" i="1"/>
  <c r="AQ368" i="1"/>
  <c r="BB368" i="1"/>
  <c r="BD368" i="1"/>
  <c r="B369" i="1"/>
  <c r="C369" i="1"/>
  <c r="E369" i="1"/>
  <c r="F369" i="1"/>
  <c r="G369" i="1"/>
  <c r="H369" i="1"/>
  <c r="I369" i="1"/>
  <c r="J369" i="1"/>
  <c r="K369" i="1"/>
  <c r="M369" i="1"/>
  <c r="O369" i="1"/>
  <c r="Q369" i="1"/>
  <c r="R369" i="1"/>
  <c r="W369" i="1"/>
  <c r="AA369" i="1"/>
  <c r="AM369" i="1"/>
  <c r="AN369" i="1"/>
  <c r="AO369" i="1"/>
  <c r="AQ369" i="1"/>
  <c r="BB369" i="1"/>
  <c r="BD369" i="1"/>
  <c r="B370" i="1"/>
  <c r="C370" i="1"/>
  <c r="E370" i="1"/>
  <c r="F370" i="1"/>
  <c r="G370" i="1"/>
  <c r="H370" i="1"/>
  <c r="I370" i="1"/>
  <c r="J370" i="1"/>
  <c r="K370" i="1"/>
  <c r="M370" i="1"/>
  <c r="O370" i="1"/>
  <c r="Q370" i="1"/>
  <c r="R370" i="1"/>
  <c r="W370" i="1"/>
  <c r="AA370" i="1"/>
  <c r="AB370" i="1"/>
  <c r="AE370" i="1"/>
  <c r="AF370" i="1"/>
  <c r="AM370" i="1"/>
  <c r="AN370" i="1"/>
  <c r="AO370" i="1"/>
  <c r="AQ370" i="1"/>
  <c r="AX370" i="1"/>
  <c r="BD370" i="1"/>
  <c r="B371" i="1"/>
  <c r="C371" i="1"/>
  <c r="E371" i="1"/>
  <c r="F371" i="1"/>
  <c r="G371" i="1"/>
  <c r="H371" i="1"/>
  <c r="I371" i="1"/>
  <c r="J371" i="1"/>
  <c r="K371" i="1"/>
  <c r="M371" i="1"/>
  <c r="O371" i="1"/>
  <c r="Q371" i="1"/>
  <c r="R371" i="1"/>
  <c r="W371" i="1"/>
  <c r="AA371" i="1"/>
  <c r="AB371" i="1"/>
  <c r="AE371" i="1"/>
  <c r="AF371" i="1"/>
  <c r="AM371" i="1"/>
  <c r="AN371" i="1"/>
  <c r="AO371" i="1"/>
  <c r="AQ371" i="1"/>
  <c r="AX371" i="1"/>
  <c r="BD371" i="1"/>
  <c r="B372" i="1"/>
  <c r="C372" i="1"/>
  <c r="D372" i="1"/>
  <c r="E372" i="1"/>
  <c r="F372" i="1"/>
  <c r="G372" i="1"/>
  <c r="H372" i="1"/>
  <c r="I372" i="1"/>
  <c r="J372" i="1"/>
  <c r="K372" i="1"/>
  <c r="M372" i="1"/>
  <c r="O372" i="1"/>
  <c r="Q372" i="1"/>
  <c r="R372" i="1"/>
  <c r="W372" i="1"/>
  <c r="AA372" i="1"/>
  <c r="AB372" i="1"/>
  <c r="AE372" i="1"/>
  <c r="AF372" i="1"/>
  <c r="AM372" i="1"/>
  <c r="AN372" i="1"/>
  <c r="AO372" i="1"/>
  <c r="AQ372" i="1"/>
  <c r="AX372" i="1"/>
  <c r="BD372" i="1"/>
  <c r="B373" i="1"/>
  <c r="C373" i="1"/>
  <c r="D373" i="1"/>
  <c r="E373" i="1"/>
  <c r="F373" i="1"/>
  <c r="G373" i="1"/>
  <c r="H373" i="1"/>
  <c r="I373" i="1"/>
  <c r="J373" i="1"/>
  <c r="K373" i="1"/>
  <c r="M373" i="1"/>
  <c r="O373" i="1"/>
  <c r="Q373" i="1"/>
  <c r="R373" i="1"/>
  <c r="W373" i="1"/>
  <c r="AA373" i="1"/>
  <c r="AB373" i="1"/>
  <c r="AE373" i="1"/>
  <c r="AF373" i="1"/>
  <c r="AM373" i="1"/>
  <c r="AN373" i="1"/>
  <c r="AO373" i="1"/>
  <c r="AQ373" i="1"/>
  <c r="AX373" i="1"/>
  <c r="BD373" i="1"/>
  <c r="B374" i="1"/>
  <c r="C374" i="1"/>
  <c r="D374" i="1"/>
  <c r="E374" i="1"/>
  <c r="F374" i="1"/>
  <c r="G374" i="1"/>
  <c r="H374" i="1"/>
  <c r="I374" i="1"/>
  <c r="J374" i="1"/>
  <c r="K374" i="1"/>
  <c r="M374" i="1"/>
  <c r="O374" i="1"/>
  <c r="Q374" i="1"/>
  <c r="R374" i="1"/>
  <c r="W374" i="1"/>
  <c r="AA374" i="1"/>
  <c r="AB374" i="1"/>
  <c r="AE374" i="1"/>
  <c r="AF374" i="1"/>
  <c r="AM374" i="1"/>
  <c r="AN374" i="1"/>
  <c r="AO374" i="1"/>
  <c r="AQ374" i="1"/>
  <c r="AX374" i="1"/>
  <c r="BD374" i="1"/>
  <c r="B375" i="1"/>
  <c r="C375" i="1"/>
  <c r="D375" i="1"/>
  <c r="E375" i="1"/>
  <c r="F375" i="1"/>
  <c r="G375" i="1"/>
  <c r="H375" i="1"/>
  <c r="I375" i="1"/>
  <c r="J375" i="1"/>
  <c r="K375" i="1"/>
  <c r="M375" i="1"/>
  <c r="O375" i="1"/>
  <c r="Q375" i="1"/>
  <c r="R375" i="1"/>
  <c r="W375" i="1"/>
  <c r="AA375" i="1"/>
  <c r="AB375" i="1"/>
  <c r="AE375" i="1"/>
  <c r="AF375" i="1"/>
  <c r="AM375" i="1"/>
  <c r="AN375" i="1"/>
  <c r="AO375" i="1"/>
  <c r="AQ375" i="1"/>
  <c r="AX375" i="1"/>
  <c r="BD375" i="1"/>
  <c r="B376" i="1"/>
  <c r="C376" i="1"/>
  <c r="D376" i="1"/>
  <c r="E376" i="1"/>
  <c r="F376" i="1"/>
  <c r="G376" i="1"/>
  <c r="H376" i="1"/>
  <c r="I376" i="1"/>
  <c r="J376" i="1"/>
  <c r="K376" i="1"/>
  <c r="M376" i="1"/>
  <c r="O376" i="1"/>
  <c r="Q376" i="1"/>
  <c r="R376" i="1"/>
  <c r="W376" i="1"/>
  <c r="AA376" i="1"/>
  <c r="AB376" i="1"/>
  <c r="AE376" i="1"/>
  <c r="AF376" i="1"/>
  <c r="AM376" i="1"/>
  <c r="AN376" i="1"/>
  <c r="AO376" i="1"/>
  <c r="AQ376" i="1"/>
  <c r="AX376" i="1"/>
  <c r="BD376" i="1"/>
  <c r="B377" i="1"/>
  <c r="C377" i="1"/>
  <c r="D377" i="1"/>
  <c r="E377" i="1"/>
  <c r="F377" i="1"/>
  <c r="G377" i="1"/>
  <c r="H377" i="1"/>
  <c r="I377" i="1"/>
  <c r="J377" i="1"/>
  <c r="K377" i="1"/>
  <c r="M377" i="1"/>
  <c r="O377" i="1"/>
  <c r="Q377" i="1"/>
  <c r="R377" i="1"/>
  <c r="W377" i="1"/>
  <c r="AA377" i="1"/>
  <c r="AB377" i="1"/>
  <c r="AE377" i="1"/>
  <c r="AF377" i="1"/>
  <c r="AM377" i="1"/>
  <c r="AN377" i="1"/>
  <c r="AO377" i="1"/>
  <c r="AQ377" i="1"/>
  <c r="AX377" i="1"/>
  <c r="BD377" i="1"/>
  <c r="B378" i="1"/>
  <c r="C378" i="1"/>
  <c r="D378" i="1"/>
  <c r="E378" i="1"/>
  <c r="F378" i="1"/>
  <c r="G378" i="1"/>
  <c r="H378" i="1"/>
  <c r="I378" i="1"/>
  <c r="J378" i="1"/>
  <c r="K378" i="1"/>
  <c r="M378" i="1"/>
  <c r="O378" i="1"/>
  <c r="Q378" i="1"/>
  <c r="R378" i="1"/>
  <c r="W378" i="1"/>
  <c r="AA378" i="1"/>
  <c r="AB378" i="1"/>
  <c r="AE378" i="1"/>
  <c r="AF378" i="1"/>
  <c r="AM378" i="1"/>
  <c r="AN378" i="1"/>
  <c r="AO378" i="1"/>
  <c r="AQ378" i="1"/>
  <c r="AX378" i="1"/>
  <c r="BD378" i="1"/>
  <c r="B379" i="1"/>
  <c r="C379" i="1"/>
  <c r="E379" i="1"/>
  <c r="F379" i="1"/>
  <c r="G379" i="1"/>
  <c r="H379" i="1"/>
  <c r="I379" i="1"/>
  <c r="J379" i="1"/>
  <c r="K379" i="1"/>
  <c r="M379" i="1"/>
  <c r="O379" i="1"/>
  <c r="Q379" i="1"/>
  <c r="R379" i="1"/>
  <c r="W379" i="1"/>
  <c r="AA379" i="1"/>
  <c r="AM379" i="1"/>
  <c r="AN379" i="1"/>
  <c r="AO379" i="1"/>
  <c r="AQ379" i="1"/>
  <c r="BB379" i="1"/>
  <c r="BD379" i="1"/>
  <c r="B380" i="1"/>
  <c r="C380" i="1"/>
  <c r="E380" i="1"/>
  <c r="F380" i="1"/>
  <c r="G380" i="1"/>
  <c r="H380" i="1"/>
  <c r="I380" i="1"/>
  <c r="J380" i="1"/>
  <c r="K380" i="1"/>
  <c r="M380" i="1"/>
  <c r="O380" i="1"/>
  <c r="Q380" i="1"/>
  <c r="R380" i="1"/>
  <c r="W380" i="1"/>
  <c r="AA380" i="1"/>
  <c r="AM380" i="1"/>
  <c r="AN380" i="1"/>
  <c r="AO380" i="1"/>
  <c r="AQ380" i="1"/>
  <c r="BB380" i="1"/>
  <c r="BD380" i="1"/>
  <c r="B381" i="1"/>
  <c r="C381" i="1"/>
  <c r="D381" i="1"/>
  <c r="E381" i="1"/>
  <c r="F381" i="1"/>
  <c r="G381" i="1"/>
  <c r="H381" i="1"/>
  <c r="I381" i="1"/>
  <c r="J381" i="1"/>
  <c r="K381" i="1"/>
  <c r="M381" i="1"/>
  <c r="O381" i="1"/>
  <c r="Q381" i="1"/>
  <c r="R381" i="1"/>
  <c r="W381" i="1"/>
  <c r="AA381" i="1"/>
  <c r="AB381" i="1"/>
  <c r="AE381" i="1"/>
  <c r="AF381" i="1"/>
  <c r="AM381" i="1"/>
  <c r="AN381" i="1"/>
  <c r="AO381" i="1"/>
  <c r="AQ381" i="1"/>
  <c r="AX381" i="1"/>
  <c r="BD381" i="1"/>
  <c r="B382" i="1"/>
  <c r="C382" i="1"/>
  <c r="E382" i="1"/>
  <c r="F382" i="1"/>
  <c r="G382" i="1"/>
  <c r="H382" i="1"/>
  <c r="I382" i="1"/>
  <c r="J382" i="1"/>
  <c r="K382" i="1"/>
  <c r="M382" i="1"/>
  <c r="O382" i="1"/>
  <c r="Q382" i="1"/>
  <c r="R382" i="1"/>
  <c r="W382" i="1"/>
  <c r="AA382" i="1"/>
  <c r="AB382" i="1"/>
  <c r="AE382" i="1"/>
  <c r="AF382" i="1"/>
  <c r="AM382" i="1"/>
  <c r="AN382" i="1"/>
  <c r="AO382" i="1"/>
  <c r="AQ382" i="1"/>
  <c r="AX382" i="1"/>
  <c r="BD382" i="1"/>
  <c r="B383" i="1"/>
  <c r="C383" i="1"/>
  <c r="D383" i="1"/>
  <c r="E383" i="1"/>
  <c r="F383" i="1"/>
  <c r="G383" i="1"/>
  <c r="H383" i="1"/>
  <c r="I383" i="1"/>
  <c r="J383" i="1"/>
  <c r="K383" i="1"/>
  <c r="M383" i="1"/>
  <c r="O383" i="1"/>
  <c r="Q383" i="1"/>
  <c r="R383" i="1"/>
  <c r="W383" i="1"/>
  <c r="AA383" i="1"/>
  <c r="AB383" i="1"/>
  <c r="AE383" i="1"/>
  <c r="AF383" i="1"/>
  <c r="AM383" i="1"/>
  <c r="AN383" i="1"/>
  <c r="AO383" i="1"/>
  <c r="AQ383" i="1"/>
  <c r="AX383" i="1"/>
  <c r="BD383" i="1"/>
  <c r="B384" i="1"/>
  <c r="C384" i="1"/>
  <c r="D384" i="1"/>
  <c r="E384" i="1"/>
  <c r="F384" i="1"/>
  <c r="G384" i="1"/>
  <c r="H384" i="1"/>
  <c r="I384" i="1"/>
  <c r="J384" i="1"/>
  <c r="K384" i="1"/>
  <c r="M384" i="1"/>
  <c r="O384" i="1"/>
  <c r="Q384" i="1"/>
  <c r="R384" i="1"/>
  <c r="W384" i="1"/>
  <c r="AA384" i="1"/>
  <c r="AB384" i="1"/>
  <c r="AE384" i="1"/>
  <c r="AF384" i="1"/>
  <c r="AM384" i="1"/>
  <c r="AN384" i="1"/>
  <c r="AO384" i="1"/>
  <c r="AQ384" i="1"/>
  <c r="AX384" i="1"/>
  <c r="BD384" i="1"/>
  <c r="B385" i="1"/>
  <c r="C385" i="1"/>
  <c r="D385" i="1"/>
  <c r="E385" i="1"/>
  <c r="F385" i="1"/>
  <c r="G385" i="1"/>
  <c r="H385" i="1"/>
  <c r="I385" i="1"/>
  <c r="J385" i="1"/>
  <c r="K385" i="1"/>
  <c r="M385" i="1"/>
  <c r="O385" i="1"/>
  <c r="Q385" i="1"/>
  <c r="R385" i="1"/>
  <c r="W385" i="1"/>
  <c r="AA385" i="1"/>
  <c r="AB385" i="1"/>
  <c r="AE385" i="1"/>
  <c r="AF385" i="1"/>
  <c r="AM385" i="1"/>
  <c r="AN385" i="1"/>
  <c r="AO385" i="1"/>
  <c r="AQ385" i="1"/>
  <c r="AX385" i="1"/>
  <c r="BD385" i="1"/>
  <c r="B386" i="1"/>
  <c r="C386" i="1"/>
  <c r="D386" i="1"/>
  <c r="E386" i="1"/>
  <c r="F386" i="1"/>
  <c r="G386" i="1"/>
  <c r="H386" i="1"/>
  <c r="I386" i="1"/>
  <c r="J386" i="1"/>
  <c r="K386" i="1"/>
  <c r="M386" i="1"/>
  <c r="O386" i="1"/>
  <c r="Q386" i="1"/>
  <c r="R386" i="1"/>
  <c r="W386" i="1"/>
  <c r="AA386" i="1"/>
  <c r="AB386" i="1"/>
  <c r="AE386" i="1"/>
  <c r="AF386" i="1"/>
  <c r="AM386" i="1"/>
  <c r="AN386" i="1"/>
  <c r="AO386" i="1"/>
  <c r="AQ386" i="1"/>
  <c r="AX386" i="1"/>
  <c r="BD386" i="1"/>
  <c r="B387" i="1"/>
  <c r="E387" i="1"/>
  <c r="F387" i="1"/>
  <c r="G387" i="1"/>
  <c r="H387" i="1"/>
  <c r="I387" i="1"/>
  <c r="J387" i="1"/>
  <c r="K387" i="1"/>
  <c r="M387" i="1"/>
  <c r="O387" i="1"/>
  <c r="Q387" i="1"/>
  <c r="R387" i="1"/>
  <c r="W387" i="1"/>
  <c r="AA387" i="1"/>
  <c r="AM387" i="1"/>
  <c r="AN387" i="1"/>
  <c r="AO387" i="1"/>
  <c r="AQ387" i="1"/>
  <c r="BD387" i="1"/>
  <c r="B388" i="1"/>
  <c r="C388" i="1"/>
  <c r="E388" i="1"/>
  <c r="F388" i="1"/>
  <c r="G388" i="1"/>
  <c r="H388" i="1"/>
  <c r="I388" i="1"/>
  <c r="J388" i="1"/>
  <c r="K388" i="1"/>
  <c r="M388" i="1"/>
  <c r="O388" i="1"/>
  <c r="Q388" i="1"/>
  <c r="R388" i="1"/>
  <c r="W388" i="1"/>
  <c r="AA388" i="1"/>
  <c r="AB388" i="1"/>
  <c r="AE388" i="1"/>
  <c r="AF388" i="1"/>
  <c r="AM388" i="1"/>
  <c r="AN388" i="1"/>
  <c r="AO388" i="1"/>
  <c r="AQ388" i="1"/>
  <c r="AX388" i="1"/>
  <c r="BD388" i="1"/>
  <c r="B389" i="1"/>
  <c r="C389" i="1"/>
  <c r="E389" i="1"/>
  <c r="F389" i="1"/>
  <c r="G389" i="1"/>
  <c r="H389" i="1"/>
  <c r="I389" i="1"/>
  <c r="J389" i="1"/>
  <c r="K389" i="1"/>
  <c r="M389" i="1"/>
  <c r="O389" i="1"/>
  <c r="Q389" i="1"/>
  <c r="R389" i="1"/>
  <c r="W389" i="1"/>
  <c r="AA389" i="1"/>
  <c r="AB389" i="1"/>
  <c r="AE389" i="1"/>
  <c r="AF389" i="1"/>
  <c r="AM389" i="1"/>
  <c r="AN389" i="1"/>
  <c r="AO389" i="1"/>
  <c r="AQ389" i="1"/>
  <c r="AX389" i="1"/>
  <c r="BD389" i="1"/>
  <c r="B390" i="1"/>
  <c r="C390" i="1"/>
  <c r="E390" i="1"/>
  <c r="F390" i="1"/>
  <c r="G390" i="1"/>
  <c r="H390" i="1"/>
  <c r="I390" i="1"/>
  <c r="J390" i="1"/>
  <c r="K390" i="1"/>
  <c r="M390" i="1"/>
  <c r="O390" i="1"/>
  <c r="Q390" i="1"/>
  <c r="R390" i="1"/>
  <c r="W390" i="1"/>
  <c r="AA390" i="1"/>
  <c r="AB390" i="1"/>
  <c r="AE390" i="1"/>
  <c r="AF390" i="1"/>
  <c r="AM390" i="1"/>
  <c r="AN390" i="1"/>
  <c r="AO390" i="1"/>
  <c r="AQ390" i="1"/>
  <c r="AX390" i="1"/>
  <c r="BD390" i="1"/>
  <c r="B391" i="1"/>
  <c r="C391" i="1"/>
  <c r="E391" i="1"/>
  <c r="F391" i="1"/>
  <c r="G391" i="1"/>
  <c r="H391" i="1"/>
  <c r="I391" i="1"/>
  <c r="J391" i="1"/>
  <c r="K391" i="1"/>
  <c r="M391" i="1"/>
  <c r="O391" i="1"/>
  <c r="Q391" i="1"/>
  <c r="R391" i="1"/>
  <c r="W391" i="1"/>
  <c r="AA391" i="1"/>
  <c r="AB391" i="1"/>
  <c r="AE391" i="1"/>
  <c r="AF391" i="1"/>
  <c r="AM391" i="1"/>
  <c r="AN391" i="1"/>
  <c r="AO391" i="1"/>
  <c r="AQ391" i="1"/>
  <c r="AX391" i="1"/>
  <c r="BD391" i="1"/>
  <c r="B392" i="1"/>
  <c r="C392" i="1"/>
  <c r="E392" i="1"/>
  <c r="F392" i="1"/>
  <c r="G392" i="1"/>
  <c r="H392" i="1"/>
  <c r="I392" i="1"/>
  <c r="J392" i="1"/>
  <c r="K392" i="1"/>
  <c r="M392" i="1"/>
  <c r="O392" i="1"/>
  <c r="Q392" i="1"/>
  <c r="R392" i="1"/>
  <c r="W392" i="1"/>
  <c r="AA392" i="1"/>
  <c r="AB392" i="1"/>
  <c r="AE392" i="1"/>
  <c r="AF392" i="1"/>
  <c r="AM392" i="1"/>
  <c r="AN392" i="1"/>
  <c r="AO392" i="1"/>
  <c r="AQ392" i="1"/>
  <c r="AX392" i="1"/>
  <c r="BD392" i="1"/>
  <c r="B393" i="1"/>
  <c r="C393" i="1"/>
  <c r="E393" i="1"/>
  <c r="F393" i="1"/>
  <c r="G393" i="1"/>
  <c r="H393" i="1"/>
  <c r="I393" i="1"/>
  <c r="J393" i="1"/>
  <c r="K393" i="1"/>
  <c r="M393" i="1"/>
  <c r="O393" i="1"/>
  <c r="Q393" i="1"/>
  <c r="R393" i="1"/>
  <c r="W393" i="1"/>
  <c r="AA393" i="1"/>
  <c r="AB393" i="1"/>
  <c r="AE393" i="1"/>
  <c r="AF393" i="1"/>
  <c r="AM393" i="1"/>
  <c r="AN393" i="1"/>
  <c r="AO393" i="1"/>
  <c r="AQ393" i="1"/>
  <c r="AX393" i="1"/>
  <c r="BD393" i="1"/>
  <c r="B394" i="1"/>
  <c r="C394" i="1"/>
  <c r="E394" i="1"/>
  <c r="F394" i="1"/>
  <c r="G394" i="1"/>
  <c r="H394" i="1"/>
  <c r="I394" i="1"/>
  <c r="J394" i="1"/>
  <c r="K394" i="1"/>
  <c r="M394" i="1"/>
  <c r="O394" i="1"/>
  <c r="Q394" i="1"/>
  <c r="R394" i="1"/>
  <c r="W394" i="1"/>
  <c r="AA394" i="1"/>
  <c r="AB394" i="1"/>
  <c r="AE394" i="1"/>
  <c r="AF394" i="1"/>
  <c r="AM394" i="1"/>
  <c r="AN394" i="1"/>
  <c r="AO394" i="1"/>
  <c r="AQ394" i="1"/>
  <c r="AX394" i="1"/>
  <c r="BD394" i="1"/>
  <c r="B395" i="1"/>
  <c r="C395" i="1"/>
  <c r="E395" i="1"/>
  <c r="F395" i="1"/>
  <c r="G395" i="1"/>
  <c r="H395" i="1"/>
  <c r="I395" i="1"/>
  <c r="J395" i="1"/>
  <c r="K395" i="1"/>
  <c r="M395" i="1"/>
  <c r="O395" i="1"/>
  <c r="Q395" i="1"/>
  <c r="R395" i="1"/>
  <c r="W395" i="1"/>
  <c r="AA395" i="1"/>
  <c r="AB395" i="1"/>
  <c r="AE395" i="1"/>
  <c r="AF395" i="1"/>
  <c r="AM395" i="1"/>
  <c r="AN395" i="1"/>
  <c r="AO395" i="1"/>
  <c r="AQ395" i="1"/>
  <c r="AX395" i="1"/>
  <c r="BD395" i="1"/>
  <c r="B396" i="1"/>
  <c r="C396" i="1"/>
  <c r="D396" i="1"/>
  <c r="E396" i="1"/>
  <c r="F396" i="1"/>
  <c r="G396" i="1"/>
  <c r="H396" i="1"/>
  <c r="I396" i="1"/>
  <c r="J396" i="1"/>
  <c r="K396" i="1"/>
  <c r="M396" i="1"/>
  <c r="O396" i="1"/>
  <c r="Q396" i="1"/>
  <c r="R396" i="1"/>
  <c r="W396" i="1"/>
  <c r="AA396" i="1"/>
  <c r="AB396" i="1"/>
  <c r="AE396" i="1"/>
  <c r="AF396" i="1"/>
  <c r="AM396" i="1"/>
  <c r="AN396" i="1"/>
  <c r="AO396" i="1"/>
  <c r="AQ396" i="1"/>
  <c r="AX396" i="1"/>
  <c r="BD396" i="1"/>
  <c r="B397" i="1"/>
  <c r="C397" i="1"/>
  <c r="D397" i="1"/>
  <c r="E397" i="1"/>
  <c r="F397" i="1"/>
  <c r="G397" i="1"/>
  <c r="H397" i="1"/>
  <c r="I397" i="1"/>
  <c r="J397" i="1"/>
  <c r="K397" i="1"/>
  <c r="M397" i="1"/>
  <c r="O397" i="1"/>
  <c r="Q397" i="1"/>
  <c r="R397" i="1"/>
  <c r="W397" i="1"/>
  <c r="AA397" i="1"/>
  <c r="AB397" i="1"/>
  <c r="AE397" i="1"/>
  <c r="AF397" i="1"/>
  <c r="AM397" i="1"/>
  <c r="AN397" i="1"/>
  <c r="AO397" i="1"/>
  <c r="AQ397" i="1"/>
  <c r="AX397" i="1"/>
  <c r="BD397" i="1"/>
  <c r="B398" i="1"/>
  <c r="C398" i="1"/>
  <c r="E398" i="1"/>
  <c r="F398" i="1"/>
  <c r="G398" i="1"/>
  <c r="H398" i="1"/>
  <c r="I398" i="1"/>
  <c r="J398" i="1"/>
  <c r="K398" i="1"/>
  <c r="M398" i="1"/>
  <c r="O398" i="1"/>
  <c r="Q398" i="1"/>
  <c r="R398" i="1"/>
  <c r="W398" i="1"/>
  <c r="AA398" i="1"/>
  <c r="AM398" i="1"/>
  <c r="AN398" i="1"/>
  <c r="AO398" i="1"/>
  <c r="AQ398" i="1"/>
  <c r="BB398" i="1"/>
  <c r="BD398" i="1"/>
  <c r="B399" i="1"/>
  <c r="C399" i="1"/>
  <c r="E399" i="1"/>
  <c r="F399" i="1"/>
  <c r="G399" i="1"/>
  <c r="H399" i="1"/>
  <c r="I399" i="1"/>
  <c r="J399" i="1"/>
  <c r="K399" i="1"/>
  <c r="M399" i="1"/>
  <c r="O399" i="1"/>
  <c r="Q399" i="1"/>
  <c r="R399" i="1"/>
  <c r="W399" i="1"/>
  <c r="AA399" i="1"/>
  <c r="AM399" i="1"/>
  <c r="AN399" i="1"/>
  <c r="AO399" i="1"/>
  <c r="AQ399" i="1"/>
  <c r="BB399" i="1"/>
  <c r="BD399" i="1"/>
  <c r="B400" i="1"/>
  <c r="C400" i="1"/>
  <c r="E400" i="1"/>
  <c r="F400" i="1"/>
  <c r="G400" i="1"/>
  <c r="H400" i="1"/>
  <c r="I400" i="1"/>
  <c r="J400" i="1"/>
  <c r="K400" i="1"/>
  <c r="M400" i="1"/>
  <c r="O400" i="1"/>
  <c r="Q400" i="1"/>
  <c r="R400" i="1"/>
  <c r="W400" i="1"/>
  <c r="AA400" i="1"/>
  <c r="AM400" i="1"/>
  <c r="AN400" i="1"/>
  <c r="AO400" i="1"/>
  <c r="AQ400" i="1"/>
  <c r="BD400" i="1"/>
  <c r="B401" i="1"/>
  <c r="C401" i="1"/>
  <c r="E401" i="1"/>
  <c r="F401" i="1"/>
  <c r="G401" i="1"/>
  <c r="H401" i="1"/>
  <c r="I401" i="1"/>
  <c r="J401" i="1"/>
  <c r="K401" i="1"/>
  <c r="M401" i="1"/>
  <c r="O401" i="1"/>
  <c r="Q401" i="1"/>
  <c r="R401" i="1"/>
  <c r="W401" i="1"/>
  <c r="AA401" i="1"/>
  <c r="AB401" i="1"/>
  <c r="AE401" i="1"/>
  <c r="AF401" i="1"/>
  <c r="AM401" i="1"/>
  <c r="AN401" i="1"/>
  <c r="AO401" i="1"/>
  <c r="AQ401" i="1"/>
  <c r="AX401" i="1"/>
  <c r="BD401" i="1"/>
  <c r="B402" i="1"/>
  <c r="C402" i="1"/>
  <c r="E402" i="1"/>
  <c r="F402" i="1"/>
  <c r="G402" i="1"/>
  <c r="H402" i="1"/>
  <c r="I402" i="1"/>
  <c r="J402" i="1"/>
  <c r="K402" i="1"/>
  <c r="M402" i="1"/>
  <c r="O402" i="1"/>
  <c r="Q402" i="1"/>
  <c r="R402" i="1"/>
  <c r="W402" i="1"/>
  <c r="AA402" i="1"/>
  <c r="AM402" i="1"/>
  <c r="AN402" i="1"/>
  <c r="AO402" i="1"/>
  <c r="AQ402" i="1"/>
  <c r="BB402" i="1"/>
  <c r="BD402" i="1"/>
  <c r="B403" i="1"/>
  <c r="C403" i="1"/>
  <c r="E403" i="1"/>
  <c r="F403" i="1"/>
  <c r="G403" i="1"/>
  <c r="H403" i="1"/>
  <c r="I403" i="1"/>
  <c r="J403" i="1"/>
  <c r="K403" i="1"/>
  <c r="M403" i="1"/>
  <c r="O403" i="1"/>
  <c r="Q403" i="1"/>
  <c r="R403" i="1"/>
  <c r="W403" i="1"/>
  <c r="AA403" i="1"/>
  <c r="AB403" i="1"/>
  <c r="AE403" i="1"/>
  <c r="AF403" i="1"/>
  <c r="AM403" i="1"/>
  <c r="AN403" i="1"/>
  <c r="AO403" i="1"/>
  <c r="AQ403" i="1"/>
  <c r="AX403" i="1"/>
  <c r="BD403" i="1"/>
  <c r="B404" i="1"/>
  <c r="C404" i="1"/>
  <c r="E404" i="1"/>
  <c r="F404" i="1"/>
  <c r="G404" i="1"/>
  <c r="H404" i="1"/>
  <c r="I404" i="1"/>
  <c r="J404" i="1"/>
  <c r="K404" i="1"/>
  <c r="M404" i="1"/>
  <c r="O404" i="1"/>
  <c r="Q404" i="1"/>
  <c r="R404" i="1"/>
  <c r="W404" i="1"/>
  <c r="AA404" i="1"/>
  <c r="AB404" i="1"/>
  <c r="AE404" i="1"/>
  <c r="AF404" i="1"/>
  <c r="AM404" i="1"/>
  <c r="AN404" i="1"/>
  <c r="AO404" i="1"/>
  <c r="AQ404" i="1"/>
  <c r="AX404" i="1"/>
  <c r="BD404" i="1"/>
  <c r="B405" i="1"/>
  <c r="C405" i="1"/>
  <c r="E405" i="1"/>
  <c r="F405" i="1"/>
  <c r="G405" i="1"/>
  <c r="H405" i="1"/>
  <c r="I405" i="1"/>
  <c r="J405" i="1"/>
  <c r="K405" i="1"/>
  <c r="M405" i="1"/>
  <c r="O405" i="1"/>
  <c r="Q405" i="1"/>
  <c r="R405" i="1"/>
  <c r="W405" i="1"/>
  <c r="AA405" i="1"/>
  <c r="AM405" i="1"/>
  <c r="AN405" i="1"/>
  <c r="AO405" i="1"/>
  <c r="AQ405" i="1"/>
  <c r="BB405" i="1"/>
  <c r="BD405" i="1"/>
  <c r="B406" i="1"/>
  <c r="C406" i="1"/>
  <c r="E406" i="1"/>
  <c r="F406" i="1"/>
  <c r="G406" i="1"/>
  <c r="H406" i="1"/>
  <c r="I406" i="1"/>
  <c r="J406" i="1"/>
  <c r="K406" i="1"/>
  <c r="M406" i="1"/>
  <c r="O406" i="1"/>
  <c r="Q406" i="1"/>
  <c r="R406" i="1"/>
  <c r="W406" i="1"/>
  <c r="AA406" i="1"/>
  <c r="AB406" i="1"/>
  <c r="AE406" i="1"/>
  <c r="AF406" i="1"/>
  <c r="AM406" i="1"/>
  <c r="AN406" i="1"/>
  <c r="AO406" i="1"/>
  <c r="AQ406" i="1"/>
  <c r="AX406" i="1"/>
  <c r="BD406" i="1"/>
  <c r="B407" i="1"/>
  <c r="C407" i="1"/>
  <c r="E407" i="1"/>
  <c r="F407" i="1"/>
  <c r="G407" i="1"/>
  <c r="H407" i="1"/>
  <c r="I407" i="1"/>
  <c r="J407" i="1"/>
  <c r="K407" i="1"/>
  <c r="M407" i="1"/>
  <c r="O407" i="1"/>
  <c r="Q407" i="1"/>
  <c r="R407" i="1"/>
  <c r="W407" i="1"/>
  <c r="AA407" i="1"/>
  <c r="AB407" i="1"/>
  <c r="AE407" i="1"/>
  <c r="AF407" i="1"/>
  <c r="AM407" i="1"/>
  <c r="AN407" i="1"/>
  <c r="AO407" i="1"/>
  <c r="AQ407" i="1"/>
  <c r="AX407" i="1"/>
  <c r="BD407" i="1"/>
  <c r="B408" i="1"/>
  <c r="C408" i="1"/>
  <c r="E408" i="1"/>
  <c r="F408" i="1"/>
  <c r="G408" i="1"/>
  <c r="H408" i="1"/>
  <c r="I408" i="1"/>
  <c r="J408" i="1"/>
  <c r="K408" i="1"/>
  <c r="M408" i="1"/>
  <c r="O408" i="1"/>
  <c r="Q408" i="1"/>
  <c r="R408" i="1"/>
  <c r="W408" i="1"/>
  <c r="AA408" i="1"/>
  <c r="AB408" i="1"/>
  <c r="AE408" i="1"/>
  <c r="AF408" i="1"/>
  <c r="AM408" i="1"/>
  <c r="AN408" i="1"/>
  <c r="AO408" i="1"/>
  <c r="AQ408" i="1"/>
  <c r="AX408" i="1"/>
  <c r="BD408" i="1"/>
  <c r="B409" i="1"/>
  <c r="C409" i="1"/>
  <c r="E409" i="1"/>
  <c r="F409" i="1"/>
  <c r="G409" i="1"/>
  <c r="H409" i="1"/>
  <c r="I409" i="1"/>
  <c r="J409" i="1"/>
  <c r="K409" i="1"/>
  <c r="M409" i="1"/>
  <c r="O409" i="1"/>
  <c r="Q409" i="1"/>
  <c r="R409" i="1"/>
  <c r="W409" i="1"/>
  <c r="AA409" i="1"/>
  <c r="AB409" i="1"/>
  <c r="AE409" i="1"/>
  <c r="AF409" i="1"/>
  <c r="AM409" i="1"/>
  <c r="AN409" i="1"/>
  <c r="AO409" i="1"/>
  <c r="AQ409" i="1"/>
  <c r="AX409" i="1"/>
  <c r="BD409" i="1"/>
  <c r="B410" i="1"/>
  <c r="C410" i="1"/>
  <c r="E410" i="1"/>
  <c r="F410" i="1"/>
  <c r="G410" i="1"/>
  <c r="H410" i="1"/>
  <c r="I410" i="1"/>
  <c r="J410" i="1"/>
  <c r="K410" i="1"/>
  <c r="M410" i="1"/>
  <c r="O410" i="1"/>
  <c r="Q410" i="1"/>
  <c r="R410" i="1"/>
  <c r="W410" i="1"/>
  <c r="AA410" i="1"/>
  <c r="AB410" i="1"/>
  <c r="AE410" i="1"/>
  <c r="AF410" i="1"/>
  <c r="AM410" i="1"/>
  <c r="AN410" i="1"/>
  <c r="AO410" i="1"/>
  <c r="AQ410" i="1"/>
  <c r="AX410" i="1"/>
  <c r="BD410" i="1"/>
  <c r="B411" i="1"/>
  <c r="C411" i="1"/>
  <c r="E411" i="1"/>
  <c r="F411" i="1"/>
  <c r="G411" i="1"/>
  <c r="H411" i="1"/>
  <c r="I411" i="1"/>
  <c r="J411" i="1"/>
  <c r="K411" i="1"/>
  <c r="M411" i="1"/>
  <c r="O411" i="1"/>
  <c r="Q411" i="1"/>
  <c r="R411" i="1"/>
  <c r="W411" i="1"/>
  <c r="AA411" i="1"/>
  <c r="AM411" i="1"/>
  <c r="AN411" i="1"/>
  <c r="AO411" i="1"/>
  <c r="AQ411" i="1"/>
  <c r="BB411" i="1"/>
  <c r="BD411" i="1"/>
  <c r="B412" i="1"/>
  <c r="C412" i="1"/>
  <c r="E412" i="1"/>
  <c r="F412" i="1"/>
  <c r="G412" i="1"/>
  <c r="H412" i="1"/>
  <c r="I412" i="1"/>
  <c r="J412" i="1"/>
  <c r="K412" i="1"/>
  <c r="M412" i="1"/>
  <c r="O412" i="1"/>
  <c r="Q412" i="1"/>
  <c r="R412" i="1"/>
  <c r="W412" i="1"/>
  <c r="AA412" i="1"/>
  <c r="AM412" i="1"/>
  <c r="AN412" i="1"/>
  <c r="AO412" i="1"/>
  <c r="AQ412" i="1"/>
  <c r="BB412" i="1"/>
  <c r="BD412" i="1"/>
  <c r="B413" i="1"/>
  <c r="C413" i="1"/>
  <c r="E413" i="1"/>
  <c r="F413" i="1"/>
  <c r="G413" i="1"/>
  <c r="H413" i="1"/>
  <c r="I413" i="1"/>
  <c r="J413" i="1"/>
  <c r="K413" i="1"/>
  <c r="M413" i="1"/>
  <c r="O413" i="1"/>
  <c r="Q413" i="1"/>
  <c r="R413" i="1"/>
  <c r="W413" i="1"/>
  <c r="AA413" i="1"/>
  <c r="AM413" i="1"/>
  <c r="AN413" i="1"/>
  <c r="AO413" i="1"/>
  <c r="AQ413" i="1"/>
  <c r="BB413" i="1"/>
  <c r="BD413" i="1"/>
  <c r="B414" i="1"/>
  <c r="E414" i="1"/>
  <c r="F414" i="1"/>
  <c r="G414" i="1"/>
  <c r="H414" i="1"/>
  <c r="I414" i="1"/>
  <c r="J414" i="1"/>
  <c r="K414" i="1"/>
  <c r="M414" i="1"/>
  <c r="O414" i="1"/>
  <c r="Q414" i="1"/>
  <c r="R414" i="1"/>
  <c r="W414" i="1"/>
  <c r="AA414" i="1"/>
  <c r="AM414" i="1"/>
  <c r="AN414" i="1"/>
  <c r="AO414" i="1"/>
  <c r="AQ414" i="1"/>
  <c r="BD414" i="1"/>
  <c r="B415" i="1"/>
  <c r="E415" i="1"/>
  <c r="F415" i="1"/>
  <c r="G415" i="1"/>
  <c r="H415" i="1"/>
  <c r="I415" i="1"/>
  <c r="J415" i="1"/>
  <c r="K415" i="1"/>
  <c r="M415" i="1"/>
  <c r="O415" i="1"/>
  <c r="Q415" i="1"/>
  <c r="R415" i="1"/>
  <c r="W415" i="1"/>
  <c r="AA415" i="1"/>
  <c r="AM415" i="1"/>
  <c r="AN415" i="1"/>
  <c r="AO415" i="1"/>
  <c r="AQ415" i="1"/>
  <c r="BD415" i="1"/>
  <c r="B416" i="1"/>
  <c r="E416" i="1"/>
  <c r="F416" i="1"/>
  <c r="G416" i="1"/>
  <c r="H416" i="1"/>
  <c r="I416" i="1"/>
  <c r="J416" i="1"/>
  <c r="K416" i="1"/>
  <c r="M416" i="1"/>
  <c r="O416" i="1"/>
  <c r="Q416" i="1"/>
  <c r="R416" i="1"/>
  <c r="W416" i="1"/>
  <c r="AA416" i="1"/>
  <c r="AM416" i="1"/>
  <c r="AN416" i="1"/>
  <c r="AO416" i="1"/>
  <c r="AQ416" i="1"/>
  <c r="BB416" i="1"/>
  <c r="BD416" i="1"/>
  <c r="B417" i="1"/>
  <c r="C417" i="1"/>
  <c r="D417" i="1"/>
  <c r="E417" i="1"/>
  <c r="F417" i="1"/>
  <c r="G417" i="1"/>
  <c r="H417" i="1"/>
  <c r="I417" i="1"/>
  <c r="J417" i="1"/>
  <c r="K417" i="1"/>
  <c r="M417" i="1"/>
  <c r="O417" i="1"/>
  <c r="Q417" i="1"/>
  <c r="R417" i="1"/>
  <c r="W417" i="1"/>
  <c r="AA417" i="1"/>
  <c r="AB417" i="1"/>
  <c r="AM417" i="1"/>
  <c r="AN417" i="1"/>
  <c r="AO417" i="1"/>
  <c r="AQ417" i="1"/>
  <c r="AX417" i="1"/>
  <c r="BD417" i="1"/>
  <c r="B418" i="1"/>
  <c r="E418" i="1"/>
  <c r="F418" i="1"/>
  <c r="G418" i="1"/>
  <c r="H418" i="1"/>
  <c r="I418" i="1"/>
  <c r="J418" i="1"/>
  <c r="K418" i="1"/>
  <c r="M418" i="1"/>
  <c r="O418" i="1"/>
  <c r="Q418" i="1"/>
  <c r="R418" i="1"/>
  <c r="W418" i="1"/>
  <c r="AA418" i="1"/>
  <c r="AM418" i="1"/>
  <c r="AN418" i="1"/>
  <c r="AO418" i="1"/>
  <c r="AQ418" i="1"/>
  <c r="BB418" i="1"/>
  <c r="BD418" i="1"/>
  <c r="B419" i="1"/>
  <c r="E419" i="1"/>
  <c r="F419" i="1"/>
  <c r="G419" i="1"/>
  <c r="H419" i="1"/>
  <c r="I419" i="1"/>
  <c r="J419" i="1"/>
  <c r="K419" i="1"/>
  <c r="M419" i="1"/>
  <c r="O419" i="1"/>
  <c r="Q419" i="1"/>
  <c r="R419" i="1"/>
  <c r="W419" i="1"/>
  <c r="AA419" i="1"/>
  <c r="AM419" i="1"/>
  <c r="AN419" i="1"/>
  <c r="AO419" i="1"/>
  <c r="AQ419" i="1"/>
  <c r="BB419" i="1"/>
  <c r="BD419" i="1"/>
  <c r="B420" i="1"/>
  <c r="E420" i="1"/>
  <c r="F420" i="1"/>
  <c r="G420" i="1"/>
  <c r="H420" i="1"/>
  <c r="I420" i="1"/>
  <c r="J420" i="1"/>
  <c r="K420" i="1"/>
  <c r="M420" i="1"/>
  <c r="O420" i="1"/>
  <c r="Q420" i="1"/>
  <c r="R420" i="1"/>
  <c r="W420" i="1"/>
  <c r="AA420" i="1"/>
  <c r="AM420" i="1"/>
  <c r="AN420" i="1"/>
  <c r="AO420" i="1"/>
  <c r="AQ420" i="1"/>
  <c r="BB420" i="1"/>
  <c r="BD420" i="1"/>
  <c r="B421" i="1"/>
  <c r="E421" i="1"/>
  <c r="F421" i="1"/>
  <c r="G421" i="1"/>
  <c r="H421" i="1"/>
  <c r="I421" i="1"/>
  <c r="J421" i="1"/>
  <c r="K421" i="1"/>
  <c r="M421" i="1"/>
  <c r="O421" i="1"/>
  <c r="Q421" i="1"/>
  <c r="R421" i="1"/>
  <c r="W421" i="1"/>
  <c r="AA421" i="1"/>
  <c r="AM421" i="1"/>
  <c r="AN421" i="1"/>
  <c r="AO421" i="1"/>
  <c r="AQ421" i="1"/>
  <c r="BD421" i="1"/>
  <c r="B422" i="1"/>
  <c r="C422" i="1"/>
  <c r="E422" i="1"/>
  <c r="F422" i="1"/>
  <c r="G422" i="1"/>
  <c r="H422" i="1"/>
  <c r="I422" i="1"/>
  <c r="J422" i="1"/>
  <c r="K422" i="1"/>
  <c r="M422" i="1"/>
  <c r="O422" i="1"/>
  <c r="Q422" i="1"/>
  <c r="R422" i="1"/>
  <c r="W422" i="1"/>
  <c r="AA422" i="1"/>
  <c r="AM422" i="1"/>
  <c r="AN422" i="1"/>
  <c r="AO422" i="1"/>
  <c r="AQ422" i="1"/>
  <c r="BB422" i="1"/>
  <c r="BD422" i="1"/>
  <c r="B423" i="1"/>
  <c r="C423" i="1"/>
  <c r="E423" i="1"/>
  <c r="F423" i="1"/>
  <c r="G423" i="1"/>
  <c r="H423" i="1"/>
  <c r="I423" i="1"/>
  <c r="J423" i="1"/>
  <c r="K423" i="1"/>
  <c r="M423" i="1"/>
  <c r="O423" i="1"/>
  <c r="Q423" i="1"/>
  <c r="R423" i="1"/>
  <c r="W423" i="1"/>
  <c r="AA423" i="1"/>
  <c r="AM423" i="1"/>
  <c r="AN423" i="1"/>
  <c r="AO423" i="1"/>
  <c r="AQ423" i="1"/>
  <c r="BB423" i="1"/>
  <c r="BD423" i="1"/>
  <c r="B424" i="1"/>
  <c r="C424" i="1"/>
  <c r="E424" i="1"/>
  <c r="F424" i="1"/>
  <c r="G424" i="1"/>
  <c r="H424" i="1"/>
  <c r="I424" i="1"/>
  <c r="J424" i="1"/>
  <c r="K424" i="1"/>
  <c r="M424" i="1"/>
  <c r="O424" i="1"/>
  <c r="Q424" i="1"/>
  <c r="R424" i="1"/>
  <c r="W424" i="1"/>
  <c r="AA424" i="1"/>
  <c r="AM424" i="1"/>
  <c r="AN424" i="1"/>
  <c r="AO424" i="1"/>
  <c r="AP424" i="1"/>
  <c r="AQ424" i="1"/>
  <c r="BB424" i="1"/>
  <c r="BD424" i="1"/>
  <c r="B425" i="1"/>
  <c r="C425" i="1"/>
  <c r="E425" i="1"/>
  <c r="F425" i="1"/>
  <c r="G425" i="1"/>
  <c r="H425" i="1"/>
  <c r="I425" i="1"/>
  <c r="J425" i="1"/>
  <c r="K425" i="1"/>
  <c r="M425" i="1"/>
  <c r="O425" i="1"/>
  <c r="Q425" i="1"/>
  <c r="R425" i="1"/>
  <c r="W425" i="1"/>
  <c r="AA425" i="1"/>
  <c r="AM425" i="1"/>
  <c r="AN425" i="1"/>
  <c r="AO425" i="1"/>
  <c r="AP425" i="1"/>
  <c r="AQ425" i="1"/>
  <c r="BB425" i="1"/>
  <c r="BD425" i="1"/>
  <c r="B426" i="1"/>
  <c r="E426" i="1"/>
  <c r="F426" i="1"/>
  <c r="G426" i="1"/>
  <c r="H426" i="1"/>
  <c r="I426" i="1"/>
  <c r="J426" i="1"/>
  <c r="K426" i="1"/>
  <c r="M426" i="1"/>
  <c r="O426" i="1"/>
  <c r="Q426" i="1"/>
  <c r="R426" i="1"/>
  <c r="W426" i="1"/>
  <c r="AA426" i="1"/>
  <c r="AM426" i="1"/>
  <c r="AN426" i="1"/>
  <c r="AO426" i="1"/>
  <c r="AP426" i="1"/>
  <c r="AQ426" i="1"/>
  <c r="BB426" i="1"/>
  <c r="BD426" i="1"/>
  <c r="B427" i="1"/>
  <c r="E427" i="1"/>
  <c r="F427" i="1"/>
  <c r="G427" i="1"/>
  <c r="H427" i="1"/>
  <c r="I427" i="1"/>
  <c r="J427" i="1"/>
  <c r="K427" i="1"/>
  <c r="M427" i="1"/>
  <c r="O427" i="1"/>
  <c r="Q427" i="1"/>
  <c r="R427" i="1"/>
  <c r="W427" i="1"/>
  <c r="AA427" i="1"/>
  <c r="AM427" i="1"/>
  <c r="AN427" i="1"/>
  <c r="AO427" i="1"/>
  <c r="AP427" i="1"/>
  <c r="AQ427" i="1"/>
  <c r="BB427" i="1"/>
  <c r="BD427" i="1"/>
  <c r="B428" i="1"/>
  <c r="C428" i="1"/>
  <c r="E428" i="1"/>
  <c r="F428" i="1"/>
  <c r="G428" i="1"/>
  <c r="H428" i="1"/>
  <c r="I428" i="1"/>
  <c r="J428" i="1"/>
  <c r="K428" i="1"/>
  <c r="M428" i="1"/>
  <c r="O428" i="1"/>
  <c r="Q428" i="1"/>
  <c r="R428" i="1"/>
  <c r="W428" i="1"/>
  <c r="AA428" i="1"/>
  <c r="AM428" i="1"/>
  <c r="AN428" i="1"/>
  <c r="AO428" i="1"/>
  <c r="AP428" i="1"/>
  <c r="AQ428" i="1"/>
  <c r="BD428" i="1"/>
  <c r="B429" i="1"/>
  <c r="C429" i="1"/>
  <c r="D429" i="1"/>
  <c r="E429" i="1"/>
  <c r="F429" i="1"/>
  <c r="G429" i="1"/>
  <c r="H429" i="1"/>
  <c r="I429" i="1"/>
  <c r="J429" i="1"/>
  <c r="K429" i="1"/>
  <c r="M429" i="1"/>
  <c r="O429" i="1"/>
  <c r="Q429" i="1"/>
  <c r="R429" i="1"/>
  <c r="W429" i="1"/>
  <c r="AA429" i="1"/>
  <c r="AB429" i="1"/>
  <c r="AE429" i="1"/>
  <c r="AF429" i="1"/>
  <c r="AM429" i="1"/>
  <c r="AN429" i="1"/>
  <c r="AO429" i="1"/>
  <c r="AQ429" i="1"/>
  <c r="AX429" i="1"/>
  <c r="BD429" i="1"/>
  <c r="B430" i="1"/>
  <c r="C430" i="1"/>
  <c r="E430" i="1"/>
  <c r="F430" i="1"/>
  <c r="G430" i="1"/>
  <c r="H430" i="1"/>
  <c r="I430" i="1"/>
  <c r="J430" i="1"/>
  <c r="K430" i="1"/>
  <c r="M430" i="1"/>
  <c r="O430" i="1"/>
  <c r="Q430" i="1"/>
  <c r="R430" i="1"/>
  <c r="W430" i="1"/>
  <c r="AA430" i="1"/>
  <c r="AB430" i="1"/>
  <c r="AE430" i="1"/>
  <c r="AF430" i="1"/>
  <c r="AM430" i="1"/>
  <c r="AN430" i="1"/>
  <c r="AO430" i="1"/>
  <c r="AQ430" i="1"/>
  <c r="AX430" i="1"/>
  <c r="BD430" i="1"/>
  <c r="B431" i="1"/>
  <c r="C431" i="1"/>
  <c r="E431" i="1"/>
  <c r="F431" i="1"/>
  <c r="G431" i="1"/>
  <c r="H431" i="1"/>
  <c r="I431" i="1"/>
  <c r="J431" i="1"/>
  <c r="K431" i="1"/>
  <c r="M431" i="1"/>
  <c r="O431" i="1"/>
  <c r="Q431" i="1"/>
  <c r="R431" i="1"/>
  <c r="W431" i="1"/>
  <c r="AA431" i="1"/>
  <c r="AB431" i="1"/>
  <c r="AE431" i="1"/>
  <c r="AF431" i="1"/>
  <c r="AM431" i="1"/>
  <c r="AN431" i="1"/>
  <c r="AO431" i="1"/>
  <c r="AQ431" i="1"/>
  <c r="AX431" i="1"/>
  <c r="BD431" i="1"/>
  <c r="B432" i="1"/>
  <c r="C432" i="1"/>
  <c r="D432" i="1"/>
  <c r="E432" i="1"/>
  <c r="F432" i="1"/>
  <c r="G432" i="1"/>
  <c r="H432" i="1"/>
  <c r="I432" i="1"/>
  <c r="J432" i="1"/>
  <c r="K432" i="1"/>
  <c r="M432" i="1"/>
  <c r="O432" i="1"/>
  <c r="Q432" i="1"/>
  <c r="R432" i="1"/>
  <c r="W432" i="1"/>
  <c r="AA432" i="1"/>
  <c r="AB432" i="1"/>
  <c r="AE432" i="1"/>
  <c r="AF432" i="1"/>
  <c r="AM432" i="1"/>
  <c r="AN432" i="1"/>
  <c r="AO432" i="1"/>
  <c r="AQ432" i="1"/>
  <c r="AX432" i="1"/>
  <c r="BD432" i="1"/>
  <c r="B433" i="1"/>
  <c r="C433" i="1"/>
  <c r="E433" i="1"/>
  <c r="F433" i="1"/>
  <c r="G433" i="1"/>
  <c r="H433" i="1"/>
  <c r="I433" i="1"/>
  <c r="J433" i="1"/>
  <c r="K433" i="1"/>
  <c r="M433" i="1"/>
  <c r="O433" i="1"/>
  <c r="Q433" i="1"/>
  <c r="R433" i="1"/>
  <c r="W433" i="1"/>
  <c r="AA433" i="1"/>
  <c r="AB433" i="1"/>
  <c r="AE433" i="1"/>
  <c r="AF433" i="1"/>
  <c r="AM433" i="1"/>
  <c r="AN433" i="1"/>
  <c r="AO433" i="1"/>
  <c r="AQ433" i="1"/>
  <c r="AX433" i="1"/>
  <c r="BD433" i="1"/>
  <c r="B434" i="1"/>
  <c r="C434" i="1"/>
  <c r="E434" i="1"/>
  <c r="F434" i="1"/>
  <c r="G434" i="1"/>
  <c r="H434" i="1"/>
  <c r="I434" i="1"/>
  <c r="J434" i="1"/>
  <c r="K434" i="1"/>
  <c r="M434" i="1"/>
  <c r="O434" i="1"/>
  <c r="Q434" i="1"/>
  <c r="R434" i="1"/>
  <c r="W434" i="1"/>
  <c r="AA434" i="1"/>
  <c r="AB434" i="1"/>
  <c r="AE434" i="1"/>
  <c r="AF434" i="1"/>
  <c r="AM434" i="1"/>
  <c r="AN434" i="1"/>
  <c r="AO434" i="1"/>
  <c r="AQ434" i="1"/>
  <c r="AX434" i="1"/>
  <c r="BD434" i="1"/>
  <c r="B435" i="1"/>
  <c r="C435" i="1"/>
  <c r="E435" i="1"/>
  <c r="F435" i="1"/>
  <c r="G435" i="1"/>
  <c r="H435" i="1"/>
  <c r="I435" i="1"/>
  <c r="J435" i="1"/>
  <c r="K435" i="1"/>
  <c r="M435" i="1"/>
  <c r="O435" i="1"/>
  <c r="Q435" i="1"/>
  <c r="R435" i="1"/>
  <c r="W435" i="1"/>
  <c r="AA435" i="1"/>
  <c r="AB435" i="1"/>
  <c r="AE435" i="1"/>
  <c r="AF435" i="1"/>
  <c r="AM435" i="1"/>
  <c r="AN435" i="1"/>
  <c r="AO435" i="1"/>
  <c r="AQ435" i="1"/>
  <c r="AX435" i="1"/>
  <c r="BD435" i="1"/>
  <c r="B436" i="1"/>
  <c r="C436" i="1"/>
  <c r="D436" i="1"/>
  <c r="E436" i="1"/>
  <c r="F436" i="1"/>
  <c r="G436" i="1"/>
  <c r="H436" i="1"/>
  <c r="I436" i="1"/>
  <c r="J436" i="1"/>
  <c r="K436" i="1"/>
  <c r="M436" i="1"/>
  <c r="O436" i="1"/>
  <c r="Q436" i="1"/>
  <c r="R436" i="1"/>
  <c r="W436" i="1"/>
  <c r="AA436" i="1"/>
  <c r="AB436" i="1"/>
  <c r="AE436" i="1"/>
  <c r="AF436" i="1"/>
  <c r="AM436" i="1"/>
  <c r="AN436" i="1"/>
  <c r="AO436" i="1"/>
  <c r="AQ436" i="1"/>
  <c r="AX436" i="1"/>
  <c r="BD436" i="1"/>
  <c r="B437" i="1"/>
  <c r="C437" i="1"/>
  <c r="D437" i="1"/>
  <c r="E437" i="1"/>
  <c r="F437" i="1"/>
  <c r="G437" i="1"/>
  <c r="H437" i="1"/>
  <c r="I437" i="1"/>
  <c r="J437" i="1"/>
  <c r="K437" i="1"/>
  <c r="M437" i="1"/>
  <c r="O437" i="1"/>
  <c r="Q437" i="1"/>
  <c r="R437" i="1"/>
  <c r="W437" i="1"/>
  <c r="AA437" i="1"/>
  <c r="AB437" i="1"/>
  <c r="AE437" i="1"/>
  <c r="AF437" i="1"/>
  <c r="AM437" i="1"/>
  <c r="AN437" i="1"/>
  <c r="AO437" i="1"/>
  <c r="AQ437" i="1"/>
  <c r="AX437" i="1"/>
  <c r="BD437" i="1"/>
  <c r="B438" i="1"/>
  <c r="C438" i="1"/>
  <c r="D438" i="1"/>
  <c r="E438" i="1"/>
  <c r="F438" i="1"/>
  <c r="G438" i="1"/>
  <c r="H438" i="1"/>
  <c r="I438" i="1"/>
  <c r="J438" i="1"/>
  <c r="K438" i="1"/>
  <c r="M438" i="1"/>
  <c r="O438" i="1"/>
  <c r="Q438" i="1"/>
  <c r="R438" i="1"/>
  <c r="W438" i="1"/>
  <c r="AA438" i="1"/>
  <c r="AB438" i="1"/>
  <c r="AE438" i="1"/>
  <c r="AF438" i="1"/>
  <c r="AM438" i="1"/>
  <c r="AN438" i="1"/>
  <c r="AO438" i="1"/>
  <c r="AQ438" i="1"/>
  <c r="AX438" i="1"/>
  <c r="BD438" i="1"/>
  <c r="B439" i="1"/>
  <c r="C439" i="1"/>
  <c r="D439" i="1"/>
  <c r="E439" i="1"/>
  <c r="F439" i="1"/>
  <c r="G439" i="1"/>
  <c r="H439" i="1"/>
  <c r="I439" i="1"/>
  <c r="J439" i="1"/>
  <c r="K439" i="1"/>
  <c r="M439" i="1"/>
  <c r="O439" i="1"/>
  <c r="Q439" i="1"/>
  <c r="R439" i="1"/>
  <c r="W439" i="1"/>
  <c r="AA439" i="1"/>
  <c r="AB439" i="1"/>
  <c r="AE439" i="1"/>
  <c r="AF439" i="1"/>
  <c r="AM439" i="1"/>
  <c r="AN439" i="1"/>
  <c r="AO439" i="1"/>
  <c r="AQ439" i="1"/>
  <c r="AX439" i="1"/>
  <c r="BD439" i="1"/>
  <c r="B440" i="1"/>
  <c r="C440" i="1"/>
  <c r="E440" i="1"/>
  <c r="F440" i="1"/>
  <c r="G440" i="1"/>
  <c r="H440" i="1"/>
  <c r="I440" i="1"/>
  <c r="J440" i="1"/>
  <c r="K440" i="1"/>
  <c r="M440" i="1"/>
  <c r="O440" i="1"/>
  <c r="Q440" i="1"/>
  <c r="R440" i="1"/>
  <c r="W440" i="1"/>
  <c r="AA440" i="1"/>
  <c r="AB440" i="1"/>
  <c r="AE440" i="1"/>
  <c r="AF440" i="1"/>
  <c r="AM440" i="1"/>
  <c r="AN440" i="1"/>
  <c r="AO440" i="1"/>
  <c r="AQ440" i="1"/>
  <c r="AX440" i="1"/>
  <c r="BD440" i="1"/>
  <c r="B441" i="1"/>
  <c r="E441" i="1"/>
  <c r="F441" i="1"/>
  <c r="G441" i="1"/>
  <c r="H441" i="1"/>
  <c r="I441" i="1"/>
  <c r="J441" i="1"/>
  <c r="K441" i="1"/>
  <c r="M441" i="1"/>
  <c r="O441" i="1"/>
  <c r="Q441" i="1"/>
  <c r="R441" i="1"/>
  <c r="W441" i="1"/>
  <c r="AA441" i="1"/>
  <c r="AM441" i="1"/>
  <c r="AN441" i="1"/>
  <c r="AO441" i="1"/>
  <c r="AQ441" i="1"/>
  <c r="BB441" i="1"/>
  <c r="BD441" i="1"/>
  <c r="B442" i="1"/>
  <c r="E442" i="1"/>
  <c r="F442" i="1"/>
  <c r="G442" i="1"/>
  <c r="H442" i="1"/>
  <c r="I442" i="1"/>
  <c r="J442" i="1"/>
  <c r="K442" i="1"/>
  <c r="M442" i="1"/>
  <c r="O442" i="1"/>
  <c r="Q442" i="1"/>
  <c r="R442" i="1"/>
  <c r="W442" i="1"/>
  <c r="AA442" i="1"/>
  <c r="AM442" i="1"/>
  <c r="AN442" i="1"/>
  <c r="AO442" i="1"/>
  <c r="AQ442" i="1"/>
  <c r="BB442" i="1"/>
  <c r="BD442" i="1"/>
  <c r="B443" i="1"/>
  <c r="E443" i="1"/>
  <c r="F443" i="1"/>
  <c r="G443" i="1"/>
  <c r="H443" i="1"/>
  <c r="I443" i="1"/>
  <c r="J443" i="1"/>
  <c r="K443" i="1"/>
  <c r="M443" i="1"/>
  <c r="O443" i="1"/>
  <c r="Q443" i="1"/>
  <c r="R443" i="1"/>
  <c r="W443" i="1"/>
  <c r="AA443" i="1"/>
  <c r="AM443" i="1"/>
  <c r="AN443" i="1"/>
  <c r="AO443" i="1"/>
  <c r="AQ443" i="1"/>
  <c r="BB443" i="1"/>
  <c r="BD443" i="1"/>
  <c r="B444" i="1"/>
  <c r="E444" i="1"/>
  <c r="F444" i="1"/>
  <c r="G444" i="1"/>
  <c r="H444" i="1"/>
  <c r="I444" i="1"/>
  <c r="J444" i="1"/>
  <c r="K444" i="1"/>
  <c r="M444" i="1"/>
  <c r="O444" i="1"/>
  <c r="Q444" i="1"/>
  <c r="R444" i="1"/>
  <c r="W444" i="1"/>
  <c r="AA444" i="1"/>
  <c r="AM444" i="1"/>
  <c r="AN444" i="1"/>
  <c r="AO444" i="1"/>
  <c r="AQ444" i="1"/>
  <c r="BB444" i="1"/>
  <c r="BD444" i="1"/>
  <c r="B445" i="1"/>
  <c r="C445" i="1"/>
  <c r="E445" i="1"/>
  <c r="F445" i="1"/>
  <c r="G445" i="1"/>
  <c r="H445" i="1"/>
  <c r="I445" i="1"/>
  <c r="J445" i="1"/>
  <c r="K445" i="1"/>
  <c r="M445" i="1"/>
  <c r="O445" i="1"/>
  <c r="Q445" i="1"/>
  <c r="R445" i="1"/>
  <c r="W445" i="1"/>
  <c r="AA445" i="1"/>
  <c r="AB445" i="1"/>
  <c r="AE445" i="1"/>
  <c r="AF445" i="1"/>
  <c r="AM445" i="1"/>
  <c r="AN445" i="1"/>
  <c r="AO445" i="1"/>
  <c r="AQ445" i="1"/>
  <c r="AX445" i="1"/>
  <c r="BD445" i="1"/>
  <c r="B446" i="1"/>
  <c r="C446" i="1"/>
  <c r="D446" i="1"/>
  <c r="E446" i="1"/>
  <c r="F446" i="1"/>
  <c r="G446" i="1"/>
  <c r="H446" i="1"/>
  <c r="I446" i="1"/>
  <c r="J446" i="1"/>
  <c r="K446" i="1"/>
  <c r="M446" i="1"/>
  <c r="O446" i="1"/>
  <c r="Q446" i="1"/>
  <c r="R446" i="1"/>
  <c r="W446" i="1"/>
  <c r="AA446" i="1"/>
  <c r="AB446" i="1"/>
  <c r="AE446" i="1"/>
  <c r="AF446" i="1"/>
  <c r="AM446" i="1"/>
  <c r="AN446" i="1"/>
  <c r="AO446" i="1"/>
  <c r="AQ446" i="1"/>
  <c r="AX446" i="1"/>
  <c r="BD446" i="1"/>
  <c r="B447" i="1"/>
  <c r="C447" i="1"/>
  <c r="D447" i="1"/>
  <c r="E447" i="1"/>
  <c r="F447" i="1"/>
  <c r="G447" i="1"/>
  <c r="H447" i="1"/>
  <c r="I447" i="1"/>
  <c r="J447" i="1"/>
  <c r="K447" i="1"/>
  <c r="M447" i="1"/>
  <c r="O447" i="1"/>
  <c r="Q447" i="1"/>
  <c r="R447" i="1"/>
  <c r="W447" i="1"/>
  <c r="AA447" i="1"/>
  <c r="AB447" i="1"/>
  <c r="AE447" i="1"/>
  <c r="AF447" i="1"/>
  <c r="AM447" i="1"/>
  <c r="AN447" i="1"/>
  <c r="AO447" i="1"/>
  <c r="AQ447" i="1"/>
  <c r="AX447" i="1"/>
  <c r="BD447" i="1"/>
  <c r="B448" i="1"/>
  <c r="C448" i="1"/>
  <c r="D448" i="1"/>
  <c r="E448" i="1"/>
  <c r="F448" i="1"/>
  <c r="G448" i="1"/>
  <c r="H448" i="1"/>
  <c r="I448" i="1"/>
  <c r="J448" i="1"/>
  <c r="K448" i="1"/>
  <c r="M448" i="1"/>
  <c r="O448" i="1"/>
  <c r="Q448" i="1"/>
  <c r="R448" i="1"/>
  <c r="W448" i="1"/>
  <c r="AA448" i="1"/>
  <c r="AB448" i="1"/>
  <c r="AE448" i="1"/>
  <c r="AF448" i="1"/>
  <c r="AM448" i="1"/>
  <c r="AN448" i="1"/>
  <c r="AO448" i="1"/>
  <c r="AQ448" i="1"/>
  <c r="AX448" i="1"/>
  <c r="BD448" i="1"/>
  <c r="B449" i="1"/>
  <c r="C449" i="1"/>
  <c r="D449" i="1"/>
  <c r="E449" i="1"/>
  <c r="F449" i="1"/>
  <c r="G449" i="1"/>
  <c r="H449" i="1"/>
  <c r="I449" i="1"/>
  <c r="J449" i="1"/>
  <c r="K449" i="1"/>
  <c r="M449" i="1"/>
  <c r="O449" i="1"/>
  <c r="Q449" i="1"/>
  <c r="R449" i="1"/>
  <c r="W449" i="1"/>
  <c r="AA449" i="1"/>
  <c r="AB449" i="1"/>
  <c r="AE449" i="1"/>
  <c r="AF449" i="1"/>
  <c r="AM449" i="1"/>
  <c r="AN449" i="1"/>
  <c r="AO449" i="1"/>
  <c r="AQ449" i="1"/>
  <c r="AX449" i="1"/>
  <c r="BD449" i="1"/>
  <c r="B450" i="1"/>
  <c r="C450" i="1"/>
  <c r="D450" i="1"/>
  <c r="E450" i="1"/>
  <c r="F450" i="1"/>
  <c r="G450" i="1"/>
  <c r="H450" i="1"/>
  <c r="I450" i="1"/>
  <c r="J450" i="1"/>
  <c r="K450" i="1"/>
  <c r="M450" i="1"/>
  <c r="O450" i="1"/>
  <c r="Q450" i="1"/>
  <c r="R450" i="1"/>
  <c r="W450" i="1"/>
  <c r="AA450" i="1"/>
  <c r="AB450" i="1"/>
  <c r="AE450" i="1"/>
  <c r="AF450" i="1"/>
  <c r="AM450" i="1"/>
  <c r="AN450" i="1"/>
  <c r="AO450" i="1"/>
  <c r="AQ450" i="1"/>
  <c r="AX450" i="1"/>
  <c r="BD450" i="1"/>
  <c r="B451" i="1"/>
  <c r="C451" i="1"/>
  <c r="E451" i="1"/>
  <c r="F451" i="1"/>
  <c r="G451" i="1"/>
  <c r="H451" i="1"/>
  <c r="I451" i="1"/>
  <c r="J451" i="1"/>
  <c r="K451" i="1"/>
  <c r="M451" i="1"/>
  <c r="O451" i="1"/>
  <c r="Q451" i="1"/>
  <c r="R451" i="1"/>
  <c r="W451" i="1"/>
  <c r="AA451" i="1"/>
  <c r="AB451" i="1"/>
  <c r="AE451" i="1"/>
  <c r="AF451" i="1"/>
  <c r="AM451" i="1"/>
  <c r="AN451" i="1"/>
  <c r="AO451" i="1"/>
  <c r="AQ451" i="1"/>
  <c r="AX451" i="1"/>
  <c r="BD451" i="1"/>
  <c r="B452" i="1"/>
  <c r="C452" i="1"/>
  <c r="D452" i="1"/>
  <c r="E452" i="1"/>
  <c r="F452" i="1"/>
  <c r="G452" i="1"/>
  <c r="H452" i="1"/>
  <c r="I452" i="1"/>
  <c r="J452" i="1"/>
  <c r="K452" i="1"/>
  <c r="M452" i="1"/>
  <c r="O452" i="1"/>
  <c r="Q452" i="1"/>
  <c r="R452" i="1"/>
  <c r="W452" i="1"/>
  <c r="AA452" i="1"/>
  <c r="AB452" i="1"/>
  <c r="AE452" i="1"/>
  <c r="AF452" i="1"/>
  <c r="AM452" i="1"/>
  <c r="AN452" i="1"/>
  <c r="AO452" i="1"/>
  <c r="AQ452" i="1"/>
  <c r="AX452" i="1"/>
  <c r="BD452" i="1"/>
  <c r="B453" i="1"/>
  <c r="C453" i="1"/>
  <c r="D453" i="1"/>
  <c r="E453" i="1"/>
  <c r="F453" i="1"/>
  <c r="G453" i="1"/>
  <c r="H453" i="1"/>
  <c r="I453" i="1"/>
  <c r="J453" i="1"/>
  <c r="K453" i="1"/>
  <c r="M453" i="1"/>
  <c r="O453" i="1"/>
  <c r="Q453" i="1"/>
  <c r="R453" i="1"/>
  <c r="W453" i="1"/>
  <c r="AA453" i="1"/>
  <c r="AB453" i="1"/>
  <c r="AE453" i="1"/>
  <c r="AF453" i="1"/>
  <c r="AM453" i="1"/>
  <c r="AN453" i="1"/>
  <c r="AO453" i="1"/>
  <c r="AQ453" i="1"/>
  <c r="AX453" i="1"/>
  <c r="BD453" i="1"/>
  <c r="B454" i="1"/>
  <c r="C454" i="1"/>
  <c r="D454" i="1"/>
  <c r="E454" i="1"/>
  <c r="F454" i="1"/>
  <c r="G454" i="1"/>
  <c r="H454" i="1"/>
  <c r="I454" i="1"/>
  <c r="J454" i="1"/>
  <c r="K454" i="1"/>
  <c r="M454" i="1"/>
  <c r="O454" i="1"/>
  <c r="Q454" i="1"/>
  <c r="R454" i="1"/>
  <c r="W454" i="1"/>
  <c r="AA454" i="1"/>
  <c r="AB454" i="1"/>
  <c r="AE454" i="1"/>
  <c r="AF454" i="1"/>
  <c r="AM454" i="1"/>
  <c r="AN454" i="1"/>
  <c r="AO454" i="1"/>
  <c r="AQ454" i="1"/>
  <c r="AX454" i="1"/>
  <c r="BD454" i="1"/>
  <c r="B455" i="1"/>
  <c r="C455" i="1"/>
  <c r="E455" i="1"/>
  <c r="F455" i="1"/>
  <c r="G455" i="1"/>
  <c r="H455" i="1"/>
  <c r="I455" i="1"/>
  <c r="J455" i="1"/>
  <c r="K455" i="1"/>
  <c r="M455" i="1"/>
  <c r="O455" i="1"/>
  <c r="Q455" i="1"/>
  <c r="R455" i="1"/>
  <c r="W455" i="1"/>
  <c r="AA455" i="1"/>
  <c r="AM455" i="1"/>
  <c r="AN455" i="1"/>
  <c r="AO455" i="1"/>
  <c r="AQ455" i="1"/>
  <c r="BB455" i="1"/>
  <c r="BD455" i="1"/>
  <c r="B456" i="1"/>
  <c r="C456" i="1"/>
  <c r="E456" i="1"/>
  <c r="F456" i="1"/>
  <c r="G456" i="1"/>
  <c r="H456" i="1"/>
  <c r="I456" i="1"/>
  <c r="J456" i="1"/>
  <c r="K456" i="1"/>
  <c r="M456" i="1"/>
  <c r="O456" i="1"/>
  <c r="Q456" i="1"/>
  <c r="R456" i="1"/>
  <c r="W456" i="1"/>
  <c r="AA456" i="1"/>
  <c r="AM456" i="1"/>
  <c r="AN456" i="1"/>
  <c r="AO456" i="1"/>
  <c r="AQ456" i="1"/>
  <c r="BB456" i="1"/>
  <c r="BD456" i="1"/>
  <c r="B457" i="1"/>
  <c r="C457" i="1"/>
  <c r="D457" i="1"/>
  <c r="E457" i="1"/>
  <c r="F457" i="1"/>
  <c r="G457" i="1"/>
  <c r="H457" i="1"/>
  <c r="I457" i="1"/>
  <c r="J457" i="1"/>
  <c r="K457" i="1"/>
  <c r="M457" i="1"/>
  <c r="O457" i="1"/>
  <c r="Q457" i="1"/>
  <c r="R457" i="1"/>
  <c r="W457" i="1"/>
  <c r="AA457" i="1"/>
  <c r="AB457" i="1"/>
  <c r="AM457" i="1"/>
  <c r="AN457" i="1"/>
  <c r="AO457" i="1"/>
  <c r="AQ457" i="1"/>
  <c r="AX457" i="1"/>
  <c r="BD457" i="1"/>
  <c r="B458" i="1"/>
  <c r="C458" i="1"/>
  <c r="D458" i="1"/>
  <c r="E458" i="1"/>
  <c r="F458" i="1"/>
  <c r="G458" i="1"/>
  <c r="H458" i="1"/>
  <c r="I458" i="1"/>
  <c r="J458" i="1"/>
  <c r="K458" i="1"/>
  <c r="M458" i="1"/>
  <c r="O458" i="1"/>
  <c r="Q458" i="1"/>
  <c r="R458" i="1"/>
  <c r="W458" i="1"/>
  <c r="AA458" i="1"/>
  <c r="AB458" i="1"/>
  <c r="AM458" i="1"/>
  <c r="AN458" i="1"/>
  <c r="AO458" i="1"/>
  <c r="AQ458" i="1"/>
  <c r="AX458" i="1"/>
  <c r="BD458" i="1"/>
  <c r="B459" i="1"/>
  <c r="C459" i="1"/>
  <c r="D459" i="1"/>
  <c r="E459" i="1"/>
  <c r="F459" i="1"/>
  <c r="G459" i="1"/>
  <c r="H459" i="1"/>
  <c r="I459" i="1"/>
  <c r="J459" i="1"/>
  <c r="K459" i="1"/>
  <c r="M459" i="1"/>
  <c r="O459" i="1"/>
  <c r="Q459" i="1"/>
  <c r="R459" i="1"/>
  <c r="W459" i="1"/>
  <c r="AA459" i="1"/>
  <c r="AB459" i="1"/>
  <c r="AM459" i="1"/>
  <c r="AN459" i="1"/>
  <c r="AO459" i="1"/>
  <c r="AQ459" i="1"/>
  <c r="AX459" i="1"/>
  <c r="BD459" i="1"/>
  <c r="B460" i="1"/>
  <c r="E460" i="1"/>
  <c r="F460" i="1"/>
  <c r="G460" i="1"/>
  <c r="H460" i="1"/>
  <c r="I460" i="1"/>
  <c r="J460" i="1"/>
  <c r="K460" i="1"/>
  <c r="M460" i="1"/>
  <c r="O460" i="1"/>
  <c r="Q460" i="1"/>
  <c r="R460" i="1"/>
  <c r="W460" i="1"/>
  <c r="AA460" i="1"/>
  <c r="AB460" i="1"/>
  <c r="AM460" i="1"/>
  <c r="AN460" i="1"/>
  <c r="AO460" i="1"/>
  <c r="AQ460" i="1"/>
  <c r="AX460" i="1"/>
  <c r="BD460" i="1"/>
  <c r="B461" i="1"/>
  <c r="E461" i="1"/>
  <c r="F461" i="1"/>
  <c r="G461" i="1"/>
  <c r="H461" i="1"/>
  <c r="I461" i="1"/>
  <c r="J461" i="1"/>
  <c r="K461" i="1"/>
  <c r="M461" i="1"/>
  <c r="O461" i="1"/>
  <c r="Q461" i="1"/>
  <c r="R461" i="1"/>
  <c r="W461" i="1"/>
  <c r="AA461" i="1"/>
  <c r="AB461" i="1"/>
  <c r="AM461" i="1"/>
  <c r="AN461" i="1"/>
  <c r="AO461" i="1"/>
  <c r="AQ461" i="1"/>
  <c r="AX461" i="1"/>
  <c r="BD461" i="1"/>
  <c r="B462" i="1"/>
  <c r="E462" i="1"/>
  <c r="F462" i="1"/>
  <c r="G462" i="1"/>
  <c r="H462" i="1"/>
  <c r="I462" i="1"/>
  <c r="J462" i="1"/>
  <c r="K462" i="1"/>
  <c r="M462" i="1"/>
  <c r="O462" i="1"/>
  <c r="Q462" i="1"/>
  <c r="R462" i="1"/>
  <c r="W462" i="1"/>
  <c r="AA462" i="1"/>
  <c r="AB462" i="1"/>
  <c r="AM462" i="1"/>
  <c r="AN462" i="1"/>
  <c r="AO462" i="1"/>
  <c r="AQ462" i="1"/>
  <c r="AX462" i="1"/>
  <c r="BD462" i="1"/>
  <c r="B463" i="1"/>
  <c r="E463" i="1"/>
  <c r="F463" i="1"/>
  <c r="G463" i="1"/>
  <c r="H463" i="1"/>
  <c r="I463" i="1"/>
  <c r="J463" i="1"/>
  <c r="K463" i="1"/>
  <c r="M463" i="1"/>
  <c r="O463" i="1"/>
  <c r="Q463" i="1"/>
  <c r="R463" i="1"/>
  <c r="W463" i="1"/>
  <c r="AA463" i="1"/>
  <c r="AM463" i="1"/>
  <c r="AN463" i="1"/>
  <c r="AO463" i="1"/>
  <c r="AQ463" i="1"/>
  <c r="BB463" i="1"/>
  <c r="BD463" i="1"/>
  <c r="B464" i="1"/>
  <c r="E464" i="1"/>
  <c r="F464" i="1"/>
  <c r="G464" i="1"/>
  <c r="H464" i="1"/>
  <c r="I464" i="1"/>
  <c r="J464" i="1"/>
  <c r="K464" i="1"/>
  <c r="M464" i="1"/>
  <c r="O464" i="1"/>
  <c r="Q464" i="1"/>
  <c r="R464" i="1"/>
  <c r="W464" i="1"/>
  <c r="AA464" i="1"/>
  <c r="AB464" i="1"/>
  <c r="AM464" i="1"/>
  <c r="AN464" i="1"/>
  <c r="AO464" i="1"/>
  <c r="AQ464" i="1"/>
  <c r="AX464" i="1"/>
  <c r="BD464" i="1"/>
  <c r="B465" i="1"/>
  <c r="E465" i="1"/>
  <c r="F465" i="1"/>
  <c r="G465" i="1"/>
  <c r="H465" i="1"/>
  <c r="I465" i="1"/>
  <c r="J465" i="1"/>
  <c r="K465" i="1"/>
  <c r="M465" i="1"/>
  <c r="O465" i="1"/>
  <c r="Q465" i="1"/>
  <c r="R465" i="1"/>
  <c r="W465" i="1"/>
  <c r="AA465" i="1"/>
  <c r="AB465" i="1"/>
  <c r="AM465" i="1"/>
  <c r="AN465" i="1"/>
  <c r="AO465" i="1"/>
  <c r="AQ465" i="1"/>
  <c r="AX465" i="1"/>
  <c r="BD465" i="1"/>
  <c r="B466" i="1"/>
  <c r="E466" i="1"/>
  <c r="F466" i="1"/>
  <c r="G466" i="1"/>
  <c r="H466" i="1"/>
  <c r="I466" i="1"/>
  <c r="J466" i="1"/>
  <c r="K466" i="1"/>
  <c r="M466" i="1"/>
  <c r="O466" i="1"/>
  <c r="Q466" i="1"/>
  <c r="R466" i="1"/>
  <c r="W466" i="1"/>
  <c r="AA466" i="1"/>
  <c r="AB466" i="1"/>
  <c r="AM466" i="1"/>
  <c r="AN466" i="1"/>
  <c r="AO466" i="1"/>
  <c r="AQ466" i="1"/>
  <c r="AX466" i="1"/>
  <c r="BD466" i="1"/>
  <c r="B467" i="1"/>
  <c r="E467" i="1"/>
  <c r="F467" i="1"/>
  <c r="G467" i="1"/>
  <c r="H467" i="1"/>
  <c r="I467" i="1"/>
  <c r="J467" i="1"/>
  <c r="K467" i="1"/>
  <c r="M467" i="1"/>
  <c r="O467" i="1"/>
  <c r="Q467" i="1"/>
  <c r="R467" i="1"/>
  <c r="W467" i="1"/>
  <c r="AA467" i="1"/>
  <c r="AB467" i="1"/>
  <c r="AM467" i="1"/>
  <c r="AN467" i="1"/>
  <c r="AO467" i="1"/>
  <c r="AQ467" i="1"/>
  <c r="AX467" i="1"/>
  <c r="BD467" i="1"/>
  <c r="B468" i="1"/>
  <c r="E468" i="1"/>
  <c r="F468" i="1"/>
  <c r="G468" i="1"/>
  <c r="H468" i="1"/>
  <c r="I468" i="1"/>
  <c r="J468" i="1"/>
  <c r="K468" i="1"/>
  <c r="M468" i="1"/>
  <c r="O468" i="1"/>
  <c r="Q468" i="1"/>
  <c r="R468" i="1"/>
  <c r="W468" i="1"/>
  <c r="AA468" i="1"/>
  <c r="AB468" i="1"/>
  <c r="AM468" i="1"/>
  <c r="AN468" i="1"/>
  <c r="AO468" i="1"/>
  <c r="AQ468" i="1"/>
  <c r="AX468" i="1"/>
  <c r="BD468" i="1"/>
  <c r="B469" i="1"/>
  <c r="C469" i="1"/>
  <c r="D469" i="1"/>
  <c r="E469" i="1"/>
  <c r="F469" i="1"/>
  <c r="G469" i="1"/>
  <c r="H469" i="1"/>
  <c r="I469" i="1"/>
  <c r="J469" i="1"/>
  <c r="K469" i="1"/>
  <c r="M469" i="1"/>
  <c r="O469" i="1"/>
  <c r="Q469" i="1"/>
  <c r="R469" i="1"/>
  <c r="W469" i="1"/>
  <c r="AA469" i="1"/>
  <c r="AB469" i="1"/>
  <c r="AE469" i="1"/>
  <c r="AF469" i="1"/>
  <c r="AM469" i="1"/>
  <c r="AN469" i="1"/>
  <c r="AO469" i="1"/>
  <c r="AQ469" i="1"/>
  <c r="AX469" i="1"/>
  <c r="BD469" i="1"/>
  <c r="B470" i="1"/>
  <c r="C470" i="1"/>
  <c r="D470" i="1"/>
  <c r="E470" i="1"/>
  <c r="F470" i="1"/>
  <c r="G470" i="1"/>
  <c r="H470" i="1"/>
  <c r="I470" i="1"/>
  <c r="J470" i="1"/>
  <c r="K470" i="1"/>
  <c r="M470" i="1"/>
  <c r="O470" i="1"/>
  <c r="Q470" i="1"/>
  <c r="R470" i="1"/>
  <c r="W470" i="1"/>
  <c r="AA470" i="1"/>
  <c r="AB470" i="1"/>
  <c r="AE470" i="1"/>
  <c r="AF470" i="1"/>
  <c r="AM470" i="1"/>
  <c r="AN470" i="1"/>
  <c r="AO470" i="1"/>
  <c r="AQ470" i="1"/>
  <c r="AX470" i="1"/>
  <c r="BD470" i="1"/>
  <c r="B471" i="1"/>
  <c r="C471" i="1"/>
  <c r="E471" i="1"/>
  <c r="F471" i="1"/>
  <c r="G471" i="1"/>
  <c r="H471" i="1"/>
  <c r="I471" i="1"/>
  <c r="J471" i="1"/>
  <c r="K471" i="1"/>
  <c r="M471" i="1"/>
  <c r="O471" i="1"/>
  <c r="Q471" i="1"/>
  <c r="R471" i="1"/>
  <c r="W471" i="1"/>
  <c r="AA471" i="1"/>
  <c r="AB471" i="1"/>
  <c r="AE471" i="1"/>
  <c r="AF471" i="1"/>
  <c r="AM471" i="1"/>
  <c r="AN471" i="1"/>
  <c r="AO471" i="1"/>
  <c r="AQ471" i="1"/>
  <c r="AX471" i="1"/>
  <c r="BD471" i="1"/>
  <c r="B472" i="1"/>
  <c r="C472" i="1"/>
  <c r="E472" i="1"/>
  <c r="F472" i="1"/>
  <c r="G472" i="1"/>
  <c r="H472" i="1"/>
  <c r="I472" i="1"/>
  <c r="J472" i="1"/>
  <c r="K472" i="1"/>
  <c r="M472" i="1"/>
  <c r="O472" i="1"/>
  <c r="Q472" i="1"/>
  <c r="R472" i="1"/>
  <c r="W472" i="1"/>
  <c r="AA472" i="1"/>
  <c r="AB472" i="1"/>
  <c r="AE472" i="1"/>
  <c r="AF472" i="1"/>
  <c r="AM472" i="1"/>
  <c r="AN472" i="1"/>
  <c r="AO472" i="1"/>
  <c r="AQ472" i="1"/>
  <c r="AX472" i="1"/>
  <c r="BD472" i="1"/>
  <c r="B473" i="1"/>
  <c r="C473" i="1"/>
  <c r="D473" i="1"/>
  <c r="E473" i="1"/>
  <c r="F473" i="1"/>
  <c r="G473" i="1"/>
  <c r="H473" i="1"/>
  <c r="I473" i="1"/>
  <c r="J473" i="1"/>
  <c r="K473" i="1"/>
  <c r="M473" i="1"/>
  <c r="O473" i="1"/>
  <c r="Q473" i="1"/>
  <c r="R473" i="1"/>
  <c r="W473" i="1"/>
  <c r="AA473" i="1"/>
  <c r="AB473" i="1"/>
  <c r="AE473" i="1"/>
  <c r="AF473" i="1"/>
  <c r="AM473" i="1"/>
  <c r="AN473" i="1"/>
  <c r="AO473" i="1"/>
  <c r="AQ473" i="1"/>
  <c r="AX473" i="1"/>
  <c r="BD473" i="1"/>
  <c r="B474" i="1"/>
  <c r="C474" i="1"/>
  <c r="D474" i="1"/>
  <c r="E474" i="1"/>
  <c r="F474" i="1"/>
  <c r="G474" i="1"/>
  <c r="H474" i="1"/>
  <c r="I474" i="1"/>
  <c r="J474" i="1"/>
  <c r="K474" i="1"/>
  <c r="M474" i="1"/>
  <c r="O474" i="1"/>
  <c r="Q474" i="1"/>
  <c r="R474" i="1"/>
  <c r="W474" i="1"/>
  <c r="AA474" i="1"/>
  <c r="AB474" i="1"/>
  <c r="AE474" i="1"/>
  <c r="AF474" i="1"/>
  <c r="AM474" i="1"/>
  <c r="AN474" i="1"/>
  <c r="AO474" i="1"/>
  <c r="AQ474" i="1"/>
  <c r="AX474" i="1"/>
  <c r="BD474" i="1"/>
  <c r="B475" i="1"/>
  <c r="C475" i="1"/>
  <c r="D475" i="1"/>
  <c r="E475" i="1"/>
  <c r="F475" i="1"/>
  <c r="G475" i="1"/>
  <c r="H475" i="1"/>
  <c r="I475" i="1"/>
  <c r="J475" i="1"/>
  <c r="K475" i="1"/>
  <c r="M475" i="1"/>
  <c r="O475" i="1"/>
  <c r="Q475" i="1"/>
  <c r="R475" i="1"/>
  <c r="W475" i="1"/>
  <c r="AA475" i="1"/>
  <c r="AB475" i="1"/>
  <c r="AE475" i="1"/>
  <c r="AF475" i="1"/>
  <c r="AM475" i="1"/>
  <c r="AN475" i="1"/>
  <c r="AO475" i="1"/>
  <c r="AQ475" i="1"/>
  <c r="AX475" i="1"/>
  <c r="BD475" i="1"/>
  <c r="B476" i="1"/>
  <c r="C476" i="1"/>
  <c r="E476" i="1"/>
  <c r="F476" i="1"/>
  <c r="G476" i="1"/>
  <c r="H476" i="1"/>
  <c r="I476" i="1"/>
  <c r="J476" i="1"/>
  <c r="K476" i="1"/>
  <c r="M476" i="1"/>
  <c r="O476" i="1"/>
  <c r="Q476" i="1"/>
  <c r="R476" i="1"/>
  <c r="W476" i="1"/>
  <c r="AA476" i="1"/>
  <c r="AB476" i="1"/>
  <c r="AE476" i="1"/>
  <c r="AF476" i="1"/>
  <c r="AM476" i="1"/>
  <c r="AN476" i="1"/>
  <c r="AO476" i="1"/>
  <c r="AQ476" i="1"/>
  <c r="AX476" i="1"/>
  <c r="BD476" i="1"/>
  <c r="B477" i="1"/>
  <c r="C477" i="1"/>
  <c r="E477" i="1"/>
  <c r="F477" i="1"/>
  <c r="G477" i="1"/>
  <c r="H477" i="1"/>
  <c r="I477" i="1"/>
  <c r="J477" i="1"/>
  <c r="K477" i="1"/>
  <c r="M477" i="1"/>
  <c r="O477" i="1"/>
  <c r="Q477" i="1"/>
  <c r="R477" i="1"/>
  <c r="W477" i="1"/>
  <c r="AA477" i="1"/>
  <c r="AB477" i="1"/>
  <c r="AE477" i="1"/>
  <c r="AF477" i="1"/>
  <c r="AM477" i="1"/>
  <c r="AN477" i="1"/>
  <c r="AO477" i="1"/>
  <c r="AQ477" i="1"/>
  <c r="AX477" i="1"/>
  <c r="BD477" i="1"/>
  <c r="B478" i="1"/>
  <c r="C478" i="1"/>
  <c r="D478" i="1"/>
  <c r="E478" i="1"/>
  <c r="F478" i="1"/>
  <c r="G478" i="1"/>
  <c r="H478" i="1"/>
  <c r="I478" i="1"/>
  <c r="J478" i="1"/>
  <c r="K478" i="1"/>
  <c r="M478" i="1"/>
  <c r="O478" i="1"/>
  <c r="Q478" i="1"/>
  <c r="R478" i="1"/>
  <c r="W478" i="1"/>
  <c r="AA478" i="1"/>
  <c r="AB478" i="1"/>
  <c r="AE478" i="1"/>
  <c r="AF478" i="1"/>
  <c r="AM478" i="1"/>
  <c r="AN478" i="1"/>
  <c r="AO478" i="1"/>
  <c r="AQ478" i="1"/>
  <c r="AX478" i="1"/>
  <c r="BD478" i="1"/>
  <c r="B479" i="1"/>
  <c r="C479" i="1"/>
  <c r="D479" i="1"/>
  <c r="E479" i="1"/>
  <c r="F479" i="1"/>
  <c r="G479" i="1"/>
  <c r="H479" i="1"/>
  <c r="I479" i="1"/>
  <c r="J479" i="1"/>
  <c r="K479" i="1"/>
  <c r="M479" i="1"/>
  <c r="O479" i="1"/>
  <c r="Q479" i="1"/>
  <c r="R479" i="1"/>
  <c r="W479" i="1"/>
  <c r="AA479" i="1"/>
  <c r="AB479" i="1"/>
  <c r="AE479" i="1"/>
  <c r="AF479" i="1"/>
  <c r="AM479" i="1"/>
  <c r="AN479" i="1"/>
  <c r="AO479" i="1"/>
  <c r="AQ479" i="1"/>
  <c r="AX479" i="1"/>
  <c r="BD479" i="1"/>
  <c r="B480" i="1"/>
  <c r="C480" i="1"/>
  <c r="D480" i="1"/>
  <c r="E480" i="1"/>
  <c r="F480" i="1"/>
  <c r="G480" i="1"/>
  <c r="H480" i="1"/>
  <c r="I480" i="1"/>
  <c r="J480" i="1"/>
  <c r="K480" i="1"/>
  <c r="M480" i="1"/>
  <c r="O480" i="1"/>
  <c r="Q480" i="1"/>
  <c r="R480" i="1"/>
  <c r="W480" i="1"/>
  <c r="AA480" i="1"/>
  <c r="AB480" i="1"/>
  <c r="AE480" i="1"/>
  <c r="AF480" i="1"/>
  <c r="AM480" i="1"/>
  <c r="AN480" i="1"/>
  <c r="AO480" i="1"/>
  <c r="AQ480" i="1"/>
  <c r="AX480" i="1"/>
  <c r="BD480" i="1"/>
  <c r="B481" i="1"/>
  <c r="C481" i="1"/>
  <c r="D481" i="1"/>
  <c r="E481" i="1"/>
  <c r="F481" i="1"/>
  <c r="G481" i="1"/>
  <c r="H481" i="1"/>
  <c r="I481" i="1"/>
  <c r="J481" i="1"/>
  <c r="K481" i="1"/>
  <c r="M481" i="1"/>
  <c r="O481" i="1"/>
  <c r="Q481" i="1"/>
  <c r="R481" i="1"/>
  <c r="W481" i="1"/>
  <c r="AA481" i="1"/>
  <c r="AB481" i="1"/>
  <c r="AE481" i="1"/>
  <c r="AF481" i="1"/>
  <c r="AM481" i="1"/>
  <c r="AN481" i="1"/>
  <c r="AO481" i="1"/>
  <c r="AQ481" i="1"/>
  <c r="AX481" i="1"/>
  <c r="BD481" i="1"/>
  <c r="B482" i="1"/>
  <c r="C482" i="1"/>
  <c r="D482" i="1"/>
  <c r="E482" i="1"/>
  <c r="F482" i="1"/>
  <c r="G482" i="1"/>
  <c r="H482" i="1"/>
  <c r="I482" i="1"/>
  <c r="J482" i="1"/>
  <c r="K482" i="1"/>
  <c r="M482" i="1"/>
  <c r="O482" i="1"/>
  <c r="Q482" i="1"/>
  <c r="R482" i="1"/>
  <c r="W482" i="1"/>
  <c r="AA482" i="1"/>
  <c r="AB482" i="1"/>
  <c r="AE482" i="1"/>
  <c r="AF482" i="1"/>
  <c r="AM482" i="1"/>
  <c r="AN482" i="1"/>
  <c r="AO482" i="1"/>
  <c r="AQ482" i="1"/>
  <c r="AX482" i="1"/>
  <c r="BD482" i="1"/>
  <c r="B483" i="1"/>
  <c r="C483" i="1"/>
  <c r="D483" i="1"/>
  <c r="E483" i="1"/>
  <c r="F483" i="1"/>
  <c r="G483" i="1"/>
  <c r="H483" i="1"/>
  <c r="I483" i="1"/>
  <c r="J483" i="1"/>
  <c r="K483" i="1"/>
  <c r="M483" i="1"/>
  <c r="O483" i="1"/>
  <c r="Q483" i="1"/>
  <c r="R483" i="1"/>
  <c r="W483" i="1"/>
  <c r="AA483" i="1"/>
  <c r="AB483" i="1"/>
  <c r="AE483" i="1"/>
  <c r="AF483" i="1"/>
  <c r="AM483" i="1"/>
  <c r="AN483" i="1"/>
  <c r="AO483" i="1"/>
  <c r="AQ483" i="1"/>
  <c r="AX483" i="1"/>
  <c r="BD483" i="1"/>
  <c r="B484" i="1"/>
  <c r="C484" i="1"/>
  <c r="D484" i="1"/>
  <c r="E484" i="1"/>
  <c r="F484" i="1"/>
  <c r="G484" i="1"/>
  <c r="H484" i="1"/>
  <c r="I484" i="1"/>
  <c r="J484" i="1"/>
  <c r="K484" i="1"/>
  <c r="M484" i="1"/>
  <c r="O484" i="1"/>
  <c r="Q484" i="1"/>
  <c r="R484" i="1"/>
  <c r="W484" i="1"/>
  <c r="AA484" i="1"/>
  <c r="AB484" i="1"/>
  <c r="AE484" i="1"/>
  <c r="AF484" i="1"/>
  <c r="AM484" i="1"/>
  <c r="AN484" i="1"/>
  <c r="AO484" i="1"/>
  <c r="AQ484" i="1"/>
  <c r="AX484" i="1"/>
  <c r="BD484" i="1"/>
  <c r="B485" i="1"/>
  <c r="C485" i="1"/>
  <c r="D485" i="1"/>
  <c r="E485" i="1"/>
  <c r="F485" i="1"/>
  <c r="G485" i="1"/>
  <c r="H485" i="1"/>
  <c r="I485" i="1"/>
  <c r="J485" i="1"/>
  <c r="K485" i="1"/>
  <c r="M485" i="1"/>
  <c r="O485" i="1"/>
  <c r="Q485" i="1"/>
  <c r="R485" i="1"/>
  <c r="W485" i="1"/>
  <c r="AA485" i="1"/>
  <c r="AB485" i="1"/>
  <c r="AE485" i="1"/>
  <c r="AF485" i="1"/>
  <c r="AM485" i="1"/>
  <c r="AN485" i="1"/>
  <c r="AO485" i="1"/>
  <c r="AQ485" i="1"/>
  <c r="AX485" i="1"/>
  <c r="BD485" i="1"/>
  <c r="B486" i="1"/>
  <c r="C486" i="1"/>
  <c r="D486" i="1"/>
  <c r="E486" i="1"/>
  <c r="F486" i="1"/>
  <c r="G486" i="1"/>
  <c r="H486" i="1"/>
  <c r="I486" i="1"/>
  <c r="J486" i="1"/>
  <c r="K486" i="1"/>
  <c r="M486" i="1"/>
  <c r="O486" i="1"/>
  <c r="Q486" i="1"/>
  <c r="R486" i="1"/>
  <c r="W486" i="1"/>
  <c r="AA486" i="1"/>
  <c r="AB486" i="1"/>
  <c r="AE486" i="1"/>
  <c r="AF486" i="1"/>
  <c r="AM486" i="1"/>
  <c r="AN486" i="1"/>
  <c r="AO486" i="1"/>
  <c r="AQ486" i="1"/>
  <c r="AX486" i="1"/>
  <c r="BD486" i="1"/>
  <c r="B487" i="1"/>
  <c r="C487" i="1"/>
  <c r="D487" i="1"/>
  <c r="E487" i="1"/>
  <c r="F487" i="1"/>
  <c r="G487" i="1"/>
  <c r="H487" i="1"/>
  <c r="I487" i="1"/>
  <c r="J487" i="1"/>
  <c r="K487" i="1"/>
  <c r="M487" i="1"/>
  <c r="O487" i="1"/>
  <c r="Q487" i="1"/>
  <c r="R487" i="1"/>
  <c r="W487" i="1"/>
  <c r="AA487" i="1"/>
  <c r="AB487" i="1"/>
  <c r="AE487" i="1"/>
  <c r="AF487" i="1"/>
  <c r="AM487" i="1"/>
  <c r="AN487" i="1"/>
  <c r="AO487" i="1"/>
  <c r="AQ487" i="1"/>
  <c r="AX487" i="1"/>
  <c r="BD487" i="1"/>
  <c r="B488" i="1"/>
  <c r="C488" i="1"/>
  <c r="D488" i="1"/>
  <c r="E488" i="1"/>
  <c r="F488" i="1"/>
  <c r="G488" i="1"/>
  <c r="H488" i="1"/>
  <c r="I488" i="1"/>
  <c r="J488" i="1"/>
  <c r="K488" i="1"/>
  <c r="M488" i="1"/>
  <c r="O488" i="1"/>
  <c r="Q488" i="1"/>
  <c r="R488" i="1"/>
  <c r="W488" i="1"/>
  <c r="AA488" i="1"/>
  <c r="AB488" i="1"/>
  <c r="AE488" i="1"/>
  <c r="AF488" i="1"/>
  <c r="AM488" i="1"/>
  <c r="AN488" i="1"/>
  <c r="AO488" i="1"/>
  <c r="AQ488" i="1"/>
  <c r="AX488" i="1"/>
  <c r="BD488" i="1"/>
  <c r="B489" i="1"/>
  <c r="C489" i="1"/>
  <c r="D489" i="1"/>
  <c r="E489" i="1"/>
  <c r="F489" i="1"/>
  <c r="G489" i="1"/>
  <c r="H489" i="1"/>
  <c r="I489" i="1"/>
  <c r="J489" i="1"/>
  <c r="K489" i="1"/>
  <c r="M489" i="1"/>
  <c r="O489" i="1"/>
  <c r="Q489" i="1"/>
  <c r="R489" i="1"/>
  <c r="W489" i="1"/>
  <c r="AA489" i="1"/>
  <c r="AB489" i="1"/>
  <c r="AE489" i="1"/>
  <c r="AF489" i="1"/>
  <c r="AM489" i="1"/>
  <c r="AN489" i="1"/>
  <c r="AO489" i="1"/>
  <c r="AQ489" i="1"/>
  <c r="AX489" i="1"/>
  <c r="BD489" i="1"/>
  <c r="B490" i="1"/>
  <c r="C490" i="1"/>
  <c r="D490" i="1"/>
  <c r="E490" i="1"/>
  <c r="F490" i="1"/>
  <c r="G490" i="1"/>
  <c r="H490" i="1"/>
  <c r="I490" i="1"/>
  <c r="J490" i="1"/>
  <c r="K490" i="1"/>
  <c r="M490" i="1"/>
  <c r="O490" i="1"/>
  <c r="Q490" i="1"/>
  <c r="R490" i="1"/>
  <c r="W490" i="1"/>
  <c r="AA490" i="1"/>
  <c r="AB490" i="1"/>
  <c r="AE490" i="1"/>
  <c r="AF490" i="1"/>
  <c r="AM490" i="1"/>
  <c r="AN490" i="1"/>
  <c r="AO490" i="1"/>
  <c r="AQ490" i="1"/>
  <c r="AX490" i="1"/>
  <c r="BD490" i="1"/>
  <c r="B491" i="1"/>
  <c r="C491" i="1"/>
  <c r="D491" i="1"/>
  <c r="E491" i="1"/>
  <c r="F491" i="1"/>
  <c r="G491" i="1"/>
  <c r="H491" i="1"/>
  <c r="I491" i="1"/>
  <c r="J491" i="1"/>
  <c r="K491" i="1"/>
  <c r="M491" i="1"/>
  <c r="O491" i="1"/>
  <c r="Q491" i="1"/>
  <c r="R491" i="1"/>
  <c r="W491" i="1"/>
  <c r="AA491" i="1"/>
  <c r="AB491" i="1"/>
  <c r="AE491" i="1"/>
  <c r="AF491" i="1"/>
  <c r="AM491" i="1"/>
  <c r="AN491" i="1"/>
  <c r="AO491" i="1"/>
  <c r="AQ491" i="1"/>
  <c r="AX491" i="1"/>
  <c r="BD491" i="1"/>
  <c r="B492" i="1"/>
  <c r="C492" i="1"/>
  <c r="D492" i="1"/>
  <c r="E492" i="1"/>
  <c r="F492" i="1"/>
  <c r="G492" i="1"/>
  <c r="H492" i="1"/>
  <c r="I492" i="1"/>
  <c r="J492" i="1"/>
  <c r="K492" i="1"/>
  <c r="M492" i="1"/>
  <c r="O492" i="1"/>
  <c r="Q492" i="1"/>
  <c r="R492" i="1"/>
  <c r="W492" i="1"/>
  <c r="AA492" i="1"/>
  <c r="AB492" i="1"/>
  <c r="AE492" i="1"/>
  <c r="AF492" i="1"/>
  <c r="AM492" i="1"/>
  <c r="AN492" i="1"/>
  <c r="AO492" i="1"/>
  <c r="AQ492" i="1"/>
  <c r="AX492" i="1"/>
  <c r="BD492" i="1"/>
  <c r="B493" i="1"/>
  <c r="C493" i="1"/>
  <c r="D493" i="1"/>
  <c r="E493" i="1"/>
  <c r="F493" i="1"/>
  <c r="G493" i="1"/>
  <c r="H493" i="1"/>
  <c r="I493" i="1"/>
  <c r="J493" i="1"/>
  <c r="K493" i="1"/>
  <c r="M493" i="1"/>
  <c r="O493" i="1"/>
  <c r="Q493" i="1"/>
  <c r="R493" i="1"/>
  <c r="W493" i="1"/>
  <c r="AA493" i="1"/>
  <c r="AB493" i="1"/>
  <c r="AE493" i="1"/>
  <c r="AF493" i="1"/>
  <c r="AM493" i="1"/>
  <c r="AN493" i="1"/>
  <c r="AO493" i="1"/>
  <c r="AQ493" i="1"/>
  <c r="AX493" i="1"/>
  <c r="BD493" i="1"/>
  <c r="B494" i="1"/>
  <c r="C494" i="1"/>
  <c r="D494" i="1"/>
  <c r="E494" i="1"/>
  <c r="F494" i="1"/>
  <c r="G494" i="1"/>
  <c r="H494" i="1"/>
  <c r="I494" i="1"/>
  <c r="J494" i="1"/>
  <c r="K494" i="1"/>
  <c r="M494" i="1"/>
  <c r="O494" i="1"/>
  <c r="Q494" i="1"/>
  <c r="R494" i="1"/>
  <c r="W494" i="1"/>
  <c r="AA494" i="1"/>
  <c r="AB494" i="1"/>
  <c r="AE494" i="1"/>
  <c r="AF494" i="1"/>
  <c r="AM494" i="1"/>
  <c r="AN494" i="1"/>
  <c r="AO494" i="1"/>
  <c r="AQ494" i="1"/>
  <c r="AX494" i="1"/>
  <c r="BD494" i="1"/>
  <c r="B495" i="1"/>
  <c r="C495" i="1"/>
  <c r="D495" i="1"/>
  <c r="E495" i="1"/>
  <c r="F495" i="1"/>
  <c r="G495" i="1"/>
  <c r="H495" i="1"/>
  <c r="I495" i="1"/>
  <c r="J495" i="1"/>
  <c r="K495" i="1"/>
  <c r="M495" i="1"/>
  <c r="O495" i="1"/>
  <c r="Q495" i="1"/>
  <c r="R495" i="1"/>
  <c r="W495" i="1"/>
  <c r="AA495" i="1"/>
  <c r="AB495" i="1"/>
  <c r="AE495" i="1"/>
  <c r="AF495" i="1"/>
  <c r="AM495" i="1"/>
  <c r="AN495" i="1"/>
  <c r="AO495" i="1"/>
  <c r="AQ495" i="1"/>
  <c r="AX495" i="1"/>
  <c r="BD495" i="1"/>
  <c r="B496" i="1"/>
  <c r="C496" i="1"/>
  <c r="D496" i="1"/>
  <c r="E496" i="1"/>
  <c r="F496" i="1"/>
  <c r="G496" i="1"/>
  <c r="H496" i="1"/>
  <c r="I496" i="1"/>
  <c r="J496" i="1"/>
  <c r="K496" i="1"/>
  <c r="M496" i="1"/>
  <c r="O496" i="1"/>
  <c r="Q496" i="1"/>
  <c r="R496" i="1"/>
  <c r="W496" i="1"/>
  <c r="AA496" i="1"/>
  <c r="AB496" i="1"/>
  <c r="AE496" i="1"/>
  <c r="AF496" i="1"/>
  <c r="AM496" i="1"/>
  <c r="AN496" i="1"/>
  <c r="AO496" i="1"/>
  <c r="AQ496" i="1"/>
  <c r="AX496" i="1"/>
  <c r="BD496" i="1"/>
  <c r="B497" i="1"/>
  <c r="C497" i="1"/>
  <c r="D497" i="1"/>
  <c r="E497" i="1"/>
  <c r="F497" i="1"/>
  <c r="G497" i="1"/>
  <c r="H497" i="1"/>
  <c r="I497" i="1"/>
  <c r="J497" i="1"/>
  <c r="K497" i="1"/>
  <c r="M497" i="1"/>
  <c r="O497" i="1"/>
  <c r="Q497" i="1"/>
  <c r="R497" i="1"/>
  <c r="W497" i="1"/>
  <c r="AA497" i="1"/>
  <c r="AB497" i="1"/>
  <c r="AE497" i="1"/>
  <c r="AF497" i="1"/>
  <c r="AM497" i="1"/>
  <c r="AN497" i="1"/>
  <c r="AO497" i="1"/>
  <c r="AQ497" i="1"/>
  <c r="AX497" i="1"/>
  <c r="BD497" i="1"/>
  <c r="B498" i="1"/>
  <c r="C498" i="1"/>
  <c r="D498" i="1"/>
  <c r="E498" i="1"/>
  <c r="F498" i="1"/>
  <c r="G498" i="1"/>
  <c r="H498" i="1"/>
  <c r="I498" i="1"/>
  <c r="J498" i="1"/>
  <c r="K498" i="1"/>
  <c r="M498" i="1"/>
  <c r="O498" i="1"/>
  <c r="Q498" i="1"/>
  <c r="R498" i="1"/>
  <c r="W498" i="1"/>
  <c r="AA498" i="1"/>
  <c r="AB498" i="1"/>
  <c r="AE498" i="1"/>
  <c r="AF498" i="1"/>
  <c r="AM498" i="1"/>
  <c r="AN498" i="1"/>
  <c r="AO498" i="1"/>
  <c r="AQ498" i="1"/>
  <c r="AX498" i="1"/>
  <c r="BD498" i="1"/>
  <c r="B499" i="1"/>
  <c r="C499" i="1"/>
  <c r="D499" i="1"/>
  <c r="E499" i="1"/>
  <c r="F499" i="1"/>
  <c r="G499" i="1"/>
  <c r="H499" i="1"/>
  <c r="I499" i="1"/>
  <c r="J499" i="1"/>
  <c r="K499" i="1"/>
  <c r="M499" i="1"/>
  <c r="O499" i="1"/>
  <c r="Q499" i="1"/>
  <c r="R499" i="1"/>
  <c r="W499" i="1"/>
  <c r="AA499" i="1"/>
  <c r="AB499" i="1"/>
  <c r="AE499" i="1"/>
  <c r="AF499" i="1"/>
  <c r="AM499" i="1"/>
  <c r="AN499" i="1"/>
  <c r="AO499" i="1"/>
  <c r="AQ499" i="1"/>
  <c r="AX499" i="1"/>
  <c r="BD499" i="1"/>
  <c r="B500" i="1"/>
  <c r="C500" i="1"/>
  <c r="D500" i="1"/>
  <c r="E500" i="1"/>
  <c r="F500" i="1"/>
  <c r="G500" i="1"/>
  <c r="H500" i="1"/>
  <c r="I500" i="1"/>
  <c r="J500" i="1"/>
  <c r="K500" i="1"/>
  <c r="M500" i="1"/>
  <c r="O500" i="1"/>
  <c r="Q500" i="1"/>
  <c r="R500" i="1"/>
  <c r="W500" i="1"/>
  <c r="AA500" i="1"/>
  <c r="AB500" i="1"/>
  <c r="AE500" i="1"/>
  <c r="AF500" i="1"/>
  <c r="AM500" i="1"/>
  <c r="AN500" i="1"/>
  <c r="AO500" i="1"/>
  <c r="AQ500" i="1"/>
  <c r="AX500" i="1"/>
  <c r="BD500" i="1"/>
  <c r="B501" i="1"/>
  <c r="C501" i="1"/>
  <c r="D501" i="1"/>
  <c r="E501" i="1"/>
  <c r="F501" i="1"/>
  <c r="G501" i="1"/>
  <c r="H501" i="1"/>
  <c r="I501" i="1"/>
  <c r="J501" i="1"/>
  <c r="K501" i="1"/>
  <c r="M501" i="1"/>
  <c r="O501" i="1"/>
  <c r="Q501" i="1"/>
  <c r="R501" i="1"/>
  <c r="W501" i="1"/>
  <c r="AA501" i="1"/>
  <c r="AB501" i="1"/>
  <c r="AE501" i="1"/>
  <c r="AF501" i="1"/>
  <c r="AM501" i="1"/>
  <c r="AN501" i="1"/>
  <c r="AO501" i="1"/>
  <c r="AQ501" i="1"/>
  <c r="AX501" i="1"/>
  <c r="BD501" i="1"/>
  <c r="B502" i="1"/>
  <c r="C502" i="1"/>
  <c r="D502" i="1"/>
  <c r="E502" i="1"/>
  <c r="F502" i="1"/>
  <c r="G502" i="1"/>
  <c r="H502" i="1"/>
  <c r="I502" i="1"/>
  <c r="J502" i="1"/>
  <c r="K502" i="1"/>
  <c r="M502" i="1"/>
  <c r="O502" i="1"/>
  <c r="Q502" i="1"/>
  <c r="R502" i="1"/>
  <c r="W502" i="1"/>
  <c r="AA502" i="1"/>
  <c r="AB502" i="1"/>
  <c r="AE502" i="1"/>
  <c r="AF502" i="1"/>
  <c r="AM502" i="1"/>
  <c r="AN502" i="1"/>
  <c r="AO502" i="1"/>
  <c r="AQ502" i="1"/>
  <c r="AX502" i="1"/>
  <c r="BD502" i="1"/>
  <c r="B503" i="1"/>
  <c r="C503" i="1"/>
  <c r="D503" i="1"/>
  <c r="E503" i="1"/>
  <c r="F503" i="1"/>
  <c r="G503" i="1"/>
  <c r="H503" i="1"/>
  <c r="I503" i="1"/>
  <c r="J503" i="1"/>
  <c r="K503" i="1"/>
  <c r="M503" i="1"/>
  <c r="O503" i="1"/>
  <c r="Q503" i="1"/>
  <c r="R503" i="1"/>
  <c r="W503" i="1"/>
  <c r="AA503" i="1"/>
  <c r="AB503" i="1"/>
  <c r="AE503" i="1"/>
  <c r="AF503" i="1"/>
  <c r="AM503" i="1"/>
  <c r="AN503" i="1"/>
  <c r="AO503" i="1"/>
  <c r="AQ503" i="1"/>
  <c r="AX503" i="1"/>
  <c r="BD503" i="1"/>
  <c r="B504" i="1"/>
  <c r="C504" i="1"/>
  <c r="D504" i="1"/>
  <c r="E504" i="1"/>
  <c r="F504" i="1"/>
  <c r="G504" i="1"/>
  <c r="H504" i="1"/>
  <c r="I504" i="1"/>
  <c r="J504" i="1"/>
  <c r="K504" i="1"/>
  <c r="M504" i="1"/>
  <c r="O504" i="1"/>
  <c r="Q504" i="1"/>
  <c r="R504" i="1"/>
  <c r="W504" i="1"/>
  <c r="AA504" i="1"/>
  <c r="AB504" i="1"/>
  <c r="AE504" i="1"/>
  <c r="AF504" i="1"/>
  <c r="AM504" i="1"/>
  <c r="AN504" i="1"/>
  <c r="AO504" i="1"/>
  <c r="AQ504" i="1"/>
  <c r="AX504" i="1"/>
  <c r="BD504" i="1"/>
  <c r="B505" i="1"/>
  <c r="C505" i="1"/>
  <c r="D505" i="1"/>
  <c r="E505" i="1"/>
  <c r="F505" i="1"/>
  <c r="G505" i="1"/>
  <c r="H505" i="1"/>
  <c r="I505" i="1"/>
  <c r="J505" i="1"/>
  <c r="K505" i="1"/>
  <c r="M505" i="1"/>
  <c r="O505" i="1"/>
  <c r="Q505" i="1"/>
  <c r="R505" i="1"/>
  <c r="W505" i="1"/>
  <c r="AA505" i="1"/>
  <c r="AB505" i="1"/>
  <c r="AE505" i="1"/>
  <c r="AF505" i="1"/>
  <c r="AM505" i="1"/>
  <c r="AN505" i="1"/>
  <c r="AO505" i="1"/>
  <c r="AQ505" i="1"/>
  <c r="AX505" i="1"/>
  <c r="BD505" i="1"/>
  <c r="B506" i="1"/>
  <c r="C506" i="1"/>
  <c r="D506" i="1"/>
  <c r="E506" i="1"/>
  <c r="F506" i="1"/>
  <c r="G506" i="1"/>
  <c r="H506" i="1"/>
  <c r="I506" i="1"/>
  <c r="J506" i="1"/>
  <c r="K506" i="1"/>
  <c r="M506" i="1"/>
  <c r="O506" i="1"/>
  <c r="Q506" i="1"/>
  <c r="R506" i="1"/>
  <c r="W506" i="1"/>
  <c r="AA506" i="1"/>
  <c r="AB506" i="1"/>
  <c r="AE506" i="1"/>
  <c r="AF506" i="1"/>
  <c r="AM506" i="1"/>
  <c r="AN506" i="1"/>
  <c r="AO506" i="1"/>
  <c r="AQ506" i="1"/>
  <c r="AX506" i="1"/>
  <c r="BD506" i="1"/>
  <c r="B507" i="1"/>
  <c r="C507" i="1"/>
  <c r="D507" i="1"/>
  <c r="E507" i="1"/>
  <c r="F507" i="1"/>
  <c r="G507" i="1"/>
  <c r="H507" i="1"/>
  <c r="I507" i="1"/>
  <c r="J507" i="1"/>
  <c r="K507" i="1"/>
  <c r="M507" i="1"/>
  <c r="O507" i="1"/>
  <c r="Q507" i="1"/>
  <c r="R507" i="1"/>
  <c r="W507" i="1"/>
  <c r="AA507" i="1"/>
  <c r="AB507" i="1"/>
  <c r="AE507" i="1"/>
  <c r="AF507" i="1"/>
  <c r="AM507" i="1"/>
  <c r="AN507" i="1"/>
  <c r="AO507" i="1"/>
  <c r="AQ507" i="1"/>
  <c r="AX507" i="1"/>
  <c r="BD507" i="1"/>
  <c r="B508" i="1"/>
  <c r="C508" i="1"/>
  <c r="D508" i="1"/>
  <c r="E508" i="1"/>
  <c r="F508" i="1"/>
  <c r="G508" i="1"/>
  <c r="H508" i="1"/>
  <c r="I508" i="1"/>
  <c r="J508" i="1"/>
  <c r="K508" i="1"/>
  <c r="M508" i="1"/>
  <c r="O508" i="1"/>
  <c r="Q508" i="1"/>
  <c r="R508" i="1"/>
  <c r="W508" i="1"/>
  <c r="AA508" i="1"/>
  <c r="AB508" i="1"/>
  <c r="AE508" i="1"/>
  <c r="AF508" i="1"/>
  <c r="AM508" i="1"/>
  <c r="AN508" i="1"/>
  <c r="AO508" i="1"/>
  <c r="AQ508" i="1"/>
  <c r="AX508" i="1"/>
  <c r="BD508" i="1"/>
  <c r="B509" i="1"/>
  <c r="C509" i="1"/>
  <c r="D509" i="1"/>
  <c r="E509" i="1"/>
  <c r="F509" i="1"/>
  <c r="G509" i="1"/>
  <c r="H509" i="1"/>
  <c r="I509" i="1"/>
  <c r="J509" i="1"/>
  <c r="K509" i="1"/>
  <c r="M509" i="1"/>
  <c r="O509" i="1"/>
  <c r="Q509" i="1"/>
  <c r="R509" i="1"/>
  <c r="W509" i="1"/>
  <c r="AA509" i="1"/>
  <c r="AB509" i="1"/>
  <c r="AE509" i="1"/>
  <c r="AF509" i="1"/>
  <c r="AM509" i="1"/>
  <c r="AN509" i="1"/>
  <c r="AO509" i="1"/>
  <c r="AQ509" i="1"/>
  <c r="AX509" i="1"/>
  <c r="BD509" i="1"/>
  <c r="B510" i="1"/>
  <c r="C510" i="1"/>
  <c r="D510" i="1"/>
  <c r="E510" i="1"/>
  <c r="F510" i="1"/>
  <c r="G510" i="1"/>
  <c r="H510" i="1"/>
  <c r="I510" i="1"/>
  <c r="J510" i="1"/>
  <c r="K510" i="1"/>
  <c r="M510" i="1"/>
  <c r="O510" i="1"/>
  <c r="Q510" i="1"/>
  <c r="R510" i="1"/>
  <c r="W510" i="1"/>
  <c r="AA510" i="1"/>
  <c r="AB510" i="1"/>
  <c r="AE510" i="1"/>
  <c r="AF510" i="1"/>
  <c r="AM510" i="1"/>
  <c r="AN510" i="1"/>
  <c r="AO510" i="1"/>
  <c r="AQ510" i="1"/>
  <c r="AX510" i="1"/>
  <c r="BD510" i="1"/>
  <c r="B511" i="1"/>
  <c r="C511" i="1"/>
  <c r="D511" i="1"/>
  <c r="E511" i="1"/>
  <c r="F511" i="1"/>
  <c r="G511" i="1"/>
  <c r="H511" i="1"/>
  <c r="I511" i="1"/>
  <c r="J511" i="1"/>
  <c r="K511" i="1"/>
  <c r="M511" i="1"/>
  <c r="O511" i="1"/>
  <c r="Q511" i="1"/>
  <c r="R511" i="1"/>
  <c r="W511" i="1"/>
  <c r="AA511" i="1"/>
  <c r="AB511" i="1"/>
  <c r="AE511" i="1"/>
  <c r="AF511" i="1"/>
  <c r="AM511" i="1"/>
  <c r="AN511" i="1"/>
  <c r="AO511" i="1"/>
  <c r="AQ511" i="1"/>
  <c r="AX511" i="1"/>
  <c r="BD511" i="1"/>
  <c r="B512" i="1"/>
  <c r="C512" i="1"/>
  <c r="E512" i="1"/>
  <c r="F512" i="1"/>
  <c r="G512" i="1"/>
  <c r="H512" i="1"/>
  <c r="I512" i="1"/>
  <c r="J512" i="1"/>
  <c r="K512" i="1"/>
  <c r="M512" i="1"/>
  <c r="O512" i="1"/>
  <c r="Q512" i="1"/>
  <c r="R512" i="1"/>
  <c r="W512" i="1"/>
  <c r="AA512" i="1"/>
  <c r="AB512" i="1"/>
  <c r="AE512" i="1"/>
  <c r="AF512" i="1"/>
  <c r="AM512" i="1"/>
  <c r="AN512" i="1"/>
  <c r="AO512" i="1"/>
  <c r="AQ512" i="1"/>
  <c r="AX512" i="1"/>
  <c r="BD512" i="1"/>
  <c r="B513" i="1"/>
  <c r="C513" i="1"/>
  <c r="E513" i="1"/>
  <c r="F513" i="1"/>
  <c r="G513" i="1"/>
  <c r="H513" i="1"/>
  <c r="I513" i="1"/>
  <c r="J513" i="1"/>
  <c r="K513" i="1"/>
  <c r="M513" i="1"/>
  <c r="O513" i="1"/>
  <c r="Q513" i="1"/>
  <c r="R513" i="1"/>
  <c r="W513" i="1"/>
  <c r="AA513" i="1"/>
  <c r="AB513" i="1"/>
  <c r="AE513" i="1"/>
  <c r="AF513" i="1"/>
  <c r="AM513" i="1"/>
  <c r="AN513" i="1"/>
  <c r="AO513" i="1"/>
  <c r="AQ513" i="1"/>
  <c r="AX513" i="1"/>
  <c r="BD513" i="1"/>
  <c r="B514" i="1"/>
  <c r="C514" i="1"/>
  <c r="E514" i="1"/>
  <c r="F514" i="1"/>
  <c r="G514" i="1"/>
  <c r="H514" i="1"/>
  <c r="I514" i="1"/>
  <c r="J514" i="1"/>
  <c r="K514" i="1"/>
  <c r="M514" i="1"/>
  <c r="O514" i="1"/>
  <c r="Q514" i="1"/>
  <c r="R514" i="1"/>
  <c r="W514" i="1"/>
  <c r="AA514" i="1"/>
  <c r="AB514" i="1"/>
  <c r="AE514" i="1"/>
  <c r="AF514" i="1"/>
  <c r="AM514" i="1"/>
  <c r="AN514" i="1"/>
  <c r="AO514" i="1"/>
  <c r="AQ514" i="1"/>
  <c r="AX514" i="1"/>
  <c r="BD514" i="1"/>
  <c r="B515" i="1"/>
  <c r="C515" i="1"/>
  <c r="E515" i="1"/>
  <c r="F515" i="1"/>
  <c r="G515" i="1"/>
  <c r="H515" i="1"/>
  <c r="I515" i="1"/>
  <c r="J515" i="1"/>
  <c r="K515" i="1"/>
  <c r="M515" i="1"/>
  <c r="O515" i="1"/>
  <c r="Q515" i="1"/>
  <c r="R515" i="1"/>
  <c r="W515" i="1"/>
  <c r="AA515" i="1"/>
  <c r="AB515" i="1"/>
  <c r="AE515" i="1"/>
  <c r="AF515" i="1"/>
  <c r="AM515" i="1"/>
  <c r="AN515" i="1"/>
  <c r="AO515" i="1"/>
  <c r="AQ515" i="1"/>
  <c r="AX515" i="1"/>
  <c r="BD515" i="1"/>
  <c r="B516" i="1"/>
  <c r="C516" i="1"/>
  <c r="E516" i="1"/>
  <c r="F516" i="1"/>
  <c r="G516" i="1"/>
  <c r="H516" i="1"/>
  <c r="I516" i="1"/>
  <c r="J516" i="1"/>
  <c r="K516" i="1"/>
  <c r="M516" i="1"/>
  <c r="O516" i="1"/>
  <c r="Q516" i="1"/>
  <c r="R516" i="1"/>
  <c r="W516" i="1"/>
  <c r="AA516" i="1"/>
  <c r="AB516" i="1"/>
  <c r="AE516" i="1"/>
  <c r="AF516" i="1"/>
  <c r="AM516" i="1"/>
  <c r="AN516" i="1"/>
  <c r="AO516" i="1"/>
  <c r="AQ516" i="1"/>
  <c r="AX516" i="1"/>
  <c r="BD516" i="1"/>
  <c r="B517" i="1"/>
  <c r="C517" i="1"/>
  <c r="E517" i="1"/>
  <c r="F517" i="1"/>
  <c r="G517" i="1"/>
  <c r="H517" i="1"/>
  <c r="I517" i="1"/>
  <c r="J517" i="1"/>
  <c r="K517" i="1"/>
  <c r="M517" i="1"/>
  <c r="O517" i="1"/>
  <c r="Q517" i="1"/>
  <c r="R517" i="1"/>
  <c r="W517" i="1"/>
  <c r="AA517" i="1"/>
  <c r="AB517" i="1"/>
  <c r="AE517" i="1"/>
  <c r="AF517" i="1"/>
  <c r="AM517" i="1"/>
  <c r="AN517" i="1"/>
  <c r="AO517" i="1"/>
  <c r="AQ517" i="1"/>
  <c r="AX517" i="1"/>
  <c r="BD517" i="1"/>
  <c r="B518" i="1"/>
  <c r="C518" i="1"/>
  <c r="E518" i="1"/>
  <c r="F518" i="1"/>
  <c r="G518" i="1"/>
  <c r="H518" i="1"/>
  <c r="I518" i="1"/>
  <c r="J518" i="1"/>
  <c r="K518" i="1"/>
  <c r="M518" i="1"/>
  <c r="O518" i="1"/>
  <c r="Q518" i="1"/>
  <c r="R518" i="1"/>
  <c r="W518" i="1"/>
  <c r="AA518" i="1"/>
  <c r="AB518" i="1"/>
  <c r="AE518" i="1"/>
  <c r="AF518" i="1"/>
  <c r="AM518" i="1"/>
  <c r="AN518" i="1"/>
  <c r="AO518" i="1"/>
  <c r="AQ518" i="1"/>
  <c r="AX518" i="1"/>
  <c r="BD518" i="1"/>
  <c r="B519" i="1"/>
  <c r="C519" i="1"/>
  <c r="E519" i="1"/>
  <c r="F519" i="1"/>
  <c r="G519" i="1"/>
  <c r="H519" i="1"/>
  <c r="I519" i="1"/>
  <c r="J519" i="1"/>
  <c r="K519" i="1"/>
  <c r="M519" i="1"/>
  <c r="O519" i="1"/>
  <c r="Q519" i="1"/>
  <c r="R519" i="1"/>
  <c r="W519" i="1"/>
  <c r="AA519" i="1"/>
  <c r="AB519" i="1"/>
  <c r="AE519" i="1"/>
  <c r="AF519" i="1"/>
  <c r="AM519" i="1"/>
  <c r="AN519" i="1"/>
  <c r="AO519" i="1"/>
  <c r="AQ519" i="1"/>
  <c r="AX519" i="1"/>
  <c r="BD519" i="1"/>
  <c r="B520" i="1"/>
  <c r="C520" i="1"/>
  <c r="E520" i="1"/>
  <c r="F520" i="1"/>
  <c r="G520" i="1"/>
  <c r="H520" i="1"/>
  <c r="I520" i="1"/>
  <c r="J520" i="1"/>
  <c r="K520" i="1"/>
  <c r="M520" i="1"/>
  <c r="O520" i="1"/>
  <c r="Q520" i="1"/>
  <c r="R520" i="1"/>
  <c r="W520" i="1"/>
  <c r="AA520" i="1"/>
  <c r="AB520" i="1"/>
  <c r="AE520" i="1"/>
  <c r="AF520" i="1"/>
  <c r="AM520" i="1"/>
  <c r="AN520" i="1"/>
  <c r="AO520" i="1"/>
  <c r="AQ520" i="1"/>
  <c r="AX520" i="1"/>
  <c r="BD520" i="1"/>
  <c r="B521" i="1"/>
  <c r="C521" i="1"/>
  <c r="E521" i="1"/>
  <c r="F521" i="1"/>
  <c r="G521" i="1"/>
  <c r="H521" i="1"/>
  <c r="I521" i="1"/>
  <c r="J521" i="1"/>
  <c r="K521" i="1"/>
  <c r="M521" i="1"/>
  <c r="O521" i="1"/>
  <c r="Q521" i="1"/>
  <c r="R521" i="1"/>
  <c r="W521" i="1"/>
  <c r="AA521" i="1"/>
  <c r="AB521" i="1"/>
  <c r="AE521" i="1"/>
  <c r="AF521" i="1"/>
  <c r="AM521" i="1"/>
  <c r="AN521" i="1"/>
  <c r="AO521" i="1"/>
  <c r="AQ521" i="1"/>
  <c r="AX521" i="1"/>
  <c r="BD521" i="1"/>
  <c r="B522" i="1"/>
  <c r="C522" i="1"/>
  <c r="E522" i="1"/>
  <c r="F522" i="1"/>
  <c r="G522" i="1"/>
  <c r="H522" i="1"/>
  <c r="I522" i="1"/>
  <c r="J522" i="1"/>
  <c r="K522" i="1"/>
  <c r="M522" i="1"/>
  <c r="O522" i="1"/>
  <c r="Q522" i="1"/>
  <c r="R522" i="1"/>
  <c r="W522" i="1"/>
  <c r="AA522" i="1"/>
  <c r="AB522" i="1"/>
  <c r="AE522" i="1"/>
  <c r="AF522" i="1"/>
  <c r="AM522" i="1"/>
  <c r="AN522" i="1"/>
  <c r="AO522" i="1"/>
  <c r="AQ522" i="1"/>
  <c r="AX522" i="1"/>
  <c r="BD522" i="1"/>
  <c r="B523" i="1"/>
  <c r="C523" i="1"/>
  <c r="E523" i="1"/>
  <c r="F523" i="1"/>
  <c r="G523" i="1"/>
  <c r="H523" i="1"/>
  <c r="I523" i="1"/>
  <c r="J523" i="1"/>
  <c r="K523" i="1"/>
  <c r="M523" i="1"/>
  <c r="O523" i="1"/>
  <c r="Q523" i="1"/>
  <c r="R523" i="1"/>
  <c r="W523" i="1"/>
  <c r="AA523" i="1"/>
  <c r="AB523" i="1"/>
  <c r="AE523" i="1"/>
  <c r="AF523" i="1"/>
  <c r="AM523" i="1"/>
  <c r="AN523" i="1"/>
  <c r="AO523" i="1"/>
  <c r="AQ523" i="1"/>
  <c r="AX523" i="1"/>
  <c r="BD523" i="1"/>
  <c r="B524" i="1"/>
  <c r="C524" i="1"/>
  <c r="E524" i="1"/>
  <c r="F524" i="1"/>
  <c r="G524" i="1"/>
  <c r="H524" i="1"/>
  <c r="I524" i="1"/>
  <c r="J524" i="1"/>
  <c r="K524" i="1"/>
  <c r="M524" i="1"/>
  <c r="O524" i="1"/>
  <c r="Q524" i="1"/>
  <c r="R524" i="1"/>
  <c r="W524" i="1"/>
  <c r="AA524" i="1"/>
  <c r="AB524" i="1"/>
  <c r="AE524" i="1"/>
  <c r="AF524" i="1"/>
  <c r="AM524" i="1"/>
  <c r="AN524" i="1"/>
  <c r="AO524" i="1"/>
  <c r="AQ524" i="1"/>
  <c r="AX524" i="1"/>
  <c r="BD524" i="1"/>
  <c r="B525" i="1"/>
  <c r="C525" i="1"/>
  <c r="D525" i="1"/>
  <c r="E525" i="1"/>
  <c r="F525" i="1"/>
  <c r="G525" i="1"/>
  <c r="H525" i="1"/>
  <c r="I525" i="1"/>
  <c r="J525" i="1"/>
  <c r="K525" i="1"/>
  <c r="M525" i="1"/>
  <c r="O525" i="1"/>
  <c r="Q525" i="1"/>
  <c r="R525" i="1"/>
  <c r="W525" i="1"/>
  <c r="AA525" i="1"/>
  <c r="AB525" i="1"/>
  <c r="AM525" i="1"/>
  <c r="AN525" i="1"/>
  <c r="AO525" i="1"/>
  <c r="AQ525" i="1"/>
  <c r="AX525" i="1"/>
  <c r="BD525" i="1"/>
  <c r="B526" i="1"/>
  <c r="C526" i="1"/>
  <c r="D526" i="1"/>
  <c r="E526" i="1"/>
  <c r="F526" i="1"/>
  <c r="G526" i="1"/>
  <c r="H526" i="1"/>
  <c r="I526" i="1"/>
  <c r="J526" i="1"/>
  <c r="K526" i="1"/>
  <c r="M526" i="1"/>
  <c r="O526" i="1"/>
  <c r="Q526" i="1"/>
  <c r="R526" i="1"/>
  <c r="W526" i="1"/>
  <c r="AA526" i="1"/>
  <c r="AB526" i="1"/>
  <c r="AM526" i="1"/>
  <c r="AN526" i="1"/>
  <c r="AO526" i="1"/>
  <c r="AQ526" i="1"/>
  <c r="AX526" i="1"/>
  <c r="BD526" i="1"/>
  <c r="B527" i="1"/>
  <c r="C527" i="1"/>
  <c r="D527" i="1"/>
  <c r="E527" i="1"/>
  <c r="F527" i="1"/>
  <c r="G527" i="1"/>
  <c r="H527" i="1"/>
  <c r="I527" i="1"/>
  <c r="J527" i="1"/>
  <c r="K527" i="1"/>
  <c r="M527" i="1"/>
  <c r="O527" i="1"/>
  <c r="Q527" i="1"/>
  <c r="R527" i="1"/>
  <c r="W527" i="1"/>
  <c r="AA527" i="1"/>
  <c r="AB527" i="1"/>
  <c r="AM527" i="1"/>
  <c r="AN527" i="1"/>
  <c r="AO527" i="1"/>
  <c r="AQ527" i="1"/>
  <c r="AX527" i="1"/>
  <c r="BD527" i="1"/>
  <c r="B528" i="1"/>
  <c r="C528" i="1"/>
  <c r="E528" i="1"/>
  <c r="F528" i="1"/>
  <c r="G528" i="1"/>
  <c r="H528" i="1"/>
  <c r="I528" i="1"/>
  <c r="J528" i="1"/>
  <c r="K528" i="1"/>
  <c r="M528" i="1"/>
  <c r="O528" i="1"/>
  <c r="Q528" i="1"/>
  <c r="R528" i="1"/>
  <c r="W528" i="1"/>
  <c r="AA528" i="1"/>
  <c r="AM528" i="1"/>
  <c r="AN528" i="1"/>
  <c r="AO528" i="1"/>
  <c r="AQ528" i="1"/>
  <c r="BB528" i="1"/>
  <c r="BD528" i="1"/>
  <c r="B529" i="1"/>
  <c r="C529" i="1"/>
  <c r="E529" i="1"/>
  <c r="F529" i="1"/>
  <c r="G529" i="1"/>
  <c r="H529" i="1"/>
  <c r="I529" i="1"/>
  <c r="J529" i="1"/>
  <c r="K529" i="1"/>
  <c r="M529" i="1"/>
  <c r="O529" i="1"/>
  <c r="Q529" i="1"/>
  <c r="R529" i="1"/>
  <c r="W529" i="1"/>
  <c r="AA529" i="1"/>
  <c r="AM529" i="1"/>
  <c r="AN529" i="1"/>
  <c r="AO529" i="1"/>
  <c r="AQ529" i="1"/>
  <c r="BB529" i="1"/>
  <c r="BD529" i="1"/>
  <c r="B530" i="1"/>
  <c r="C530" i="1"/>
  <c r="D530" i="1"/>
  <c r="E530" i="1"/>
  <c r="F530" i="1"/>
  <c r="G530" i="1"/>
  <c r="H530" i="1"/>
  <c r="I530" i="1"/>
  <c r="J530" i="1"/>
  <c r="K530" i="1"/>
  <c r="M530" i="1"/>
  <c r="O530" i="1"/>
  <c r="Q530" i="1"/>
  <c r="R530" i="1"/>
  <c r="W530" i="1"/>
  <c r="AA530" i="1"/>
  <c r="AB530" i="1"/>
  <c r="AE530" i="1"/>
  <c r="AF530" i="1"/>
  <c r="AM530" i="1"/>
  <c r="AN530" i="1"/>
  <c r="AO530" i="1"/>
  <c r="AQ530" i="1"/>
  <c r="AX530" i="1"/>
  <c r="BD530" i="1"/>
  <c r="B531" i="1"/>
  <c r="C531" i="1"/>
  <c r="E531" i="1"/>
  <c r="F531" i="1"/>
  <c r="G531" i="1"/>
  <c r="H531" i="1"/>
  <c r="I531" i="1"/>
  <c r="J531" i="1"/>
  <c r="K531" i="1"/>
  <c r="M531" i="1"/>
  <c r="O531" i="1"/>
  <c r="Q531" i="1"/>
  <c r="R531" i="1"/>
  <c r="W531" i="1"/>
  <c r="AA531" i="1"/>
  <c r="AB531" i="1"/>
  <c r="AE531" i="1"/>
  <c r="AF531" i="1"/>
  <c r="AM531" i="1"/>
  <c r="AN531" i="1"/>
  <c r="AO531" i="1"/>
  <c r="AQ531" i="1"/>
  <c r="AX531" i="1"/>
  <c r="BD531" i="1"/>
  <c r="B532" i="1"/>
  <c r="C532" i="1"/>
  <c r="E532" i="1"/>
  <c r="F532" i="1"/>
  <c r="G532" i="1"/>
  <c r="H532" i="1"/>
  <c r="I532" i="1"/>
  <c r="J532" i="1"/>
  <c r="K532" i="1"/>
  <c r="M532" i="1"/>
  <c r="O532" i="1"/>
  <c r="Q532" i="1"/>
  <c r="R532" i="1"/>
  <c r="W532" i="1"/>
  <c r="AA532" i="1"/>
  <c r="AM532" i="1"/>
  <c r="AN532" i="1"/>
  <c r="AO532" i="1"/>
  <c r="AQ532" i="1"/>
  <c r="BB532" i="1"/>
  <c r="BD532" i="1"/>
  <c r="B533" i="1"/>
  <c r="C533" i="1"/>
  <c r="E533" i="1"/>
  <c r="F533" i="1"/>
  <c r="G533" i="1"/>
  <c r="H533" i="1"/>
  <c r="I533" i="1"/>
  <c r="J533" i="1"/>
  <c r="K533" i="1"/>
  <c r="M533" i="1"/>
  <c r="O533" i="1"/>
  <c r="Q533" i="1"/>
  <c r="R533" i="1"/>
  <c r="W533" i="1"/>
  <c r="AA533" i="1"/>
  <c r="AM533" i="1"/>
  <c r="AN533" i="1"/>
  <c r="AO533" i="1"/>
  <c r="AQ533" i="1"/>
  <c r="BB533" i="1"/>
  <c r="BD533" i="1"/>
  <c r="B534" i="1"/>
  <c r="C534" i="1"/>
  <c r="D534" i="1"/>
  <c r="E534" i="1"/>
  <c r="F534" i="1"/>
  <c r="G534" i="1"/>
  <c r="H534" i="1"/>
  <c r="I534" i="1"/>
  <c r="J534" i="1"/>
  <c r="K534" i="1"/>
  <c r="M534" i="1"/>
  <c r="O534" i="1"/>
  <c r="Q534" i="1"/>
  <c r="R534" i="1"/>
  <c r="W534" i="1"/>
  <c r="AA534" i="1"/>
  <c r="AB534" i="1"/>
  <c r="AM534" i="1"/>
  <c r="AN534" i="1"/>
  <c r="AO534" i="1"/>
  <c r="AQ534" i="1"/>
  <c r="AX534" i="1"/>
  <c r="BD534" i="1"/>
  <c r="B535" i="1"/>
  <c r="C535" i="1"/>
  <c r="E535" i="1"/>
  <c r="F535" i="1"/>
  <c r="G535" i="1"/>
  <c r="H535" i="1"/>
  <c r="I535" i="1"/>
  <c r="J535" i="1"/>
  <c r="K535" i="1"/>
  <c r="M535" i="1"/>
  <c r="O535" i="1"/>
  <c r="Q535" i="1"/>
  <c r="R535" i="1"/>
  <c r="W535" i="1"/>
  <c r="AA535" i="1"/>
  <c r="AM535" i="1"/>
  <c r="AN535" i="1"/>
  <c r="AO535" i="1"/>
  <c r="AQ535" i="1"/>
  <c r="BB535" i="1"/>
  <c r="BD535" i="1"/>
  <c r="B536" i="1"/>
  <c r="C536" i="1"/>
  <c r="D536" i="1"/>
  <c r="E536" i="1"/>
  <c r="F536" i="1"/>
  <c r="G536" i="1"/>
  <c r="H536" i="1"/>
  <c r="I536" i="1"/>
  <c r="J536" i="1"/>
  <c r="K536" i="1"/>
  <c r="M536" i="1"/>
  <c r="O536" i="1"/>
  <c r="Q536" i="1"/>
  <c r="R536" i="1"/>
  <c r="W536" i="1"/>
  <c r="AA536" i="1"/>
  <c r="AB536" i="1"/>
  <c r="AE536" i="1"/>
  <c r="AF536" i="1"/>
  <c r="AM536" i="1"/>
  <c r="AN536" i="1"/>
  <c r="AO536" i="1"/>
  <c r="AQ536" i="1"/>
  <c r="AX536" i="1"/>
  <c r="BD536" i="1"/>
  <c r="B537" i="1"/>
  <c r="C537" i="1"/>
  <c r="D537" i="1"/>
  <c r="E537" i="1"/>
  <c r="F537" i="1"/>
  <c r="G537" i="1"/>
  <c r="H537" i="1"/>
  <c r="I537" i="1"/>
  <c r="J537" i="1"/>
  <c r="K537" i="1"/>
  <c r="M537" i="1"/>
  <c r="O537" i="1"/>
  <c r="Q537" i="1"/>
  <c r="R537" i="1"/>
  <c r="W537" i="1"/>
  <c r="AA537" i="1"/>
  <c r="AB537" i="1"/>
  <c r="AE537" i="1"/>
  <c r="AF537" i="1"/>
  <c r="AM537" i="1"/>
  <c r="AN537" i="1"/>
  <c r="AO537" i="1"/>
  <c r="AQ537" i="1"/>
  <c r="AX537" i="1"/>
  <c r="BD537" i="1"/>
  <c r="B538" i="1"/>
  <c r="C538" i="1"/>
  <c r="D538" i="1"/>
  <c r="E538" i="1"/>
  <c r="F538" i="1"/>
  <c r="G538" i="1"/>
  <c r="H538" i="1"/>
  <c r="I538" i="1"/>
  <c r="J538" i="1"/>
  <c r="K538" i="1"/>
  <c r="M538" i="1"/>
  <c r="O538" i="1"/>
  <c r="Q538" i="1"/>
  <c r="R538" i="1"/>
  <c r="W538" i="1"/>
  <c r="AA538" i="1"/>
  <c r="AB538" i="1"/>
  <c r="AE538" i="1"/>
  <c r="AF538" i="1"/>
  <c r="AM538" i="1"/>
  <c r="AN538" i="1"/>
  <c r="AO538" i="1"/>
  <c r="AQ538" i="1"/>
  <c r="AX538" i="1"/>
  <c r="BD538" i="1"/>
  <c r="B539" i="1"/>
  <c r="C539" i="1"/>
  <c r="E539" i="1"/>
  <c r="F539" i="1"/>
  <c r="G539" i="1"/>
  <c r="H539" i="1"/>
  <c r="I539" i="1"/>
  <c r="J539" i="1"/>
  <c r="K539" i="1"/>
  <c r="M539" i="1"/>
  <c r="O539" i="1"/>
  <c r="Q539" i="1"/>
  <c r="R539" i="1"/>
  <c r="W539" i="1"/>
  <c r="AA539" i="1"/>
  <c r="AB539" i="1"/>
  <c r="AE539" i="1"/>
  <c r="AF539" i="1"/>
  <c r="AM539" i="1"/>
  <c r="AN539" i="1"/>
  <c r="AO539" i="1"/>
  <c r="AQ539" i="1"/>
  <c r="AX539" i="1"/>
  <c r="BD539" i="1"/>
  <c r="B540" i="1"/>
  <c r="C540" i="1"/>
  <c r="E540" i="1"/>
  <c r="F540" i="1"/>
  <c r="G540" i="1"/>
  <c r="H540" i="1"/>
  <c r="I540" i="1"/>
  <c r="J540" i="1"/>
  <c r="K540" i="1"/>
  <c r="M540" i="1"/>
  <c r="O540" i="1"/>
  <c r="Q540" i="1"/>
  <c r="R540" i="1"/>
  <c r="W540" i="1"/>
  <c r="AA540" i="1"/>
  <c r="AM540" i="1"/>
  <c r="AN540" i="1"/>
  <c r="AO540" i="1"/>
  <c r="AQ540" i="1"/>
  <c r="BB540" i="1"/>
  <c r="BD540" i="1"/>
  <c r="B541" i="1"/>
  <c r="C541" i="1"/>
  <c r="D541" i="1"/>
  <c r="E541" i="1"/>
  <c r="F541" i="1"/>
  <c r="G541" i="1"/>
  <c r="H541" i="1"/>
  <c r="I541" i="1"/>
  <c r="J541" i="1"/>
  <c r="K541" i="1"/>
  <c r="M541" i="1"/>
  <c r="O541" i="1"/>
  <c r="Q541" i="1"/>
  <c r="R541" i="1"/>
  <c r="W541" i="1"/>
  <c r="AA541" i="1"/>
  <c r="AB541" i="1"/>
  <c r="AE541" i="1"/>
  <c r="AF541" i="1"/>
  <c r="AM541" i="1"/>
  <c r="AN541" i="1"/>
  <c r="AO541" i="1"/>
  <c r="AQ541" i="1"/>
  <c r="AX541" i="1"/>
  <c r="BD541" i="1"/>
  <c r="B542" i="1"/>
  <c r="C542" i="1"/>
  <c r="D542" i="1"/>
  <c r="E542" i="1"/>
  <c r="F542" i="1"/>
  <c r="G542" i="1"/>
  <c r="H542" i="1"/>
  <c r="I542" i="1"/>
  <c r="J542" i="1"/>
  <c r="K542" i="1"/>
  <c r="M542" i="1"/>
  <c r="O542" i="1"/>
  <c r="Q542" i="1"/>
  <c r="R542" i="1"/>
  <c r="W542" i="1"/>
  <c r="AA542" i="1"/>
  <c r="AB542" i="1"/>
  <c r="AE542" i="1"/>
  <c r="AF542" i="1"/>
  <c r="AM542" i="1"/>
  <c r="AN542" i="1"/>
  <c r="AO542" i="1"/>
  <c r="AQ542" i="1"/>
  <c r="AX542" i="1"/>
  <c r="BD542" i="1"/>
  <c r="B543" i="1"/>
  <c r="C543" i="1"/>
  <c r="D543" i="1"/>
  <c r="E543" i="1"/>
  <c r="F543" i="1"/>
  <c r="G543" i="1"/>
  <c r="H543" i="1"/>
  <c r="I543" i="1"/>
  <c r="J543" i="1"/>
  <c r="K543" i="1"/>
  <c r="M543" i="1"/>
  <c r="O543" i="1"/>
  <c r="Q543" i="1"/>
  <c r="R543" i="1"/>
  <c r="W543" i="1"/>
  <c r="AA543" i="1"/>
  <c r="AB543" i="1"/>
  <c r="AE543" i="1"/>
  <c r="AF543" i="1"/>
  <c r="AM543" i="1"/>
  <c r="AN543" i="1"/>
  <c r="AO543" i="1"/>
  <c r="AQ543" i="1"/>
  <c r="AX543" i="1"/>
  <c r="BD543" i="1"/>
  <c r="B544" i="1"/>
  <c r="C544" i="1"/>
  <c r="D544" i="1"/>
  <c r="E544" i="1"/>
  <c r="F544" i="1"/>
  <c r="G544" i="1"/>
  <c r="H544" i="1"/>
  <c r="I544" i="1"/>
  <c r="J544" i="1"/>
  <c r="K544" i="1"/>
  <c r="M544" i="1"/>
  <c r="O544" i="1"/>
  <c r="Q544" i="1"/>
  <c r="R544" i="1"/>
  <c r="W544" i="1"/>
  <c r="AA544" i="1"/>
  <c r="AB544" i="1"/>
  <c r="AE544" i="1"/>
  <c r="AF544" i="1"/>
  <c r="AM544" i="1"/>
  <c r="AN544" i="1"/>
  <c r="AO544" i="1"/>
  <c r="AQ544" i="1"/>
  <c r="AX544" i="1"/>
  <c r="BD544" i="1"/>
  <c r="B545" i="1"/>
  <c r="C545" i="1"/>
  <c r="D545" i="1"/>
  <c r="E545" i="1"/>
  <c r="F545" i="1"/>
  <c r="G545" i="1"/>
  <c r="H545" i="1"/>
  <c r="I545" i="1"/>
  <c r="J545" i="1"/>
  <c r="K545" i="1"/>
  <c r="M545" i="1"/>
  <c r="O545" i="1"/>
  <c r="Q545" i="1"/>
  <c r="R545" i="1"/>
  <c r="W545" i="1"/>
  <c r="AA545" i="1"/>
  <c r="AB545" i="1"/>
  <c r="AE545" i="1"/>
  <c r="AF545" i="1"/>
  <c r="AM545" i="1"/>
  <c r="AN545" i="1"/>
  <c r="AO545" i="1"/>
  <c r="AQ545" i="1"/>
  <c r="AX545" i="1"/>
  <c r="BD545" i="1"/>
  <c r="B546" i="1"/>
  <c r="C546" i="1"/>
  <c r="D546" i="1"/>
  <c r="E546" i="1"/>
  <c r="F546" i="1"/>
  <c r="G546" i="1"/>
  <c r="H546" i="1"/>
  <c r="I546" i="1"/>
  <c r="J546" i="1"/>
  <c r="K546" i="1"/>
  <c r="M546" i="1"/>
  <c r="O546" i="1"/>
  <c r="Q546" i="1"/>
  <c r="R546" i="1"/>
  <c r="W546" i="1"/>
  <c r="AA546" i="1"/>
  <c r="AB546" i="1"/>
  <c r="AE546" i="1"/>
  <c r="AF546" i="1"/>
  <c r="AM546" i="1"/>
  <c r="AN546" i="1"/>
  <c r="AO546" i="1"/>
  <c r="AQ546" i="1"/>
  <c r="AX546" i="1"/>
  <c r="BD546" i="1"/>
  <c r="B547" i="1"/>
  <c r="C547" i="1"/>
  <c r="D547" i="1"/>
  <c r="E547" i="1"/>
  <c r="F547" i="1"/>
  <c r="G547" i="1"/>
  <c r="H547" i="1"/>
  <c r="I547" i="1"/>
  <c r="J547" i="1"/>
  <c r="K547" i="1"/>
  <c r="M547" i="1"/>
  <c r="O547" i="1"/>
  <c r="Q547" i="1"/>
  <c r="R547" i="1"/>
  <c r="W547" i="1"/>
  <c r="AA547" i="1"/>
  <c r="AB547" i="1"/>
  <c r="AE547" i="1"/>
  <c r="AF547" i="1"/>
  <c r="AM547" i="1"/>
  <c r="AN547" i="1"/>
  <c r="AO547" i="1"/>
  <c r="AQ547" i="1"/>
  <c r="AX547" i="1"/>
  <c r="BD547" i="1"/>
  <c r="B548" i="1"/>
  <c r="C548" i="1"/>
  <c r="E548" i="1"/>
  <c r="F548" i="1"/>
  <c r="G548" i="1"/>
  <c r="H548" i="1"/>
  <c r="I548" i="1"/>
  <c r="J548" i="1"/>
  <c r="K548" i="1"/>
  <c r="M548" i="1"/>
  <c r="O548" i="1"/>
  <c r="Q548" i="1"/>
  <c r="R548" i="1"/>
  <c r="W548" i="1"/>
  <c r="AA548" i="1"/>
  <c r="AM548" i="1"/>
  <c r="AN548" i="1"/>
  <c r="AO548" i="1"/>
  <c r="AQ548" i="1"/>
  <c r="BB548" i="1"/>
  <c r="BD548" i="1"/>
  <c r="B549" i="1"/>
  <c r="C549" i="1"/>
  <c r="E549" i="1"/>
  <c r="F549" i="1"/>
  <c r="G549" i="1"/>
  <c r="H549" i="1"/>
  <c r="I549" i="1"/>
  <c r="J549" i="1"/>
  <c r="K549" i="1"/>
  <c r="M549" i="1"/>
  <c r="O549" i="1"/>
  <c r="Q549" i="1"/>
  <c r="R549" i="1"/>
  <c r="W549" i="1"/>
  <c r="AA549" i="1"/>
  <c r="AM549" i="1"/>
  <c r="AN549" i="1"/>
  <c r="AO549" i="1"/>
  <c r="AQ549" i="1"/>
  <c r="BB549" i="1"/>
  <c r="BD549" i="1"/>
  <c r="B550" i="1"/>
  <c r="C550" i="1"/>
  <c r="E550" i="1"/>
  <c r="F550" i="1"/>
  <c r="G550" i="1"/>
  <c r="H550" i="1"/>
  <c r="I550" i="1"/>
  <c r="J550" i="1"/>
  <c r="K550" i="1"/>
  <c r="M550" i="1"/>
  <c r="O550" i="1"/>
  <c r="Q550" i="1"/>
  <c r="R550" i="1"/>
  <c r="W550" i="1"/>
  <c r="AA550" i="1"/>
  <c r="AM550" i="1"/>
  <c r="AN550" i="1"/>
  <c r="AO550" i="1"/>
  <c r="AQ550" i="1"/>
  <c r="BB550" i="1"/>
  <c r="BD550" i="1"/>
  <c r="B551" i="1"/>
  <c r="E551" i="1"/>
  <c r="F551" i="1"/>
  <c r="G551" i="1"/>
  <c r="H551" i="1"/>
  <c r="I551" i="1"/>
  <c r="J551" i="1"/>
  <c r="K551" i="1"/>
  <c r="M551" i="1"/>
  <c r="O551" i="1"/>
  <c r="Q551" i="1"/>
  <c r="R551" i="1"/>
  <c r="W551" i="1"/>
  <c r="AA551" i="1"/>
  <c r="AB551" i="1"/>
  <c r="AM551" i="1"/>
  <c r="AN551" i="1"/>
  <c r="AO551" i="1"/>
  <c r="AQ551" i="1"/>
  <c r="AX551" i="1"/>
  <c r="BD551" i="1"/>
  <c r="B552" i="1"/>
  <c r="E552" i="1"/>
  <c r="F552" i="1"/>
  <c r="G552" i="1"/>
  <c r="H552" i="1"/>
  <c r="I552" i="1"/>
  <c r="J552" i="1"/>
  <c r="K552" i="1"/>
  <c r="M552" i="1"/>
  <c r="O552" i="1"/>
  <c r="Q552" i="1"/>
  <c r="R552" i="1"/>
  <c r="W552" i="1"/>
  <c r="AA552" i="1"/>
  <c r="AB552" i="1"/>
  <c r="AE552" i="1"/>
  <c r="AF552" i="1"/>
  <c r="AM552" i="1"/>
  <c r="AN552" i="1"/>
  <c r="AO552" i="1"/>
  <c r="AQ552" i="1"/>
  <c r="AX552" i="1"/>
  <c r="BD552" i="1"/>
  <c r="B553" i="1"/>
  <c r="E553" i="1"/>
  <c r="F553" i="1"/>
  <c r="G553" i="1"/>
  <c r="H553" i="1"/>
  <c r="I553" i="1"/>
  <c r="J553" i="1"/>
  <c r="K553" i="1"/>
  <c r="M553" i="1"/>
  <c r="O553" i="1"/>
  <c r="Q553" i="1"/>
  <c r="R553" i="1"/>
  <c r="W553" i="1"/>
  <c r="AA553" i="1"/>
  <c r="AB553" i="1"/>
  <c r="AM553" i="1"/>
  <c r="AN553" i="1"/>
  <c r="AO553" i="1"/>
  <c r="AQ553" i="1"/>
  <c r="AX553" i="1"/>
  <c r="BD553" i="1"/>
  <c r="B554" i="1"/>
  <c r="E554" i="1"/>
  <c r="F554" i="1"/>
  <c r="G554" i="1"/>
  <c r="H554" i="1"/>
  <c r="I554" i="1"/>
  <c r="J554" i="1"/>
  <c r="K554" i="1"/>
  <c r="M554" i="1"/>
  <c r="O554" i="1"/>
  <c r="Q554" i="1"/>
  <c r="R554" i="1"/>
  <c r="W554" i="1"/>
  <c r="AA554" i="1"/>
  <c r="AB554" i="1"/>
  <c r="AM554" i="1"/>
  <c r="AN554" i="1"/>
  <c r="AO554" i="1"/>
  <c r="AQ554" i="1"/>
  <c r="AX554" i="1"/>
  <c r="BD554" i="1"/>
  <c r="B555" i="1"/>
  <c r="E555" i="1"/>
  <c r="F555" i="1"/>
  <c r="G555" i="1"/>
  <c r="H555" i="1"/>
  <c r="I555" i="1"/>
  <c r="J555" i="1"/>
  <c r="K555" i="1"/>
  <c r="M555" i="1"/>
  <c r="O555" i="1"/>
  <c r="Q555" i="1"/>
  <c r="R555" i="1"/>
  <c r="W555" i="1"/>
  <c r="AA555" i="1"/>
  <c r="AB555" i="1"/>
  <c r="AE555" i="1"/>
  <c r="AF555" i="1"/>
  <c r="AM555" i="1"/>
  <c r="AN555" i="1"/>
  <c r="AO555" i="1"/>
  <c r="AQ555" i="1"/>
  <c r="AX555" i="1"/>
  <c r="BD555" i="1"/>
  <c r="B556" i="1"/>
  <c r="E556" i="1"/>
  <c r="F556" i="1"/>
  <c r="G556" i="1"/>
  <c r="H556" i="1"/>
  <c r="I556" i="1"/>
  <c r="J556" i="1"/>
  <c r="K556" i="1"/>
  <c r="M556" i="1"/>
  <c r="O556" i="1"/>
  <c r="Q556" i="1"/>
  <c r="R556" i="1"/>
  <c r="W556" i="1"/>
  <c r="AA556" i="1"/>
  <c r="AM556" i="1"/>
  <c r="AN556" i="1"/>
  <c r="AO556" i="1"/>
  <c r="AQ556" i="1"/>
  <c r="BB556" i="1"/>
  <c r="BD556" i="1"/>
  <c r="B557" i="1"/>
  <c r="E557" i="1"/>
  <c r="F557" i="1"/>
  <c r="G557" i="1"/>
  <c r="H557" i="1"/>
  <c r="I557" i="1"/>
  <c r="J557" i="1"/>
  <c r="K557" i="1"/>
  <c r="M557" i="1"/>
  <c r="O557" i="1"/>
  <c r="Q557" i="1"/>
  <c r="R557" i="1"/>
  <c r="W557" i="1"/>
  <c r="AA557" i="1"/>
  <c r="AM557" i="1"/>
  <c r="AN557" i="1"/>
  <c r="AO557" i="1"/>
  <c r="AQ557" i="1"/>
  <c r="BB557" i="1"/>
  <c r="BD557" i="1"/>
  <c r="B558" i="1"/>
  <c r="E558" i="1"/>
  <c r="F558" i="1"/>
  <c r="G558" i="1"/>
  <c r="H558" i="1"/>
  <c r="I558" i="1"/>
  <c r="J558" i="1"/>
  <c r="K558" i="1"/>
  <c r="M558" i="1"/>
  <c r="O558" i="1"/>
  <c r="Q558" i="1"/>
  <c r="R558" i="1"/>
  <c r="W558" i="1"/>
  <c r="AA558" i="1"/>
  <c r="AB558" i="1"/>
  <c r="AM558" i="1"/>
  <c r="AN558" i="1"/>
  <c r="AO558" i="1"/>
  <c r="AQ558" i="1"/>
  <c r="AX558" i="1"/>
  <c r="BD558" i="1"/>
  <c r="B559" i="1"/>
  <c r="E559" i="1"/>
  <c r="F559" i="1"/>
  <c r="G559" i="1"/>
  <c r="H559" i="1"/>
  <c r="I559" i="1"/>
  <c r="J559" i="1"/>
  <c r="K559" i="1"/>
  <c r="M559" i="1"/>
  <c r="O559" i="1"/>
  <c r="Q559" i="1"/>
  <c r="R559" i="1"/>
  <c r="W559" i="1"/>
  <c r="AA559" i="1"/>
  <c r="AB559" i="1"/>
  <c r="AM559" i="1"/>
  <c r="AN559" i="1"/>
  <c r="AO559" i="1"/>
  <c r="AQ559" i="1"/>
  <c r="AX559" i="1"/>
  <c r="BD559" i="1"/>
  <c r="B560" i="1"/>
  <c r="E560" i="1"/>
  <c r="F560" i="1"/>
  <c r="G560" i="1"/>
  <c r="H560" i="1"/>
  <c r="I560" i="1"/>
  <c r="J560" i="1"/>
  <c r="K560" i="1"/>
  <c r="M560" i="1"/>
  <c r="O560" i="1"/>
  <c r="Q560" i="1"/>
  <c r="R560" i="1"/>
  <c r="W560" i="1"/>
  <c r="AA560" i="1"/>
  <c r="AB560" i="1"/>
  <c r="AM560" i="1"/>
  <c r="AN560" i="1"/>
  <c r="AO560" i="1"/>
  <c r="AQ560" i="1"/>
  <c r="AX560" i="1"/>
  <c r="BD560" i="1"/>
  <c r="B561" i="1"/>
  <c r="E561" i="1"/>
  <c r="F561" i="1"/>
  <c r="G561" i="1"/>
  <c r="H561" i="1"/>
  <c r="I561" i="1"/>
  <c r="J561" i="1"/>
  <c r="K561" i="1"/>
  <c r="M561" i="1"/>
  <c r="O561" i="1"/>
  <c r="Q561" i="1"/>
  <c r="R561" i="1"/>
  <c r="W561" i="1"/>
  <c r="AA561" i="1"/>
  <c r="AB561" i="1"/>
  <c r="AM561" i="1"/>
  <c r="AN561" i="1"/>
  <c r="AO561" i="1"/>
  <c r="AQ561" i="1"/>
  <c r="AX561" i="1"/>
  <c r="BD561" i="1"/>
  <c r="B562" i="1"/>
  <c r="E562" i="1"/>
  <c r="F562" i="1"/>
  <c r="G562" i="1"/>
  <c r="H562" i="1"/>
  <c r="I562" i="1"/>
  <c r="J562" i="1"/>
  <c r="K562" i="1"/>
  <c r="M562" i="1"/>
  <c r="O562" i="1"/>
  <c r="Q562" i="1"/>
  <c r="R562" i="1"/>
  <c r="W562" i="1"/>
  <c r="AA562" i="1"/>
  <c r="AM562" i="1"/>
  <c r="AN562" i="1"/>
  <c r="AO562" i="1"/>
  <c r="AQ562" i="1"/>
  <c r="BB562" i="1"/>
  <c r="BD562" i="1"/>
  <c r="B563" i="1"/>
  <c r="E563" i="1"/>
  <c r="F563" i="1"/>
  <c r="G563" i="1"/>
  <c r="H563" i="1"/>
  <c r="I563" i="1"/>
  <c r="J563" i="1"/>
  <c r="K563" i="1"/>
  <c r="M563" i="1"/>
  <c r="O563" i="1"/>
  <c r="Q563" i="1"/>
  <c r="R563" i="1"/>
  <c r="W563" i="1"/>
  <c r="AA563" i="1"/>
  <c r="AB563" i="1"/>
  <c r="AM563" i="1"/>
  <c r="AN563" i="1"/>
  <c r="AO563" i="1"/>
  <c r="AQ563" i="1"/>
  <c r="AX563" i="1"/>
  <c r="BD563" i="1"/>
  <c r="B564" i="1"/>
  <c r="E564" i="1"/>
  <c r="F564" i="1"/>
  <c r="G564" i="1"/>
  <c r="H564" i="1"/>
  <c r="I564" i="1"/>
  <c r="J564" i="1"/>
  <c r="K564" i="1"/>
  <c r="M564" i="1"/>
  <c r="O564" i="1"/>
  <c r="Q564" i="1"/>
  <c r="R564" i="1"/>
  <c r="W564" i="1"/>
  <c r="AA564" i="1"/>
  <c r="AM564" i="1"/>
  <c r="AN564" i="1"/>
  <c r="AO564" i="1"/>
  <c r="AQ564" i="1"/>
  <c r="BB564" i="1"/>
  <c r="BD564" i="1"/>
  <c r="B565" i="1"/>
  <c r="E565" i="1"/>
  <c r="F565" i="1"/>
  <c r="G565" i="1"/>
  <c r="H565" i="1"/>
  <c r="I565" i="1"/>
  <c r="J565" i="1"/>
  <c r="K565" i="1"/>
  <c r="M565" i="1"/>
  <c r="O565" i="1"/>
  <c r="Q565" i="1"/>
  <c r="R565" i="1"/>
  <c r="W565" i="1"/>
  <c r="AA565" i="1"/>
  <c r="AM565" i="1"/>
  <c r="AN565" i="1"/>
  <c r="AO565" i="1"/>
  <c r="AQ565" i="1"/>
  <c r="BB565" i="1"/>
  <c r="BD565" i="1"/>
  <c r="B566" i="1"/>
  <c r="E566" i="1"/>
  <c r="F566" i="1"/>
  <c r="G566" i="1"/>
  <c r="H566" i="1"/>
  <c r="I566" i="1"/>
  <c r="J566" i="1"/>
  <c r="K566" i="1"/>
  <c r="M566" i="1"/>
  <c r="O566" i="1"/>
  <c r="Q566" i="1"/>
  <c r="R566" i="1"/>
  <c r="W566" i="1"/>
  <c r="AA566" i="1"/>
  <c r="AM566" i="1"/>
  <c r="AN566" i="1"/>
  <c r="AO566" i="1"/>
  <c r="AQ566" i="1"/>
  <c r="BB566" i="1"/>
  <c r="BD566" i="1"/>
  <c r="B567" i="1"/>
  <c r="E567" i="1"/>
  <c r="F567" i="1"/>
  <c r="G567" i="1"/>
  <c r="H567" i="1"/>
  <c r="I567" i="1"/>
  <c r="J567" i="1"/>
  <c r="K567" i="1"/>
  <c r="M567" i="1"/>
  <c r="O567" i="1"/>
  <c r="Q567" i="1"/>
  <c r="R567" i="1"/>
  <c r="W567" i="1"/>
  <c r="AA567" i="1"/>
  <c r="AM567" i="1"/>
  <c r="AN567" i="1"/>
  <c r="AO567" i="1"/>
  <c r="AQ567" i="1"/>
  <c r="BB567" i="1"/>
  <c r="BD567" i="1"/>
  <c r="B568" i="1"/>
  <c r="E568" i="1"/>
  <c r="F568" i="1"/>
  <c r="G568" i="1"/>
  <c r="H568" i="1"/>
  <c r="I568" i="1"/>
  <c r="J568" i="1"/>
  <c r="K568" i="1"/>
  <c r="M568" i="1"/>
  <c r="O568" i="1"/>
  <c r="Q568" i="1"/>
  <c r="R568" i="1"/>
  <c r="W568" i="1"/>
  <c r="AA568" i="1"/>
  <c r="AM568" i="1"/>
  <c r="AN568" i="1"/>
  <c r="AO568" i="1"/>
  <c r="AQ568" i="1"/>
  <c r="BB568" i="1"/>
  <c r="BD568" i="1"/>
  <c r="B569" i="1"/>
  <c r="E569" i="1"/>
  <c r="F569" i="1"/>
  <c r="G569" i="1"/>
  <c r="H569" i="1"/>
  <c r="I569" i="1"/>
  <c r="J569" i="1"/>
  <c r="K569" i="1"/>
  <c r="M569" i="1"/>
  <c r="O569" i="1"/>
  <c r="Q569" i="1"/>
  <c r="R569" i="1"/>
  <c r="W569" i="1"/>
  <c r="AA569" i="1"/>
  <c r="AB569" i="1"/>
  <c r="AM569" i="1"/>
  <c r="AN569" i="1"/>
  <c r="AO569" i="1"/>
  <c r="AQ569" i="1"/>
  <c r="AX569" i="1"/>
  <c r="BD569" i="1"/>
  <c r="B570" i="1"/>
  <c r="E570" i="1"/>
  <c r="F570" i="1"/>
  <c r="G570" i="1"/>
  <c r="H570" i="1"/>
  <c r="I570" i="1"/>
  <c r="J570" i="1"/>
  <c r="K570" i="1"/>
  <c r="M570" i="1"/>
  <c r="O570" i="1"/>
  <c r="Q570" i="1"/>
  <c r="R570" i="1"/>
  <c r="W570" i="1"/>
  <c r="AA570" i="1"/>
  <c r="AM570" i="1"/>
  <c r="AN570" i="1"/>
  <c r="AO570" i="1"/>
  <c r="AQ570" i="1"/>
  <c r="BB570" i="1"/>
  <c r="BD570" i="1"/>
  <c r="B571" i="1"/>
  <c r="E571" i="1"/>
  <c r="F571" i="1"/>
  <c r="G571" i="1"/>
  <c r="H571" i="1"/>
  <c r="I571" i="1"/>
  <c r="J571" i="1"/>
  <c r="K571" i="1"/>
  <c r="M571" i="1"/>
  <c r="O571" i="1"/>
  <c r="Q571" i="1"/>
  <c r="R571" i="1"/>
  <c r="W571" i="1"/>
  <c r="AA571" i="1"/>
  <c r="AM571" i="1"/>
  <c r="AN571" i="1"/>
  <c r="AO571" i="1"/>
  <c r="AQ571" i="1"/>
  <c r="BB571" i="1"/>
  <c r="BD571" i="1"/>
  <c r="B572" i="1"/>
  <c r="E572" i="1"/>
  <c r="F572" i="1"/>
  <c r="G572" i="1"/>
  <c r="H572" i="1"/>
  <c r="I572" i="1"/>
  <c r="J572" i="1"/>
  <c r="K572" i="1"/>
  <c r="M572" i="1"/>
  <c r="O572" i="1"/>
  <c r="Q572" i="1"/>
  <c r="R572" i="1"/>
  <c r="W572" i="1"/>
  <c r="AA572" i="1"/>
  <c r="AB572" i="1"/>
  <c r="AE572" i="1"/>
  <c r="AF572" i="1"/>
  <c r="AM572" i="1"/>
  <c r="AN572" i="1"/>
  <c r="AO572" i="1"/>
  <c r="AQ572" i="1"/>
  <c r="AX572" i="1"/>
  <c r="BD572" i="1"/>
  <c r="B573" i="1"/>
  <c r="E573" i="1"/>
  <c r="F573" i="1"/>
  <c r="G573" i="1"/>
  <c r="H573" i="1"/>
  <c r="I573" i="1"/>
  <c r="J573" i="1"/>
  <c r="K573" i="1"/>
  <c r="M573" i="1"/>
  <c r="O573" i="1"/>
  <c r="Q573" i="1"/>
  <c r="R573" i="1"/>
  <c r="W573" i="1"/>
  <c r="AA573" i="1"/>
  <c r="AB573" i="1"/>
  <c r="AE573" i="1"/>
  <c r="AF573" i="1"/>
  <c r="AM573" i="1"/>
  <c r="AN573" i="1"/>
  <c r="AO573" i="1"/>
  <c r="AQ573" i="1"/>
  <c r="AX573" i="1"/>
  <c r="BD573" i="1"/>
  <c r="B574" i="1"/>
  <c r="E574" i="1"/>
  <c r="F574" i="1"/>
  <c r="G574" i="1"/>
  <c r="H574" i="1"/>
  <c r="I574" i="1"/>
  <c r="J574" i="1"/>
  <c r="K574" i="1"/>
  <c r="M574" i="1"/>
  <c r="O574" i="1"/>
  <c r="Q574" i="1"/>
  <c r="R574" i="1"/>
  <c r="W574" i="1"/>
  <c r="AA574" i="1"/>
  <c r="AB574" i="1"/>
  <c r="AE574" i="1"/>
  <c r="AF574" i="1"/>
  <c r="AM574" i="1"/>
  <c r="AN574" i="1"/>
  <c r="AO574" i="1"/>
  <c r="AQ574" i="1"/>
  <c r="AX574" i="1"/>
  <c r="BD574" i="1"/>
  <c r="B575" i="1"/>
  <c r="E575" i="1"/>
  <c r="F575" i="1"/>
  <c r="G575" i="1"/>
  <c r="H575" i="1"/>
  <c r="I575" i="1"/>
  <c r="J575" i="1"/>
  <c r="K575" i="1"/>
  <c r="M575" i="1"/>
  <c r="O575" i="1"/>
  <c r="Q575" i="1"/>
  <c r="R575" i="1"/>
  <c r="W575" i="1"/>
  <c r="AA575" i="1"/>
  <c r="AB575" i="1"/>
  <c r="AE575" i="1"/>
  <c r="AF575" i="1"/>
  <c r="AM575" i="1"/>
  <c r="AN575" i="1"/>
  <c r="AO575" i="1"/>
  <c r="AQ575" i="1"/>
  <c r="AX575" i="1"/>
  <c r="BD575" i="1"/>
  <c r="B576" i="1"/>
  <c r="E576" i="1"/>
  <c r="F576" i="1"/>
  <c r="G576" i="1"/>
  <c r="H576" i="1"/>
  <c r="I576" i="1"/>
  <c r="J576" i="1"/>
  <c r="K576" i="1"/>
  <c r="M576" i="1"/>
  <c r="O576" i="1"/>
  <c r="Q576" i="1"/>
  <c r="R576" i="1"/>
  <c r="W576" i="1"/>
  <c r="AA576" i="1"/>
  <c r="AB576" i="1"/>
  <c r="AM576" i="1"/>
  <c r="AN576" i="1"/>
  <c r="AO576" i="1"/>
  <c r="AQ576" i="1"/>
  <c r="AX576" i="1"/>
  <c r="BD576" i="1"/>
  <c r="B577" i="1"/>
  <c r="E577" i="1"/>
  <c r="F577" i="1"/>
  <c r="G577" i="1"/>
  <c r="H577" i="1"/>
  <c r="I577" i="1"/>
  <c r="J577" i="1"/>
  <c r="K577" i="1"/>
  <c r="M577" i="1"/>
  <c r="O577" i="1"/>
  <c r="Q577" i="1"/>
  <c r="R577" i="1"/>
  <c r="W577" i="1"/>
  <c r="AA577" i="1"/>
  <c r="AB577" i="1"/>
  <c r="AE577" i="1"/>
  <c r="AF577" i="1"/>
  <c r="AM577" i="1"/>
  <c r="AN577" i="1"/>
  <c r="AO577" i="1"/>
  <c r="AQ577" i="1"/>
  <c r="AX577" i="1"/>
  <c r="BD577" i="1"/>
  <c r="B578" i="1"/>
  <c r="E578" i="1"/>
  <c r="F578" i="1"/>
  <c r="G578" i="1"/>
  <c r="H578" i="1"/>
  <c r="I578" i="1"/>
  <c r="J578" i="1"/>
  <c r="K578" i="1"/>
  <c r="M578" i="1"/>
  <c r="O578" i="1"/>
  <c r="Q578" i="1"/>
  <c r="R578" i="1"/>
  <c r="W578" i="1"/>
  <c r="AA578" i="1"/>
  <c r="AB578" i="1"/>
  <c r="AM578" i="1"/>
  <c r="AN578" i="1"/>
  <c r="AO578" i="1"/>
  <c r="AQ578" i="1"/>
  <c r="AX578" i="1"/>
  <c r="BD578" i="1"/>
  <c r="B579" i="1"/>
  <c r="E579" i="1"/>
  <c r="F579" i="1"/>
  <c r="G579" i="1"/>
  <c r="H579" i="1"/>
  <c r="I579" i="1"/>
  <c r="J579" i="1"/>
  <c r="K579" i="1"/>
  <c r="M579" i="1"/>
  <c r="O579" i="1"/>
  <c r="Q579" i="1"/>
  <c r="R579" i="1"/>
  <c r="W579" i="1"/>
  <c r="AA579" i="1"/>
  <c r="AM579" i="1"/>
  <c r="AN579" i="1"/>
  <c r="AO579" i="1"/>
  <c r="AP579" i="1"/>
  <c r="AQ579" i="1"/>
  <c r="BB579" i="1"/>
  <c r="BD579" i="1"/>
  <c r="B580" i="1"/>
  <c r="E580" i="1"/>
  <c r="F580" i="1"/>
  <c r="G580" i="1"/>
  <c r="H580" i="1"/>
  <c r="I580" i="1"/>
  <c r="J580" i="1"/>
  <c r="K580" i="1"/>
  <c r="M580" i="1"/>
  <c r="O580" i="1"/>
  <c r="Q580" i="1"/>
  <c r="R580" i="1"/>
  <c r="W580" i="1"/>
  <c r="AA580" i="1"/>
  <c r="AM580" i="1"/>
  <c r="AN580" i="1"/>
  <c r="AO580" i="1"/>
  <c r="AP580" i="1"/>
  <c r="AQ580" i="1"/>
  <c r="BB580" i="1"/>
  <c r="BD580" i="1"/>
  <c r="B581" i="1"/>
  <c r="C581" i="1"/>
  <c r="E581" i="1"/>
  <c r="F581" i="1"/>
  <c r="G581" i="1"/>
  <c r="H581" i="1"/>
  <c r="I581" i="1"/>
  <c r="J581" i="1"/>
  <c r="K581" i="1"/>
  <c r="M581" i="1"/>
  <c r="O581" i="1"/>
  <c r="Q581" i="1"/>
  <c r="R581" i="1"/>
  <c r="W581" i="1"/>
  <c r="AA581" i="1"/>
  <c r="AB581" i="1"/>
  <c r="AE581" i="1"/>
  <c r="AF581" i="1"/>
  <c r="AM581" i="1"/>
  <c r="AN581" i="1"/>
  <c r="AO581" i="1"/>
  <c r="AQ581" i="1"/>
  <c r="AX581" i="1"/>
  <c r="BD581" i="1"/>
  <c r="B582" i="1"/>
  <c r="C582" i="1"/>
  <c r="E582" i="1"/>
  <c r="F582" i="1"/>
  <c r="G582" i="1"/>
  <c r="H582" i="1"/>
  <c r="I582" i="1"/>
  <c r="J582" i="1"/>
  <c r="K582" i="1"/>
  <c r="M582" i="1"/>
  <c r="O582" i="1"/>
  <c r="Q582" i="1"/>
  <c r="R582" i="1"/>
  <c r="W582" i="1"/>
  <c r="AA582" i="1"/>
  <c r="AB582" i="1"/>
  <c r="AE582" i="1"/>
  <c r="AF582" i="1"/>
  <c r="AM582" i="1"/>
  <c r="AN582" i="1"/>
  <c r="AO582" i="1"/>
  <c r="AQ582" i="1"/>
  <c r="AX582" i="1"/>
  <c r="BD582" i="1"/>
  <c r="B583" i="1"/>
  <c r="C583" i="1"/>
  <c r="E583" i="1"/>
  <c r="F583" i="1"/>
  <c r="G583" i="1"/>
  <c r="H583" i="1"/>
  <c r="I583" i="1"/>
  <c r="J583" i="1"/>
  <c r="K583" i="1"/>
  <c r="M583" i="1"/>
  <c r="O583" i="1"/>
  <c r="Q583" i="1"/>
  <c r="R583" i="1"/>
  <c r="W583" i="1"/>
  <c r="AA583" i="1"/>
  <c r="AB583" i="1"/>
  <c r="AE583" i="1"/>
  <c r="AF583" i="1"/>
  <c r="AM583" i="1"/>
  <c r="AN583" i="1"/>
  <c r="AO583" i="1"/>
  <c r="AQ583" i="1"/>
  <c r="AX583" i="1"/>
  <c r="BD583" i="1"/>
  <c r="B584" i="1"/>
  <c r="C584" i="1"/>
  <c r="E584" i="1"/>
  <c r="F584" i="1"/>
  <c r="G584" i="1"/>
  <c r="H584" i="1"/>
  <c r="I584" i="1"/>
  <c r="J584" i="1"/>
  <c r="K584" i="1"/>
  <c r="M584" i="1"/>
  <c r="O584" i="1"/>
  <c r="Q584" i="1"/>
  <c r="R584" i="1"/>
  <c r="W584" i="1"/>
  <c r="AA584" i="1"/>
  <c r="AB584" i="1"/>
  <c r="AE584" i="1"/>
  <c r="AF584" i="1"/>
  <c r="AM584" i="1"/>
  <c r="AN584" i="1"/>
  <c r="AO584" i="1"/>
  <c r="AQ584" i="1"/>
  <c r="AX584" i="1"/>
  <c r="BD584" i="1"/>
  <c r="B585" i="1"/>
  <c r="C585" i="1"/>
  <c r="D585" i="1"/>
  <c r="E585" i="1"/>
  <c r="F585" i="1"/>
  <c r="G585" i="1"/>
  <c r="H585" i="1"/>
  <c r="I585" i="1"/>
  <c r="J585" i="1"/>
  <c r="K585" i="1"/>
  <c r="M585" i="1"/>
  <c r="O585" i="1"/>
  <c r="Q585" i="1"/>
  <c r="R585" i="1"/>
  <c r="W585" i="1"/>
  <c r="AA585" i="1"/>
  <c r="AB585" i="1"/>
  <c r="AE585" i="1"/>
  <c r="AF585" i="1"/>
  <c r="AM585" i="1"/>
  <c r="AN585" i="1"/>
  <c r="AO585" i="1"/>
  <c r="AQ585" i="1"/>
  <c r="AX585" i="1"/>
  <c r="BD585" i="1"/>
  <c r="B586" i="1"/>
  <c r="C586" i="1"/>
  <c r="D586" i="1"/>
  <c r="E586" i="1"/>
  <c r="F586" i="1"/>
  <c r="G586" i="1"/>
  <c r="H586" i="1"/>
  <c r="I586" i="1"/>
  <c r="J586" i="1"/>
  <c r="K586" i="1"/>
  <c r="M586" i="1"/>
  <c r="O586" i="1"/>
  <c r="Q586" i="1"/>
  <c r="R586" i="1"/>
  <c r="W586" i="1"/>
  <c r="AA586" i="1"/>
  <c r="AB586" i="1"/>
  <c r="AE586" i="1"/>
  <c r="AF586" i="1"/>
  <c r="AM586" i="1"/>
  <c r="AN586" i="1"/>
  <c r="AO586" i="1"/>
  <c r="AQ586" i="1"/>
  <c r="AX586" i="1"/>
  <c r="BD586" i="1"/>
  <c r="B587" i="1"/>
  <c r="C587" i="1"/>
  <c r="D587" i="1"/>
  <c r="E587" i="1"/>
  <c r="F587" i="1"/>
  <c r="G587" i="1"/>
  <c r="H587" i="1"/>
  <c r="I587" i="1"/>
  <c r="J587" i="1"/>
  <c r="K587" i="1"/>
  <c r="M587" i="1"/>
  <c r="O587" i="1"/>
  <c r="Q587" i="1"/>
  <c r="R587" i="1"/>
  <c r="W587" i="1"/>
  <c r="AA587" i="1"/>
  <c r="AB587" i="1"/>
  <c r="AE587" i="1"/>
  <c r="AF587" i="1"/>
  <c r="AM587" i="1"/>
  <c r="AN587" i="1"/>
  <c r="AO587" i="1"/>
  <c r="AQ587" i="1"/>
  <c r="AX587" i="1"/>
  <c r="BD587" i="1"/>
  <c r="B588" i="1"/>
  <c r="C588" i="1"/>
  <c r="E588" i="1"/>
  <c r="F588" i="1"/>
  <c r="G588" i="1"/>
  <c r="H588" i="1"/>
  <c r="I588" i="1"/>
  <c r="J588" i="1"/>
  <c r="K588" i="1"/>
  <c r="M588" i="1"/>
  <c r="O588" i="1"/>
  <c r="Q588" i="1"/>
  <c r="R588" i="1"/>
  <c r="W588" i="1"/>
  <c r="AA588" i="1"/>
  <c r="AB588" i="1"/>
  <c r="AE588" i="1"/>
  <c r="AF588" i="1"/>
  <c r="AM588" i="1"/>
  <c r="AN588" i="1"/>
  <c r="AO588" i="1"/>
  <c r="AQ588" i="1"/>
  <c r="AX588" i="1"/>
  <c r="BD588" i="1"/>
  <c r="B589" i="1"/>
  <c r="C589" i="1"/>
  <c r="E589" i="1"/>
  <c r="F589" i="1"/>
  <c r="G589" i="1"/>
  <c r="H589" i="1"/>
  <c r="I589" i="1"/>
  <c r="J589" i="1"/>
  <c r="K589" i="1"/>
  <c r="M589" i="1"/>
  <c r="O589" i="1"/>
  <c r="Q589" i="1"/>
  <c r="R589" i="1"/>
  <c r="W589" i="1"/>
  <c r="AA589" i="1"/>
  <c r="AB589" i="1"/>
  <c r="AE589" i="1"/>
  <c r="AF589" i="1"/>
  <c r="AM589" i="1"/>
  <c r="AN589" i="1"/>
  <c r="AO589" i="1"/>
  <c r="AQ589" i="1"/>
  <c r="AX589" i="1"/>
  <c r="BD589" i="1"/>
  <c r="B590" i="1"/>
  <c r="C590" i="1"/>
  <c r="E590" i="1"/>
  <c r="F590" i="1"/>
  <c r="G590" i="1"/>
  <c r="H590" i="1"/>
  <c r="I590" i="1"/>
  <c r="J590" i="1"/>
  <c r="K590" i="1"/>
  <c r="M590" i="1"/>
  <c r="O590" i="1"/>
  <c r="Q590" i="1"/>
  <c r="R590" i="1"/>
  <c r="W590" i="1"/>
  <c r="AA590" i="1"/>
  <c r="AB590" i="1"/>
  <c r="AE590" i="1"/>
  <c r="AF590" i="1"/>
  <c r="AM590" i="1"/>
  <c r="AN590" i="1"/>
  <c r="AO590" i="1"/>
  <c r="AQ590" i="1"/>
  <c r="AX590" i="1"/>
  <c r="BD590" i="1"/>
  <c r="B591" i="1"/>
  <c r="C591" i="1"/>
  <c r="E591" i="1"/>
  <c r="F591" i="1"/>
  <c r="G591" i="1"/>
  <c r="H591" i="1"/>
  <c r="I591" i="1"/>
  <c r="J591" i="1"/>
  <c r="K591" i="1"/>
  <c r="M591" i="1"/>
  <c r="O591" i="1"/>
  <c r="Q591" i="1"/>
  <c r="R591" i="1"/>
  <c r="W591" i="1"/>
  <c r="AA591" i="1"/>
  <c r="AB591" i="1"/>
  <c r="AE591" i="1"/>
  <c r="AF591" i="1"/>
  <c r="AM591" i="1"/>
  <c r="AN591" i="1"/>
  <c r="AO591" i="1"/>
  <c r="AQ591" i="1"/>
  <c r="AX591" i="1"/>
  <c r="BD591" i="1"/>
  <c r="B592" i="1"/>
  <c r="C592" i="1"/>
  <c r="E592" i="1"/>
  <c r="F592" i="1"/>
  <c r="G592" i="1"/>
  <c r="H592" i="1"/>
  <c r="I592" i="1"/>
  <c r="J592" i="1"/>
  <c r="K592" i="1"/>
  <c r="M592" i="1"/>
  <c r="O592" i="1"/>
  <c r="Q592" i="1"/>
  <c r="R592" i="1"/>
  <c r="W592" i="1"/>
  <c r="AA592" i="1"/>
  <c r="AB592" i="1"/>
  <c r="AE592" i="1"/>
  <c r="AF592" i="1"/>
  <c r="AM592" i="1"/>
  <c r="AN592" i="1"/>
  <c r="AO592" i="1"/>
  <c r="AQ592" i="1"/>
  <c r="AX592" i="1"/>
  <c r="BD592" i="1"/>
  <c r="B593" i="1"/>
  <c r="C593" i="1"/>
  <c r="E593" i="1"/>
  <c r="F593" i="1"/>
  <c r="G593" i="1"/>
  <c r="H593" i="1"/>
  <c r="I593" i="1"/>
  <c r="J593" i="1"/>
  <c r="K593" i="1"/>
  <c r="M593" i="1"/>
  <c r="O593" i="1"/>
  <c r="Q593" i="1"/>
  <c r="R593" i="1"/>
  <c r="W593" i="1"/>
  <c r="AA593" i="1"/>
  <c r="AB593" i="1"/>
  <c r="AE593" i="1"/>
  <c r="AF593" i="1"/>
  <c r="AM593" i="1"/>
  <c r="AN593" i="1"/>
  <c r="AO593" i="1"/>
  <c r="AQ593" i="1"/>
  <c r="AX593" i="1"/>
  <c r="BD593" i="1"/>
  <c r="B594" i="1"/>
  <c r="C594" i="1"/>
  <c r="E594" i="1"/>
  <c r="F594" i="1"/>
  <c r="G594" i="1"/>
  <c r="H594" i="1"/>
  <c r="I594" i="1"/>
  <c r="J594" i="1"/>
  <c r="K594" i="1"/>
  <c r="M594" i="1"/>
  <c r="O594" i="1"/>
  <c r="Q594" i="1"/>
  <c r="R594" i="1"/>
  <c r="W594" i="1"/>
  <c r="AA594" i="1"/>
  <c r="AB594" i="1"/>
  <c r="AE594" i="1"/>
  <c r="AF594" i="1"/>
  <c r="AM594" i="1"/>
  <c r="AN594" i="1"/>
  <c r="AO594" i="1"/>
  <c r="AQ594" i="1"/>
  <c r="AX594" i="1"/>
  <c r="BD594" i="1"/>
  <c r="B595" i="1"/>
  <c r="C595" i="1"/>
  <c r="E595" i="1"/>
  <c r="F595" i="1"/>
  <c r="G595" i="1"/>
  <c r="H595" i="1"/>
  <c r="I595" i="1"/>
  <c r="J595" i="1"/>
  <c r="K595" i="1"/>
  <c r="M595" i="1"/>
  <c r="O595" i="1"/>
  <c r="Q595" i="1"/>
  <c r="R595" i="1"/>
  <c r="W595" i="1"/>
  <c r="AA595" i="1"/>
  <c r="AB595" i="1"/>
  <c r="AE595" i="1"/>
  <c r="AF595" i="1"/>
  <c r="AM595" i="1"/>
  <c r="AN595" i="1"/>
  <c r="AO595" i="1"/>
  <c r="AQ595" i="1"/>
  <c r="AX595" i="1"/>
  <c r="BD595" i="1"/>
  <c r="B596" i="1"/>
  <c r="C596" i="1"/>
  <c r="E596" i="1"/>
  <c r="F596" i="1"/>
  <c r="G596" i="1"/>
  <c r="H596" i="1"/>
  <c r="I596" i="1"/>
  <c r="J596" i="1"/>
  <c r="K596" i="1"/>
  <c r="M596" i="1"/>
  <c r="O596" i="1"/>
  <c r="Q596" i="1"/>
  <c r="R596" i="1"/>
  <c r="W596" i="1"/>
  <c r="AA596" i="1"/>
  <c r="AB596" i="1"/>
  <c r="AE596" i="1"/>
  <c r="AF596" i="1"/>
  <c r="AM596" i="1"/>
  <c r="AN596" i="1"/>
  <c r="AO596" i="1"/>
  <c r="AQ596" i="1"/>
  <c r="AX596" i="1"/>
  <c r="BD596" i="1"/>
  <c r="B597" i="1"/>
  <c r="C597" i="1"/>
  <c r="E597" i="1"/>
  <c r="F597" i="1"/>
  <c r="G597" i="1"/>
  <c r="H597" i="1"/>
  <c r="I597" i="1"/>
  <c r="J597" i="1"/>
  <c r="K597" i="1"/>
  <c r="M597" i="1"/>
  <c r="O597" i="1"/>
  <c r="Q597" i="1"/>
  <c r="R597" i="1"/>
  <c r="W597" i="1"/>
  <c r="AA597" i="1"/>
  <c r="AB597" i="1"/>
  <c r="AE597" i="1"/>
  <c r="AF597" i="1"/>
  <c r="AM597" i="1"/>
  <c r="AN597" i="1"/>
  <c r="AO597" i="1"/>
  <c r="AQ597" i="1"/>
  <c r="AX597" i="1"/>
  <c r="BD597" i="1"/>
  <c r="B598" i="1"/>
  <c r="C598" i="1"/>
  <c r="E598" i="1"/>
  <c r="F598" i="1"/>
  <c r="G598" i="1"/>
  <c r="H598" i="1"/>
  <c r="I598" i="1"/>
  <c r="J598" i="1"/>
  <c r="K598" i="1"/>
  <c r="M598" i="1"/>
  <c r="O598" i="1"/>
  <c r="Q598" i="1"/>
  <c r="R598" i="1"/>
  <c r="W598" i="1"/>
  <c r="AA598" i="1"/>
  <c r="AB598" i="1"/>
  <c r="AE598" i="1"/>
  <c r="AF598" i="1"/>
  <c r="AM598" i="1"/>
  <c r="AN598" i="1"/>
  <c r="AO598" i="1"/>
  <c r="AQ598" i="1"/>
  <c r="AX598" i="1"/>
  <c r="BD598" i="1"/>
  <c r="B599" i="1"/>
  <c r="C599" i="1"/>
  <c r="E599" i="1"/>
  <c r="F599" i="1"/>
  <c r="G599" i="1"/>
  <c r="H599" i="1"/>
  <c r="I599" i="1"/>
  <c r="J599" i="1"/>
  <c r="K599" i="1"/>
  <c r="M599" i="1"/>
  <c r="O599" i="1"/>
  <c r="Q599" i="1"/>
  <c r="R599" i="1"/>
  <c r="W599" i="1"/>
  <c r="AA599" i="1"/>
  <c r="AB599" i="1"/>
  <c r="AE599" i="1"/>
  <c r="AF599" i="1"/>
  <c r="AM599" i="1"/>
  <c r="AN599" i="1"/>
  <c r="AO599" i="1"/>
  <c r="AQ599" i="1"/>
  <c r="AX599" i="1"/>
  <c r="BD599" i="1"/>
  <c r="B600" i="1"/>
  <c r="C600" i="1"/>
  <c r="E600" i="1"/>
  <c r="F600" i="1"/>
  <c r="G600" i="1"/>
  <c r="H600" i="1"/>
  <c r="I600" i="1"/>
  <c r="J600" i="1"/>
  <c r="K600" i="1"/>
  <c r="M600" i="1"/>
  <c r="O600" i="1"/>
  <c r="Q600" i="1"/>
  <c r="R600" i="1"/>
  <c r="W600" i="1"/>
  <c r="AA600" i="1"/>
  <c r="AB600" i="1"/>
  <c r="AE600" i="1"/>
  <c r="AF600" i="1"/>
  <c r="AM600" i="1"/>
  <c r="AN600" i="1"/>
  <c r="AO600" i="1"/>
  <c r="AQ600" i="1"/>
  <c r="AX600" i="1"/>
  <c r="BD600" i="1"/>
  <c r="B601" i="1"/>
  <c r="C601" i="1"/>
  <c r="E601" i="1"/>
  <c r="F601" i="1"/>
  <c r="G601" i="1"/>
  <c r="H601" i="1"/>
  <c r="I601" i="1"/>
  <c r="J601" i="1"/>
  <c r="K601" i="1"/>
  <c r="M601" i="1"/>
  <c r="O601" i="1"/>
  <c r="Q601" i="1"/>
  <c r="R601" i="1"/>
  <c r="W601" i="1"/>
  <c r="AA601" i="1"/>
  <c r="AB601" i="1"/>
  <c r="AE601" i="1"/>
  <c r="AF601" i="1"/>
  <c r="AM601" i="1"/>
  <c r="AN601" i="1"/>
  <c r="AO601" i="1"/>
  <c r="AQ601" i="1"/>
  <c r="AX601" i="1"/>
  <c r="BD601" i="1"/>
  <c r="B602" i="1"/>
  <c r="C602" i="1"/>
  <c r="E602" i="1"/>
  <c r="F602" i="1"/>
  <c r="G602" i="1"/>
  <c r="H602" i="1"/>
  <c r="I602" i="1"/>
  <c r="J602" i="1"/>
  <c r="K602" i="1"/>
  <c r="M602" i="1"/>
  <c r="O602" i="1"/>
  <c r="Q602" i="1"/>
  <c r="R602" i="1"/>
  <c r="W602" i="1"/>
  <c r="AA602" i="1"/>
  <c r="AB602" i="1"/>
  <c r="AE602" i="1"/>
  <c r="AF602" i="1"/>
  <c r="AM602" i="1"/>
  <c r="AN602" i="1"/>
  <c r="AO602" i="1"/>
  <c r="AQ602" i="1"/>
  <c r="AX602" i="1"/>
  <c r="BD602" i="1"/>
  <c r="B603" i="1"/>
  <c r="C603" i="1"/>
  <c r="E603" i="1"/>
  <c r="F603" i="1"/>
  <c r="G603" i="1"/>
  <c r="H603" i="1"/>
  <c r="I603" i="1"/>
  <c r="J603" i="1"/>
  <c r="K603" i="1"/>
  <c r="M603" i="1"/>
  <c r="O603" i="1"/>
  <c r="Q603" i="1"/>
  <c r="R603" i="1"/>
  <c r="W603" i="1"/>
  <c r="AA603" i="1"/>
  <c r="AB603" i="1"/>
  <c r="AE603" i="1"/>
  <c r="AF603" i="1"/>
  <c r="AM603" i="1"/>
  <c r="AN603" i="1"/>
  <c r="AO603" i="1"/>
  <c r="AQ603" i="1"/>
  <c r="AX603" i="1"/>
  <c r="BD603" i="1"/>
  <c r="B604" i="1"/>
  <c r="C604" i="1"/>
  <c r="E604" i="1"/>
  <c r="F604" i="1"/>
  <c r="G604" i="1"/>
  <c r="H604" i="1"/>
  <c r="I604" i="1"/>
  <c r="J604" i="1"/>
  <c r="K604" i="1"/>
  <c r="M604" i="1"/>
  <c r="O604" i="1"/>
  <c r="Q604" i="1"/>
  <c r="R604" i="1"/>
  <c r="W604" i="1"/>
  <c r="AA604" i="1"/>
  <c r="AB604" i="1"/>
  <c r="AE604" i="1"/>
  <c r="AF604" i="1"/>
  <c r="AM604" i="1"/>
  <c r="AN604" i="1"/>
  <c r="AO604" i="1"/>
  <c r="AQ604" i="1"/>
  <c r="AX604" i="1"/>
  <c r="BD604" i="1"/>
  <c r="B605" i="1"/>
  <c r="C605" i="1"/>
  <c r="E605" i="1"/>
  <c r="F605" i="1"/>
  <c r="G605" i="1"/>
  <c r="H605" i="1"/>
  <c r="I605" i="1"/>
  <c r="J605" i="1"/>
  <c r="K605" i="1"/>
  <c r="M605" i="1"/>
  <c r="O605" i="1"/>
  <c r="Q605" i="1"/>
  <c r="R605" i="1"/>
  <c r="W605" i="1"/>
  <c r="AA605" i="1"/>
  <c r="AB605" i="1"/>
  <c r="AE605" i="1"/>
  <c r="AF605" i="1"/>
  <c r="AM605" i="1"/>
  <c r="AN605" i="1"/>
  <c r="AO605" i="1"/>
  <c r="AQ605" i="1"/>
  <c r="AX605" i="1"/>
  <c r="BD605" i="1"/>
  <c r="B606" i="1"/>
  <c r="C606" i="1"/>
  <c r="E606" i="1"/>
  <c r="F606" i="1"/>
  <c r="G606" i="1"/>
  <c r="H606" i="1"/>
  <c r="I606" i="1"/>
  <c r="J606" i="1"/>
  <c r="K606" i="1"/>
  <c r="M606" i="1"/>
  <c r="O606" i="1"/>
  <c r="Q606" i="1"/>
  <c r="R606" i="1"/>
  <c r="W606" i="1"/>
  <c r="AA606" i="1"/>
  <c r="AB606" i="1"/>
  <c r="AE606" i="1"/>
  <c r="AF606" i="1"/>
  <c r="AM606" i="1"/>
  <c r="AN606" i="1"/>
  <c r="AO606" i="1"/>
  <c r="AQ606" i="1"/>
  <c r="AX606" i="1"/>
  <c r="BD606" i="1"/>
  <c r="B607" i="1"/>
  <c r="C607" i="1"/>
  <c r="E607" i="1"/>
  <c r="F607" i="1"/>
  <c r="G607" i="1"/>
  <c r="H607" i="1"/>
  <c r="I607" i="1"/>
  <c r="J607" i="1"/>
  <c r="K607" i="1"/>
  <c r="M607" i="1"/>
  <c r="O607" i="1"/>
  <c r="Q607" i="1"/>
  <c r="R607" i="1"/>
  <c r="W607" i="1"/>
  <c r="AA607" i="1"/>
  <c r="AB607" i="1"/>
  <c r="AE607" i="1"/>
  <c r="AF607" i="1"/>
  <c r="AM607" i="1"/>
  <c r="AN607" i="1"/>
  <c r="AO607" i="1"/>
  <c r="AQ607" i="1"/>
  <c r="AX607" i="1"/>
  <c r="BD607" i="1"/>
  <c r="B608" i="1"/>
  <c r="C608" i="1"/>
  <c r="E608" i="1"/>
  <c r="F608" i="1"/>
  <c r="G608" i="1"/>
  <c r="H608" i="1"/>
  <c r="I608" i="1"/>
  <c r="J608" i="1"/>
  <c r="K608" i="1"/>
  <c r="M608" i="1"/>
  <c r="O608" i="1"/>
  <c r="Q608" i="1"/>
  <c r="R608" i="1"/>
  <c r="W608" i="1"/>
  <c r="AA608" i="1"/>
  <c r="AB608" i="1"/>
  <c r="AE608" i="1"/>
  <c r="AF608" i="1"/>
  <c r="AM608" i="1"/>
  <c r="AN608" i="1"/>
  <c r="AO608" i="1"/>
  <c r="AQ608" i="1"/>
  <c r="AX608" i="1"/>
  <c r="BD608" i="1"/>
  <c r="B609" i="1"/>
  <c r="C609" i="1"/>
  <c r="D609" i="1"/>
  <c r="E609" i="1"/>
  <c r="F609" i="1"/>
  <c r="G609" i="1"/>
  <c r="H609" i="1"/>
  <c r="I609" i="1"/>
  <c r="J609" i="1"/>
  <c r="K609" i="1"/>
  <c r="M609" i="1"/>
  <c r="O609" i="1"/>
  <c r="Q609" i="1"/>
  <c r="R609" i="1"/>
  <c r="W609" i="1"/>
  <c r="AA609" i="1"/>
  <c r="AB609" i="1"/>
  <c r="AE609" i="1"/>
  <c r="AF609" i="1"/>
  <c r="AM609" i="1"/>
  <c r="AN609" i="1"/>
  <c r="AO609" i="1"/>
  <c r="AQ609" i="1"/>
  <c r="AX609" i="1"/>
  <c r="BD609" i="1"/>
  <c r="B610" i="1"/>
  <c r="C610" i="1"/>
  <c r="D610" i="1"/>
  <c r="E610" i="1"/>
  <c r="F610" i="1"/>
  <c r="G610" i="1"/>
  <c r="H610" i="1"/>
  <c r="I610" i="1"/>
  <c r="J610" i="1"/>
  <c r="K610" i="1"/>
  <c r="M610" i="1"/>
  <c r="O610" i="1"/>
  <c r="Q610" i="1"/>
  <c r="R610" i="1"/>
  <c r="W610" i="1"/>
  <c r="AA610" i="1"/>
  <c r="AB610" i="1"/>
  <c r="AE610" i="1"/>
  <c r="AF610" i="1"/>
  <c r="AM610" i="1"/>
  <c r="AN610" i="1"/>
  <c r="AO610" i="1"/>
  <c r="AQ610" i="1"/>
  <c r="AX610" i="1"/>
  <c r="BD610" i="1"/>
  <c r="B611" i="1"/>
  <c r="C611" i="1"/>
  <c r="D611" i="1"/>
  <c r="E611" i="1"/>
  <c r="F611" i="1"/>
  <c r="G611" i="1"/>
  <c r="H611" i="1"/>
  <c r="I611" i="1"/>
  <c r="J611" i="1"/>
  <c r="K611" i="1"/>
  <c r="M611" i="1"/>
  <c r="O611" i="1"/>
  <c r="Q611" i="1"/>
  <c r="R611" i="1"/>
  <c r="W611" i="1"/>
  <c r="AA611" i="1"/>
  <c r="AB611" i="1"/>
  <c r="AE611" i="1"/>
  <c r="AF611" i="1"/>
  <c r="AM611" i="1"/>
  <c r="AN611" i="1"/>
  <c r="AO611" i="1"/>
  <c r="AQ611" i="1"/>
  <c r="AX611" i="1"/>
  <c r="BD611" i="1"/>
  <c r="B612" i="1"/>
  <c r="C612" i="1"/>
  <c r="D612" i="1"/>
  <c r="E612" i="1"/>
  <c r="F612" i="1"/>
  <c r="G612" i="1"/>
  <c r="H612" i="1"/>
  <c r="I612" i="1"/>
  <c r="J612" i="1"/>
  <c r="K612" i="1"/>
  <c r="M612" i="1"/>
  <c r="O612" i="1"/>
  <c r="Q612" i="1"/>
  <c r="R612" i="1"/>
  <c r="W612" i="1"/>
  <c r="AA612" i="1"/>
  <c r="AB612" i="1"/>
  <c r="AE612" i="1"/>
  <c r="AF612" i="1"/>
  <c r="AM612" i="1"/>
  <c r="AN612" i="1"/>
  <c r="AO612" i="1"/>
  <c r="AQ612" i="1"/>
  <c r="AX612" i="1"/>
  <c r="BD612" i="1"/>
  <c r="B613" i="1"/>
  <c r="C613" i="1"/>
  <c r="E613" i="1"/>
  <c r="F613" i="1"/>
  <c r="G613" i="1"/>
  <c r="H613" i="1"/>
  <c r="I613" i="1"/>
  <c r="J613" i="1"/>
  <c r="K613" i="1"/>
  <c r="M613" i="1"/>
  <c r="O613" i="1"/>
  <c r="Q613" i="1"/>
  <c r="R613" i="1"/>
  <c r="W613" i="1"/>
  <c r="AA613" i="1"/>
  <c r="AB613" i="1"/>
  <c r="AE613" i="1"/>
  <c r="AF613" i="1"/>
  <c r="AM613" i="1"/>
  <c r="AN613" i="1"/>
  <c r="AO613" i="1"/>
  <c r="AQ613" i="1"/>
  <c r="AX613" i="1"/>
  <c r="BD613" i="1"/>
  <c r="B614" i="1"/>
  <c r="C614" i="1"/>
  <c r="E614" i="1"/>
  <c r="F614" i="1"/>
  <c r="G614" i="1"/>
  <c r="H614" i="1"/>
  <c r="I614" i="1"/>
  <c r="J614" i="1"/>
  <c r="K614" i="1"/>
  <c r="M614" i="1"/>
  <c r="O614" i="1"/>
  <c r="Q614" i="1"/>
  <c r="R614" i="1"/>
  <c r="W614" i="1"/>
  <c r="AA614" i="1"/>
  <c r="AB614" i="1"/>
  <c r="AE614" i="1"/>
  <c r="AF614" i="1"/>
  <c r="AM614" i="1"/>
  <c r="AN614" i="1"/>
  <c r="AO614" i="1"/>
  <c r="AQ614" i="1"/>
  <c r="AX614" i="1"/>
  <c r="BD614" i="1"/>
  <c r="B615" i="1"/>
  <c r="C615" i="1"/>
  <c r="E615" i="1"/>
  <c r="F615" i="1"/>
  <c r="G615" i="1"/>
  <c r="H615" i="1"/>
  <c r="I615" i="1"/>
  <c r="J615" i="1"/>
  <c r="K615" i="1"/>
  <c r="M615" i="1"/>
  <c r="O615" i="1"/>
  <c r="Q615" i="1"/>
  <c r="R615" i="1"/>
  <c r="W615" i="1"/>
  <c r="AA615" i="1"/>
  <c r="AB615" i="1"/>
  <c r="AE615" i="1"/>
  <c r="AF615" i="1"/>
  <c r="AM615" i="1"/>
  <c r="AN615" i="1"/>
  <c r="AO615" i="1"/>
  <c r="AQ615" i="1"/>
  <c r="AX615" i="1"/>
  <c r="BD615" i="1"/>
  <c r="B616" i="1"/>
  <c r="C616" i="1"/>
  <c r="E616" i="1"/>
  <c r="F616" i="1"/>
  <c r="G616" i="1"/>
  <c r="H616" i="1"/>
  <c r="I616" i="1"/>
  <c r="J616" i="1"/>
  <c r="K616" i="1"/>
  <c r="M616" i="1"/>
  <c r="O616" i="1"/>
  <c r="Q616" i="1"/>
  <c r="R616" i="1"/>
  <c r="W616" i="1"/>
  <c r="AA616" i="1"/>
  <c r="AB616" i="1"/>
  <c r="AE616" i="1"/>
  <c r="AF616" i="1"/>
  <c r="AM616" i="1"/>
  <c r="AN616" i="1"/>
  <c r="AO616" i="1"/>
  <c r="AQ616" i="1"/>
  <c r="AX616" i="1"/>
  <c r="BD616" i="1"/>
  <c r="B617" i="1"/>
  <c r="C617" i="1"/>
  <c r="E617" i="1"/>
  <c r="F617" i="1"/>
  <c r="G617" i="1"/>
  <c r="H617" i="1"/>
  <c r="I617" i="1"/>
  <c r="J617" i="1"/>
  <c r="K617" i="1"/>
  <c r="M617" i="1"/>
  <c r="O617" i="1"/>
  <c r="Q617" i="1"/>
  <c r="R617" i="1"/>
  <c r="W617" i="1"/>
  <c r="AA617" i="1"/>
  <c r="AB617" i="1"/>
  <c r="AE617" i="1"/>
  <c r="AF617" i="1"/>
  <c r="AM617" i="1"/>
  <c r="AN617" i="1"/>
  <c r="AO617" i="1"/>
  <c r="AQ617" i="1"/>
  <c r="AX617" i="1"/>
  <c r="BD617" i="1"/>
  <c r="B618" i="1"/>
  <c r="C618" i="1"/>
  <c r="E618" i="1"/>
  <c r="F618" i="1"/>
  <c r="G618" i="1"/>
  <c r="H618" i="1"/>
  <c r="I618" i="1"/>
  <c r="J618" i="1"/>
  <c r="K618" i="1"/>
  <c r="M618" i="1"/>
  <c r="O618" i="1"/>
  <c r="Q618" i="1"/>
  <c r="R618" i="1"/>
  <c r="W618" i="1"/>
  <c r="AA618" i="1"/>
  <c r="AB618" i="1"/>
  <c r="AE618" i="1"/>
  <c r="AF618" i="1"/>
  <c r="AM618" i="1"/>
  <c r="AN618" i="1"/>
  <c r="AO618" i="1"/>
  <c r="AQ618" i="1"/>
  <c r="AX618" i="1"/>
  <c r="BD618" i="1"/>
  <c r="B619" i="1"/>
  <c r="C619" i="1"/>
  <c r="E619" i="1"/>
  <c r="F619" i="1"/>
  <c r="G619" i="1"/>
  <c r="H619" i="1"/>
  <c r="I619" i="1"/>
  <c r="J619" i="1"/>
  <c r="K619" i="1"/>
  <c r="M619" i="1"/>
  <c r="O619" i="1"/>
  <c r="Q619" i="1"/>
  <c r="R619" i="1"/>
  <c r="W619" i="1"/>
  <c r="AA619" i="1"/>
  <c r="AB619" i="1"/>
  <c r="AE619" i="1"/>
  <c r="AF619" i="1"/>
  <c r="AM619" i="1"/>
  <c r="AN619" i="1"/>
  <c r="AO619" i="1"/>
  <c r="AQ619" i="1"/>
  <c r="AX619" i="1"/>
  <c r="BD619" i="1"/>
  <c r="B620" i="1"/>
  <c r="C620" i="1"/>
  <c r="E620" i="1"/>
  <c r="F620" i="1"/>
  <c r="G620" i="1"/>
  <c r="H620" i="1"/>
  <c r="I620" i="1"/>
  <c r="J620" i="1"/>
  <c r="K620" i="1"/>
  <c r="M620" i="1"/>
  <c r="O620" i="1"/>
  <c r="Q620" i="1"/>
  <c r="R620" i="1"/>
  <c r="W620" i="1"/>
  <c r="AA620" i="1"/>
  <c r="AB620" i="1"/>
  <c r="AE620" i="1"/>
  <c r="AF620" i="1"/>
  <c r="AM620" i="1"/>
  <c r="AN620" i="1"/>
  <c r="AO620" i="1"/>
  <c r="AQ620" i="1"/>
  <c r="AX620" i="1"/>
  <c r="BD620" i="1"/>
  <c r="B621" i="1"/>
  <c r="C621" i="1"/>
  <c r="D621" i="1"/>
  <c r="E621" i="1"/>
  <c r="F621" i="1"/>
  <c r="G621" i="1"/>
  <c r="H621" i="1"/>
  <c r="I621" i="1"/>
  <c r="J621" i="1"/>
  <c r="K621" i="1"/>
  <c r="M621" i="1"/>
  <c r="O621" i="1"/>
  <c r="Q621" i="1"/>
  <c r="R621" i="1"/>
  <c r="W621" i="1"/>
  <c r="AA621" i="1"/>
  <c r="AB621" i="1"/>
  <c r="AE621" i="1"/>
  <c r="AF621" i="1"/>
  <c r="AM621" i="1"/>
  <c r="AN621" i="1"/>
  <c r="AO621" i="1"/>
  <c r="AQ621" i="1"/>
  <c r="AX621" i="1"/>
  <c r="BD621" i="1"/>
  <c r="B622" i="1"/>
  <c r="C622" i="1"/>
  <c r="E622" i="1"/>
  <c r="F622" i="1"/>
  <c r="G622" i="1"/>
  <c r="H622" i="1"/>
  <c r="I622" i="1"/>
  <c r="J622" i="1"/>
  <c r="K622" i="1"/>
  <c r="M622" i="1"/>
  <c r="O622" i="1"/>
  <c r="Q622" i="1"/>
  <c r="R622" i="1"/>
  <c r="W622" i="1"/>
  <c r="AA622" i="1"/>
  <c r="AB622" i="1"/>
  <c r="AE622" i="1"/>
  <c r="AF622" i="1"/>
  <c r="AM622" i="1"/>
  <c r="AN622" i="1"/>
  <c r="AO622" i="1"/>
  <c r="AQ622" i="1"/>
  <c r="AX622" i="1"/>
  <c r="BD622" i="1"/>
  <c r="B623" i="1"/>
  <c r="E623" i="1"/>
  <c r="F623" i="1"/>
  <c r="G623" i="1"/>
  <c r="H623" i="1"/>
  <c r="I623" i="1"/>
  <c r="J623" i="1"/>
  <c r="K623" i="1"/>
  <c r="M623" i="1"/>
  <c r="O623" i="1"/>
  <c r="Q623" i="1"/>
  <c r="R623" i="1"/>
  <c r="W623" i="1"/>
  <c r="AA623" i="1"/>
  <c r="AM623" i="1"/>
  <c r="AN623" i="1"/>
  <c r="AO623" i="1"/>
  <c r="AP623" i="1"/>
  <c r="AQ623" i="1"/>
  <c r="BD623" i="1"/>
  <c r="B624" i="1"/>
  <c r="E624" i="1"/>
  <c r="F624" i="1"/>
  <c r="G624" i="1"/>
  <c r="H624" i="1"/>
  <c r="I624" i="1"/>
  <c r="J624" i="1"/>
  <c r="K624" i="1"/>
  <c r="M624" i="1"/>
  <c r="O624" i="1"/>
  <c r="Q624" i="1"/>
  <c r="R624" i="1"/>
  <c r="W624" i="1"/>
  <c r="AA624" i="1"/>
  <c r="AM624" i="1"/>
  <c r="AN624" i="1"/>
  <c r="AO624" i="1"/>
  <c r="AP624" i="1"/>
  <c r="AQ624" i="1"/>
  <c r="BD624" i="1"/>
  <c r="B625" i="1"/>
  <c r="E625" i="1"/>
  <c r="F625" i="1"/>
  <c r="G625" i="1"/>
  <c r="H625" i="1"/>
  <c r="I625" i="1"/>
  <c r="J625" i="1"/>
  <c r="K625" i="1"/>
  <c r="M625" i="1"/>
  <c r="O625" i="1"/>
  <c r="Q625" i="1"/>
  <c r="R625" i="1"/>
  <c r="W625" i="1"/>
  <c r="AA625" i="1"/>
  <c r="AB625" i="1"/>
  <c r="AM625" i="1"/>
  <c r="AN625" i="1"/>
  <c r="AO625" i="1"/>
  <c r="AQ625" i="1"/>
  <c r="AX625" i="1"/>
  <c r="BD625" i="1"/>
  <c r="B626" i="1"/>
  <c r="E626" i="1"/>
  <c r="F626" i="1"/>
  <c r="G626" i="1"/>
  <c r="H626" i="1"/>
  <c r="I626" i="1"/>
  <c r="J626" i="1"/>
  <c r="K626" i="1"/>
  <c r="M626" i="1"/>
  <c r="O626" i="1"/>
  <c r="Q626" i="1"/>
  <c r="R626" i="1"/>
  <c r="W626" i="1"/>
  <c r="AA626" i="1"/>
  <c r="AB626" i="1"/>
  <c r="AM626" i="1"/>
  <c r="AN626" i="1"/>
  <c r="AO626" i="1"/>
  <c r="AQ626" i="1"/>
  <c r="AX626" i="1"/>
  <c r="BD626" i="1"/>
  <c r="B627" i="1"/>
  <c r="E627" i="1"/>
  <c r="F627" i="1"/>
  <c r="G627" i="1"/>
  <c r="H627" i="1"/>
  <c r="I627" i="1"/>
  <c r="J627" i="1"/>
  <c r="K627" i="1"/>
  <c r="M627" i="1"/>
  <c r="O627" i="1"/>
  <c r="Q627" i="1"/>
  <c r="R627" i="1"/>
  <c r="W627" i="1"/>
  <c r="AA627" i="1"/>
  <c r="AM627" i="1"/>
  <c r="AN627" i="1"/>
  <c r="AO627" i="1"/>
  <c r="AQ627" i="1"/>
  <c r="BB627" i="1"/>
  <c r="BD627" i="1"/>
  <c r="B628" i="1"/>
  <c r="E628" i="1"/>
  <c r="F628" i="1"/>
  <c r="G628" i="1"/>
  <c r="H628" i="1"/>
  <c r="I628" i="1"/>
  <c r="J628" i="1"/>
  <c r="K628" i="1"/>
  <c r="M628" i="1"/>
  <c r="O628" i="1"/>
  <c r="Q628" i="1"/>
  <c r="R628" i="1"/>
  <c r="W628" i="1"/>
  <c r="AA628" i="1"/>
  <c r="AM628" i="1"/>
  <c r="AN628" i="1"/>
  <c r="AO628" i="1"/>
  <c r="AQ628" i="1"/>
  <c r="BB628" i="1"/>
  <c r="BD628" i="1"/>
  <c r="B629" i="1"/>
  <c r="C629" i="1"/>
  <c r="E629" i="1"/>
  <c r="F629" i="1"/>
  <c r="G629" i="1"/>
  <c r="H629" i="1"/>
  <c r="I629" i="1"/>
  <c r="J629" i="1"/>
  <c r="K629" i="1"/>
  <c r="M629" i="1"/>
  <c r="O629" i="1"/>
  <c r="Q629" i="1"/>
  <c r="R629" i="1"/>
  <c r="W629" i="1"/>
  <c r="AA629" i="1"/>
  <c r="AB629" i="1"/>
  <c r="AE629" i="1"/>
  <c r="AF629" i="1"/>
  <c r="AM629" i="1"/>
  <c r="AN629" i="1"/>
  <c r="AO629" i="1"/>
  <c r="AQ629" i="1"/>
  <c r="AX629" i="1"/>
  <c r="BD629" i="1"/>
  <c r="B630" i="1"/>
  <c r="C630" i="1"/>
  <c r="E630" i="1"/>
  <c r="F630" i="1"/>
  <c r="G630" i="1"/>
  <c r="H630" i="1"/>
  <c r="I630" i="1"/>
  <c r="J630" i="1"/>
  <c r="K630" i="1"/>
  <c r="M630" i="1"/>
  <c r="O630" i="1"/>
  <c r="Q630" i="1"/>
  <c r="R630" i="1"/>
  <c r="W630" i="1"/>
  <c r="AA630" i="1"/>
  <c r="AB630" i="1"/>
  <c r="AE630" i="1"/>
  <c r="AF630" i="1"/>
  <c r="AM630" i="1"/>
  <c r="AN630" i="1"/>
  <c r="AO630" i="1"/>
  <c r="AQ630" i="1"/>
  <c r="AX630" i="1"/>
  <c r="BD630" i="1"/>
  <c r="B631" i="1"/>
  <c r="C631" i="1"/>
  <c r="E631" i="1"/>
  <c r="F631" i="1"/>
  <c r="G631" i="1"/>
  <c r="H631" i="1"/>
  <c r="I631" i="1"/>
  <c r="J631" i="1"/>
  <c r="K631" i="1"/>
  <c r="M631" i="1"/>
  <c r="O631" i="1"/>
  <c r="Q631" i="1"/>
  <c r="R631" i="1"/>
  <c r="W631" i="1"/>
  <c r="AA631" i="1"/>
  <c r="AB631" i="1"/>
  <c r="AE631" i="1"/>
  <c r="AF631" i="1"/>
  <c r="AM631" i="1"/>
  <c r="AN631" i="1"/>
  <c r="AO631" i="1"/>
  <c r="AQ631" i="1"/>
  <c r="AX631" i="1"/>
  <c r="BD631" i="1"/>
  <c r="B632" i="1"/>
  <c r="C632" i="1"/>
  <c r="E632" i="1"/>
  <c r="F632" i="1"/>
  <c r="G632" i="1"/>
  <c r="H632" i="1"/>
  <c r="I632" i="1"/>
  <c r="J632" i="1"/>
  <c r="K632" i="1"/>
  <c r="M632" i="1"/>
  <c r="O632" i="1"/>
  <c r="Q632" i="1"/>
  <c r="R632" i="1"/>
  <c r="W632" i="1"/>
  <c r="AA632" i="1"/>
  <c r="AB632" i="1"/>
  <c r="AE632" i="1"/>
  <c r="AF632" i="1"/>
  <c r="AM632" i="1"/>
  <c r="AN632" i="1"/>
  <c r="AO632" i="1"/>
  <c r="AQ632" i="1"/>
  <c r="AX632" i="1"/>
  <c r="BD632" i="1"/>
  <c r="B633" i="1"/>
  <c r="C633" i="1"/>
  <c r="E633" i="1"/>
  <c r="F633" i="1"/>
  <c r="G633" i="1"/>
  <c r="H633" i="1"/>
  <c r="I633" i="1"/>
  <c r="J633" i="1"/>
  <c r="K633" i="1"/>
  <c r="M633" i="1"/>
  <c r="O633" i="1"/>
  <c r="Q633" i="1"/>
  <c r="R633" i="1"/>
  <c r="W633" i="1"/>
  <c r="AA633" i="1"/>
  <c r="AB633" i="1"/>
  <c r="AE633" i="1"/>
  <c r="AF633" i="1"/>
  <c r="AM633" i="1"/>
  <c r="AN633" i="1"/>
  <c r="AO633" i="1"/>
  <c r="AQ633" i="1"/>
  <c r="AX633" i="1"/>
  <c r="BD633" i="1"/>
  <c r="B634" i="1"/>
  <c r="C634" i="1"/>
  <c r="E634" i="1"/>
  <c r="F634" i="1"/>
  <c r="G634" i="1"/>
  <c r="H634" i="1"/>
  <c r="I634" i="1"/>
  <c r="J634" i="1"/>
  <c r="K634" i="1"/>
  <c r="M634" i="1"/>
  <c r="O634" i="1"/>
  <c r="Q634" i="1"/>
  <c r="R634" i="1"/>
  <c r="W634" i="1"/>
  <c r="AA634" i="1"/>
  <c r="AB634" i="1"/>
  <c r="AE634" i="1"/>
  <c r="AF634" i="1"/>
  <c r="AM634" i="1"/>
  <c r="AN634" i="1"/>
  <c r="AO634" i="1"/>
  <c r="AQ634" i="1"/>
  <c r="AX634" i="1"/>
  <c r="BD634" i="1"/>
  <c r="B635" i="1"/>
  <c r="C635" i="1"/>
  <c r="E635" i="1"/>
  <c r="F635" i="1"/>
  <c r="G635" i="1"/>
  <c r="H635" i="1"/>
  <c r="I635" i="1"/>
  <c r="J635" i="1"/>
  <c r="K635" i="1"/>
  <c r="M635" i="1"/>
  <c r="O635" i="1"/>
  <c r="Q635" i="1"/>
  <c r="R635" i="1"/>
  <c r="W635" i="1"/>
  <c r="AA635" i="1"/>
  <c r="AB635" i="1"/>
  <c r="AE635" i="1"/>
  <c r="AF635" i="1"/>
  <c r="AM635" i="1"/>
  <c r="AN635" i="1"/>
  <c r="AO635" i="1"/>
  <c r="AQ635" i="1"/>
  <c r="AX635" i="1"/>
  <c r="BD635" i="1"/>
  <c r="B636" i="1"/>
  <c r="C636" i="1"/>
  <c r="E636" i="1"/>
  <c r="F636" i="1"/>
  <c r="G636" i="1"/>
  <c r="H636" i="1"/>
  <c r="I636" i="1"/>
  <c r="J636" i="1"/>
  <c r="K636" i="1"/>
  <c r="M636" i="1"/>
  <c r="O636" i="1"/>
  <c r="Q636" i="1"/>
  <c r="R636" i="1"/>
  <c r="W636" i="1"/>
  <c r="AA636" i="1"/>
  <c r="AB636" i="1"/>
  <c r="AE636" i="1"/>
  <c r="AF636" i="1"/>
  <c r="AM636" i="1"/>
  <c r="AN636" i="1"/>
  <c r="AO636" i="1"/>
  <c r="AQ636" i="1"/>
  <c r="AX636" i="1"/>
  <c r="BD636" i="1"/>
  <c r="B637" i="1"/>
  <c r="C637" i="1"/>
  <c r="E637" i="1"/>
  <c r="F637" i="1"/>
  <c r="G637" i="1"/>
  <c r="H637" i="1"/>
  <c r="I637" i="1"/>
  <c r="J637" i="1"/>
  <c r="K637" i="1"/>
  <c r="M637" i="1"/>
  <c r="O637" i="1"/>
  <c r="Q637" i="1"/>
  <c r="R637" i="1"/>
  <c r="W637" i="1"/>
  <c r="AA637" i="1"/>
  <c r="AB637" i="1"/>
  <c r="AE637" i="1"/>
  <c r="AF637" i="1"/>
  <c r="AM637" i="1"/>
  <c r="AN637" i="1"/>
  <c r="AO637" i="1"/>
  <c r="AQ637" i="1"/>
  <c r="AX637" i="1"/>
  <c r="BD637" i="1"/>
  <c r="B638" i="1"/>
  <c r="C638" i="1"/>
  <c r="E638" i="1"/>
  <c r="F638" i="1"/>
  <c r="G638" i="1"/>
  <c r="H638" i="1"/>
  <c r="I638" i="1"/>
  <c r="J638" i="1"/>
  <c r="K638" i="1"/>
  <c r="M638" i="1"/>
  <c r="O638" i="1"/>
  <c r="Q638" i="1"/>
  <c r="R638" i="1"/>
  <c r="W638" i="1"/>
  <c r="AA638" i="1"/>
  <c r="AB638" i="1"/>
  <c r="AE638" i="1"/>
  <c r="AF638" i="1"/>
  <c r="AM638" i="1"/>
  <c r="AN638" i="1"/>
  <c r="AO638" i="1"/>
  <c r="AQ638" i="1"/>
  <c r="AX638" i="1"/>
  <c r="BD638" i="1"/>
  <c r="B639" i="1"/>
  <c r="C639" i="1"/>
  <c r="E639" i="1"/>
  <c r="F639" i="1"/>
  <c r="G639" i="1"/>
  <c r="H639" i="1"/>
  <c r="I639" i="1"/>
  <c r="J639" i="1"/>
  <c r="K639" i="1"/>
  <c r="M639" i="1"/>
  <c r="O639" i="1"/>
  <c r="Q639" i="1"/>
  <c r="R639" i="1"/>
  <c r="W639" i="1"/>
  <c r="AA639" i="1"/>
  <c r="AB639" i="1"/>
  <c r="AE639" i="1"/>
  <c r="AF639" i="1"/>
  <c r="AM639" i="1"/>
  <c r="AN639" i="1"/>
  <c r="AO639" i="1"/>
  <c r="AQ639" i="1"/>
  <c r="AX639" i="1"/>
  <c r="BD639" i="1"/>
  <c r="B640" i="1"/>
  <c r="C640" i="1"/>
  <c r="E640" i="1"/>
  <c r="F640" i="1"/>
  <c r="G640" i="1"/>
  <c r="H640" i="1"/>
  <c r="I640" i="1"/>
  <c r="J640" i="1"/>
  <c r="K640" i="1"/>
  <c r="M640" i="1"/>
  <c r="O640" i="1"/>
  <c r="Q640" i="1"/>
  <c r="R640" i="1"/>
  <c r="W640" i="1"/>
  <c r="AA640" i="1"/>
  <c r="AB640" i="1"/>
  <c r="AE640" i="1"/>
  <c r="AF640" i="1"/>
  <c r="AM640" i="1"/>
  <c r="AN640" i="1"/>
  <c r="AO640" i="1"/>
  <c r="AQ640" i="1"/>
  <c r="AX640" i="1"/>
  <c r="BD640" i="1"/>
  <c r="B641" i="1"/>
  <c r="C641" i="1"/>
  <c r="E641" i="1"/>
  <c r="F641" i="1"/>
  <c r="G641" i="1"/>
  <c r="H641" i="1"/>
  <c r="I641" i="1"/>
  <c r="J641" i="1"/>
  <c r="K641" i="1"/>
  <c r="M641" i="1"/>
  <c r="O641" i="1"/>
  <c r="Q641" i="1"/>
  <c r="R641" i="1"/>
  <c r="W641" i="1"/>
  <c r="AA641" i="1"/>
  <c r="AB641" i="1"/>
  <c r="AE641" i="1"/>
  <c r="AF641" i="1"/>
  <c r="AM641" i="1"/>
  <c r="AN641" i="1"/>
  <c r="AO641" i="1"/>
  <c r="AQ641" i="1"/>
  <c r="AX641" i="1"/>
  <c r="BD641" i="1"/>
  <c r="B642" i="1"/>
  <c r="C642" i="1"/>
  <c r="E642" i="1"/>
  <c r="F642" i="1"/>
  <c r="G642" i="1"/>
  <c r="H642" i="1"/>
  <c r="I642" i="1"/>
  <c r="J642" i="1"/>
  <c r="K642" i="1"/>
  <c r="M642" i="1"/>
  <c r="O642" i="1"/>
  <c r="Q642" i="1"/>
  <c r="R642" i="1"/>
  <c r="W642" i="1"/>
  <c r="AA642" i="1"/>
  <c r="AB642" i="1"/>
  <c r="AE642" i="1"/>
  <c r="AF642" i="1"/>
  <c r="AM642" i="1"/>
  <c r="AN642" i="1"/>
  <c r="AO642" i="1"/>
  <c r="AQ642" i="1"/>
  <c r="AX642" i="1"/>
  <c r="BD642" i="1"/>
  <c r="B643" i="1"/>
  <c r="C643" i="1"/>
  <c r="E643" i="1"/>
  <c r="F643" i="1"/>
  <c r="G643" i="1"/>
  <c r="H643" i="1"/>
  <c r="I643" i="1"/>
  <c r="J643" i="1"/>
  <c r="K643" i="1"/>
  <c r="M643" i="1"/>
  <c r="O643" i="1"/>
  <c r="Q643" i="1"/>
  <c r="R643" i="1"/>
  <c r="W643" i="1"/>
  <c r="AA643" i="1"/>
  <c r="AB643" i="1"/>
  <c r="AE643" i="1"/>
  <c r="AF643" i="1"/>
  <c r="AM643" i="1"/>
  <c r="AN643" i="1"/>
  <c r="AO643" i="1"/>
  <c r="AQ643" i="1"/>
  <c r="AX643" i="1"/>
  <c r="BD643" i="1"/>
  <c r="B644" i="1"/>
  <c r="C644" i="1"/>
  <c r="E644" i="1"/>
  <c r="F644" i="1"/>
  <c r="G644" i="1"/>
  <c r="H644" i="1"/>
  <c r="I644" i="1"/>
  <c r="J644" i="1"/>
  <c r="K644" i="1"/>
  <c r="M644" i="1"/>
  <c r="O644" i="1"/>
  <c r="Q644" i="1"/>
  <c r="R644" i="1"/>
  <c r="W644" i="1"/>
  <c r="AA644" i="1"/>
  <c r="AB644" i="1"/>
  <c r="AE644" i="1"/>
  <c r="AF644" i="1"/>
  <c r="AM644" i="1"/>
  <c r="AN644" i="1"/>
  <c r="AO644" i="1"/>
  <c r="AQ644" i="1"/>
  <c r="AX644" i="1"/>
  <c r="BD644" i="1"/>
  <c r="B645" i="1"/>
  <c r="C645" i="1"/>
  <c r="E645" i="1"/>
  <c r="F645" i="1"/>
  <c r="G645" i="1"/>
  <c r="H645" i="1"/>
  <c r="I645" i="1"/>
  <c r="J645" i="1"/>
  <c r="K645" i="1"/>
  <c r="M645" i="1"/>
  <c r="O645" i="1"/>
  <c r="Q645" i="1"/>
  <c r="R645" i="1"/>
  <c r="W645" i="1"/>
  <c r="AA645" i="1"/>
  <c r="AB645" i="1"/>
  <c r="AE645" i="1"/>
  <c r="AF645" i="1"/>
  <c r="AM645" i="1"/>
  <c r="AN645" i="1"/>
  <c r="AO645" i="1"/>
  <c r="AQ645" i="1"/>
  <c r="AX645" i="1"/>
  <c r="BD645" i="1"/>
  <c r="B646" i="1"/>
  <c r="C646" i="1"/>
  <c r="E646" i="1"/>
  <c r="F646" i="1"/>
  <c r="G646" i="1"/>
  <c r="H646" i="1"/>
  <c r="I646" i="1"/>
  <c r="J646" i="1"/>
  <c r="K646" i="1"/>
  <c r="M646" i="1"/>
  <c r="O646" i="1"/>
  <c r="Q646" i="1"/>
  <c r="R646" i="1"/>
  <c r="W646" i="1"/>
  <c r="AA646" i="1"/>
  <c r="AB646" i="1"/>
  <c r="AE646" i="1"/>
  <c r="AF646" i="1"/>
  <c r="AM646" i="1"/>
  <c r="AN646" i="1"/>
  <c r="AO646" i="1"/>
  <c r="AQ646" i="1"/>
  <c r="AX646" i="1"/>
  <c r="BD646" i="1"/>
  <c r="B647" i="1"/>
  <c r="C647" i="1"/>
  <c r="D647" i="1"/>
  <c r="E647" i="1"/>
  <c r="F647" i="1"/>
  <c r="G647" i="1"/>
  <c r="H647" i="1"/>
  <c r="I647" i="1"/>
  <c r="J647" i="1"/>
  <c r="K647" i="1"/>
  <c r="M647" i="1"/>
  <c r="O647" i="1"/>
  <c r="Q647" i="1"/>
  <c r="R647" i="1"/>
  <c r="W647" i="1"/>
  <c r="AA647" i="1"/>
  <c r="AB647" i="1"/>
  <c r="AE647" i="1"/>
  <c r="AF647" i="1"/>
  <c r="AM647" i="1"/>
  <c r="AN647" i="1"/>
  <c r="AO647" i="1"/>
  <c r="AQ647" i="1"/>
  <c r="AX647" i="1"/>
  <c r="BD647" i="1"/>
  <c r="B648" i="1"/>
  <c r="C648" i="1"/>
  <c r="D648" i="1"/>
  <c r="E648" i="1"/>
  <c r="F648" i="1"/>
  <c r="G648" i="1"/>
  <c r="H648" i="1"/>
  <c r="I648" i="1"/>
  <c r="J648" i="1"/>
  <c r="K648" i="1"/>
  <c r="M648" i="1"/>
  <c r="O648" i="1"/>
  <c r="Q648" i="1"/>
  <c r="R648" i="1"/>
  <c r="W648" i="1"/>
  <c r="AA648" i="1"/>
  <c r="AB648" i="1"/>
  <c r="AE648" i="1"/>
  <c r="AF648" i="1"/>
  <c r="AM648" i="1"/>
  <c r="AN648" i="1"/>
  <c r="AO648" i="1"/>
  <c r="AQ648" i="1"/>
  <c r="AX648" i="1"/>
  <c r="BD648" i="1"/>
  <c r="B649" i="1"/>
  <c r="C649" i="1"/>
  <c r="D649" i="1"/>
  <c r="E649" i="1"/>
  <c r="F649" i="1"/>
  <c r="G649" i="1"/>
  <c r="H649" i="1"/>
  <c r="I649" i="1"/>
  <c r="J649" i="1"/>
  <c r="K649" i="1"/>
  <c r="M649" i="1"/>
  <c r="O649" i="1"/>
  <c r="Q649" i="1"/>
  <c r="R649" i="1"/>
  <c r="W649" i="1"/>
  <c r="AA649" i="1"/>
  <c r="AB649" i="1"/>
  <c r="AE649" i="1"/>
  <c r="AF649" i="1"/>
  <c r="AM649" i="1"/>
  <c r="AN649" i="1"/>
  <c r="AO649" i="1"/>
  <c r="AQ649" i="1"/>
  <c r="AX649" i="1"/>
  <c r="BD649" i="1"/>
  <c r="B650" i="1"/>
  <c r="C650" i="1"/>
  <c r="D650" i="1"/>
  <c r="E650" i="1"/>
  <c r="F650" i="1"/>
  <c r="G650" i="1"/>
  <c r="H650" i="1"/>
  <c r="I650" i="1"/>
  <c r="J650" i="1"/>
  <c r="K650" i="1"/>
  <c r="M650" i="1"/>
  <c r="O650" i="1"/>
  <c r="Q650" i="1"/>
  <c r="R650" i="1"/>
  <c r="W650" i="1"/>
  <c r="AA650" i="1"/>
  <c r="AB650" i="1"/>
  <c r="AE650" i="1"/>
  <c r="AF650" i="1"/>
  <c r="AM650" i="1"/>
  <c r="AN650" i="1"/>
  <c r="AO650" i="1"/>
  <c r="AQ650" i="1"/>
  <c r="AX650" i="1"/>
  <c r="BD650" i="1"/>
  <c r="B651" i="1"/>
  <c r="C651" i="1"/>
  <c r="E651" i="1"/>
  <c r="F651" i="1"/>
  <c r="G651" i="1"/>
  <c r="H651" i="1"/>
  <c r="I651" i="1"/>
  <c r="J651" i="1"/>
  <c r="K651" i="1"/>
  <c r="M651" i="1"/>
  <c r="O651" i="1"/>
  <c r="Q651" i="1"/>
  <c r="R651" i="1"/>
  <c r="W651" i="1"/>
  <c r="AA651" i="1"/>
  <c r="AM651" i="1"/>
  <c r="AN651" i="1"/>
  <c r="AO651" i="1"/>
  <c r="AQ651" i="1"/>
  <c r="BB651" i="1"/>
  <c r="BD651" i="1"/>
  <c r="B652" i="1"/>
  <c r="C652" i="1"/>
  <c r="E652" i="1"/>
  <c r="F652" i="1"/>
  <c r="G652" i="1"/>
  <c r="H652" i="1"/>
  <c r="I652" i="1"/>
  <c r="J652" i="1"/>
  <c r="K652" i="1"/>
  <c r="M652" i="1"/>
  <c r="O652" i="1"/>
  <c r="Q652" i="1"/>
  <c r="R652" i="1"/>
  <c r="W652" i="1"/>
  <c r="AA652" i="1"/>
  <c r="AM652" i="1"/>
  <c r="AN652" i="1"/>
  <c r="AO652" i="1"/>
  <c r="AQ652" i="1"/>
  <c r="BB652" i="1"/>
  <c r="BD652" i="1"/>
  <c r="B653" i="1"/>
  <c r="C653" i="1"/>
  <c r="D653" i="1"/>
  <c r="E653" i="1"/>
  <c r="F653" i="1"/>
  <c r="G653" i="1"/>
  <c r="H653" i="1"/>
  <c r="I653" i="1"/>
  <c r="J653" i="1"/>
  <c r="K653" i="1"/>
  <c r="M653" i="1"/>
  <c r="O653" i="1"/>
  <c r="Q653" i="1"/>
  <c r="R653" i="1"/>
  <c r="W653" i="1"/>
  <c r="AA653" i="1"/>
  <c r="AB653" i="1"/>
  <c r="AE653" i="1"/>
  <c r="AF653" i="1"/>
  <c r="AM653" i="1"/>
  <c r="AN653" i="1"/>
  <c r="AO653" i="1"/>
  <c r="AQ653" i="1"/>
  <c r="AX653" i="1"/>
  <c r="BD653" i="1"/>
  <c r="B654" i="1"/>
  <c r="C654" i="1"/>
  <c r="D654" i="1"/>
  <c r="E654" i="1"/>
  <c r="F654" i="1"/>
  <c r="G654" i="1"/>
  <c r="H654" i="1"/>
  <c r="I654" i="1"/>
  <c r="J654" i="1"/>
  <c r="K654" i="1"/>
  <c r="M654" i="1"/>
  <c r="O654" i="1"/>
  <c r="Q654" i="1"/>
  <c r="R654" i="1"/>
  <c r="W654" i="1"/>
  <c r="AA654" i="1"/>
  <c r="AB654" i="1"/>
  <c r="AE654" i="1"/>
  <c r="AF654" i="1"/>
  <c r="AM654" i="1"/>
  <c r="AN654" i="1"/>
  <c r="AO654" i="1"/>
  <c r="AQ654" i="1"/>
  <c r="AX654" i="1"/>
  <c r="BD654" i="1"/>
  <c r="B655" i="1"/>
  <c r="C655" i="1"/>
  <c r="D655" i="1"/>
  <c r="E655" i="1"/>
  <c r="F655" i="1"/>
  <c r="G655" i="1"/>
  <c r="H655" i="1"/>
  <c r="I655" i="1"/>
  <c r="J655" i="1"/>
  <c r="K655" i="1"/>
  <c r="M655" i="1"/>
  <c r="O655" i="1"/>
  <c r="Q655" i="1"/>
  <c r="R655" i="1"/>
  <c r="W655" i="1"/>
  <c r="AA655" i="1"/>
  <c r="AB655" i="1"/>
  <c r="AE655" i="1"/>
  <c r="AF655" i="1"/>
  <c r="AM655" i="1"/>
  <c r="AN655" i="1"/>
  <c r="AO655" i="1"/>
  <c r="AQ655" i="1"/>
  <c r="AX655" i="1"/>
  <c r="BD655" i="1"/>
  <c r="B656" i="1"/>
  <c r="C656" i="1"/>
  <c r="D656" i="1"/>
  <c r="E656" i="1"/>
  <c r="F656" i="1"/>
  <c r="G656" i="1"/>
  <c r="H656" i="1"/>
  <c r="I656" i="1"/>
  <c r="J656" i="1"/>
  <c r="K656" i="1"/>
  <c r="M656" i="1"/>
  <c r="O656" i="1"/>
  <c r="Q656" i="1"/>
  <c r="R656" i="1"/>
  <c r="W656" i="1"/>
  <c r="AA656" i="1"/>
  <c r="AB656" i="1"/>
  <c r="AE656" i="1"/>
  <c r="AF656" i="1"/>
  <c r="AM656" i="1"/>
  <c r="AN656" i="1"/>
  <c r="AO656" i="1"/>
  <c r="AQ656" i="1"/>
  <c r="AX656" i="1"/>
  <c r="BD656" i="1"/>
  <c r="B657" i="1"/>
  <c r="C657" i="1"/>
  <c r="E657" i="1"/>
  <c r="F657" i="1"/>
  <c r="G657" i="1"/>
  <c r="H657" i="1"/>
  <c r="I657" i="1"/>
  <c r="J657" i="1"/>
  <c r="K657" i="1"/>
  <c r="M657" i="1"/>
  <c r="O657" i="1"/>
  <c r="Q657" i="1"/>
  <c r="R657" i="1"/>
  <c r="W657" i="1"/>
  <c r="AA657" i="1"/>
  <c r="AB657" i="1"/>
  <c r="AE657" i="1"/>
  <c r="AF657" i="1"/>
  <c r="AM657" i="1"/>
  <c r="AN657" i="1"/>
  <c r="AO657" i="1"/>
  <c r="AQ657" i="1"/>
  <c r="AX657" i="1"/>
  <c r="BD657" i="1"/>
  <c r="B658" i="1"/>
  <c r="C658" i="1"/>
  <c r="E658" i="1"/>
  <c r="F658" i="1"/>
  <c r="G658" i="1"/>
  <c r="H658" i="1"/>
  <c r="I658" i="1"/>
  <c r="J658" i="1"/>
  <c r="K658" i="1"/>
  <c r="M658" i="1"/>
  <c r="O658" i="1"/>
  <c r="Q658" i="1"/>
  <c r="R658" i="1"/>
  <c r="W658" i="1"/>
  <c r="AA658" i="1"/>
  <c r="AB658" i="1"/>
  <c r="AE658" i="1"/>
  <c r="AF658" i="1"/>
  <c r="AM658" i="1"/>
  <c r="AN658" i="1"/>
  <c r="AO658" i="1"/>
  <c r="AQ658" i="1"/>
  <c r="AX658" i="1"/>
  <c r="BD658" i="1"/>
  <c r="B659" i="1"/>
  <c r="C659" i="1"/>
  <c r="E659" i="1"/>
  <c r="F659" i="1"/>
  <c r="G659" i="1"/>
  <c r="H659" i="1"/>
  <c r="I659" i="1"/>
  <c r="J659" i="1"/>
  <c r="K659" i="1"/>
  <c r="M659" i="1"/>
  <c r="O659" i="1"/>
  <c r="Q659" i="1"/>
  <c r="R659" i="1"/>
  <c r="W659" i="1"/>
  <c r="AA659" i="1"/>
  <c r="AM659" i="1"/>
  <c r="AN659" i="1"/>
  <c r="AO659" i="1"/>
  <c r="AQ659" i="1"/>
  <c r="BB659" i="1"/>
  <c r="BD659" i="1"/>
  <c r="B660" i="1"/>
  <c r="C660" i="1"/>
  <c r="E660" i="1"/>
  <c r="F660" i="1"/>
  <c r="G660" i="1"/>
  <c r="H660" i="1"/>
  <c r="I660" i="1"/>
  <c r="J660" i="1"/>
  <c r="K660" i="1"/>
  <c r="M660" i="1"/>
  <c r="O660" i="1"/>
  <c r="Q660" i="1"/>
  <c r="R660" i="1"/>
  <c r="W660" i="1"/>
  <c r="AA660" i="1"/>
  <c r="AM660" i="1"/>
  <c r="AN660" i="1"/>
  <c r="AO660" i="1"/>
  <c r="AQ660" i="1"/>
  <c r="BB660" i="1"/>
  <c r="BD660" i="1"/>
  <c r="B661" i="1"/>
  <c r="C661" i="1"/>
  <c r="E661" i="1"/>
  <c r="F661" i="1"/>
  <c r="G661" i="1"/>
  <c r="H661" i="1"/>
  <c r="I661" i="1"/>
  <c r="J661" i="1"/>
  <c r="K661" i="1"/>
  <c r="M661" i="1"/>
  <c r="O661" i="1"/>
  <c r="Q661" i="1"/>
  <c r="R661" i="1"/>
  <c r="W661" i="1"/>
  <c r="AA661" i="1"/>
  <c r="AB661" i="1"/>
  <c r="AE661" i="1"/>
  <c r="AF661" i="1"/>
  <c r="AM661" i="1"/>
  <c r="AN661" i="1"/>
  <c r="AO661" i="1"/>
  <c r="AQ661" i="1"/>
  <c r="AX661" i="1"/>
  <c r="BD661" i="1"/>
  <c r="B662" i="1"/>
  <c r="C662" i="1"/>
  <c r="E662" i="1"/>
  <c r="F662" i="1"/>
  <c r="G662" i="1"/>
  <c r="H662" i="1"/>
  <c r="I662" i="1"/>
  <c r="J662" i="1"/>
  <c r="K662" i="1"/>
  <c r="M662" i="1"/>
  <c r="O662" i="1"/>
  <c r="Q662" i="1"/>
  <c r="R662" i="1"/>
  <c r="W662" i="1"/>
  <c r="AA662" i="1"/>
  <c r="AB662" i="1"/>
  <c r="AE662" i="1"/>
  <c r="AF662" i="1"/>
  <c r="AM662" i="1"/>
  <c r="AN662" i="1"/>
  <c r="AO662" i="1"/>
  <c r="AQ662" i="1"/>
  <c r="AX662" i="1"/>
  <c r="BD662" i="1"/>
  <c r="B663" i="1"/>
  <c r="C663" i="1"/>
  <c r="E663" i="1"/>
  <c r="F663" i="1"/>
  <c r="G663" i="1"/>
  <c r="H663" i="1"/>
  <c r="I663" i="1"/>
  <c r="J663" i="1"/>
  <c r="K663" i="1"/>
  <c r="M663" i="1"/>
  <c r="O663" i="1"/>
  <c r="Q663" i="1"/>
  <c r="R663" i="1"/>
  <c r="W663" i="1"/>
  <c r="AA663" i="1"/>
  <c r="AB663" i="1"/>
  <c r="AE663" i="1"/>
  <c r="AF663" i="1"/>
  <c r="AM663" i="1"/>
  <c r="AN663" i="1"/>
  <c r="AO663" i="1"/>
  <c r="AQ663" i="1"/>
  <c r="AX663" i="1"/>
  <c r="BD663" i="1"/>
  <c r="B664" i="1"/>
  <c r="C664" i="1"/>
  <c r="E664" i="1"/>
  <c r="F664" i="1"/>
  <c r="G664" i="1"/>
  <c r="H664" i="1"/>
  <c r="I664" i="1"/>
  <c r="J664" i="1"/>
  <c r="K664" i="1"/>
  <c r="M664" i="1"/>
  <c r="O664" i="1"/>
  <c r="Q664" i="1"/>
  <c r="R664" i="1"/>
  <c r="W664" i="1"/>
  <c r="AA664" i="1"/>
  <c r="AB664" i="1"/>
  <c r="AE664" i="1"/>
  <c r="AF664" i="1"/>
  <c r="AM664" i="1"/>
  <c r="AN664" i="1"/>
  <c r="AO664" i="1"/>
  <c r="AQ664" i="1"/>
  <c r="AX664" i="1"/>
  <c r="BD664" i="1"/>
  <c r="B665" i="1"/>
  <c r="C665" i="1"/>
  <c r="E665" i="1"/>
  <c r="F665" i="1"/>
  <c r="G665" i="1"/>
  <c r="H665" i="1"/>
  <c r="I665" i="1"/>
  <c r="J665" i="1"/>
  <c r="K665" i="1"/>
  <c r="M665" i="1"/>
  <c r="O665" i="1"/>
  <c r="Q665" i="1"/>
  <c r="R665" i="1"/>
  <c r="W665" i="1"/>
  <c r="AA665" i="1"/>
  <c r="AB665" i="1"/>
  <c r="AE665" i="1"/>
  <c r="AF665" i="1"/>
  <c r="AM665" i="1"/>
  <c r="AN665" i="1"/>
  <c r="AO665" i="1"/>
  <c r="AQ665" i="1"/>
  <c r="AX665" i="1"/>
  <c r="BD665" i="1"/>
  <c r="B666" i="1"/>
  <c r="C666" i="1"/>
  <c r="E666" i="1"/>
  <c r="F666" i="1"/>
  <c r="G666" i="1"/>
  <c r="H666" i="1"/>
  <c r="I666" i="1"/>
  <c r="J666" i="1"/>
  <c r="K666" i="1"/>
  <c r="M666" i="1"/>
  <c r="O666" i="1"/>
  <c r="Q666" i="1"/>
  <c r="R666" i="1"/>
  <c r="W666" i="1"/>
  <c r="AA666" i="1"/>
  <c r="AB666" i="1"/>
  <c r="AE666" i="1"/>
  <c r="AF666" i="1"/>
  <c r="AM666" i="1"/>
  <c r="AN666" i="1"/>
  <c r="AO666" i="1"/>
  <c r="AQ666" i="1"/>
  <c r="AX666" i="1"/>
  <c r="BD666" i="1"/>
  <c r="B667" i="1"/>
  <c r="C667" i="1"/>
  <c r="E667" i="1"/>
  <c r="F667" i="1"/>
  <c r="G667" i="1"/>
  <c r="H667" i="1"/>
  <c r="I667" i="1"/>
  <c r="J667" i="1"/>
  <c r="K667" i="1"/>
  <c r="M667" i="1"/>
  <c r="O667" i="1"/>
  <c r="Q667" i="1"/>
  <c r="R667" i="1"/>
  <c r="W667" i="1"/>
  <c r="AA667" i="1"/>
  <c r="AB667" i="1"/>
  <c r="AE667" i="1"/>
  <c r="AF667" i="1"/>
  <c r="AM667" i="1"/>
  <c r="AN667" i="1"/>
  <c r="AO667" i="1"/>
  <c r="AQ667" i="1"/>
  <c r="AX667" i="1"/>
  <c r="BD667" i="1"/>
  <c r="B668" i="1"/>
  <c r="C668" i="1"/>
  <c r="E668" i="1"/>
  <c r="F668" i="1"/>
  <c r="G668" i="1"/>
  <c r="H668" i="1"/>
  <c r="I668" i="1"/>
  <c r="J668" i="1"/>
  <c r="K668" i="1"/>
  <c r="M668" i="1"/>
  <c r="O668" i="1"/>
  <c r="Q668" i="1"/>
  <c r="R668" i="1"/>
  <c r="W668" i="1"/>
  <c r="AA668" i="1"/>
  <c r="AB668" i="1"/>
  <c r="AE668" i="1"/>
  <c r="AF668" i="1"/>
  <c r="AM668" i="1"/>
  <c r="AN668" i="1"/>
  <c r="AO668" i="1"/>
  <c r="AQ668" i="1"/>
  <c r="AX668" i="1"/>
  <c r="BD668" i="1"/>
  <c r="B669" i="1"/>
  <c r="C669" i="1"/>
  <c r="E669" i="1"/>
  <c r="F669" i="1"/>
  <c r="G669" i="1"/>
  <c r="H669" i="1"/>
  <c r="I669" i="1"/>
  <c r="J669" i="1"/>
  <c r="K669" i="1"/>
  <c r="M669" i="1"/>
  <c r="O669" i="1"/>
  <c r="Q669" i="1"/>
  <c r="R669" i="1"/>
  <c r="W669" i="1"/>
  <c r="AA669" i="1"/>
  <c r="AB669" i="1"/>
  <c r="AE669" i="1"/>
  <c r="AF669" i="1"/>
  <c r="AM669" i="1"/>
  <c r="AN669" i="1"/>
  <c r="AO669" i="1"/>
  <c r="AQ669" i="1"/>
  <c r="AX669" i="1"/>
  <c r="BD669" i="1"/>
  <c r="B670" i="1"/>
  <c r="C670" i="1"/>
  <c r="E670" i="1"/>
  <c r="F670" i="1"/>
  <c r="G670" i="1"/>
  <c r="H670" i="1"/>
  <c r="I670" i="1"/>
  <c r="J670" i="1"/>
  <c r="K670" i="1"/>
  <c r="M670" i="1"/>
  <c r="O670" i="1"/>
  <c r="Q670" i="1"/>
  <c r="R670" i="1"/>
  <c r="W670" i="1"/>
  <c r="AA670" i="1"/>
  <c r="AB670" i="1"/>
  <c r="AE670" i="1"/>
  <c r="AF670" i="1"/>
  <c r="AM670" i="1"/>
  <c r="AN670" i="1"/>
  <c r="AO670" i="1"/>
  <c r="AQ670" i="1"/>
  <c r="AX670" i="1"/>
  <c r="BD670" i="1"/>
  <c r="B671" i="1"/>
  <c r="C671" i="1"/>
  <c r="D671" i="1"/>
  <c r="E671" i="1"/>
  <c r="F671" i="1"/>
  <c r="G671" i="1"/>
  <c r="H671" i="1"/>
  <c r="I671" i="1"/>
  <c r="J671" i="1"/>
  <c r="K671" i="1"/>
  <c r="M671" i="1"/>
  <c r="O671" i="1"/>
  <c r="Q671" i="1"/>
  <c r="R671" i="1"/>
  <c r="W671" i="1"/>
  <c r="AA671" i="1"/>
  <c r="AB671" i="1"/>
  <c r="AM671" i="1"/>
  <c r="AN671" i="1"/>
  <c r="AO671" i="1"/>
  <c r="AQ671" i="1"/>
  <c r="AX671" i="1"/>
  <c r="BD671" i="1"/>
  <c r="B672" i="1"/>
  <c r="E672" i="1"/>
  <c r="F672" i="1"/>
  <c r="G672" i="1"/>
  <c r="H672" i="1"/>
  <c r="I672" i="1"/>
  <c r="J672" i="1"/>
  <c r="K672" i="1"/>
  <c r="M672" i="1"/>
  <c r="O672" i="1"/>
  <c r="Q672" i="1"/>
  <c r="R672" i="1"/>
  <c r="W672" i="1"/>
  <c r="AA672" i="1"/>
  <c r="AB672" i="1"/>
  <c r="AE672" i="1"/>
  <c r="AF672" i="1"/>
  <c r="AM672" i="1"/>
  <c r="AN672" i="1"/>
  <c r="AO672" i="1"/>
  <c r="AQ672" i="1"/>
  <c r="AX672" i="1"/>
  <c r="BD672" i="1"/>
  <c r="B673" i="1"/>
  <c r="E673" i="1"/>
  <c r="F673" i="1"/>
  <c r="G673" i="1"/>
  <c r="H673" i="1"/>
  <c r="I673" i="1"/>
  <c r="J673" i="1"/>
  <c r="K673" i="1"/>
  <c r="M673" i="1"/>
  <c r="O673" i="1"/>
  <c r="Q673" i="1"/>
  <c r="R673" i="1"/>
  <c r="W673" i="1"/>
  <c r="AA673" i="1"/>
  <c r="AB673" i="1"/>
  <c r="AE673" i="1"/>
  <c r="AF673" i="1"/>
  <c r="AM673" i="1"/>
  <c r="AN673" i="1"/>
  <c r="AO673" i="1"/>
  <c r="AQ673" i="1"/>
  <c r="AX673" i="1"/>
  <c r="BD673" i="1"/>
  <c r="B674" i="1"/>
  <c r="E674" i="1"/>
  <c r="F674" i="1"/>
  <c r="G674" i="1"/>
  <c r="H674" i="1"/>
  <c r="I674" i="1"/>
  <c r="J674" i="1"/>
  <c r="K674" i="1"/>
  <c r="M674" i="1"/>
  <c r="O674" i="1"/>
  <c r="Q674" i="1"/>
  <c r="R674" i="1"/>
  <c r="W674" i="1"/>
  <c r="AA674" i="1"/>
  <c r="AB674" i="1"/>
  <c r="AM674" i="1"/>
  <c r="AN674" i="1"/>
  <c r="AO674" i="1"/>
  <c r="AQ674" i="1"/>
  <c r="AX674" i="1"/>
  <c r="BD674" i="1"/>
  <c r="B675" i="1"/>
  <c r="E675" i="1"/>
  <c r="F675" i="1"/>
  <c r="G675" i="1"/>
  <c r="H675" i="1"/>
  <c r="I675" i="1"/>
  <c r="J675" i="1"/>
  <c r="K675" i="1"/>
  <c r="M675" i="1"/>
  <c r="O675" i="1"/>
  <c r="Q675" i="1"/>
  <c r="R675" i="1"/>
  <c r="W675" i="1"/>
  <c r="AA675" i="1"/>
  <c r="AB675" i="1"/>
  <c r="AE675" i="1"/>
  <c r="AF675" i="1"/>
  <c r="AM675" i="1"/>
  <c r="AN675" i="1"/>
  <c r="AO675" i="1"/>
  <c r="AQ675" i="1"/>
  <c r="AX675" i="1"/>
  <c r="BD675" i="1"/>
  <c r="B676" i="1"/>
  <c r="C676" i="1"/>
  <c r="E676" i="1"/>
  <c r="F676" i="1"/>
  <c r="G676" i="1"/>
  <c r="H676" i="1"/>
  <c r="I676" i="1"/>
  <c r="J676" i="1"/>
  <c r="K676" i="1"/>
  <c r="M676" i="1"/>
  <c r="O676" i="1"/>
  <c r="Q676" i="1"/>
  <c r="R676" i="1"/>
  <c r="W676" i="1"/>
  <c r="AA676" i="1"/>
  <c r="AB676" i="1"/>
  <c r="AE676" i="1"/>
  <c r="AF676" i="1"/>
  <c r="AM676" i="1"/>
  <c r="AN676" i="1"/>
  <c r="AO676" i="1"/>
  <c r="AQ676" i="1"/>
  <c r="AX676" i="1"/>
  <c r="BD676" i="1"/>
  <c r="B677" i="1"/>
  <c r="E677" i="1"/>
  <c r="F677" i="1"/>
  <c r="G677" i="1"/>
  <c r="H677" i="1"/>
  <c r="I677" i="1"/>
  <c r="J677" i="1"/>
  <c r="K677" i="1"/>
  <c r="M677" i="1"/>
  <c r="O677" i="1"/>
  <c r="Q677" i="1"/>
  <c r="R677" i="1"/>
  <c r="W677" i="1"/>
  <c r="AA677" i="1"/>
  <c r="AB677" i="1"/>
  <c r="AM677" i="1"/>
  <c r="AN677" i="1"/>
  <c r="AO677" i="1"/>
  <c r="AQ677" i="1"/>
  <c r="AX677" i="1"/>
  <c r="BD677" i="1"/>
  <c r="B678" i="1"/>
  <c r="E678" i="1"/>
  <c r="F678" i="1"/>
  <c r="G678" i="1"/>
  <c r="H678" i="1"/>
  <c r="I678" i="1"/>
  <c r="J678" i="1"/>
  <c r="K678" i="1"/>
  <c r="M678" i="1"/>
  <c r="O678" i="1"/>
  <c r="Q678" i="1"/>
  <c r="R678" i="1"/>
  <c r="W678" i="1"/>
  <c r="AA678" i="1"/>
  <c r="AM678" i="1"/>
  <c r="AN678" i="1"/>
  <c r="AO678" i="1"/>
  <c r="AQ678" i="1"/>
  <c r="BB678" i="1"/>
  <c r="BD678" i="1"/>
  <c r="B679" i="1"/>
  <c r="E679" i="1"/>
  <c r="F679" i="1"/>
  <c r="G679" i="1"/>
  <c r="H679" i="1"/>
  <c r="I679" i="1"/>
  <c r="J679" i="1"/>
  <c r="K679" i="1"/>
  <c r="M679" i="1"/>
  <c r="O679" i="1"/>
  <c r="Q679" i="1"/>
  <c r="R679" i="1"/>
  <c r="W679" i="1"/>
  <c r="AA679" i="1"/>
  <c r="AM679" i="1"/>
  <c r="AN679" i="1"/>
  <c r="AO679" i="1"/>
  <c r="AQ679" i="1"/>
  <c r="BB679" i="1"/>
  <c r="BD679" i="1"/>
  <c r="B680" i="1"/>
  <c r="E680" i="1"/>
  <c r="F680" i="1"/>
  <c r="G680" i="1"/>
  <c r="H680" i="1"/>
  <c r="I680" i="1"/>
  <c r="J680" i="1"/>
  <c r="K680" i="1"/>
  <c r="M680" i="1"/>
  <c r="O680" i="1"/>
  <c r="Q680" i="1"/>
  <c r="R680" i="1"/>
  <c r="W680" i="1"/>
  <c r="AA680" i="1"/>
  <c r="AM680" i="1"/>
  <c r="AN680" i="1"/>
  <c r="AO680" i="1"/>
  <c r="AQ680" i="1"/>
  <c r="BB680" i="1"/>
  <c r="BD680" i="1"/>
  <c r="B681" i="1"/>
  <c r="E681" i="1"/>
  <c r="F681" i="1"/>
  <c r="G681" i="1"/>
  <c r="H681" i="1"/>
  <c r="I681" i="1"/>
  <c r="J681" i="1"/>
  <c r="K681" i="1"/>
  <c r="M681" i="1"/>
  <c r="O681" i="1"/>
  <c r="Q681" i="1"/>
  <c r="R681" i="1"/>
  <c r="W681" i="1"/>
  <c r="AA681" i="1"/>
  <c r="AM681" i="1"/>
  <c r="AN681" i="1"/>
  <c r="AO681" i="1"/>
  <c r="AQ681" i="1"/>
  <c r="BB681" i="1"/>
  <c r="BD681" i="1"/>
  <c r="B682" i="1"/>
  <c r="E682" i="1"/>
  <c r="F682" i="1"/>
  <c r="G682" i="1"/>
  <c r="H682" i="1"/>
  <c r="I682" i="1"/>
  <c r="J682" i="1"/>
  <c r="K682" i="1"/>
  <c r="M682" i="1"/>
  <c r="O682" i="1"/>
  <c r="Q682" i="1"/>
  <c r="R682" i="1"/>
  <c r="W682" i="1"/>
  <c r="AA682" i="1"/>
  <c r="AM682" i="1"/>
  <c r="AN682" i="1"/>
  <c r="AO682" i="1"/>
  <c r="AQ682" i="1"/>
  <c r="BB682" i="1"/>
  <c r="BD682" i="1"/>
  <c r="B683" i="1"/>
  <c r="E683" i="1"/>
  <c r="F683" i="1"/>
  <c r="G683" i="1"/>
  <c r="H683" i="1"/>
  <c r="I683" i="1"/>
  <c r="J683" i="1"/>
  <c r="K683" i="1"/>
  <c r="M683" i="1"/>
  <c r="O683" i="1"/>
  <c r="Q683" i="1"/>
  <c r="R683" i="1"/>
  <c r="W683" i="1"/>
  <c r="AA683" i="1"/>
  <c r="AM683" i="1"/>
  <c r="AN683" i="1"/>
  <c r="AO683" i="1"/>
  <c r="AQ683" i="1"/>
  <c r="BB683" i="1"/>
  <c r="BD683" i="1"/>
  <c r="B684" i="1"/>
  <c r="C684" i="1"/>
  <c r="E684" i="1"/>
  <c r="F684" i="1"/>
  <c r="G684" i="1"/>
  <c r="H684" i="1"/>
  <c r="I684" i="1"/>
  <c r="J684" i="1"/>
  <c r="K684" i="1"/>
  <c r="M684" i="1"/>
  <c r="O684" i="1"/>
  <c r="Q684" i="1"/>
  <c r="R684" i="1"/>
  <c r="W684" i="1"/>
  <c r="AA684" i="1"/>
  <c r="AB684" i="1"/>
  <c r="AE684" i="1"/>
  <c r="AF684" i="1"/>
  <c r="AM684" i="1"/>
  <c r="AN684" i="1"/>
  <c r="AO684" i="1"/>
  <c r="AQ684" i="1"/>
  <c r="AX684" i="1"/>
  <c r="BD684" i="1"/>
  <c r="B685" i="1"/>
  <c r="E685" i="1"/>
  <c r="F685" i="1"/>
  <c r="G685" i="1"/>
  <c r="H685" i="1"/>
  <c r="I685" i="1"/>
  <c r="J685" i="1"/>
  <c r="K685" i="1"/>
  <c r="M685" i="1"/>
  <c r="O685" i="1"/>
  <c r="Q685" i="1"/>
  <c r="R685" i="1"/>
  <c r="W685" i="1"/>
  <c r="AA685" i="1"/>
  <c r="AB685" i="1"/>
  <c r="AE685" i="1"/>
  <c r="AF685" i="1"/>
  <c r="AM685" i="1"/>
  <c r="AN685" i="1"/>
  <c r="AO685" i="1"/>
  <c r="AQ685" i="1"/>
  <c r="AX685" i="1"/>
  <c r="BD685" i="1"/>
  <c r="B686" i="1"/>
  <c r="E686" i="1"/>
  <c r="F686" i="1"/>
  <c r="G686" i="1"/>
  <c r="H686" i="1"/>
  <c r="I686" i="1"/>
  <c r="J686" i="1"/>
  <c r="K686" i="1"/>
  <c r="M686" i="1"/>
  <c r="O686" i="1"/>
  <c r="Q686" i="1"/>
  <c r="R686" i="1"/>
  <c r="W686" i="1"/>
  <c r="AA686" i="1"/>
  <c r="AB686" i="1"/>
  <c r="AM686" i="1"/>
  <c r="AN686" i="1"/>
  <c r="AO686" i="1"/>
  <c r="AQ686" i="1"/>
  <c r="AX686" i="1"/>
  <c r="BD686" i="1"/>
  <c r="B687" i="1"/>
  <c r="E687" i="1"/>
  <c r="F687" i="1"/>
  <c r="G687" i="1"/>
  <c r="H687" i="1"/>
  <c r="I687" i="1"/>
  <c r="J687" i="1"/>
  <c r="K687" i="1"/>
  <c r="M687" i="1"/>
  <c r="O687" i="1"/>
  <c r="Q687" i="1"/>
  <c r="R687" i="1"/>
  <c r="W687" i="1"/>
  <c r="AA687" i="1"/>
  <c r="AB687" i="1"/>
  <c r="AM687" i="1"/>
  <c r="AN687" i="1"/>
  <c r="AO687" i="1"/>
  <c r="AQ687" i="1"/>
  <c r="AX687" i="1"/>
  <c r="BD687" i="1"/>
  <c r="B688" i="1"/>
  <c r="E688" i="1"/>
  <c r="F688" i="1"/>
  <c r="G688" i="1"/>
  <c r="H688" i="1"/>
  <c r="I688" i="1"/>
  <c r="J688" i="1"/>
  <c r="K688" i="1"/>
  <c r="M688" i="1"/>
  <c r="O688" i="1"/>
  <c r="Q688" i="1"/>
  <c r="R688" i="1"/>
  <c r="W688" i="1"/>
  <c r="AA688" i="1"/>
  <c r="AM688" i="1"/>
  <c r="AN688" i="1"/>
  <c r="AO688" i="1"/>
  <c r="AQ688" i="1"/>
  <c r="BB688" i="1"/>
  <c r="BD688" i="1"/>
  <c r="B689" i="1"/>
  <c r="E689" i="1"/>
  <c r="F689" i="1"/>
  <c r="G689" i="1"/>
  <c r="H689" i="1"/>
  <c r="I689" i="1"/>
  <c r="J689" i="1"/>
  <c r="K689" i="1"/>
  <c r="M689" i="1"/>
  <c r="O689" i="1"/>
  <c r="Q689" i="1"/>
  <c r="R689" i="1"/>
  <c r="W689" i="1"/>
  <c r="AA689" i="1"/>
  <c r="AM689" i="1"/>
  <c r="AN689" i="1"/>
  <c r="AO689" i="1"/>
  <c r="AQ689" i="1"/>
  <c r="BB689" i="1"/>
  <c r="BD689" i="1"/>
  <c r="B690" i="1"/>
  <c r="E690" i="1"/>
  <c r="F690" i="1"/>
  <c r="G690" i="1"/>
  <c r="H690" i="1"/>
  <c r="I690" i="1"/>
  <c r="J690" i="1"/>
  <c r="K690" i="1"/>
  <c r="M690" i="1"/>
  <c r="O690" i="1"/>
  <c r="Q690" i="1"/>
  <c r="R690" i="1"/>
  <c r="W690" i="1"/>
  <c r="AA690" i="1"/>
  <c r="AM690" i="1"/>
  <c r="AN690" i="1"/>
  <c r="AO690" i="1"/>
  <c r="AQ690" i="1"/>
  <c r="BB690" i="1"/>
  <c r="BD690" i="1"/>
  <c r="B691" i="1"/>
  <c r="E691" i="1"/>
  <c r="F691" i="1"/>
  <c r="G691" i="1"/>
  <c r="H691" i="1"/>
  <c r="I691" i="1"/>
  <c r="J691" i="1"/>
  <c r="K691" i="1"/>
  <c r="M691" i="1"/>
  <c r="O691" i="1"/>
  <c r="Q691" i="1"/>
  <c r="R691" i="1"/>
  <c r="W691" i="1"/>
  <c r="AA691" i="1"/>
  <c r="AM691" i="1"/>
  <c r="AN691" i="1"/>
  <c r="AO691" i="1"/>
  <c r="AP691" i="1"/>
  <c r="AQ691" i="1"/>
  <c r="BD691" i="1"/>
  <c r="B692" i="1"/>
  <c r="E692" i="1"/>
  <c r="F692" i="1"/>
  <c r="G692" i="1"/>
  <c r="H692" i="1"/>
  <c r="I692" i="1"/>
  <c r="J692" i="1"/>
  <c r="K692" i="1"/>
  <c r="M692" i="1"/>
  <c r="O692" i="1"/>
  <c r="Q692" i="1"/>
  <c r="R692" i="1"/>
  <c r="W692" i="1"/>
  <c r="AA692" i="1"/>
  <c r="AM692" i="1"/>
  <c r="AN692" i="1"/>
  <c r="AO692" i="1"/>
  <c r="AP692" i="1"/>
  <c r="AQ692" i="1"/>
  <c r="BD692" i="1"/>
  <c r="B693" i="1"/>
  <c r="E693" i="1"/>
  <c r="F693" i="1"/>
  <c r="G693" i="1"/>
  <c r="H693" i="1"/>
  <c r="I693" i="1"/>
  <c r="J693" i="1"/>
  <c r="K693" i="1"/>
  <c r="M693" i="1"/>
  <c r="O693" i="1"/>
  <c r="Q693" i="1"/>
  <c r="R693" i="1"/>
  <c r="W693" i="1"/>
  <c r="AA693" i="1"/>
  <c r="AM693" i="1"/>
  <c r="AN693" i="1"/>
  <c r="AO693" i="1"/>
  <c r="AP693" i="1"/>
  <c r="AQ693" i="1"/>
  <c r="BD693" i="1"/>
  <c r="B694" i="1"/>
  <c r="E694" i="1"/>
  <c r="F694" i="1"/>
  <c r="G694" i="1"/>
  <c r="H694" i="1"/>
  <c r="I694" i="1"/>
  <c r="J694" i="1"/>
  <c r="K694" i="1"/>
  <c r="M694" i="1"/>
  <c r="O694" i="1"/>
  <c r="Q694" i="1"/>
  <c r="R694" i="1"/>
  <c r="W694" i="1"/>
  <c r="AA694" i="1"/>
  <c r="AB694" i="1"/>
  <c r="AM694" i="1"/>
  <c r="AN694" i="1"/>
  <c r="AO694" i="1"/>
  <c r="AQ694" i="1"/>
  <c r="AX694" i="1"/>
  <c r="BD694" i="1"/>
  <c r="B695" i="1"/>
  <c r="E695" i="1"/>
  <c r="F695" i="1"/>
  <c r="G695" i="1"/>
  <c r="H695" i="1"/>
  <c r="I695" i="1"/>
  <c r="J695" i="1"/>
  <c r="K695" i="1"/>
  <c r="M695" i="1"/>
  <c r="O695" i="1"/>
  <c r="Q695" i="1"/>
  <c r="R695" i="1"/>
  <c r="W695" i="1"/>
  <c r="AA695" i="1"/>
  <c r="AM695" i="1"/>
  <c r="AN695" i="1"/>
  <c r="AO695" i="1"/>
  <c r="AQ695" i="1"/>
  <c r="BB695" i="1"/>
  <c r="BD695" i="1"/>
  <c r="B696" i="1"/>
  <c r="E696" i="1"/>
  <c r="F696" i="1"/>
  <c r="G696" i="1"/>
  <c r="H696" i="1"/>
  <c r="I696" i="1"/>
  <c r="J696" i="1"/>
  <c r="K696" i="1"/>
  <c r="M696" i="1"/>
  <c r="O696" i="1"/>
  <c r="Q696" i="1"/>
  <c r="R696" i="1"/>
  <c r="W696" i="1"/>
  <c r="AA696" i="1"/>
  <c r="AM696" i="1"/>
  <c r="AN696" i="1"/>
  <c r="AO696" i="1"/>
  <c r="AQ696" i="1"/>
  <c r="BB696" i="1"/>
  <c r="BD696" i="1"/>
  <c r="B697" i="1"/>
  <c r="E697" i="1"/>
  <c r="F697" i="1"/>
  <c r="G697" i="1"/>
  <c r="H697" i="1"/>
  <c r="I697" i="1"/>
  <c r="J697" i="1"/>
  <c r="K697" i="1"/>
  <c r="M697" i="1"/>
  <c r="O697" i="1"/>
  <c r="Q697" i="1"/>
  <c r="R697" i="1"/>
  <c r="W697" i="1"/>
  <c r="AA697" i="1"/>
  <c r="AB697" i="1"/>
  <c r="AM697" i="1"/>
  <c r="AN697" i="1"/>
  <c r="AO697" i="1"/>
  <c r="AQ697" i="1"/>
  <c r="AX697" i="1"/>
  <c r="BD697" i="1"/>
  <c r="B698" i="1"/>
  <c r="E698" i="1"/>
  <c r="F698" i="1"/>
  <c r="G698" i="1"/>
  <c r="H698" i="1"/>
  <c r="I698" i="1"/>
  <c r="J698" i="1"/>
  <c r="K698" i="1"/>
  <c r="M698" i="1"/>
  <c r="O698" i="1"/>
  <c r="Q698" i="1"/>
  <c r="R698" i="1"/>
  <c r="W698" i="1"/>
  <c r="AA698" i="1"/>
  <c r="AB698" i="1"/>
  <c r="AM698" i="1"/>
  <c r="AN698" i="1"/>
  <c r="AO698" i="1"/>
  <c r="AQ698" i="1"/>
  <c r="AX698" i="1"/>
  <c r="BD698" i="1"/>
  <c r="B699" i="1"/>
  <c r="E699" i="1"/>
  <c r="F699" i="1"/>
  <c r="G699" i="1"/>
  <c r="H699" i="1"/>
  <c r="I699" i="1"/>
  <c r="J699" i="1"/>
  <c r="K699" i="1"/>
  <c r="M699" i="1"/>
  <c r="O699" i="1"/>
  <c r="Q699" i="1"/>
  <c r="R699" i="1"/>
  <c r="W699" i="1"/>
  <c r="AA699" i="1"/>
  <c r="AM699" i="1"/>
  <c r="AN699" i="1"/>
  <c r="AO699" i="1"/>
  <c r="AQ699" i="1"/>
  <c r="BB699" i="1"/>
  <c r="BD699" i="1"/>
  <c r="B700" i="1"/>
  <c r="E700" i="1"/>
  <c r="F700" i="1"/>
  <c r="G700" i="1"/>
  <c r="H700" i="1"/>
  <c r="I700" i="1"/>
  <c r="J700" i="1"/>
  <c r="K700" i="1"/>
  <c r="M700" i="1"/>
  <c r="O700" i="1"/>
  <c r="Q700" i="1"/>
  <c r="R700" i="1"/>
  <c r="W700" i="1"/>
  <c r="AA700" i="1"/>
  <c r="AM700" i="1"/>
  <c r="AN700" i="1"/>
  <c r="AO700" i="1"/>
  <c r="AQ700" i="1"/>
  <c r="BB700" i="1"/>
  <c r="BD700" i="1"/>
  <c r="B701" i="1"/>
  <c r="E701" i="1"/>
  <c r="F701" i="1"/>
  <c r="G701" i="1"/>
  <c r="H701" i="1"/>
  <c r="I701" i="1"/>
  <c r="J701" i="1"/>
  <c r="K701" i="1"/>
  <c r="M701" i="1"/>
  <c r="O701" i="1"/>
  <c r="Q701" i="1"/>
  <c r="R701" i="1"/>
  <c r="W701" i="1"/>
  <c r="AA701" i="1"/>
  <c r="AM701" i="1"/>
  <c r="AN701" i="1"/>
  <c r="AO701" i="1"/>
  <c r="AQ701" i="1"/>
  <c r="BB701" i="1"/>
  <c r="BD701" i="1"/>
  <c r="B702" i="1"/>
  <c r="E702" i="1"/>
  <c r="F702" i="1"/>
  <c r="G702" i="1"/>
  <c r="H702" i="1"/>
  <c r="I702" i="1"/>
  <c r="J702" i="1"/>
  <c r="K702" i="1"/>
  <c r="M702" i="1"/>
  <c r="O702" i="1"/>
  <c r="Q702" i="1"/>
  <c r="R702" i="1"/>
  <c r="W702" i="1"/>
  <c r="AA702" i="1"/>
  <c r="AM702" i="1"/>
  <c r="AN702" i="1"/>
  <c r="AO702" i="1"/>
  <c r="AQ702" i="1"/>
  <c r="BB702" i="1"/>
  <c r="BD702" i="1"/>
  <c r="B703" i="1"/>
  <c r="E703" i="1"/>
  <c r="F703" i="1"/>
  <c r="G703" i="1"/>
  <c r="H703" i="1"/>
  <c r="I703" i="1"/>
  <c r="J703" i="1"/>
  <c r="K703" i="1"/>
  <c r="M703" i="1"/>
  <c r="O703" i="1"/>
  <c r="Q703" i="1"/>
  <c r="R703" i="1"/>
  <c r="W703" i="1"/>
  <c r="AA703" i="1"/>
  <c r="AM703" i="1"/>
  <c r="AN703" i="1"/>
  <c r="AO703" i="1"/>
  <c r="AQ703" i="1"/>
  <c r="BB703" i="1"/>
  <c r="BD703" i="1"/>
  <c r="B704" i="1"/>
  <c r="E704" i="1"/>
  <c r="F704" i="1"/>
  <c r="G704" i="1"/>
  <c r="H704" i="1"/>
  <c r="I704" i="1"/>
  <c r="J704" i="1"/>
  <c r="K704" i="1"/>
  <c r="M704" i="1"/>
  <c r="O704" i="1"/>
  <c r="Q704" i="1"/>
  <c r="R704" i="1"/>
  <c r="W704" i="1"/>
  <c r="AA704" i="1"/>
  <c r="AM704" i="1"/>
  <c r="AN704" i="1"/>
  <c r="AO704" i="1"/>
  <c r="AP704" i="1"/>
  <c r="AQ704" i="1"/>
  <c r="BD704" i="1"/>
  <c r="B705" i="1"/>
  <c r="E705" i="1"/>
  <c r="F705" i="1"/>
  <c r="G705" i="1"/>
  <c r="H705" i="1"/>
  <c r="I705" i="1"/>
  <c r="J705" i="1"/>
  <c r="K705" i="1"/>
  <c r="M705" i="1"/>
  <c r="O705" i="1"/>
  <c r="Q705" i="1"/>
  <c r="R705" i="1"/>
  <c r="W705" i="1"/>
  <c r="AA705" i="1"/>
  <c r="AM705" i="1"/>
  <c r="AN705" i="1"/>
  <c r="AO705" i="1"/>
  <c r="AP705" i="1"/>
  <c r="AQ705" i="1"/>
  <c r="BD705" i="1"/>
  <c r="B706" i="1"/>
  <c r="C706" i="1"/>
  <c r="E706" i="1"/>
  <c r="F706" i="1"/>
  <c r="G706" i="1"/>
  <c r="H706" i="1"/>
  <c r="I706" i="1"/>
  <c r="J706" i="1"/>
  <c r="K706" i="1"/>
  <c r="M706" i="1"/>
  <c r="O706" i="1"/>
  <c r="Q706" i="1"/>
  <c r="R706" i="1"/>
  <c r="W706" i="1"/>
  <c r="AA706" i="1"/>
  <c r="AB706" i="1"/>
  <c r="AE706" i="1"/>
  <c r="AF706" i="1"/>
  <c r="AM706" i="1"/>
  <c r="AN706" i="1"/>
  <c r="AO706" i="1"/>
  <c r="AQ706" i="1"/>
  <c r="AX706" i="1"/>
  <c r="BD706" i="1"/>
  <c r="B707" i="1"/>
  <c r="C707" i="1"/>
  <c r="E707" i="1"/>
  <c r="F707" i="1"/>
  <c r="G707" i="1"/>
  <c r="H707" i="1"/>
  <c r="I707" i="1"/>
  <c r="J707" i="1"/>
  <c r="K707" i="1"/>
  <c r="M707" i="1"/>
  <c r="O707" i="1"/>
  <c r="Q707" i="1"/>
  <c r="R707" i="1"/>
  <c r="W707" i="1"/>
  <c r="AA707" i="1"/>
  <c r="AB707" i="1"/>
  <c r="AE707" i="1"/>
  <c r="AF707" i="1"/>
  <c r="AM707" i="1"/>
  <c r="AN707" i="1"/>
  <c r="AO707" i="1"/>
  <c r="AQ707" i="1"/>
  <c r="AX707" i="1"/>
  <c r="BD707" i="1"/>
  <c r="B708" i="1"/>
  <c r="C708" i="1"/>
  <c r="E708" i="1"/>
  <c r="F708" i="1"/>
  <c r="G708" i="1"/>
  <c r="H708" i="1"/>
  <c r="I708" i="1"/>
  <c r="J708" i="1"/>
  <c r="K708" i="1"/>
  <c r="M708" i="1"/>
  <c r="O708" i="1"/>
  <c r="Q708" i="1"/>
  <c r="R708" i="1"/>
  <c r="W708" i="1"/>
  <c r="AA708" i="1"/>
  <c r="AB708" i="1"/>
  <c r="AE708" i="1"/>
  <c r="AF708" i="1"/>
  <c r="AM708" i="1"/>
  <c r="AN708" i="1"/>
  <c r="AO708" i="1"/>
  <c r="AQ708" i="1"/>
  <c r="AX708" i="1"/>
  <c r="BD708" i="1"/>
  <c r="B709" i="1"/>
  <c r="C709" i="1"/>
  <c r="E709" i="1"/>
  <c r="F709" i="1"/>
  <c r="G709" i="1"/>
  <c r="H709" i="1"/>
  <c r="I709" i="1"/>
  <c r="J709" i="1"/>
  <c r="K709" i="1"/>
  <c r="M709" i="1"/>
  <c r="O709" i="1"/>
  <c r="Q709" i="1"/>
  <c r="R709" i="1"/>
  <c r="W709" i="1"/>
  <c r="AA709" i="1"/>
  <c r="AB709" i="1"/>
  <c r="AE709" i="1"/>
  <c r="AF709" i="1"/>
  <c r="AM709" i="1"/>
  <c r="AN709" i="1"/>
  <c r="AO709" i="1"/>
  <c r="AQ709" i="1"/>
  <c r="AX709" i="1"/>
  <c r="BD709" i="1"/>
  <c r="B710" i="1"/>
  <c r="C710" i="1"/>
  <c r="E710" i="1"/>
  <c r="F710" i="1"/>
  <c r="G710" i="1"/>
  <c r="H710" i="1"/>
  <c r="I710" i="1"/>
  <c r="J710" i="1"/>
  <c r="K710" i="1"/>
  <c r="M710" i="1"/>
  <c r="O710" i="1"/>
  <c r="Q710" i="1"/>
  <c r="R710" i="1"/>
  <c r="W710" i="1"/>
  <c r="AA710" i="1"/>
  <c r="AB710" i="1"/>
  <c r="AE710" i="1"/>
  <c r="AF710" i="1"/>
  <c r="AM710" i="1"/>
  <c r="AN710" i="1"/>
  <c r="AO710" i="1"/>
  <c r="AQ710" i="1"/>
  <c r="AX710" i="1"/>
  <c r="BD710" i="1"/>
  <c r="B711" i="1"/>
  <c r="C711" i="1"/>
  <c r="E711" i="1"/>
  <c r="F711" i="1"/>
  <c r="G711" i="1"/>
  <c r="H711" i="1"/>
  <c r="I711" i="1"/>
  <c r="J711" i="1"/>
  <c r="K711" i="1"/>
  <c r="M711" i="1"/>
  <c r="O711" i="1"/>
  <c r="Q711" i="1"/>
  <c r="R711" i="1"/>
  <c r="W711" i="1"/>
  <c r="AA711" i="1"/>
  <c r="AB711" i="1"/>
  <c r="AE711" i="1"/>
  <c r="AF711" i="1"/>
  <c r="AM711" i="1"/>
  <c r="AN711" i="1"/>
  <c r="AO711" i="1"/>
  <c r="AQ711" i="1"/>
  <c r="AX711" i="1"/>
  <c r="BD711" i="1"/>
  <c r="B712" i="1"/>
  <c r="C712" i="1"/>
  <c r="E712" i="1"/>
  <c r="F712" i="1"/>
  <c r="G712" i="1"/>
  <c r="H712" i="1"/>
  <c r="I712" i="1"/>
  <c r="J712" i="1"/>
  <c r="K712" i="1"/>
  <c r="M712" i="1"/>
  <c r="O712" i="1"/>
  <c r="Q712" i="1"/>
  <c r="R712" i="1"/>
  <c r="W712" i="1"/>
  <c r="AA712" i="1"/>
  <c r="AB712" i="1"/>
  <c r="AE712" i="1"/>
  <c r="AF712" i="1"/>
  <c r="AM712" i="1"/>
  <c r="AN712" i="1"/>
  <c r="AO712" i="1"/>
  <c r="AQ712" i="1"/>
  <c r="AX712" i="1"/>
  <c r="BD712" i="1"/>
  <c r="B713" i="1"/>
  <c r="C713" i="1"/>
  <c r="E713" i="1"/>
  <c r="F713" i="1"/>
  <c r="G713" i="1"/>
  <c r="H713" i="1"/>
  <c r="I713" i="1"/>
  <c r="J713" i="1"/>
  <c r="K713" i="1"/>
  <c r="M713" i="1"/>
  <c r="O713" i="1"/>
  <c r="Q713" i="1"/>
  <c r="R713" i="1"/>
  <c r="W713" i="1"/>
  <c r="AA713" i="1"/>
  <c r="AB713" i="1"/>
  <c r="AE713" i="1"/>
  <c r="AF713" i="1"/>
  <c r="AM713" i="1"/>
  <c r="AN713" i="1"/>
  <c r="AO713" i="1"/>
  <c r="AQ713" i="1"/>
  <c r="AX713" i="1"/>
  <c r="BD713" i="1"/>
  <c r="B714" i="1"/>
  <c r="C714" i="1"/>
  <c r="E714" i="1"/>
  <c r="F714" i="1"/>
  <c r="G714" i="1"/>
  <c r="H714" i="1"/>
  <c r="I714" i="1"/>
  <c r="J714" i="1"/>
  <c r="K714" i="1"/>
  <c r="M714" i="1"/>
  <c r="O714" i="1"/>
  <c r="Q714" i="1"/>
  <c r="R714" i="1"/>
  <c r="W714" i="1"/>
  <c r="AA714" i="1"/>
  <c r="AB714" i="1"/>
  <c r="AE714" i="1"/>
  <c r="AF714" i="1"/>
  <c r="AM714" i="1"/>
  <c r="AN714" i="1"/>
  <c r="AO714" i="1"/>
  <c r="AQ714" i="1"/>
  <c r="AX714" i="1"/>
  <c r="BD714" i="1"/>
  <c r="B715" i="1"/>
  <c r="C715" i="1"/>
  <c r="E715" i="1"/>
  <c r="F715" i="1"/>
  <c r="G715" i="1"/>
  <c r="H715" i="1"/>
  <c r="I715" i="1"/>
  <c r="J715" i="1"/>
  <c r="K715" i="1"/>
  <c r="M715" i="1"/>
  <c r="O715" i="1"/>
  <c r="Q715" i="1"/>
  <c r="R715" i="1"/>
  <c r="W715" i="1"/>
  <c r="AA715" i="1"/>
  <c r="AB715" i="1"/>
  <c r="AE715" i="1"/>
  <c r="AF715" i="1"/>
  <c r="AM715" i="1"/>
  <c r="AN715" i="1"/>
  <c r="AO715" i="1"/>
  <c r="AQ715" i="1"/>
  <c r="AX715" i="1"/>
  <c r="BD715" i="1"/>
  <c r="B716" i="1"/>
  <c r="C716" i="1"/>
  <c r="D716" i="1"/>
  <c r="E716" i="1"/>
  <c r="F716" i="1"/>
  <c r="G716" i="1"/>
  <c r="H716" i="1"/>
  <c r="I716" i="1"/>
  <c r="J716" i="1"/>
  <c r="K716" i="1"/>
  <c r="M716" i="1"/>
  <c r="O716" i="1"/>
  <c r="Q716" i="1"/>
  <c r="R716" i="1"/>
  <c r="W716" i="1"/>
  <c r="AA716" i="1"/>
  <c r="AB716" i="1"/>
  <c r="AE716" i="1"/>
  <c r="AF716" i="1"/>
  <c r="AM716" i="1"/>
  <c r="AN716" i="1"/>
  <c r="AO716" i="1"/>
  <c r="AQ716" i="1"/>
  <c r="AX716" i="1"/>
  <c r="BD716" i="1"/>
  <c r="B717" i="1"/>
  <c r="C717" i="1"/>
  <c r="D717" i="1"/>
  <c r="E717" i="1"/>
  <c r="F717" i="1"/>
  <c r="G717" i="1"/>
  <c r="H717" i="1"/>
  <c r="I717" i="1"/>
  <c r="J717" i="1"/>
  <c r="K717" i="1"/>
  <c r="M717" i="1"/>
  <c r="O717" i="1"/>
  <c r="Q717" i="1"/>
  <c r="R717" i="1"/>
  <c r="W717" i="1"/>
  <c r="AA717" i="1"/>
  <c r="AB717" i="1"/>
  <c r="AE717" i="1"/>
  <c r="AF717" i="1"/>
  <c r="AM717" i="1"/>
  <c r="AN717" i="1"/>
  <c r="AO717" i="1"/>
  <c r="AQ717" i="1"/>
  <c r="AX717" i="1"/>
  <c r="BD717" i="1"/>
  <c r="B718" i="1"/>
  <c r="C718" i="1"/>
  <c r="D718" i="1"/>
  <c r="E718" i="1"/>
  <c r="F718" i="1"/>
  <c r="G718" i="1"/>
  <c r="H718" i="1"/>
  <c r="I718" i="1"/>
  <c r="J718" i="1"/>
  <c r="K718" i="1"/>
  <c r="M718" i="1"/>
  <c r="O718" i="1"/>
  <c r="Q718" i="1"/>
  <c r="R718" i="1"/>
  <c r="W718" i="1"/>
  <c r="AA718" i="1"/>
  <c r="AB718" i="1"/>
  <c r="AE718" i="1"/>
  <c r="AF718" i="1"/>
  <c r="AM718" i="1"/>
  <c r="AN718" i="1"/>
  <c r="AO718" i="1"/>
  <c r="AQ718" i="1"/>
  <c r="AX718" i="1"/>
  <c r="BD718" i="1"/>
  <c r="B719" i="1"/>
  <c r="C719" i="1"/>
  <c r="D719" i="1"/>
  <c r="E719" i="1"/>
  <c r="F719" i="1"/>
  <c r="G719" i="1"/>
  <c r="H719" i="1"/>
  <c r="I719" i="1"/>
  <c r="J719" i="1"/>
  <c r="K719" i="1"/>
  <c r="M719" i="1"/>
  <c r="O719" i="1"/>
  <c r="Q719" i="1"/>
  <c r="R719" i="1"/>
  <c r="W719" i="1"/>
  <c r="AA719" i="1"/>
  <c r="AB719" i="1"/>
  <c r="AE719" i="1"/>
  <c r="AF719" i="1"/>
  <c r="AM719" i="1"/>
  <c r="AN719" i="1"/>
  <c r="AO719" i="1"/>
  <c r="AQ719" i="1"/>
  <c r="AX719" i="1"/>
  <c r="BD719" i="1"/>
  <c r="B720" i="1"/>
  <c r="C720" i="1"/>
  <c r="D720" i="1"/>
  <c r="E720" i="1"/>
  <c r="F720" i="1"/>
  <c r="G720" i="1"/>
  <c r="H720" i="1"/>
  <c r="I720" i="1"/>
  <c r="J720" i="1"/>
  <c r="K720" i="1"/>
  <c r="M720" i="1"/>
  <c r="O720" i="1"/>
  <c r="Q720" i="1"/>
  <c r="R720" i="1"/>
  <c r="W720" i="1"/>
  <c r="AA720" i="1"/>
  <c r="AB720" i="1"/>
  <c r="AE720" i="1"/>
  <c r="AF720" i="1"/>
  <c r="AM720" i="1"/>
  <c r="AN720" i="1"/>
  <c r="AO720" i="1"/>
  <c r="AQ720" i="1"/>
  <c r="AX720" i="1"/>
  <c r="BD720" i="1"/>
  <c r="B721" i="1"/>
  <c r="C721" i="1"/>
  <c r="D721" i="1"/>
  <c r="E721" i="1"/>
  <c r="F721" i="1"/>
  <c r="G721" i="1"/>
  <c r="H721" i="1"/>
  <c r="I721" i="1"/>
  <c r="J721" i="1"/>
  <c r="K721" i="1"/>
  <c r="M721" i="1"/>
  <c r="O721" i="1"/>
  <c r="Q721" i="1"/>
  <c r="R721" i="1"/>
  <c r="W721" i="1"/>
  <c r="AA721" i="1"/>
  <c r="AB721" i="1"/>
  <c r="AE721" i="1"/>
  <c r="AF721" i="1"/>
  <c r="AM721" i="1"/>
  <c r="AN721" i="1"/>
  <c r="AO721" i="1"/>
  <c r="AQ721" i="1"/>
  <c r="AX721" i="1"/>
  <c r="BD721" i="1"/>
  <c r="B722" i="1"/>
  <c r="C722" i="1"/>
  <c r="D722" i="1"/>
  <c r="E722" i="1"/>
  <c r="F722" i="1"/>
  <c r="G722" i="1"/>
  <c r="H722" i="1"/>
  <c r="I722" i="1"/>
  <c r="J722" i="1"/>
  <c r="K722" i="1"/>
  <c r="M722" i="1"/>
  <c r="O722" i="1"/>
  <c r="Q722" i="1"/>
  <c r="R722" i="1"/>
  <c r="W722" i="1"/>
  <c r="AA722" i="1"/>
  <c r="AB722" i="1"/>
  <c r="AE722" i="1"/>
  <c r="AF722" i="1"/>
  <c r="AM722" i="1"/>
  <c r="AN722" i="1"/>
  <c r="AO722" i="1"/>
  <c r="AQ722" i="1"/>
  <c r="AX722" i="1"/>
  <c r="BD722" i="1"/>
  <c r="B723" i="1"/>
  <c r="C723" i="1"/>
  <c r="D723" i="1"/>
  <c r="E723" i="1"/>
  <c r="F723" i="1"/>
  <c r="G723" i="1"/>
  <c r="H723" i="1"/>
  <c r="I723" i="1"/>
  <c r="J723" i="1"/>
  <c r="K723" i="1"/>
  <c r="M723" i="1"/>
  <c r="O723" i="1"/>
  <c r="Q723" i="1"/>
  <c r="R723" i="1"/>
  <c r="W723" i="1"/>
  <c r="AA723" i="1"/>
  <c r="AB723" i="1"/>
  <c r="AE723" i="1"/>
  <c r="AF723" i="1"/>
  <c r="AM723" i="1"/>
  <c r="AN723" i="1"/>
  <c r="AO723" i="1"/>
  <c r="AQ723" i="1"/>
  <c r="AX723" i="1"/>
  <c r="BD723" i="1"/>
  <c r="B724" i="1"/>
  <c r="C724" i="1"/>
  <c r="D724" i="1"/>
  <c r="E724" i="1"/>
  <c r="F724" i="1"/>
  <c r="G724" i="1"/>
  <c r="H724" i="1"/>
  <c r="I724" i="1"/>
  <c r="J724" i="1"/>
  <c r="K724" i="1"/>
  <c r="M724" i="1"/>
  <c r="O724" i="1"/>
  <c r="Q724" i="1"/>
  <c r="R724" i="1"/>
  <c r="W724" i="1"/>
  <c r="AA724" i="1"/>
  <c r="AB724" i="1"/>
  <c r="AE724" i="1"/>
  <c r="AF724" i="1"/>
  <c r="AM724" i="1"/>
  <c r="AN724" i="1"/>
  <c r="AO724" i="1"/>
  <c r="AQ724" i="1"/>
  <c r="AX724" i="1"/>
  <c r="BD724" i="1"/>
  <c r="B725" i="1"/>
  <c r="C725" i="1"/>
  <c r="D725" i="1"/>
  <c r="E725" i="1"/>
  <c r="F725" i="1"/>
  <c r="G725" i="1"/>
  <c r="H725" i="1"/>
  <c r="I725" i="1"/>
  <c r="J725" i="1"/>
  <c r="K725" i="1"/>
  <c r="M725" i="1"/>
  <c r="O725" i="1"/>
  <c r="Q725" i="1"/>
  <c r="R725" i="1"/>
  <c r="W725" i="1"/>
  <c r="AA725" i="1"/>
  <c r="AB725" i="1"/>
  <c r="AE725" i="1"/>
  <c r="AF725" i="1"/>
  <c r="AM725" i="1"/>
  <c r="AN725" i="1"/>
  <c r="AO725" i="1"/>
  <c r="AQ725" i="1"/>
  <c r="AX725" i="1"/>
  <c r="BD725" i="1"/>
  <c r="B726" i="1"/>
  <c r="C726" i="1"/>
  <c r="D726" i="1"/>
  <c r="E726" i="1"/>
  <c r="F726" i="1"/>
  <c r="G726" i="1"/>
  <c r="H726" i="1"/>
  <c r="I726" i="1"/>
  <c r="J726" i="1"/>
  <c r="K726" i="1"/>
  <c r="M726" i="1"/>
  <c r="O726" i="1"/>
  <c r="Q726" i="1"/>
  <c r="R726" i="1"/>
  <c r="W726" i="1"/>
  <c r="AA726" i="1"/>
  <c r="AB726" i="1"/>
  <c r="AE726" i="1"/>
  <c r="AF726" i="1"/>
  <c r="AM726" i="1"/>
  <c r="AN726" i="1"/>
  <c r="AO726" i="1"/>
  <c r="AQ726" i="1"/>
  <c r="AX726" i="1"/>
  <c r="BD726" i="1"/>
  <c r="B727" i="1"/>
  <c r="C727" i="1"/>
  <c r="D727" i="1"/>
  <c r="E727" i="1"/>
  <c r="F727" i="1"/>
  <c r="G727" i="1"/>
  <c r="H727" i="1"/>
  <c r="I727" i="1"/>
  <c r="J727" i="1"/>
  <c r="K727" i="1"/>
  <c r="M727" i="1"/>
  <c r="O727" i="1"/>
  <c r="Q727" i="1"/>
  <c r="R727" i="1"/>
  <c r="W727" i="1"/>
  <c r="AA727" i="1"/>
  <c r="AB727" i="1"/>
  <c r="AE727" i="1"/>
  <c r="AF727" i="1"/>
  <c r="AM727" i="1"/>
  <c r="AN727" i="1"/>
  <c r="AO727" i="1"/>
  <c r="AQ727" i="1"/>
  <c r="AX727" i="1"/>
  <c r="BD727" i="1"/>
  <c r="B728" i="1"/>
  <c r="C728" i="1"/>
  <c r="D728" i="1"/>
  <c r="E728" i="1"/>
  <c r="F728" i="1"/>
  <c r="G728" i="1"/>
  <c r="H728" i="1"/>
  <c r="I728" i="1"/>
  <c r="J728" i="1"/>
  <c r="K728" i="1"/>
  <c r="M728" i="1"/>
  <c r="O728" i="1"/>
  <c r="Q728" i="1"/>
  <c r="R728" i="1"/>
  <c r="W728" i="1"/>
  <c r="AA728" i="1"/>
  <c r="AB728" i="1"/>
  <c r="AE728" i="1"/>
  <c r="AF728" i="1"/>
  <c r="AM728" i="1"/>
  <c r="AN728" i="1"/>
  <c r="AO728" i="1"/>
  <c r="AQ728" i="1"/>
  <c r="AX728" i="1"/>
  <c r="BD728" i="1"/>
  <c r="B729" i="1"/>
  <c r="C729" i="1"/>
  <c r="D729" i="1"/>
  <c r="E729" i="1"/>
  <c r="F729" i="1"/>
  <c r="G729" i="1"/>
  <c r="H729" i="1"/>
  <c r="I729" i="1"/>
  <c r="J729" i="1"/>
  <c r="K729" i="1"/>
  <c r="M729" i="1"/>
  <c r="O729" i="1"/>
  <c r="Q729" i="1"/>
  <c r="R729" i="1"/>
  <c r="W729" i="1"/>
  <c r="AA729" i="1"/>
  <c r="AB729" i="1"/>
  <c r="AE729" i="1"/>
  <c r="AF729" i="1"/>
  <c r="AM729" i="1"/>
  <c r="AN729" i="1"/>
  <c r="AO729" i="1"/>
  <c r="AQ729" i="1"/>
  <c r="AX729" i="1"/>
  <c r="BD729" i="1"/>
  <c r="B730" i="1"/>
  <c r="C730" i="1"/>
  <c r="D730" i="1"/>
  <c r="E730" i="1"/>
  <c r="F730" i="1"/>
  <c r="G730" i="1"/>
  <c r="H730" i="1"/>
  <c r="I730" i="1"/>
  <c r="J730" i="1"/>
  <c r="K730" i="1"/>
  <c r="M730" i="1"/>
  <c r="O730" i="1"/>
  <c r="Q730" i="1"/>
  <c r="R730" i="1"/>
  <c r="W730" i="1"/>
  <c r="AA730" i="1"/>
  <c r="AB730" i="1"/>
  <c r="AE730" i="1"/>
  <c r="AF730" i="1"/>
  <c r="AM730" i="1"/>
  <c r="AN730" i="1"/>
  <c r="AO730" i="1"/>
  <c r="AQ730" i="1"/>
  <c r="AX730" i="1"/>
  <c r="BD730" i="1"/>
  <c r="B731" i="1"/>
  <c r="C731" i="1"/>
  <c r="E731" i="1"/>
  <c r="F731" i="1"/>
  <c r="G731" i="1"/>
  <c r="H731" i="1"/>
  <c r="I731" i="1"/>
  <c r="J731" i="1"/>
  <c r="K731" i="1"/>
  <c r="M731" i="1"/>
  <c r="O731" i="1"/>
  <c r="Q731" i="1"/>
  <c r="R731" i="1"/>
  <c r="W731" i="1"/>
  <c r="AA731" i="1"/>
  <c r="AB731" i="1"/>
  <c r="AE731" i="1"/>
  <c r="AF731" i="1"/>
  <c r="AM731" i="1"/>
  <c r="AN731" i="1"/>
  <c r="AO731" i="1"/>
  <c r="AQ731" i="1"/>
  <c r="AX731" i="1"/>
  <c r="BD731" i="1"/>
  <c r="B732" i="1"/>
  <c r="C732" i="1"/>
  <c r="E732" i="1"/>
  <c r="F732" i="1"/>
  <c r="G732" i="1"/>
  <c r="H732" i="1"/>
  <c r="I732" i="1"/>
  <c r="J732" i="1"/>
  <c r="K732" i="1"/>
  <c r="M732" i="1"/>
  <c r="O732" i="1"/>
  <c r="Q732" i="1"/>
  <c r="R732" i="1"/>
  <c r="W732" i="1"/>
  <c r="AA732" i="1"/>
  <c r="AB732" i="1"/>
  <c r="AE732" i="1"/>
  <c r="AF732" i="1"/>
  <c r="AM732" i="1"/>
  <c r="AN732" i="1"/>
  <c r="AO732" i="1"/>
  <c r="AQ732" i="1"/>
  <c r="AX732" i="1"/>
  <c r="BD732" i="1"/>
  <c r="B733" i="1"/>
  <c r="C733" i="1"/>
  <c r="E733" i="1"/>
  <c r="F733" i="1"/>
  <c r="G733" i="1"/>
  <c r="H733" i="1"/>
  <c r="I733" i="1"/>
  <c r="J733" i="1"/>
  <c r="K733" i="1"/>
  <c r="M733" i="1"/>
  <c r="O733" i="1"/>
  <c r="Q733" i="1"/>
  <c r="R733" i="1"/>
  <c r="W733" i="1"/>
  <c r="AA733" i="1"/>
  <c r="AB733" i="1"/>
  <c r="AE733" i="1"/>
  <c r="AF733" i="1"/>
  <c r="AM733" i="1"/>
  <c r="AN733" i="1"/>
  <c r="AO733" i="1"/>
  <c r="AQ733" i="1"/>
  <c r="AX733" i="1"/>
  <c r="BD733" i="1"/>
  <c r="B734" i="1"/>
  <c r="C734" i="1"/>
  <c r="E734" i="1"/>
  <c r="F734" i="1"/>
  <c r="G734" i="1"/>
  <c r="H734" i="1"/>
  <c r="I734" i="1"/>
  <c r="J734" i="1"/>
  <c r="K734" i="1"/>
  <c r="M734" i="1"/>
  <c r="O734" i="1"/>
  <c r="Q734" i="1"/>
  <c r="R734" i="1"/>
  <c r="W734" i="1"/>
  <c r="AA734" i="1"/>
  <c r="AB734" i="1"/>
  <c r="AE734" i="1"/>
  <c r="AF734" i="1"/>
  <c r="AM734" i="1"/>
  <c r="AN734" i="1"/>
  <c r="AO734" i="1"/>
  <c r="AQ734" i="1"/>
  <c r="AX734" i="1"/>
  <c r="BD734" i="1"/>
  <c r="B735" i="1"/>
  <c r="C735" i="1"/>
  <c r="E735" i="1"/>
  <c r="F735" i="1"/>
  <c r="G735" i="1"/>
  <c r="H735" i="1"/>
  <c r="I735" i="1"/>
  <c r="J735" i="1"/>
  <c r="K735" i="1"/>
  <c r="M735" i="1"/>
  <c r="O735" i="1"/>
  <c r="Q735" i="1"/>
  <c r="R735" i="1"/>
  <c r="W735" i="1"/>
  <c r="AA735" i="1"/>
  <c r="AB735" i="1"/>
  <c r="AE735" i="1"/>
  <c r="AF735" i="1"/>
  <c r="AM735" i="1"/>
  <c r="AN735" i="1"/>
  <c r="AO735" i="1"/>
  <c r="AQ735" i="1"/>
  <c r="AX735" i="1"/>
  <c r="BD735" i="1"/>
  <c r="B736" i="1"/>
  <c r="C736" i="1"/>
  <c r="D736" i="1"/>
  <c r="E736" i="1"/>
  <c r="F736" i="1"/>
  <c r="G736" i="1"/>
  <c r="H736" i="1"/>
  <c r="I736" i="1"/>
  <c r="J736" i="1"/>
  <c r="K736" i="1"/>
  <c r="M736" i="1"/>
  <c r="O736" i="1"/>
  <c r="Q736" i="1"/>
  <c r="R736" i="1"/>
  <c r="W736" i="1"/>
  <c r="AA736" i="1"/>
  <c r="AB736" i="1"/>
  <c r="AM736" i="1"/>
  <c r="AN736" i="1"/>
  <c r="AO736" i="1"/>
  <c r="AQ736" i="1"/>
  <c r="AX736" i="1"/>
  <c r="BD736" i="1"/>
  <c r="B737" i="1"/>
  <c r="C737" i="1"/>
  <c r="D737" i="1"/>
  <c r="E737" i="1"/>
  <c r="F737" i="1"/>
  <c r="G737" i="1"/>
  <c r="H737" i="1"/>
  <c r="I737" i="1"/>
  <c r="J737" i="1"/>
  <c r="K737" i="1"/>
  <c r="M737" i="1"/>
  <c r="O737" i="1"/>
  <c r="Q737" i="1"/>
  <c r="R737" i="1"/>
  <c r="W737" i="1"/>
  <c r="AA737" i="1"/>
  <c r="AB737" i="1"/>
  <c r="AM737" i="1"/>
  <c r="AN737" i="1"/>
  <c r="AO737" i="1"/>
  <c r="AQ737" i="1"/>
  <c r="AX737" i="1"/>
  <c r="BD737" i="1"/>
  <c r="B738" i="1"/>
  <c r="E738" i="1"/>
  <c r="F738" i="1"/>
  <c r="G738" i="1"/>
  <c r="H738" i="1"/>
  <c r="I738" i="1"/>
  <c r="J738" i="1"/>
  <c r="K738" i="1"/>
  <c r="M738" i="1"/>
  <c r="O738" i="1"/>
  <c r="Q738" i="1"/>
  <c r="R738" i="1"/>
  <c r="W738" i="1"/>
  <c r="AA738" i="1"/>
  <c r="AB738" i="1"/>
  <c r="AM738" i="1"/>
  <c r="AN738" i="1"/>
  <c r="AO738" i="1"/>
  <c r="AQ738" i="1"/>
  <c r="AX738" i="1"/>
  <c r="BD738" i="1"/>
  <c r="B739" i="1"/>
  <c r="C739" i="1"/>
  <c r="D739" i="1"/>
  <c r="E739" i="1"/>
  <c r="F739" i="1"/>
  <c r="G739" i="1"/>
  <c r="H739" i="1"/>
  <c r="I739" i="1"/>
  <c r="J739" i="1"/>
  <c r="K739" i="1"/>
  <c r="M739" i="1"/>
  <c r="O739" i="1"/>
  <c r="Q739" i="1"/>
  <c r="R739" i="1"/>
  <c r="W739" i="1"/>
  <c r="AA739" i="1"/>
  <c r="AB739" i="1"/>
  <c r="AE739" i="1"/>
  <c r="AF739" i="1"/>
  <c r="AM739" i="1"/>
  <c r="AN739" i="1"/>
  <c r="AO739" i="1"/>
  <c r="AQ739" i="1"/>
  <c r="AX739" i="1"/>
  <c r="BD739" i="1"/>
  <c r="B740" i="1"/>
  <c r="C740" i="1"/>
  <c r="D740" i="1"/>
  <c r="E740" i="1"/>
  <c r="F740" i="1"/>
  <c r="G740" i="1"/>
  <c r="H740" i="1"/>
  <c r="I740" i="1"/>
  <c r="J740" i="1"/>
  <c r="K740" i="1"/>
  <c r="M740" i="1"/>
  <c r="O740" i="1"/>
  <c r="Q740" i="1"/>
  <c r="R740" i="1"/>
  <c r="W740" i="1"/>
  <c r="AA740" i="1"/>
  <c r="AB740" i="1"/>
  <c r="AE740" i="1"/>
  <c r="AF740" i="1"/>
  <c r="AM740" i="1"/>
  <c r="AN740" i="1"/>
  <c r="AO740" i="1"/>
  <c r="AQ740" i="1"/>
  <c r="AX740" i="1"/>
  <c r="BD740" i="1"/>
  <c r="B741" i="1"/>
  <c r="C741" i="1"/>
  <c r="E741" i="1"/>
  <c r="F741" i="1"/>
  <c r="G741" i="1"/>
  <c r="H741" i="1"/>
  <c r="I741" i="1"/>
  <c r="J741" i="1"/>
  <c r="K741" i="1"/>
  <c r="M741" i="1"/>
  <c r="O741" i="1"/>
  <c r="Q741" i="1"/>
  <c r="R741" i="1"/>
  <c r="W741" i="1"/>
  <c r="AA741" i="1"/>
  <c r="AB741" i="1"/>
  <c r="AE741" i="1"/>
  <c r="AF741" i="1"/>
  <c r="AM741" i="1"/>
  <c r="AN741" i="1"/>
  <c r="AO741" i="1"/>
  <c r="AQ741" i="1"/>
  <c r="AX741" i="1"/>
  <c r="BD741" i="1"/>
  <c r="B742" i="1"/>
  <c r="C742" i="1"/>
  <c r="E742" i="1"/>
  <c r="F742" i="1"/>
  <c r="G742" i="1"/>
  <c r="H742" i="1"/>
  <c r="I742" i="1"/>
  <c r="J742" i="1"/>
  <c r="K742" i="1"/>
  <c r="M742" i="1"/>
  <c r="O742" i="1"/>
  <c r="Q742" i="1"/>
  <c r="R742" i="1"/>
  <c r="W742" i="1"/>
  <c r="AA742" i="1"/>
  <c r="AB742" i="1"/>
  <c r="AE742" i="1"/>
  <c r="AF742" i="1"/>
  <c r="AM742" i="1"/>
  <c r="AN742" i="1"/>
  <c r="AO742" i="1"/>
  <c r="AQ742" i="1"/>
  <c r="AX742" i="1"/>
  <c r="BD742" i="1"/>
  <c r="B743" i="1"/>
  <c r="E743" i="1"/>
  <c r="F743" i="1"/>
  <c r="G743" i="1"/>
  <c r="H743" i="1"/>
  <c r="I743" i="1"/>
  <c r="J743" i="1"/>
  <c r="K743" i="1"/>
  <c r="M743" i="1"/>
  <c r="O743" i="1"/>
  <c r="Q743" i="1"/>
  <c r="R743" i="1"/>
  <c r="W743" i="1"/>
  <c r="AA743" i="1"/>
  <c r="AB743" i="1"/>
  <c r="AM743" i="1"/>
  <c r="AN743" i="1"/>
  <c r="AO743" i="1"/>
  <c r="AQ743" i="1"/>
  <c r="AX743" i="1"/>
  <c r="BD743" i="1"/>
  <c r="B744" i="1"/>
  <c r="C744" i="1"/>
  <c r="E744" i="1"/>
  <c r="F744" i="1"/>
  <c r="G744" i="1"/>
  <c r="H744" i="1"/>
  <c r="I744" i="1"/>
  <c r="J744" i="1"/>
  <c r="K744" i="1"/>
  <c r="M744" i="1"/>
  <c r="O744" i="1"/>
  <c r="Q744" i="1"/>
  <c r="R744" i="1"/>
  <c r="W744" i="1"/>
  <c r="AA744" i="1"/>
  <c r="AB744" i="1"/>
  <c r="AE744" i="1"/>
  <c r="AF744" i="1"/>
  <c r="AM744" i="1"/>
  <c r="AN744" i="1"/>
  <c r="AO744" i="1"/>
  <c r="AQ744" i="1"/>
  <c r="AX744" i="1"/>
  <c r="BD744" i="1"/>
  <c r="B745" i="1"/>
  <c r="C745" i="1"/>
  <c r="E745" i="1"/>
  <c r="F745" i="1"/>
  <c r="G745" i="1"/>
  <c r="H745" i="1"/>
  <c r="I745" i="1"/>
  <c r="J745" i="1"/>
  <c r="K745" i="1"/>
  <c r="M745" i="1"/>
  <c r="O745" i="1"/>
  <c r="Q745" i="1"/>
  <c r="R745" i="1"/>
  <c r="W745" i="1"/>
  <c r="AA745" i="1"/>
  <c r="AB745" i="1"/>
  <c r="AE745" i="1"/>
  <c r="AF745" i="1"/>
  <c r="AM745" i="1"/>
  <c r="AN745" i="1"/>
  <c r="AO745" i="1"/>
  <c r="AQ745" i="1"/>
  <c r="AX745" i="1"/>
  <c r="BD745" i="1"/>
  <c r="B746" i="1"/>
  <c r="C746" i="1"/>
  <c r="E746" i="1"/>
  <c r="F746" i="1"/>
  <c r="G746" i="1"/>
  <c r="H746" i="1"/>
  <c r="I746" i="1"/>
  <c r="J746" i="1"/>
  <c r="K746" i="1"/>
  <c r="M746" i="1"/>
  <c r="O746" i="1"/>
  <c r="Q746" i="1"/>
  <c r="R746" i="1"/>
  <c r="W746" i="1"/>
  <c r="AA746" i="1"/>
  <c r="AB746" i="1"/>
  <c r="AE746" i="1"/>
  <c r="AF746" i="1"/>
  <c r="AM746" i="1"/>
  <c r="AN746" i="1"/>
  <c r="AO746" i="1"/>
  <c r="AQ746" i="1"/>
  <c r="AX746" i="1"/>
  <c r="BD746" i="1"/>
  <c r="B747" i="1"/>
  <c r="C747" i="1"/>
  <c r="E747" i="1"/>
  <c r="F747" i="1"/>
  <c r="G747" i="1"/>
  <c r="H747" i="1"/>
  <c r="I747" i="1"/>
  <c r="J747" i="1"/>
  <c r="K747" i="1"/>
  <c r="M747" i="1"/>
  <c r="O747" i="1"/>
  <c r="Q747" i="1"/>
  <c r="R747" i="1"/>
  <c r="W747" i="1"/>
  <c r="AA747" i="1"/>
  <c r="AB747" i="1"/>
  <c r="AE747" i="1"/>
  <c r="AF747" i="1"/>
  <c r="AM747" i="1"/>
  <c r="AN747" i="1"/>
  <c r="AO747" i="1"/>
  <c r="AQ747" i="1"/>
  <c r="AX747" i="1"/>
  <c r="BD747" i="1"/>
  <c r="B748" i="1"/>
  <c r="C748" i="1"/>
  <c r="E748" i="1"/>
  <c r="F748" i="1"/>
  <c r="G748" i="1"/>
  <c r="H748" i="1"/>
  <c r="I748" i="1"/>
  <c r="J748" i="1"/>
  <c r="K748" i="1"/>
  <c r="M748" i="1"/>
  <c r="O748" i="1"/>
  <c r="Q748" i="1"/>
  <c r="R748" i="1"/>
  <c r="W748" i="1"/>
  <c r="AA748" i="1"/>
  <c r="AB748" i="1"/>
  <c r="AE748" i="1"/>
  <c r="AF748" i="1"/>
  <c r="AM748" i="1"/>
  <c r="AN748" i="1"/>
  <c r="AO748" i="1"/>
  <c r="AQ748" i="1"/>
  <c r="AX748" i="1"/>
  <c r="BD748" i="1"/>
  <c r="B749" i="1"/>
  <c r="C749" i="1"/>
  <c r="E749" i="1"/>
  <c r="F749" i="1"/>
  <c r="G749" i="1"/>
  <c r="H749" i="1"/>
  <c r="I749" i="1"/>
  <c r="J749" i="1"/>
  <c r="K749" i="1"/>
  <c r="M749" i="1"/>
  <c r="O749" i="1"/>
  <c r="Q749" i="1"/>
  <c r="R749" i="1"/>
  <c r="W749" i="1"/>
  <c r="AA749" i="1"/>
  <c r="AB749" i="1"/>
  <c r="AE749" i="1"/>
  <c r="AF749" i="1"/>
  <c r="AM749" i="1"/>
  <c r="AN749" i="1"/>
  <c r="AO749" i="1"/>
  <c r="AQ749" i="1"/>
  <c r="AX749" i="1"/>
  <c r="BD749" i="1"/>
  <c r="B750" i="1"/>
  <c r="C750" i="1"/>
  <c r="E750" i="1"/>
  <c r="F750" i="1"/>
  <c r="G750" i="1"/>
  <c r="H750" i="1"/>
  <c r="I750" i="1"/>
  <c r="J750" i="1"/>
  <c r="K750" i="1"/>
  <c r="M750" i="1"/>
  <c r="O750" i="1"/>
  <c r="Q750" i="1"/>
  <c r="R750" i="1"/>
  <c r="W750" i="1"/>
  <c r="AA750" i="1"/>
  <c r="AB750" i="1"/>
  <c r="AE750" i="1"/>
  <c r="AF750" i="1"/>
  <c r="AM750" i="1"/>
  <c r="AN750" i="1"/>
  <c r="AO750" i="1"/>
  <c r="AQ750" i="1"/>
  <c r="AX750" i="1"/>
  <c r="BD750" i="1"/>
  <c r="B751" i="1"/>
  <c r="C751" i="1"/>
  <c r="E751" i="1"/>
  <c r="F751" i="1"/>
  <c r="G751" i="1"/>
  <c r="H751" i="1"/>
  <c r="I751" i="1"/>
  <c r="J751" i="1"/>
  <c r="K751" i="1"/>
  <c r="M751" i="1"/>
  <c r="O751" i="1"/>
  <c r="Q751" i="1"/>
  <c r="R751" i="1"/>
  <c r="W751" i="1"/>
  <c r="AA751" i="1"/>
  <c r="AB751" i="1"/>
  <c r="AE751" i="1"/>
  <c r="AF751" i="1"/>
  <c r="AM751" i="1"/>
  <c r="AN751" i="1"/>
  <c r="AO751" i="1"/>
  <c r="AQ751" i="1"/>
  <c r="AX751" i="1"/>
  <c r="BD751" i="1"/>
  <c r="B752" i="1"/>
  <c r="C752" i="1"/>
  <c r="E752" i="1"/>
  <c r="F752" i="1"/>
  <c r="G752" i="1"/>
  <c r="H752" i="1"/>
  <c r="I752" i="1"/>
  <c r="J752" i="1"/>
  <c r="K752" i="1"/>
  <c r="M752" i="1"/>
  <c r="O752" i="1"/>
  <c r="Q752" i="1"/>
  <c r="R752" i="1"/>
  <c r="W752" i="1"/>
  <c r="AA752" i="1"/>
  <c r="AB752" i="1"/>
  <c r="AE752" i="1"/>
  <c r="AF752" i="1"/>
  <c r="AM752" i="1"/>
  <c r="AN752" i="1"/>
  <c r="AO752" i="1"/>
  <c r="AQ752" i="1"/>
  <c r="AX752" i="1"/>
  <c r="BD752" i="1"/>
  <c r="B753" i="1"/>
  <c r="C753" i="1"/>
  <c r="E753" i="1"/>
  <c r="F753" i="1"/>
  <c r="G753" i="1"/>
  <c r="H753" i="1"/>
  <c r="I753" i="1"/>
  <c r="J753" i="1"/>
  <c r="K753" i="1"/>
  <c r="M753" i="1"/>
  <c r="O753" i="1"/>
  <c r="Q753" i="1"/>
  <c r="R753" i="1"/>
  <c r="W753" i="1"/>
  <c r="AA753" i="1"/>
  <c r="AB753" i="1"/>
  <c r="AE753" i="1"/>
  <c r="AF753" i="1"/>
  <c r="AM753" i="1"/>
  <c r="AN753" i="1"/>
  <c r="AO753" i="1"/>
  <c r="AQ753" i="1"/>
  <c r="AX753" i="1"/>
  <c r="BD753" i="1"/>
  <c r="B754" i="1"/>
  <c r="C754" i="1"/>
  <c r="E754" i="1"/>
  <c r="F754" i="1"/>
  <c r="G754" i="1"/>
  <c r="H754" i="1"/>
  <c r="I754" i="1"/>
  <c r="J754" i="1"/>
  <c r="K754" i="1"/>
  <c r="M754" i="1"/>
  <c r="O754" i="1"/>
  <c r="Q754" i="1"/>
  <c r="R754" i="1"/>
  <c r="W754" i="1"/>
  <c r="AA754" i="1"/>
  <c r="AB754" i="1"/>
  <c r="AE754" i="1"/>
  <c r="AF754" i="1"/>
  <c r="AM754" i="1"/>
  <c r="AN754" i="1"/>
  <c r="AO754" i="1"/>
  <c r="AQ754" i="1"/>
  <c r="AX754" i="1"/>
  <c r="BD754" i="1"/>
  <c r="B755" i="1"/>
  <c r="C755" i="1"/>
  <c r="D755" i="1"/>
  <c r="E755" i="1"/>
  <c r="F755" i="1"/>
  <c r="G755" i="1"/>
  <c r="H755" i="1"/>
  <c r="I755" i="1"/>
  <c r="J755" i="1"/>
  <c r="K755" i="1"/>
  <c r="M755" i="1"/>
  <c r="O755" i="1"/>
  <c r="Q755" i="1"/>
  <c r="R755" i="1"/>
  <c r="W755" i="1"/>
  <c r="AA755" i="1"/>
  <c r="AB755" i="1"/>
  <c r="AE755" i="1"/>
  <c r="AF755" i="1"/>
  <c r="AM755" i="1"/>
  <c r="AN755" i="1"/>
  <c r="AO755" i="1"/>
  <c r="AQ755" i="1"/>
  <c r="AX755" i="1"/>
  <c r="BD755" i="1"/>
  <c r="B756" i="1"/>
  <c r="C756" i="1"/>
  <c r="E756" i="1"/>
  <c r="F756" i="1"/>
  <c r="G756" i="1"/>
  <c r="H756" i="1"/>
  <c r="I756" i="1"/>
  <c r="J756" i="1"/>
  <c r="K756" i="1"/>
  <c r="M756" i="1"/>
  <c r="O756" i="1"/>
  <c r="Q756" i="1"/>
  <c r="R756" i="1"/>
  <c r="W756" i="1"/>
  <c r="AA756" i="1"/>
  <c r="AB756" i="1"/>
  <c r="AE756" i="1"/>
  <c r="AF756" i="1"/>
  <c r="AM756" i="1"/>
  <c r="AN756" i="1"/>
  <c r="AO756" i="1"/>
  <c r="AQ756" i="1"/>
  <c r="AX756" i="1"/>
  <c r="BD756" i="1"/>
  <c r="B757" i="1"/>
  <c r="C757" i="1"/>
  <c r="E757" i="1"/>
  <c r="F757" i="1"/>
  <c r="G757" i="1"/>
  <c r="H757" i="1"/>
  <c r="I757" i="1"/>
  <c r="J757" i="1"/>
  <c r="K757" i="1"/>
  <c r="M757" i="1"/>
  <c r="O757" i="1"/>
  <c r="Q757" i="1"/>
  <c r="R757" i="1"/>
  <c r="W757" i="1"/>
  <c r="AA757" i="1"/>
  <c r="AB757" i="1"/>
  <c r="AE757" i="1"/>
  <c r="AF757" i="1"/>
  <c r="AM757" i="1"/>
  <c r="AN757" i="1"/>
  <c r="AO757" i="1"/>
  <c r="AQ757" i="1"/>
  <c r="AX757" i="1"/>
  <c r="BD757" i="1"/>
  <c r="B758" i="1"/>
  <c r="C758" i="1"/>
  <c r="E758" i="1"/>
  <c r="F758" i="1"/>
  <c r="G758" i="1"/>
  <c r="H758" i="1"/>
  <c r="I758" i="1"/>
  <c r="J758" i="1"/>
  <c r="K758" i="1"/>
  <c r="M758" i="1"/>
  <c r="O758" i="1"/>
  <c r="Q758" i="1"/>
  <c r="R758" i="1"/>
  <c r="W758" i="1"/>
  <c r="AA758" i="1"/>
  <c r="AB758" i="1"/>
  <c r="AE758" i="1"/>
  <c r="AF758" i="1"/>
  <c r="AM758" i="1"/>
  <c r="AN758" i="1"/>
  <c r="AO758" i="1"/>
  <c r="AQ758" i="1"/>
  <c r="AX758" i="1"/>
  <c r="BD758" i="1"/>
  <c r="B759" i="1"/>
  <c r="E759" i="1"/>
  <c r="F759" i="1"/>
  <c r="G759" i="1"/>
  <c r="H759" i="1"/>
  <c r="I759" i="1"/>
  <c r="J759" i="1"/>
  <c r="K759" i="1"/>
  <c r="M759" i="1"/>
  <c r="O759" i="1"/>
  <c r="Q759" i="1"/>
  <c r="R759" i="1"/>
  <c r="W759" i="1"/>
  <c r="AA759" i="1"/>
  <c r="AB759" i="1"/>
  <c r="AM759" i="1"/>
  <c r="AN759" i="1"/>
  <c r="AO759" i="1"/>
  <c r="AQ759" i="1"/>
  <c r="AX759" i="1"/>
  <c r="BD759" i="1"/>
  <c r="B760" i="1"/>
  <c r="E760" i="1"/>
  <c r="F760" i="1"/>
  <c r="G760" i="1"/>
  <c r="H760" i="1"/>
  <c r="I760" i="1"/>
  <c r="J760" i="1"/>
  <c r="K760" i="1"/>
  <c r="M760" i="1"/>
  <c r="O760" i="1"/>
  <c r="Q760" i="1"/>
  <c r="R760" i="1"/>
  <c r="W760" i="1"/>
  <c r="AA760" i="1"/>
  <c r="AB760" i="1"/>
  <c r="AM760" i="1"/>
  <c r="AN760" i="1"/>
  <c r="AO760" i="1"/>
  <c r="AQ760" i="1"/>
  <c r="AX760" i="1"/>
  <c r="BD760" i="1"/>
  <c r="B761" i="1"/>
  <c r="C761" i="1"/>
  <c r="D761" i="1"/>
  <c r="E761" i="1"/>
  <c r="F761" i="1"/>
  <c r="G761" i="1"/>
  <c r="H761" i="1"/>
  <c r="I761" i="1"/>
  <c r="J761" i="1"/>
  <c r="K761" i="1"/>
  <c r="M761" i="1"/>
  <c r="O761" i="1"/>
  <c r="Q761" i="1"/>
  <c r="R761" i="1"/>
  <c r="W761" i="1"/>
  <c r="AA761" i="1"/>
  <c r="AB761" i="1"/>
  <c r="AE761" i="1"/>
  <c r="AF761" i="1"/>
  <c r="AM761" i="1"/>
  <c r="AN761" i="1"/>
  <c r="AO761" i="1"/>
  <c r="AQ761" i="1"/>
  <c r="AX761" i="1"/>
  <c r="BD761" i="1"/>
  <c r="B762" i="1"/>
  <c r="E762" i="1"/>
  <c r="F762" i="1"/>
  <c r="G762" i="1"/>
  <c r="H762" i="1"/>
  <c r="I762" i="1"/>
  <c r="J762" i="1"/>
  <c r="K762" i="1"/>
  <c r="M762" i="1"/>
  <c r="O762" i="1"/>
  <c r="Q762" i="1"/>
  <c r="R762" i="1"/>
  <c r="W762" i="1"/>
  <c r="AA762" i="1"/>
  <c r="AB762" i="1"/>
  <c r="AM762" i="1"/>
  <c r="AN762" i="1"/>
  <c r="AO762" i="1"/>
  <c r="AQ762" i="1"/>
  <c r="AX762" i="1"/>
  <c r="BD762" i="1"/>
  <c r="B763" i="1"/>
  <c r="E763" i="1"/>
  <c r="F763" i="1"/>
  <c r="G763" i="1"/>
  <c r="H763" i="1"/>
  <c r="I763" i="1"/>
  <c r="J763" i="1"/>
  <c r="K763" i="1"/>
  <c r="M763" i="1"/>
  <c r="O763" i="1"/>
  <c r="Q763" i="1"/>
  <c r="R763" i="1"/>
  <c r="W763" i="1"/>
  <c r="AA763" i="1"/>
  <c r="AM763" i="1"/>
  <c r="AN763" i="1"/>
  <c r="AO763" i="1"/>
  <c r="AQ763" i="1"/>
  <c r="BB763" i="1"/>
  <c r="BD763" i="1"/>
  <c r="B764" i="1"/>
  <c r="E764" i="1"/>
  <c r="F764" i="1"/>
  <c r="G764" i="1"/>
  <c r="H764" i="1"/>
  <c r="I764" i="1"/>
  <c r="J764" i="1"/>
  <c r="K764" i="1"/>
  <c r="M764" i="1"/>
  <c r="O764" i="1"/>
  <c r="Q764" i="1"/>
  <c r="R764" i="1"/>
  <c r="W764" i="1"/>
  <c r="AA764" i="1"/>
  <c r="AM764" i="1"/>
  <c r="AN764" i="1"/>
  <c r="AO764" i="1"/>
  <c r="AQ764" i="1"/>
  <c r="BB764" i="1"/>
  <c r="BD764" i="1"/>
  <c r="B765" i="1"/>
  <c r="C765" i="1"/>
  <c r="D765" i="1"/>
  <c r="E765" i="1"/>
  <c r="F765" i="1"/>
  <c r="G765" i="1"/>
  <c r="H765" i="1"/>
  <c r="I765" i="1"/>
  <c r="J765" i="1"/>
  <c r="K765" i="1"/>
  <c r="M765" i="1"/>
  <c r="O765" i="1"/>
  <c r="Q765" i="1"/>
  <c r="R765" i="1"/>
  <c r="W765" i="1"/>
  <c r="AA765" i="1"/>
  <c r="AB765" i="1"/>
  <c r="AE765" i="1"/>
  <c r="AF765" i="1"/>
  <c r="AM765" i="1"/>
  <c r="AN765" i="1"/>
  <c r="AO765" i="1"/>
  <c r="AQ765" i="1"/>
  <c r="AX765" i="1"/>
  <c r="BD765" i="1"/>
  <c r="B766" i="1"/>
  <c r="C766" i="1"/>
  <c r="E766" i="1"/>
  <c r="F766" i="1"/>
  <c r="G766" i="1"/>
  <c r="H766" i="1"/>
  <c r="I766" i="1"/>
  <c r="J766" i="1"/>
  <c r="K766" i="1"/>
  <c r="M766" i="1"/>
  <c r="O766" i="1"/>
  <c r="Q766" i="1"/>
  <c r="R766" i="1"/>
  <c r="W766" i="1"/>
  <c r="AA766" i="1"/>
  <c r="AM766" i="1"/>
  <c r="AN766" i="1"/>
  <c r="AO766" i="1"/>
  <c r="AQ766" i="1"/>
  <c r="BB766" i="1"/>
  <c r="BD766" i="1"/>
  <c r="B767" i="1"/>
  <c r="C767" i="1"/>
  <c r="E767" i="1"/>
  <c r="F767" i="1"/>
  <c r="G767" i="1"/>
  <c r="H767" i="1"/>
  <c r="I767" i="1"/>
  <c r="J767" i="1"/>
  <c r="K767" i="1"/>
  <c r="M767" i="1"/>
  <c r="O767" i="1"/>
  <c r="Q767" i="1"/>
  <c r="R767" i="1"/>
  <c r="W767" i="1"/>
  <c r="AA767" i="1"/>
  <c r="AM767" i="1"/>
  <c r="AN767" i="1"/>
  <c r="AO767" i="1"/>
  <c r="AQ767" i="1"/>
  <c r="BB767" i="1"/>
  <c r="BD767" i="1"/>
  <c r="B768" i="1"/>
  <c r="C768" i="1"/>
  <c r="E768" i="1"/>
  <c r="F768" i="1"/>
  <c r="G768" i="1"/>
  <c r="H768" i="1"/>
  <c r="I768" i="1"/>
  <c r="J768" i="1"/>
  <c r="K768" i="1"/>
  <c r="M768" i="1"/>
  <c r="O768" i="1"/>
  <c r="Q768" i="1"/>
  <c r="R768" i="1"/>
  <c r="W768" i="1"/>
  <c r="AA768" i="1"/>
  <c r="AM768" i="1"/>
  <c r="AN768" i="1"/>
  <c r="AO768" i="1"/>
  <c r="AQ768" i="1"/>
  <c r="BB768" i="1"/>
  <c r="BD768" i="1"/>
  <c r="B769" i="1"/>
  <c r="C769" i="1"/>
  <c r="E769" i="1"/>
  <c r="F769" i="1"/>
  <c r="G769" i="1"/>
  <c r="H769" i="1"/>
  <c r="I769" i="1"/>
  <c r="J769" i="1"/>
  <c r="K769" i="1"/>
  <c r="M769" i="1"/>
  <c r="O769" i="1"/>
  <c r="Q769" i="1"/>
  <c r="R769" i="1"/>
  <c r="W769" i="1"/>
  <c r="AA769" i="1"/>
  <c r="AM769" i="1"/>
  <c r="AN769" i="1"/>
  <c r="AO769" i="1"/>
  <c r="AQ769" i="1"/>
  <c r="BB769" i="1"/>
  <c r="BD769" i="1"/>
  <c r="B770" i="1"/>
  <c r="C770" i="1"/>
  <c r="E770" i="1"/>
  <c r="F770" i="1"/>
  <c r="G770" i="1"/>
  <c r="H770" i="1"/>
  <c r="I770" i="1"/>
  <c r="J770" i="1"/>
  <c r="K770" i="1"/>
  <c r="M770" i="1"/>
  <c r="O770" i="1"/>
  <c r="Q770" i="1"/>
  <c r="R770" i="1"/>
  <c r="W770" i="1"/>
  <c r="AA770" i="1"/>
  <c r="AM770" i="1"/>
  <c r="AN770" i="1"/>
  <c r="AO770" i="1"/>
  <c r="AQ770" i="1"/>
  <c r="BB770" i="1"/>
  <c r="BD770" i="1"/>
  <c r="B771" i="1"/>
  <c r="C771" i="1"/>
  <c r="E771" i="1"/>
  <c r="F771" i="1"/>
  <c r="G771" i="1"/>
  <c r="H771" i="1"/>
  <c r="I771" i="1"/>
  <c r="J771" i="1"/>
  <c r="K771" i="1"/>
  <c r="M771" i="1"/>
  <c r="O771" i="1"/>
  <c r="Q771" i="1"/>
  <c r="R771" i="1"/>
  <c r="W771" i="1"/>
  <c r="AA771" i="1"/>
  <c r="AM771" i="1"/>
  <c r="AN771" i="1"/>
  <c r="AO771" i="1"/>
  <c r="AQ771" i="1"/>
  <c r="BB771" i="1"/>
  <c r="BD771" i="1"/>
  <c r="B772" i="1"/>
  <c r="E772" i="1"/>
  <c r="F772" i="1"/>
  <c r="G772" i="1"/>
  <c r="H772" i="1"/>
  <c r="I772" i="1"/>
  <c r="J772" i="1"/>
  <c r="K772" i="1"/>
  <c r="M772" i="1"/>
  <c r="O772" i="1"/>
  <c r="Q772" i="1"/>
  <c r="R772" i="1"/>
  <c r="W772" i="1"/>
  <c r="AA772" i="1"/>
  <c r="AB772" i="1"/>
  <c r="AM772" i="1"/>
  <c r="AN772" i="1"/>
  <c r="AO772" i="1"/>
  <c r="AQ772" i="1"/>
  <c r="AX772" i="1"/>
  <c r="BD772" i="1"/>
  <c r="B773" i="1"/>
  <c r="E773" i="1"/>
  <c r="F773" i="1"/>
  <c r="G773" i="1"/>
  <c r="H773" i="1"/>
  <c r="I773" i="1"/>
  <c r="J773" i="1"/>
  <c r="K773" i="1"/>
  <c r="M773" i="1"/>
  <c r="O773" i="1"/>
  <c r="Q773" i="1"/>
  <c r="R773" i="1"/>
  <c r="W773" i="1"/>
  <c r="AA773" i="1"/>
  <c r="AB773" i="1"/>
  <c r="AM773" i="1"/>
  <c r="AN773" i="1"/>
  <c r="AO773" i="1"/>
  <c r="AQ773" i="1"/>
  <c r="AX773" i="1"/>
  <c r="BD773" i="1"/>
  <c r="B774" i="1"/>
  <c r="E774" i="1"/>
  <c r="F774" i="1"/>
  <c r="G774" i="1"/>
  <c r="H774" i="1"/>
  <c r="I774" i="1"/>
  <c r="J774" i="1"/>
  <c r="K774" i="1"/>
  <c r="M774" i="1"/>
  <c r="O774" i="1"/>
  <c r="Q774" i="1"/>
  <c r="R774" i="1"/>
  <c r="W774" i="1"/>
  <c r="AA774" i="1"/>
  <c r="AB774" i="1"/>
  <c r="AM774" i="1"/>
  <c r="AN774" i="1"/>
  <c r="AO774" i="1"/>
  <c r="AQ774" i="1"/>
  <c r="AX774" i="1"/>
  <c r="BD774" i="1"/>
  <c r="B775" i="1"/>
  <c r="E775" i="1"/>
  <c r="F775" i="1"/>
  <c r="G775" i="1"/>
  <c r="H775" i="1"/>
  <c r="I775" i="1"/>
  <c r="J775" i="1"/>
  <c r="K775" i="1"/>
  <c r="M775" i="1"/>
  <c r="O775" i="1"/>
  <c r="Q775" i="1"/>
  <c r="R775" i="1"/>
  <c r="W775" i="1"/>
  <c r="AA775" i="1"/>
  <c r="AM775" i="1"/>
  <c r="AN775" i="1"/>
  <c r="AO775" i="1"/>
  <c r="AQ775" i="1"/>
  <c r="BB775" i="1"/>
  <c r="BD775" i="1"/>
  <c r="B776" i="1"/>
  <c r="E776" i="1"/>
  <c r="F776" i="1"/>
  <c r="G776" i="1"/>
  <c r="H776" i="1"/>
  <c r="I776" i="1"/>
  <c r="J776" i="1"/>
  <c r="K776" i="1"/>
  <c r="M776" i="1"/>
  <c r="O776" i="1"/>
  <c r="Q776" i="1"/>
  <c r="R776" i="1"/>
  <c r="W776" i="1"/>
  <c r="AA776" i="1"/>
  <c r="AM776" i="1"/>
  <c r="AN776" i="1"/>
  <c r="AO776" i="1"/>
  <c r="AQ776" i="1"/>
  <c r="BB776" i="1"/>
  <c r="BD776" i="1"/>
  <c r="B777" i="1"/>
  <c r="E777" i="1"/>
  <c r="F777" i="1"/>
  <c r="G777" i="1"/>
  <c r="H777" i="1"/>
  <c r="I777" i="1"/>
  <c r="J777" i="1"/>
  <c r="K777" i="1"/>
  <c r="M777" i="1"/>
  <c r="O777" i="1"/>
  <c r="Q777" i="1"/>
  <c r="R777" i="1"/>
  <c r="W777" i="1"/>
  <c r="AA777" i="1"/>
  <c r="AM777" i="1"/>
  <c r="AN777" i="1"/>
  <c r="AO777" i="1"/>
  <c r="AQ777" i="1"/>
  <c r="BB777" i="1"/>
  <c r="BD777" i="1"/>
  <c r="B778" i="1"/>
  <c r="E778" i="1"/>
  <c r="F778" i="1"/>
  <c r="G778" i="1"/>
  <c r="H778" i="1"/>
  <c r="I778" i="1"/>
  <c r="J778" i="1"/>
  <c r="K778" i="1"/>
  <c r="M778" i="1"/>
  <c r="O778" i="1"/>
  <c r="Q778" i="1"/>
  <c r="R778" i="1"/>
  <c r="W778" i="1"/>
  <c r="AA778" i="1"/>
  <c r="AM778" i="1"/>
  <c r="AN778" i="1"/>
  <c r="AO778" i="1"/>
  <c r="AQ778" i="1"/>
  <c r="BB778" i="1"/>
  <c r="BD778" i="1"/>
  <c r="B779" i="1"/>
  <c r="E779" i="1"/>
  <c r="F779" i="1"/>
  <c r="G779" i="1"/>
  <c r="H779" i="1"/>
  <c r="I779" i="1"/>
  <c r="J779" i="1"/>
  <c r="K779" i="1"/>
  <c r="M779" i="1"/>
  <c r="O779" i="1"/>
  <c r="Q779" i="1"/>
  <c r="R779" i="1"/>
  <c r="W779" i="1"/>
  <c r="AA779" i="1"/>
  <c r="AM779" i="1"/>
  <c r="AN779" i="1"/>
  <c r="AO779" i="1"/>
  <c r="AQ779" i="1"/>
  <c r="BB779" i="1"/>
  <c r="BD779" i="1"/>
  <c r="B780" i="1"/>
  <c r="E780" i="1"/>
  <c r="F780" i="1"/>
  <c r="G780" i="1"/>
  <c r="H780" i="1"/>
  <c r="I780" i="1"/>
  <c r="J780" i="1"/>
  <c r="K780" i="1"/>
  <c r="M780" i="1"/>
  <c r="O780" i="1"/>
  <c r="Q780" i="1"/>
  <c r="R780" i="1"/>
  <c r="W780" i="1"/>
  <c r="AA780" i="1"/>
  <c r="AM780" i="1"/>
  <c r="AN780" i="1"/>
  <c r="AO780" i="1"/>
  <c r="AQ780" i="1"/>
  <c r="BB780" i="1"/>
  <c r="BD780" i="1"/>
  <c r="B781" i="1"/>
  <c r="E781" i="1"/>
  <c r="F781" i="1"/>
  <c r="G781" i="1"/>
  <c r="H781" i="1"/>
  <c r="I781" i="1"/>
  <c r="J781" i="1"/>
  <c r="K781" i="1"/>
  <c r="M781" i="1"/>
  <c r="O781" i="1"/>
  <c r="Q781" i="1"/>
  <c r="R781" i="1"/>
  <c r="W781" i="1"/>
  <c r="AA781" i="1"/>
  <c r="AM781" i="1"/>
  <c r="AN781" i="1"/>
  <c r="AO781" i="1"/>
  <c r="AQ781" i="1"/>
  <c r="BB781" i="1"/>
  <c r="BD781" i="1"/>
  <c r="B782" i="1"/>
  <c r="E782" i="1"/>
  <c r="F782" i="1"/>
  <c r="G782" i="1"/>
  <c r="H782" i="1"/>
  <c r="I782" i="1"/>
  <c r="J782" i="1"/>
  <c r="K782" i="1"/>
  <c r="M782" i="1"/>
  <c r="O782" i="1"/>
  <c r="Q782" i="1"/>
  <c r="R782" i="1"/>
  <c r="W782" i="1"/>
  <c r="AA782" i="1"/>
  <c r="AM782" i="1"/>
  <c r="AN782" i="1"/>
  <c r="AO782" i="1"/>
  <c r="AQ782" i="1"/>
  <c r="BB782" i="1"/>
  <c r="BD782" i="1"/>
  <c r="B783" i="1"/>
  <c r="E783" i="1"/>
  <c r="F783" i="1"/>
  <c r="G783" i="1"/>
  <c r="H783" i="1"/>
  <c r="I783" i="1"/>
  <c r="J783" i="1"/>
  <c r="K783" i="1"/>
  <c r="M783" i="1"/>
  <c r="O783" i="1"/>
  <c r="Q783" i="1"/>
  <c r="R783" i="1"/>
  <c r="W783" i="1"/>
  <c r="AA783" i="1"/>
  <c r="AM783" i="1"/>
  <c r="AN783" i="1"/>
  <c r="AO783" i="1"/>
  <c r="AQ783" i="1"/>
  <c r="BB783" i="1"/>
  <c r="BD783" i="1"/>
  <c r="B784" i="1"/>
  <c r="C784" i="1"/>
  <c r="E784" i="1"/>
  <c r="F784" i="1"/>
  <c r="G784" i="1"/>
  <c r="H784" i="1"/>
  <c r="I784" i="1"/>
  <c r="J784" i="1"/>
  <c r="K784" i="1"/>
  <c r="M784" i="1"/>
  <c r="O784" i="1"/>
  <c r="Q784" i="1"/>
  <c r="R784" i="1"/>
  <c r="W784" i="1"/>
  <c r="AA784" i="1"/>
  <c r="AB784" i="1"/>
  <c r="AE784" i="1"/>
  <c r="AF784" i="1"/>
  <c r="AM784" i="1"/>
  <c r="AN784" i="1"/>
  <c r="AO784" i="1"/>
  <c r="AQ784" i="1"/>
  <c r="AX784" i="1"/>
  <c r="BD784" i="1"/>
  <c r="B785" i="1"/>
  <c r="C785" i="1"/>
  <c r="E785" i="1"/>
  <c r="F785" i="1"/>
  <c r="G785" i="1"/>
  <c r="H785" i="1"/>
  <c r="I785" i="1"/>
  <c r="J785" i="1"/>
  <c r="K785" i="1"/>
  <c r="M785" i="1"/>
  <c r="O785" i="1"/>
  <c r="Q785" i="1"/>
  <c r="R785" i="1"/>
  <c r="W785" i="1"/>
  <c r="AA785" i="1"/>
  <c r="AM785" i="1"/>
  <c r="AN785" i="1"/>
  <c r="AO785" i="1"/>
  <c r="AQ785" i="1"/>
  <c r="BB785" i="1"/>
  <c r="BD785" i="1"/>
  <c r="B786" i="1"/>
  <c r="C786" i="1"/>
  <c r="E786" i="1"/>
  <c r="F786" i="1"/>
  <c r="G786" i="1"/>
  <c r="H786" i="1"/>
  <c r="I786" i="1"/>
  <c r="J786" i="1"/>
  <c r="K786" i="1"/>
  <c r="M786" i="1"/>
  <c r="O786" i="1"/>
  <c r="Q786" i="1"/>
  <c r="R786" i="1"/>
  <c r="W786" i="1"/>
  <c r="AA786" i="1"/>
  <c r="AM786" i="1"/>
  <c r="AN786" i="1"/>
  <c r="AO786" i="1"/>
  <c r="AQ786" i="1"/>
  <c r="BB786" i="1"/>
  <c r="BD786" i="1"/>
  <c r="B787" i="1"/>
  <c r="C787" i="1"/>
  <c r="D787" i="1"/>
  <c r="E787" i="1"/>
  <c r="F787" i="1"/>
  <c r="G787" i="1"/>
  <c r="H787" i="1"/>
  <c r="I787" i="1"/>
  <c r="J787" i="1"/>
  <c r="K787" i="1"/>
  <c r="M787" i="1"/>
  <c r="O787" i="1"/>
  <c r="Q787" i="1"/>
  <c r="R787" i="1"/>
  <c r="W787" i="1"/>
  <c r="AA787" i="1"/>
  <c r="AB787" i="1"/>
  <c r="AE787" i="1"/>
  <c r="AF787" i="1"/>
  <c r="AM787" i="1"/>
  <c r="AN787" i="1"/>
  <c r="AO787" i="1"/>
  <c r="AQ787" i="1"/>
  <c r="AX787" i="1"/>
  <c r="BD787" i="1"/>
  <c r="B788" i="1"/>
  <c r="C788" i="1"/>
  <c r="D788" i="1"/>
  <c r="E788" i="1"/>
  <c r="F788" i="1"/>
  <c r="G788" i="1"/>
  <c r="H788" i="1"/>
  <c r="I788" i="1"/>
  <c r="J788" i="1"/>
  <c r="K788" i="1"/>
  <c r="M788" i="1"/>
  <c r="O788" i="1"/>
  <c r="Q788" i="1"/>
  <c r="R788" i="1"/>
  <c r="W788" i="1"/>
  <c r="AA788" i="1"/>
  <c r="AB788" i="1"/>
  <c r="AE788" i="1"/>
  <c r="AF788" i="1"/>
  <c r="AM788" i="1"/>
  <c r="AN788" i="1"/>
  <c r="AO788" i="1"/>
  <c r="AQ788" i="1"/>
  <c r="AX788" i="1"/>
  <c r="BD788" i="1"/>
  <c r="B789" i="1"/>
  <c r="C789" i="1"/>
  <c r="D789" i="1"/>
  <c r="E789" i="1"/>
  <c r="F789" i="1"/>
  <c r="G789" i="1"/>
  <c r="H789" i="1"/>
  <c r="I789" i="1"/>
  <c r="J789" i="1"/>
  <c r="K789" i="1"/>
  <c r="M789" i="1"/>
  <c r="O789" i="1"/>
  <c r="Q789" i="1"/>
  <c r="R789" i="1"/>
  <c r="W789" i="1"/>
  <c r="AA789" i="1"/>
  <c r="AB789" i="1"/>
  <c r="AE789" i="1"/>
  <c r="AF789" i="1"/>
  <c r="AM789" i="1"/>
  <c r="AN789" i="1"/>
  <c r="AO789" i="1"/>
  <c r="AQ789" i="1"/>
  <c r="AX789" i="1"/>
  <c r="BD789" i="1"/>
  <c r="B790" i="1"/>
  <c r="E790" i="1"/>
  <c r="F790" i="1"/>
  <c r="G790" i="1"/>
  <c r="H790" i="1"/>
  <c r="I790" i="1"/>
  <c r="J790" i="1"/>
  <c r="K790" i="1"/>
  <c r="M790" i="1"/>
  <c r="O790" i="1"/>
  <c r="Q790" i="1"/>
  <c r="R790" i="1"/>
  <c r="W790" i="1"/>
  <c r="AA790" i="1"/>
  <c r="AB790" i="1"/>
  <c r="AM790" i="1"/>
  <c r="AN790" i="1"/>
  <c r="AO790" i="1"/>
  <c r="AQ790" i="1"/>
  <c r="AX790" i="1"/>
  <c r="BD790" i="1"/>
  <c r="B791" i="1"/>
  <c r="E791" i="1"/>
  <c r="F791" i="1"/>
  <c r="G791" i="1"/>
  <c r="H791" i="1"/>
  <c r="I791" i="1"/>
  <c r="J791" i="1"/>
  <c r="K791" i="1"/>
  <c r="M791" i="1"/>
  <c r="O791" i="1"/>
  <c r="Q791" i="1"/>
  <c r="R791" i="1"/>
  <c r="W791" i="1"/>
  <c r="AA791" i="1"/>
  <c r="AM791" i="1"/>
  <c r="AN791" i="1"/>
  <c r="AO791" i="1"/>
  <c r="AQ791" i="1"/>
  <c r="BB791" i="1"/>
  <c r="BD791" i="1"/>
  <c r="B792" i="1"/>
  <c r="C792" i="1"/>
  <c r="E792" i="1"/>
  <c r="F792" i="1"/>
  <c r="G792" i="1"/>
  <c r="H792" i="1"/>
  <c r="I792" i="1"/>
  <c r="J792" i="1"/>
  <c r="K792" i="1"/>
  <c r="M792" i="1"/>
  <c r="O792" i="1"/>
  <c r="Q792" i="1"/>
  <c r="R792" i="1"/>
  <c r="W792" i="1"/>
  <c r="AA792" i="1"/>
  <c r="AB792" i="1"/>
  <c r="AE792" i="1"/>
  <c r="AF792" i="1"/>
  <c r="AM792" i="1"/>
  <c r="AN792" i="1"/>
  <c r="AO792" i="1"/>
  <c r="AQ792" i="1"/>
  <c r="AX792" i="1"/>
  <c r="BD792" i="1"/>
  <c r="B793" i="1"/>
  <c r="C793" i="1"/>
  <c r="E793" i="1"/>
  <c r="F793" i="1"/>
  <c r="G793" i="1"/>
  <c r="H793" i="1"/>
  <c r="I793" i="1"/>
  <c r="J793" i="1"/>
  <c r="K793" i="1"/>
  <c r="M793" i="1"/>
  <c r="O793" i="1"/>
  <c r="Q793" i="1"/>
  <c r="R793" i="1"/>
  <c r="W793" i="1"/>
  <c r="AA793" i="1"/>
  <c r="AB793" i="1"/>
  <c r="AE793" i="1"/>
  <c r="AF793" i="1"/>
  <c r="AM793" i="1"/>
  <c r="AN793" i="1"/>
  <c r="AO793" i="1"/>
  <c r="AQ793" i="1"/>
  <c r="AX793" i="1"/>
  <c r="BD793" i="1"/>
  <c r="B794" i="1"/>
  <c r="C794" i="1"/>
  <c r="E794" i="1"/>
  <c r="F794" i="1"/>
  <c r="G794" i="1"/>
  <c r="H794" i="1"/>
  <c r="I794" i="1"/>
  <c r="J794" i="1"/>
  <c r="K794" i="1"/>
  <c r="M794" i="1"/>
  <c r="O794" i="1"/>
  <c r="Q794" i="1"/>
  <c r="R794" i="1"/>
  <c r="W794" i="1"/>
  <c r="AA794" i="1"/>
  <c r="AB794" i="1"/>
  <c r="AE794" i="1"/>
  <c r="AF794" i="1"/>
  <c r="AM794" i="1"/>
  <c r="AN794" i="1"/>
  <c r="AO794" i="1"/>
  <c r="AQ794" i="1"/>
  <c r="AX794" i="1"/>
  <c r="BD794" i="1"/>
  <c r="B795" i="1"/>
  <c r="C795" i="1"/>
  <c r="D795" i="1"/>
  <c r="E795" i="1"/>
  <c r="F795" i="1"/>
  <c r="G795" i="1"/>
  <c r="H795" i="1"/>
  <c r="I795" i="1"/>
  <c r="J795" i="1"/>
  <c r="K795" i="1"/>
  <c r="M795" i="1"/>
  <c r="O795" i="1"/>
  <c r="Q795" i="1"/>
  <c r="R795" i="1"/>
  <c r="W795" i="1"/>
  <c r="AA795" i="1"/>
  <c r="AB795" i="1"/>
  <c r="AE795" i="1"/>
  <c r="AF795" i="1"/>
  <c r="AM795" i="1"/>
  <c r="AN795" i="1"/>
  <c r="AO795" i="1"/>
  <c r="AQ795" i="1"/>
  <c r="AX795" i="1"/>
  <c r="BD795" i="1"/>
  <c r="B796" i="1"/>
  <c r="C796" i="1"/>
  <c r="D796" i="1"/>
  <c r="E796" i="1"/>
  <c r="F796" i="1"/>
  <c r="G796" i="1"/>
  <c r="H796" i="1"/>
  <c r="I796" i="1"/>
  <c r="J796" i="1"/>
  <c r="K796" i="1"/>
  <c r="M796" i="1"/>
  <c r="O796" i="1"/>
  <c r="Q796" i="1"/>
  <c r="R796" i="1"/>
  <c r="W796" i="1"/>
  <c r="AA796" i="1"/>
  <c r="AB796" i="1"/>
  <c r="AE796" i="1"/>
  <c r="AF796" i="1"/>
  <c r="AM796" i="1"/>
  <c r="AN796" i="1"/>
  <c r="AO796" i="1"/>
  <c r="AQ796" i="1"/>
  <c r="AX796" i="1"/>
  <c r="BD796" i="1"/>
  <c r="B797" i="1"/>
  <c r="C797" i="1"/>
  <c r="D797" i="1"/>
  <c r="E797" i="1"/>
  <c r="F797" i="1"/>
  <c r="G797" i="1"/>
  <c r="H797" i="1"/>
  <c r="I797" i="1"/>
  <c r="J797" i="1"/>
  <c r="K797" i="1"/>
  <c r="M797" i="1"/>
  <c r="O797" i="1"/>
  <c r="Q797" i="1"/>
  <c r="R797" i="1"/>
  <c r="W797" i="1"/>
  <c r="AA797" i="1"/>
  <c r="AB797" i="1"/>
  <c r="AE797" i="1"/>
  <c r="AF797" i="1"/>
  <c r="AM797" i="1"/>
  <c r="AN797" i="1"/>
  <c r="AO797" i="1"/>
  <c r="AQ797" i="1"/>
  <c r="AX797" i="1"/>
  <c r="BD797" i="1"/>
  <c r="B798" i="1"/>
  <c r="C798" i="1"/>
  <c r="D798" i="1"/>
  <c r="E798" i="1"/>
  <c r="F798" i="1"/>
  <c r="G798" i="1"/>
  <c r="H798" i="1"/>
  <c r="I798" i="1"/>
  <c r="J798" i="1"/>
  <c r="K798" i="1"/>
  <c r="M798" i="1"/>
  <c r="O798" i="1"/>
  <c r="Q798" i="1"/>
  <c r="R798" i="1"/>
  <c r="W798" i="1"/>
  <c r="AA798" i="1"/>
  <c r="AB798" i="1"/>
  <c r="AE798" i="1"/>
  <c r="AF798" i="1"/>
  <c r="AM798" i="1"/>
  <c r="AN798" i="1"/>
  <c r="AO798" i="1"/>
  <c r="AQ798" i="1"/>
  <c r="AX798" i="1"/>
  <c r="BD798" i="1"/>
  <c r="B799" i="1"/>
  <c r="C799" i="1"/>
  <c r="D799" i="1"/>
  <c r="E799" i="1"/>
  <c r="F799" i="1"/>
  <c r="G799" i="1"/>
  <c r="H799" i="1"/>
  <c r="I799" i="1"/>
  <c r="J799" i="1"/>
  <c r="K799" i="1"/>
  <c r="M799" i="1"/>
  <c r="O799" i="1"/>
  <c r="Q799" i="1"/>
  <c r="R799" i="1"/>
  <c r="W799" i="1"/>
  <c r="AA799" i="1"/>
  <c r="AB799" i="1"/>
  <c r="AE799" i="1"/>
  <c r="AF799" i="1"/>
  <c r="AM799" i="1"/>
  <c r="AN799" i="1"/>
  <c r="AO799" i="1"/>
  <c r="AQ799" i="1"/>
  <c r="AX799" i="1"/>
  <c r="BD799" i="1"/>
  <c r="B800" i="1"/>
  <c r="C800" i="1"/>
  <c r="E800" i="1"/>
  <c r="F800" i="1"/>
  <c r="G800" i="1"/>
  <c r="H800" i="1"/>
  <c r="I800" i="1"/>
  <c r="J800" i="1"/>
  <c r="K800" i="1"/>
  <c r="M800" i="1"/>
  <c r="O800" i="1"/>
  <c r="Q800" i="1"/>
  <c r="R800" i="1"/>
  <c r="W800" i="1"/>
  <c r="AA800" i="1"/>
  <c r="AB800" i="1"/>
  <c r="AE800" i="1"/>
  <c r="AF800" i="1"/>
  <c r="AM800" i="1"/>
  <c r="AN800" i="1"/>
  <c r="AO800" i="1"/>
  <c r="AQ800" i="1"/>
  <c r="AX800" i="1"/>
  <c r="BD800" i="1"/>
  <c r="B801" i="1"/>
  <c r="C801" i="1"/>
  <c r="E801" i="1"/>
  <c r="F801" i="1"/>
  <c r="G801" i="1"/>
  <c r="H801" i="1"/>
  <c r="I801" i="1"/>
  <c r="J801" i="1"/>
  <c r="K801" i="1"/>
  <c r="M801" i="1"/>
  <c r="O801" i="1"/>
  <c r="Q801" i="1"/>
  <c r="R801" i="1"/>
  <c r="W801" i="1"/>
  <c r="AA801" i="1"/>
  <c r="AB801" i="1"/>
  <c r="AE801" i="1"/>
  <c r="AF801" i="1"/>
  <c r="AM801" i="1"/>
  <c r="AN801" i="1"/>
  <c r="AO801" i="1"/>
  <c r="AQ801" i="1"/>
  <c r="AX801" i="1"/>
  <c r="BD801" i="1"/>
  <c r="B802" i="1"/>
  <c r="C802" i="1"/>
  <c r="D802" i="1"/>
  <c r="E802" i="1"/>
  <c r="F802" i="1"/>
  <c r="G802" i="1"/>
  <c r="H802" i="1"/>
  <c r="I802" i="1"/>
  <c r="J802" i="1"/>
  <c r="K802" i="1"/>
  <c r="M802" i="1"/>
  <c r="O802" i="1"/>
  <c r="Q802" i="1"/>
  <c r="R802" i="1"/>
  <c r="W802" i="1"/>
  <c r="AA802" i="1"/>
  <c r="AB802" i="1"/>
  <c r="AE802" i="1"/>
  <c r="AF802" i="1"/>
  <c r="AM802" i="1"/>
  <c r="AN802" i="1"/>
  <c r="AO802" i="1"/>
  <c r="AQ802" i="1"/>
  <c r="AX802" i="1"/>
  <c r="BD802" i="1"/>
  <c r="B803" i="1"/>
  <c r="C803" i="1"/>
  <c r="D803" i="1"/>
  <c r="E803" i="1"/>
  <c r="F803" i="1"/>
  <c r="G803" i="1"/>
  <c r="H803" i="1"/>
  <c r="I803" i="1"/>
  <c r="J803" i="1"/>
  <c r="K803" i="1"/>
  <c r="M803" i="1"/>
  <c r="O803" i="1"/>
  <c r="Q803" i="1"/>
  <c r="R803" i="1"/>
  <c r="W803" i="1"/>
  <c r="AA803" i="1"/>
  <c r="AB803" i="1"/>
  <c r="AE803" i="1"/>
  <c r="AF803" i="1"/>
  <c r="AM803" i="1"/>
  <c r="AN803" i="1"/>
  <c r="AO803" i="1"/>
  <c r="AQ803" i="1"/>
  <c r="AX803" i="1"/>
  <c r="BD803" i="1"/>
  <c r="B804" i="1"/>
  <c r="C804" i="1"/>
  <c r="E804" i="1"/>
  <c r="F804" i="1"/>
  <c r="G804" i="1"/>
  <c r="H804" i="1"/>
  <c r="I804" i="1"/>
  <c r="J804" i="1"/>
  <c r="K804" i="1"/>
  <c r="M804" i="1"/>
  <c r="O804" i="1"/>
  <c r="Q804" i="1"/>
  <c r="R804" i="1"/>
  <c r="W804" i="1"/>
  <c r="AA804" i="1"/>
  <c r="AB804" i="1"/>
  <c r="AE804" i="1"/>
  <c r="AF804" i="1"/>
  <c r="AM804" i="1"/>
  <c r="AN804" i="1"/>
  <c r="AO804" i="1"/>
  <c r="AQ804" i="1"/>
  <c r="AX804" i="1"/>
  <c r="BD804" i="1"/>
  <c r="B805" i="1"/>
  <c r="C805" i="1"/>
  <c r="D805" i="1"/>
  <c r="E805" i="1"/>
  <c r="F805" i="1"/>
  <c r="G805" i="1"/>
  <c r="H805" i="1"/>
  <c r="I805" i="1"/>
  <c r="J805" i="1"/>
  <c r="K805" i="1"/>
  <c r="M805" i="1"/>
  <c r="O805" i="1"/>
  <c r="Q805" i="1"/>
  <c r="R805" i="1"/>
  <c r="W805" i="1"/>
  <c r="AA805" i="1"/>
  <c r="AB805" i="1"/>
  <c r="AE805" i="1"/>
  <c r="AF805" i="1"/>
  <c r="AM805" i="1"/>
  <c r="AN805" i="1"/>
  <c r="AO805" i="1"/>
  <c r="AQ805" i="1"/>
  <c r="AX805" i="1"/>
  <c r="BD805" i="1"/>
  <c r="B806" i="1"/>
  <c r="C806" i="1"/>
  <c r="D806" i="1"/>
  <c r="E806" i="1"/>
  <c r="F806" i="1"/>
  <c r="G806" i="1"/>
  <c r="H806" i="1"/>
  <c r="I806" i="1"/>
  <c r="J806" i="1"/>
  <c r="K806" i="1"/>
  <c r="M806" i="1"/>
  <c r="O806" i="1"/>
  <c r="Q806" i="1"/>
  <c r="R806" i="1"/>
  <c r="W806" i="1"/>
  <c r="AA806" i="1"/>
  <c r="AB806" i="1"/>
  <c r="AE806" i="1"/>
  <c r="AF806" i="1"/>
  <c r="AM806" i="1"/>
  <c r="AN806" i="1"/>
  <c r="AO806" i="1"/>
  <c r="AQ806" i="1"/>
  <c r="AX806" i="1"/>
  <c r="BD806" i="1"/>
  <c r="B807" i="1"/>
  <c r="E807" i="1"/>
  <c r="F807" i="1"/>
  <c r="G807" i="1"/>
  <c r="H807" i="1"/>
  <c r="I807" i="1"/>
  <c r="J807" i="1"/>
  <c r="K807" i="1"/>
  <c r="M807" i="1"/>
  <c r="O807" i="1"/>
  <c r="Q807" i="1"/>
  <c r="R807" i="1"/>
  <c r="W807" i="1"/>
  <c r="AA807" i="1"/>
  <c r="AM807" i="1"/>
  <c r="AN807" i="1"/>
  <c r="AO807" i="1"/>
  <c r="AQ807" i="1"/>
  <c r="BB807" i="1"/>
  <c r="BD807" i="1"/>
  <c r="B808" i="1"/>
  <c r="E808" i="1"/>
  <c r="F808" i="1"/>
  <c r="G808" i="1"/>
  <c r="H808" i="1"/>
  <c r="I808" i="1"/>
  <c r="J808" i="1"/>
  <c r="K808" i="1"/>
  <c r="M808" i="1"/>
  <c r="O808" i="1"/>
  <c r="Q808" i="1"/>
  <c r="R808" i="1"/>
  <c r="W808" i="1"/>
  <c r="AA808" i="1"/>
  <c r="AM808" i="1"/>
  <c r="AN808" i="1"/>
  <c r="AO808" i="1"/>
  <c r="AQ808" i="1"/>
  <c r="BB808" i="1"/>
  <c r="BD808" i="1"/>
  <c r="B809" i="1"/>
  <c r="E809" i="1"/>
  <c r="F809" i="1"/>
  <c r="G809" i="1"/>
  <c r="H809" i="1"/>
  <c r="I809" i="1"/>
  <c r="J809" i="1"/>
  <c r="K809" i="1"/>
  <c r="M809" i="1"/>
  <c r="O809" i="1"/>
  <c r="Q809" i="1"/>
  <c r="R809" i="1"/>
  <c r="W809" i="1"/>
  <c r="AA809" i="1"/>
  <c r="AM809" i="1"/>
  <c r="AN809" i="1"/>
  <c r="AO809" i="1"/>
  <c r="AQ809" i="1"/>
  <c r="BB809" i="1"/>
  <c r="BD809" i="1"/>
  <c r="B810" i="1"/>
  <c r="C810" i="1"/>
  <c r="E810" i="1"/>
  <c r="F810" i="1"/>
  <c r="G810" i="1"/>
  <c r="H810" i="1"/>
  <c r="I810" i="1"/>
  <c r="J810" i="1"/>
  <c r="K810" i="1"/>
  <c r="M810" i="1"/>
  <c r="O810" i="1"/>
  <c r="Q810" i="1"/>
  <c r="R810" i="1"/>
  <c r="W810" i="1"/>
  <c r="AA810" i="1"/>
  <c r="AB810" i="1"/>
  <c r="AE810" i="1"/>
  <c r="AF810" i="1"/>
  <c r="AM810" i="1"/>
  <c r="AN810" i="1"/>
  <c r="AO810" i="1"/>
  <c r="AQ810" i="1"/>
  <c r="AX810" i="1"/>
  <c r="BD810" i="1"/>
  <c r="B811" i="1"/>
  <c r="C811" i="1"/>
  <c r="E811" i="1"/>
  <c r="F811" i="1"/>
  <c r="G811" i="1"/>
  <c r="H811" i="1"/>
  <c r="I811" i="1"/>
  <c r="J811" i="1"/>
  <c r="K811" i="1"/>
  <c r="M811" i="1"/>
  <c r="O811" i="1"/>
  <c r="Q811" i="1"/>
  <c r="R811" i="1"/>
  <c r="W811" i="1"/>
  <c r="AA811" i="1"/>
  <c r="AB811" i="1"/>
  <c r="AE811" i="1"/>
  <c r="AF811" i="1"/>
  <c r="AM811" i="1"/>
  <c r="AN811" i="1"/>
  <c r="AO811" i="1"/>
  <c r="AQ811" i="1"/>
  <c r="AX811" i="1"/>
  <c r="BD811" i="1"/>
  <c r="B812" i="1"/>
  <c r="C812" i="1"/>
  <c r="E812" i="1"/>
  <c r="F812" i="1"/>
  <c r="G812" i="1"/>
  <c r="H812" i="1"/>
  <c r="I812" i="1"/>
  <c r="J812" i="1"/>
  <c r="K812" i="1"/>
  <c r="M812" i="1"/>
  <c r="O812" i="1"/>
  <c r="Q812" i="1"/>
  <c r="R812" i="1"/>
  <c r="W812" i="1"/>
  <c r="AA812" i="1"/>
  <c r="AB812" i="1"/>
  <c r="AE812" i="1"/>
  <c r="AF812" i="1"/>
  <c r="AM812" i="1"/>
  <c r="AN812" i="1"/>
  <c r="AO812" i="1"/>
  <c r="AQ812" i="1"/>
  <c r="AX812" i="1"/>
  <c r="BD812" i="1"/>
  <c r="B813" i="1"/>
  <c r="C813" i="1"/>
  <c r="E813" i="1"/>
  <c r="F813" i="1"/>
  <c r="G813" i="1"/>
  <c r="H813" i="1"/>
  <c r="I813" i="1"/>
  <c r="J813" i="1"/>
  <c r="K813" i="1"/>
  <c r="M813" i="1"/>
  <c r="O813" i="1"/>
  <c r="Q813" i="1"/>
  <c r="R813" i="1"/>
  <c r="W813" i="1"/>
  <c r="AA813" i="1"/>
  <c r="AB813" i="1"/>
  <c r="AE813" i="1"/>
  <c r="AF813" i="1"/>
  <c r="AM813" i="1"/>
  <c r="AN813" i="1"/>
  <c r="AO813" i="1"/>
  <c r="AQ813" i="1"/>
  <c r="AX813" i="1"/>
  <c r="BD813" i="1"/>
  <c r="B814" i="1"/>
  <c r="E814" i="1"/>
  <c r="F814" i="1"/>
  <c r="G814" i="1"/>
  <c r="H814" i="1"/>
  <c r="I814" i="1"/>
  <c r="J814" i="1"/>
  <c r="K814" i="1"/>
  <c r="M814" i="1"/>
  <c r="O814" i="1"/>
  <c r="Q814" i="1"/>
  <c r="R814" i="1"/>
  <c r="W814" i="1"/>
  <c r="AA814" i="1"/>
  <c r="AM814" i="1"/>
  <c r="AN814" i="1"/>
  <c r="AO814" i="1"/>
  <c r="AQ814" i="1"/>
  <c r="BB814" i="1"/>
  <c r="BD814" i="1"/>
  <c r="B815" i="1"/>
  <c r="E815" i="1"/>
  <c r="F815" i="1"/>
  <c r="G815" i="1"/>
  <c r="H815" i="1"/>
  <c r="I815" i="1"/>
  <c r="J815" i="1"/>
  <c r="K815" i="1"/>
  <c r="M815" i="1"/>
  <c r="O815" i="1"/>
  <c r="Q815" i="1"/>
  <c r="R815" i="1"/>
  <c r="W815" i="1"/>
  <c r="AA815" i="1"/>
  <c r="AM815" i="1"/>
  <c r="AN815" i="1"/>
  <c r="AO815" i="1"/>
  <c r="AQ815" i="1"/>
  <c r="BB815" i="1"/>
  <c r="BD815" i="1"/>
  <c r="B816" i="1"/>
  <c r="E816" i="1"/>
  <c r="F816" i="1"/>
  <c r="G816" i="1"/>
  <c r="H816" i="1"/>
  <c r="I816" i="1"/>
  <c r="J816" i="1"/>
  <c r="K816" i="1"/>
  <c r="M816" i="1"/>
  <c r="O816" i="1"/>
  <c r="Q816" i="1"/>
  <c r="R816" i="1"/>
  <c r="W816" i="1"/>
  <c r="AA816" i="1"/>
  <c r="AM816" i="1"/>
  <c r="AN816" i="1"/>
  <c r="AO816" i="1"/>
  <c r="AQ816" i="1"/>
  <c r="BB816" i="1"/>
  <c r="BD816" i="1"/>
  <c r="B817" i="1"/>
  <c r="C817" i="1"/>
  <c r="E817" i="1"/>
  <c r="F817" i="1"/>
  <c r="G817" i="1"/>
  <c r="H817" i="1"/>
  <c r="I817" i="1"/>
  <c r="J817" i="1"/>
  <c r="K817" i="1"/>
  <c r="M817" i="1"/>
  <c r="O817" i="1"/>
  <c r="Q817" i="1"/>
  <c r="R817" i="1"/>
  <c r="W817" i="1"/>
  <c r="AA817" i="1"/>
  <c r="AB817" i="1"/>
  <c r="AE817" i="1"/>
  <c r="AF817" i="1"/>
  <c r="AM817" i="1"/>
  <c r="AN817" i="1"/>
  <c r="AO817" i="1"/>
  <c r="AQ817" i="1"/>
  <c r="AX817" i="1"/>
  <c r="BD817" i="1"/>
  <c r="B818" i="1"/>
  <c r="E818" i="1"/>
  <c r="F818" i="1"/>
  <c r="G818" i="1"/>
  <c r="H818" i="1"/>
  <c r="I818" i="1"/>
  <c r="J818" i="1"/>
  <c r="K818" i="1"/>
  <c r="M818" i="1"/>
  <c r="O818" i="1"/>
  <c r="Q818" i="1"/>
  <c r="R818" i="1"/>
  <c r="W818" i="1"/>
  <c r="AA818" i="1"/>
  <c r="AB818" i="1"/>
  <c r="AM818" i="1"/>
  <c r="AN818" i="1"/>
  <c r="AO818" i="1"/>
  <c r="AQ818" i="1"/>
  <c r="AX818" i="1"/>
  <c r="BD818" i="1"/>
  <c r="B819" i="1"/>
  <c r="E819" i="1"/>
  <c r="F819" i="1"/>
  <c r="G819" i="1"/>
  <c r="H819" i="1"/>
  <c r="I819" i="1"/>
  <c r="J819" i="1"/>
  <c r="K819" i="1"/>
  <c r="M819" i="1"/>
  <c r="O819" i="1"/>
  <c r="Q819" i="1"/>
  <c r="R819" i="1"/>
  <c r="W819" i="1"/>
  <c r="AA819" i="1"/>
  <c r="AB819" i="1"/>
  <c r="AM819" i="1"/>
  <c r="AN819" i="1"/>
  <c r="AO819" i="1"/>
  <c r="AQ819" i="1"/>
  <c r="AX819" i="1"/>
  <c r="BD819" i="1"/>
  <c r="B820" i="1"/>
  <c r="E820" i="1"/>
  <c r="F820" i="1"/>
  <c r="G820" i="1"/>
  <c r="H820" i="1"/>
  <c r="I820" i="1"/>
  <c r="J820" i="1"/>
  <c r="K820" i="1"/>
  <c r="M820" i="1"/>
  <c r="O820" i="1"/>
  <c r="Q820" i="1"/>
  <c r="R820" i="1"/>
  <c r="W820" i="1"/>
  <c r="AA820" i="1"/>
  <c r="AM820" i="1"/>
  <c r="AN820" i="1"/>
  <c r="AO820" i="1"/>
  <c r="AQ820" i="1"/>
  <c r="BB820" i="1"/>
  <c r="BD820" i="1"/>
  <c r="B821" i="1"/>
  <c r="E821" i="1"/>
  <c r="F821" i="1"/>
  <c r="G821" i="1"/>
  <c r="H821" i="1"/>
  <c r="I821" i="1"/>
  <c r="J821" i="1"/>
  <c r="K821" i="1"/>
  <c r="M821" i="1"/>
  <c r="O821" i="1"/>
  <c r="Q821" i="1"/>
  <c r="R821" i="1"/>
  <c r="W821" i="1"/>
  <c r="AA821" i="1"/>
  <c r="AM821" i="1"/>
  <c r="AN821" i="1"/>
  <c r="AO821" i="1"/>
  <c r="AQ821" i="1"/>
  <c r="BB821" i="1"/>
  <c r="BD821" i="1"/>
  <c r="B822" i="1"/>
  <c r="E822" i="1"/>
  <c r="F822" i="1"/>
  <c r="G822" i="1"/>
  <c r="H822" i="1"/>
  <c r="I822" i="1"/>
  <c r="J822" i="1"/>
  <c r="K822" i="1"/>
  <c r="M822" i="1"/>
  <c r="O822" i="1"/>
  <c r="Q822" i="1"/>
  <c r="R822" i="1"/>
  <c r="W822" i="1"/>
  <c r="AA822" i="1"/>
  <c r="AM822" i="1"/>
  <c r="AN822" i="1"/>
  <c r="AO822" i="1"/>
  <c r="AQ822" i="1"/>
  <c r="BB822" i="1"/>
  <c r="BD822" i="1"/>
  <c r="B823" i="1"/>
  <c r="E823" i="1"/>
  <c r="F823" i="1"/>
  <c r="G823" i="1"/>
  <c r="H823" i="1"/>
  <c r="I823" i="1"/>
  <c r="J823" i="1"/>
  <c r="K823" i="1"/>
  <c r="M823" i="1"/>
  <c r="O823" i="1"/>
  <c r="Q823" i="1"/>
  <c r="R823" i="1"/>
  <c r="W823" i="1"/>
  <c r="AA823" i="1"/>
  <c r="AM823" i="1"/>
  <c r="AN823" i="1"/>
  <c r="AO823" i="1"/>
  <c r="AQ823" i="1"/>
  <c r="BB823" i="1"/>
  <c r="BD823" i="1"/>
  <c r="B824" i="1"/>
  <c r="C824" i="1"/>
  <c r="E824" i="1"/>
  <c r="F824" i="1"/>
  <c r="G824" i="1"/>
  <c r="H824" i="1"/>
  <c r="I824" i="1"/>
  <c r="J824" i="1"/>
  <c r="K824" i="1"/>
  <c r="M824" i="1"/>
  <c r="O824" i="1"/>
  <c r="Q824" i="1"/>
  <c r="R824" i="1"/>
  <c r="W824" i="1"/>
  <c r="AA824" i="1"/>
  <c r="AM824" i="1"/>
  <c r="AN824" i="1"/>
  <c r="AO824" i="1"/>
  <c r="AQ824" i="1"/>
  <c r="BB824" i="1"/>
  <c r="BD824" i="1"/>
  <c r="B825" i="1"/>
  <c r="C825" i="1"/>
  <c r="E825" i="1"/>
  <c r="F825" i="1"/>
  <c r="G825" i="1"/>
  <c r="H825" i="1"/>
  <c r="I825" i="1"/>
  <c r="J825" i="1"/>
  <c r="K825" i="1"/>
  <c r="M825" i="1"/>
  <c r="O825" i="1"/>
  <c r="Q825" i="1"/>
  <c r="R825" i="1"/>
  <c r="W825" i="1"/>
  <c r="AA825" i="1"/>
  <c r="AM825" i="1"/>
  <c r="AN825" i="1"/>
  <c r="AO825" i="1"/>
  <c r="AQ825" i="1"/>
  <c r="BB825" i="1"/>
  <c r="BD825" i="1"/>
  <c r="B826" i="1"/>
  <c r="C826" i="1"/>
  <c r="E826" i="1"/>
  <c r="F826" i="1"/>
  <c r="G826" i="1"/>
  <c r="H826" i="1"/>
  <c r="I826" i="1"/>
  <c r="J826" i="1"/>
  <c r="K826" i="1"/>
  <c r="M826" i="1"/>
  <c r="O826" i="1"/>
  <c r="Q826" i="1"/>
  <c r="R826" i="1"/>
  <c r="W826" i="1"/>
  <c r="AA826" i="1"/>
  <c r="AM826" i="1"/>
  <c r="AN826" i="1"/>
  <c r="AO826" i="1"/>
  <c r="AQ826" i="1"/>
  <c r="BB826" i="1"/>
  <c r="BD826" i="1"/>
  <c r="B827" i="1"/>
  <c r="C827" i="1"/>
  <c r="D827" i="1"/>
  <c r="E827" i="1"/>
  <c r="F827" i="1"/>
  <c r="G827" i="1"/>
  <c r="H827" i="1"/>
  <c r="I827" i="1"/>
  <c r="J827" i="1"/>
  <c r="K827" i="1"/>
  <c r="M827" i="1"/>
  <c r="O827" i="1"/>
  <c r="Q827" i="1"/>
  <c r="R827" i="1"/>
  <c r="W827" i="1"/>
  <c r="AA827" i="1"/>
  <c r="AB827" i="1"/>
  <c r="AE827" i="1"/>
  <c r="AF827" i="1"/>
  <c r="AM827" i="1"/>
  <c r="AN827" i="1"/>
  <c r="AO827" i="1"/>
  <c r="AQ827" i="1"/>
  <c r="AX827" i="1"/>
  <c r="BD827" i="1"/>
  <c r="B828" i="1"/>
  <c r="C828" i="1"/>
  <c r="D828" i="1"/>
  <c r="E828" i="1"/>
  <c r="F828" i="1"/>
  <c r="G828" i="1"/>
  <c r="H828" i="1"/>
  <c r="I828" i="1"/>
  <c r="J828" i="1"/>
  <c r="K828" i="1"/>
  <c r="M828" i="1"/>
  <c r="O828" i="1"/>
  <c r="Q828" i="1"/>
  <c r="R828" i="1"/>
  <c r="W828" i="1"/>
  <c r="AA828" i="1"/>
  <c r="AB828" i="1"/>
  <c r="AE828" i="1"/>
  <c r="AF828" i="1"/>
  <c r="AM828" i="1"/>
  <c r="AN828" i="1"/>
  <c r="AO828" i="1"/>
  <c r="AQ828" i="1"/>
  <c r="AX828" i="1"/>
  <c r="BD828" i="1"/>
  <c r="B829" i="1"/>
  <c r="C829" i="1"/>
  <c r="E829" i="1"/>
  <c r="F829" i="1"/>
  <c r="G829" i="1"/>
  <c r="H829" i="1"/>
  <c r="I829" i="1"/>
  <c r="J829" i="1"/>
  <c r="K829" i="1"/>
  <c r="M829" i="1"/>
  <c r="O829" i="1"/>
  <c r="Q829" i="1"/>
  <c r="R829" i="1"/>
  <c r="W829" i="1"/>
  <c r="AA829" i="1"/>
  <c r="AB829" i="1"/>
  <c r="AE829" i="1"/>
  <c r="AF829" i="1"/>
  <c r="AM829" i="1"/>
  <c r="AN829" i="1"/>
  <c r="AO829" i="1"/>
  <c r="AQ829" i="1"/>
  <c r="AX829" i="1"/>
  <c r="BD829" i="1"/>
  <c r="B830" i="1"/>
  <c r="C830" i="1"/>
  <c r="E830" i="1"/>
  <c r="F830" i="1"/>
  <c r="G830" i="1"/>
  <c r="H830" i="1"/>
  <c r="I830" i="1"/>
  <c r="J830" i="1"/>
  <c r="K830" i="1"/>
  <c r="M830" i="1"/>
  <c r="O830" i="1"/>
  <c r="Q830" i="1"/>
  <c r="R830" i="1"/>
  <c r="W830" i="1"/>
  <c r="AA830" i="1"/>
  <c r="AB830" i="1"/>
  <c r="AE830" i="1"/>
  <c r="AF830" i="1"/>
  <c r="AM830" i="1"/>
  <c r="AN830" i="1"/>
  <c r="AO830" i="1"/>
  <c r="AQ830" i="1"/>
  <c r="AX830" i="1"/>
  <c r="BD830" i="1"/>
  <c r="B831" i="1"/>
  <c r="C831" i="1"/>
  <c r="E831" i="1"/>
  <c r="F831" i="1"/>
  <c r="G831" i="1"/>
  <c r="H831" i="1"/>
  <c r="I831" i="1"/>
  <c r="J831" i="1"/>
  <c r="K831" i="1"/>
  <c r="M831" i="1"/>
  <c r="O831" i="1"/>
  <c r="Q831" i="1"/>
  <c r="R831" i="1"/>
  <c r="W831" i="1"/>
  <c r="AA831" i="1"/>
  <c r="AB831" i="1"/>
  <c r="AE831" i="1"/>
  <c r="AF831" i="1"/>
  <c r="AM831" i="1"/>
  <c r="AN831" i="1"/>
  <c r="AO831" i="1"/>
  <c r="AQ831" i="1"/>
  <c r="AX831" i="1"/>
  <c r="BD831" i="1"/>
  <c r="B832" i="1"/>
  <c r="C832" i="1"/>
  <c r="E832" i="1"/>
  <c r="F832" i="1"/>
  <c r="G832" i="1"/>
  <c r="H832" i="1"/>
  <c r="I832" i="1"/>
  <c r="J832" i="1"/>
  <c r="K832" i="1"/>
  <c r="M832" i="1"/>
  <c r="O832" i="1"/>
  <c r="Q832" i="1"/>
  <c r="R832" i="1"/>
  <c r="W832" i="1"/>
  <c r="AA832" i="1"/>
  <c r="AB832" i="1"/>
  <c r="AE832" i="1"/>
  <c r="AF832" i="1"/>
  <c r="AM832" i="1"/>
  <c r="AN832" i="1"/>
  <c r="AO832" i="1"/>
  <c r="AQ832" i="1"/>
  <c r="AX832" i="1"/>
  <c r="BD832" i="1"/>
  <c r="B833" i="1"/>
  <c r="C833" i="1"/>
  <c r="E833" i="1"/>
  <c r="F833" i="1"/>
  <c r="G833" i="1"/>
  <c r="H833" i="1"/>
  <c r="I833" i="1"/>
  <c r="J833" i="1"/>
  <c r="K833" i="1"/>
  <c r="M833" i="1"/>
  <c r="O833" i="1"/>
  <c r="Q833" i="1"/>
  <c r="R833" i="1"/>
  <c r="W833" i="1"/>
  <c r="AA833" i="1"/>
  <c r="AB833" i="1"/>
  <c r="AE833" i="1"/>
  <c r="AF833" i="1"/>
  <c r="AM833" i="1"/>
  <c r="AN833" i="1"/>
  <c r="AO833" i="1"/>
  <c r="AQ833" i="1"/>
  <c r="AX833" i="1"/>
  <c r="BD833" i="1"/>
  <c r="B834" i="1"/>
  <c r="C834" i="1"/>
  <c r="D834" i="1"/>
  <c r="E834" i="1"/>
  <c r="F834" i="1"/>
  <c r="G834" i="1"/>
  <c r="H834" i="1"/>
  <c r="I834" i="1"/>
  <c r="J834" i="1"/>
  <c r="K834" i="1"/>
  <c r="M834" i="1"/>
  <c r="O834" i="1"/>
  <c r="Q834" i="1"/>
  <c r="R834" i="1"/>
  <c r="W834" i="1"/>
  <c r="AA834" i="1"/>
  <c r="AB834" i="1"/>
  <c r="AE834" i="1"/>
  <c r="AF834" i="1"/>
  <c r="AM834" i="1"/>
  <c r="AN834" i="1"/>
  <c r="AO834" i="1"/>
  <c r="AQ834" i="1"/>
  <c r="AX834" i="1"/>
  <c r="BD834" i="1"/>
  <c r="B835" i="1"/>
  <c r="C835" i="1"/>
  <c r="E835" i="1"/>
  <c r="F835" i="1"/>
  <c r="G835" i="1"/>
  <c r="H835" i="1"/>
  <c r="I835" i="1"/>
  <c r="J835" i="1"/>
  <c r="K835" i="1"/>
  <c r="M835" i="1"/>
  <c r="O835" i="1"/>
  <c r="Q835" i="1"/>
  <c r="R835" i="1"/>
  <c r="W835" i="1"/>
  <c r="AA835" i="1"/>
  <c r="AB835" i="1"/>
  <c r="AE835" i="1"/>
  <c r="AF835" i="1"/>
  <c r="AM835" i="1"/>
  <c r="AN835" i="1"/>
  <c r="AO835" i="1"/>
  <c r="AQ835" i="1"/>
  <c r="AX835" i="1"/>
  <c r="BD835" i="1"/>
  <c r="B836" i="1"/>
  <c r="C836" i="1"/>
  <c r="E836" i="1"/>
  <c r="F836" i="1"/>
  <c r="G836" i="1"/>
  <c r="H836" i="1"/>
  <c r="I836" i="1"/>
  <c r="J836" i="1"/>
  <c r="K836" i="1"/>
  <c r="M836" i="1"/>
  <c r="O836" i="1"/>
  <c r="Q836" i="1"/>
  <c r="R836" i="1"/>
  <c r="W836" i="1"/>
  <c r="AA836" i="1"/>
  <c r="AB836" i="1"/>
  <c r="AE836" i="1"/>
  <c r="AF836" i="1"/>
  <c r="AM836" i="1"/>
  <c r="AN836" i="1"/>
  <c r="AO836" i="1"/>
  <c r="AQ836" i="1"/>
  <c r="AX836" i="1"/>
  <c r="BD836" i="1"/>
  <c r="B837" i="1"/>
  <c r="C837" i="1"/>
  <c r="E837" i="1"/>
  <c r="F837" i="1"/>
  <c r="G837" i="1"/>
  <c r="H837" i="1"/>
  <c r="I837" i="1"/>
  <c r="J837" i="1"/>
  <c r="K837" i="1"/>
  <c r="M837" i="1"/>
  <c r="O837" i="1"/>
  <c r="Q837" i="1"/>
  <c r="R837" i="1"/>
  <c r="W837" i="1"/>
  <c r="AA837" i="1"/>
  <c r="AB837" i="1"/>
  <c r="AE837" i="1"/>
  <c r="AF837" i="1"/>
  <c r="AM837" i="1"/>
  <c r="AN837" i="1"/>
  <c r="AO837" i="1"/>
  <c r="AQ837" i="1"/>
  <c r="AX837" i="1"/>
  <c r="BD837" i="1"/>
  <c r="B838" i="1"/>
  <c r="C838" i="1"/>
  <c r="E838" i="1"/>
  <c r="F838" i="1"/>
  <c r="G838" i="1"/>
  <c r="H838" i="1"/>
  <c r="I838" i="1"/>
  <c r="J838" i="1"/>
  <c r="K838" i="1"/>
  <c r="M838" i="1"/>
  <c r="O838" i="1"/>
  <c r="Q838" i="1"/>
  <c r="R838" i="1"/>
  <c r="W838" i="1"/>
  <c r="AA838" i="1"/>
  <c r="AB838" i="1"/>
  <c r="AE838" i="1"/>
  <c r="AF838" i="1"/>
  <c r="AM838" i="1"/>
  <c r="AN838" i="1"/>
  <c r="AO838" i="1"/>
  <c r="AQ838" i="1"/>
  <c r="AX838" i="1"/>
  <c r="BD838" i="1"/>
  <c r="B839" i="1"/>
  <c r="C839" i="1"/>
  <c r="E839" i="1"/>
  <c r="F839" i="1"/>
  <c r="G839" i="1"/>
  <c r="H839" i="1"/>
  <c r="I839" i="1"/>
  <c r="J839" i="1"/>
  <c r="K839" i="1"/>
  <c r="M839" i="1"/>
  <c r="O839" i="1"/>
  <c r="Q839" i="1"/>
  <c r="R839" i="1"/>
  <c r="W839" i="1"/>
  <c r="AA839" i="1"/>
  <c r="AB839" i="1"/>
  <c r="AE839" i="1"/>
  <c r="AF839" i="1"/>
  <c r="AM839" i="1"/>
  <c r="AN839" i="1"/>
  <c r="AO839" i="1"/>
  <c r="AQ839" i="1"/>
  <c r="AX839" i="1"/>
  <c r="BD839" i="1"/>
  <c r="B840" i="1"/>
  <c r="C840" i="1"/>
  <c r="E840" i="1"/>
  <c r="F840" i="1"/>
  <c r="G840" i="1"/>
  <c r="H840" i="1"/>
  <c r="I840" i="1"/>
  <c r="J840" i="1"/>
  <c r="K840" i="1"/>
  <c r="M840" i="1"/>
  <c r="O840" i="1"/>
  <c r="Q840" i="1"/>
  <c r="R840" i="1"/>
  <c r="W840" i="1"/>
  <c r="AA840" i="1"/>
  <c r="AB840" i="1"/>
  <c r="AE840" i="1"/>
  <c r="AF840" i="1"/>
  <c r="AM840" i="1"/>
  <c r="AN840" i="1"/>
  <c r="AO840" i="1"/>
  <c r="AQ840" i="1"/>
  <c r="AX840" i="1"/>
  <c r="BD840" i="1"/>
  <c r="B841" i="1"/>
  <c r="C841" i="1"/>
  <c r="E841" i="1"/>
  <c r="F841" i="1"/>
  <c r="G841" i="1"/>
  <c r="H841" i="1"/>
  <c r="I841" i="1"/>
  <c r="J841" i="1"/>
  <c r="K841" i="1"/>
  <c r="M841" i="1"/>
  <c r="O841" i="1"/>
  <c r="Q841" i="1"/>
  <c r="R841" i="1"/>
  <c r="W841" i="1"/>
  <c r="AA841" i="1"/>
  <c r="AB841" i="1"/>
  <c r="AE841" i="1"/>
  <c r="AF841" i="1"/>
  <c r="AM841" i="1"/>
  <c r="AN841" i="1"/>
  <c r="AO841" i="1"/>
  <c r="AQ841" i="1"/>
  <c r="AX841" i="1"/>
  <c r="BD841" i="1"/>
  <c r="B842" i="1"/>
  <c r="C842" i="1"/>
  <c r="E842" i="1"/>
  <c r="F842" i="1"/>
  <c r="G842" i="1"/>
  <c r="H842" i="1"/>
  <c r="I842" i="1"/>
  <c r="J842" i="1"/>
  <c r="K842" i="1"/>
  <c r="M842" i="1"/>
  <c r="O842" i="1"/>
  <c r="Q842" i="1"/>
  <c r="R842" i="1"/>
  <c r="W842" i="1"/>
  <c r="AA842" i="1"/>
  <c r="AB842" i="1"/>
  <c r="AE842" i="1"/>
  <c r="AF842" i="1"/>
  <c r="AM842" i="1"/>
  <c r="AN842" i="1"/>
  <c r="AO842" i="1"/>
  <c r="AQ842" i="1"/>
  <c r="AX842" i="1"/>
  <c r="BD842" i="1"/>
  <c r="B843" i="1"/>
  <c r="C843" i="1"/>
  <c r="E843" i="1"/>
  <c r="F843" i="1"/>
  <c r="G843" i="1"/>
  <c r="H843" i="1"/>
  <c r="I843" i="1"/>
  <c r="J843" i="1"/>
  <c r="K843" i="1"/>
  <c r="M843" i="1"/>
  <c r="O843" i="1"/>
  <c r="Q843" i="1"/>
  <c r="R843" i="1"/>
  <c r="W843" i="1"/>
  <c r="AA843" i="1"/>
  <c r="AB843" i="1"/>
  <c r="AE843" i="1"/>
  <c r="AF843" i="1"/>
  <c r="AM843" i="1"/>
  <c r="AN843" i="1"/>
  <c r="AO843" i="1"/>
  <c r="AQ843" i="1"/>
  <c r="AX843" i="1"/>
  <c r="BD843" i="1"/>
  <c r="B844" i="1"/>
  <c r="C844" i="1"/>
  <c r="D844" i="1"/>
  <c r="E844" i="1"/>
  <c r="F844" i="1"/>
  <c r="G844" i="1"/>
  <c r="H844" i="1"/>
  <c r="I844" i="1"/>
  <c r="J844" i="1"/>
  <c r="K844" i="1"/>
  <c r="M844" i="1"/>
  <c r="O844" i="1"/>
  <c r="Q844" i="1"/>
  <c r="R844" i="1"/>
  <c r="W844" i="1"/>
  <c r="AA844" i="1"/>
  <c r="AB844" i="1"/>
  <c r="AE844" i="1"/>
  <c r="AF844" i="1"/>
  <c r="AM844" i="1"/>
  <c r="AN844" i="1"/>
  <c r="AO844" i="1"/>
  <c r="AQ844" i="1"/>
  <c r="AX844" i="1"/>
  <c r="BD844" i="1"/>
  <c r="B845" i="1"/>
  <c r="C845" i="1"/>
  <c r="D845" i="1"/>
  <c r="E845" i="1"/>
  <c r="F845" i="1"/>
  <c r="G845" i="1"/>
  <c r="H845" i="1"/>
  <c r="I845" i="1"/>
  <c r="J845" i="1"/>
  <c r="K845" i="1"/>
  <c r="M845" i="1"/>
  <c r="O845" i="1"/>
  <c r="Q845" i="1"/>
  <c r="R845" i="1"/>
  <c r="W845" i="1"/>
  <c r="AA845" i="1"/>
  <c r="AB845" i="1"/>
  <c r="AE845" i="1"/>
  <c r="AF845" i="1"/>
  <c r="AM845" i="1"/>
  <c r="AN845" i="1"/>
  <c r="AO845" i="1"/>
  <c r="AQ845" i="1"/>
  <c r="AX845" i="1"/>
  <c r="BD845" i="1"/>
  <c r="B846" i="1"/>
  <c r="C846" i="1"/>
  <c r="D846" i="1"/>
  <c r="E846" i="1"/>
  <c r="F846" i="1"/>
  <c r="G846" i="1"/>
  <c r="H846" i="1"/>
  <c r="I846" i="1"/>
  <c r="J846" i="1"/>
  <c r="K846" i="1"/>
  <c r="M846" i="1"/>
  <c r="O846" i="1"/>
  <c r="Q846" i="1"/>
  <c r="R846" i="1"/>
  <c r="W846" i="1"/>
  <c r="AA846" i="1"/>
  <c r="AB846" i="1"/>
  <c r="AE846" i="1"/>
  <c r="AF846" i="1"/>
  <c r="AM846" i="1"/>
  <c r="AN846" i="1"/>
  <c r="AO846" i="1"/>
  <c r="AQ846" i="1"/>
  <c r="AX846" i="1"/>
  <c r="BD846" i="1"/>
  <c r="B847" i="1"/>
  <c r="C847" i="1"/>
  <c r="E847" i="1"/>
  <c r="F847" i="1"/>
  <c r="G847" i="1"/>
  <c r="H847" i="1"/>
  <c r="I847" i="1"/>
  <c r="J847" i="1"/>
  <c r="K847" i="1"/>
  <c r="M847" i="1"/>
  <c r="O847" i="1"/>
  <c r="Q847" i="1"/>
  <c r="R847" i="1"/>
  <c r="W847" i="1"/>
  <c r="AA847" i="1"/>
  <c r="AB847" i="1"/>
  <c r="AE847" i="1"/>
  <c r="AF847" i="1"/>
  <c r="AM847" i="1"/>
  <c r="AN847" i="1"/>
  <c r="AO847" i="1"/>
  <c r="AQ847" i="1"/>
  <c r="AX847" i="1"/>
  <c r="BD847" i="1"/>
  <c r="B848" i="1"/>
  <c r="C848" i="1"/>
  <c r="E848" i="1"/>
  <c r="F848" i="1"/>
  <c r="G848" i="1"/>
  <c r="H848" i="1"/>
  <c r="I848" i="1"/>
  <c r="J848" i="1"/>
  <c r="K848" i="1"/>
  <c r="M848" i="1"/>
  <c r="O848" i="1"/>
  <c r="Q848" i="1"/>
  <c r="R848" i="1"/>
  <c r="W848" i="1"/>
  <c r="AA848" i="1"/>
  <c r="AB848" i="1"/>
  <c r="AE848" i="1"/>
  <c r="AF848" i="1"/>
  <c r="AM848" i="1"/>
  <c r="AN848" i="1"/>
  <c r="AO848" i="1"/>
  <c r="AQ848" i="1"/>
  <c r="AX848" i="1"/>
  <c r="BD848" i="1"/>
  <c r="B849" i="1"/>
  <c r="C849" i="1"/>
  <c r="E849" i="1"/>
  <c r="F849" i="1"/>
  <c r="G849" i="1"/>
  <c r="H849" i="1"/>
  <c r="I849" i="1"/>
  <c r="J849" i="1"/>
  <c r="K849" i="1"/>
  <c r="M849" i="1"/>
  <c r="O849" i="1"/>
  <c r="Q849" i="1"/>
  <c r="R849" i="1"/>
  <c r="W849" i="1"/>
  <c r="AA849" i="1"/>
  <c r="AB849" i="1"/>
  <c r="AE849" i="1"/>
  <c r="AF849" i="1"/>
  <c r="AM849" i="1"/>
  <c r="AN849" i="1"/>
  <c r="AO849" i="1"/>
  <c r="AQ849" i="1"/>
  <c r="AX849" i="1"/>
  <c r="BD849" i="1"/>
  <c r="B850" i="1"/>
  <c r="C850" i="1"/>
  <c r="E850" i="1"/>
  <c r="F850" i="1"/>
  <c r="G850" i="1"/>
  <c r="H850" i="1"/>
  <c r="I850" i="1"/>
  <c r="J850" i="1"/>
  <c r="K850" i="1"/>
  <c r="M850" i="1"/>
  <c r="O850" i="1"/>
  <c r="Q850" i="1"/>
  <c r="R850" i="1"/>
  <c r="W850" i="1"/>
  <c r="AA850" i="1"/>
  <c r="AB850" i="1"/>
  <c r="AE850" i="1"/>
  <c r="AF850" i="1"/>
  <c r="AM850" i="1"/>
  <c r="AN850" i="1"/>
  <c r="AO850" i="1"/>
  <c r="AQ850" i="1"/>
  <c r="AX850" i="1"/>
  <c r="BD850" i="1"/>
  <c r="B851" i="1"/>
  <c r="C851" i="1"/>
  <c r="E851" i="1"/>
  <c r="F851" i="1"/>
  <c r="G851" i="1"/>
  <c r="H851" i="1"/>
  <c r="I851" i="1"/>
  <c r="J851" i="1"/>
  <c r="K851" i="1"/>
  <c r="M851" i="1"/>
  <c r="O851" i="1"/>
  <c r="Q851" i="1"/>
  <c r="R851" i="1"/>
  <c r="W851" i="1"/>
  <c r="AA851" i="1"/>
  <c r="AB851" i="1"/>
  <c r="AE851" i="1"/>
  <c r="AF851" i="1"/>
  <c r="AM851" i="1"/>
  <c r="AN851" i="1"/>
  <c r="AO851" i="1"/>
  <c r="AQ851" i="1"/>
  <c r="AX851" i="1"/>
  <c r="BD851" i="1"/>
  <c r="B852" i="1"/>
  <c r="C852" i="1"/>
  <c r="D852" i="1"/>
  <c r="E852" i="1"/>
  <c r="F852" i="1"/>
  <c r="G852" i="1"/>
  <c r="H852" i="1"/>
  <c r="I852" i="1"/>
  <c r="J852" i="1"/>
  <c r="K852" i="1"/>
  <c r="M852" i="1"/>
  <c r="O852" i="1"/>
  <c r="Q852" i="1"/>
  <c r="R852" i="1"/>
  <c r="W852" i="1"/>
  <c r="AA852" i="1"/>
  <c r="AB852" i="1"/>
  <c r="AE852" i="1"/>
  <c r="AF852" i="1"/>
  <c r="AM852" i="1"/>
  <c r="AN852" i="1"/>
  <c r="AO852" i="1"/>
  <c r="AQ852" i="1"/>
  <c r="AX852" i="1"/>
  <c r="BD852" i="1"/>
  <c r="B853" i="1"/>
  <c r="E853" i="1"/>
  <c r="F853" i="1"/>
  <c r="G853" i="1"/>
  <c r="H853" i="1"/>
  <c r="I853" i="1"/>
  <c r="J853" i="1"/>
  <c r="K853" i="1"/>
  <c r="M853" i="1"/>
  <c r="O853" i="1"/>
  <c r="Q853" i="1"/>
  <c r="R853" i="1"/>
  <c r="W853" i="1"/>
  <c r="AA853" i="1"/>
  <c r="AB853" i="1"/>
  <c r="AM853" i="1"/>
  <c r="AN853" i="1"/>
  <c r="AO853" i="1"/>
  <c r="AQ853" i="1"/>
  <c r="AX853" i="1"/>
  <c r="BD853" i="1"/>
  <c r="B854" i="1"/>
  <c r="C854" i="1"/>
  <c r="E854" i="1"/>
  <c r="F854" i="1"/>
  <c r="G854" i="1"/>
  <c r="H854" i="1"/>
  <c r="I854" i="1"/>
  <c r="J854" i="1"/>
  <c r="K854" i="1"/>
  <c r="M854" i="1"/>
  <c r="O854" i="1"/>
  <c r="Q854" i="1"/>
  <c r="R854" i="1"/>
  <c r="W854" i="1"/>
  <c r="AA854" i="1"/>
  <c r="AM854" i="1"/>
  <c r="AN854" i="1"/>
  <c r="AO854" i="1"/>
  <c r="AQ854" i="1"/>
  <c r="BB854" i="1"/>
  <c r="BD854" i="1"/>
  <c r="B855" i="1"/>
  <c r="C855" i="1"/>
  <c r="E855" i="1"/>
  <c r="F855" i="1"/>
  <c r="G855" i="1"/>
  <c r="H855" i="1"/>
  <c r="I855" i="1"/>
  <c r="J855" i="1"/>
  <c r="K855" i="1"/>
  <c r="M855" i="1"/>
  <c r="O855" i="1"/>
  <c r="Q855" i="1"/>
  <c r="R855" i="1"/>
  <c r="W855" i="1"/>
  <c r="AA855" i="1"/>
  <c r="AM855" i="1"/>
  <c r="AN855" i="1"/>
  <c r="AO855" i="1"/>
  <c r="AQ855" i="1"/>
  <c r="BB855" i="1"/>
  <c r="BD855" i="1"/>
  <c r="B856" i="1"/>
  <c r="C856" i="1"/>
  <c r="E856" i="1"/>
  <c r="F856" i="1"/>
  <c r="G856" i="1"/>
  <c r="H856" i="1"/>
  <c r="I856" i="1"/>
  <c r="J856" i="1"/>
  <c r="K856" i="1"/>
  <c r="M856" i="1"/>
  <c r="O856" i="1"/>
  <c r="Q856" i="1"/>
  <c r="R856" i="1"/>
  <c r="W856" i="1"/>
  <c r="AA856" i="1"/>
  <c r="AM856" i="1"/>
  <c r="AN856" i="1"/>
  <c r="AO856" i="1"/>
  <c r="AQ856" i="1"/>
  <c r="BB856" i="1"/>
  <c r="BD856" i="1"/>
  <c r="B857" i="1"/>
  <c r="C857" i="1"/>
  <c r="E857" i="1"/>
  <c r="F857" i="1"/>
  <c r="G857" i="1"/>
  <c r="H857" i="1"/>
  <c r="I857" i="1"/>
  <c r="J857" i="1"/>
  <c r="K857" i="1"/>
  <c r="M857" i="1"/>
  <c r="O857" i="1"/>
  <c r="Q857" i="1"/>
  <c r="R857" i="1"/>
  <c r="W857" i="1"/>
  <c r="AA857" i="1"/>
  <c r="AM857" i="1"/>
  <c r="AN857" i="1"/>
  <c r="AO857" i="1"/>
  <c r="AQ857" i="1"/>
  <c r="BB857" i="1"/>
  <c r="BD857" i="1"/>
  <c r="B858" i="1"/>
  <c r="E858" i="1"/>
  <c r="F858" i="1"/>
  <c r="G858" i="1"/>
  <c r="H858" i="1"/>
  <c r="I858" i="1"/>
  <c r="J858" i="1"/>
  <c r="K858" i="1"/>
  <c r="M858" i="1"/>
  <c r="O858" i="1"/>
  <c r="Q858" i="1"/>
  <c r="R858" i="1"/>
  <c r="W858" i="1"/>
  <c r="AA858" i="1"/>
  <c r="AB858" i="1"/>
  <c r="AM858" i="1"/>
  <c r="AN858" i="1"/>
  <c r="AO858" i="1"/>
  <c r="AQ858" i="1"/>
  <c r="AX858" i="1"/>
  <c r="BD858" i="1"/>
  <c r="B859" i="1"/>
  <c r="C859" i="1"/>
  <c r="E859" i="1"/>
  <c r="F859" i="1"/>
  <c r="G859" i="1"/>
  <c r="H859" i="1"/>
  <c r="I859" i="1"/>
  <c r="J859" i="1"/>
  <c r="K859" i="1"/>
  <c r="M859" i="1"/>
  <c r="O859" i="1"/>
  <c r="Q859" i="1"/>
  <c r="R859" i="1"/>
  <c r="W859" i="1"/>
  <c r="AA859" i="1"/>
  <c r="AM859" i="1"/>
  <c r="AN859" i="1"/>
  <c r="AO859" i="1"/>
  <c r="AQ859" i="1"/>
  <c r="BB859" i="1"/>
  <c r="BD859" i="1"/>
  <c r="B860" i="1"/>
  <c r="C860" i="1"/>
  <c r="E860" i="1"/>
  <c r="F860" i="1"/>
  <c r="G860" i="1"/>
  <c r="H860" i="1"/>
  <c r="I860" i="1"/>
  <c r="J860" i="1"/>
  <c r="K860" i="1"/>
  <c r="M860" i="1"/>
  <c r="O860" i="1"/>
  <c r="Q860" i="1"/>
  <c r="R860" i="1"/>
  <c r="W860" i="1"/>
  <c r="AA860" i="1"/>
  <c r="AB860" i="1"/>
  <c r="AE860" i="1"/>
  <c r="AF860" i="1"/>
  <c r="AM860" i="1"/>
  <c r="AN860" i="1"/>
  <c r="AO860" i="1"/>
  <c r="AQ860" i="1"/>
  <c r="AX860" i="1"/>
  <c r="BD860" i="1"/>
  <c r="B861" i="1"/>
  <c r="C861" i="1"/>
  <c r="E861" i="1"/>
  <c r="F861" i="1"/>
  <c r="G861" i="1"/>
  <c r="H861" i="1"/>
  <c r="I861" i="1"/>
  <c r="J861" i="1"/>
  <c r="K861" i="1"/>
  <c r="M861" i="1"/>
  <c r="O861" i="1"/>
  <c r="Q861" i="1"/>
  <c r="R861" i="1"/>
  <c r="W861" i="1"/>
  <c r="AA861" i="1"/>
  <c r="AB861" i="1"/>
  <c r="AE861" i="1"/>
  <c r="AF861" i="1"/>
  <c r="AM861" i="1"/>
  <c r="AN861" i="1"/>
  <c r="AO861" i="1"/>
  <c r="AQ861" i="1"/>
  <c r="AX861" i="1"/>
  <c r="BD861" i="1"/>
  <c r="B862" i="1"/>
  <c r="C862" i="1"/>
  <c r="E862" i="1"/>
  <c r="F862" i="1"/>
  <c r="G862" i="1"/>
  <c r="H862" i="1"/>
  <c r="I862" i="1"/>
  <c r="J862" i="1"/>
  <c r="K862" i="1"/>
  <c r="M862" i="1"/>
  <c r="O862" i="1"/>
  <c r="Q862" i="1"/>
  <c r="R862" i="1"/>
  <c r="W862" i="1"/>
  <c r="AA862" i="1"/>
  <c r="AM862" i="1"/>
  <c r="AN862" i="1"/>
  <c r="AO862" i="1"/>
  <c r="AQ862" i="1"/>
  <c r="BB862" i="1"/>
  <c r="BD862" i="1"/>
  <c r="B863" i="1"/>
  <c r="C863" i="1"/>
  <c r="E863" i="1"/>
  <c r="F863" i="1"/>
  <c r="G863" i="1"/>
  <c r="H863" i="1"/>
  <c r="I863" i="1"/>
  <c r="J863" i="1"/>
  <c r="K863" i="1"/>
  <c r="M863" i="1"/>
  <c r="O863" i="1"/>
  <c r="Q863" i="1"/>
  <c r="R863" i="1"/>
  <c r="W863" i="1"/>
  <c r="AA863" i="1"/>
  <c r="AM863" i="1"/>
  <c r="AN863" i="1"/>
  <c r="AO863" i="1"/>
  <c r="AQ863" i="1"/>
  <c r="BB863" i="1"/>
  <c r="BD863" i="1"/>
  <c r="B864" i="1"/>
  <c r="C864" i="1"/>
  <c r="E864" i="1"/>
  <c r="F864" i="1"/>
  <c r="G864" i="1"/>
  <c r="H864" i="1"/>
  <c r="I864" i="1"/>
  <c r="J864" i="1"/>
  <c r="K864" i="1"/>
  <c r="M864" i="1"/>
  <c r="O864" i="1"/>
  <c r="Q864" i="1"/>
  <c r="R864" i="1"/>
  <c r="W864" i="1"/>
  <c r="AA864" i="1"/>
  <c r="AM864" i="1"/>
  <c r="AN864" i="1"/>
  <c r="AO864" i="1"/>
  <c r="AQ864" i="1"/>
  <c r="BB864" i="1"/>
  <c r="BD864" i="1"/>
  <c r="B865" i="1"/>
  <c r="C865" i="1"/>
  <c r="E865" i="1"/>
  <c r="F865" i="1"/>
  <c r="G865" i="1"/>
  <c r="H865" i="1"/>
  <c r="I865" i="1"/>
  <c r="J865" i="1"/>
  <c r="K865" i="1"/>
  <c r="M865" i="1"/>
  <c r="O865" i="1"/>
  <c r="Q865" i="1"/>
  <c r="R865" i="1"/>
  <c r="W865" i="1"/>
  <c r="AA865" i="1"/>
  <c r="AM865" i="1"/>
  <c r="AN865" i="1"/>
  <c r="AO865" i="1"/>
  <c r="AQ865" i="1"/>
  <c r="BB865" i="1"/>
  <c r="BD865" i="1"/>
  <c r="B866" i="1"/>
  <c r="C866" i="1"/>
  <c r="D866" i="1"/>
  <c r="E866" i="1"/>
  <c r="F866" i="1"/>
  <c r="G866" i="1"/>
  <c r="H866" i="1"/>
  <c r="I866" i="1"/>
  <c r="J866" i="1"/>
  <c r="K866" i="1"/>
  <c r="M866" i="1"/>
  <c r="O866" i="1"/>
  <c r="Q866" i="1"/>
  <c r="R866" i="1"/>
  <c r="W866" i="1"/>
  <c r="AA866" i="1"/>
  <c r="AB866" i="1"/>
  <c r="AE866" i="1"/>
  <c r="AF866" i="1"/>
  <c r="AM866" i="1"/>
  <c r="AN866" i="1"/>
  <c r="AO866" i="1"/>
  <c r="AQ866" i="1"/>
  <c r="AX866" i="1"/>
  <c r="BD866" i="1"/>
  <c r="B867" i="1"/>
  <c r="C867" i="1"/>
  <c r="D867" i="1"/>
  <c r="E867" i="1"/>
  <c r="F867" i="1"/>
  <c r="G867" i="1"/>
  <c r="H867" i="1"/>
  <c r="I867" i="1"/>
  <c r="J867" i="1"/>
  <c r="K867" i="1"/>
  <c r="M867" i="1"/>
  <c r="O867" i="1"/>
  <c r="Q867" i="1"/>
  <c r="R867" i="1"/>
  <c r="W867" i="1"/>
  <c r="AA867" i="1"/>
  <c r="AB867" i="1"/>
  <c r="AE867" i="1"/>
  <c r="AF867" i="1"/>
  <c r="AM867" i="1"/>
  <c r="AN867" i="1"/>
  <c r="AO867" i="1"/>
  <c r="AQ867" i="1"/>
  <c r="AX867" i="1"/>
  <c r="BD867" i="1"/>
  <c r="B868" i="1"/>
  <c r="C868" i="1"/>
  <c r="D868" i="1"/>
  <c r="E868" i="1"/>
  <c r="F868" i="1"/>
  <c r="G868" i="1"/>
  <c r="H868" i="1"/>
  <c r="I868" i="1"/>
  <c r="J868" i="1"/>
  <c r="K868" i="1"/>
  <c r="M868" i="1"/>
  <c r="O868" i="1"/>
  <c r="Q868" i="1"/>
  <c r="R868" i="1"/>
  <c r="W868" i="1"/>
  <c r="AA868" i="1"/>
  <c r="AB868" i="1"/>
  <c r="AE868" i="1"/>
  <c r="AF868" i="1"/>
  <c r="AM868" i="1"/>
  <c r="AN868" i="1"/>
  <c r="AO868" i="1"/>
  <c r="AQ868" i="1"/>
  <c r="AX868" i="1"/>
  <c r="BD868" i="1"/>
  <c r="B869" i="1"/>
  <c r="C869" i="1"/>
  <c r="E869" i="1"/>
  <c r="F869" i="1"/>
  <c r="G869" i="1"/>
  <c r="H869" i="1"/>
  <c r="I869" i="1"/>
  <c r="J869" i="1"/>
  <c r="K869" i="1"/>
  <c r="M869" i="1"/>
  <c r="O869" i="1"/>
  <c r="Q869" i="1"/>
  <c r="R869" i="1"/>
  <c r="W869" i="1"/>
  <c r="AA869" i="1"/>
  <c r="AM869" i="1"/>
  <c r="AN869" i="1"/>
  <c r="AO869" i="1"/>
  <c r="AQ869" i="1"/>
  <c r="BB869" i="1"/>
  <c r="BD869" i="1"/>
  <c r="B870" i="1"/>
  <c r="C870" i="1"/>
  <c r="D870" i="1"/>
  <c r="E870" i="1"/>
  <c r="F870" i="1"/>
  <c r="G870" i="1"/>
  <c r="H870" i="1"/>
  <c r="I870" i="1"/>
  <c r="J870" i="1"/>
  <c r="K870" i="1"/>
  <c r="M870" i="1"/>
  <c r="O870" i="1"/>
  <c r="Q870" i="1"/>
  <c r="R870" i="1"/>
  <c r="W870" i="1"/>
  <c r="AA870" i="1"/>
  <c r="AB870" i="1"/>
  <c r="AM870" i="1"/>
  <c r="AN870" i="1"/>
  <c r="AO870" i="1"/>
  <c r="AQ870" i="1"/>
  <c r="AX870" i="1"/>
  <c r="BD870" i="1"/>
  <c r="B871" i="1"/>
  <c r="E871" i="1"/>
  <c r="F871" i="1"/>
  <c r="G871" i="1"/>
  <c r="H871" i="1"/>
  <c r="I871" i="1"/>
  <c r="J871" i="1"/>
  <c r="K871" i="1"/>
  <c r="M871" i="1"/>
  <c r="O871" i="1"/>
  <c r="Q871" i="1"/>
  <c r="R871" i="1"/>
  <c r="W871" i="1"/>
  <c r="AA871" i="1"/>
  <c r="AB871" i="1"/>
  <c r="AM871" i="1"/>
  <c r="AN871" i="1"/>
  <c r="AO871" i="1"/>
  <c r="AQ871" i="1"/>
  <c r="AX871" i="1"/>
  <c r="BD871" i="1"/>
  <c r="B872" i="1"/>
  <c r="C872" i="1"/>
  <c r="E872" i="1"/>
  <c r="F872" i="1"/>
  <c r="G872" i="1"/>
  <c r="H872" i="1"/>
  <c r="I872" i="1"/>
  <c r="J872" i="1"/>
  <c r="K872" i="1"/>
  <c r="M872" i="1"/>
  <c r="O872" i="1"/>
  <c r="Q872" i="1"/>
  <c r="R872" i="1"/>
  <c r="W872" i="1"/>
  <c r="AA872" i="1"/>
  <c r="AB872" i="1"/>
  <c r="AE872" i="1"/>
  <c r="AF872" i="1"/>
  <c r="AM872" i="1"/>
  <c r="AN872" i="1"/>
  <c r="AO872" i="1"/>
  <c r="AQ872" i="1"/>
  <c r="AX872" i="1"/>
  <c r="BD872" i="1"/>
  <c r="B873" i="1"/>
  <c r="C873" i="1"/>
  <c r="E873" i="1"/>
  <c r="F873" i="1"/>
  <c r="G873" i="1"/>
  <c r="H873" i="1"/>
  <c r="I873" i="1"/>
  <c r="J873" i="1"/>
  <c r="K873" i="1"/>
  <c r="M873" i="1"/>
  <c r="O873" i="1"/>
  <c r="Q873" i="1"/>
  <c r="R873" i="1"/>
  <c r="W873" i="1"/>
  <c r="AA873" i="1"/>
  <c r="AB873" i="1"/>
  <c r="AE873" i="1"/>
  <c r="AF873" i="1"/>
  <c r="AM873" i="1"/>
  <c r="AN873" i="1"/>
  <c r="AO873" i="1"/>
  <c r="AQ873" i="1"/>
  <c r="AX873" i="1"/>
  <c r="BD873" i="1"/>
  <c r="B874" i="1"/>
  <c r="C874" i="1"/>
  <c r="E874" i="1"/>
  <c r="F874" i="1"/>
  <c r="G874" i="1"/>
  <c r="H874" i="1"/>
  <c r="I874" i="1"/>
  <c r="J874" i="1"/>
  <c r="K874" i="1"/>
  <c r="M874" i="1"/>
  <c r="O874" i="1"/>
  <c r="Q874" i="1"/>
  <c r="R874" i="1"/>
  <c r="W874" i="1"/>
  <c r="AA874" i="1"/>
  <c r="AB874" i="1"/>
  <c r="AE874" i="1"/>
  <c r="AF874" i="1"/>
  <c r="AM874" i="1"/>
  <c r="AN874" i="1"/>
  <c r="AO874" i="1"/>
  <c r="AQ874" i="1"/>
  <c r="AX874" i="1"/>
  <c r="BD874" i="1"/>
  <c r="B875" i="1"/>
  <c r="C875" i="1"/>
  <c r="E875" i="1"/>
  <c r="F875" i="1"/>
  <c r="G875" i="1"/>
  <c r="H875" i="1"/>
  <c r="I875" i="1"/>
  <c r="J875" i="1"/>
  <c r="K875" i="1"/>
  <c r="M875" i="1"/>
  <c r="O875" i="1"/>
  <c r="Q875" i="1"/>
  <c r="R875" i="1"/>
  <c r="W875" i="1"/>
  <c r="AA875" i="1"/>
  <c r="AB875" i="1"/>
  <c r="AE875" i="1"/>
  <c r="AF875" i="1"/>
  <c r="AM875" i="1"/>
  <c r="AN875" i="1"/>
  <c r="AO875" i="1"/>
  <c r="AQ875" i="1"/>
  <c r="AX875" i="1"/>
  <c r="BD875" i="1"/>
  <c r="B876" i="1"/>
  <c r="C876" i="1"/>
  <c r="E876" i="1"/>
  <c r="F876" i="1"/>
  <c r="G876" i="1"/>
  <c r="H876" i="1"/>
  <c r="I876" i="1"/>
  <c r="J876" i="1"/>
  <c r="K876" i="1"/>
  <c r="M876" i="1"/>
  <c r="O876" i="1"/>
  <c r="Q876" i="1"/>
  <c r="R876" i="1"/>
  <c r="W876" i="1"/>
  <c r="AA876" i="1"/>
  <c r="AB876" i="1"/>
  <c r="AE876" i="1"/>
  <c r="AF876" i="1"/>
  <c r="AM876" i="1"/>
  <c r="AN876" i="1"/>
  <c r="AO876" i="1"/>
  <c r="AQ876" i="1"/>
  <c r="AX876" i="1"/>
  <c r="BD876" i="1"/>
  <c r="B877" i="1"/>
  <c r="C877" i="1"/>
  <c r="E877" i="1"/>
  <c r="F877" i="1"/>
  <c r="G877" i="1"/>
  <c r="H877" i="1"/>
  <c r="I877" i="1"/>
  <c r="J877" i="1"/>
  <c r="K877" i="1"/>
  <c r="M877" i="1"/>
  <c r="O877" i="1"/>
  <c r="Q877" i="1"/>
  <c r="R877" i="1"/>
  <c r="W877" i="1"/>
  <c r="AA877" i="1"/>
  <c r="AB877" i="1"/>
  <c r="AE877" i="1"/>
  <c r="AF877" i="1"/>
  <c r="AM877" i="1"/>
  <c r="AN877" i="1"/>
  <c r="AO877" i="1"/>
  <c r="AQ877" i="1"/>
  <c r="AX877" i="1"/>
  <c r="BD877" i="1"/>
  <c r="B878" i="1"/>
  <c r="C878" i="1"/>
  <c r="E878" i="1"/>
  <c r="F878" i="1"/>
  <c r="G878" i="1"/>
  <c r="H878" i="1"/>
  <c r="I878" i="1"/>
  <c r="J878" i="1"/>
  <c r="K878" i="1"/>
  <c r="M878" i="1"/>
  <c r="O878" i="1"/>
  <c r="Q878" i="1"/>
  <c r="R878" i="1"/>
  <c r="W878" i="1"/>
  <c r="AA878" i="1"/>
  <c r="AB878" i="1"/>
  <c r="AE878" i="1"/>
  <c r="AF878" i="1"/>
  <c r="AM878" i="1"/>
  <c r="AN878" i="1"/>
  <c r="AO878" i="1"/>
  <c r="AQ878" i="1"/>
  <c r="AX878" i="1"/>
  <c r="BD878" i="1"/>
  <c r="B879" i="1"/>
  <c r="C879" i="1"/>
  <c r="E879" i="1"/>
  <c r="F879" i="1"/>
  <c r="G879" i="1"/>
  <c r="H879" i="1"/>
  <c r="I879" i="1"/>
  <c r="J879" i="1"/>
  <c r="K879" i="1"/>
  <c r="M879" i="1"/>
  <c r="O879" i="1"/>
  <c r="Q879" i="1"/>
  <c r="R879" i="1"/>
  <c r="W879" i="1"/>
  <c r="AA879" i="1"/>
  <c r="AB879" i="1"/>
  <c r="AE879" i="1"/>
  <c r="AF879" i="1"/>
  <c r="AM879" i="1"/>
  <c r="AN879" i="1"/>
  <c r="AO879" i="1"/>
  <c r="AQ879" i="1"/>
  <c r="AX879" i="1"/>
  <c r="BD879" i="1"/>
  <c r="B880" i="1"/>
  <c r="C880" i="1"/>
  <c r="E880" i="1"/>
  <c r="F880" i="1"/>
  <c r="G880" i="1"/>
  <c r="H880" i="1"/>
  <c r="I880" i="1"/>
  <c r="J880" i="1"/>
  <c r="K880" i="1"/>
  <c r="M880" i="1"/>
  <c r="O880" i="1"/>
  <c r="Q880" i="1"/>
  <c r="R880" i="1"/>
  <c r="W880" i="1"/>
  <c r="AA880" i="1"/>
  <c r="AM880" i="1"/>
  <c r="AN880" i="1"/>
  <c r="AO880" i="1"/>
  <c r="AQ880" i="1"/>
  <c r="BB880" i="1"/>
  <c r="BD880" i="1"/>
  <c r="B881" i="1"/>
  <c r="C881" i="1"/>
  <c r="E881" i="1"/>
  <c r="F881" i="1"/>
  <c r="G881" i="1"/>
  <c r="H881" i="1"/>
  <c r="I881" i="1"/>
  <c r="J881" i="1"/>
  <c r="K881" i="1"/>
  <c r="M881" i="1"/>
  <c r="O881" i="1"/>
  <c r="Q881" i="1"/>
  <c r="R881" i="1"/>
  <c r="W881" i="1"/>
  <c r="AA881" i="1"/>
  <c r="AM881" i="1"/>
  <c r="AN881" i="1"/>
  <c r="AO881" i="1"/>
  <c r="AQ881" i="1"/>
  <c r="BB881" i="1"/>
  <c r="BD881" i="1"/>
  <c r="B882" i="1"/>
  <c r="C882" i="1"/>
  <c r="E882" i="1"/>
  <c r="F882" i="1"/>
  <c r="G882" i="1"/>
  <c r="H882" i="1"/>
  <c r="I882" i="1"/>
  <c r="J882" i="1"/>
  <c r="K882" i="1"/>
  <c r="M882" i="1"/>
  <c r="O882" i="1"/>
  <c r="Q882" i="1"/>
  <c r="R882" i="1"/>
  <c r="W882" i="1"/>
  <c r="AA882" i="1"/>
  <c r="AM882" i="1"/>
  <c r="AN882" i="1"/>
  <c r="AO882" i="1"/>
  <c r="AQ882" i="1"/>
  <c r="BB882" i="1"/>
  <c r="BD882" i="1"/>
  <c r="B883" i="1"/>
  <c r="C883" i="1"/>
  <c r="E883" i="1"/>
  <c r="F883" i="1"/>
  <c r="G883" i="1"/>
  <c r="H883" i="1"/>
  <c r="I883" i="1"/>
  <c r="J883" i="1"/>
  <c r="K883" i="1"/>
  <c r="M883" i="1"/>
  <c r="O883" i="1"/>
  <c r="Q883" i="1"/>
  <c r="R883" i="1"/>
  <c r="W883" i="1"/>
  <c r="AA883" i="1"/>
  <c r="AM883" i="1"/>
  <c r="AN883" i="1"/>
  <c r="AO883" i="1"/>
  <c r="AQ883" i="1"/>
  <c r="BB883" i="1"/>
  <c r="BD883" i="1"/>
  <c r="B884" i="1"/>
  <c r="C884" i="1"/>
  <c r="E884" i="1"/>
  <c r="F884" i="1"/>
  <c r="G884" i="1"/>
  <c r="H884" i="1"/>
  <c r="I884" i="1"/>
  <c r="J884" i="1"/>
  <c r="K884" i="1"/>
  <c r="M884" i="1"/>
  <c r="O884" i="1"/>
  <c r="Q884" i="1"/>
  <c r="R884" i="1"/>
  <c r="W884" i="1"/>
  <c r="AA884" i="1"/>
  <c r="AM884" i="1"/>
  <c r="AN884" i="1"/>
  <c r="AO884" i="1"/>
  <c r="AQ884" i="1"/>
  <c r="BB884" i="1"/>
  <c r="BD884" i="1"/>
  <c r="B885" i="1"/>
  <c r="E885" i="1"/>
  <c r="F885" i="1"/>
  <c r="G885" i="1"/>
  <c r="H885" i="1"/>
  <c r="I885" i="1"/>
  <c r="J885" i="1"/>
  <c r="K885" i="1"/>
  <c r="M885" i="1"/>
  <c r="O885" i="1"/>
  <c r="Q885" i="1"/>
  <c r="R885" i="1"/>
  <c r="W885" i="1"/>
  <c r="AA885" i="1"/>
  <c r="AB885" i="1"/>
  <c r="AM885" i="1"/>
  <c r="AN885" i="1"/>
  <c r="AO885" i="1"/>
  <c r="AQ885" i="1"/>
  <c r="AX885" i="1"/>
  <c r="BD885" i="1"/>
  <c r="B886" i="1"/>
  <c r="E886" i="1"/>
  <c r="F886" i="1"/>
  <c r="G886" i="1"/>
  <c r="H886" i="1"/>
  <c r="I886" i="1"/>
  <c r="J886" i="1"/>
  <c r="K886" i="1"/>
  <c r="M886" i="1"/>
  <c r="O886" i="1"/>
  <c r="Q886" i="1"/>
  <c r="R886" i="1"/>
  <c r="W886" i="1"/>
  <c r="AA886" i="1"/>
  <c r="AB886" i="1"/>
  <c r="AM886" i="1"/>
  <c r="AN886" i="1"/>
  <c r="AO886" i="1"/>
  <c r="AQ886" i="1"/>
  <c r="AX886" i="1"/>
  <c r="BD886" i="1"/>
  <c r="B887" i="1"/>
  <c r="C887" i="1"/>
  <c r="E887" i="1"/>
  <c r="F887" i="1"/>
  <c r="G887" i="1"/>
  <c r="H887" i="1"/>
  <c r="I887" i="1"/>
  <c r="J887" i="1"/>
  <c r="K887" i="1"/>
  <c r="M887" i="1"/>
  <c r="O887" i="1"/>
  <c r="Q887" i="1"/>
  <c r="R887" i="1"/>
  <c r="W887" i="1"/>
  <c r="AA887" i="1"/>
  <c r="AM887" i="1"/>
  <c r="AN887" i="1"/>
  <c r="AO887" i="1"/>
  <c r="AQ887" i="1"/>
  <c r="BB887" i="1"/>
  <c r="BD887" i="1"/>
  <c r="B888" i="1"/>
  <c r="C888" i="1"/>
  <c r="E888" i="1"/>
  <c r="F888" i="1"/>
  <c r="G888" i="1"/>
  <c r="H888" i="1"/>
  <c r="I888" i="1"/>
  <c r="J888" i="1"/>
  <c r="K888" i="1"/>
  <c r="M888" i="1"/>
  <c r="O888" i="1"/>
  <c r="Q888" i="1"/>
  <c r="R888" i="1"/>
  <c r="W888" i="1"/>
  <c r="AA888" i="1"/>
  <c r="AM888" i="1"/>
  <c r="AN888" i="1"/>
  <c r="AO888" i="1"/>
  <c r="AQ888" i="1"/>
  <c r="BB888" i="1"/>
  <c r="BD888" i="1"/>
  <c r="B889" i="1"/>
  <c r="C889" i="1"/>
  <c r="E889" i="1"/>
  <c r="F889" i="1"/>
  <c r="G889" i="1"/>
  <c r="H889" i="1"/>
  <c r="I889" i="1"/>
  <c r="J889" i="1"/>
  <c r="K889" i="1"/>
  <c r="M889" i="1"/>
  <c r="O889" i="1"/>
  <c r="Q889" i="1"/>
  <c r="R889" i="1"/>
  <c r="W889" i="1"/>
  <c r="AA889" i="1"/>
  <c r="AM889" i="1"/>
  <c r="AN889" i="1"/>
  <c r="AO889" i="1"/>
  <c r="AQ889" i="1"/>
  <c r="BB889" i="1"/>
  <c r="BD889" i="1"/>
  <c r="B890" i="1"/>
  <c r="C890" i="1"/>
  <c r="E890" i="1"/>
  <c r="F890" i="1"/>
  <c r="G890" i="1"/>
  <c r="H890" i="1"/>
  <c r="I890" i="1"/>
  <c r="J890" i="1"/>
  <c r="K890" i="1"/>
  <c r="M890" i="1"/>
  <c r="O890" i="1"/>
  <c r="Q890" i="1"/>
  <c r="R890" i="1"/>
  <c r="W890" i="1"/>
  <c r="AA890" i="1"/>
  <c r="AM890" i="1"/>
  <c r="AN890" i="1"/>
  <c r="AO890" i="1"/>
  <c r="AQ890" i="1"/>
  <c r="BB890" i="1"/>
  <c r="BD890" i="1"/>
  <c r="B891" i="1"/>
  <c r="C891" i="1"/>
  <c r="E891" i="1"/>
  <c r="F891" i="1"/>
  <c r="G891" i="1"/>
  <c r="H891" i="1"/>
  <c r="I891" i="1"/>
  <c r="J891" i="1"/>
  <c r="K891" i="1"/>
  <c r="M891" i="1"/>
  <c r="O891" i="1"/>
  <c r="Q891" i="1"/>
  <c r="R891" i="1"/>
  <c r="W891" i="1"/>
  <c r="AA891" i="1"/>
  <c r="AM891" i="1"/>
  <c r="AN891" i="1"/>
  <c r="AO891" i="1"/>
  <c r="AQ891" i="1"/>
  <c r="BB891" i="1"/>
  <c r="BD891" i="1"/>
  <c r="B892" i="1"/>
  <c r="C892" i="1"/>
  <c r="E892" i="1"/>
  <c r="F892" i="1"/>
  <c r="G892" i="1"/>
  <c r="H892" i="1"/>
  <c r="I892" i="1"/>
  <c r="J892" i="1"/>
  <c r="K892" i="1"/>
  <c r="M892" i="1"/>
  <c r="O892" i="1"/>
  <c r="Q892" i="1"/>
  <c r="R892" i="1"/>
  <c r="W892" i="1"/>
  <c r="AA892" i="1"/>
  <c r="AB892" i="1"/>
  <c r="AE892" i="1"/>
  <c r="AF892" i="1"/>
  <c r="AM892" i="1"/>
  <c r="AN892" i="1"/>
  <c r="AO892" i="1"/>
  <c r="AQ892" i="1"/>
  <c r="AX892" i="1"/>
  <c r="BD892" i="1"/>
  <c r="B893" i="1"/>
  <c r="C893" i="1"/>
  <c r="E893" i="1"/>
  <c r="F893" i="1"/>
  <c r="G893" i="1"/>
  <c r="H893" i="1"/>
  <c r="I893" i="1"/>
  <c r="J893" i="1"/>
  <c r="K893" i="1"/>
  <c r="M893" i="1"/>
  <c r="O893" i="1"/>
  <c r="Q893" i="1"/>
  <c r="R893" i="1"/>
  <c r="W893" i="1"/>
  <c r="AA893" i="1"/>
  <c r="AB893" i="1"/>
  <c r="AE893" i="1"/>
  <c r="AF893" i="1"/>
  <c r="AM893" i="1"/>
  <c r="AN893" i="1"/>
  <c r="AO893" i="1"/>
  <c r="AQ893" i="1"/>
  <c r="AX893" i="1"/>
  <c r="BD893" i="1"/>
  <c r="B894" i="1"/>
  <c r="C894" i="1"/>
  <c r="E894" i="1"/>
  <c r="F894" i="1"/>
  <c r="G894" i="1"/>
  <c r="H894" i="1"/>
  <c r="I894" i="1"/>
  <c r="J894" i="1"/>
  <c r="K894" i="1"/>
  <c r="M894" i="1"/>
  <c r="O894" i="1"/>
  <c r="Q894" i="1"/>
  <c r="R894" i="1"/>
  <c r="W894" i="1"/>
  <c r="AA894" i="1"/>
  <c r="AB894" i="1"/>
  <c r="AE894" i="1"/>
  <c r="AF894" i="1"/>
  <c r="AM894" i="1"/>
  <c r="AN894" i="1"/>
  <c r="AO894" i="1"/>
  <c r="AQ894" i="1"/>
  <c r="AX894" i="1"/>
  <c r="BD894" i="1"/>
  <c r="B895" i="1"/>
  <c r="C895" i="1"/>
  <c r="E895" i="1"/>
  <c r="F895" i="1"/>
  <c r="G895" i="1"/>
  <c r="H895" i="1"/>
  <c r="I895" i="1"/>
  <c r="J895" i="1"/>
  <c r="K895" i="1"/>
  <c r="M895" i="1"/>
  <c r="O895" i="1"/>
  <c r="Q895" i="1"/>
  <c r="R895" i="1"/>
  <c r="W895" i="1"/>
  <c r="AA895" i="1"/>
  <c r="AB895" i="1"/>
  <c r="AE895" i="1"/>
  <c r="AF895" i="1"/>
  <c r="AM895" i="1"/>
  <c r="AN895" i="1"/>
  <c r="AO895" i="1"/>
  <c r="AQ895" i="1"/>
  <c r="AX895" i="1"/>
  <c r="BD895" i="1"/>
  <c r="B896" i="1"/>
  <c r="C896" i="1"/>
  <c r="E896" i="1"/>
  <c r="F896" i="1"/>
  <c r="G896" i="1"/>
  <c r="H896" i="1"/>
  <c r="I896" i="1"/>
  <c r="J896" i="1"/>
  <c r="K896" i="1"/>
  <c r="M896" i="1"/>
  <c r="O896" i="1"/>
  <c r="Q896" i="1"/>
  <c r="R896" i="1"/>
  <c r="W896" i="1"/>
  <c r="AA896" i="1"/>
  <c r="AB896" i="1"/>
  <c r="AE896" i="1"/>
  <c r="AF896" i="1"/>
  <c r="AM896" i="1"/>
  <c r="AN896" i="1"/>
  <c r="AO896" i="1"/>
  <c r="AQ896" i="1"/>
  <c r="AX896" i="1"/>
  <c r="BD896" i="1"/>
  <c r="B897" i="1"/>
  <c r="C897" i="1"/>
  <c r="E897" i="1"/>
  <c r="F897" i="1"/>
  <c r="G897" i="1"/>
  <c r="H897" i="1"/>
  <c r="I897" i="1"/>
  <c r="J897" i="1"/>
  <c r="K897" i="1"/>
  <c r="M897" i="1"/>
  <c r="O897" i="1"/>
  <c r="Q897" i="1"/>
  <c r="R897" i="1"/>
  <c r="W897" i="1"/>
  <c r="AA897" i="1"/>
  <c r="AB897" i="1"/>
  <c r="AE897" i="1"/>
  <c r="AF897" i="1"/>
  <c r="AM897" i="1"/>
  <c r="AN897" i="1"/>
  <c r="AO897" i="1"/>
  <c r="AQ897" i="1"/>
  <c r="AX897" i="1"/>
  <c r="BD897" i="1"/>
  <c r="B898" i="1"/>
  <c r="C898" i="1"/>
  <c r="D898" i="1"/>
  <c r="E898" i="1"/>
  <c r="F898" i="1"/>
  <c r="G898" i="1"/>
  <c r="H898" i="1"/>
  <c r="I898" i="1"/>
  <c r="J898" i="1"/>
  <c r="K898" i="1"/>
  <c r="M898" i="1"/>
  <c r="O898" i="1"/>
  <c r="Q898" i="1"/>
  <c r="R898" i="1"/>
  <c r="W898" i="1"/>
  <c r="AA898" i="1"/>
  <c r="AB898" i="1"/>
  <c r="AE898" i="1"/>
  <c r="AF898" i="1"/>
  <c r="AM898" i="1"/>
  <c r="AN898" i="1"/>
  <c r="AO898" i="1"/>
  <c r="AQ898" i="1"/>
  <c r="AX898" i="1"/>
  <c r="BD898" i="1"/>
  <c r="B899" i="1"/>
  <c r="C899" i="1"/>
  <c r="D899" i="1"/>
  <c r="E899" i="1"/>
  <c r="F899" i="1"/>
  <c r="G899" i="1"/>
  <c r="H899" i="1"/>
  <c r="I899" i="1"/>
  <c r="J899" i="1"/>
  <c r="K899" i="1"/>
  <c r="M899" i="1"/>
  <c r="O899" i="1"/>
  <c r="Q899" i="1"/>
  <c r="R899" i="1"/>
  <c r="W899" i="1"/>
  <c r="AA899" i="1"/>
  <c r="AB899" i="1"/>
  <c r="AE899" i="1"/>
  <c r="AF899" i="1"/>
  <c r="AM899" i="1"/>
  <c r="AN899" i="1"/>
  <c r="AO899" i="1"/>
  <c r="AQ899" i="1"/>
  <c r="AX899" i="1"/>
  <c r="BD899" i="1"/>
  <c r="B900" i="1"/>
  <c r="C900" i="1"/>
  <c r="D900" i="1"/>
  <c r="E900" i="1"/>
  <c r="F900" i="1"/>
  <c r="G900" i="1"/>
  <c r="H900" i="1"/>
  <c r="I900" i="1"/>
  <c r="J900" i="1"/>
  <c r="K900" i="1"/>
  <c r="M900" i="1"/>
  <c r="O900" i="1"/>
  <c r="Q900" i="1"/>
  <c r="R900" i="1"/>
  <c r="W900" i="1"/>
  <c r="AA900" i="1"/>
  <c r="AB900" i="1"/>
  <c r="AE900" i="1"/>
  <c r="AF900" i="1"/>
  <c r="AM900" i="1"/>
  <c r="AN900" i="1"/>
  <c r="AO900" i="1"/>
  <c r="AQ900" i="1"/>
  <c r="AX900" i="1"/>
  <c r="BD900" i="1"/>
  <c r="B901" i="1"/>
  <c r="C901" i="1"/>
  <c r="D901" i="1"/>
  <c r="E901" i="1"/>
  <c r="F901" i="1"/>
  <c r="G901" i="1"/>
  <c r="H901" i="1"/>
  <c r="I901" i="1"/>
  <c r="J901" i="1"/>
  <c r="K901" i="1"/>
  <c r="M901" i="1"/>
  <c r="O901" i="1"/>
  <c r="Q901" i="1"/>
  <c r="R901" i="1"/>
  <c r="W901" i="1"/>
  <c r="AA901" i="1"/>
  <c r="AB901" i="1"/>
  <c r="AE901" i="1"/>
  <c r="AF901" i="1"/>
  <c r="AM901" i="1"/>
  <c r="AN901" i="1"/>
  <c r="AO901" i="1"/>
  <c r="AQ901" i="1"/>
  <c r="AX901" i="1"/>
  <c r="BD901" i="1"/>
  <c r="B902" i="1"/>
  <c r="C902" i="1"/>
  <c r="E902" i="1"/>
  <c r="F902" i="1"/>
  <c r="G902" i="1"/>
  <c r="H902" i="1"/>
  <c r="I902" i="1"/>
  <c r="J902" i="1"/>
  <c r="K902" i="1"/>
  <c r="M902" i="1"/>
  <c r="O902" i="1"/>
  <c r="Q902" i="1"/>
  <c r="R902" i="1"/>
  <c r="W902" i="1"/>
  <c r="AA902" i="1"/>
  <c r="AB902" i="1"/>
  <c r="AE902" i="1"/>
  <c r="AF902" i="1"/>
  <c r="AM902" i="1"/>
  <c r="AN902" i="1"/>
  <c r="AO902" i="1"/>
  <c r="AQ902" i="1"/>
  <c r="AX902" i="1"/>
  <c r="BD902" i="1"/>
  <c r="B903" i="1"/>
  <c r="C903" i="1"/>
  <c r="E903" i="1"/>
  <c r="F903" i="1"/>
  <c r="G903" i="1"/>
  <c r="H903" i="1"/>
  <c r="I903" i="1"/>
  <c r="J903" i="1"/>
  <c r="K903" i="1"/>
  <c r="M903" i="1"/>
  <c r="O903" i="1"/>
  <c r="Q903" i="1"/>
  <c r="R903" i="1"/>
  <c r="W903" i="1"/>
  <c r="AA903" i="1"/>
  <c r="AB903" i="1"/>
  <c r="AE903" i="1"/>
  <c r="AF903" i="1"/>
  <c r="AM903" i="1"/>
  <c r="AN903" i="1"/>
  <c r="AO903" i="1"/>
  <c r="AQ903" i="1"/>
  <c r="AX903" i="1"/>
  <c r="BD903" i="1"/>
  <c r="B904" i="1"/>
  <c r="C904" i="1"/>
  <c r="E904" i="1"/>
  <c r="F904" i="1"/>
  <c r="G904" i="1"/>
  <c r="H904" i="1"/>
  <c r="I904" i="1"/>
  <c r="J904" i="1"/>
  <c r="K904" i="1"/>
  <c r="M904" i="1"/>
  <c r="O904" i="1"/>
  <c r="Q904" i="1"/>
  <c r="R904" i="1"/>
  <c r="W904" i="1"/>
  <c r="AA904" i="1"/>
  <c r="AB904" i="1"/>
  <c r="AE904" i="1"/>
  <c r="AF904" i="1"/>
  <c r="AM904" i="1"/>
  <c r="AN904" i="1"/>
  <c r="AO904" i="1"/>
  <c r="AQ904" i="1"/>
  <c r="AX904" i="1"/>
  <c r="BD904" i="1"/>
  <c r="B905" i="1"/>
  <c r="C905" i="1"/>
  <c r="E905" i="1"/>
  <c r="F905" i="1"/>
  <c r="G905" i="1"/>
  <c r="H905" i="1"/>
  <c r="I905" i="1"/>
  <c r="J905" i="1"/>
  <c r="K905" i="1"/>
  <c r="M905" i="1"/>
  <c r="O905" i="1"/>
  <c r="Q905" i="1"/>
  <c r="R905" i="1"/>
  <c r="W905" i="1"/>
  <c r="AA905" i="1"/>
  <c r="AB905" i="1"/>
  <c r="AE905" i="1"/>
  <c r="AF905" i="1"/>
  <c r="AM905" i="1"/>
  <c r="AN905" i="1"/>
  <c r="AO905" i="1"/>
  <c r="AQ905" i="1"/>
  <c r="AX905" i="1"/>
  <c r="BD905" i="1"/>
  <c r="B906" i="1"/>
  <c r="C906" i="1"/>
  <c r="D906" i="1"/>
  <c r="E906" i="1"/>
  <c r="F906" i="1"/>
  <c r="G906" i="1"/>
  <c r="H906" i="1"/>
  <c r="I906" i="1"/>
  <c r="J906" i="1"/>
  <c r="K906" i="1"/>
  <c r="M906" i="1"/>
  <c r="O906" i="1"/>
  <c r="Q906" i="1"/>
  <c r="R906" i="1"/>
  <c r="W906" i="1"/>
  <c r="AA906" i="1"/>
  <c r="AB906" i="1"/>
  <c r="AE906" i="1"/>
  <c r="AF906" i="1"/>
  <c r="AM906" i="1"/>
  <c r="AN906" i="1"/>
  <c r="AO906" i="1"/>
  <c r="AQ906" i="1"/>
  <c r="AX906" i="1"/>
  <c r="BD906" i="1"/>
  <c r="B907" i="1"/>
  <c r="C907" i="1"/>
  <c r="E907" i="1"/>
  <c r="F907" i="1"/>
  <c r="G907" i="1"/>
  <c r="H907" i="1"/>
  <c r="I907" i="1"/>
  <c r="J907" i="1"/>
  <c r="K907" i="1"/>
  <c r="M907" i="1"/>
  <c r="O907" i="1"/>
  <c r="Q907" i="1"/>
  <c r="R907" i="1"/>
  <c r="W907" i="1"/>
  <c r="AA907" i="1"/>
  <c r="AB907" i="1"/>
  <c r="AE907" i="1"/>
  <c r="AF907" i="1"/>
  <c r="AM907" i="1"/>
  <c r="AN907" i="1"/>
  <c r="AO907" i="1"/>
  <c r="AQ907" i="1"/>
  <c r="AX907" i="1"/>
  <c r="BD907" i="1"/>
  <c r="B908" i="1"/>
  <c r="C908" i="1"/>
  <c r="E908" i="1"/>
  <c r="F908" i="1"/>
  <c r="G908" i="1"/>
  <c r="H908" i="1"/>
  <c r="I908" i="1"/>
  <c r="J908" i="1"/>
  <c r="K908" i="1"/>
  <c r="M908" i="1"/>
  <c r="O908" i="1"/>
  <c r="Q908" i="1"/>
  <c r="R908" i="1"/>
  <c r="W908" i="1"/>
  <c r="AA908" i="1"/>
  <c r="AB908" i="1"/>
  <c r="AE908" i="1"/>
  <c r="AF908" i="1"/>
  <c r="AM908" i="1"/>
  <c r="AN908" i="1"/>
  <c r="AO908" i="1"/>
  <c r="AQ908" i="1"/>
  <c r="AX908" i="1"/>
  <c r="BD908" i="1"/>
  <c r="B909" i="1"/>
  <c r="C909" i="1"/>
  <c r="E909" i="1"/>
  <c r="F909" i="1"/>
  <c r="G909" i="1"/>
  <c r="H909" i="1"/>
  <c r="I909" i="1"/>
  <c r="J909" i="1"/>
  <c r="K909" i="1"/>
  <c r="M909" i="1"/>
  <c r="O909" i="1"/>
  <c r="Q909" i="1"/>
  <c r="R909" i="1"/>
  <c r="W909" i="1"/>
  <c r="AA909" i="1"/>
  <c r="AB909" i="1"/>
  <c r="AE909" i="1"/>
  <c r="AF909" i="1"/>
  <c r="AM909" i="1"/>
  <c r="AN909" i="1"/>
  <c r="AO909" i="1"/>
  <c r="AQ909" i="1"/>
  <c r="AX909" i="1"/>
  <c r="BD909" i="1"/>
  <c r="B910" i="1"/>
  <c r="C910" i="1"/>
  <c r="D910" i="1"/>
  <c r="E910" i="1"/>
  <c r="F910" i="1"/>
  <c r="G910" i="1"/>
  <c r="H910" i="1"/>
  <c r="I910" i="1"/>
  <c r="J910" i="1"/>
  <c r="K910" i="1"/>
  <c r="M910" i="1"/>
  <c r="O910" i="1"/>
  <c r="Q910" i="1"/>
  <c r="R910" i="1"/>
  <c r="W910" i="1"/>
  <c r="AA910" i="1"/>
  <c r="AB910" i="1"/>
  <c r="AE910" i="1"/>
  <c r="AF910" i="1"/>
  <c r="AM910" i="1"/>
  <c r="AN910" i="1"/>
  <c r="AO910" i="1"/>
  <c r="AQ910" i="1"/>
  <c r="AX910" i="1"/>
  <c r="BD910" i="1"/>
  <c r="B911" i="1"/>
  <c r="E911" i="1"/>
  <c r="F911" i="1"/>
  <c r="G911" i="1"/>
  <c r="H911" i="1"/>
  <c r="I911" i="1"/>
  <c r="J911" i="1"/>
  <c r="K911" i="1"/>
  <c r="M911" i="1"/>
  <c r="O911" i="1"/>
  <c r="Q911" i="1"/>
  <c r="R911" i="1"/>
  <c r="W911" i="1"/>
  <c r="AA911" i="1"/>
  <c r="AB911" i="1"/>
  <c r="AM911" i="1"/>
  <c r="AN911" i="1"/>
  <c r="AO911" i="1"/>
  <c r="AQ911" i="1"/>
  <c r="AX911" i="1"/>
  <c r="BD911" i="1"/>
  <c r="B912" i="1"/>
  <c r="E912" i="1"/>
  <c r="F912" i="1"/>
  <c r="G912" i="1"/>
  <c r="H912" i="1"/>
  <c r="I912" i="1"/>
  <c r="J912" i="1"/>
  <c r="K912" i="1"/>
  <c r="M912" i="1"/>
  <c r="O912" i="1"/>
  <c r="Q912" i="1"/>
  <c r="R912" i="1"/>
  <c r="W912" i="1"/>
  <c r="AA912" i="1"/>
  <c r="AB912" i="1"/>
  <c r="AM912" i="1"/>
  <c r="AN912" i="1"/>
  <c r="AO912" i="1"/>
  <c r="AQ912" i="1"/>
  <c r="AX912" i="1"/>
  <c r="BD912" i="1"/>
  <c r="B913" i="1"/>
  <c r="E913" i="1"/>
  <c r="F913" i="1"/>
  <c r="G913" i="1"/>
  <c r="H913" i="1"/>
  <c r="I913" i="1"/>
  <c r="J913" i="1"/>
  <c r="K913" i="1"/>
  <c r="M913" i="1"/>
  <c r="O913" i="1"/>
  <c r="Q913" i="1"/>
  <c r="R913" i="1"/>
  <c r="W913" i="1"/>
  <c r="AA913" i="1"/>
  <c r="AB913" i="1"/>
  <c r="AM913" i="1"/>
  <c r="AN913" i="1"/>
  <c r="AO913" i="1"/>
  <c r="AQ913" i="1"/>
  <c r="AX913" i="1"/>
  <c r="BD913" i="1"/>
  <c r="B914" i="1"/>
  <c r="C914" i="1"/>
  <c r="E914" i="1"/>
  <c r="F914" i="1"/>
  <c r="G914" i="1"/>
  <c r="H914" i="1"/>
  <c r="I914" i="1"/>
  <c r="J914" i="1"/>
  <c r="K914" i="1"/>
  <c r="M914" i="1"/>
  <c r="O914" i="1"/>
  <c r="Q914" i="1"/>
  <c r="R914" i="1"/>
  <c r="W914" i="1"/>
  <c r="AA914" i="1"/>
  <c r="AB914" i="1"/>
  <c r="AE914" i="1"/>
  <c r="AF914" i="1"/>
  <c r="AM914" i="1"/>
  <c r="AN914" i="1"/>
  <c r="AO914" i="1"/>
  <c r="AQ914" i="1"/>
  <c r="AX914" i="1"/>
  <c r="BD914" i="1"/>
  <c r="B915" i="1"/>
  <c r="C915" i="1"/>
  <c r="D915" i="1"/>
  <c r="E915" i="1"/>
  <c r="F915" i="1"/>
  <c r="G915" i="1"/>
  <c r="H915" i="1"/>
  <c r="I915" i="1"/>
  <c r="J915" i="1"/>
  <c r="K915" i="1"/>
  <c r="M915" i="1"/>
  <c r="O915" i="1"/>
  <c r="Q915" i="1"/>
  <c r="R915" i="1"/>
  <c r="W915" i="1"/>
  <c r="AA915" i="1"/>
  <c r="AB915" i="1"/>
  <c r="AE915" i="1"/>
  <c r="AF915" i="1"/>
  <c r="AM915" i="1"/>
  <c r="AN915" i="1"/>
  <c r="AO915" i="1"/>
  <c r="AQ915" i="1"/>
  <c r="AX915" i="1"/>
  <c r="BD915" i="1"/>
  <c r="B916" i="1"/>
  <c r="C916" i="1"/>
  <c r="D916" i="1"/>
  <c r="E916" i="1"/>
  <c r="F916" i="1"/>
  <c r="G916" i="1"/>
  <c r="H916" i="1"/>
  <c r="I916" i="1"/>
  <c r="J916" i="1"/>
  <c r="K916" i="1"/>
  <c r="M916" i="1"/>
  <c r="O916" i="1"/>
  <c r="Q916" i="1"/>
  <c r="R916" i="1"/>
  <c r="W916" i="1"/>
  <c r="AA916" i="1"/>
  <c r="AB916" i="1"/>
  <c r="AE916" i="1"/>
  <c r="AF916" i="1"/>
  <c r="AM916" i="1"/>
  <c r="AN916" i="1"/>
  <c r="AO916" i="1"/>
  <c r="AQ916" i="1"/>
  <c r="AX916" i="1"/>
  <c r="BD916" i="1"/>
  <c r="B917" i="1"/>
  <c r="C917" i="1"/>
  <c r="E917" i="1"/>
  <c r="F917" i="1"/>
  <c r="G917" i="1"/>
  <c r="H917" i="1"/>
  <c r="I917" i="1"/>
  <c r="J917" i="1"/>
  <c r="K917" i="1"/>
  <c r="M917" i="1"/>
  <c r="O917" i="1"/>
  <c r="Q917" i="1"/>
  <c r="R917" i="1"/>
  <c r="W917" i="1"/>
  <c r="AA917" i="1"/>
  <c r="AM917" i="1"/>
  <c r="AN917" i="1"/>
  <c r="AO917" i="1"/>
  <c r="AQ917" i="1"/>
  <c r="BB917" i="1"/>
  <c r="BD917" i="1"/>
  <c r="B918" i="1"/>
  <c r="C918" i="1"/>
  <c r="E918" i="1"/>
  <c r="F918" i="1"/>
  <c r="G918" i="1"/>
  <c r="H918" i="1"/>
  <c r="I918" i="1"/>
  <c r="J918" i="1"/>
  <c r="K918" i="1"/>
  <c r="M918" i="1"/>
  <c r="O918" i="1"/>
  <c r="Q918" i="1"/>
  <c r="R918" i="1"/>
  <c r="W918" i="1"/>
  <c r="AA918" i="1"/>
  <c r="AM918" i="1"/>
  <c r="AN918" i="1"/>
  <c r="AO918" i="1"/>
  <c r="AQ918" i="1"/>
  <c r="BB918" i="1"/>
  <c r="BD918" i="1"/>
  <c r="B919" i="1"/>
  <c r="C919" i="1"/>
  <c r="D919" i="1"/>
  <c r="E919" i="1"/>
  <c r="F919" i="1"/>
  <c r="G919" i="1"/>
  <c r="H919" i="1"/>
  <c r="I919" i="1"/>
  <c r="J919" i="1"/>
  <c r="K919" i="1"/>
  <c r="M919" i="1"/>
  <c r="O919" i="1"/>
  <c r="Q919" i="1"/>
  <c r="R919" i="1"/>
  <c r="W919" i="1"/>
  <c r="AA919" i="1"/>
  <c r="AB919" i="1"/>
  <c r="AE919" i="1"/>
  <c r="AF919" i="1"/>
  <c r="AM919" i="1"/>
  <c r="AN919" i="1"/>
  <c r="AO919" i="1"/>
  <c r="AQ919" i="1"/>
  <c r="AX919" i="1"/>
  <c r="BD919" i="1"/>
  <c r="B920" i="1"/>
  <c r="C920" i="1"/>
  <c r="D920" i="1"/>
  <c r="E920" i="1"/>
  <c r="F920" i="1"/>
  <c r="G920" i="1"/>
  <c r="H920" i="1"/>
  <c r="I920" i="1"/>
  <c r="J920" i="1"/>
  <c r="K920" i="1"/>
  <c r="M920" i="1"/>
  <c r="O920" i="1"/>
  <c r="Q920" i="1"/>
  <c r="R920" i="1"/>
  <c r="W920" i="1"/>
  <c r="AA920" i="1"/>
  <c r="AB920" i="1"/>
  <c r="AE920" i="1"/>
  <c r="AF920" i="1"/>
  <c r="AM920" i="1"/>
  <c r="AN920" i="1"/>
  <c r="AO920" i="1"/>
  <c r="AQ920" i="1"/>
  <c r="AX920" i="1"/>
  <c r="BD920" i="1"/>
  <c r="B921" i="1"/>
  <c r="C921" i="1"/>
  <c r="D921" i="1"/>
  <c r="E921" i="1"/>
  <c r="F921" i="1"/>
  <c r="G921" i="1"/>
  <c r="H921" i="1"/>
  <c r="I921" i="1"/>
  <c r="J921" i="1"/>
  <c r="K921" i="1"/>
  <c r="M921" i="1"/>
  <c r="O921" i="1"/>
  <c r="Q921" i="1"/>
  <c r="R921" i="1"/>
  <c r="W921" i="1"/>
  <c r="AA921" i="1"/>
  <c r="AB921" i="1"/>
  <c r="AE921" i="1"/>
  <c r="AF921" i="1"/>
  <c r="AM921" i="1"/>
  <c r="AN921" i="1"/>
  <c r="AO921" i="1"/>
  <c r="AQ921" i="1"/>
  <c r="AX921" i="1"/>
  <c r="BD921" i="1"/>
  <c r="B922" i="1"/>
  <c r="C922" i="1"/>
  <c r="D922" i="1"/>
  <c r="E922" i="1"/>
  <c r="F922" i="1"/>
  <c r="G922" i="1"/>
  <c r="H922" i="1"/>
  <c r="I922" i="1"/>
  <c r="J922" i="1"/>
  <c r="K922" i="1"/>
  <c r="M922" i="1"/>
  <c r="O922" i="1"/>
  <c r="Q922" i="1"/>
  <c r="R922" i="1"/>
  <c r="W922" i="1"/>
  <c r="AA922" i="1"/>
  <c r="AB922" i="1"/>
  <c r="AE922" i="1"/>
  <c r="AF922" i="1"/>
  <c r="AM922" i="1"/>
  <c r="AN922" i="1"/>
  <c r="AO922" i="1"/>
  <c r="AQ922" i="1"/>
  <c r="AX922" i="1"/>
  <c r="BD922" i="1"/>
  <c r="B923" i="1"/>
  <c r="C923" i="1"/>
  <c r="E923" i="1"/>
  <c r="F923" i="1"/>
  <c r="G923" i="1"/>
  <c r="H923" i="1"/>
  <c r="I923" i="1"/>
  <c r="J923" i="1"/>
  <c r="K923" i="1"/>
  <c r="M923" i="1"/>
  <c r="O923" i="1"/>
  <c r="Q923" i="1"/>
  <c r="R923" i="1"/>
  <c r="W923" i="1"/>
  <c r="AA923" i="1"/>
  <c r="AM923" i="1"/>
  <c r="AN923" i="1"/>
  <c r="AO923" i="1"/>
  <c r="AQ923" i="1"/>
  <c r="BB923" i="1"/>
  <c r="BD923" i="1"/>
  <c r="B924" i="1"/>
  <c r="C924" i="1"/>
  <c r="E924" i="1"/>
  <c r="F924" i="1"/>
  <c r="G924" i="1"/>
  <c r="H924" i="1"/>
  <c r="I924" i="1"/>
  <c r="J924" i="1"/>
  <c r="K924" i="1"/>
  <c r="M924" i="1"/>
  <c r="O924" i="1"/>
  <c r="Q924" i="1"/>
  <c r="R924" i="1"/>
  <c r="W924" i="1"/>
  <c r="AA924" i="1"/>
  <c r="AM924" i="1"/>
  <c r="AN924" i="1"/>
  <c r="AO924" i="1"/>
  <c r="AQ924" i="1"/>
  <c r="BB924" i="1"/>
  <c r="BD924" i="1"/>
  <c r="B925" i="1"/>
  <c r="C925" i="1"/>
  <c r="E925" i="1"/>
  <c r="F925" i="1"/>
  <c r="G925" i="1"/>
  <c r="H925" i="1"/>
  <c r="I925" i="1"/>
  <c r="J925" i="1"/>
  <c r="K925" i="1"/>
  <c r="M925" i="1"/>
  <c r="O925" i="1"/>
  <c r="Q925" i="1"/>
  <c r="R925" i="1"/>
  <c r="W925" i="1"/>
  <c r="AA925" i="1"/>
  <c r="AM925" i="1"/>
  <c r="AN925" i="1"/>
  <c r="AO925" i="1"/>
  <c r="AQ925" i="1"/>
  <c r="BB925" i="1"/>
  <c r="BD925" i="1"/>
  <c r="B926" i="1"/>
  <c r="C926" i="1"/>
  <c r="E926" i="1"/>
  <c r="F926" i="1"/>
  <c r="G926" i="1"/>
  <c r="H926" i="1"/>
  <c r="I926" i="1"/>
  <c r="J926" i="1"/>
  <c r="K926" i="1"/>
  <c r="M926" i="1"/>
  <c r="O926" i="1"/>
  <c r="Q926" i="1"/>
  <c r="R926" i="1"/>
  <c r="W926" i="1"/>
  <c r="AA926" i="1"/>
  <c r="AM926" i="1"/>
  <c r="AN926" i="1"/>
  <c r="AO926" i="1"/>
  <c r="AQ926" i="1"/>
  <c r="BB926" i="1"/>
  <c r="BD926" i="1"/>
  <c r="B927" i="1"/>
  <c r="C927" i="1"/>
  <c r="E927" i="1"/>
  <c r="F927" i="1"/>
  <c r="G927" i="1"/>
  <c r="H927" i="1"/>
  <c r="I927" i="1"/>
  <c r="J927" i="1"/>
  <c r="K927" i="1"/>
  <c r="M927" i="1"/>
  <c r="O927" i="1"/>
  <c r="Q927" i="1"/>
  <c r="R927" i="1"/>
  <c r="W927" i="1"/>
  <c r="AA927" i="1"/>
  <c r="AB927" i="1"/>
  <c r="AE927" i="1"/>
  <c r="AF927" i="1"/>
  <c r="AM927" i="1"/>
  <c r="AN927" i="1"/>
  <c r="AO927" i="1"/>
  <c r="AQ927" i="1"/>
  <c r="AX927" i="1"/>
  <c r="BD927" i="1"/>
  <c r="B928" i="1"/>
  <c r="C928" i="1"/>
  <c r="E928" i="1"/>
  <c r="F928" i="1"/>
  <c r="G928" i="1"/>
  <c r="H928" i="1"/>
  <c r="I928" i="1"/>
  <c r="J928" i="1"/>
  <c r="K928" i="1"/>
  <c r="M928" i="1"/>
  <c r="O928" i="1"/>
  <c r="Q928" i="1"/>
  <c r="R928" i="1"/>
  <c r="W928" i="1"/>
  <c r="AA928" i="1"/>
  <c r="AB928" i="1"/>
  <c r="AE928" i="1"/>
  <c r="AF928" i="1"/>
  <c r="AM928" i="1"/>
  <c r="AN928" i="1"/>
  <c r="AO928" i="1"/>
  <c r="AQ928" i="1"/>
  <c r="AX928" i="1"/>
  <c r="BD928" i="1"/>
  <c r="B929" i="1"/>
  <c r="C929" i="1"/>
  <c r="E929" i="1"/>
  <c r="F929" i="1"/>
  <c r="G929" i="1"/>
  <c r="H929" i="1"/>
  <c r="I929" i="1"/>
  <c r="J929" i="1"/>
  <c r="K929" i="1"/>
  <c r="M929" i="1"/>
  <c r="O929" i="1"/>
  <c r="Q929" i="1"/>
  <c r="R929" i="1"/>
  <c r="W929" i="1"/>
  <c r="AA929" i="1"/>
  <c r="AB929" i="1"/>
  <c r="AE929" i="1"/>
  <c r="AF929" i="1"/>
  <c r="AM929" i="1"/>
  <c r="AN929" i="1"/>
  <c r="AO929" i="1"/>
  <c r="AQ929" i="1"/>
  <c r="AX929" i="1"/>
  <c r="BD929" i="1"/>
  <c r="B930" i="1"/>
  <c r="C930" i="1"/>
  <c r="E930" i="1"/>
  <c r="F930" i="1"/>
  <c r="G930" i="1"/>
  <c r="H930" i="1"/>
  <c r="I930" i="1"/>
  <c r="J930" i="1"/>
  <c r="K930" i="1"/>
  <c r="M930" i="1"/>
  <c r="O930" i="1"/>
  <c r="Q930" i="1"/>
  <c r="R930" i="1"/>
  <c r="W930" i="1"/>
  <c r="AA930" i="1"/>
  <c r="AB930" i="1"/>
  <c r="AE930" i="1"/>
  <c r="AF930" i="1"/>
  <c r="AM930" i="1"/>
  <c r="AN930" i="1"/>
  <c r="AO930" i="1"/>
  <c r="AQ930" i="1"/>
  <c r="AX930" i="1"/>
  <c r="BD930" i="1"/>
  <c r="B931" i="1"/>
  <c r="C931" i="1"/>
  <c r="E931" i="1"/>
  <c r="F931" i="1"/>
  <c r="G931" i="1"/>
  <c r="H931" i="1"/>
  <c r="I931" i="1"/>
  <c r="J931" i="1"/>
  <c r="K931" i="1"/>
  <c r="M931" i="1"/>
  <c r="O931" i="1"/>
  <c r="Q931" i="1"/>
  <c r="R931" i="1"/>
  <c r="W931" i="1"/>
  <c r="AA931" i="1"/>
  <c r="AB931" i="1"/>
  <c r="AE931" i="1"/>
  <c r="AF931" i="1"/>
  <c r="AM931" i="1"/>
  <c r="AN931" i="1"/>
  <c r="AO931" i="1"/>
  <c r="AQ931" i="1"/>
  <c r="AX931" i="1"/>
  <c r="BD931" i="1"/>
  <c r="B932" i="1"/>
  <c r="C932" i="1"/>
  <c r="E932" i="1"/>
  <c r="F932" i="1"/>
  <c r="G932" i="1"/>
  <c r="H932" i="1"/>
  <c r="I932" i="1"/>
  <c r="J932" i="1"/>
  <c r="K932" i="1"/>
  <c r="M932" i="1"/>
  <c r="O932" i="1"/>
  <c r="Q932" i="1"/>
  <c r="R932" i="1"/>
  <c r="W932" i="1"/>
  <c r="AA932" i="1"/>
  <c r="AB932" i="1"/>
  <c r="AE932" i="1"/>
  <c r="AF932" i="1"/>
  <c r="AM932" i="1"/>
  <c r="AN932" i="1"/>
  <c r="AO932" i="1"/>
  <c r="AQ932" i="1"/>
  <c r="AX932" i="1"/>
  <c r="BD932" i="1"/>
  <c r="B933" i="1"/>
  <c r="C933" i="1"/>
  <c r="E933" i="1"/>
  <c r="F933" i="1"/>
  <c r="G933" i="1"/>
  <c r="H933" i="1"/>
  <c r="I933" i="1"/>
  <c r="J933" i="1"/>
  <c r="K933" i="1"/>
  <c r="M933" i="1"/>
  <c r="O933" i="1"/>
  <c r="Q933" i="1"/>
  <c r="R933" i="1"/>
  <c r="W933" i="1"/>
  <c r="AA933" i="1"/>
  <c r="AB933" i="1"/>
  <c r="AE933" i="1"/>
  <c r="AF933" i="1"/>
  <c r="AM933" i="1"/>
  <c r="AN933" i="1"/>
  <c r="AO933" i="1"/>
  <c r="AQ933" i="1"/>
  <c r="AX933" i="1"/>
  <c r="BD933" i="1"/>
  <c r="B934" i="1"/>
  <c r="C934" i="1"/>
  <c r="E934" i="1"/>
  <c r="F934" i="1"/>
  <c r="G934" i="1"/>
  <c r="H934" i="1"/>
  <c r="I934" i="1"/>
  <c r="J934" i="1"/>
  <c r="K934" i="1"/>
  <c r="M934" i="1"/>
  <c r="O934" i="1"/>
  <c r="Q934" i="1"/>
  <c r="R934" i="1"/>
  <c r="W934" i="1"/>
  <c r="AA934" i="1"/>
  <c r="AM934" i="1"/>
  <c r="AN934" i="1"/>
  <c r="AO934" i="1"/>
  <c r="AQ934" i="1"/>
  <c r="BB934" i="1"/>
  <c r="BD934" i="1"/>
  <c r="B935" i="1"/>
  <c r="C935" i="1"/>
  <c r="E935" i="1"/>
  <c r="F935" i="1"/>
  <c r="G935" i="1"/>
  <c r="H935" i="1"/>
  <c r="I935" i="1"/>
  <c r="J935" i="1"/>
  <c r="K935" i="1"/>
  <c r="M935" i="1"/>
  <c r="O935" i="1"/>
  <c r="Q935" i="1"/>
  <c r="R935" i="1"/>
  <c r="W935" i="1"/>
  <c r="AA935" i="1"/>
  <c r="AM935" i="1"/>
  <c r="AN935" i="1"/>
  <c r="AO935" i="1"/>
  <c r="AQ935" i="1"/>
  <c r="BB935" i="1"/>
  <c r="BD935" i="1"/>
  <c r="B936" i="1"/>
  <c r="C936" i="1"/>
  <c r="E936" i="1"/>
  <c r="F936" i="1"/>
  <c r="G936" i="1"/>
  <c r="H936" i="1"/>
  <c r="I936" i="1"/>
  <c r="J936" i="1"/>
  <c r="K936" i="1"/>
  <c r="M936" i="1"/>
  <c r="O936" i="1"/>
  <c r="Q936" i="1"/>
  <c r="R936" i="1"/>
  <c r="W936" i="1"/>
  <c r="AA936" i="1"/>
  <c r="AM936" i="1"/>
  <c r="AN936" i="1"/>
  <c r="AO936" i="1"/>
  <c r="AQ936" i="1"/>
  <c r="BB936" i="1"/>
  <c r="BD936" i="1"/>
  <c r="B937" i="1"/>
  <c r="C937" i="1"/>
  <c r="E937" i="1"/>
  <c r="F937" i="1"/>
  <c r="G937" i="1"/>
  <c r="H937" i="1"/>
  <c r="I937" i="1"/>
  <c r="J937" i="1"/>
  <c r="K937" i="1"/>
  <c r="M937" i="1"/>
  <c r="O937" i="1"/>
  <c r="Q937" i="1"/>
  <c r="R937" i="1"/>
  <c r="W937" i="1"/>
  <c r="AA937" i="1"/>
  <c r="AM937" i="1"/>
  <c r="AN937" i="1"/>
  <c r="AO937" i="1"/>
  <c r="AQ937" i="1"/>
  <c r="BB937" i="1"/>
  <c r="BD937" i="1"/>
  <c r="B938" i="1"/>
  <c r="C938" i="1"/>
  <c r="D938" i="1"/>
  <c r="E938" i="1"/>
  <c r="F938" i="1"/>
  <c r="G938" i="1"/>
  <c r="H938" i="1"/>
  <c r="I938" i="1"/>
  <c r="J938" i="1"/>
  <c r="K938" i="1"/>
  <c r="M938" i="1"/>
  <c r="O938" i="1"/>
  <c r="Q938" i="1"/>
  <c r="R938" i="1"/>
  <c r="W938" i="1"/>
  <c r="AA938" i="1"/>
  <c r="AB938" i="1"/>
  <c r="AE938" i="1"/>
  <c r="AF938" i="1"/>
  <c r="AM938" i="1"/>
  <c r="AN938" i="1"/>
  <c r="AO938" i="1"/>
  <c r="AQ938" i="1"/>
  <c r="AX938" i="1"/>
  <c r="BD938" i="1"/>
  <c r="B939" i="1"/>
  <c r="C939" i="1"/>
  <c r="E939" i="1"/>
  <c r="F939" i="1"/>
  <c r="G939" i="1"/>
  <c r="H939" i="1"/>
  <c r="I939" i="1"/>
  <c r="J939" i="1"/>
  <c r="K939" i="1"/>
  <c r="M939" i="1"/>
  <c r="O939" i="1"/>
  <c r="Q939" i="1"/>
  <c r="R939" i="1"/>
  <c r="W939" i="1"/>
  <c r="AA939" i="1"/>
  <c r="AB939" i="1"/>
  <c r="AE939" i="1"/>
  <c r="AF939" i="1"/>
  <c r="AM939" i="1"/>
  <c r="AN939" i="1"/>
  <c r="AO939" i="1"/>
  <c r="AQ939" i="1"/>
  <c r="AX939" i="1"/>
  <c r="BD939" i="1"/>
  <c r="B940" i="1"/>
  <c r="C940" i="1"/>
  <c r="E940" i="1"/>
  <c r="F940" i="1"/>
  <c r="G940" i="1"/>
  <c r="H940" i="1"/>
  <c r="I940" i="1"/>
  <c r="J940" i="1"/>
  <c r="K940" i="1"/>
  <c r="M940" i="1"/>
  <c r="O940" i="1"/>
  <c r="Q940" i="1"/>
  <c r="R940" i="1"/>
  <c r="W940" i="1"/>
  <c r="AA940" i="1"/>
  <c r="AB940" i="1"/>
  <c r="AE940" i="1"/>
  <c r="AF940" i="1"/>
  <c r="AM940" i="1"/>
  <c r="AN940" i="1"/>
  <c r="AO940" i="1"/>
  <c r="AQ940" i="1"/>
  <c r="AX940" i="1"/>
  <c r="BD940" i="1"/>
  <c r="B941" i="1"/>
  <c r="C941" i="1"/>
  <c r="E941" i="1"/>
  <c r="F941" i="1"/>
  <c r="G941" i="1"/>
  <c r="H941" i="1"/>
  <c r="I941" i="1"/>
  <c r="J941" i="1"/>
  <c r="K941" i="1"/>
  <c r="M941" i="1"/>
  <c r="O941" i="1"/>
  <c r="Q941" i="1"/>
  <c r="R941" i="1"/>
  <c r="W941" i="1"/>
  <c r="AA941" i="1"/>
  <c r="AB941" i="1"/>
  <c r="AE941" i="1"/>
  <c r="AF941" i="1"/>
  <c r="AM941" i="1"/>
  <c r="AN941" i="1"/>
  <c r="AO941" i="1"/>
  <c r="AQ941" i="1"/>
  <c r="AX941" i="1"/>
  <c r="BD941" i="1"/>
  <c r="B942" i="1"/>
  <c r="C942" i="1"/>
  <c r="E942" i="1"/>
  <c r="F942" i="1"/>
  <c r="G942" i="1"/>
  <c r="H942" i="1"/>
  <c r="I942" i="1"/>
  <c r="J942" i="1"/>
  <c r="K942" i="1"/>
  <c r="M942" i="1"/>
  <c r="O942" i="1"/>
  <c r="Q942" i="1"/>
  <c r="R942" i="1"/>
  <c r="W942" i="1"/>
  <c r="AA942" i="1"/>
  <c r="AB942" i="1"/>
  <c r="AE942" i="1"/>
  <c r="AF942" i="1"/>
  <c r="AM942" i="1"/>
  <c r="AN942" i="1"/>
  <c r="AO942" i="1"/>
  <c r="AQ942" i="1"/>
  <c r="AX942" i="1"/>
  <c r="BD942" i="1"/>
  <c r="B943" i="1"/>
  <c r="E943" i="1"/>
  <c r="F943" i="1"/>
  <c r="G943" i="1"/>
  <c r="H943" i="1"/>
  <c r="I943" i="1"/>
  <c r="J943" i="1"/>
  <c r="K943" i="1"/>
  <c r="M943" i="1"/>
  <c r="O943" i="1"/>
  <c r="Q943" i="1"/>
  <c r="R943" i="1"/>
  <c r="W943" i="1"/>
  <c r="AA943" i="1"/>
  <c r="AB943" i="1"/>
  <c r="AM943" i="1"/>
  <c r="AN943" i="1"/>
  <c r="AO943" i="1"/>
  <c r="AQ943" i="1"/>
  <c r="AX943" i="1"/>
  <c r="BD943" i="1"/>
  <c r="B944" i="1"/>
  <c r="C944" i="1"/>
  <c r="D944" i="1"/>
  <c r="E944" i="1"/>
  <c r="F944" i="1"/>
  <c r="G944" i="1"/>
  <c r="H944" i="1"/>
  <c r="I944" i="1"/>
  <c r="J944" i="1"/>
  <c r="K944" i="1"/>
  <c r="M944" i="1"/>
  <c r="O944" i="1"/>
  <c r="Q944" i="1"/>
  <c r="R944" i="1"/>
  <c r="W944" i="1"/>
  <c r="AA944" i="1"/>
  <c r="AB944" i="1"/>
  <c r="AE944" i="1"/>
  <c r="AF944" i="1"/>
  <c r="AM944" i="1"/>
  <c r="AN944" i="1"/>
  <c r="AO944" i="1"/>
  <c r="AQ944" i="1"/>
  <c r="AX944" i="1"/>
  <c r="BD944" i="1"/>
  <c r="B945" i="1"/>
  <c r="C945" i="1"/>
  <c r="D945" i="1"/>
  <c r="E945" i="1"/>
  <c r="F945" i="1"/>
  <c r="G945" i="1"/>
  <c r="H945" i="1"/>
  <c r="I945" i="1"/>
  <c r="J945" i="1"/>
  <c r="K945" i="1"/>
  <c r="M945" i="1"/>
  <c r="O945" i="1"/>
  <c r="Q945" i="1"/>
  <c r="R945" i="1"/>
  <c r="W945" i="1"/>
  <c r="AA945" i="1"/>
  <c r="AB945" i="1"/>
  <c r="AE945" i="1"/>
  <c r="AF945" i="1"/>
  <c r="AM945" i="1"/>
  <c r="AN945" i="1"/>
  <c r="AO945" i="1"/>
  <c r="AQ945" i="1"/>
  <c r="AX945" i="1"/>
  <c r="BD945" i="1"/>
  <c r="B946" i="1"/>
  <c r="C946" i="1"/>
  <c r="E946" i="1"/>
  <c r="F946" i="1"/>
  <c r="G946" i="1"/>
  <c r="H946" i="1"/>
  <c r="I946" i="1"/>
  <c r="J946" i="1"/>
  <c r="K946" i="1"/>
  <c r="M946" i="1"/>
  <c r="O946" i="1"/>
  <c r="Q946" i="1"/>
  <c r="R946" i="1"/>
  <c r="W946" i="1"/>
  <c r="AA946" i="1"/>
  <c r="AB946" i="1"/>
  <c r="AE946" i="1"/>
  <c r="AF946" i="1"/>
  <c r="AM946" i="1"/>
  <c r="AN946" i="1"/>
  <c r="AO946" i="1"/>
  <c r="AQ946" i="1"/>
  <c r="AX946" i="1"/>
  <c r="BD946" i="1"/>
  <c r="B947" i="1"/>
  <c r="C947" i="1"/>
  <c r="D947" i="1"/>
  <c r="E947" i="1"/>
  <c r="F947" i="1"/>
  <c r="G947" i="1"/>
  <c r="H947" i="1"/>
  <c r="I947" i="1"/>
  <c r="J947" i="1"/>
  <c r="K947" i="1"/>
  <c r="M947" i="1"/>
  <c r="O947" i="1"/>
  <c r="Q947" i="1"/>
  <c r="R947" i="1"/>
  <c r="W947" i="1"/>
  <c r="AA947" i="1"/>
  <c r="AB947" i="1"/>
  <c r="AM947" i="1"/>
  <c r="AN947" i="1"/>
  <c r="AO947" i="1"/>
  <c r="AQ947" i="1"/>
  <c r="AX947" i="1"/>
  <c r="BD947" i="1"/>
  <c r="B948" i="1"/>
  <c r="C948" i="1"/>
  <c r="E948" i="1"/>
  <c r="F948" i="1"/>
  <c r="G948" i="1"/>
  <c r="H948" i="1"/>
  <c r="I948" i="1"/>
  <c r="J948" i="1"/>
  <c r="K948" i="1"/>
  <c r="M948" i="1"/>
  <c r="O948" i="1"/>
  <c r="Q948" i="1"/>
  <c r="R948" i="1"/>
  <c r="W948" i="1"/>
  <c r="AA948" i="1"/>
  <c r="AB948" i="1"/>
  <c r="AE948" i="1"/>
  <c r="AF948" i="1"/>
  <c r="AM948" i="1"/>
  <c r="AN948" i="1"/>
  <c r="AO948" i="1"/>
  <c r="AQ948" i="1"/>
  <c r="AX948" i="1"/>
  <c r="BD948" i="1"/>
  <c r="B949" i="1"/>
  <c r="C949" i="1"/>
  <c r="E949" i="1"/>
  <c r="F949" i="1"/>
  <c r="G949" i="1"/>
  <c r="H949" i="1"/>
  <c r="I949" i="1"/>
  <c r="J949" i="1"/>
  <c r="K949" i="1"/>
  <c r="M949" i="1"/>
  <c r="O949" i="1"/>
  <c r="Q949" i="1"/>
  <c r="R949" i="1"/>
  <c r="W949" i="1"/>
  <c r="AA949" i="1"/>
  <c r="AB949" i="1"/>
  <c r="AE949" i="1"/>
  <c r="AF949" i="1"/>
  <c r="AM949" i="1"/>
  <c r="AN949" i="1"/>
  <c r="AO949" i="1"/>
  <c r="AQ949" i="1"/>
  <c r="AX949" i="1"/>
  <c r="BD949" i="1"/>
  <c r="B950" i="1"/>
  <c r="C950" i="1"/>
  <c r="E950" i="1"/>
  <c r="F950" i="1"/>
  <c r="G950" i="1"/>
  <c r="H950" i="1"/>
  <c r="I950" i="1"/>
  <c r="J950" i="1"/>
  <c r="K950" i="1"/>
  <c r="M950" i="1"/>
  <c r="O950" i="1"/>
  <c r="Q950" i="1"/>
  <c r="R950" i="1"/>
  <c r="W950" i="1"/>
  <c r="AA950" i="1"/>
  <c r="AB950" i="1"/>
  <c r="AE950" i="1"/>
  <c r="AF950" i="1"/>
  <c r="AM950" i="1"/>
  <c r="AN950" i="1"/>
  <c r="AO950" i="1"/>
  <c r="AQ950" i="1"/>
  <c r="AX950" i="1"/>
  <c r="BD950" i="1"/>
  <c r="B951" i="1"/>
  <c r="C951" i="1"/>
  <c r="E951" i="1"/>
  <c r="F951" i="1"/>
  <c r="G951" i="1"/>
  <c r="H951" i="1"/>
  <c r="I951" i="1"/>
  <c r="J951" i="1"/>
  <c r="K951" i="1"/>
  <c r="M951" i="1"/>
  <c r="O951" i="1"/>
  <c r="Q951" i="1"/>
  <c r="R951" i="1"/>
  <c r="W951" i="1"/>
  <c r="AA951" i="1"/>
  <c r="AB951" i="1"/>
  <c r="AE951" i="1"/>
  <c r="AF951" i="1"/>
  <c r="AM951" i="1"/>
  <c r="AN951" i="1"/>
  <c r="AO951" i="1"/>
  <c r="AQ951" i="1"/>
  <c r="AX951" i="1"/>
  <c r="BD951" i="1"/>
  <c r="B952" i="1"/>
  <c r="C952" i="1"/>
  <c r="D952" i="1"/>
  <c r="E952" i="1"/>
  <c r="F952" i="1"/>
  <c r="G952" i="1"/>
  <c r="H952" i="1"/>
  <c r="I952" i="1"/>
  <c r="J952" i="1"/>
  <c r="K952" i="1"/>
  <c r="M952" i="1"/>
  <c r="O952" i="1"/>
  <c r="Q952" i="1"/>
  <c r="R952" i="1"/>
  <c r="W952" i="1"/>
  <c r="AA952" i="1"/>
  <c r="AB952" i="1"/>
  <c r="AE952" i="1"/>
  <c r="AF952" i="1"/>
  <c r="AM952" i="1"/>
  <c r="AN952" i="1"/>
  <c r="AO952" i="1"/>
  <c r="AQ952" i="1"/>
  <c r="AX952" i="1"/>
  <c r="BD952" i="1"/>
  <c r="B953" i="1"/>
  <c r="C953" i="1"/>
  <c r="D953" i="1"/>
  <c r="E953" i="1"/>
  <c r="F953" i="1"/>
  <c r="G953" i="1"/>
  <c r="H953" i="1"/>
  <c r="I953" i="1"/>
  <c r="J953" i="1"/>
  <c r="K953" i="1"/>
  <c r="M953" i="1"/>
  <c r="O953" i="1"/>
  <c r="Q953" i="1"/>
  <c r="R953" i="1"/>
  <c r="W953" i="1"/>
  <c r="AA953" i="1"/>
  <c r="AB953" i="1"/>
  <c r="AE953" i="1"/>
  <c r="AF953" i="1"/>
  <c r="AM953" i="1"/>
  <c r="AN953" i="1"/>
  <c r="AO953" i="1"/>
  <c r="AQ953" i="1"/>
  <c r="AX953" i="1"/>
  <c r="BD953" i="1"/>
  <c r="B954" i="1"/>
  <c r="C954" i="1"/>
  <c r="E954" i="1"/>
  <c r="F954" i="1"/>
  <c r="G954" i="1"/>
  <c r="H954" i="1"/>
  <c r="I954" i="1"/>
  <c r="J954" i="1"/>
  <c r="K954" i="1"/>
  <c r="M954" i="1"/>
  <c r="O954" i="1"/>
  <c r="Q954" i="1"/>
  <c r="R954" i="1"/>
  <c r="W954" i="1"/>
  <c r="AA954" i="1"/>
  <c r="AM954" i="1"/>
  <c r="AN954" i="1"/>
  <c r="AO954" i="1"/>
  <c r="AQ954" i="1"/>
  <c r="BB954" i="1"/>
  <c r="BD954" i="1"/>
  <c r="B955" i="1"/>
  <c r="C955" i="1"/>
  <c r="E955" i="1"/>
  <c r="F955" i="1"/>
  <c r="G955" i="1"/>
  <c r="H955" i="1"/>
  <c r="I955" i="1"/>
  <c r="J955" i="1"/>
  <c r="K955" i="1"/>
  <c r="M955" i="1"/>
  <c r="O955" i="1"/>
  <c r="Q955" i="1"/>
  <c r="R955" i="1"/>
  <c r="W955" i="1"/>
  <c r="AA955" i="1"/>
  <c r="AM955" i="1"/>
  <c r="AN955" i="1"/>
  <c r="AO955" i="1"/>
  <c r="AQ955" i="1"/>
  <c r="BB955" i="1"/>
  <c r="BD955" i="1"/>
  <c r="B956" i="1"/>
  <c r="C956" i="1"/>
  <c r="E956" i="1"/>
  <c r="F956" i="1"/>
  <c r="G956" i="1"/>
  <c r="H956" i="1"/>
  <c r="I956" i="1"/>
  <c r="J956" i="1"/>
  <c r="K956" i="1"/>
  <c r="M956" i="1"/>
  <c r="O956" i="1"/>
  <c r="Q956" i="1"/>
  <c r="R956" i="1"/>
  <c r="W956" i="1"/>
  <c r="AA956" i="1"/>
  <c r="AM956" i="1"/>
  <c r="AN956" i="1"/>
  <c r="AO956" i="1"/>
  <c r="AQ956" i="1"/>
  <c r="BB956" i="1"/>
  <c r="BD956" i="1"/>
  <c r="B957" i="1"/>
  <c r="C957" i="1"/>
  <c r="E957" i="1"/>
  <c r="F957" i="1"/>
  <c r="G957" i="1"/>
  <c r="H957" i="1"/>
  <c r="I957" i="1"/>
  <c r="J957" i="1"/>
  <c r="K957" i="1"/>
  <c r="M957" i="1"/>
  <c r="O957" i="1"/>
  <c r="Q957" i="1"/>
  <c r="R957" i="1"/>
  <c r="W957" i="1"/>
  <c r="AA957" i="1"/>
  <c r="AM957" i="1"/>
  <c r="AN957" i="1"/>
  <c r="AO957" i="1"/>
  <c r="AQ957" i="1"/>
  <c r="BB957" i="1"/>
  <c r="BD957" i="1"/>
  <c r="B958" i="1"/>
  <c r="C958" i="1"/>
  <c r="E958" i="1"/>
  <c r="F958" i="1"/>
  <c r="G958" i="1"/>
  <c r="H958" i="1"/>
  <c r="I958" i="1"/>
  <c r="J958" i="1"/>
  <c r="K958" i="1"/>
  <c r="M958" i="1"/>
  <c r="O958" i="1"/>
  <c r="Q958" i="1"/>
  <c r="R958" i="1"/>
  <c r="W958" i="1"/>
  <c r="AA958" i="1"/>
  <c r="AB958" i="1"/>
  <c r="AE958" i="1"/>
  <c r="AF958" i="1"/>
  <c r="AM958" i="1"/>
  <c r="AN958" i="1"/>
  <c r="AO958" i="1"/>
  <c r="AQ958" i="1"/>
  <c r="AX958" i="1"/>
  <c r="BD958" i="1"/>
  <c r="B959" i="1"/>
  <c r="C959" i="1"/>
  <c r="E959" i="1"/>
  <c r="F959" i="1"/>
  <c r="G959" i="1"/>
  <c r="H959" i="1"/>
  <c r="I959" i="1"/>
  <c r="J959" i="1"/>
  <c r="K959" i="1"/>
  <c r="M959" i="1"/>
  <c r="O959" i="1"/>
  <c r="Q959" i="1"/>
  <c r="R959" i="1"/>
  <c r="W959" i="1"/>
  <c r="AA959" i="1"/>
  <c r="AB959" i="1"/>
  <c r="AE959" i="1"/>
  <c r="AF959" i="1"/>
  <c r="AM959" i="1"/>
  <c r="AN959" i="1"/>
  <c r="AO959" i="1"/>
  <c r="AQ959" i="1"/>
  <c r="AX959" i="1"/>
  <c r="BD959" i="1"/>
  <c r="B960" i="1"/>
  <c r="C960" i="1"/>
  <c r="D960" i="1"/>
  <c r="E960" i="1"/>
  <c r="F960" i="1"/>
  <c r="G960" i="1"/>
  <c r="H960" i="1"/>
  <c r="I960" i="1"/>
  <c r="J960" i="1"/>
  <c r="K960" i="1"/>
  <c r="M960" i="1"/>
  <c r="O960" i="1"/>
  <c r="Q960" i="1"/>
  <c r="R960" i="1"/>
  <c r="W960" i="1"/>
  <c r="AA960" i="1"/>
  <c r="AB960" i="1"/>
  <c r="AE960" i="1"/>
  <c r="AF960" i="1"/>
  <c r="AM960" i="1"/>
  <c r="AN960" i="1"/>
  <c r="AO960" i="1"/>
  <c r="AQ960" i="1"/>
  <c r="AX960" i="1"/>
  <c r="BD960" i="1"/>
  <c r="B961" i="1"/>
  <c r="C961" i="1"/>
  <c r="D961" i="1"/>
  <c r="E961" i="1"/>
  <c r="F961" i="1"/>
  <c r="G961" i="1"/>
  <c r="H961" i="1"/>
  <c r="I961" i="1"/>
  <c r="J961" i="1"/>
  <c r="K961" i="1"/>
  <c r="M961" i="1"/>
  <c r="O961" i="1"/>
  <c r="Q961" i="1"/>
  <c r="R961" i="1"/>
  <c r="W961" i="1"/>
  <c r="AA961" i="1"/>
  <c r="AB961" i="1"/>
  <c r="AE961" i="1"/>
  <c r="AF961" i="1"/>
  <c r="AM961" i="1"/>
  <c r="AN961" i="1"/>
  <c r="AO961" i="1"/>
  <c r="AQ961" i="1"/>
  <c r="AX961" i="1"/>
  <c r="BD961" i="1"/>
  <c r="B962" i="1"/>
  <c r="C962" i="1"/>
  <c r="D962" i="1"/>
  <c r="E962" i="1"/>
  <c r="F962" i="1"/>
  <c r="G962" i="1"/>
  <c r="H962" i="1"/>
  <c r="I962" i="1"/>
  <c r="J962" i="1"/>
  <c r="K962" i="1"/>
  <c r="M962" i="1"/>
  <c r="O962" i="1"/>
  <c r="Q962" i="1"/>
  <c r="R962" i="1"/>
  <c r="W962" i="1"/>
  <c r="AA962" i="1"/>
  <c r="AB962" i="1"/>
  <c r="AE962" i="1"/>
  <c r="AF962" i="1"/>
  <c r="AM962" i="1"/>
  <c r="AN962" i="1"/>
  <c r="AO962" i="1"/>
  <c r="AQ962" i="1"/>
  <c r="AX962" i="1"/>
  <c r="BD962" i="1"/>
  <c r="B963" i="1"/>
  <c r="C963" i="1"/>
  <c r="D963" i="1"/>
  <c r="E963" i="1"/>
  <c r="F963" i="1"/>
  <c r="G963" i="1"/>
  <c r="H963" i="1"/>
  <c r="I963" i="1"/>
  <c r="J963" i="1"/>
  <c r="K963" i="1"/>
  <c r="M963" i="1"/>
  <c r="O963" i="1"/>
  <c r="Q963" i="1"/>
  <c r="R963" i="1"/>
  <c r="W963" i="1"/>
  <c r="AA963" i="1"/>
  <c r="AB963" i="1"/>
  <c r="AE963" i="1"/>
  <c r="AF963" i="1"/>
  <c r="AM963" i="1"/>
  <c r="AN963" i="1"/>
  <c r="AO963" i="1"/>
  <c r="AQ963" i="1"/>
  <c r="AX963" i="1"/>
  <c r="BD963" i="1"/>
  <c r="B964" i="1"/>
  <c r="E964" i="1"/>
  <c r="F964" i="1"/>
  <c r="G964" i="1"/>
  <c r="H964" i="1"/>
  <c r="I964" i="1"/>
  <c r="J964" i="1"/>
  <c r="K964" i="1"/>
  <c r="M964" i="1"/>
  <c r="O964" i="1"/>
  <c r="Q964" i="1"/>
  <c r="R964" i="1"/>
  <c r="W964" i="1"/>
  <c r="AA964" i="1"/>
  <c r="AB964" i="1"/>
  <c r="AM964" i="1"/>
  <c r="AN964" i="1"/>
  <c r="AO964" i="1"/>
  <c r="AQ964" i="1"/>
  <c r="AX964" i="1"/>
  <c r="BD964" i="1"/>
  <c r="B965" i="1"/>
  <c r="E965" i="1"/>
  <c r="F965" i="1"/>
  <c r="G965" i="1"/>
  <c r="H965" i="1"/>
  <c r="I965" i="1"/>
  <c r="J965" i="1"/>
  <c r="K965" i="1"/>
  <c r="M965" i="1"/>
  <c r="O965" i="1"/>
  <c r="Q965" i="1"/>
  <c r="R965" i="1"/>
  <c r="W965" i="1"/>
  <c r="AA965" i="1"/>
  <c r="AB965" i="1"/>
  <c r="AM965" i="1"/>
  <c r="AN965" i="1"/>
  <c r="AO965" i="1"/>
  <c r="AQ965" i="1"/>
  <c r="AX965" i="1"/>
  <c r="BD965" i="1"/>
  <c r="B966" i="1"/>
  <c r="E966" i="1"/>
  <c r="F966" i="1"/>
  <c r="G966" i="1"/>
  <c r="H966" i="1"/>
  <c r="I966" i="1"/>
  <c r="J966" i="1"/>
  <c r="K966" i="1"/>
  <c r="M966" i="1"/>
  <c r="O966" i="1"/>
  <c r="Q966" i="1"/>
  <c r="R966" i="1"/>
  <c r="W966" i="1"/>
  <c r="AA966" i="1"/>
  <c r="AM966" i="1"/>
  <c r="AN966" i="1"/>
  <c r="AO966" i="1"/>
  <c r="AQ966" i="1"/>
  <c r="BB966" i="1"/>
  <c r="BD966" i="1"/>
  <c r="B967" i="1"/>
  <c r="E967" i="1"/>
  <c r="F967" i="1"/>
  <c r="G967" i="1"/>
  <c r="H967" i="1"/>
  <c r="I967" i="1"/>
  <c r="J967" i="1"/>
  <c r="K967" i="1"/>
  <c r="M967" i="1"/>
  <c r="O967" i="1"/>
  <c r="Q967" i="1"/>
  <c r="R967" i="1"/>
  <c r="W967" i="1"/>
  <c r="AA967" i="1"/>
  <c r="AM967" i="1"/>
  <c r="AN967" i="1"/>
  <c r="AO967" i="1"/>
  <c r="AQ967" i="1"/>
  <c r="BB967" i="1"/>
  <c r="BD967" i="1"/>
  <c r="B968" i="1"/>
  <c r="E968" i="1"/>
  <c r="F968" i="1"/>
  <c r="G968" i="1"/>
  <c r="H968" i="1"/>
  <c r="I968" i="1"/>
  <c r="J968" i="1"/>
  <c r="K968" i="1"/>
  <c r="M968" i="1"/>
  <c r="O968" i="1"/>
  <c r="Q968" i="1"/>
  <c r="R968" i="1"/>
  <c r="W968" i="1"/>
  <c r="AA968" i="1"/>
  <c r="AM968" i="1"/>
  <c r="AN968" i="1"/>
  <c r="AO968" i="1"/>
  <c r="AQ968" i="1"/>
  <c r="BB968" i="1"/>
  <c r="BD968" i="1"/>
  <c r="B969" i="1"/>
  <c r="E969" i="1"/>
  <c r="F969" i="1"/>
  <c r="G969" i="1"/>
  <c r="H969" i="1"/>
  <c r="I969" i="1"/>
  <c r="J969" i="1"/>
  <c r="K969" i="1"/>
  <c r="M969" i="1"/>
  <c r="O969" i="1"/>
  <c r="Q969" i="1"/>
  <c r="R969" i="1"/>
  <c r="W969" i="1"/>
  <c r="AA969" i="1"/>
  <c r="AM969" i="1"/>
  <c r="AN969" i="1"/>
  <c r="AO969" i="1"/>
  <c r="AQ969" i="1"/>
  <c r="BB969" i="1"/>
  <c r="BD969" i="1"/>
  <c r="B970" i="1"/>
  <c r="E970" i="1"/>
  <c r="F970" i="1"/>
  <c r="G970" i="1"/>
  <c r="H970" i="1"/>
  <c r="I970" i="1"/>
  <c r="J970" i="1"/>
  <c r="K970" i="1"/>
  <c r="M970" i="1"/>
  <c r="O970" i="1"/>
  <c r="Q970" i="1"/>
  <c r="R970" i="1"/>
  <c r="W970" i="1"/>
  <c r="AA970" i="1"/>
  <c r="AB970" i="1"/>
  <c r="AM970" i="1"/>
  <c r="AN970" i="1"/>
  <c r="AO970" i="1"/>
  <c r="AQ970" i="1"/>
  <c r="AX970" i="1"/>
  <c r="BD970" i="1"/>
  <c r="B971" i="1"/>
  <c r="C971" i="1"/>
  <c r="D971" i="1"/>
  <c r="E971" i="1"/>
  <c r="F971" i="1"/>
  <c r="G971" i="1"/>
  <c r="H971" i="1"/>
  <c r="I971" i="1"/>
  <c r="J971" i="1"/>
  <c r="K971" i="1"/>
  <c r="M971" i="1"/>
  <c r="O971" i="1"/>
  <c r="Q971" i="1"/>
  <c r="R971" i="1"/>
  <c r="W971" i="1"/>
  <c r="AA971" i="1"/>
  <c r="AB971" i="1"/>
  <c r="AE971" i="1"/>
  <c r="AF971" i="1"/>
  <c r="AM971" i="1"/>
  <c r="AN971" i="1"/>
  <c r="AO971" i="1"/>
  <c r="AQ971" i="1"/>
  <c r="AX971" i="1"/>
  <c r="BD971" i="1"/>
  <c r="B972" i="1"/>
  <c r="C972" i="1"/>
  <c r="E972" i="1"/>
  <c r="F972" i="1"/>
  <c r="G972" i="1"/>
  <c r="H972" i="1"/>
  <c r="I972" i="1"/>
  <c r="J972" i="1"/>
  <c r="K972" i="1"/>
  <c r="M972" i="1"/>
  <c r="O972" i="1"/>
  <c r="Q972" i="1"/>
  <c r="R972" i="1"/>
  <c r="W972" i="1"/>
  <c r="AA972" i="1"/>
  <c r="AM972" i="1"/>
  <c r="AN972" i="1"/>
  <c r="AO972" i="1"/>
  <c r="AQ972" i="1"/>
  <c r="BB972" i="1"/>
  <c r="BD972" i="1"/>
  <c r="B973" i="1"/>
  <c r="C973" i="1"/>
  <c r="E973" i="1"/>
  <c r="F973" i="1"/>
  <c r="G973" i="1"/>
  <c r="H973" i="1"/>
  <c r="I973" i="1"/>
  <c r="J973" i="1"/>
  <c r="K973" i="1"/>
  <c r="M973" i="1"/>
  <c r="O973" i="1"/>
  <c r="Q973" i="1"/>
  <c r="R973" i="1"/>
  <c r="W973" i="1"/>
  <c r="AA973" i="1"/>
  <c r="AM973" i="1"/>
  <c r="AN973" i="1"/>
  <c r="AO973" i="1"/>
  <c r="AQ973" i="1"/>
  <c r="BB973" i="1"/>
  <c r="BD973" i="1"/>
  <c r="B974" i="1"/>
  <c r="C974" i="1"/>
  <c r="E974" i="1"/>
  <c r="F974" i="1"/>
  <c r="G974" i="1"/>
  <c r="H974" i="1"/>
  <c r="I974" i="1"/>
  <c r="J974" i="1"/>
  <c r="K974" i="1"/>
  <c r="M974" i="1"/>
  <c r="O974" i="1"/>
  <c r="Q974" i="1"/>
  <c r="R974" i="1"/>
  <c r="W974" i="1"/>
  <c r="AA974" i="1"/>
  <c r="AM974" i="1"/>
  <c r="AN974" i="1"/>
  <c r="AO974" i="1"/>
  <c r="AQ974" i="1"/>
  <c r="BB974" i="1"/>
  <c r="BD974" i="1"/>
  <c r="B975" i="1"/>
  <c r="C975" i="1"/>
  <c r="E975" i="1"/>
  <c r="F975" i="1"/>
  <c r="G975" i="1"/>
  <c r="H975" i="1"/>
  <c r="I975" i="1"/>
  <c r="J975" i="1"/>
  <c r="K975" i="1"/>
  <c r="M975" i="1"/>
  <c r="O975" i="1"/>
  <c r="Q975" i="1"/>
  <c r="R975" i="1"/>
  <c r="W975" i="1"/>
  <c r="AA975" i="1"/>
  <c r="AM975" i="1"/>
  <c r="AN975" i="1"/>
  <c r="AO975" i="1"/>
  <c r="AQ975" i="1"/>
  <c r="BB975" i="1"/>
  <c r="BD975" i="1"/>
  <c r="B976" i="1"/>
  <c r="C976" i="1"/>
  <c r="E976" i="1"/>
  <c r="F976" i="1"/>
  <c r="G976" i="1"/>
  <c r="H976" i="1"/>
  <c r="I976" i="1"/>
  <c r="J976" i="1"/>
  <c r="K976" i="1"/>
  <c r="M976" i="1"/>
  <c r="O976" i="1"/>
  <c r="Q976" i="1"/>
  <c r="R976" i="1"/>
  <c r="W976" i="1"/>
  <c r="AA976" i="1"/>
  <c r="AB976" i="1"/>
  <c r="AE976" i="1"/>
  <c r="AF976" i="1"/>
  <c r="AM976" i="1"/>
  <c r="AN976" i="1"/>
  <c r="AO976" i="1"/>
  <c r="AQ976" i="1"/>
  <c r="AX976" i="1"/>
  <c r="BD976" i="1"/>
  <c r="B977" i="1"/>
  <c r="C977" i="1"/>
  <c r="E977" i="1"/>
  <c r="F977" i="1"/>
  <c r="G977" i="1"/>
  <c r="H977" i="1"/>
  <c r="I977" i="1"/>
  <c r="J977" i="1"/>
  <c r="K977" i="1"/>
  <c r="M977" i="1"/>
  <c r="O977" i="1"/>
  <c r="Q977" i="1"/>
  <c r="R977" i="1"/>
  <c r="W977" i="1"/>
  <c r="AA977" i="1"/>
  <c r="AB977" i="1"/>
  <c r="AE977" i="1"/>
  <c r="AF977" i="1"/>
  <c r="AM977" i="1"/>
  <c r="AN977" i="1"/>
  <c r="AO977" i="1"/>
  <c r="AQ977" i="1"/>
  <c r="AX977" i="1"/>
  <c r="BD977" i="1"/>
  <c r="B978" i="1"/>
  <c r="C978" i="1"/>
  <c r="E978" i="1"/>
  <c r="F978" i="1"/>
  <c r="G978" i="1"/>
  <c r="H978" i="1"/>
  <c r="I978" i="1"/>
  <c r="J978" i="1"/>
  <c r="K978" i="1"/>
  <c r="M978" i="1"/>
  <c r="O978" i="1"/>
  <c r="Q978" i="1"/>
  <c r="R978" i="1"/>
  <c r="W978" i="1"/>
  <c r="AA978" i="1"/>
  <c r="AB978" i="1"/>
  <c r="AE978" i="1"/>
  <c r="AF978" i="1"/>
  <c r="AM978" i="1"/>
  <c r="AN978" i="1"/>
  <c r="AO978" i="1"/>
  <c r="AQ978" i="1"/>
  <c r="AX978" i="1"/>
  <c r="BD978" i="1"/>
  <c r="B979" i="1"/>
  <c r="C979" i="1"/>
  <c r="E979" i="1"/>
  <c r="F979" i="1"/>
  <c r="G979" i="1"/>
  <c r="H979" i="1"/>
  <c r="I979" i="1"/>
  <c r="J979" i="1"/>
  <c r="K979" i="1"/>
  <c r="M979" i="1"/>
  <c r="O979" i="1"/>
  <c r="Q979" i="1"/>
  <c r="R979" i="1"/>
  <c r="W979" i="1"/>
  <c r="AA979" i="1"/>
  <c r="AM979" i="1"/>
  <c r="AN979" i="1"/>
  <c r="AO979" i="1"/>
  <c r="AQ979" i="1"/>
  <c r="BB979" i="1"/>
  <c r="BD979" i="1"/>
  <c r="B980" i="1"/>
  <c r="C980" i="1"/>
  <c r="E980" i="1"/>
  <c r="F980" i="1"/>
  <c r="G980" i="1"/>
  <c r="H980" i="1"/>
  <c r="I980" i="1"/>
  <c r="J980" i="1"/>
  <c r="K980" i="1"/>
  <c r="M980" i="1"/>
  <c r="O980" i="1"/>
  <c r="Q980" i="1"/>
  <c r="R980" i="1"/>
  <c r="W980" i="1"/>
  <c r="AA980" i="1"/>
  <c r="AM980" i="1"/>
  <c r="AN980" i="1"/>
  <c r="AO980" i="1"/>
  <c r="AQ980" i="1"/>
  <c r="BB980" i="1"/>
  <c r="BD980" i="1"/>
  <c r="B981" i="1"/>
  <c r="C981" i="1"/>
  <c r="E981" i="1"/>
  <c r="F981" i="1"/>
  <c r="G981" i="1"/>
  <c r="H981" i="1"/>
  <c r="I981" i="1"/>
  <c r="J981" i="1"/>
  <c r="K981" i="1"/>
  <c r="M981" i="1"/>
  <c r="O981" i="1"/>
  <c r="Q981" i="1"/>
  <c r="R981" i="1"/>
  <c r="W981" i="1"/>
  <c r="AA981" i="1"/>
  <c r="AM981" i="1"/>
  <c r="AN981" i="1"/>
  <c r="AO981" i="1"/>
  <c r="AQ981" i="1"/>
  <c r="BB981" i="1"/>
  <c r="BD981" i="1"/>
  <c r="B982" i="1"/>
  <c r="C982" i="1"/>
  <c r="E982" i="1"/>
  <c r="F982" i="1"/>
  <c r="G982" i="1"/>
  <c r="H982" i="1"/>
  <c r="I982" i="1"/>
  <c r="J982" i="1"/>
  <c r="K982" i="1"/>
  <c r="M982" i="1"/>
  <c r="O982" i="1"/>
  <c r="Q982" i="1"/>
  <c r="R982" i="1"/>
  <c r="W982" i="1"/>
  <c r="AA982" i="1"/>
  <c r="AM982" i="1"/>
  <c r="AN982" i="1"/>
  <c r="AO982" i="1"/>
  <c r="AQ982" i="1"/>
  <c r="BB982" i="1"/>
  <c r="BD982" i="1"/>
  <c r="B983" i="1"/>
  <c r="C983" i="1"/>
  <c r="E983" i="1"/>
  <c r="F983" i="1"/>
  <c r="G983" i="1"/>
  <c r="H983" i="1"/>
  <c r="I983" i="1"/>
  <c r="J983" i="1"/>
  <c r="K983" i="1"/>
  <c r="M983" i="1"/>
  <c r="O983" i="1"/>
  <c r="Q983" i="1"/>
  <c r="R983" i="1"/>
  <c r="W983" i="1"/>
  <c r="AA983" i="1"/>
  <c r="AM983" i="1"/>
  <c r="AN983" i="1"/>
  <c r="AO983" i="1"/>
  <c r="AQ983" i="1"/>
  <c r="BB983" i="1"/>
  <c r="BD983" i="1"/>
  <c r="B984" i="1"/>
  <c r="C984" i="1"/>
  <c r="E984" i="1"/>
  <c r="F984" i="1"/>
  <c r="G984" i="1"/>
  <c r="H984" i="1"/>
  <c r="I984" i="1"/>
  <c r="J984" i="1"/>
  <c r="K984" i="1"/>
  <c r="M984" i="1"/>
  <c r="O984" i="1"/>
  <c r="Q984" i="1"/>
  <c r="R984" i="1"/>
  <c r="W984" i="1"/>
  <c r="AA984" i="1"/>
  <c r="AM984" i="1"/>
  <c r="AN984" i="1"/>
  <c r="AO984" i="1"/>
  <c r="AQ984" i="1"/>
  <c r="BB984" i="1"/>
  <c r="BD984" i="1"/>
  <c r="B985" i="1"/>
  <c r="C985" i="1"/>
  <c r="E985" i="1"/>
  <c r="F985" i="1"/>
  <c r="G985" i="1"/>
  <c r="H985" i="1"/>
  <c r="I985" i="1"/>
  <c r="J985" i="1"/>
  <c r="K985" i="1"/>
  <c r="M985" i="1"/>
  <c r="O985" i="1"/>
  <c r="Q985" i="1"/>
  <c r="R985" i="1"/>
  <c r="W985" i="1"/>
  <c r="AA985" i="1"/>
  <c r="AM985" i="1"/>
  <c r="AN985" i="1"/>
  <c r="AO985" i="1"/>
  <c r="AQ985" i="1"/>
  <c r="BB985" i="1"/>
  <c r="BD985" i="1"/>
  <c r="B986" i="1"/>
  <c r="C986" i="1"/>
  <c r="E986" i="1"/>
  <c r="F986" i="1"/>
  <c r="G986" i="1"/>
  <c r="H986" i="1"/>
  <c r="I986" i="1"/>
  <c r="J986" i="1"/>
  <c r="K986" i="1"/>
  <c r="M986" i="1"/>
  <c r="O986" i="1"/>
  <c r="Q986" i="1"/>
  <c r="R986" i="1"/>
  <c r="W986" i="1"/>
  <c r="AA986" i="1"/>
  <c r="AM986" i="1"/>
  <c r="AN986" i="1"/>
  <c r="AO986" i="1"/>
  <c r="AQ986" i="1"/>
  <c r="BB986" i="1"/>
  <c r="BD986" i="1"/>
  <c r="B987" i="1"/>
  <c r="C987" i="1"/>
  <c r="E987" i="1"/>
  <c r="F987" i="1"/>
  <c r="G987" i="1"/>
  <c r="H987" i="1"/>
  <c r="I987" i="1"/>
  <c r="J987" i="1"/>
  <c r="K987" i="1"/>
  <c r="M987" i="1"/>
  <c r="O987" i="1"/>
  <c r="Q987" i="1"/>
  <c r="R987" i="1"/>
  <c r="W987" i="1"/>
  <c r="AA987" i="1"/>
  <c r="AM987" i="1"/>
  <c r="AN987" i="1"/>
  <c r="AO987" i="1"/>
  <c r="AQ987" i="1"/>
  <c r="BB987" i="1"/>
  <c r="BD987" i="1"/>
  <c r="B988" i="1"/>
  <c r="C988" i="1"/>
  <c r="E988" i="1"/>
  <c r="F988" i="1"/>
  <c r="G988" i="1"/>
  <c r="H988" i="1"/>
  <c r="I988" i="1"/>
  <c r="J988" i="1"/>
  <c r="K988" i="1"/>
  <c r="M988" i="1"/>
  <c r="O988" i="1"/>
  <c r="Q988" i="1"/>
  <c r="R988" i="1"/>
  <c r="W988" i="1"/>
  <c r="AA988" i="1"/>
  <c r="AM988" i="1"/>
  <c r="AN988" i="1"/>
  <c r="AO988" i="1"/>
  <c r="AQ988" i="1"/>
  <c r="BB988" i="1"/>
  <c r="BD988" i="1"/>
  <c r="B989" i="1"/>
  <c r="C989" i="1"/>
  <c r="E989" i="1"/>
  <c r="F989" i="1"/>
  <c r="G989" i="1"/>
  <c r="H989" i="1"/>
  <c r="I989" i="1"/>
  <c r="J989" i="1"/>
  <c r="K989" i="1"/>
  <c r="M989" i="1"/>
  <c r="O989" i="1"/>
  <c r="Q989" i="1"/>
  <c r="R989" i="1"/>
  <c r="W989" i="1"/>
  <c r="AA989" i="1"/>
  <c r="AM989" i="1"/>
  <c r="AN989" i="1"/>
  <c r="AO989" i="1"/>
  <c r="AQ989" i="1"/>
  <c r="BB989" i="1"/>
  <c r="BD989" i="1"/>
  <c r="B990" i="1"/>
  <c r="C990" i="1"/>
  <c r="E990" i="1"/>
  <c r="F990" i="1"/>
  <c r="G990" i="1"/>
  <c r="H990" i="1"/>
  <c r="I990" i="1"/>
  <c r="J990" i="1"/>
  <c r="K990" i="1"/>
  <c r="M990" i="1"/>
  <c r="O990" i="1"/>
  <c r="Q990" i="1"/>
  <c r="R990" i="1"/>
  <c r="W990" i="1"/>
  <c r="AA990" i="1"/>
  <c r="AM990" i="1"/>
  <c r="AN990" i="1"/>
  <c r="AO990" i="1"/>
  <c r="AQ990" i="1"/>
  <c r="BB990" i="1"/>
  <c r="BD990" i="1"/>
  <c r="B991" i="1"/>
  <c r="C991" i="1"/>
  <c r="E991" i="1"/>
  <c r="F991" i="1"/>
  <c r="G991" i="1"/>
  <c r="H991" i="1"/>
  <c r="I991" i="1"/>
  <c r="J991" i="1"/>
  <c r="K991" i="1"/>
  <c r="M991" i="1"/>
  <c r="O991" i="1"/>
  <c r="Q991" i="1"/>
  <c r="R991" i="1"/>
  <c r="W991" i="1"/>
  <c r="AA991" i="1"/>
  <c r="AM991" i="1"/>
  <c r="AN991" i="1"/>
  <c r="AO991" i="1"/>
  <c r="AQ991" i="1"/>
  <c r="BB991" i="1"/>
  <c r="BD991" i="1"/>
  <c r="B992" i="1"/>
  <c r="C992" i="1"/>
  <c r="E992" i="1"/>
  <c r="F992" i="1"/>
  <c r="G992" i="1"/>
  <c r="H992" i="1"/>
  <c r="I992" i="1"/>
  <c r="J992" i="1"/>
  <c r="K992" i="1"/>
  <c r="M992" i="1"/>
  <c r="O992" i="1"/>
  <c r="Q992" i="1"/>
  <c r="R992" i="1"/>
  <c r="W992" i="1"/>
  <c r="AA992" i="1"/>
  <c r="AM992" i="1"/>
  <c r="AN992" i="1"/>
  <c r="AO992" i="1"/>
  <c r="AQ992" i="1"/>
  <c r="BB992" i="1"/>
  <c r="BD992" i="1"/>
  <c r="B993" i="1"/>
  <c r="C993" i="1"/>
  <c r="E993" i="1"/>
  <c r="F993" i="1"/>
  <c r="G993" i="1"/>
  <c r="H993" i="1"/>
  <c r="I993" i="1"/>
  <c r="J993" i="1"/>
  <c r="K993" i="1"/>
  <c r="M993" i="1"/>
  <c r="O993" i="1"/>
  <c r="Q993" i="1"/>
  <c r="R993" i="1"/>
  <c r="W993" i="1"/>
  <c r="AA993" i="1"/>
  <c r="AM993" i="1"/>
  <c r="AN993" i="1"/>
  <c r="AO993" i="1"/>
  <c r="AQ993" i="1"/>
  <c r="BB993" i="1"/>
  <c r="BD993" i="1"/>
  <c r="B994" i="1"/>
  <c r="C994" i="1"/>
  <c r="E994" i="1"/>
  <c r="F994" i="1"/>
  <c r="G994" i="1"/>
  <c r="H994" i="1"/>
  <c r="I994" i="1"/>
  <c r="J994" i="1"/>
  <c r="K994" i="1"/>
  <c r="M994" i="1"/>
  <c r="O994" i="1"/>
  <c r="Q994" i="1"/>
  <c r="R994" i="1"/>
  <c r="W994" i="1"/>
  <c r="AA994" i="1"/>
  <c r="AM994" i="1"/>
  <c r="AN994" i="1"/>
  <c r="AO994" i="1"/>
  <c r="AQ994" i="1"/>
  <c r="BB994" i="1"/>
  <c r="BD994" i="1"/>
  <c r="B995" i="1"/>
  <c r="C995" i="1"/>
  <c r="E995" i="1"/>
  <c r="F995" i="1"/>
  <c r="G995" i="1"/>
  <c r="H995" i="1"/>
  <c r="I995" i="1"/>
  <c r="J995" i="1"/>
  <c r="K995" i="1"/>
  <c r="M995" i="1"/>
  <c r="O995" i="1"/>
  <c r="Q995" i="1"/>
  <c r="R995" i="1"/>
  <c r="W995" i="1"/>
  <c r="AA995" i="1"/>
  <c r="AM995" i="1"/>
  <c r="AN995" i="1"/>
  <c r="AO995" i="1"/>
  <c r="AQ995" i="1"/>
  <c r="BB995" i="1"/>
  <c r="BD995" i="1"/>
  <c r="B996" i="1"/>
  <c r="C996" i="1"/>
  <c r="E996" i="1"/>
  <c r="F996" i="1"/>
  <c r="G996" i="1"/>
  <c r="H996" i="1"/>
  <c r="I996" i="1"/>
  <c r="J996" i="1"/>
  <c r="K996" i="1"/>
  <c r="M996" i="1"/>
  <c r="O996" i="1"/>
  <c r="Q996" i="1"/>
  <c r="R996" i="1"/>
  <c r="W996" i="1"/>
  <c r="AA996" i="1"/>
  <c r="AM996" i="1"/>
  <c r="AN996" i="1"/>
  <c r="AO996" i="1"/>
  <c r="AQ996" i="1"/>
  <c r="BB996" i="1"/>
  <c r="BD996" i="1"/>
  <c r="B997" i="1"/>
  <c r="C997" i="1"/>
  <c r="E997" i="1"/>
  <c r="F997" i="1"/>
  <c r="G997" i="1"/>
  <c r="H997" i="1"/>
  <c r="I997" i="1"/>
  <c r="J997" i="1"/>
  <c r="K997" i="1"/>
  <c r="M997" i="1"/>
  <c r="O997" i="1"/>
  <c r="Q997" i="1"/>
  <c r="R997" i="1"/>
  <c r="W997" i="1"/>
  <c r="AA997" i="1"/>
  <c r="AM997" i="1"/>
  <c r="AN997" i="1"/>
  <c r="AO997" i="1"/>
  <c r="AQ997" i="1"/>
  <c r="BB997" i="1"/>
  <c r="BD997" i="1"/>
  <c r="B998" i="1"/>
  <c r="C998" i="1"/>
  <c r="E998" i="1"/>
  <c r="F998" i="1"/>
  <c r="G998" i="1"/>
  <c r="H998" i="1"/>
  <c r="I998" i="1"/>
  <c r="J998" i="1"/>
  <c r="K998" i="1"/>
  <c r="M998" i="1"/>
  <c r="O998" i="1"/>
  <c r="Q998" i="1"/>
  <c r="R998" i="1"/>
  <c r="W998" i="1"/>
  <c r="AA998" i="1"/>
  <c r="AM998" i="1"/>
  <c r="AN998" i="1"/>
  <c r="AO998" i="1"/>
  <c r="AQ998" i="1"/>
  <c r="BB998" i="1"/>
  <c r="BD998" i="1"/>
  <c r="B999" i="1"/>
  <c r="C999" i="1"/>
  <c r="E999" i="1"/>
  <c r="F999" i="1"/>
  <c r="G999" i="1"/>
  <c r="H999" i="1"/>
  <c r="I999" i="1"/>
  <c r="J999" i="1"/>
  <c r="K999" i="1"/>
  <c r="M999" i="1"/>
  <c r="O999" i="1"/>
  <c r="Q999" i="1"/>
  <c r="R999" i="1"/>
  <c r="W999" i="1"/>
  <c r="AA999" i="1"/>
  <c r="AB999" i="1"/>
  <c r="AE999" i="1"/>
  <c r="AF999" i="1"/>
  <c r="AM999" i="1"/>
  <c r="AN999" i="1"/>
  <c r="AO999" i="1"/>
  <c r="AQ999" i="1"/>
  <c r="AX999" i="1"/>
  <c r="BD999" i="1"/>
  <c r="B1000" i="1"/>
  <c r="C1000" i="1"/>
  <c r="E1000" i="1"/>
  <c r="F1000" i="1"/>
  <c r="G1000" i="1"/>
  <c r="H1000" i="1"/>
  <c r="I1000" i="1"/>
  <c r="J1000" i="1"/>
  <c r="K1000" i="1"/>
  <c r="M1000" i="1"/>
  <c r="O1000" i="1"/>
  <c r="Q1000" i="1"/>
  <c r="R1000" i="1"/>
  <c r="W1000" i="1"/>
  <c r="AA1000" i="1"/>
  <c r="AB1000" i="1"/>
  <c r="AE1000" i="1"/>
  <c r="AF1000" i="1"/>
  <c r="AM1000" i="1"/>
  <c r="AN1000" i="1"/>
  <c r="AO1000" i="1"/>
  <c r="AQ1000" i="1"/>
  <c r="AX1000" i="1"/>
  <c r="BD1000" i="1"/>
  <c r="B1001" i="1"/>
  <c r="C1001" i="1"/>
  <c r="E1001" i="1"/>
  <c r="F1001" i="1"/>
  <c r="G1001" i="1"/>
  <c r="H1001" i="1"/>
  <c r="I1001" i="1"/>
  <c r="J1001" i="1"/>
  <c r="K1001" i="1"/>
  <c r="M1001" i="1"/>
  <c r="O1001" i="1"/>
  <c r="Q1001" i="1"/>
  <c r="R1001" i="1"/>
  <c r="W1001" i="1"/>
  <c r="AA1001" i="1"/>
  <c r="AB1001" i="1"/>
  <c r="AE1001" i="1"/>
  <c r="AF1001" i="1"/>
  <c r="AM1001" i="1"/>
  <c r="AN1001" i="1"/>
  <c r="AO1001" i="1"/>
  <c r="AQ1001" i="1"/>
  <c r="AX1001" i="1"/>
  <c r="BD1001" i="1"/>
  <c r="B1002" i="1"/>
  <c r="C1002" i="1"/>
  <c r="D1002" i="1"/>
  <c r="E1002" i="1"/>
  <c r="F1002" i="1"/>
  <c r="G1002" i="1"/>
  <c r="H1002" i="1"/>
  <c r="I1002" i="1"/>
  <c r="J1002" i="1"/>
  <c r="K1002" i="1"/>
  <c r="M1002" i="1"/>
  <c r="O1002" i="1"/>
  <c r="Q1002" i="1"/>
  <c r="R1002" i="1"/>
  <c r="W1002" i="1"/>
  <c r="AA1002" i="1"/>
  <c r="AB1002" i="1"/>
  <c r="AE1002" i="1"/>
  <c r="AF1002" i="1"/>
  <c r="AM1002" i="1"/>
  <c r="AN1002" i="1"/>
  <c r="AO1002" i="1"/>
  <c r="AQ1002" i="1"/>
  <c r="AX1002" i="1"/>
  <c r="BD1002" i="1"/>
  <c r="B1003" i="1"/>
  <c r="C1003" i="1"/>
  <c r="D1003" i="1"/>
  <c r="E1003" i="1"/>
  <c r="F1003" i="1"/>
  <c r="G1003" i="1"/>
  <c r="H1003" i="1"/>
  <c r="I1003" i="1"/>
  <c r="J1003" i="1"/>
  <c r="K1003" i="1"/>
  <c r="M1003" i="1"/>
  <c r="O1003" i="1"/>
  <c r="Q1003" i="1"/>
  <c r="R1003" i="1"/>
  <c r="W1003" i="1"/>
  <c r="AA1003" i="1"/>
  <c r="AB1003" i="1"/>
  <c r="AE1003" i="1"/>
  <c r="AF1003" i="1"/>
  <c r="AM1003" i="1"/>
  <c r="AN1003" i="1"/>
  <c r="AO1003" i="1"/>
  <c r="AQ1003" i="1"/>
  <c r="AX1003" i="1"/>
  <c r="BD1003" i="1"/>
  <c r="B1004" i="1"/>
  <c r="C1004" i="1"/>
  <c r="D1004" i="1"/>
  <c r="E1004" i="1"/>
  <c r="F1004" i="1"/>
  <c r="G1004" i="1"/>
  <c r="H1004" i="1"/>
  <c r="I1004" i="1"/>
  <c r="J1004" i="1"/>
  <c r="K1004" i="1"/>
  <c r="M1004" i="1"/>
  <c r="O1004" i="1"/>
  <c r="Q1004" i="1"/>
  <c r="R1004" i="1"/>
  <c r="W1004" i="1"/>
  <c r="AA1004" i="1"/>
  <c r="AB1004" i="1"/>
  <c r="AE1004" i="1"/>
  <c r="AF1004" i="1"/>
  <c r="AM1004" i="1"/>
  <c r="AN1004" i="1"/>
  <c r="AO1004" i="1"/>
  <c r="AQ1004" i="1"/>
  <c r="AX1004" i="1"/>
  <c r="BD1004" i="1"/>
  <c r="B1005" i="1"/>
  <c r="C1005" i="1"/>
  <c r="E1005" i="1"/>
  <c r="F1005" i="1"/>
  <c r="G1005" i="1"/>
  <c r="H1005" i="1"/>
  <c r="I1005" i="1"/>
  <c r="J1005" i="1"/>
  <c r="K1005" i="1"/>
  <c r="M1005" i="1"/>
  <c r="O1005" i="1"/>
  <c r="Q1005" i="1"/>
  <c r="R1005" i="1"/>
  <c r="W1005" i="1"/>
  <c r="AA1005" i="1"/>
  <c r="AB1005" i="1"/>
  <c r="AE1005" i="1"/>
  <c r="AF1005" i="1"/>
  <c r="AM1005" i="1"/>
  <c r="AN1005" i="1"/>
  <c r="AO1005" i="1"/>
  <c r="AQ1005" i="1"/>
  <c r="AX1005" i="1"/>
  <c r="BD1005" i="1"/>
  <c r="B1006" i="1"/>
  <c r="C1006" i="1"/>
  <c r="E1006" i="1"/>
  <c r="F1006" i="1"/>
  <c r="G1006" i="1"/>
  <c r="H1006" i="1"/>
  <c r="I1006" i="1"/>
  <c r="J1006" i="1"/>
  <c r="K1006" i="1"/>
  <c r="M1006" i="1"/>
  <c r="O1006" i="1"/>
  <c r="Q1006" i="1"/>
  <c r="R1006" i="1"/>
  <c r="W1006" i="1"/>
  <c r="AA1006" i="1"/>
  <c r="AB1006" i="1"/>
  <c r="AE1006" i="1"/>
  <c r="AF1006" i="1"/>
  <c r="AM1006" i="1"/>
  <c r="AN1006" i="1"/>
  <c r="AO1006" i="1"/>
  <c r="AQ1006" i="1"/>
  <c r="AX1006" i="1"/>
  <c r="BD1006" i="1"/>
  <c r="B1007" i="1"/>
  <c r="C1007" i="1"/>
  <c r="E1007" i="1"/>
  <c r="F1007" i="1"/>
  <c r="G1007" i="1"/>
  <c r="H1007" i="1"/>
  <c r="I1007" i="1"/>
  <c r="J1007" i="1"/>
  <c r="K1007" i="1"/>
  <c r="M1007" i="1"/>
  <c r="O1007" i="1"/>
  <c r="Q1007" i="1"/>
  <c r="R1007" i="1"/>
  <c r="W1007" i="1"/>
  <c r="AA1007" i="1"/>
  <c r="AB1007" i="1"/>
  <c r="AE1007" i="1"/>
  <c r="AF1007" i="1"/>
  <c r="AM1007" i="1"/>
  <c r="AN1007" i="1"/>
  <c r="AO1007" i="1"/>
  <c r="AQ1007" i="1"/>
  <c r="AX1007" i="1"/>
  <c r="BD1007" i="1"/>
  <c r="B1008" i="1"/>
  <c r="C1008" i="1"/>
  <c r="E1008" i="1"/>
  <c r="F1008" i="1"/>
  <c r="G1008" i="1"/>
  <c r="H1008" i="1"/>
  <c r="I1008" i="1"/>
  <c r="J1008" i="1"/>
  <c r="K1008" i="1"/>
  <c r="M1008" i="1"/>
  <c r="O1008" i="1"/>
  <c r="Q1008" i="1"/>
  <c r="R1008" i="1"/>
  <c r="W1008" i="1"/>
  <c r="AA1008" i="1"/>
  <c r="AB1008" i="1"/>
  <c r="AE1008" i="1"/>
  <c r="AF1008" i="1"/>
  <c r="AM1008" i="1"/>
  <c r="AN1008" i="1"/>
  <c r="AO1008" i="1"/>
  <c r="AQ1008" i="1"/>
  <c r="AX1008" i="1"/>
  <c r="BD1008" i="1"/>
  <c r="B1009" i="1"/>
  <c r="C1009" i="1"/>
  <c r="E1009" i="1"/>
  <c r="F1009" i="1"/>
  <c r="G1009" i="1"/>
  <c r="H1009" i="1"/>
  <c r="I1009" i="1"/>
  <c r="J1009" i="1"/>
  <c r="K1009" i="1"/>
  <c r="M1009" i="1"/>
  <c r="O1009" i="1"/>
  <c r="Q1009" i="1"/>
  <c r="R1009" i="1"/>
  <c r="W1009" i="1"/>
  <c r="AA1009" i="1"/>
  <c r="AB1009" i="1"/>
  <c r="AE1009" i="1"/>
  <c r="AF1009" i="1"/>
  <c r="AM1009" i="1"/>
  <c r="AN1009" i="1"/>
  <c r="AO1009" i="1"/>
  <c r="AQ1009" i="1"/>
  <c r="AX1009" i="1"/>
  <c r="BD1009" i="1"/>
  <c r="B1010" i="1"/>
  <c r="C1010" i="1"/>
  <c r="E1010" i="1"/>
  <c r="F1010" i="1"/>
  <c r="G1010" i="1"/>
  <c r="H1010" i="1"/>
  <c r="I1010" i="1"/>
  <c r="J1010" i="1"/>
  <c r="K1010" i="1"/>
  <c r="M1010" i="1"/>
  <c r="O1010" i="1"/>
  <c r="Q1010" i="1"/>
  <c r="R1010" i="1"/>
  <c r="W1010" i="1"/>
  <c r="AA1010" i="1"/>
  <c r="AB1010" i="1"/>
  <c r="AE1010" i="1"/>
  <c r="AF1010" i="1"/>
  <c r="AM1010" i="1"/>
  <c r="AN1010" i="1"/>
  <c r="AO1010" i="1"/>
  <c r="AQ1010" i="1"/>
  <c r="AX1010" i="1"/>
  <c r="BD1010" i="1"/>
  <c r="B1011" i="1"/>
  <c r="C1011" i="1"/>
  <c r="E1011" i="1"/>
  <c r="F1011" i="1"/>
  <c r="G1011" i="1"/>
  <c r="H1011" i="1"/>
  <c r="I1011" i="1"/>
  <c r="J1011" i="1"/>
  <c r="K1011" i="1"/>
  <c r="M1011" i="1"/>
  <c r="O1011" i="1"/>
  <c r="Q1011" i="1"/>
  <c r="R1011" i="1"/>
  <c r="W1011" i="1"/>
  <c r="AA1011" i="1"/>
  <c r="AB1011" i="1"/>
  <c r="AE1011" i="1"/>
  <c r="AF1011" i="1"/>
  <c r="AM1011" i="1"/>
  <c r="AN1011" i="1"/>
  <c r="AO1011" i="1"/>
  <c r="AQ1011" i="1"/>
  <c r="AX1011" i="1"/>
  <c r="BD1011" i="1"/>
  <c r="B1012" i="1"/>
  <c r="C1012" i="1"/>
  <c r="E1012" i="1"/>
  <c r="F1012" i="1"/>
  <c r="G1012" i="1"/>
  <c r="H1012" i="1"/>
  <c r="I1012" i="1"/>
  <c r="J1012" i="1"/>
  <c r="K1012" i="1"/>
  <c r="M1012" i="1"/>
  <c r="O1012" i="1"/>
  <c r="Q1012" i="1"/>
  <c r="R1012" i="1"/>
  <c r="W1012" i="1"/>
  <c r="AA1012" i="1"/>
  <c r="AB1012" i="1"/>
  <c r="AE1012" i="1"/>
  <c r="AF1012" i="1"/>
  <c r="AM1012" i="1"/>
  <c r="AN1012" i="1"/>
  <c r="AO1012" i="1"/>
  <c r="AQ1012" i="1"/>
  <c r="AX1012" i="1"/>
  <c r="BD1012" i="1"/>
  <c r="B1013" i="1"/>
  <c r="C1013" i="1"/>
  <c r="E1013" i="1"/>
  <c r="F1013" i="1"/>
  <c r="G1013" i="1"/>
  <c r="H1013" i="1"/>
  <c r="I1013" i="1"/>
  <c r="J1013" i="1"/>
  <c r="K1013" i="1"/>
  <c r="M1013" i="1"/>
  <c r="O1013" i="1"/>
  <c r="Q1013" i="1"/>
  <c r="R1013" i="1"/>
  <c r="W1013" i="1"/>
  <c r="AA1013" i="1"/>
  <c r="AB1013" i="1"/>
  <c r="AE1013" i="1"/>
  <c r="AF1013" i="1"/>
  <c r="AM1013" i="1"/>
  <c r="AN1013" i="1"/>
  <c r="AO1013" i="1"/>
  <c r="AQ1013" i="1"/>
  <c r="AX1013" i="1"/>
  <c r="BD1013" i="1"/>
  <c r="B1014" i="1"/>
  <c r="C1014" i="1"/>
  <c r="E1014" i="1"/>
  <c r="F1014" i="1"/>
  <c r="G1014" i="1"/>
  <c r="H1014" i="1"/>
  <c r="I1014" i="1"/>
  <c r="J1014" i="1"/>
  <c r="K1014" i="1"/>
  <c r="M1014" i="1"/>
  <c r="O1014" i="1"/>
  <c r="Q1014" i="1"/>
  <c r="R1014" i="1"/>
  <c r="W1014" i="1"/>
  <c r="AA1014" i="1"/>
  <c r="AB1014" i="1"/>
  <c r="AE1014" i="1"/>
  <c r="AF1014" i="1"/>
  <c r="AM1014" i="1"/>
  <c r="AN1014" i="1"/>
  <c r="AO1014" i="1"/>
  <c r="AQ1014" i="1"/>
  <c r="AX1014" i="1"/>
  <c r="BD1014" i="1"/>
  <c r="B1015" i="1"/>
  <c r="C1015" i="1"/>
  <c r="E1015" i="1"/>
  <c r="F1015" i="1"/>
  <c r="G1015" i="1"/>
  <c r="H1015" i="1"/>
  <c r="I1015" i="1"/>
  <c r="J1015" i="1"/>
  <c r="K1015" i="1"/>
  <c r="M1015" i="1"/>
  <c r="O1015" i="1"/>
  <c r="Q1015" i="1"/>
  <c r="R1015" i="1"/>
  <c r="W1015" i="1"/>
  <c r="AA1015" i="1"/>
  <c r="AB1015" i="1"/>
  <c r="AE1015" i="1"/>
  <c r="AF1015" i="1"/>
  <c r="AM1015" i="1"/>
  <c r="AN1015" i="1"/>
  <c r="AO1015" i="1"/>
  <c r="AQ1015" i="1"/>
  <c r="AX1015" i="1"/>
  <c r="BD1015" i="1"/>
  <c r="B1016" i="1"/>
  <c r="C1016" i="1"/>
  <c r="E1016" i="1"/>
  <c r="F1016" i="1"/>
  <c r="G1016" i="1"/>
  <c r="H1016" i="1"/>
  <c r="I1016" i="1"/>
  <c r="J1016" i="1"/>
  <c r="K1016" i="1"/>
  <c r="M1016" i="1"/>
  <c r="O1016" i="1"/>
  <c r="Q1016" i="1"/>
  <c r="R1016" i="1"/>
  <c r="W1016" i="1"/>
  <c r="AA1016" i="1"/>
  <c r="AB1016" i="1"/>
  <c r="AE1016" i="1"/>
  <c r="AF1016" i="1"/>
  <c r="AM1016" i="1"/>
  <c r="AN1016" i="1"/>
  <c r="AO1016" i="1"/>
  <c r="AQ1016" i="1"/>
  <c r="AX1016" i="1"/>
  <c r="BD1016" i="1"/>
  <c r="B1017" i="1"/>
  <c r="C1017" i="1"/>
  <c r="E1017" i="1"/>
  <c r="F1017" i="1"/>
  <c r="G1017" i="1"/>
  <c r="H1017" i="1"/>
  <c r="I1017" i="1"/>
  <c r="J1017" i="1"/>
  <c r="K1017" i="1"/>
  <c r="M1017" i="1"/>
  <c r="O1017" i="1"/>
  <c r="Q1017" i="1"/>
  <c r="R1017" i="1"/>
  <c r="W1017" i="1"/>
  <c r="AA1017" i="1"/>
  <c r="AB1017" i="1"/>
  <c r="AE1017" i="1"/>
  <c r="AF1017" i="1"/>
  <c r="AM1017" i="1"/>
  <c r="AN1017" i="1"/>
  <c r="AO1017" i="1"/>
  <c r="AQ1017" i="1"/>
  <c r="AX1017" i="1"/>
  <c r="BD1017" i="1"/>
  <c r="B1018" i="1"/>
  <c r="C1018" i="1"/>
  <c r="E1018" i="1"/>
  <c r="F1018" i="1"/>
  <c r="G1018" i="1"/>
  <c r="H1018" i="1"/>
  <c r="I1018" i="1"/>
  <c r="J1018" i="1"/>
  <c r="K1018" i="1"/>
  <c r="M1018" i="1"/>
  <c r="O1018" i="1"/>
  <c r="Q1018" i="1"/>
  <c r="R1018" i="1"/>
  <c r="W1018" i="1"/>
  <c r="AA1018" i="1"/>
  <c r="AB1018" i="1"/>
  <c r="AE1018" i="1"/>
  <c r="AF1018" i="1"/>
  <c r="AM1018" i="1"/>
  <c r="AN1018" i="1"/>
  <c r="AO1018" i="1"/>
  <c r="AQ1018" i="1"/>
  <c r="AX1018" i="1"/>
  <c r="BD1018" i="1"/>
  <c r="B1019" i="1"/>
  <c r="C1019" i="1"/>
  <c r="E1019" i="1"/>
  <c r="F1019" i="1"/>
  <c r="G1019" i="1"/>
  <c r="H1019" i="1"/>
  <c r="I1019" i="1"/>
  <c r="J1019" i="1"/>
  <c r="K1019" i="1"/>
  <c r="M1019" i="1"/>
  <c r="O1019" i="1"/>
  <c r="Q1019" i="1"/>
  <c r="R1019" i="1"/>
  <c r="W1019" i="1"/>
  <c r="AA1019" i="1"/>
  <c r="AB1019" i="1"/>
  <c r="AE1019" i="1"/>
  <c r="AF1019" i="1"/>
  <c r="AM1019" i="1"/>
  <c r="AN1019" i="1"/>
  <c r="AO1019" i="1"/>
  <c r="AQ1019" i="1"/>
  <c r="AX1019" i="1"/>
  <c r="BD1019" i="1"/>
  <c r="B1020" i="1"/>
  <c r="C1020" i="1"/>
  <c r="E1020" i="1"/>
  <c r="F1020" i="1"/>
  <c r="G1020" i="1"/>
  <c r="H1020" i="1"/>
  <c r="I1020" i="1"/>
  <c r="J1020" i="1"/>
  <c r="K1020" i="1"/>
  <c r="M1020" i="1"/>
  <c r="O1020" i="1"/>
  <c r="Q1020" i="1"/>
  <c r="R1020" i="1"/>
  <c r="W1020" i="1"/>
  <c r="AA1020" i="1"/>
  <c r="AB1020" i="1"/>
  <c r="AE1020" i="1"/>
  <c r="AF1020" i="1"/>
  <c r="AM1020" i="1"/>
  <c r="AN1020" i="1"/>
  <c r="AO1020" i="1"/>
  <c r="AQ1020" i="1"/>
  <c r="AX1020" i="1"/>
  <c r="BD1020" i="1"/>
  <c r="B1021" i="1"/>
  <c r="C1021" i="1"/>
  <c r="E1021" i="1"/>
  <c r="F1021" i="1"/>
  <c r="G1021" i="1"/>
  <c r="H1021" i="1"/>
  <c r="I1021" i="1"/>
  <c r="J1021" i="1"/>
  <c r="K1021" i="1"/>
  <c r="M1021" i="1"/>
  <c r="O1021" i="1"/>
  <c r="Q1021" i="1"/>
  <c r="R1021" i="1"/>
  <c r="W1021" i="1"/>
  <c r="AA1021" i="1"/>
  <c r="AB1021" i="1"/>
  <c r="AE1021" i="1"/>
  <c r="AF1021" i="1"/>
  <c r="AM1021" i="1"/>
  <c r="AN1021" i="1"/>
  <c r="AO1021" i="1"/>
  <c r="AQ1021" i="1"/>
  <c r="AX1021" i="1"/>
  <c r="BD1021" i="1"/>
  <c r="B1022" i="1"/>
  <c r="C1022" i="1"/>
  <c r="D1022" i="1"/>
  <c r="E1022" i="1"/>
  <c r="F1022" i="1"/>
  <c r="G1022" i="1"/>
  <c r="H1022" i="1"/>
  <c r="I1022" i="1"/>
  <c r="J1022" i="1"/>
  <c r="K1022" i="1"/>
  <c r="M1022" i="1"/>
  <c r="O1022" i="1"/>
  <c r="Q1022" i="1"/>
  <c r="R1022" i="1"/>
  <c r="W1022" i="1"/>
  <c r="AA1022" i="1"/>
  <c r="AB1022" i="1"/>
  <c r="AE1022" i="1"/>
  <c r="AF1022" i="1"/>
  <c r="AM1022" i="1"/>
  <c r="AN1022" i="1"/>
  <c r="AO1022" i="1"/>
  <c r="AQ1022" i="1"/>
  <c r="AX1022" i="1"/>
  <c r="BD1022" i="1"/>
  <c r="B1023" i="1"/>
  <c r="C1023" i="1"/>
  <c r="D1023" i="1"/>
  <c r="E1023" i="1"/>
  <c r="F1023" i="1"/>
  <c r="G1023" i="1"/>
  <c r="H1023" i="1"/>
  <c r="I1023" i="1"/>
  <c r="J1023" i="1"/>
  <c r="K1023" i="1"/>
  <c r="M1023" i="1"/>
  <c r="O1023" i="1"/>
  <c r="Q1023" i="1"/>
  <c r="R1023" i="1"/>
  <c r="W1023" i="1"/>
  <c r="AA1023" i="1"/>
  <c r="AB1023" i="1"/>
  <c r="AE1023" i="1"/>
  <c r="AF1023" i="1"/>
  <c r="AM1023" i="1"/>
  <c r="AN1023" i="1"/>
  <c r="AO1023" i="1"/>
  <c r="AQ1023" i="1"/>
  <c r="AX1023" i="1"/>
  <c r="BD1023" i="1"/>
  <c r="B1024" i="1"/>
  <c r="C1024" i="1"/>
  <c r="E1024" i="1"/>
  <c r="F1024" i="1"/>
  <c r="G1024" i="1"/>
  <c r="H1024" i="1"/>
  <c r="I1024" i="1"/>
  <c r="J1024" i="1"/>
  <c r="K1024" i="1"/>
  <c r="M1024" i="1"/>
  <c r="O1024" i="1"/>
  <c r="Q1024" i="1"/>
  <c r="R1024" i="1"/>
  <c r="W1024" i="1"/>
  <c r="AA1024" i="1"/>
  <c r="AB1024" i="1"/>
  <c r="AE1024" i="1"/>
  <c r="AF1024" i="1"/>
  <c r="AM1024" i="1"/>
  <c r="AN1024" i="1"/>
  <c r="AO1024" i="1"/>
  <c r="AQ1024" i="1"/>
  <c r="AX1024" i="1"/>
  <c r="BD1024" i="1"/>
  <c r="B1025" i="1"/>
  <c r="C1025" i="1"/>
  <c r="E1025" i="1"/>
  <c r="F1025" i="1"/>
  <c r="G1025" i="1"/>
  <c r="H1025" i="1"/>
  <c r="I1025" i="1"/>
  <c r="J1025" i="1"/>
  <c r="K1025" i="1"/>
  <c r="M1025" i="1"/>
  <c r="O1025" i="1"/>
  <c r="Q1025" i="1"/>
  <c r="R1025" i="1"/>
  <c r="W1025" i="1"/>
  <c r="AA1025" i="1"/>
  <c r="AB1025" i="1"/>
  <c r="AE1025" i="1"/>
  <c r="AF1025" i="1"/>
  <c r="AM1025" i="1"/>
  <c r="AN1025" i="1"/>
  <c r="AO1025" i="1"/>
  <c r="AQ1025" i="1"/>
  <c r="AX1025" i="1"/>
  <c r="BD1025" i="1"/>
  <c r="B1026" i="1"/>
  <c r="C1026" i="1"/>
  <c r="E1026" i="1"/>
  <c r="F1026" i="1"/>
  <c r="G1026" i="1"/>
  <c r="H1026" i="1"/>
  <c r="I1026" i="1"/>
  <c r="J1026" i="1"/>
  <c r="K1026" i="1"/>
  <c r="M1026" i="1"/>
  <c r="O1026" i="1"/>
  <c r="Q1026" i="1"/>
  <c r="R1026" i="1"/>
  <c r="W1026" i="1"/>
  <c r="AA1026" i="1"/>
  <c r="AB1026" i="1"/>
  <c r="AE1026" i="1"/>
  <c r="AF1026" i="1"/>
  <c r="AM1026" i="1"/>
  <c r="AN1026" i="1"/>
  <c r="AO1026" i="1"/>
  <c r="AQ1026" i="1"/>
  <c r="AX1026" i="1"/>
  <c r="BD1026" i="1"/>
  <c r="B1027" i="1"/>
  <c r="C1027" i="1"/>
  <c r="E1027" i="1"/>
  <c r="F1027" i="1"/>
  <c r="G1027" i="1"/>
  <c r="H1027" i="1"/>
  <c r="I1027" i="1"/>
  <c r="J1027" i="1"/>
  <c r="K1027" i="1"/>
  <c r="M1027" i="1"/>
  <c r="O1027" i="1"/>
  <c r="Q1027" i="1"/>
  <c r="R1027" i="1"/>
  <c r="W1027" i="1"/>
  <c r="AA1027" i="1"/>
  <c r="AB1027" i="1"/>
  <c r="AE1027" i="1"/>
  <c r="AF1027" i="1"/>
  <c r="AM1027" i="1"/>
  <c r="AN1027" i="1"/>
  <c r="AO1027" i="1"/>
  <c r="AQ1027" i="1"/>
  <c r="AX1027" i="1"/>
  <c r="BD1027" i="1"/>
  <c r="B1028" i="1"/>
  <c r="C1028" i="1"/>
  <c r="E1028" i="1"/>
  <c r="F1028" i="1"/>
  <c r="G1028" i="1"/>
  <c r="H1028" i="1"/>
  <c r="I1028" i="1"/>
  <c r="J1028" i="1"/>
  <c r="K1028" i="1"/>
  <c r="M1028" i="1"/>
  <c r="O1028" i="1"/>
  <c r="Q1028" i="1"/>
  <c r="R1028" i="1"/>
  <c r="W1028" i="1"/>
  <c r="AA1028" i="1"/>
  <c r="AB1028" i="1"/>
  <c r="AE1028" i="1"/>
  <c r="AF1028" i="1"/>
  <c r="AM1028" i="1"/>
  <c r="AN1028" i="1"/>
  <c r="AO1028" i="1"/>
  <c r="AQ1028" i="1"/>
  <c r="AX1028" i="1"/>
  <c r="BD1028" i="1"/>
  <c r="B1029" i="1"/>
  <c r="C1029" i="1"/>
  <c r="E1029" i="1"/>
  <c r="F1029" i="1"/>
  <c r="G1029" i="1"/>
  <c r="H1029" i="1"/>
  <c r="I1029" i="1"/>
  <c r="J1029" i="1"/>
  <c r="K1029" i="1"/>
  <c r="M1029" i="1"/>
  <c r="O1029" i="1"/>
  <c r="Q1029" i="1"/>
  <c r="R1029" i="1"/>
  <c r="W1029" i="1"/>
  <c r="AA1029" i="1"/>
  <c r="AB1029" i="1"/>
  <c r="AE1029" i="1"/>
  <c r="AF1029" i="1"/>
  <c r="AM1029" i="1"/>
  <c r="AN1029" i="1"/>
  <c r="AO1029" i="1"/>
  <c r="AQ1029" i="1"/>
  <c r="AX1029" i="1"/>
  <c r="BD1029" i="1"/>
  <c r="B1030" i="1"/>
  <c r="C1030" i="1"/>
  <c r="E1030" i="1"/>
  <c r="F1030" i="1"/>
  <c r="G1030" i="1"/>
  <c r="H1030" i="1"/>
  <c r="I1030" i="1"/>
  <c r="J1030" i="1"/>
  <c r="K1030" i="1"/>
  <c r="M1030" i="1"/>
  <c r="O1030" i="1"/>
  <c r="Q1030" i="1"/>
  <c r="R1030" i="1"/>
  <c r="W1030" i="1"/>
  <c r="AA1030" i="1"/>
  <c r="AB1030" i="1"/>
  <c r="AE1030" i="1"/>
  <c r="AF1030" i="1"/>
  <c r="AM1030" i="1"/>
  <c r="AN1030" i="1"/>
  <c r="AO1030" i="1"/>
  <c r="AQ1030" i="1"/>
  <c r="AX1030" i="1"/>
  <c r="BD1030" i="1"/>
  <c r="B1031" i="1"/>
  <c r="C1031" i="1"/>
  <c r="D1031" i="1"/>
  <c r="E1031" i="1"/>
  <c r="F1031" i="1"/>
  <c r="G1031" i="1"/>
  <c r="H1031" i="1"/>
  <c r="I1031" i="1"/>
  <c r="J1031" i="1"/>
  <c r="K1031" i="1"/>
  <c r="M1031" i="1"/>
  <c r="O1031" i="1"/>
  <c r="Q1031" i="1"/>
  <c r="R1031" i="1"/>
  <c r="W1031" i="1"/>
  <c r="AA1031" i="1"/>
  <c r="AB1031" i="1"/>
  <c r="AE1031" i="1"/>
  <c r="AF1031" i="1"/>
  <c r="AM1031" i="1"/>
  <c r="AN1031" i="1"/>
  <c r="AO1031" i="1"/>
  <c r="AQ1031" i="1"/>
  <c r="AX1031" i="1"/>
  <c r="BD1031" i="1"/>
  <c r="B1032" i="1"/>
  <c r="C1032" i="1"/>
  <c r="D1032" i="1"/>
  <c r="E1032" i="1"/>
  <c r="F1032" i="1"/>
  <c r="G1032" i="1"/>
  <c r="H1032" i="1"/>
  <c r="I1032" i="1"/>
  <c r="J1032" i="1"/>
  <c r="K1032" i="1"/>
  <c r="M1032" i="1"/>
  <c r="O1032" i="1"/>
  <c r="Q1032" i="1"/>
  <c r="R1032" i="1"/>
  <c r="W1032" i="1"/>
  <c r="AA1032" i="1"/>
  <c r="AB1032" i="1"/>
  <c r="AE1032" i="1"/>
  <c r="AF1032" i="1"/>
  <c r="AM1032" i="1"/>
  <c r="AN1032" i="1"/>
  <c r="AO1032" i="1"/>
  <c r="AQ1032" i="1"/>
  <c r="AX1032" i="1"/>
  <c r="BD1032" i="1"/>
  <c r="B1033" i="1"/>
  <c r="C1033" i="1"/>
  <c r="D1033" i="1"/>
  <c r="E1033" i="1"/>
  <c r="F1033" i="1"/>
  <c r="G1033" i="1"/>
  <c r="H1033" i="1"/>
  <c r="I1033" i="1"/>
  <c r="J1033" i="1"/>
  <c r="K1033" i="1"/>
  <c r="M1033" i="1"/>
  <c r="O1033" i="1"/>
  <c r="Q1033" i="1"/>
  <c r="R1033" i="1"/>
  <c r="W1033" i="1"/>
  <c r="AA1033" i="1"/>
  <c r="AB1033" i="1"/>
  <c r="AE1033" i="1"/>
  <c r="AF1033" i="1"/>
  <c r="AM1033" i="1"/>
  <c r="AN1033" i="1"/>
  <c r="AO1033" i="1"/>
  <c r="AQ1033" i="1"/>
  <c r="AX1033" i="1"/>
  <c r="BD1033" i="1"/>
  <c r="B1034" i="1"/>
  <c r="E1034" i="1"/>
  <c r="F1034" i="1"/>
  <c r="G1034" i="1"/>
  <c r="H1034" i="1"/>
  <c r="I1034" i="1"/>
  <c r="J1034" i="1"/>
  <c r="K1034" i="1"/>
  <c r="M1034" i="1"/>
  <c r="O1034" i="1"/>
  <c r="Q1034" i="1"/>
  <c r="R1034" i="1"/>
  <c r="W1034" i="1"/>
  <c r="AA1034" i="1"/>
  <c r="AB1034" i="1"/>
  <c r="AM1034" i="1"/>
  <c r="AN1034" i="1"/>
  <c r="AO1034" i="1"/>
  <c r="AQ1034" i="1"/>
  <c r="AX1034" i="1"/>
  <c r="BD1034" i="1"/>
  <c r="B1035" i="1"/>
  <c r="E1035" i="1"/>
  <c r="F1035" i="1"/>
  <c r="G1035" i="1"/>
  <c r="H1035" i="1"/>
  <c r="I1035" i="1"/>
  <c r="J1035" i="1"/>
  <c r="K1035" i="1"/>
  <c r="M1035" i="1"/>
  <c r="O1035" i="1"/>
  <c r="Q1035" i="1"/>
  <c r="R1035" i="1"/>
  <c r="W1035" i="1"/>
  <c r="AA1035" i="1"/>
  <c r="AM1035" i="1"/>
  <c r="AN1035" i="1"/>
  <c r="AO1035" i="1"/>
  <c r="AQ1035" i="1"/>
  <c r="BB1035" i="1"/>
  <c r="BD1035" i="1"/>
  <c r="B1036" i="1"/>
  <c r="E1036" i="1"/>
  <c r="F1036" i="1"/>
  <c r="G1036" i="1"/>
  <c r="H1036" i="1"/>
  <c r="I1036" i="1"/>
  <c r="J1036" i="1"/>
  <c r="K1036" i="1"/>
  <c r="M1036" i="1"/>
  <c r="O1036" i="1"/>
  <c r="Q1036" i="1"/>
  <c r="R1036" i="1"/>
  <c r="W1036" i="1"/>
  <c r="AA1036" i="1"/>
  <c r="AM1036" i="1"/>
  <c r="AN1036" i="1"/>
  <c r="AO1036" i="1"/>
  <c r="AQ1036" i="1"/>
  <c r="BB1036" i="1"/>
  <c r="BD1036" i="1"/>
  <c r="B1037" i="1"/>
  <c r="E1037" i="1"/>
  <c r="F1037" i="1"/>
  <c r="G1037" i="1"/>
  <c r="H1037" i="1"/>
  <c r="I1037" i="1"/>
  <c r="J1037" i="1"/>
  <c r="K1037" i="1"/>
  <c r="M1037" i="1"/>
  <c r="O1037" i="1"/>
  <c r="Q1037" i="1"/>
  <c r="R1037" i="1"/>
  <c r="W1037" i="1"/>
  <c r="AA1037" i="1"/>
  <c r="AB1037" i="1"/>
  <c r="AM1037" i="1"/>
  <c r="AN1037" i="1"/>
  <c r="AO1037" i="1"/>
  <c r="AQ1037" i="1"/>
  <c r="AX1037" i="1"/>
  <c r="BD1037" i="1"/>
  <c r="B1038" i="1"/>
  <c r="E1038" i="1"/>
  <c r="F1038" i="1"/>
  <c r="G1038" i="1"/>
  <c r="H1038" i="1"/>
  <c r="I1038" i="1"/>
  <c r="J1038" i="1"/>
  <c r="K1038" i="1"/>
  <c r="M1038" i="1"/>
  <c r="O1038" i="1"/>
  <c r="Q1038" i="1"/>
  <c r="R1038" i="1"/>
  <c r="W1038" i="1"/>
  <c r="AA1038" i="1"/>
  <c r="AB1038" i="1"/>
  <c r="AM1038" i="1"/>
  <c r="AN1038" i="1"/>
  <c r="AO1038" i="1"/>
  <c r="AQ1038" i="1"/>
  <c r="AX1038" i="1"/>
  <c r="BD1038" i="1"/>
  <c r="B1039" i="1"/>
  <c r="C1039" i="1"/>
  <c r="E1039" i="1"/>
  <c r="F1039" i="1"/>
  <c r="G1039" i="1"/>
  <c r="H1039" i="1"/>
  <c r="I1039" i="1"/>
  <c r="J1039" i="1"/>
  <c r="K1039" i="1"/>
  <c r="M1039" i="1"/>
  <c r="O1039" i="1"/>
  <c r="Q1039" i="1"/>
  <c r="R1039" i="1"/>
  <c r="W1039" i="1"/>
  <c r="AA1039" i="1"/>
  <c r="AM1039" i="1"/>
  <c r="AN1039" i="1"/>
  <c r="AO1039" i="1"/>
  <c r="AQ1039" i="1"/>
  <c r="BB1039" i="1"/>
  <c r="BD1039" i="1"/>
  <c r="B1040" i="1"/>
  <c r="C1040" i="1"/>
  <c r="E1040" i="1"/>
  <c r="F1040" i="1"/>
  <c r="G1040" i="1"/>
  <c r="H1040" i="1"/>
  <c r="I1040" i="1"/>
  <c r="J1040" i="1"/>
  <c r="K1040" i="1"/>
  <c r="M1040" i="1"/>
  <c r="O1040" i="1"/>
  <c r="Q1040" i="1"/>
  <c r="R1040" i="1"/>
  <c r="W1040" i="1"/>
  <c r="AA1040" i="1"/>
  <c r="AM1040" i="1"/>
  <c r="AN1040" i="1"/>
  <c r="AO1040" i="1"/>
  <c r="AQ1040" i="1"/>
  <c r="BB1040" i="1"/>
  <c r="BD1040" i="1"/>
  <c r="B1041" i="1"/>
  <c r="C1041" i="1"/>
  <c r="E1041" i="1"/>
  <c r="F1041" i="1"/>
  <c r="G1041" i="1"/>
  <c r="H1041" i="1"/>
  <c r="I1041" i="1"/>
  <c r="J1041" i="1"/>
  <c r="K1041" i="1"/>
  <c r="M1041" i="1"/>
  <c r="O1041" i="1"/>
  <c r="Q1041" i="1"/>
  <c r="R1041" i="1"/>
  <c r="W1041" i="1"/>
  <c r="AA1041" i="1"/>
  <c r="AM1041" i="1"/>
  <c r="AN1041" i="1"/>
  <c r="AO1041" i="1"/>
  <c r="AQ1041" i="1"/>
  <c r="BB1041" i="1"/>
  <c r="BD1041" i="1"/>
  <c r="B1042" i="1"/>
  <c r="C1042" i="1"/>
  <c r="E1042" i="1"/>
  <c r="F1042" i="1"/>
  <c r="G1042" i="1"/>
  <c r="H1042" i="1"/>
  <c r="I1042" i="1"/>
  <c r="J1042" i="1"/>
  <c r="K1042" i="1"/>
  <c r="M1042" i="1"/>
  <c r="O1042" i="1"/>
  <c r="Q1042" i="1"/>
  <c r="R1042" i="1"/>
  <c r="W1042" i="1"/>
  <c r="AA1042" i="1"/>
  <c r="AM1042" i="1"/>
  <c r="AN1042" i="1"/>
  <c r="AO1042" i="1"/>
  <c r="AQ1042" i="1"/>
  <c r="BB1042" i="1"/>
  <c r="BD1042" i="1"/>
  <c r="B1043" i="1"/>
  <c r="C1043" i="1"/>
  <c r="E1043" i="1"/>
  <c r="F1043" i="1"/>
  <c r="G1043" i="1"/>
  <c r="H1043" i="1"/>
  <c r="I1043" i="1"/>
  <c r="J1043" i="1"/>
  <c r="K1043" i="1"/>
  <c r="M1043" i="1"/>
  <c r="O1043" i="1"/>
  <c r="Q1043" i="1"/>
  <c r="R1043" i="1"/>
  <c r="W1043" i="1"/>
  <c r="AA1043" i="1"/>
  <c r="AM1043" i="1"/>
  <c r="AN1043" i="1"/>
  <c r="AO1043" i="1"/>
  <c r="AQ1043" i="1"/>
  <c r="BB1043" i="1"/>
  <c r="BD1043" i="1"/>
  <c r="B1044" i="1"/>
  <c r="C1044" i="1"/>
  <c r="E1044" i="1"/>
  <c r="F1044" i="1"/>
  <c r="G1044" i="1"/>
  <c r="H1044" i="1"/>
  <c r="I1044" i="1"/>
  <c r="J1044" i="1"/>
  <c r="K1044" i="1"/>
  <c r="M1044" i="1"/>
  <c r="O1044" i="1"/>
  <c r="Q1044" i="1"/>
  <c r="R1044" i="1"/>
  <c r="W1044" i="1"/>
  <c r="AA1044" i="1"/>
  <c r="AM1044" i="1"/>
  <c r="AN1044" i="1"/>
  <c r="AO1044" i="1"/>
  <c r="AQ1044" i="1"/>
  <c r="BB1044" i="1"/>
  <c r="BD1044" i="1"/>
  <c r="B1045" i="1"/>
  <c r="C1045" i="1"/>
  <c r="E1045" i="1"/>
  <c r="F1045" i="1"/>
  <c r="G1045" i="1"/>
  <c r="H1045" i="1"/>
  <c r="I1045" i="1"/>
  <c r="J1045" i="1"/>
  <c r="K1045" i="1"/>
  <c r="M1045" i="1"/>
  <c r="O1045" i="1"/>
  <c r="Q1045" i="1"/>
  <c r="R1045" i="1"/>
  <c r="W1045" i="1"/>
  <c r="AA1045" i="1"/>
  <c r="AM1045" i="1"/>
  <c r="AN1045" i="1"/>
  <c r="AO1045" i="1"/>
  <c r="AQ1045" i="1"/>
  <c r="BB1045" i="1"/>
  <c r="BD1045" i="1"/>
  <c r="B1046" i="1"/>
  <c r="C1046" i="1"/>
  <c r="E1046" i="1"/>
  <c r="F1046" i="1"/>
  <c r="G1046" i="1"/>
  <c r="H1046" i="1"/>
  <c r="I1046" i="1"/>
  <c r="J1046" i="1"/>
  <c r="K1046" i="1"/>
  <c r="M1046" i="1"/>
  <c r="O1046" i="1"/>
  <c r="Q1046" i="1"/>
  <c r="R1046" i="1"/>
  <c r="W1046" i="1"/>
  <c r="AA1046" i="1"/>
  <c r="AM1046" i="1"/>
  <c r="AN1046" i="1"/>
  <c r="AO1046" i="1"/>
  <c r="AQ1046" i="1"/>
  <c r="BB1046" i="1"/>
  <c r="BD1046" i="1"/>
  <c r="B1047" i="1"/>
  <c r="C1047" i="1"/>
  <c r="E1047" i="1"/>
  <c r="F1047" i="1"/>
  <c r="G1047" i="1"/>
  <c r="H1047" i="1"/>
  <c r="I1047" i="1"/>
  <c r="J1047" i="1"/>
  <c r="K1047" i="1"/>
  <c r="M1047" i="1"/>
  <c r="O1047" i="1"/>
  <c r="Q1047" i="1"/>
  <c r="R1047" i="1"/>
  <c r="W1047" i="1"/>
  <c r="AA1047" i="1"/>
  <c r="AM1047" i="1"/>
  <c r="AN1047" i="1"/>
  <c r="AO1047" i="1"/>
  <c r="AQ1047" i="1"/>
  <c r="BB1047" i="1"/>
  <c r="BD1047" i="1"/>
  <c r="B1048" i="1"/>
  <c r="C1048" i="1"/>
  <c r="E1048" i="1"/>
  <c r="F1048" i="1"/>
  <c r="G1048" i="1"/>
  <c r="H1048" i="1"/>
  <c r="I1048" i="1"/>
  <c r="J1048" i="1"/>
  <c r="K1048" i="1"/>
  <c r="M1048" i="1"/>
  <c r="O1048" i="1"/>
  <c r="Q1048" i="1"/>
  <c r="R1048" i="1"/>
  <c r="W1048" i="1"/>
  <c r="AA1048" i="1"/>
  <c r="AM1048" i="1"/>
  <c r="AN1048" i="1"/>
  <c r="AO1048" i="1"/>
  <c r="AQ1048" i="1"/>
  <c r="BB1048" i="1"/>
  <c r="BD1048" i="1"/>
  <c r="B1049" i="1"/>
  <c r="C1049" i="1"/>
  <c r="E1049" i="1"/>
  <c r="F1049" i="1"/>
  <c r="G1049" i="1"/>
  <c r="H1049" i="1"/>
  <c r="I1049" i="1"/>
  <c r="J1049" i="1"/>
  <c r="K1049" i="1"/>
  <c r="M1049" i="1"/>
  <c r="O1049" i="1"/>
  <c r="Q1049" i="1"/>
  <c r="R1049" i="1"/>
  <c r="W1049" i="1"/>
  <c r="AA1049" i="1"/>
  <c r="AM1049" i="1"/>
  <c r="AN1049" i="1"/>
  <c r="AO1049" i="1"/>
  <c r="AQ1049" i="1"/>
  <c r="BB1049" i="1"/>
  <c r="BD1049" i="1"/>
  <c r="B1050" i="1"/>
  <c r="C1050" i="1"/>
  <c r="E1050" i="1"/>
  <c r="F1050" i="1"/>
  <c r="G1050" i="1"/>
  <c r="H1050" i="1"/>
  <c r="I1050" i="1"/>
  <c r="J1050" i="1"/>
  <c r="K1050" i="1"/>
  <c r="M1050" i="1"/>
  <c r="O1050" i="1"/>
  <c r="Q1050" i="1"/>
  <c r="R1050" i="1"/>
  <c r="W1050" i="1"/>
  <c r="AA1050" i="1"/>
  <c r="AB1050" i="1"/>
  <c r="AE1050" i="1"/>
  <c r="AF1050" i="1"/>
  <c r="AM1050" i="1"/>
  <c r="AN1050" i="1"/>
  <c r="AO1050" i="1"/>
  <c r="AQ1050" i="1"/>
  <c r="AX1050" i="1"/>
  <c r="BD1050" i="1"/>
  <c r="B1051" i="1"/>
  <c r="C1051" i="1"/>
  <c r="E1051" i="1"/>
  <c r="F1051" i="1"/>
  <c r="G1051" i="1"/>
  <c r="H1051" i="1"/>
  <c r="I1051" i="1"/>
  <c r="J1051" i="1"/>
  <c r="K1051" i="1"/>
  <c r="M1051" i="1"/>
  <c r="O1051" i="1"/>
  <c r="Q1051" i="1"/>
  <c r="R1051" i="1"/>
  <c r="W1051" i="1"/>
  <c r="AA1051" i="1"/>
  <c r="AM1051" i="1"/>
  <c r="AN1051" i="1"/>
  <c r="AO1051" i="1"/>
  <c r="AQ1051" i="1"/>
  <c r="BB1051" i="1"/>
  <c r="BD1051" i="1"/>
  <c r="B1052" i="1"/>
  <c r="C1052" i="1"/>
  <c r="E1052" i="1"/>
  <c r="F1052" i="1"/>
  <c r="G1052" i="1"/>
  <c r="H1052" i="1"/>
  <c r="I1052" i="1"/>
  <c r="J1052" i="1"/>
  <c r="K1052" i="1"/>
  <c r="M1052" i="1"/>
  <c r="O1052" i="1"/>
  <c r="Q1052" i="1"/>
  <c r="R1052" i="1"/>
  <c r="W1052" i="1"/>
  <c r="AA1052" i="1"/>
  <c r="AM1052" i="1"/>
  <c r="AN1052" i="1"/>
  <c r="AO1052" i="1"/>
  <c r="AQ1052" i="1"/>
  <c r="BB1052" i="1"/>
  <c r="BD1052" i="1"/>
  <c r="B1053" i="1"/>
  <c r="C1053" i="1"/>
  <c r="E1053" i="1"/>
  <c r="F1053" i="1"/>
  <c r="G1053" i="1"/>
  <c r="H1053" i="1"/>
  <c r="I1053" i="1"/>
  <c r="J1053" i="1"/>
  <c r="K1053" i="1"/>
  <c r="M1053" i="1"/>
  <c r="O1053" i="1"/>
  <c r="Q1053" i="1"/>
  <c r="R1053" i="1"/>
  <c r="W1053" i="1"/>
  <c r="AA1053" i="1"/>
  <c r="AM1053" i="1"/>
  <c r="AN1053" i="1"/>
  <c r="AO1053" i="1"/>
  <c r="AQ1053" i="1"/>
  <c r="BB1053" i="1"/>
  <c r="BD1053" i="1"/>
  <c r="B1054" i="1"/>
  <c r="C1054" i="1"/>
  <c r="E1054" i="1"/>
  <c r="F1054" i="1"/>
  <c r="G1054" i="1"/>
  <c r="H1054" i="1"/>
  <c r="I1054" i="1"/>
  <c r="J1054" i="1"/>
  <c r="K1054" i="1"/>
  <c r="M1054" i="1"/>
  <c r="O1054" i="1"/>
  <c r="Q1054" i="1"/>
  <c r="R1054" i="1"/>
  <c r="W1054" i="1"/>
  <c r="AA1054" i="1"/>
  <c r="AM1054" i="1"/>
  <c r="AN1054" i="1"/>
  <c r="AO1054" i="1"/>
  <c r="AQ1054" i="1"/>
  <c r="BB1054" i="1"/>
  <c r="BD1054" i="1"/>
  <c r="B1055" i="1"/>
  <c r="C1055" i="1"/>
  <c r="E1055" i="1"/>
  <c r="F1055" i="1"/>
  <c r="G1055" i="1"/>
  <c r="H1055" i="1"/>
  <c r="I1055" i="1"/>
  <c r="J1055" i="1"/>
  <c r="K1055" i="1"/>
  <c r="M1055" i="1"/>
  <c r="O1055" i="1"/>
  <c r="Q1055" i="1"/>
  <c r="R1055" i="1"/>
  <c r="W1055" i="1"/>
  <c r="AA1055" i="1"/>
  <c r="AM1055" i="1"/>
  <c r="AN1055" i="1"/>
  <c r="AO1055" i="1"/>
  <c r="AQ1055" i="1"/>
  <c r="BB1055" i="1"/>
  <c r="BD1055" i="1"/>
  <c r="B1056" i="1"/>
  <c r="C1056" i="1"/>
  <c r="E1056" i="1"/>
  <c r="F1056" i="1"/>
  <c r="G1056" i="1"/>
  <c r="H1056" i="1"/>
  <c r="I1056" i="1"/>
  <c r="J1056" i="1"/>
  <c r="K1056" i="1"/>
  <c r="M1056" i="1"/>
  <c r="O1056" i="1"/>
  <c r="Q1056" i="1"/>
  <c r="R1056" i="1"/>
  <c r="W1056" i="1"/>
  <c r="AA1056" i="1"/>
  <c r="AM1056" i="1"/>
  <c r="AN1056" i="1"/>
  <c r="AO1056" i="1"/>
  <c r="AQ1056" i="1"/>
  <c r="BB1056" i="1"/>
  <c r="BD1056" i="1"/>
  <c r="B1057" i="1"/>
  <c r="C1057" i="1"/>
  <c r="E1057" i="1"/>
  <c r="F1057" i="1"/>
  <c r="G1057" i="1"/>
  <c r="H1057" i="1"/>
  <c r="I1057" i="1"/>
  <c r="J1057" i="1"/>
  <c r="K1057" i="1"/>
  <c r="M1057" i="1"/>
  <c r="O1057" i="1"/>
  <c r="Q1057" i="1"/>
  <c r="R1057" i="1"/>
  <c r="W1057" i="1"/>
  <c r="AA1057" i="1"/>
  <c r="AM1057" i="1"/>
  <c r="AN1057" i="1"/>
  <c r="AO1057" i="1"/>
  <c r="AQ1057" i="1"/>
  <c r="BB1057" i="1"/>
  <c r="BD1057" i="1"/>
  <c r="B1058" i="1"/>
  <c r="C1058" i="1"/>
  <c r="E1058" i="1"/>
  <c r="F1058" i="1"/>
  <c r="G1058" i="1"/>
  <c r="H1058" i="1"/>
  <c r="I1058" i="1"/>
  <c r="J1058" i="1"/>
  <c r="K1058" i="1"/>
  <c r="M1058" i="1"/>
  <c r="O1058" i="1"/>
  <c r="Q1058" i="1"/>
  <c r="R1058" i="1"/>
  <c r="W1058" i="1"/>
  <c r="AA1058" i="1"/>
  <c r="AM1058" i="1"/>
  <c r="AN1058" i="1"/>
  <c r="AO1058" i="1"/>
  <c r="AQ1058" i="1"/>
  <c r="BB1058" i="1"/>
  <c r="BD1058" i="1"/>
  <c r="B1059" i="1"/>
  <c r="C1059" i="1"/>
  <c r="E1059" i="1"/>
  <c r="F1059" i="1"/>
  <c r="G1059" i="1"/>
  <c r="H1059" i="1"/>
  <c r="I1059" i="1"/>
  <c r="J1059" i="1"/>
  <c r="K1059" i="1"/>
  <c r="M1059" i="1"/>
  <c r="O1059" i="1"/>
  <c r="Q1059" i="1"/>
  <c r="R1059" i="1"/>
  <c r="W1059" i="1"/>
  <c r="AA1059" i="1"/>
  <c r="AM1059" i="1"/>
  <c r="AN1059" i="1"/>
  <c r="AO1059" i="1"/>
  <c r="AQ1059" i="1"/>
  <c r="BB1059" i="1"/>
  <c r="BD1059" i="1"/>
  <c r="B1060" i="1"/>
  <c r="C1060" i="1"/>
  <c r="D1060" i="1"/>
  <c r="E1060" i="1"/>
  <c r="F1060" i="1"/>
  <c r="G1060" i="1"/>
  <c r="H1060" i="1"/>
  <c r="I1060" i="1"/>
  <c r="J1060" i="1"/>
  <c r="K1060" i="1"/>
  <c r="M1060" i="1"/>
  <c r="O1060" i="1"/>
  <c r="Q1060" i="1"/>
  <c r="R1060" i="1"/>
  <c r="W1060" i="1"/>
  <c r="AA1060" i="1"/>
  <c r="AB1060" i="1"/>
  <c r="AE1060" i="1"/>
  <c r="AF1060" i="1"/>
  <c r="AM1060" i="1"/>
  <c r="AN1060" i="1"/>
  <c r="AO1060" i="1"/>
  <c r="AQ1060" i="1"/>
  <c r="AX1060" i="1"/>
  <c r="BD1060" i="1"/>
  <c r="B1061" i="1"/>
  <c r="C1061" i="1"/>
  <c r="D1061" i="1"/>
  <c r="E1061" i="1"/>
  <c r="F1061" i="1"/>
  <c r="G1061" i="1"/>
  <c r="H1061" i="1"/>
  <c r="I1061" i="1"/>
  <c r="J1061" i="1"/>
  <c r="K1061" i="1"/>
  <c r="M1061" i="1"/>
  <c r="O1061" i="1"/>
  <c r="Q1061" i="1"/>
  <c r="R1061" i="1"/>
  <c r="W1061" i="1"/>
  <c r="AA1061" i="1"/>
  <c r="AB1061" i="1"/>
  <c r="AE1061" i="1"/>
  <c r="AF1061" i="1"/>
  <c r="AM1061" i="1"/>
  <c r="AN1061" i="1"/>
  <c r="AO1061" i="1"/>
  <c r="AQ1061" i="1"/>
  <c r="AX1061" i="1"/>
  <c r="BD1061" i="1"/>
  <c r="B1062" i="1"/>
  <c r="E1062" i="1"/>
  <c r="F1062" i="1"/>
  <c r="G1062" i="1"/>
  <c r="H1062" i="1"/>
  <c r="I1062" i="1"/>
  <c r="J1062" i="1"/>
  <c r="K1062" i="1"/>
  <c r="M1062" i="1"/>
  <c r="O1062" i="1"/>
  <c r="Q1062" i="1"/>
  <c r="R1062" i="1"/>
  <c r="W1062" i="1"/>
  <c r="AA1062" i="1"/>
  <c r="AB1062" i="1"/>
  <c r="AM1062" i="1"/>
  <c r="AN1062" i="1"/>
  <c r="AO1062" i="1"/>
  <c r="AQ1062" i="1"/>
  <c r="AX1062" i="1"/>
  <c r="BD1062" i="1"/>
  <c r="B1063" i="1"/>
  <c r="C1063" i="1"/>
  <c r="E1063" i="1"/>
  <c r="F1063" i="1"/>
  <c r="G1063" i="1"/>
  <c r="H1063" i="1"/>
  <c r="I1063" i="1"/>
  <c r="J1063" i="1"/>
  <c r="K1063" i="1"/>
  <c r="M1063" i="1"/>
  <c r="O1063" i="1"/>
  <c r="Q1063" i="1"/>
  <c r="R1063" i="1"/>
  <c r="W1063" i="1"/>
  <c r="AA1063" i="1"/>
  <c r="AB1063" i="1"/>
  <c r="AE1063" i="1"/>
  <c r="AF1063" i="1"/>
  <c r="AM1063" i="1"/>
  <c r="AN1063" i="1"/>
  <c r="AO1063" i="1"/>
  <c r="AQ1063" i="1"/>
  <c r="AX1063" i="1"/>
  <c r="BD1063" i="1"/>
  <c r="B1064" i="1"/>
  <c r="C1064" i="1"/>
  <c r="E1064" i="1"/>
  <c r="F1064" i="1"/>
  <c r="G1064" i="1"/>
  <c r="H1064" i="1"/>
  <c r="I1064" i="1"/>
  <c r="J1064" i="1"/>
  <c r="K1064" i="1"/>
  <c r="M1064" i="1"/>
  <c r="O1064" i="1"/>
  <c r="Q1064" i="1"/>
  <c r="R1064" i="1"/>
  <c r="W1064" i="1"/>
  <c r="AA1064" i="1"/>
  <c r="AB1064" i="1"/>
  <c r="AE1064" i="1"/>
  <c r="AF1064" i="1"/>
  <c r="AM1064" i="1"/>
  <c r="AN1064" i="1"/>
  <c r="AO1064" i="1"/>
  <c r="AQ1064" i="1"/>
  <c r="AX1064" i="1"/>
  <c r="BD1064" i="1"/>
  <c r="B1065" i="1"/>
  <c r="C1065" i="1"/>
  <c r="E1065" i="1"/>
  <c r="F1065" i="1"/>
  <c r="G1065" i="1"/>
  <c r="H1065" i="1"/>
  <c r="I1065" i="1"/>
  <c r="J1065" i="1"/>
  <c r="K1065" i="1"/>
  <c r="M1065" i="1"/>
  <c r="O1065" i="1"/>
  <c r="Q1065" i="1"/>
  <c r="R1065" i="1"/>
  <c r="W1065" i="1"/>
  <c r="AA1065" i="1"/>
  <c r="AB1065" i="1"/>
  <c r="AE1065" i="1"/>
  <c r="AF1065" i="1"/>
  <c r="AM1065" i="1"/>
  <c r="AN1065" i="1"/>
  <c r="AO1065" i="1"/>
  <c r="AQ1065" i="1"/>
  <c r="AX1065" i="1"/>
  <c r="BD1065" i="1"/>
  <c r="B1066" i="1"/>
  <c r="C1066" i="1"/>
  <c r="E1066" i="1"/>
  <c r="F1066" i="1"/>
  <c r="G1066" i="1"/>
  <c r="H1066" i="1"/>
  <c r="I1066" i="1"/>
  <c r="J1066" i="1"/>
  <c r="K1066" i="1"/>
  <c r="M1066" i="1"/>
  <c r="O1066" i="1"/>
  <c r="Q1066" i="1"/>
  <c r="R1066" i="1"/>
  <c r="W1066" i="1"/>
  <c r="AA1066" i="1"/>
  <c r="AB1066" i="1"/>
  <c r="AE1066" i="1"/>
  <c r="AF1066" i="1"/>
  <c r="AM1066" i="1"/>
  <c r="AN1066" i="1"/>
  <c r="AO1066" i="1"/>
  <c r="AQ1066" i="1"/>
  <c r="AX1066" i="1"/>
  <c r="BD1066" i="1"/>
  <c r="B1067" i="1"/>
  <c r="C1067" i="1"/>
  <c r="E1067" i="1"/>
  <c r="F1067" i="1"/>
  <c r="G1067" i="1"/>
  <c r="H1067" i="1"/>
  <c r="I1067" i="1"/>
  <c r="J1067" i="1"/>
  <c r="K1067" i="1"/>
  <c r="M1067" i="1"/>
  <c r="O1067" i="1"/>
  <c r="Q1067" i="1"/>
  <c r="R1067" i="1"/>
  <c r="W1067" i="1"/>
  <c r="AA1067" i="1"/>
  <c r="AB1067" i="1"/>
  <c r="AE1067" i="1"/>
  <c r="AF1067" i="1"/>
  <c r="AM1067" i="1"/>
  <c r="AN1067" i="1"/>
  <c r="AO1067" i="1"/>
  <c r="AQ1067" i="1"/>
  <c r="AX1067" i="1"/>
  <c r="BD1067" i="1"/>
  <c r="B1068" i="1"/>
  <c r="C1068" i="1"/>
  <c r="E1068" i="1"/>
  <c r="F1068" i="1"/>
  <c r="G1068" i="1"/>
  <c r="H1068" i="1"/>
  <c r="I1068" i="1"/>
  <c r="J1068" i="1"/>
  <c r="K1068" i="1"/>
  <c r="M1068" i="1"/>
  <c r="O1068" i="1"/>
  <c r="Q1068" i="1"/>
  <c r="R1068" i="1"/>
  <c r="W1068" i="1"/>
  <c r="AA1068" i="1"/>
  <c r="AB1068" i="1"/>
  <c r="AE1068" i="1"/>
  <c r="AF1068" i="1"/>
  <c r="AM1068" i="1"/>
  <c r="AN1068" i="1"/>
  <c r="AO1068" i="1"/>
  <c r="AQ1068" i="1"/>
  <c r="AX1068" i="1"/>
  <c r="BD1068" i="1"/>
  <c r="B1069" i="1"/>
  <c r="C1069" i="1"/>
  <c r="D1069" i="1"/>
  <c r="E1069" i="1"/>
  <c r="F1069" i="1"/>
  <c r="G1069" i="1"/>
  <c r="H1069" i="1"/>
  <c r="I1069" i="1"/>
  <c r="J1069" i="1"/>
  <c r="K1069" i="1"/>
  <c r="M1069" i="1"/>
  <c r="O1069" i="1"/>
  <c r="Q1069" i="1"/>
  <c r="R1069" i="1"/>
  <c r="W1069" i="1"/>
  <c r="AA1069" i="1"/>
  <c r="AB1069" i="1"/>
  <c r="AE1069" i="1"/>
  <c r="AF1069" i="1"/>
  <c r="AM1069" i="1"/>
  <c r="AN1069" i="1"/>
  <c r="AO1069" i="1"/>
  <c r="AQ1069" i="1"/>
  <c r="AX1069" i="1"/>
  <c r="BD1069" i="1"/>
  <c r="B1070" i="1"/>
  <c r="C1070" i="1"/>
  <c r="E1070" i="1"/>
  <c r="F1070" i="1"/>
  <c r="G1070" i="1"/>
  <c r="H1070" i="1"/>
  <c r="I1070" i="1"/>
  <c r="J1070" i="1"/>
  <c r="K1070" i="1"/>
  <c r="M1070" i="1"/>
  <c r="O1070" i="1"/>
  <c r="Q1070" i="1"/>
  <c r="R1070" i="1"/>
  <c r="W1070" i="1"/>
  <c r="AA1070" i="1"/>
  <c r="AB1070" i="1"/>
  <c r="AE1070" i="1"/>
  <c r="AF1070" i="1"/>
  <c r="AM1070" i="1"/>
  <c r="AN1070" i="1"/>
  <c r="AO1070" i="1"/>
  <c r="AQ1070" i="1"/>
  <c r="AX1070" i="1"/>
  <c r="BD1070" i="1"/>
  <c r="B1071" i="1"/>
  <c r="C1071" i="1"/>
  <c r="D1071" i="1"/>
  <c r="E1071" i="1"/>
  <c r="F1071" i="1"/>
  <c r="G1071" i="1"/>
  <c r="H1071" i="1"/>
  <c r="I1071" i="1"/>
  <c r="J1071" i="1"/>
  <c r="K1071" i="1"/>
  <c r="M1071" i="1"/>
  <c r="O1071" i="1"/>
  <c r="Q1071" i="1"/>
  <c r="R1071" i="1"/>
  <c r="W1071" i="1"/>
  <c r="AA1071" i="1"/>
  <c r="AB1071" i="1"/>
  <c r="AE1071" i="1"/>
  <c r="AF1071" i="1"/>
  <c r="AM1071" i="1"/>
  <c r="AN1071" i="1"/>
  <c r="AO1071" i="1"/>
  <c r="AQ1071" i="1"/>
  <c r="AX1071" i="1"/>
  <c r="BD1071" i="1"/>
  <c r="B1072" i="1"/>
  <c r="C1072" i="1"/>
  <c r="D1072" i="1"/>
  <c r="E1072" i="1"/>
  <c r="F1072" i="1"/>
  <c r="G1072" i="1"/>
  <c r="H1072" i="1"/>
  <c r="I1072" i="1"/>
  <c r="J1072" i="1"/>
  <c r="K1072" i="1"/>
  <c r="M1072" i="1"/>
  <c r="O1072" i="1"/>
  <c r="Q1072" i="1"/>
  <c r="R1072" i="1"/>
  <c r="W1072" i="1"/>
  <c r="AA1072" i="1"/>
  <c r="AB1072" i="1"/>
  <c r="AE1072" i="1"/>
  <c r="AF1072" i="1"/>
  <c r="AM1072" i="1"/>
  <c r="AN1072" i="1"/>
  <c r="AO1072" i="1"/>
  <c r="AQ1072" i="1"/>
  <c r="AX1072" i="1"/>
  <c r="BD1072" i="1"/>
  <c r="B1073" i="1"/>
  <c r="C1073" i="1"/>
  <c r="D1073" i="1"/>
  <c r="E1073" i="1"/>
  <c r="F1073" i="1"/>
  <c r="G1073" i="1"/>
  <c r="H1073" i="1"/>
  <c r="I1073" i="1"/>
  <c r="J1073" i="1"/>
  <c r="K1073" i="1"/>
  <c r="M1073" i="1"/>
  <c r="O1073" i="1"/>
  <c r="Q1073" i="1"/>
  <c r="R1073" i="1"/>
  <c r="W1073" i="1"/>
  <c r="AA1073" i="1"/>
  <c r="AB1073" i="1"/>
  <c r="AE1073" i="1"/>
  <c r="AF1073" i="1"/>
  <c r="AM1073" i="1"/>
  <c r="AN1073" i="1"/>
  <c r="AO1073" i="1"/>
  <c r="AQ1073" i="1"/>
  <c r="AX1073" i="1"/>
  <c r="BD1073" i="1"/>
  <c r="B1074" i="1"/>
  <c r="C1074" i="1"/>
  <c r="E1074" i="1"/>
  <c r="F1074" i="1"/>
  <c r="G1074" i="1"/>
  <c r="H1074" i="1"/>
  <c r="I1074" i="1"/>
  <c r="J1074" i="1"/>
  <c r="K1074" i="1"/>
  <c r="M1074" i="1"/>
  <c r="O1074" i="1"/>
  <c r="Q1074" i="1"/>
  <c r="R1074" i="1"/>
  <c r="W1074" i="1"/>
  <c r="AA1074" i="1"/>
  <c r="AB1074" i="1"/>
  <c r="AE1074" i="1"/>
  <c r="AF1074" i="1"/>
  <c r="AM1074" i="1"/>
  <c r="AN1074" i="1"/>
  <c r="AO1074" i="1"/>
  <c r="AQ1074" i="1"/>
  <c r="AX1074" i="1"/>
  <c r="BD1074" i="1"/>
  <c r="B1075" i="1"/>
  <c r="C1075" i="1"/>
  <c r="E1075" i="1"/>
  <c r="F1075" i="1"/>
  <c r="G1075" i="1"/>
  <c r="H1075" i="1"/>
  <c r="I1075" i="1"/>
  <c r="J1075" i="1"/>
  <c r="K1075" i="1"/>
  <c r="M1075" i="1"/>
  <c r="O1075" i="1"/>
  <c r="Q1075" i="1"/>
  <c r="R1075" i="1"/>
  <c r="W1075" i="1"/>
  <c r="AA1075" i="1"/>
  <c r="AB1075" i="1"/>
  <c r="AE1075" i="1"/>
  <c r="AF1075" i="1"/>
  <c r="AM1075" i="1"/>
  <c r="AN1075" i="1"/>
  <c r="AO1075" i="1"/>
  <c r="AQ1075" i="1"/>
  <c r="AX1075" i="1"/>
  <c r="BD1075" i="1"/>
  <c r="B1076" i="1"/>
  <c r="C1076" i="1"/>
  <c r="D1076" i="1"/>
  <c r="E1076" i="1"/>
  <c r="F1076" i="1"/>
  <c r="G1076" i="1"/>
  <c r="H1076" i="1"/>
  <c r="I1076" i="1"/>
  <c r="J1076" i="1"/>
  <c r="K1076" i="1"/>
  <c r="M1076" i="1"/>
  <c r="O1076" i="1"/>
  <c r="Q1076" i="1"/>
  <c r="R1076" i="1"/>
  <c r="W1076" i="1"/>
  <c r="AA1076" i="1"/>
  <c r="AB1076" i="1"/>
  <c r="AE1076" i="1"/>
  <c r="AF1076" i="1"/>
  <c r="AM1076" i="1"/>
  <c r="AN1076" i="1"/>
  <c r="AO1076" i="1"/>
  <c r="AQ1076" i="1"/>
  <c r="AX1076" i="1"/>
  <c r="BD1076" i="1"/>
  <c r="B1077" i="1"/>
  <c r="C1077" i="1"/>
  <c r="D1077" i="1"/>
  <c r="E1077" i="1"/>
  <c r="F1077" i="1"/>
  <c r="G1077" i="1"/>
  <c r="H1077" i="1"/>
  <c r="I1077" i="1"/>
  <c r="J1077" i="1"/>
  <c r="K1077" i="1"/>
  <c r="M1077" i="1"/>
  <c r="O1077" i="1"/>
  <c r="Q1077" i="1"/>
  <c r="R1077" i="1"/>
  <c r="W1077" i="1"/>
  <c r="AA1077" i="1"/>
  <c r="AB1077" i="1"/>
  <c r="AE1077" i="1"/>
  <c r="AF1077" i="1"/>
  <c r="AM1077" i="1"/>
  <c r="AN1077" i="1"/>
  <c r="AO1077" i="1"/>
  <c r="AQ1077" i="1"/>
  <c r="AX1077" i="1"/>
  <c r="BD1077" i="1"/>
  <c r="B1078" i="1"/>
  <c r="C1078" i="1"/>
  <c r="D1078" i="1"/>
  <c r="E1078" i="1"/>
  <c r="F1078" i="1"/>
  <c r="G1078" i="1"/>
  <c r="H1078" i="1"/>
  <c r="I1078" i="1"/>
  <c r="J1078" i="1"/>
  <c r="K1078" i="1"/>
  <c r="M1078" i="1"/>
  <c r="O1078" i="1"/>
  <c r="Q1078" i="1"/>
  <c r="R1078" i="1"/>
  <c r="W1078" i="1"/>
  <c r="AA1078" i="1"/>
  <c r="AB1078" i="1"/>
  <c r="AE1078" i="1"/>
  <c r="AF1078" i="1"/>
  <c r="AM1078" i="1"/>
  <c r="AN1078" i="1"/>
  <c r="AO1078" i="1"/>
  <c r="AQ1078" i="1"/>
  <c r="AX1078" i="1"/>
  <c r="BD1078" i="1"/>
  <c r="B1079" i="1"/>
  <c r="C1079" i="1"/>
  <c r="D1079" i="1"/>
  <c r="E1079" i="1"/>
  <c r="F1079" i="1"/>
  <c r="G1079" i="1"/>
  <c r="H1079" i="1"/>
  <c r="I1079" i="1"/>
  <c r="J1079" i="1"/>
  <c r="K1079" i="1"/>
  <c r="M1079" i="1"/>
  <c r="O1079" i="1"/>
  <c r="Q1079" i="1"/>
  <c r="R1079" i="1"/>
  <c r="W1079" i="1"/>
  <c r="AA1079" i="1"/>
  <c r="AB1079" i="1"/>
  <c r="AE1079" i="1"/>
  <c r="AF1079" i="1"/>
  <c r="AM1079" i="1"/>
  <c r="AN1079" i="1"/>
  <c r="AO1079" i="1"/>
  <c r="AQ1079" i="1"/>
  <c r="AX1079" i="1"/>
  <c r="BD1079" i="1"/>
  <c r="B1080" i="1"/>
  <c r="C1080" i="1"/>
  <c r="D1080" i="1"/>
  <c r="E1080" i="1"/>
  <c r="F1080" i="1"/>
  <c r="G1080" i="1"/>
  <c r="H1080" i="1"/>
  <c r="I1080" i="1"/>
  <c r="J1080" i="1"/>
  <c r="K1080" i="1"/>
  <c r="M1080" i="1"/>
  <c r="O1080" i="1"/>
  <c r="Q1080" i="1"/>
  <c r="R1080" i="1"/>
  <c r="W1080" i="1"/>
  <c r="AA1080" i="1"/>
  <c r="AB1080" i="1"/>
  <c r="AE1080" i="1"/>
  <c r="AF1080" i="1"/>
  <c r="AM1080" i="1"/>
  <c r="AN1080" i="1"/>
  <c r="AO1080" i="1"/>
  <c r="AQ1080" i="1"/>
  <c r="AX1080" i="1"/>
  <c r="BD1080" i="1"/>
  <c r="B1081" i="1"/>
  <c r="C1081" i="1"/>
  <c r="E1081" i="1"/>
  <c r="F1081" i="1"/>
  <c r="G1081" i="1"/>
  <c r="H1081" i="1"/>
  <c r="I1081" i="1"/>
  <c r="J1081" i="1"/>
  <c r="K1081" i="1"/>
  <c r="M1081" i="1"/>
  <c r="O1081" i="1"/>
  <c r="Q1081" i="1"/>
  <c r="R1081" i="1"/>
  <c r="W1081" i="1"/>
  <c r="AA1081" i="1"/>
  <c r="AM1081" i="1"/>
  <c r="AN1081" i="1"/>
  <c r="AO1081" i="1"/>
  <c r="AQ1081" i="1"/>
  <c r="BB1081" i="1"/>
  <c r="BD1081" i="1"/>
  <c r="B1082" i="1"/>
  <c r="C1082" i="1"/>
  <c r="E1082" i="1"/>
  <c r="F1082" i="1"/>
  <c r="G1082" i="1"/>
  <c r="H1082" i="1"/>
  <c r="I1082" i="1"/>
  <c r="J1082" i="1"/>
  <c r="K1082" i="1"/>
  <c r="M1082" i="1"/>
  <c r="O1082" i="1"/>
  <c r="Q1082" i="1"/>
  <c r="R1082" i="1"/>
  <c r="W1082" i="1"/>
  <c r="AA1082" i="1"/>
  <c r="AM1082" i="1"/>
  <c r="AN1082" i="1"/>
  <c r="AO1082" i="1"/>
  <c r="AQ1082" i="1"/>
  <c r="BB1082" i="1"/>
  <c r="BD1082" i="1"/>
  <c r="B1083" i="1"/>
  <c r="C1083" i="1"/>
  <c r="E1083" i="1"/>
  <c r="F1083" i="1"/>
  <c r="G1083" i="1"/>
  <c r="H1083" i="1"/>
  <c r="I1083" i="1"/>
  <c r="J1083" i="1"/>
  <c r="K1083" i="1"/>
  <c r="M1083" i="1"/>
  <c r="O1083" i="1"/>
  <c r="Q1083" i="1"/>
  <c r="R1083" i="1"/>
  <c r="W1083" i="1"/>
  <c r="AA1083" i="1"/>
  <c r="AM1083" i="1"/>
  <c r="AN1083" i="1"/>
  <c r="AO1083" i="1"/>
  <c r="AQ1083" i="1"/>
  <c r="BB1083" i="1"/>
  <c r="BD1083" i="1"/>
  <c r="B1084" i="1"/>
  <c r="C1084" i="1"/>
  <c r="E1084" i="1"/>
  <c r="F1084" i="1"/>
  <c r="G1084" i="1"/>
  <c r="H1084" i="1"/>
  <c r="I1084" i="1"/>
  <c r="J1084" i="1"/>
  <c r="K1084" i="1"/>
  <c r="M1084" i="1"/>
  <c r="O1084" i="1"/>
  <c r="Q1084" i="1"/>
  <c r="R1084" i="1"/>
  <c r="W1084" i="1"/>
  <c r="AA1084" i="1"/>
  <c r="AM1084" i="1"/>
  <c r="AN1084" i="1"/>
  <c r="AO1084" i="1"/>
  <c r="AQ1084" i="1"/>
  <c r="BB1084" i="1"/>
  <c r="BD1084" i="1"/>
  <c r="B1085" i="1"/>
  <c r="C1085" i="1"/>
  <c r="E1085" i="1"/>
  <c r="F1085" i="1"/>
  <c r="G1085" i="1"/>
  <c r="H1085" i="1"/>
  <c r="I1085" i="1"/>
  <c r="J1085" i="1"/>
  <c r="K1085" i="1"/>
  <c r="M1085" i="1"/>
  <c r="O1085" i="1"/>
  <c r="Q1085" i="1"/>
  <c r="R1085" i="1"/>
  <c r="W1085" i="1"/>
  <c r="AA1085" i="1"/>
  <c r="AM1085" i="1"/>
  <c r="AN1085" i="1"/>
  <c r="AO1085" i="1"/>
  <c r="AQ1085" i="1"/>
  <c r="BB1085" i="1"/>
  <c r="BD1085" i="1"/>
  <c r="B1086" i="1"/>
  <c r="C1086" i="1"/>
  <c r="E1086" i="1"/>
  <c r="F1086" i="1"/>
  <c r="G1086" i="1"/>
  <c r="H1086" i="1"/>
  <c r="I1086" i="1"/>
  <c r="J1086" i="1"/>
  <c r="K1086" i="1"/>
  <c r="M1086" i="1"/>
  <c r="O1086" i="1"/>
  <c r="Q1086" i="1"/>
  <c r="R1086" i="1"/>
  <c r="W1086" i="1"/>
  <c r="AA1086" i="1"/>
  <c r="AM1086" i="1"/>
  <c r="AN1086" i="1"/>
  <c r="AO1086" i="1"/>
  <c r="AQ1086" i="1"/>
  <c r="BB1086" i="1"/>
  <c r="BD1086" i="1"/>
  <c r="B1087" i="1"/>
  <c r="C1087" i="1"/>
  <c r="E1087" i="1"/>
  <c r="F1087" i="1"/>
  <c r="G1087" i="1"/>
  <c r="H1087" i="1"/>
  <c r="I1087" i="1"/>
  <c r="J1087" i="1"/>
  <c r="K1087" i="1"/>
  <c r="M1087" i="1"/>
  <c r="O1087" i="1"/>
  <c r="Q1087" i="1"/>
  <c r="R1087" i="1"/>
  <c r="W1087" i="1"/>
  <c r="AA1087" i="1"/>
  <c r="AM1087" i="1"/>
  <c r="AN1087" i="1"/>
  <c r="AO1087" i="1"/>
  <c r="AQ1087" i="1"/>
  <c r="BB1087" i="1"/>
  <c r="BD1087" i="1"/>
  <c r="B1088" i="1"/>
  <c r="C1088" i="1"/>
  <c r="E1088" i="1"/>
  <c r="F1088" i="1"/>
  <c r="G1088" i="1"/>
  <c r="H1088" i="1"/>
  <c r="I1088" i="1"/>
  <c r="J1088" i="1"/>
  <c r="K1088" i="1"/>
  <c r="M1088" i="1"/>
  <c r="O1088" i="1"/>
  <c r="Q1088" i="1"/>
  <c r="R1088" i="1"/>
  <c r="W1088" i="1"/>
  <c r="AA1088" i="1"/>
  <c r="AM1088" i="1"/>
  <c r="AN1088" i="1"/>
  <c r="AO1088" i="1"/>
  <c r="AQ1088" i="1"/>
  <c r="BB1088" i="1"/>
  <c r="BD1088" i="1"/>
  <c r="B1089" i="1"/>
  <c r="C1089" i="1"/>
  <c r="E1089" i="1"/>
  <c r="F1089" i="1"/>
  <c r="G1089" i="1"/>
  <c r="H1089" i="1"/>
  <c r="I1089" i="1"/>
  <c r="J1089" i="1"/>
  <c r="K1089" i="1"/>
  <c r="M1089" i="1"/>
  <c r="O1089" i="1"/>
  <c r="Q1089" i="1"/>
  <c r="R1089" i="1"/>
  <c r="W1089" i="1"/>
  <c r="AA1089" i="1"/>
  <c r="AM1089" i="1"/>
  <c r="AN1089" i="1"/>
  <c r="AO1089" i="1"/>
  <c r="AQ1089" i="1"/>
  <c r="BB1089" i="1"/>
  <c r="BD1089" i="1"/>
  <c r="B1090" i="1"/>
  <c r="C1090" i="1"/>
  <c r="E1090" i="1"/>
  <c r="F1090" i="1"/>
  <c r="G1090" i="1"/>
  <c r="H1090" i="1"/>
  <c r="I1090" i="1"/>
  <c r="J1090" i="1"/>
  <c r="K1090" i="1"/>
  <c r="M1090" i="1"/>
  <c r="O1090" i="1"/>
  <c r="Q1090" i="1"/>
  <c r="R1090" i="1"/>
  <c r="W1090" i="1"/>
  <c r="AA1090" i="1"/>
  <c r="AM1090" i="1"/>
  <c r="AN1090" i="1"/>
  <c r="AO1090" i="1"/>
  <c r="AQ1090" i="1"/>
  <c r="BB1090" i="1"/>
  <c r="BD1090" i="1"/>
  <c r="B1091" i="1"/>
  <c r="E1091" i="1"/>
  <c r="F1091" i="1"/>
  <c r="G1091" i="1"/>
  <c r="H1091" i="1"/>
  <c r="I1091" i="1"/>
  <c r="J1091" i="1"/>
  <c r="K1091" i="1"/>
  <c r="M1091" i="1"/>
  <c r="O1091" i="1"/>
  <c r="Q1091" i="1"/>
  <c r="R1091" i="1"/>
  <c r="W1091" i="1"/>
  <c r="AA1091" i="1"/>
  <c r="AB1091" i="1"/>
  <c r="AM1091" i="1"/>
  <c r="AN1091" i="1"/>
  <c r="AO1091" i="1"/>
  <c r="AQ1091" i="1"/>
  <c r="AX1091" i="1"/>
  <c r="BD1091" i="1"/>
  <c r="B1092" i="1"/>
  <c r="E1092" i="1"/>
  <c r="F1092" i="1"/>
  <c r="G1092" i="1"/>
  <c r="H1092" i="1"/>
  <c r="I1092" i="1"/>
  <c r="J1092" i="1"/>
  <c r="K1092" i="1"/>
  <c r="M1092" i="1"/>
  <c r="O1092" i="1"/>
  <c r="Q1092" i="1"/>
  <c r="R1092" i="1"/>
  <c r="W1092" i="1"/>
  <c r="AA1092" i="1"/>
  <c r="AB1092" i="1"/>
  <c r="AM1092" i="1"/>
  <c r="AN1092" i="1"/>
  <c r="AO1092" i="1"/>
  <c r="AQ1092" i="1"/>
  <c r="AX1092" i="1"/>
  <c r="BD1092" i="1"/>
  <c r="B1093" i="1"/>
  <c r="E1093" i="1"/>
  <c r="F1093" i="1"/>
  <c r="G1093" i="1"/>
  <c r="H1093" i="1"/>
  <c r="I1093" i="1"/>
  <c r="J1093" i="1"/>
  <c r="K1093" i="1"/>
  <c r="M1093" i="1"/>
  <c r="O1093" i="1"/>
  <c r="Q1093" i="1"/>
  <c r="R1093" i="1"/>
  <c r="W1093" i="1"/>
  <c r="AA1093" i="1"/>
  <c r="AM1093" i="1"/>
  <c r="AN1093" i="1"/>
  <c r="AO1093" i="1"/>
  <c r="AQ1093" i="1"/>
  <c r="BB1093" i="1"/>
  <c r="BD1093" i="1"/>
  <c r="B1094" i="1"/>
  <c r="E1094" i="1"/>
  <c r="F1094" i="1"/>
  <c r="G1094" i="1"/>
  <c r="H1094" i="1"/>
  <c r="I1094" i="1"/>
  <c r="J1094" i="1"/>
  <c r="K1094" i="1"/>
  <c r="M1094" i="1"/>
  <c r="O1094" i="1"/>
  <c r="Q1094" i="1"/>
  <c r="R1094" i="1"/>
  <c r="W1094" i="1"/>
  <c r="AA1094" i="1"/>
  <c r="AM1094" i="1"/>
  <c r="AN1094" i="1"/>
  <c r="AO1094" i="1"/>
  <c r="AQ1094" i="1"/>
  <c r="BB1094" i="1"/>
  <c r="BD1094" i="1"/>
  <c r="B1095" i="1"/>
  <c r="E1095" i="1"/>
  <c r="F1095" i="1"/>
  <c r="G1095" i="1"/>
  <c r="H1095" i="1"/>
  <c r="I1095" i="1"/>
  <c r="J1095" i="1"/>
  <c r="K1095" i="1"/>
  <c r="M1095" i="1"/>
  <c r="O1095" i="1"/>
  <c r="Q1095" i="1"/>
  <c r="R1095" i="1"/>
  <c r="W1095" i="1"/>
  <c r="AA1095" i="1"/>
  <c r="AB1095" i="1"/>
  <c r="AM1095" i="1"/>
  <c r="AN1095" i="1"/>
  <c r="AO1095" i="1"/>
  <c r="AQ1095" i="1"/>
  <c r="AX1095" i="1"/>
  <c r="BD1095" i="1"/>
  <c r="B1096" i="1"/>
  <c r="E1096" i="1"/>
  <c r="F1096" i="1"/>
  <c r="G1096" i="1"/>
  <c r="H1096" i="1"/>
  <c r="I1096" i="1"/>
  <c r="J1096" i="1"/>
  <c r="K1096" i="1"/>
  <c r="M1096" i="1"/>
  <c r="O1096" i="1"/>
  <c r="Q1096" i="1"/>
  <c r="R1096" i="1"/>
  <c r="W1096" i="1"/>
  <c r="AA1096" i="1"/>
  <c r="AB1096" i="1"/>
  <c r="AE1096" i="1"/>
  <c r="AF1096" i="1"/>
  <c r="AM1096" i="1"/>
  <c r="AN1096" i="1"/>
  <c r="AO1096" i="1"/>
  <c r="AQ1096" i="1"/>
  <c r="AX1096" i="1"/>
  <c r="BD1096" i="1"/>
  <c r="B1097" i="1"/>
  <c r="C1097" i="1"/>
  <c r="E1097" i="1"/>
  <c r="F1097" i="1"/>
  <c r="G1097" i="1"/>
  <c r="H1097" i="1"/>
  <c r="I1097" i="1"/>
  <c r="J1097" i="1"/>
  <c r="K1097" i="1"/>
  <c r="M1097" i="1"/>
  <c r="O1097" i="1"/>
  <c r="Q1097" i="1"/>
  <c r="R1097" i="1"/>
  <c r="W1097" i="1"/>
  <c r="AA1097" i="1"/>
  <c r="AB1097" i="1"/>
  <c r="AM1097" i="1"/>
  <c r="AN1097" i="1"/>
  <c r="AO1097" i="1"/>
  <c r="AQ1097" i="1"/>
  <c r="AX1097" i="1"/>
  <c r="BD1097" i="1"/>
  <c r="B1098" i="1"/>
  <c r="E1098" i="1"/>
  <c r="F1098" i="1"/>
  <c r="G1098" i="1"/>
  <c r="H1098" i="1"/>
  <c r="I1098" i="1"/>
  <c r="J1098" i="1"/>
  <c r="K1098" i="1"/>
  <c r="M1098" i="1"/>
  <c r="O1098" i="1"/>
  <c r="Q1098" i="1"/>
  <c r="R1098" i="1"/>
  <c r="W1098" i="1"/>
  <c r="AA1098" i="1"/>
  <c r="AB1098" i="1"/>
  <c r="AE1098" i="1"/>
  <c r="AF1098" i="1"/>
  <c r="AM1098" i="1"/>
  <c r="AN1098" i="1"/>
  <c r="AO1098" i="1"/>
  <c r="AQ1098" i="1"/>
  <c r="AX1098" i="1"/>
  <c r="BD1098" i="1"/>
  <c r="B1099" i="1"/>
  <c r="E1099" i="1"/>
  <c r="F1099" i="1"/>
  <c r="G1099" i="1"/>
  <c r="H1099" i="1"/>
  <c r="I1099" i="1"/>
  <c r="J1099" i="1"/>
  <c r="K1099" i="1"/>
  <c r="M1099" i="1"/>
  <c r="O1099" i="1"/>
  <c r="Q1099" i="1"/>
  <c r="R1099" i="1"/>
  <c r="W1099" i="1"/>
  <c r="AA1099" i="1"/>
  <c r="AM1099" i="1"/>
  <c r="AN1099" i="1"/>
  <c r="AO1099" i="1"/>
  <c r="AQ1099" i="1"/>
  <c r="BB1099" i="1"/>
  <c r="BD1099" i="1"/>
  <c r="B1100" i="1"/>
  <c r="E1100" i="1"/>
  <c r="F1100" i="1"/>
  <c r="G1100" i="1"/>
  <c r="H1100" i="1"/>
  <c r="I1100" i="1"/>
  <c r="J1100" i="1"/>
  <c r="K1100" i="1"/>
  <c r="M1100" i="1"/>
  <c r="O1100" i="1"/>
  <c r="Q1100" i="1"/>
  <c r="R1100" i="1"/>
  <c r="W1100" i="1"/>
  <c r="AA1100" i="1"/>
  <c r="AM1100" i="1"/>
  <c r="AN1100" i="1"/>
  <c r="AO1100" i="1"/>
  <c r="AQ1100" i="1"/>
  <c r="BB1100" i="1"/>
  <c r="BD1100" i="1"/>
  <c r="B1101" i="1"/>
  <c r="E1101" i="1"/>
  <c r="F1101" i="1"/>
  <c r="G1101" i="1"/>
  <c r="H1101" i="1"/>
  <c r="I1101" i="1"/>
  <c r="J1101" i="1"/>
  <c r="K1101" i="1"/>
  <c r="M1101" i="1"/>
  <c r="O1101" i="1"/>
  <c r="Q1101" i="1"/>
  <c r="R1101" i="1"/>
  <c r="W1101" i="1"/>
  <c r="AA1101" i="1"/>
  <c r="AB1101" i="1"/>
  <c r="AE1101" i="1"/>
  <c r="AF1101" i="1"/>
  <c r="AM1101" i="1"/>
  <c r="AN1101" i="1"/>
  <c r="AO1101" i="1"/>
  <c r="AQ1101" i="1"/>
  <c r="AX1101" i="1"/>
  <c r="BD1101" i="1"/>
  <c r="B1102" i="1"/>
  <c r="E1102" i="1"/>
  <c r="F1102" i="1"/>
  <c r="G1102" i="1"/>
  <c r="H1102" i="1"/>
  <c r="I1102" i="1"/>
  <c r="J1102" i="1"/>
  <c r="K1102" i="1"/>
  <c r="M1102" i="1"/>
  <c r="O1102" i="1"/>
  <c r="Q1102" i="1"/>
  <c r="R1102" i="1"/>
  <c r="W1102" i="1"/>
  <c r="AA1102" i="1"/>
  <c r="AB1102" i="1"/>
  <c r="AE1102" i="1"/>
  <c r="AF1102" i="1"/>
  <c r="AM1102" i="1"/>
  <c r="AN1102" i="1"/>
  <c r="AO1102" i="1"/>
  <c r="AQ1102" i="1"/>
  <c r="AX1102" i="1"/>
  <c r="BD1102" i="1"/>
  <c r="B1103" i="1"/>
  <c r="E1103" i="1"/>
  <c r="F1103" i="1"/>
  <c r="G1103" i="1"/>
  <c r="H1103" i="1"/>
  <c r="I1103" i="1"/>
  <c r="J1103" i="1"/>
  <c r="K1103" i="1"/>
  <c r="M1103" i="1"/>
  <c r="O1103" i="1"/>
  <c r="Q1103" i="1"/>
  <c r="R1103" i="1"/>
  <c r="W1103" i="1"/>
  <c r="AA1103" i="1"/>
  <c r="AB1103" i="1"/>
  <c r="AE1103" i="1"/>
  <c r="AF1103" i="1"/>
  <c r="AM1103" i="1"/>
  <c r="AN1103" i="1"/>
  <c r="AO1103" i="1"/>
  <c r="AQ1103" i="1"/>
  <c r="AX1103" i="1"/>
  <c r="BD1103" i="1"/>
  <c r="B1104" i="1"/>
  <c r="E1104" i="1"/>
  <c r="F1104" i="1"/>
  <c r="G1104" i="1"/>
  <c r="H1104" i="1"/>
  <c r="I1104" i="1"/>
  <c r="J1104" i="1"/>
  <c r="K1104" i="1"/>
  <c r="M1104" i="1"/>
  <c r="O1104" i="1"/>
  <c r="Q1104" i="1"/>
  <c r="R1104" i="1"/>
  <c r="W1104" i="1"/>
  <c r="AA1104" i="1"/>
  <c r="AM1104" i="1"/>
  <c r="AN1104" i="1"/>
  <c r="AO1104" i="1"/>
  <c r="AQ1104" i="1"/>
  <c r="BB1104" i="1"/>
  <c r="BD1104" i="1"/>
  <c r="B1105" i="1"/>
  <c r="E1105" i="1"/>
  <c r="F1105" i="1"/>
  <c r="G1105" i="1"/>
  <c r="H1105" i="1"/>
  <c r="I1105" i="1"/>
  <c r="J1105" i="1"/>
  <c r="K1105" i="1"/>
  <c r="M1105" i="1"/>
  <c r="O1105" i="1"/>
  <c r="Q1105" i="1"/>
  <c r="R1105" i="1"/>
  <c r="W1105" i="1"/>
  <c r="AA1105" i="1"/>
  <c r="AM1105" i="1"/>
  <c r="AN1105" i="1"/>
  <c r="AO1105" i="1"/>
  <c r="AQ1105" i="1"/>
  <c r="BB1105" i="1"/>
  <c r="BD1105" i="1"/>
  <c r="B1106" i="1"/>
  <c r="C1106" i="1"/>
  <c r="E1106" i="1"/>
  <c r="F1106" i="1"/>
  <c r="G1106" i="1"/>
  <c r="H1106" i="1"/>
  <c r="I1106" i="1"/>
  <c r="J1106" i="1"/>
  <c r="K1106" i="1"/>
  <c r="M1106" i="1"/>
  <c r="O1106" i="1"/>
  <c r="Q1106" i="1"/>
  <c r="R1106" i="1"/>
  <c r="W1106" i="1"/>
  <c r="AA1106" i="1"/>
  <c r="AM1106" i="1"/>
  <c r="AN1106" i="1"/>
  <c r="AO1106" i="1"/>
  <c r="AQ1106" i="1"/>
  <c r="BB1106" i="1"/>
  <c r="BD1106" i="1"/>
  <c r="B1107" i="1"/>
  <c r="C1107" i="1"/>
  <c r="E1107" i="1"/>
  <c r="F1107" i="1"/>
  <c r="G1107" i="1"/>
  <c r="H1107" i="1"/>
  <c r="I1107" i="1"/>
  <c r="J1107" i="1"/>
  <c r="K1107" i="1"/>
  <c r="M1107" i="1"/>
  <c r="O1107" i="1"/>
  <c r="Q1107" i="1"/>
  <c r="R1107" i="1"/>
  <c r="W1107" i="1"/>
  <c r="AA1107" i="1"/>
  <c r="AM1107" i="1"/>
  <c r="AN1107" i="1"/>
  <c r="AO1107" i="1"/>
  <c r="AQ1107" i="1"/>
  <c r="BB1107" i="1"/>
  <c r="BD1107" i="1"/>
  <c r="B1108" i="1"/>
  <c r="C1108" i="1"/>
  <c r="E1108" i="1"/>
  <c r="F1108" i="1"/>
  <c r="G1108" i="1"/>
  <c r="H1108" i="1"/>
  <c r="I1108" i="1"/>
  <c r="J1108" i="1"/>
  <c r="K1108" i="1"/>
  <c r="M1108" i="1"/>
  <c r="O1108" i="1"/>
  <c r="Q1108" i="1"/>
  <c r="R1108" i="1"/>
  <c r="W1108" i="1"/>
  <c r="AA1108" i="1"/>
  <c r="AM1108" i="1"/>
  <c r="AN1108" i="1"/>
  <c r="AO1108" i="1"/>
  <c r="AQ1108" i="1"/>
  <c r="BB1108" i="1"/>
  <c r="BD1108" i="1"/>
  <c r="B1109" i="1"/>
  <c r="C1109" i="1"/>
  <c r="E1109" i="1"/>
  <c r="F1109" i="1"/>
  <c r="G1109" i="1"/>
  <c r="H1109" i="1"/>
  <c r="I1109" i="1"/>
  <c r="J1109" i="1"/>
  <c r="K1109" i="1"/>
  <c r="M1109" i="1"/>
  <c r="O1109" i="1"/>
  <c r="Q1109" i="1"/>
  <c r="R1109" i="1"/>
  <c r="W1109" i="1"/>
  <c r="AA1109" i="1"/>
  <c r="AM1109" i="1"/>
  <c r="AN1109" i="1"/>
  <c r="AO1109" i="1"/>
  <c r="AQ1109" i="1"/>
  <c r="BB1109" i="1"/>
  <c r="BD1109" i="1"/>
  <c r="B1110" i="1"/>
  <c r="C1110" i="1"/>
  <c r="E1110" i="1"/>
  <c r="F1110" i="1"/>
  <c r="G1110" i="1"/>
  <c r="H1110" i="1"/>
  <c r="I1110" i="1"/>
  <c r="J1110" i="1"/>
  <c r="K1110" i="1"/>
  <c r="M1110" i="1"/>
  <c r="O1110" i="1"/>
  <c r="Q1110" i="1"/>
  <c r="R1110" i="1"/>
  <c r="W1110" i="1"/>
  <c r="AA1110" i="1"/>
  <c r="AM1110" i="1"/>
  <c r="AN1110" i="1"/>
  <c r="AO1110" i="1"/>
  <c r="AQ1110" i="1"/>
  <c r="BB1110" i="1"/>
  <c r="BD1110" i="1"/>
  <c r="B1111" i="1"/>
  <c r="C1111" i="1"/>
  <c r="E1111" i="1"/>
  <c r="F1111" i="1"/>
  <c r="G1111" i="1"/>
  <c r="H1111" i="1"/>
  <c r="I1111" i="1"/>
  <c r="J1111" i="1"/>
  <c r="K1111" i="1"/>
  <c r="M1111" i="1"/>
  <c r="O1111" i="1"/>
  <c r="Q1111" i="1"/>
  <c r="R1111" i="1"/>
  <c r="W1111" i="1"/>
  <c r="AA1111" i="1"/>
  <c r="AM1111" i="1"/>
  <c r="AN1111" i="1"/>
  <c r="AO1111" i="1"/>
  <c r="AQ1111" i="1"/>
  <c r="BB1111" i="1"/>
  <c r="BD1111" i="1"/>
  <c r="B1112" i="1"/>
  <c r="C1112" i="1"/>
  <c r="E1112" i="1"/>
  <c r="F1112" i="1"/>
  <c r="G1112" i="1"/>
  <c r="H1112" i="1"/>
  <c r="I1112" i="1"/>
  <c r="J1112" i="1"/>
  <c r="K1112" i="1"/>
  <c r="M1112" i="1"/>
  <c r="O1112" i="1"/>
  <c r="Q1112" i="1"/>
  <c r="R1112" i="1"/>
  <c r="W1112" i="1"/>
  <c r="AA1112" i="1"/>
  <c r="AM1112" i="1"/>
  <c r="AN1112" i="1"/>
  <c r="AO1112" i="1"/>
  <c r="AQ1112" i="1"/>
  <c r="BB1112" i="1"/>
  <c r="BD1112" i="1"/>
  <c r="B1113" i="1"/>
  <c r="C1113" i="1"/>
  <c r="E1113" i="1"/>
  <c r="F1113" i="1"/>
  <c r="G1113" i="1"/>
  <c r="H1113" i="1"/>
  <c r="I1113" i="1"/>
  <c r="J1113" i="1"/>
  <c r="K1113" i="1"/>
  <c r="M1113" i="1"/>
  <c r="O1113" i="1"/>
  <c r="Q1113" i="1"/>
  <c r="R1113" i="1"/>
  <c r="W1113" i="1"/>
  <c r="AA1113" i="1"/>
  <c r="AM1113" i="1"/>
  <c r="AN1113" i="1"/>
  <c r="AO1113" i="1"/>
  <c r="AQ1113" i="1"/>
  <c r="BB1113" i="1"/>
  <c r="BD1113" i="1"/>
  <c r="B1114" i="1"/>
  <c r="C1114" i="1"/>
  <c r="E1114" i="1"/>
  <c r="F1114" i="1"/>
  <c r="G1114" i="1"/>
  <c r="H1114" i="1"/>
  <c r="I1114" i="1"/>
  <c r="J1114" i="1"/>
  <c r="K1114" i="1"/>
  <c r="M1114" i="1"/>
  <c r="O1114" i="1"/>
  <c r="Q1114" i="1"/>
  <c r="R1114" i="1"/>
  <c r="W1114" i="1"/>
  <c r="AA1114" i="1"/>
  <c r="AM1114" i="1"/>
  <c r="AN1114" i="1"/>
  <c r="AO1114" i="1"/>
  <c r="AQ1114" i="1"/>
  <c r="BB1114" i="1"/>
  <c r="BD1114" i="1"/>
  <c r="B1115" i="1"/>
  <c r="C1115" i="1"/>
  <c r="E1115" i="1"/>
  <c r="F1115" i="1"/>
  <c r="G1115" i="1"/>
  <c r="H1115" i="1"/>
  <c r="I1115" i="1"/>
  <c r="J1115" i="1"/>
  <c r="K1115" i="1"/>
  <c r="M1115" i="1"/>
  <c r="O1115" i="1"/>
  <c r="Q1115" i="1"/>
  <c r="R1115" i="1"/>
  <c r="W1115" i="1"/>
  <c r="AA1115" i="1"/>
  <c r="AM1115" i="1"/>
  <c r="AN1115" i="1"/>
  <c r="AO1115" i="1"/>
  <c r="AQ1115" i="1"/>
  <c r="BB1115" i="1"/>
  <c r="BD1115" i="1"/>
  <c r="B1116" i="1"/>
  <c r="C1116" i="1"/>
  <c r="E1116" i="1"/>
  <c r="F1116" i="1"/>
  <c r="G1116" i="1"/>
  <c r="H1116" i="1"/>
  <c r="I1116" i="1"/>
  <c r="J1116" i="1"/>
  <c r="K1116" i="1"/>
  <c r="M1116" i="1"/>
  <c r="O1116" i="1"/>
  <c r="Q1116" i="1"/>
  <c r="R1116" i="1"/>
  <c r="W1116" i="1"/>
  <c r="AA1116" i="1"/>
  <c r="AM1116" i="1"/>
  <c r="AN1116" i="1"/>
  <c r="AO1116" i="1"/>
  <c r="AQ1116" i="1"/>
  <c r="BB1116" i="1"/>
  <c r="BD1116" i="1"/>
  <c r="B1117" i="1"/>
  <c r="C1117" i="1"/>
  <c r="E1117" i="1"/>
  <c r="F1117" i="1"/>
  <c r="G1117" i="1"/>
  <c r="H1117" i="1"/>
  <c r="I1117" i="1"/>
  <c r="J1117" i="1"/>
  <c r="K1117" i="1"/>
  <c r="M1117" i="1"/>
  <c r="O1117" i="1"/>
  <c r="Q1117" i="1"/>
  <c r="R1117" i="1"/>
  <c r="W1117" i="1"/>
  <c r="AA1117" i="1"/>
  <c r="AM1117" i="1"/>
  <c r="AN1117" i="1"/>
  <c r="AO1117" i="1"/>
  <c r="AQ1117" i="1"/>
  <c r="BB1117" i="1"/>
  <c r="BD1117" i="1"/>
  <c r="B1118" i="1"/>
  <c r="C1118" i="1"/>
  <c r="E1118" i="1"/>
  <c r="F1118" i="1"/>
  <c r="G1118" i="1"/>
  <c r="H1118" i="1"/>
  <c r="I1118" i="1"/>
  <c r="J1118" i="1"/>
  <c r="K1118" i="1"/>
  <c r="M1118" i="1"/>
  <c r="O1118" i="1"/>
  <c r="Q1118" i="1"/>
  <c r="R1118" i="1"/>
  <c r="W1118" i="1"/>
  <c r="AA1118" i="1"/>
  <c r="AM1118" i="1"/>
  <c r="AN1118" i="1"/>
  <c r="AO1118" i="1"/>
  <c r="AQ1118" i="1"/>
  <c r="BB1118" i="1"/>
  <c r="BD1118" i="1"/>
  <c r="B1119" i="1"/>
  <c r="C1119" i="1"/>
  <c r="E1119" i="1"/>
  <c r="F1119" i="1"/>
  <c r="G1119" i="1"/>
  <c r="H1119" i="1"/>
  <c r="I1119" i="1"/>
  <c r="J1119" i="1"/>
  <c r="K1119" i="1"/>
  <c r="M1119" i="1"/>
  <c r="O1119" i="1"/>
  <c r="Q1119" i="1"/>
  <c r="R1119" i="1"/>
  <c r="W1119" i="1"/>
  <c r="AA1119" i="1"/>
  <c r="AM1119" i="1"/>
  <c r="AN1119" i="1"/>
  <c r="AO1119" i="1"/>
  <c r="AQ1119" i="1"/>
  <c r="BB1119" i="1"/>
  <c r="BD1119" i="1"/>
  <c r="B1120" i="1"/>
  <c r="C1120" i="1"/>
  <c r="E1120" i="1"/>
  <c r="F1120" i="1"/>
  <c r="G1120" i="1"/>
  <c r="H1120" i="1"/>
  <c r="I1120" i="1"/>
  <c r="J1120" i="1"/>
  <c r="K1120" i="1"/>
  <c r="M1120" i="1"/>
  <c r="O1120" i="1"/>
  <c r="Q1120" i="1"/>
  <c r="R1120" i="1"/>
  <c r="W1120" i="1"/>
  <c r="AA1120" i="1"/>
  <c r="AM1120" i="1"/>
  <c r="AN1120" i="1"/>
  <c r="AO1120" i="1"/>
  <c r="AQ1120" i="1"/>
  <c r="BB1120" i="1"/>
  <c r="BD1120" i="1"/>
  <c r="B1121" i="1"/>
  <c r="C1121" i="1"/>
  <c r="E1121" i="1"/>
  <c r="F1121" i="1"/>
  <c r="G1121" i="1"/>
  <c r="H1121" i="1"/>
  <c r="I1121" i="1"/>
  <c r="J1121" i="1"/>
  <c r="K1121" i="1"/>
  <c r="M1121" i="1"/>
  <c r="O1121" i="1"/>
  <c r="Q1121" i="1"/>
  <c r="R1121" i="1"/>
  <c r="W1121" i="1"/>
  <c r="AA1121" i="1"/>
  <c r="AM1121" i="1"/>
  <c r="AN1121" i="1"/>
  <c r="AO1121" i="1"/>
  <c r="AQ1121" i="1"/>
  <c r="BB1121" i="1"/>
  <c r="BD1121" i="1"/>
  <c r="B1122" i="1"/>
  <c r="E1122" i="1"/>
  <c r="F1122" i="1"/>
  <c r="G1122" i="1"/>
  <c r="H1122" i="1"/>
  <c r="I1122" i="1"/>
  <c r="J1122" i="1"/>
  <c r="K1122" i="1"/>
  <c r="M1122" i="1"/>
  <c r="O1122" i="1"/>
  <c r="Q1122" i="1"/>
  <c r="R1122" i="1"/>
  <c r="W1122" i="1"/>
  <c r="AA1122" i="1"/>
  <c r="AB1122" i="1"/>
  <c r="AM1122" i="1"/>
  <c r="AN1122" i="1"/>
  <c r="AO1122" i="1"/>
  <c r="AQ1122" i="1"/>
  <c r="AX1122" i="1"/>
  <c r="BD1122" i="1"/>
  <c r="B1123" i="1"/>
  <c r="E1123" i="1"/>
  <c r="F1123" i="1"/>
  <c r="G1123" i="1"/>
  <c r="H1123" i="1"/>
  <c r="I1123" i="1"/>
  <c r="J1123" i="1"/>
  <c r="K1123" i="1"/>
  <c r="M1123" i="1"/>
  <c r="O1123" i="1"/>
  <c r="Q1123" i="1"/>
  <c r="R1123" i="1"/>
  <c r="W1123" i="1"/>
  <c r="AA1123" i="1"/>
  <c r="AB1123" i="1"/>
  <c r="AM1123" i="1"/>
  <c r="AN1123" i="1"/>
  <c r="AO1123" i="1"/>
  <c r="AQ1123" i="1"/>
  <c r="AX1123" i="1"/>
  <c r="BD1123" i="1"/>
  <c r="B1124" i="1"/>
  <c r="E1124" i="1"/>
  <c r="F1124" i="1"/>
  <c r="G1124" i="1"/>
  <c r="H1124" i="1"/>
  <c r="I1124" i="1"/>
  <c r="J1124" i="1"/>
  <c r="K1124" i="1"/>
  <c r="M1124" i="1"/>
  <c r="O1124" i="1"/>
  <c r="Q1124" i="1"/>
  <c r="R1124" i="1"/>
  <c r="W1124" i="1"/>
  <c r="AA1124" i="1"/>
  <c r="AM1124" i="1"/>
  <c r="AN1124" i="1"/>
  <c r="AO1124" i="1"/>
  <c r="AQ1124" i="1"/>
  <c r="BB1124" i="1"/>
  <c r="BD1124" i="1"/>
  <c r="B1125" i="1"/>
  <c r="E1125" i="1"/>
  <c r="F1125" i="1"/>
  <c r="G1125" i="1"/>
  <c r="H1125" i="1"/>
  <c r="I1125" i="1"/>
  <c r="J1125" i="1"/>
  <c r="K1125" i="1"/>
  <c r="M1125" i="1"/>
  <c r="O1125" i="1"/>
  <c r="Q1125" i="1"/>
  <c r="R1125" i="1"/>
  <c r="W1125" i="1"/>
  <c r="AA1125" i="1"/>
  <c r="AM1125" i="1"/>
  <c r="AN1125" i="1"/>
  <c r="AO1125" i="1"/>
  <c r="AQ1125" i="1"/>
  <c r="BB1125" i="1"/>
  <c r="BD1125" i="1"/>
  <c r="B1126" i="1"/>
  <c r="E1126" i="1"/>
  <c r="F1126" i="1"/>
  <c r="G1126" i="1"/>
  <c r="H1126" i="1"/>
  <c r="I1126" i="1"/>
  <c r="J1126" i="1"/>
  <c r="K1126" i="1"/>
  <c r="M1126" i="1"/>
  <c r="O1126" i="1"/>
  <c r="Q1126" i="1"/>
  <c r="R1126" i="1"/>
  <c r="W1126" i="1"/>
  <c r="AA1126" i="1"/>
  <c r="AM1126" i="1"/>
  <c r="AN1126" i="1"/>
  <c r="AO1126" i="1"/>
  <c r="AQ1126" i="1"/>
  <c r="BB1126" i="1"/>
  <c r="BD1126" i="1"/>
  <c r="B1127" i="1"/>
  <c r="E1127" i="1"/>
  <c r="F1127" i="1"/>
  <c r="G1127" i="1"/>
  <c r="H1127" i="1"/>
  <c r="I1127" i="1"/>
  <c r="J1127" i="1"/>
  <c r="K1127" i="1"/>
  <c r="M1127" i="1"/>
  <c r="O1127" i="1"/>
  <c r="Q1127" i="1"/>
  <c r="R1127" i="1"/>
  <c r="W1127" i="1"/>
  <c r="AA1127" i="1"/>
  <c r="AM1127" i="1"/>
  <c r="AN1127" i="1"/>
  <c r="AO1127" i="1"/>
  <c r="AQ1127" i="1"/>
  <c r="BB1127" i="1"/>
  <c r="BD1127" i="1"/>
  <c r="B1128" i="1"/>
  <c r="E1128" i="1"/>
  <c r="F1128" i="1"/>
  <c r="G1128" i="1"/>
  <c r="H1128" i="1"/>
  <c r="I1128" i="1"/>
  <c r="J1128" i="1"/>
  <c r="K1128" i="1"/>
  <c r="M1128" i="1"/>
  <c r="O1128" i="1"/>
  <c r="Q1128" i="1"/>
  <c r="R1128" i="1"/>
  <c r="W1128" i="1"/>
  <c r="AA1128" i="1"/>
  <c r="AM1128" i="1"/>
  <c r="AN1128" i="1"/>
  <c r="AO1128" i="1"/>
  <c r="AQ1128" i="1"/>
  <c r="BB1128" i="1"/>
  <c r="BD1128" i="1"/>
  <c r="B1129" i="1"/>
  <c r="E1129" i="1"/>
  <c r="F1129" i="1"/>
  <c r="G1129" i="1"/>
  <c r="H1129" i="1"/>
  <c r="I1129" i="1"/>
  <c r="J1129" i="1"/>
  <c r="K1129" i="1"/>
  <c r="M1129" i="1"/>
  <c r="O1129" i="1"/>
  <c r="Q1129" i="1"/>
  <c r="R1129" i="1"/>
  <c r="W1129" i="1"/>
  <c r="AA1129" i="1"/>
  <c r="AM1129" i="1"/>
  <c r="AN1129" i="1"/>
  <c r="AO1129" i="1"/>
  <c r="AQ1129" i="1"/>
  <c r="BB1129" i="1"/>
  <c r="BD1129" i="1"/>
  <c r="B1130" i="1"/>
  <c r="C1130" i="1"/>
  <c r="D1130" i="1"/>
  <c r="E1130" i="1"/>
  <c r="F1130" i="1"/>
  <c r="G1130" i="1"/>
  <c r="H1130" i="1"/>
  <c r="I1130" i="1"/>
  <c r="J1130" i="1"/>
  <c r="K1130" i="1"/>
  <c r="M1130" i="1"/>
  <c r="O1130" i="1"/>
  <c r="Q1130" i="1"/>
  <c r="R1130" i="1"/>
  <c r="W1130" i="1"/>
  <c r="AA1130" i="1"/>
  <c r="AB1130" i="1"/>
  <c r="AE1130" i="1"/>
  <c r="AF1130" i="1"/>
  <c r="AM1130" i="1"/>
  <c r="AN1130" i="1"/>
  <c r="AO1130" i="1"/>
  <c r="AQ1130" i="1"/>
  <c r="AX1130" i="1"/>
  <c r="BD1130" i="1"/>
  <c r="B1131" i="1"/>
  <c r="C1131" i="1"/>
  <c r="D1131" i="1"/>
  <c r="E1131" i="1"/>
  <c r="F1131" i="1"/>
  <c r="G1131" i="1"/>
  <c r="H1131" i="1"/>
  <c r="I1131" i="1"/>
  <c r="J1131" i="1"/>
  <c r="K1131" i="1"/>
  <c r="M1131" i="1"/>
  <c r="O1131" i="1"/>
  <c r="Q1131" i="1"/>
  <c r="R1131" i="1"/>
  <c r="W1131" i="1"/>
  <c r="AA1131" i="1"/>
  <c r="AB1131" i="1"/>
  <c r="AE1131" i="1"/>
  <c r="AF1131" i="1"/>
  <c r="AM1131" i="1"/>
  <c r="AN1131" i="1"/>
  <c r="AO1131" i="1"/>
  <c r="AQ1131" i="1"/>
  <c r="AX1131" i="1"/>
  <c r="BD1131" i="1"/>
  <c r="B1132" i="1"/>
  <c r="C1132" i="1"/>
  <c r="D1132" i="1"/>
  <c r="E1132" i="1"/>
  <c r="F1132" i="1"/>
  <c r="G1132" i="1"/>
  <c r="H1132" i="1"/>
  <c r="I1132" i="1"/>
  <c r="J1132" i="1"/>
  <c r="K1132" i="1"/>
  <c r="M1132" i="1"/>
  <c r="O1132" i="1"/>
  <c r="Q1132" i="1"/>
  <c r="R1132" i="1"/>
  <c r="W1132" i="1"/>
  <c r="AA1132" i="1"/>
  <c r="AB1132" i="1"/>
  <c r="AE1132" i="1"/>
  <c r="AF1132" i="1"/>
  <c r="AM1132" i="1"/>
  <c r="AN1132" i="1"/>
  <c r="AO1132" i="1"/>
  <c r="AQ1132" i="1"/>
  <c r="AX1132" i="1"/>
  <c r="BD1132" i="1"/>
  <c r="B1133" i="1"/>
  <c r="C1133" i="1"/>
  <c r="D1133" i="1"/>
  <c r="E1133" i="1"/>
  <c r="F1133" i="1"/>
  <c r="G1133" i="1"/>
  <c r="H1133" i="1"/>
  <c r="I1133" i="1"/>
  <c r="J1133" i="1"/>
  <c r="K1133" i="1"/>
  <c r="M1133" i="1"/>
  <c r="O1133" i="1"/>
  <c r="Q1133" i="1"/>
  <c r="R1133" i="1"/>
  <c r="W1133" i="1"/>
  <c r="AA1133" i="1"/>
  <c r="AB1133" i="1"/>
  <c r="AE1133" i="1"/>
  <c r="AF1133" i="1"/>
  <c r="AM1133" i="1"/>
  <c r="AN1133" i="1"/>
  <c r="AO1133" i="1"/>
  <c r="AQ1133" i="1"/>
  <c r="AX1133" i="1"/>
  <c r="BD1133" i="1"/>
  <c r="B1134" i="1"/>
  <c r="C1134" i="1"/>
  <c r="E1134" i="1"/>
  <c r="F1134" i="1"/>
  <c r="G1134" i="1"/>
  <c r="H1134" i="1"/>
  <c r="I1134" i="1"/>
  <c r="J1134" i="1"/>
  <c r="K1134" i="1"/>
  <c r="M1134" i="1"/>
  <c r="O1134" i="1"/>
  <c r="Q1134" i="1"/>
  <c r="R1134" i="1"/>
  <c r="W1134" i="1"/>
  <c r="AA1134" i="1"/>
  <c r="AB1134" i="1"/>
  <c r="AE1134" i="1"/>
  <c r="AF1134" i="1"/>
  <c r="AM1134" i="1"/>
  <c r="AN1134" i="1"/>
  <c r="AO1134" i="1"/>
  <c r="AQ1134" i="1"/>
  <c r="AX1134" i="1"/>
  <c r="BD1134" i="1"/>
  <c r="B1135" i="1"/>
  <c r="C1135" i="1"/>
  <c r="E1135" i="1"/>
  <c r="F1135" i="1"/>
  <c r="G1135" i="1"/>
  <c r="H1135" i="1"/>
  <c r="I1135" i="1"/>
  <c r="J1135" i="1"/>
  <c r="K1135" i="1"/>
  <c r="M1135" i="1"/>
  <c r="O1135" i="1"/>
  <c r="Q1135" i="1"/>
  <c r="R1135" i="1"/>
  <c r="W1135" i="1"/>
  <c r="AA1135" i="1"/>
  <c r="AB1135" i="1"/>
  <c r="AE1135" i="1"/>
  <c r="AF1135" i="1"/>
  <c r="AM1135" i="1"/>
  <c r="AN1135" i="1"/>
  <c r="AO1135" i="1"/>
  <c r="AQ1135" i="1"/>
  <c r="AX1135" i="1"/>
  <c r="BD1135" i="1"/>
  <c r="B1136" i="1"/>
  <c r="C1136" i="1"/>
  <c r="E1136" i="1"/>
  <c r="F1136" i="1"/>
  <c r="G1136" i="1"/>
  <c r="H1136" i="1"/>
  <c r="I1136" i="1"/>
  <c r="J1136" i="1"/>
  <c r="K1136" i="1"/>
  <c r="M1136" i="1"/>
  <c r="O1136" i="1"/>
  <c r="Q1136" i="1"/>
  <c r="R1136" i="1"/>
  <c r="W1136" i="1"/>
  <c r="AA1136" i="1"/>
  <c r="AB1136" i="1"/>
  <c r="AE1136" i="1"/>
  <c r="AF1136" i="1"/>
  <c r="AM1136" i="1"/>
  <c r="AN1136" i="1"/>
  <c r="AO1136" i="1"/>
  <c r="AQ1136" i="1"/>
  <c r="AX1136" i="1"/>
  <c r="BD1136" i="1"/>
  <c r="B1137" i="1"/>
  <c r="C1137" i="1"/>
  <c r="E1137" i="1"/>
  <c r="F1137" i="1"/>
  <c r="G1137" i="1"/>
  <c r="H1137" i="1"/>
  <c r="I1137" i="1"/>
  <c r="J1137" i="1"/>
  <c r="K1137" i="1"/>
  <c r="M1137" i="1"/>
  <c r="O1137" i="1"/>
  <c r="Q1137" i="1"/>
  <c r="R1137" i="1"/>
  <c r="W1137" i="1"/>
  <c r="AA1137" i="1"/>
  <c r="AB1137" i="1"/>
  <c r="AE1137" i="1"/>
  <c r="AF1137" i="1"/>
  <c r="AM1137" i="1"/>
  <c r="AN1137" i="1"/>
  <c r="AO1137" i="1"/>
  <c r="AQ1137" i="1"/>
  <c r="AX1137" i="1"/>
  <c r="BD1137" i="1"/>
  <c r="B1138" i="1"/>
  <c r="C1138" i="1"/>
  <c r="D1138" i="1"/>
  <c r="E1138" i="1"/>
  <c r="F1138" i="1"/>
  <c r="G1138" i="1"/>
  <c r="H1138" i="1"/>
  <c r="I1138" i="1"/>
  <c r="J1138" i="1"/>
  <c r="K1138" i="1"/>
  <c r="M1138" i="1"/>
  <c r="O1138" i="1"/>
  <c r="Q1138" i="1"/>
  <c r="R1138" i="1"/>
  <c r="W1138" i="1"/>
  <c r="AA1138" i="1"/>
  <c r="AB1138" i="1"/>
  <c r="AE1138" i="1"/>
  <c r="AF1138" i="1"/>
  <c r="AM1138" i="1"/>
  <c r="AN1138" i="1"/>
  <c r="AO1138" i="1"/>
  <c r="AQ1138" i="1"/>
  <c r="AX1138" i="1"/>
  <c r="BD1138" i="1"/>
  <c r="B1139" i="1"/>
  <c r="C1139" i="1"/>
  <c r="E1139" i="1"/>
  <c r="F1139" i="1"/>
  <c r="G1139" i="1"/>
  <c r="H1139" i="1"/>
  <c r="I1139" i="1"/>
  <c r="J1139" i="1"/>
  <c r="K1139" i="1"/>
  <c r="M1139" i="1"/>
  <c r="O1139" i="1"/>
  <c r="Q1139" i="1"/>
  <c r="R1139" i="1"/>
  <c r="W1139" i="1"/>
  <c r="AA1139" i="1"/>
  <c r="AB1139" i="1"/>
  <c r="AE1139" i="1"/>
  <c r="AF1139" i="1"/>
  <c r="AM1139" i="1"/>
  <c r="AN1139" i="1"/>
  <c r="AO1139" i="1"/>
  <c r="AQ1139" i="1"/>
  <c r="AX1139" i="1"/>
  <c r="BD1139" i="1"/>
  <c r="B1140" i="1"/>
  <c r="C1140" i="1"/>
  <c r="D1140" i="1"/>
  <c r="E1140" i="1"/>
  <c r="F1140" i="1"/>
  <c r="G1140" i="1"/>
  <c r="H1140" i="1"/>
  <c r="I1140" i="1"/>
  <c r="J1140" i="1"/>
  <c r="K1140" i="1"/>
  <c r="M1140" i="1"/>
  <c r="O1140" i="1"/>
  <c r="Q1140" i="1"/>
  <c r="R1140" i="1"/>
  <c r="W1140" i="1"/>
  <c r="AA1140" i="1"/>
  <c r="AB1140" i="1"/>
  <c r="AE1140" i="1"/>
  <c r="AF1140" i="1"/>
  <c r="AM1140" i="1"/>
  <c r="AN1140" i="1"/>
  <c r="AO1140" i="1"/>
  <c r="AQ1140" i="1"/>
  <c r="AX1140" i="1"/>
  <c r="BD1140" i="1"/>
  <c r="B1141" i="1"/>
  <c r="C1141" i="1"/>
  <c r="E1141" i="1"/>
  <c r="F1141" i="1"/>
  <c r="G1141" i="1"/>
  <c r="H1141" i="1"/>
  <c r="I1141" i="1"/>
  <c r="J1141" i="1"/>
  <c r="K1141" i="1"/>
  <c r="M1141" i="1"/>
  <c r="O1141" i="1"/>
  <c r="Q1141" i="1"/>
  <c r="R1141" i="1"/>
  <c r="W1141" i="1"/>
  <c r="AA1141" i="1"/>
  <c r="AB1141" i="1"/>
  <c r="AE1141" i="1"/>
  <c r="AF1141" i="1"/>
  <c r="AM1141" i="1"/>
  <c r="AN1141" i="1"/>
  <c r="AO1141" i="1"/>
  <c r="AQ1141" i="1"/>
  <c r="AX1141" i="1"/>
  <c r="BD1141" i="1"/>
  <c r="B1142" i="1"/>
  <c r="E1142" i="1"/>
  <c r="F1142" i="1"/>
  <c r="G1142" i="1"/>
  <c r="H1142" i="1"/>
  <c r="I1142" i="1"/>
  <c r="J1142" i="1"/>
  <c r="K1142" i="1"/>
  <c r="M1142" i="1"/>
  <c r="O1142" i="1"/>
  <c r="Q1142" i="1"/>
  <c r="R1142" i="1"/>
  <c r="W1142" i="1"/>
  <c r="AA1142" i="1"/>
  <c r="AM1142" i="1"/>
  <c r="AN1142" i="1"/>
  <c r="AO1142" i="1"/>
  <c r="AQ1142" i="1"/>
  <c r="BB1142" i="1"/>
  <c r="BD1142" i="1"/>
  <c r="B1143" i="1"/>
  <c r="E1143" i="1"/>
  <c r="F1143" i="1"/>
  <c r="G1143" i="1"/>
  <c r="H1143" i="1"/>
  <c r="I1143" i="1"/>
  <c r="J1143" i="1"/>
  <c r="K1143" i="1"/>
  <c r="M1143" i="1"/>
  <c r="O1143" i="1"/>
  <c r="Q1143" i="1"/>
  <c r="R1143" i="1"/>
  <c r="W1143" i="1"/>
  <c r="AA1143" i="1"/>
  <c r="AM1143" i="1"/>
  <c r="AN1143" i="1"/>
  <c r="AO1143" i="1"/>
  <c r="AQ1143" i="1"/>
  <c r="BB1143" i="1"/>
  <c r="BD1143" i="1"/>
  <c r="B1144" i="1"/>
  <c r="C1144" i="1"/>
  <c r="E1144" i="1"/>
  <c r="F1144" i="1"/>
  <c r="G1144" i="1"/>
  <c r="H1144" i="1"/>
  <c r="I1144" i="1"/>
  <c r="J1144" i="1"/>
  <c r="K1144" i="1"/>
  <c r="M1144" i="1"/>
  <c r="O1144" i="1"/>
  <c r="Q1144" i="1"/>
  <c r="R1144" i="1"/>
  <c r="W1144" i="1"/>
  <c r="AA1144" i="1"/>
  <c r="AB1144" i="1"/>
  <c r="AE1144" i="1"/>
  <c r="AF1144" i="1"/>
  <c r="AM1144" i="1"/>
  <c r="AN1144" i="1"/>
  <c r="AO1144" i="1"/>
  <c r="AQ1144" i="1"/>
  <c r="AX1144" i="1"/>
  <c r="BD1144" i="1"/>
  <c r="B1145" i="1"/>
  <c r="C1145" i="1"/>
  <c r="E1145" i="1"/>
  <c r="F1145" i="1"/>
  <c r="G1145" i="1"/>
  <c r="H1145" i="1"/>
  <c r="I1145" i="1"/>
  <c r="J1145" i="1"/>
  <c r="K1145" i="1"/>
  <c r="M1145" i="1"/>
  <c r="O1145" i="1"/>
  <c r="Q1145" i="1"/>
  <c r="R1145" i="1"/>
  <c r="W1145" i="1"/>
  <c r="AA1145" i="1"/>
  <c r="AM1145" i="1"/>
  <c r="AN1145" i="1"/>
  <c r="AO1145" i="1"/>
  <c r="AQ1145" i="1"/>
  <c r="BB1145" i="1"/>
  <c r="BD1145" i="1"/>
  <c r="B1146" i="1"/>
  <c r="C1146" i="1"/>
  <c r="E1146" i="1"/>
  <c r="F1146" i="1"/>
  <c r="G1146" i="1"/>
  <c r="H1146" i="1"/>
  <c r="I1146" i="1"/>
  <c r="J1146" i="1"/>
  <c r="K1146" i="1"/>
  <c r="M1146" i="1"/>
  <c r="O1146" i="1"/>
  <c r="Q1146" i="1"/>
  <c r="R1146" i="1"/>
  <c r="W1146" i="1"/>
  <c r="AA1146" i="1"/>
  <c r="AM1146" i="1"/>
  <c r="AN1146" i="1"/>
  <c r="AO1146" i="1"/>
  <c r="AQ1146" i="1"/>
  <c r="BB1146" i="1"/>
  <c r="BD1146" i="1"/>
  <c r="B1147" i="1"/>
  <c r="C1147" i="1"/>
  <c r="E1147" i="1"/>
  <c r="F1147" i="1"/>
  <c r="G1147" i="1"/>
  <c r="H1147" i="1"/>
  <c r="I1147" i="1"/>
  <c r="J1147" i="1"/>
  <c r="K1147" i="1"/>
  <c r="M1147" i="1"/>
  <c r="O1147" i="1"/>
  <c r="Q1147" i="1"/>
  <c r="R1147" i="1"/>
  <c r="W1147" i="1"/>
  <c r="AA1147" i="1"/>
  <c r="AB1147" i="1"/>
  <c r="AE1147" i="1"/>
  <c r="AF1147" i="1"/>
  <c r="AM1147" i="1"/>
  <c r="AN1147" i="1"/>
  <c r="AO1147" i="1"/>
  <c r="AQ1147" i="1"/>
  <c r="AX1147" i="1"/>
  <c r="BD1147" i="1"/>
  <c r="B1148" i="1"/>
  <c r="C1148" i="1"/>
  <c r="D1148" i="1"/>
  <c r="E1148" i="1"/>
  <c r="F1148" i="1"/>
  <c r="G1148" i="1"/>
  <c r="H1148" i="1"/>
  <c r="I1148" i="1"/>
  <c r="J1148" i="1"/>
  <c r="K1148" i="1"/>
  <c r="M1148" i="1"/>
  <c r="O1148" i="1"/>
  <c r="Q1148" i="1"/>
  <c r="R1148" i="1"/>
  <c r="W1148" i="1"/>
  <c r="AA1148" i="1"/>
  <c r="AB1148" i="1"/>
  <c r="AE1148" i="1"/>
  <c r="AF1148" i="1"/>
  <c r="AM1148" i="1"/>
  <c r="AN1148" i="1"/>
  <c r="AO1148" i="1"/>
  <c r="AQ1148" i="1"/>
  <c r="AX1148" i="1"/>
  <c r="BD1148" i="1"/>
  <c r="B1149" i="1"/>
  <c r="C1149" i="1"/>
  <c r="D1149" i="1"/>
  <c r="E1149" i="1"/>
  <c r="F1149" i="1"/>
  <c r="G1149" i="1"/>
  <c r="H1149" i="1"/>
  <c r="I1149" i="1"/>
  <c r="J1149" i="1"/>
  <c r="K1149" i="1"/>
  <c r="M1149" i="1"/>
  <c r="O1149" i="1"/>
  <c r="Q1149" i="1"/>
  <c r="R1149" i="1"/>
  <c r="W1149" i="1"/>
  <c r="AA1149" i="1"/>
  <c r="AB1149" i="1"/>
  <c r="AE1149" i="1"/>
  <c r="AF1149" i="1"/>
  <c r="AM1149" i="1"/>
  <c r="AN1149" i="1"/>
  <c r="AO1149" i="1"/>
  <c r="AQ1149" i="1"/>
  <c r="AX1149" i="1"/>
  <c r="BD1149" i="1"/>
  <c r="B1150" i="1"/>
  <c r="C1150" i="1"/>
  <c r="E1150" i="1"/>
  <c r="F1150" i="1"/>
  <c r="G1150" i="1"/>
  <c r="H1150" i="1"/>
  <c r="I1150" i="1"/>
  <c r="J1150" i="1"/>
  <c r="K1150" i="1"/>
  <c r="M1150" i="1"/>
  <c r="O1150" i="1"/>
  <c r="Q1150" i="1"/>
  <c r="R1150" i="1"/>
  <c r="W1150" i="1"/>
  <c r="AA1150" i="1"/>
  <c r="AB1150" i="1"/>
  <c r="AE1150" i="1"/>
  <c r="AF1150" i="1"/>
  <c r="AM1150" i="1"/>
  <c r="AN1150" i="1"/>
  <c r="AO1150" i="1"/>
  <c r="AQ1150" i="1"/>
  <c r="AX1150" i="1"/>
  <c r="BD1150" i="1"/>
  <c r="B1151" i="1"/>
  <c r="C1151" i="1"/>
  <c r="E1151" i="1"/>
  <c r="F1151" i="1"/>
  <c r="G1151" i="1"/>
  <c r="H1151" i="1"/>
  <c r="I1151" i="1"/>
  <c r="J1151" i="1"/>
  <c r="K1151" i="1"/>
  <c r="M1151" i="1"/>
  <c r="O1151" i="1"/>
  <c r="Q1151" i="1"/>
  <c r="R1151" i="1"/>
  <c r="W1151" i="1"/>
  <c r="AA1151" i="1"/>
  <c r="AM1151" i="1"/>
  <c r="AN1151" i="1"/>
  <c r="AO1151" i="1"/>
  <c r="AQ1151" i="1"/>
  <c r="BB1151" i="1"/>
  <c r="BD1151" i="1"/>
  <c r="B1152" i="1"/>
  <c r="C1152" i="1"/>
  <c r="E1152" i="1"/>
  <c r="F1152" i="1"/>
  <c r="G1152" i="1"/>
  <c r="H1152" i="1"/>
  <c r="I1152" i="1"/>
  <c r="J1152" i="1"/>
  <c r="K1152" i="1"/>
  <c r="M1152" i="1"/>
  <c r="O1152" i="1"/>
  <c r="Q1152" i="1"/>
  <c r="R1152" i="1"/>
  <c r="W1152" i="1"/>
  <c r="AA1152" i="1"/>
  <c r="AM1152" i="1"/>
  <c r="AN1152" i="1"/>
  <c r="AO1152" i="1"/>
  <c r="AQ1152" i="1"/>
  <c r="BB1152" i="1"/>
  <c r="BD1152" i="1"/>
  <c r="B1153" i="1"/>
  <c r="E1153" i="1"/>
  <c r="F1153" i="1"/>
  <c r="G1153" i="1"/>
  <c r="H1153" i="1"/>
  <c r="I1153" i="1"/>
  <c r="J1153" i="1"/>
  <c r="K1153" i="1"/>
  <c r="M1153" i="1"/>
  <c r="O1153" i="1"/>
  <c r="Q1153" i="1"/>
  <c r="R1153" i="1"/>
  <c r="W1153" i="1"/>
  <c r="AA1153" i="1"/>
  <c r="AB1153" i="1"/>
  <c r="AM1153" i="1"/>
  <c r="AN1153" i="1"/>
  <c r="AO1153" i="1"/>
  <c r="AQ1153" i="1"/>
  <c r="AX1153" i="1"/>
  <c r="BD1153" i="1"/>
  <c r="B1154" i="1"/>
  <c r="C1154" i="1"/>
  <c r="D1154" i="1"/>
  <c r="E1154" i="1"/>
  <c r="F1154" i="1"/>
  <c r="G1154" i="1"/>
  <c r="H1154" i="1"/>
  <c r="I1154" i="1"/>
  <c r="J1154" i="1"/>
  <c r="K1154" i="1"/>
  <c r="M1154" i="1"/>
  <c r="O1154" i="1"/>
  <c r="Q1154" i="1"/>
  <c r="R1154" i="1"/>
  <c r="W1154" i="1"/>
  <c r="AA1154" i="1"/>
  <c r="AB1154" i="1"/>
  <c r="AE1154" i="1"/>
  <c r="AF1154" i="1"/>
  <c r="AM1154" i="1"/>
  <c r="AN1154" i="1"/>
  <c r="AO1154" i="1"/>
  <c r="AQ1154" i="1"/>
  <c r="AX1154" i="1"/>
  <c r="BD1154" i="1"/>
  <c r="B1155" i="1"/>
  <c r="C1155" i="1"/>
  <c r="D1155" i="1"/>
  <c r="E1155" i="1"/>
  <c r="F1155" i="1"/>
  <c r="G1155" i="1"/>
  <c r="H1155" i="1"/>
  <c r="I1155" i="1"/>
  <c r="J1155" i="1"/>
  <c r="K1155" i="1"/>
  <c r="M1155" i="1"/>
  <c r="O1155" i="1"/>
  <c r="Q1155" i="1"/>
  <c r="R1155" i="1"/>
  <c r="W1155" i="1"/>
  <c r="AA1155" i="1"/>
  <c r="AB1155" i="1"/>
  <c r="AE1155" i="1"/>
  <c r="AF1155" i="1"/>
  <c r="AM1155" i="1"/>
  <c r="AN1155" i="1"/>
  <c r="AO1155" i="1"/>
  <c r="AQ1155" i="1"/>
  <c r="AX1155" i="1"/>
  <c r="BD1155" i="1"/>
  <c r="B1156" i="1"/>
  <c r="C1156" i="1"/>
  <c r="D1156" i="1"/>
  <c r="E1156" i="1"/>
  <c r="F1156" i="1"/>
  <c r="G1156" i="1"/>
  <c r="H1156" i="1"/>
  <c r="I1156" i="1"/>
  <c r="J1156" i="1"/>
  <c r="K1156" i="1"/>
  <c r="M1156" i="1"/>
  <c r="O1156" i="1"/>
  <c r="Q1156" i="1"/>
  <c r="R1156" i="1"/>
  <c r="W1156" i="1"/>
  <c r="AA1156" i="1"/>
  <c r="AB1156" i="1"/>
  <c r="AE1156" i="1"/>
  <c r="AF1156" i="1"/>
  <c r="AM1156" i="1"/>
  <c r="AN1156" i="1"/>
  <c r="AO1156" i="1"/>
  <c r="AQ1156" i="1"/>
  <c r="AX1156" i="1"/>
  <c r="BD1156" i="1"/>
  <c r="B1157" i="1"/>
  <c r="C1157" i="1"/>
  <c r="D1157" i="1"/>
  <c r="E1157" i="1"/>
  <c r="F1157" i="1"/>
  <c r="G1157" i="1"/>
  <c r="H1157" i="1"/>
  <c r="I1157" i="1"/>
  <c r="J1157" i="1"/>
  <c r="K1157" i="1"/>
  <c r="M1157" i="1"/>
  <c r="O1157" i="1"/>
  <c r="Q1157" i="1"/>
  <c r="R1157" i="1"/>
  <c r="W1157" i="1"/>
  <c r="AA1157" i="1"/>
  <c r="AB1157" i="1"/>
  <c r="AE1157" i="1"/>
  <c r="AF1157" i="1"/>
  <c r="AM1157" i="1"/>
  <c r="AN1157" i="1"/>
  <c r="AO1157" i="1"/>
  <c r="AQ1157" i="1"/>
  <c r="AX1157" i="1"/>
  <c r="BD1157" i="1"/>
  <c r="B1158" i="1"/>
  <c r="C1158" i="1"/>
  <c r="D1158" i="1"/>
  <c r="E1158" i="1"/>
  <c r="F1158" i="1"/>
  <c r="G1158" i="1"/>
  <c r="H1158" i="1"/>
  <c r="I1158" i="1"/>
  <c r="J1158" i="1"/>
  <c r="K1158" i="1"/>
  <c r="M1158" i="1"/>
  <c r="O1158" i="1"/>
  <c r="Q1158" i="1"/>
  <c r="R1158" i="1"/>
  <c r="W1158" i="1"/>
  <c r="AA1158" i="1"/>
  <c r="AB1158" i="1"/>
  <c r="AE1158" i="1"/>
  <c r="AF1158" i="1"/>
  <c r="AM1158" i="1"/>
  <c r="AN1158" i="1"/>
  <c r="AO1158" i="1"/>
  <c r="AQ1158" i="1"/>
  <c r="AX1158" i="1"/>
  <c r="BD1158" i="1"/>
  <c r="B1159" i="1"/>
  <c r="C1159" i="1"/>
  <c r="D1159" i="1"/>
  <c r="E1159" i="1"/>
  <c r="F1159" i="1"/>
  <c r="G1159" i="1"/>
  <c r="H1159" i="1"/>
  <c r="I1159" i="1"/>
  <c r="J1159" i="1"/>
  <c r="K1159" i="1"/>
  <c r="M1159" i="1"/>
  <c r="O1159" i="1"/>
  <c r="Q1159" i="1"/>
  <c r="R1159" i="1"/>
  <c r="W1159" i="1"/>
  <c r="AA1159" i="1"/>
  <c r="AB1159" i="1"/>
  <c r="AE1159" i="1"/>
  <c r="AF1159" i="1"/>
  <c r="AM1159" i="1"/>
  <c r="AN1159" i="1"/>
  <c r="AO1159" i="1"/>
  <c r="AQ1159" i="1"/>
  <c r="AX1159" i="1"/>
  <c r="BD1159" i="1"/>
  <c r="B1160" i="1"/>
  <c r="C1160" i="1"/>
  <c r="E1160" i="1"/>
  <c r="F1160" i="1"/>
  <c r="G1160" i="1"/>
  <c r="H1160" i="1"/>
  <c r="I1160" i="1"/>
  <c r="J1160" i="1"/>
  <c r="K1160" i="1"/>
  <c r="M1160" i="1"/>
  <c r="O1160" i="1"/>
  <c r="Q1160" i="1"/>
  <c r="R1160" i="1"/>
  <c r="W1160" i="1"/>
  <c r="AA1160" i="1"/>
  <c r="AB1160" i="1"/>
  <c r="AE1160" i="1"/>
  <c r="AF1160" i="1"/>
  <c r="AM1160" i="1"/>
  <c r="AN1160" i="1"/>
  <c r="AO1160" i="1"/>
  <c r="AQ1160" i="1"/>
  <c r="AX1160" i="1"/>
  <c r="BD1160" i="1"/>
  <c r="B1161" i="1"/>
  <c r="C1161" i="1"/>
  <c r="E1161" i="1"/>
  <c r="F1161" i="1"/>
  <c r="G1161" i="1"/>
  <c r="H1161" i="1"/>
  <c r="I1161" i="1"/>
  <c r="J1161" i="1"/>
  <c r="K1161" i="1"/>
  <c r="M1161" i="1"/>
  <c r="O1161" i="1"/>
  <c r="Q1161" i="1"/>
  <c r="R1161" i="1"/>
  <c r="W1161" i="1"/>
  <c r="AA1161" i="1"/>
  <c r="AB1161" i="1"/>
  <c r="AE1161" i="1"/>
  <c r="AF1161" i="1"/>
  <c r="AM1161" i="1"/>
  <c r="AN1161" i="1"/>
  <c r="AO1161" i="1"/>
  <c r="AQ1161" i="1"/>
  <c r="AX1161" i="1"/>
  <c r="BD1161" i="1"/>
  <c r="B1162" i="1"/>
  <c r="C1162" i="1"/>
  <c r="E1162" i="1"/>
  <c r="F1162" i="1"/>
  <c r="G1162" i="1"/>
  <c r="H1162" i="1"/>
  <c r="I1162" i="1"/>
  <c r="J1162" i="1"/>
  <c r="K1162" i="1"/>
  <c r="M1162" i="1"/>
  <c r="O1162" i="1"/>
  <c r="Q1162" i="1"/>
  <c r="R1162" i="1"/>
  <c r="W1162" i="1"/>
  <c r="AA1162" i="1"/>
  <c r="AB1162" i="1"/>
  <c r="AE1162" i="1"/>
  <c r="AF1162" i="1"/>
  <c r="AM1162" i="1"/>
  <c r="AN1162" i="1"/>
  <c r="AO1162" i="1"/>
  <c r="AQ1162" i="1"/>
  <c r="AX1162" i="1"/>
  <c r="BD1162" i="1"/>
  <c r="B1163" i="1"/>
  <c r="C1163" i="1"/>
  <c r="E1163" i="1"/>
  <c r="F1163" i="1"/>
  <c r="G1163" i="1"/>
  <c r="H1163" i="1"/>
  <c r="I1163" i="1"/>
  <c r="J1163" i="1"/>
  <c r="K1163" i="1"/>
  <c r="M1163" i="1"/>
  <c r="O1163" i="1"/>
  <c r="Q1163" i="1"/>
  <c r="R1163" i="1"/>
  <c r="W1163" i="1"/>
  <c r="AA1163" i="1"/>
  <c r="AB1163" i="1"/>
  <c r="AE1163" i="1"/>
  <c r="AF1163" i="1"/>
  <c r="AM1163" i="1"/>
  <c r="AN1163" i="1"/>
  <c r="AO1163" i="1"/>
  <c r="AQ1163" i="1"/>
  <c r="AX1163" i="1"/>
  <c r="BD1163" i="1"/>
  <c r="B1164" i="1"/>
  <c r="C1164" i="1"/>
  <c r="D1164" i="1"/>
  <c r="E1164" i="1"/>
  <c r="F1164" i="1"/>
  <c r="G1164" i="1"/>
  <c r="H1164" i="1"/>
  <c r="I1164" i="1"/>
  <c r="J1164" i="1"/>
  <c r="K1164" i="1"/>
  <c r="M1164" i="1"/>
  <c r="O1164" i="1"/>
  <c r="Q1164" i="1"/>
  <c r="R1164" i="1"/>
  <c r="W1164" i="1"/>
  <c r="AA1164" i="1"/>
  <c r="AB1164" i="1"/>
  <c r="AE1164" i="1"/>
  <c r="AF1164" i="1"/>
  <c r="AM1164" i="1"/>
  <c r="AN1164" i="1"/>
  <c r="AO1164" i="1"/>
  <c r="AQ1164" i="1"/>
  <c r="AX1164" i="1"/>
  <c r="BD1164" i="1"/>
  <c r="B1165" i="1"/>
  <c r="C1165" i="1"/>
  <c r="E1165" i="1"/>
  <c r="F1165" i="1"/>
  <c r="G1165" i="1"/>
  <c r="H1165" i="1"/>
  <c r="I1165" i="1"/>
  <c r="J1165" i="1"/>
  <c r="K1165" i="1"/>
  <c r="M1165" i="1"/>
  <c r="O1165" i="1"/>
  <c r="Q1165" i="1"/>
  <c r="R1165" i="1"/>
  <c r="W1165" i="1"/>
  <c r="AA1165" i="1"/>
  <c r="AB1165" i="1"/>
  <c r="AE1165" i="1"/>
  <c r="AF1165" i="1"/>
  <c r="AM1165" i="1"/>
  <c r="AN1165" i="1"/>
  <c r="AO1165" i="1"/>
  <c r="AQ1165" i="1"/>
  <c r="AX1165" i="1"/>
  <c r="BD1165" i="1"/>
  <c r="B1166" i="1"/>
  <c r="C1166" i="1"/>
  <c r="D1166" i="1"/>
  <c r="E1166" i="1"/>
  <c r="F1166" i="1"/>
  <c r="G1166" i="1"/>
  <c r="H1166" i="1"/>
  <c r="I1166" i="1"/>
  <c r="J1166" i="1"/>
  <c r="K1166" i="1"/>
  <c r="M1166" i="1"/>
  <c r="O1166" i="1"/>
  <c r="Q1166" i="1"/>
  <c r="R1166" i="1"/>
  <c r="W1166" i="1"/>
  <c r="AA1166" i="1"/>
  <c r="AB1166" i="1"/>
  <c r="AE1166" i="1"/>
  <c r="AF1166" i="1"/>
  <c r="AM1166" i="1"/>
  <c r="AN1166" i="1"/>
  <c r="AO1166" i="1"/>
  <c r="AQ1166" i="1"/>
  <c r="AX1166" i="1"/>
  <c r="BD1166" i="1"/>
  <c r="B1167" i="1"/>
  <c r="C1167" i="1"/>
  <c r="D1167" i="1"/>
  <c r="E1167" i="1"/>
  <c r="F1167" i="1"/>
  <c r="G1167" i="1"/>
  <c r="H1167" i="1"/>
  <c r="I1167" i="1"/>
  <c r="J1167" i="1"/>
  <c r="K1167" i="1"/>
  <c r="M1167" i="1"/>
  <c r="O1167" i="1"/>
  <c r="Q1167" i="1"/>
  <c r="R1167" i="1"/>
  <c r="W1167" i="1"/>
  <c r="AA1167" i="1"/>
  <c r="AB1167" i="1"/>
  <c r="AE1167" i="1"/>
  <c r="AF1167" i="1"/>
  <c r="AM1167" i="1"/>
  <c r="AN1167" i="1"/>
  <c r="AO1167" i="1"/>
  <c r="AQ1167" i="1"/>
  <c r="AX1167" i="1"/>
  <c r="BD1167" i="1"/>
  <c r="B1168" i="1"/>
  <c r="C1168" i="1"/>
  <c r="D1168" i="1"/>
  <c r="E1168" i="1"/>
  <c r="F1168" i="1"/>
  <c r="G1168" i="1"/>
  <c r="H1168" i="1"/>
  <c r="I1168" i="1"/>
  <c r="J1168" i="1"/>
  <c r="K1168" i="1"/>
  <c r="M1168" i="1"/>
  <c r="O1168" i="1"/>
  <c r="Q1168" i="1"/>
  <c r="R1168" i="1"/>
  <c r="W1168" i="1"/>
  <c r="AA1168" i="1"/>
  <c r="AB1168" i="1"/>
  <c r="AE1168" i="1"/>
  <c r="AF1168" i="1"/>
  <c r="AM1168" i="1"/>
  <c r="AN1168" i="1"/>
  <c r="AO1168" i="1"/>
  <c r="AQ1168" i="1"/>
  <c r="AX1168" i="1"/>
  <c r="BD1168" i="1"/>
  <c r="B1169" i="1"/>
  <c r="C1169" i="1"/>
  <c r="D1169" i="1"/>
  <c r="E1169" i="1"/>
  <c r="F1169" i="1"/>
  <c r="G1169" i="1"/>
  <c r="H1169" i="1"/>
  <c r="I1169" i="1"/>
  <c r="J1169" i="1"/>
  <c r="K1169" i="1"/>
  <c r="M1169" i="1"/>
  <c r="O1169" i="1"/>
  <c r="Q1169" i="1"/>
  <c r="R1169" i="1"/>
  <c r="W1169" i="1"/>
  <c r="AA1169" i="1"/>
  <c r="AB1169" i="1"/>
  <c r="AE1169" i="1"/>
  <c r="AF1169" i="1"/>
  <c r="AM1169" i="1"/>
  <c r="AN1169" i="1"/>
  <c r="AO1169" i="1"/>
  <c r="AQ1169" i="1"/>
  <c r="AX1169" i="1"/>
  <c r="BD1169" i="1"/>
  <c r="B1170" i="1"/>
  <c r="C1170" i="1"/>
  <c r="D1170" i="1"/>
  <c r="E1170" i="1"/>
  <c r="F1170" i="1"/>
  <c r="G1170" i="1"/>
  <c r="H1170" i="1"/>
  <c r="I1170" i="1"/>
  <c r="J1170" i="1"/>
  <c r="K1170" i="1"/>
  <c r="M1170" i="1"/>
  <c r="O1170" i="1"/>
  <c r="Q1170" i="1"/>
  <c r="R1170" i="1"/>
  <c r="W1170" i="1"/>
  <c r="AA1170" i="1"/>
  <c r="AB1170" i="1"/>
  <c r="AE1170" i="1"/>
  <c r="AF1170" i="1"/>
  <c r="AM1170" i="1"/>
  <c r="AN1170" i="1"/>
  <c r="AO1170" i="1"/>
  <c r="AQ1170" i="1"/>
  <c r="AX1170" i="1"/>
  <c r="BD1170" i="1"/>
  <c r="B1171" i="1"/>
  <c r="C1171" i="1"/>
  <c r="E1171" i="1"/>
  <c r="F1171" i="1"/>
  <c r="G1171" i="1"/>
  <c r="H1171" i="1"/>
  <c r="I1171" i="1"/>
  <c r="J1171" i="1"/>
  <c r="K1171" i="1"/>
  <c r="M1171" i="1"/>
  <c r="O1171" i="1"/>
  <c r="Q1171" i="1"/>
  <c r="R1171" i="1"/>
  <c r="W1171" i="1"/>
  <c r="AA1171" i="1"/>
  <c r="AB1171" i="1"/>
  <c r="AE1171" i="1"/>
  <c r="AF1171" i="1"/>
  <c r="AM1171" i="1"/>
  <c r="AN1171" i="1"/>
  <c r="AO1171" i="1"/>
  <c r="AQ1171" i="1"/>
  <c r="AX1171" i="1"/>
  <c r="BD1171" i="1"/>
  <c r="B1172" i="1"/>
  <c r="C1172" i="1"/>
  <c r="E1172" i="1"/>
  <c r="F1172" i="1"/>
  <c r="G1172" i="1"/>
  <c r="H1172" i="1"/>
  <c r="I1172" i="1"/>
  <c r="J1172" i="1"/>
  <c r="K1172" i="1"/>
  <c r="M1172" i="1"/>
  <c r="O1172" i="1"/>
  <c r="Q1172" i="1"/>
  <c r="R1172" i="1"/>
  <c r="W1172" i="1"/>
  <c r="AA1172" i="1"/>
  <c r="AB1172" i="1"/>
  <c r="AE1172" i="1"/>
  <c r="AF1172" i="1"/>
  <c r="AM1172" i="1"/>
  <c r="AN1172" i="1"/>
  <c r="AO1172" i="1"/>
  <c r="AQ1172" i="1"/>
  <c r="AX1172" i="1"/>
  <c r="BD1172" i="1"/>
  <c r="B1173" i="1"/>
  <c r="C1173" i="1"/>
  <c r="D1173" i="1"/>
  <c r="E1173" i="1"/>
  <c r="F1173" i="1"/>
  <c r="G1173" i="1"/>
  <c r="H1173" i="1"/>
  <c r="I1173" i="1"/>
  <c r="J1173" i="1"/>
  <c r="K1173" i="1"/>
  <c r="M1173" i="1"/>
  <c r="O1173" i="1"/>
  <c r="Q1173" i="1"/>
  <c r="R1173" i="1"/>
  <c r="W1173" i="1"/>
  <c r="AA1173" i="1"/>
  <c r="AB1173" i="1"/>
  <c r="AE1173" i="1"/>
  <c r="AF1173" i="1"/>
  <c r="AM1173" i="1"/>
  <c r="AN1173" i="1"/>
  <c r="AO1173" i="1"/>
  <c r="AQ1173" i="1"/>
  <c r="AX1173" i="1"/>
  <c r="BD1173" i="1"/>
  <c r="B1174" i="1"/>
  <c r="C1174" i="1"/>
  <c r="D1174" i="1"/>
  <c r="E1174" i="1"/>
  <c r="F1174" i="1"/>
  <c r="G1174" i="1"/>
  <c r="H1174" i="1"/>
  <c r="I1174" i="1"/>
  <c r="J1174" i="1"/>
  <c r="K1174" i="1"/>
  <c r="M1174" i="1"/>
  <c r="O1174" i="1"/>
  <c r="Q1174" i="1"/>
  <c r="R1174" i="1"/>
  <c r="W1174" i="1"/>
  <c r="AA1174" i="1"/>
  <c r="AB1174" i="1"/>
  <c r="AE1174" i="1"/>
  <c r="AF1174" i="1"/>
  <c r="AM1174" i="1"/>
  <c r="AN1174" i="1"/>
  <c r="AO1174" i="1"/>
  <c r="AQ1174" i="1"/>
  <c r="AX1174" i="1"/>
  <c r="BD1174" i="1"/>
  <c r="B1175" i="1"/>
  <c r="C1175" i="1"/>
  <c r="E1175" i="1"/>
  <c r="F1175" i="1"/>
  <c r="G1175" i="1"/>
  <c r="H1175" i="1"/>
  <c r="I1175" i="1"/>
  <c r="J1175" i="1"/>
  <c r="K1175" i="1"/>
  <c r="M1175" i="1"/>
  <c r="O1175" i="1"/>
  <c r="Q1175" i="1"/>
  <c r="R1175" i="1"/>
  <c r="W1175" i="1"/>
  <c r="AA1175" i="1"/>
  <c r="AB1175" i="1"/>
  <c r="AE1175" i="1"/>
  <c r="AF1175" i="1"/>
  <c r="AM1175" i="1"/>
  <c r="AN1175" i="1"/>
  <c r="AO1175" i="1"/>
  <c r="AQ1175" i="1"/>
  <c r="AX1175" i="1"/>
  <c r="BD1175" i="1"/>
  <c r="B1176" i="1"/>
  <c r="C1176" i="1"/>
  <c r="D1176" i="1"/>
  <c r="E1176" i="1"/>
  <c r="F1176" i="1"/>
  <c r="G1176" i="1"/>
  <c r="H1176" i="1"/>
  <c r="I1176" i="1"/>
  <c r="J1176" i="1"/>
  <c r="K1176" i="1"/>
  <c r="M1176" i="1"/>
  <c r="O1176" i="1"/>
  <c r="Q1176" i="1"/>
  <c r="R1176" i="1"/>
  <c r="W1176" i="1"/>
  <c r="AA1176" i="1"/>
  <c r="AB1176" i="1"/>
  <c r="AE1176" i="1"/>
  <c r="AF1176" i="1"/>
  <c r="AM1176" i="1"/>
  <c r="AN1176" i="1"/>
  <c r="AO1176" i="1"/>
  <c r="AQ1176" i="1"/>
  <c r="AX1176" i="1"/>
  <c r="BD1176" i="1"/>
  <c r="B1177" i="1"/>
  <c r="C1177" i="1"/>
  <c r="D1177" i="1"/>
  <c r="E1177" i="1"/>
  <c r="F1177" i="1"/>
  <c r="G1177" i="1"/>
  <c r="H1177" i="1"/>
  <c r="I1177" i="1"/>
  <c r="J1177" i="1"/>
  <c r="K1177" i="1"/>
  <c r="M1177" i="1"/>
  <c r="O1177" i="1"/>
  <c r="Q1177" i="1"/>
  <c r="R1177" i="1"/>
  <c r="W1177" i="1"/>
  <c r="AA1177" i="1"/>
  <c r="AB1177" i="1"/>
  <c r="AE1177" i="1"/>
  <c r="AF1177" i="1"/>
  <c r="AM1177" i="1"/>
  <c r="AN1177" i="1"/>
  <c r="AO1177" i="1"/>
  <c r="AQ1177" i="1"/>
  <c r="AX1177" i="1"/>
  <c r="BD1177" i="1"/>
  <c r="B1178" i="1"/>
  <c r="C1178" i="1"/>
  <c r="D1178" i="1"/>
  <c r="E1178" i="1"/>
  <c r="F1178" i="1"/>
  <c r="G1178" i="1"/>
  <c r="H1178" i="1"/>
  <c r="I1178" i="1"/>
  <c r="J1178" i="1"/>
  <c r="K1178" i="1"/>
  <c r="M1178" i="1"/>
  <c r="O1178" i="1"/>
  <c r="Q1178" i="1"/>
  <c r="R1178" i="1"/>
  <c r="W1178" i="1"/>
  <c r="AA1178" i="1"/>
  <c r="AB1178" i="1"/>
  <c r="AE1178" i="1"/>
  <c r="AF1178" i="1"/>
  <c r="AM1178" i="1"/>
  <c r="AN1178" i="1"/>
  <c r="AO1178" i="1"/>
  <c r="AQ1178" i="1"/>
  <c r="AX1178" i="1"/>
  <c r="BD1178" i="1"/>
  <c r="B1179" i="1"/>
  <c r="C1179" i="1"/>
  <c r="D1179" i="1"/>
  <c r="E1179" i="1"/>
  <c r="F1179" i="1"/>
  <c r="G1179" i="1"/>
  <c r="H1179" i="1"/>
  <c r="I1179" i="1"/>
  <c r="J1179" i="1"/>
  <c r="K1179" i="1"/>
  <c r="M1179" i="1"/>
  <c r="O1179" i="1"/>
  <c r="Q1179" i="1"/>
  <c r="R1179" i="1"/>
  <c r="W1179" i="1"/>
  <c r="AA1179" i="1"/>
  <c r="AB1179" i="1"/>
  <c r="AE1179" i="1"/>
  <c r="AF1179" i="1"/>
  <c r="AM1179" i="1"/>
  <c r="AN1179" i="1"/>
  <c r="AO1179" i="1"/>
  <c r="AQ1179" i="1"/>
  <c r="AX1179" i="1"/>
  <c r="BD1179" i="1"/>
  <c r="B1180" i="1"/>
  <c r="C1180" i="1"/>
  <c r="D1180" i="1"/>
  <c r="E1180" i="1"/>
  <c r="F1180" i="1"/>
  <c r="G1180" i="1"/>
  <c r="H1180" i="1"/>
  <c r="I1180" i="1"/>
  <c r="J1180" i="1"/>
  <c r="K1180" i="1"/>
  <c r="M1180" i="1"/>
  <c r="O1180" i="1"/>
  <c r="Q1180" i="1"/>
  <c r="R1180" i="1"/>
  <c r="W1180" i="1"/>
  <c r="AA1180" i="1"/>
  <c r="AB1180" i="1"/>
  <c r="AE1180" i="1"/>
  <c r="AF1180" i="1"/>
  <c r="AM1180" i="1"/>
  <c r="AN1180" i="1"/>
  <c r="AO1180" i="1"/>
  <c r="AQ1180" i="1"/>
  <c r="AX1180" i="1"/>
  <c r="BD1180" i="1"/>
  <c r="B1181" i="1"/>
  <c r="C1181" i="1"/>
  <c r="D1181" i="1"/>
  <c r="E1181" i="1"/>
  <c r="F1181" i="1"/>
  <c r="G1181" i="1"/>
  <c r="H1181" i="1"/>
  <c r="I1181" i="1"/>
  <c r="J1181" i="1"/>
  <c r="K1181" i="1"/>
  <c r="M1181" i="1"/>
  <c r="O1181" i="1"/>
  <c r="Q1181" i="1"/>
  <c r="R1181" i="1"/>
  <c r="W1181" i="1"/>
  <c r="AA1181" i="1"/>
  <c r="AB1181" i="1"/>
  <c r="AE1181" i="1"/>
  <c r="AF1181" i="1"/>
  <c r="AM1181" i="1"/>
  <c r="AN1181" i="1"/>
  <c r="AO1181" i="1"/>
  <c r="AQ1181" i="1"/>
  <c r="AX1181" i="1"/>
  <c r="BD1181" i="1"/>
  <c r="B1182" i="1"/>
  <c r="C1182" i="1"/>
  <c r="D1182" i="1"/>
  <c r="E1182" i="1"/>
  <c r="F1182" i="1"/>
  <c r="G1182" i="1"/>
  <c r="H1182" i="1"/>
  <c r="I1182" i="1"/>
  <c r="J1182" i="1"/>
  <c r="K1182" i="1"/>
  <c r="M1182" i="1"/>
  <c r="O1182" i="1"/>
  <c r="Q1182" i="1"/>
  <c r="R1182" i="1"/>
  <c r="W1182" i="1"/>
  <c r="AA1182" i="1"/>
  <c r="AB1182" i="1"/>
  <c r="AE1182" i="1"/>
  <c r="AF1182" i="1"/>
  <c r="AM1182" i="1"/>
  <c r="AN1182" i="1"/>
  <c r="AO1182" i="1"/>
  <c r="AQ1182" i="1"/>
  <c r="AX1182" i="1"/>
  <c r="BD1182" i="1"/>
  <c r="B1183" i="1"/>
  <c r="E1183" i="1"/>
  <c r="F1183" i="1"/>
  <c r="G1183" i="1"/>
  <c r="H1183" i="1"/>
  <c r="I1183" i="1"/>
  <c r="J1183" i="1"/>
  <c r="K1183" i="1"/>
  <c r="M1183" i="1"/>
  <c r="O1183" i="1"/>
  <c r="Q1183" i="1"/>
  <c r="R1183" i="1"/>
  <c r="W1183" i="1"/>
  <c r="AA1183" i="1"/>
  <c r="AB1183" i="1"/>
  <c r="AM1183" i="1"/>
  <c r="AN1183" i="1"/>
  <c r="AO1183" i="1"/>
  <c r="AQ1183" i="1"/>
  <c r="AX1183" i="1"/>
  <c r="BD1183" i="1"/>
  <c r="B1184" i="1"/>
  <c r="E1184" i="1"/>
  <c r="F1184" i="1"/>
  <c r="G1184" i="1"/>
  <c r="H1184" i="1"/>
  <c r="I1184" i="1"/>
  <c r="J1184" i="1"/>
  <c r="K1184" i="1"/>
  <c r="M1184" i="1"/>
  <c r="O1184" i="1"/>
  <c r="Q1184" i="1"/>
  <c r="R1184" i="1"/>
  <c r="W1184" i="1"/>
  <c r="AA1184" i="1"/>
  <c r="AB1184" i="1"/>
  <c r="AM1184" i="1"/>
  <c r="AN1184" i="1"/>
  <c r="AO1184" i="1"/>
  <c r="AQ1184" i="1"/>
  <c r="AX1184" i="1"/>
  <c r="BD1184" i="1"/>
  <c r="B1185" i="1"/>
  <c r="E1185" i="1"/>
  <c r="F1185" i="1"/>
  <c r="G1185" i="1"/>
  <c r="H1185" i="1"/>
  <c r="I1185" i="1"/>
  <c r="J1185" i="1"/>
  <c r="K1185" i="1"/>
  <c r="M1185" i="1"/>
  <c r="O1185" i="1"/>
  <c r="Q1185" i="1"/>
  <c r="R1185" i="1"/>
  <c r="W1185" i="1"/>
  <c r="AA1185" i="1"/>
  <c r="AB1185" i="1"/>
  <c r="AM1185" i="1"/>
  <c r="AN1185" i="1"/>
  <c r="AO1185" i="1"/>
  <c r="AQ1185" i="1"/>
  <c r="AX1185" i="1"/>
  <c r="BD1185" i="1"/>
  <c r="B1186" i="1"/>
  <c r="E1186" i="1"/>
  <c r="F1186" i="1"/>
  <c r="G1186" i="1"/>
  <c r="H1186" i="1"/>
  <c r="I1186" i="1"/>
  <c r="J1186" i="1"/>
  <c r="K1186" i="1"/>
  <c r="M1186" i="1"/>
  <c r="O1186" i="1"/>
  <c r="Q1186" i="1"/>
  <c r="R1186" i="1"/>
  <c r="W1186" i="1"/>
  <c r="AA1186" i="1"/>
  <c r="AB1186" i="1"/>
  <c r="AM1186" i="1"/>
  <c r="AN1186" i="1"/>
  <c r="AO1186" i="1"/>
  <c r="AQ1186" i="1"/>
  <c r="AX1186" i="1"/>
  <c r="BD1186" i="1"/>
  <c r="B1187" i="1"/>
  <c r="C1187" i="1"/>
  <c r="E1187" i="1"/>
  <c r="F1187" i="1"/>
  <c r="G1187" i="1"/>
  <c r="H1187" i="1"/>
  <c r="I1187" i="1"/>
  <c r="J1187" i="1"/>
  <c r="K1187" i="1"/>
  <c r="M1187" i="1"/>
  <c r="O1187" i="1"/>
  <c r="Q1187" i="1"/>
  <c r="R1187" i="1"/>
  <c r="W1187" i="1"/>
  <c r="AA1187" i="1"/>
  <c r="AB1187" i="1"/>
  <c r="AE1187" i="1"/>
  <c r="AF1187" i="1"/>
  <c r="AM1187" i="1"/>
  <c r="AN1187" i="1"/>
  <c r="AO1187" i="1"/>
  <c r="AQ1187" i="1"/>
  <c r="AX1187" i="1"/>
  <c r="BD1187" i="1"/>
  <c r="B1188" i="1"/>
  <c r="E1188" i="1"/>
  <c r="F1188" i="1"/>
  <c r="G1188" i="1"/>
  <c r="H1188" i="1"/>
  <c r="I1188" i="1"/>
  <c r="J1188" i="1"/>
  <c r="K1188" i="1"/>
  <c r="M1188" i="1"/>
  <c r="O1188" i="1"/>
  <c r="Q1188" i="1"/>
  <c r="R1188" i="1"/>
  <c r="W1188" i="1"/>
  <c r="AA1188" i="1"/>
  <c r="AB1188" i="1"/>
  <c r="AM1188" i="1"/>
  <c r="AN1188" i="1"/>
  <c r="AO1188" i="1"/>
  <c r="AQ1188" i="1"/>
  <c r="AX1188" i="1"/>
  <c r="BD1188" i="1"/>
  <c r="B1189" i="1"/>
  <c r="E1189" i="1"/>
  <c r="F1189" i="1"/>
  <c r="G1189" i="1"/>
  <c r="H1189" i="1"/>
  <c r="I1189" i="1"/>
  <c r="J1189" i="1"/>
  <c r="K1189" i="1"/>
  <c r="M1189" i="1"/>
  <c r="O1189" i="1"/>
  <c r="Q1189" i="1"/>
  <c r="R1189" i="1"/>
  <c r="W1189" i="1"/>
  <c r="AA1189" i="1"/>
  <c r="AM1189" i="1"/>
  <c r="AN1189" i="1"/>
  <c r="AO1189" i="1"/>
  <c r="AQ1189" i="1"/>
  <c r="BB1189" i="1"/>
  <c r="BD1189" i="1"/>
  <c r="B1190" i="1"/>
  <c r="E1190" i="1"/>
  <c r="F1190" i="1"/>
  <c r="G1190" i="1"/>
  <c r="H1190" i="1"/>
  <c r="I1190" i="1"/>
  <c r="J1190" i="1"/>
  <c r="K1190" i="1"/>
  <c r="M1190" i="1"/>
  <c r="O1190" i="1"/>
  <c r="Q1190" i="1"/>
  <c r="R1190" i="1"/>
  <c r="W1190" i="1"/>
  <c r="AA1190" i="1"/>
  <c r="AM1190" i="1"/>
  <c r="AN1190" i="1"/>
  <c r="AO1190" i="1"/>
  <c r="AQ1190" i="1"/>
  <c r="BB1190" i="1"/>
  <c r="BD1190" i="1"/>
  <c r="B1191" i="1"/>
  <c r="E1191" i="1"/>
  <c r="F1191" i="1"/>
  <c r="G1191" i="1"/>
  <c r="H1191" i="1"/>
  <c r="I1191" i="1"/>
  <c r="J1191" i="1"/>
  <c r="K1191" i="1"/>
  <c r="M1191" i="1"/>
  <c r="O1191" i="1"/>
  <c r="Q1191" i="1"/>
  <c r="R1191" i="1"/>
  <c r="W1191" i="1"/>
  <c r="AA1191" i="1"/>
  <c r="AM1191" i="1"/>
  <c r="AN1191" i="1"/>
  <c r="AO1191" i="1"/>
  <c r="AQ1191" i="1"/>
  <c r="BB1191" i="1"/>
  <c r="BD1191" i="1"/>
  <c r="B1192" i="1"/>
  <c r="E1192" i="1"/>
  <c r="F1192" i="1"/>
  <c r="G1192" i="1"/>
  <c r="H1192" i="1"/>
  <c r="I1192" i="1"/>
  <c r="J1192" i="1"/>
  <c r="K1192" i="1"/>
  <c r="M1192" i="1"/>
  <c r="O1192" i="1"/>
  <c r="Q1192" i="1"/>
  <c r="R1192" i="1"/>
  <c r="W1192" i="1"/>
  <c r="AA1192" i="1"/>
  <c r="AM1192" i="1"/>
  <c r="AN1192" i="1"/>
  <c r="AO1192" i="1"/>
  <c r="AQ1192" i="1"/>
  <c r="BB1192" i="1"/>
  <c r="BD1192" i="1"/>
  <c r="B1193" i="1"/>
  <c r="E1193" i="1"/>
  <c r="F1193" i="1"/>
  <c r="G1193" i="1"/>
  <c r="H1193" i="1"/>
  <c r="I1193" i="1"/>
  <c r="J1193" i="1"/>
  <c r="K1193" i="1"/>
  <c r="M1193" i="1"/>
  <c r="O1193" i="1"/>
  <c r="Q1193" i="1"/>
  <c r="R1193" i="1"/>
  <c r="W1193" i="1"/>
  <c r="AA1193" i="1"/>
  <c r="AM1193" i="1"/>
  <c r="AN1193" i="1"/>
  <c r="AO1193" i="1"/>
  <c r="AQ1193" i="1"/>
  <c r="BB1193" i="1"/>
  <c r="BD1193" i="1"/>
  <c r="B1194" i="1"/>
  <c r="E1194" i="1"/>
  <c r="F1194" i="1"/>
  <c r="G1194" i="1"/>
  <c r="H1194" i="1"/>
  <c r="I1194" i="1"/>
  <c r="J1194" i="1"/>
  <c r="K1194" i="1"/>
  <c r="M1194" i="1"/>
  <c r="O1194" i="1"/>
  <c r="Q1194" i="1"/>
  <c r="R1194" i="1"/>
  <c r="W1194" i="1"/>
  <c r="AA1194" i="1"/>
  <c r="AM1194" i="1"/>
  <c r="AN1194" i="1"/>
  <c r="AO1194" i="1"/>
  <c r="AQ1194" i="1"/>
  <c r="BB1194" i="1"/>
  <c r="BD1194" i="1"/>
  <c r="B1195" i="1"/>
  <c r="E1195" i="1"/>
  <c r="F1195" i="1"/>
  <c r="G1195" i="1"/>
  <c r="H1195" i="1"/>
  <c r="I1195" i="1"/>
  <c r="J1195" i="1"/>
  <c r="K1195" i="1"/>
  <c r="M1195" i="1"/>
  <c r="O1195" i="1"/>
  <c r="Q1195" i="1"/>
  <c r="R1195" i="1"/>
  <c r="W1195" i="1"/>
  <c r="AA1195" i="1"/>
  <c r="AM1195" i="1"/>
  <c r="AN1195" i="1"/>
  <c r="AO1195" i="1"/>
  <c r="AQ1195" i="1"/>
  <c r="BB1195" i="1"/>
  <c r="BD1195" i="1"/>
  <c r="B1196" i="1"/>
  <c r="E1196" i="1"/>
  <c r="F1196" i="1"/>
  <c r="G1196" i="1"/>
  <c r="H1196" i="1"/>
  <c r="I1196" i="1"/>
  <c r="J1196" i="1"/>
  <c r="K1196" i="1"/>
  <c r="M1196" i="1"/>
  <c r="O1196" i="1"/>
  <c r="Q1196" i="1"/>
  <c r="R1196" i="1"/>
  <c r="W1196" i="1"/>
  <c r="AA1196" i="1"/>
  <c r="AM1196" i="1"/>
  <c r="AN1196" i="1"/>
  <c r="AO1196" i="1"/>
  <c r="AQ1196" i="1"/>
  <c r="BB1196" i="1"/>
  <c r="BD1196" i="1"/>
  <c r="B1197" i="1"/>
  <c r="E1197" i="1"/>
  <c r="F1197" i="1"/>
  <c r="G1197" i="1"/>
  <c r="H1197" i="1"/>
  <c r="I1197" i="1"/>
  <c r="J1197" i="1"/>
  <c r="K1197" i="1"/>
  <c r="M1197" i="1"/>
  <c r="O1197" i="1"/>
  <c r="Q1197" i="1"/>
  <c r="R1197" i="1"/>
  <c r="W1197" i="1"/>
  <c r="AA1197" i="1"/>
  <c r="AB1197" i="1"/>
  <c r="AM1197" i="1"/>
  <c r="AN1197" i="1"/>
  <c r="AO1197" i="1"/>
  <c r="AQ1197" i="1"/>
  <c r="AX1197" i="1"/>
  <c r="BD1197" i="1"/>
  <c r="B1198" i="1"/>
  <c r="E1198" i="1"/>
  <c r="F1198" i="1"/>
  <c r="G1198" i="1"/>
  <c r="H1198" i="1"/>
  <c r="I1198" i="1"/>
  <c r="J1198" i="1"/>
  <c r="K1198" i="1"/>
  <c r="M1198" i="1"/>
  <c r="O1198" i="1"/>
  <c r="Q1198" i="1"/>
  <c r="R1198" i="1"/>
  <c r="W1198" i="1"/>
  <c r="AA1198" i="1"/>
  <c r="AB1198" i="1"/>
  <c r="AM1198" i="1"/>
  <c r="AN1198" i="1"/>
  <c r="AO1198" i="1"/>
  <c r="AQ1198" i="1"/>
  <c r="AX1198" i="1"/>
  <c r="BD1198" i="1"/>
  <c r="B1199" i="1"/>
  <c r="E1199" i="1"/>
  <c r="F1199" i="1"/>
  <c r="G1199" i="1"/>
  <c r="H1199" i="1"/>
  <c r="I1199" i="1"/>
  <c r="J1199" i="1"/>
  <c r="K1199" i="1"/>
  <c r="M1199" i="1"/>
  <c r="O1199" i="1"/>
  <c r="Q1199" i="1"/>
  <c r="R1199" i="1"/>
  <c r="W1199" i="1"/>
  <c r="AA1199" i="1"/>
  <c r="AB1199" i="1"/>
  <c r="AM1199" i="1"/>
  <c r="AN1199" i="1"/>
  <c r="AO1199" i="1"/>
  <c r="AQ1199" i="1"/>
  <c r="AX1199" i="1"/>
  <c r="BD1199" i="1"/>
  <c r="B1200" i="1"/>
  <c r="E1200" i="1"/>
  <c r="F1200" i="1"/>
  <c r="G1200" i="1"/>
  <c r="H1200" i="1"/>
  <c r="I1200" i="1"/>
  <c r="J1200" i="1"/>
  <c r="K1200" i="1"/>
  <c r="M1200" i="1"/>
  <c r="O1200" i="1"/>
  <c r="Q1200" i="1"/>
  <c r="R1200" i="1"/>
  <c r="W1200" i="1"/>
  <c r="AA1200" i="1"/>
  <c r="AB1200" i="1"/>
  <c r="AM1200" i="1"/>
  <c r="AN1200" i="1"/>
  <c r="AO1200" i="1"/>
  <c r="AQ1200" i="1"/>
  <c r="AX1200" i="1"/>
  <c r="BD1200" i="1"/>
  <c r="B1201" i="1"/>
  <c r="E1201" i="1"/>
  <c r="F1201" i="1"/>
  <c r="G1201" i="1"/>
  <c r="H1201" i="1"/>
  <c r="I1201" i="1"/>
  <c r="J1201" i="1"/>
  <c r="K1201" i="1"/>
  <c r="M1201" i="1"/>
  <c r="O1201" i="1"/>
  <c r="Q1201" i="1"/>
  <c r="R1201" i="1"/>
  <c r="W1201" i="1"/>
  <c r="AA1201" i="1"/>
  <c r="AM1201" i="1"/>
  <c r="AN1201" i="1"/>
  <c r="AO1201" i="1"/>
  <c r="AQ1201" i="1"/>
  <c r="BB1201" i="1"/>
  <c r="BD1201" i="1"/>
  <c r="B1202" i="1"/>
  <c r="E1202" i="1"/>
  <c r="F1202" i="1"/>
  <c r="G1202" i="1"/>
  <c r="H1202" i="1"/>
  <c r="I1202" i="1"/>
  <c r="J1202" i="1"/>
  <c r="K1202" i="1"/>
  <c r="M1202" i="1"/>
  <c r="O1202" i="1"/>
  <c r="Q1202" i="1"/>
  <c r="R1202" i="1"/>
  <c r="W1202" i="1"/>
  <c r="AA1202" i="1"/>
  <c r="AM1202" i="1"/>
  <c r="AN1202" i="1"/>
  <c r="AO1202" i="1"/>
  <c r="AQ1202" i="1"/>
  <c r="BB1202" i="1"/>
  <c r="BD1202" i="1"/>
  <c r="B1203" i="1"/>
  <c r="C1203" i="1"/>
  <c r="E1203" i="1"/>
  <c r="F1203" i="1"/>
  <c r="G1203" i="1"/>
  <c r="H1203" i="1"/>
  <c r="I1203" i="1"/>
  <c r="J1203" i="1"/>
  <c r="K1203" i="1"/>
  <c r="M1203" i="1"/>
  <c r="O1203" i="1"/>
  <c r="Q1203" i="1"/>
  <c r="R1203" i="1"/>
  <c r="W1203" i="1"/>
  <c r="AA1203" i="1"/>
  <c r="AM1203" i="1"/>
  <c r="AN1203" i="1"/>
  <c r="AO1203" i="1"/>
  <c r="AQ1203" i="1"/>
  <c r="BB1203" i="1"/>
  <c r="BD1203" i="1"/>
  <c r="B1204" i="1"/>
  <c r="E1204" i="1"/>
  <c r="F1204" i="1"/>
  <c r="G1204" i="1"/>
  <c r="H1204" i="1"/>
  <c r="I1204" i="1"/>
  <c r="J1204" i="1"/>
  <c r="K1204" i="1"/>
  <c r="M1204" i="1"/>
  <c r="O1204" i="1"/>
  <c r="Q1204" i="1"/>
  <c r="R1204" i="1"/>
  <c r="W1204" i="1"/>
  <c r="AA1204" i="1"/>
  <c r="AM1204" i="1"/>
  <c r="AN1204" i="1"/>
  <c r="AO1204" i="1"/>
  <c r="AQ1204" i="1"/>
  <c r="BB1204" i="1"/>
  <c r="BD1204" i="1"/>
  <c r="B1205" i="1"/>
  <c r="E1205" i="1"/>
  <c r="F1205" i="1"/>
  <c r="G1205" i="1"/>
  <c r="H1205" i="1"/>
  <c r="I1205" i="1"/>
  <c r="J1205" i="1"/>
  <c r="K1205" i="1"/>
  <c r="M1205" i="1"/>
  <c r="O1205" i="1"/>
  <c r="Q1205" i="1"/>
  <c r="R1205" i="1"/>
  <c r="W1205" i="1"/>
  <c r="AA1205" i="1"/>
  <c r="AM1205" i="1"/>
  <c r="AN1205" i="1"/>
  <c r="AO1205" i="1"/>
  <c r="AQ1205" i="1"/>
  <c r="BB1205" i="1"/>
  <c r="BD1205" i="1"/>
  <c r="B1206" i="1"/>
  <c r="E1206" i="1"/>
  <c r="F1206" i="1"/>
  <c r="G1206" i="1"/>
  <c r="H1206" i="1"/>
  <c r="I1206" i="1"/>
  <c r="J1206" i="1"/>
  <c r="K1206" i="1"/>
  <c r="M1206" i="1"/>
  <c r="O1206" i="1"/>
  <c r="Q1206" i="1"/>
  <c r="R1206" i="1"/>
  <c r="W1206" i="1"/>
  <c r="AA1206" i="1"/>
  <c r="AM1206" i="1"/>
  <c r="AN1206" i="1"/>
  <c r="AO1206" i="1"/>
  <c r="AQ1206" i="1"/>
  <c r="BB1206" i="1"/>
  <c r="BD1206" i="1"/>
  <c r="B1207" i="1"/>
  <c r="E1207" i="1"/>
  <c r="F1207" i="1"/>
  <c r="G1207" i="1"/>
  <c r="H1207" i="1"/>
  <c r="I1207" i="1"/>
  <c r="J1207" i="1"/>
  <c r="K1207" i="1"/>
  <c r="M1207" i="1"/>
  <c r="O1207" i="1"/>
  <c r="Q1207" i="1"/>
  <c r="R1207" i="1"/>
  <c r="W1207" i="1"/>
  <c r="AA1207" i="1"/>
  <c r="AM1207" i="1"/>
  <c r="AN1207" i="1"/>
  <c r="AO1207" i="1"/>
  <c r="AQ1207" i="1"/>
  <c r="BD1207" i="1"/>
  <c r="B1208" i="1"/>
  <c r="C1208" i="1"/>
  <c r="E1208" i="1"/>
  <c r="F1208" i="1"/>
  <c r="G1208" i="1"/>
  <c r="H1208" i="1"/>
  <c r="I1208" i="1"/>
  <c r="J1208" i="1"/>
  <c r="K1208" i="1"/>
  <c r="M1208" i="1"/>
  <c r="O1208" i="1"/>
  <c r="Q1208" i="1"/>
  <c r="R1208" i="1"/>
  <c r="W1208" i="1"/>
  <c r="AA1208" i="1"/>
  <c r="AM1208" i="1"/>
  <c r="AN1208" i="1"/>
  <c r="AO1208" i="1"/>
  <c r="AQ1208" i="1"/>
  <c r="BB1208" i="1"/>
  <c r="BD1208" i="1"/>
  <c r="B1209" i="1"/>
  <c r="E1209" i="1"/>
  <c r="F1209" i="1"/>
  <c r="G1209" i="1"/>
  <c r="H1209" i="1"/>
  <c r="I1209" i="1"/>
  <c r="J1209" i="1"/>
  <c r="K1209" i="1"/>
  <c r="M1209" i="1"/>
  <c r="O1209" i="1"/>
  <c r="Q1209" i="1"/>
  <c r="R1209" i="1"/>
  <c r="W1209" i="1"/>
  <c r="AA1209" i="1"/>
  <c r="AB1209" i="1"/>
  <c r="AM1209" i="1"/>
  <c r="AN1209" i="1"/>
  <c r="AO1209" i="1"/>
  <c r="AQ1209" i="1"/>
  <c r="AX1209" i="1"/>
  <c r="BD1209" i="1"/>
  <c r="B1210" i="1"/>
  <c r="E1210" i="1"/>
  <c r="F1210" i="1"/>
  <c r="G1210" i="1"/>
  <c r="H1210" i="1"/>
  <c r="I1210" i="1"/>
  <c r="J1210" i="1"/>
  <c r="K1210" i="1"/>
  <c r="M1210" i="1"/>
  <c r="O1210" i="1"/>
  <c r="Q1210" i="1"/>
  <c r="R1210" i="1"/>
  <c r="W1210" i="1"/>
  <c r="AA1210" i="1"/>
  <c r="AM1210" i="1"/>
  <c r="AN1210" i="1"/>
  <c r="AO1210" i="1"/>
  <c r="AQ1210" i="1"/>
  <c r="BB1210" i="1"/>
  <c r="BD1210" i="1"/>
  <c r="B1211" i="1"/>
  <c r="E1211" i="1"/>
  <c r="F1211" i="1"/>
  <c r="G1211" i="1"/>
  <c r="H1211" i="1"/>
  <c r="I1211" i="1"/>
  <c r="J1211" i="1"/>
  <c r="K1211" i="1"/>
  <c r="M1211" i="1"/>
  <c r="O1211" i="1"/>
  <c r="Q1211" i="1"/>
  <c r="R1211" i="1"/>
  <c r="W1211" i="1"/>
  <c r="AA1211" i="1"/>
  <c r="AM1211" i="1"/>
  <c r="AN1211" i="1"/>
  <c r="AO1211" i="1"/>
  <c r="AQ1211" i="1"/>
  <c r="BB1211" i="1"/>
  <c r="BD1211" i="1"/>
  <c r="B1212" i="1"/>
  <c r="E1212" i="1"/>
  <c r="F1212" i="1"/>
  <c r="G1212" i="1"/>
  <c r="H1212" i="1"/>
  <c r="I1212" i="1"/>
  <c r="J1212" i="1"/>
  <c r="K1212" i="1"/>
  <c r="M1212" i="1"/>
  <c r="O1212" i="1"/>
  <c r="Q1212" i="1"/>
  <c r="R1212" i="1"/>
  <c r="W1212" i="1"/>
  <c r="AA1212" i="1"/>
  <c r="AM1212" i="1"/>
  <c r="AN1212" i="1"/>
  <c r="AO1212" i="1"/>
  <c r="AQ1212" i="1"/>
  <c r="BB1212" i="1"/>
  <c r="BD1212" i="1"/>
  <c r="B1213" i="1"/>
  <c r="E1213" i="1"/>
  <c r="F1213" i="1"/>
  <c r="G1213" i="1"/>
  <c r="H1213" i="1"/>
  <c r="I1213" i="1"/>
  <c r="J1213" i="1"/>
  <c r="K1213" i="1"/>
  <c r="M1213" i="1"/>
  <c r="O1213" i="1"/>
  <c r="Q1213" i="1"/>
  <c r="R1213" i="1"/>
  <c r="W1213" i="1"/>
  <c r="AA1213" i="1"/>
  <c r="AB1213" i="1"/>
  <c r="AM1213" i="1"/>
  <c r="AN1213" i="1"/>
  <c r="AO1213" i="1"/>
  <c r="AQ1213" i="1"/>
  <c r="AX1213" i="1"/>
  <c r="BD1213" i="1"/>
  <c r="B1214" i="1"/>
  <c r="E1214" i="1"/>
  <c r="F1214" i="1"/>
  <c r="G1214" i="1"/>
  <c r="H1214" i="1"/>
  <c r="I1214" i="1"/>
  <c r="J1214" i="1"/>
  <c r="K1214" i="1"/>
  <c r="M1214" i="1"/>
  <c r="O1214" i="1"/>
  <c r="Q1214" i="1"/>
  <c r="R1214" i="1"/>
  <c r="W1214" i="1"/>
  <c r="AA1214" i="1"/>
  <c r="AB1214" i="1"/>
  <c r="AM1214" i="1"/>
  <c r="AN1214" i="1"/>
  <c r="AO1214" i="1"/>
  <c r="AQ1214" i="1"/>
  <c r="AX1214" i="1"/>
  <c r="BD1214" i="1"/>
  <c r="B1215" i="1"/>
  <c r="C1215" i="1"/>
  <c r="E1215" i="1"/>
  <c r="F1215" i="1"/>
  <c r="G1215" i="1"/>
  <c r="H1215" i="1"/>
  <c r="I1215" i="1"/>
  <c r="J1215" i="1"/>
  <c r="K1215" i="1"/>
  <c r="M1215" i="1"/>
  <c r="O1215" i="1"/>
  <c r="Q1215" i="1"/>
  <c r="R1215" i="1"/>
  <c r="W1215" i="1"/>
  <c r="AA1215" i="1"/>
  <c r="AM1215" i="1"/>
  <c r="AN1215" i="1"/>
  <c r="AO1215" i="1"/>
  <c r="AQ1215" i="1"/>
  <c r="BB1215" i="1"/>
  <c r="BD1215" i="1"/>
  <c r="B1216" i="1"/>
  <c r="C1216" i="1"/>
  <c r="E1216" i="1"/>
  <c r="F1216" i="1"/>
  <c r="G1216" i="1"/>
  <c r="H1216" i="1"/>
  <c r="I1216" i="1"/>
  <c r="J1216" i="1"/>
  <c r="K1216" i="1"/>
  <c r="M1216" i="1"/>
  <c r="O1216" i="1"/>
  <c r="Q1216" i="1"/>
  <c r="R1216" i="1"/>
  <c r="W1216" i="1"/>
  <c r="AA1216" i="1"/>
  <c r="AB1216" i="1"/>
  <c r="AE1216" i="1"/>
  <c r="AF1216" i="1"/>
  <c r="AM1216" i="1"/>
  <c r="AN1216" i="1"/>
  <c r="AO1216" i="1"/>
  <c r="AQ1216" i="1"/>
  <c r="AX1216" i="1"/>
  <c r="BD1216" i="1"/>
  <c r="B1217" i="1"/>
  <c r="E1217" i="1"/>
  <c r="F1217" i="1"/>
  <c r="G1217" i="1"/>
  <c r="H1217" i="1"/>
  <c r="I1217" i="1"/>
  <c r="J1217" i="1"/>
  <c r="K1217" i="1"/>
  <c r="M1217" i="1"/>
  <c r="O1217" i="1"/>
  <c r="Q1217" i="1"/>
  <c r="R1217" i="1"/>
  <c r="W1217" i="1"/>
  <c r="AA1217" i="1"/>
  <c r="AB1217" i="1"/>
  <c r="AE1217" i="1"/>
  <c r="AF1217" i="1"/>
  <c r="AM1217" i="1"/>
  <c r="AN1217" i="1"/>
  <c r="AO1217" i="1"/>
  <c r="AQ1217" i="1"/>
  <c r="AX1217" i="1"/>
  <c r="BD1217" i="1"/>
  <c r="B1218" i="1"/>
  <c r="E1218" i="1"/>
  <c r="F1218" i="1"/>
  <c r="G1218" i="1"/>
  <c r="H1218" i="1"/>
  <c r="I1218" i="1"/>
  <c r="J1218" i="1"/>
  <c r="K1218" i="1"/>
  <c r="M1218" i="1"/>
  <c r="O1218" i="1"/>
  <c r="Q1218" i="1"/>
  <c r="R1218" i="1"/>
  <c r="W1218" i="1"/>
  <c r="AA1218" i="1"/>
  <c r="AM1218" i="1"/>
  <c r="AN1218" i="1"/>
  <c r="AO1218" i="1"/>
  <c r="AQ1218" i="1"/>
  <c r="BD1218" i="1"/>
  <c r="B1219" i="1"/>
  <c r="E1219" i="1"/>
  <c r="F1219" i="1"/>
  <c r="G1219" i="1"/>
  <c r="H1219" i="1"/>
  <c r="I1219" i="1"/>
  <c r="J1219" i="1"/>
  <c r="K1219" i="1"/>
  <c r="M1219" i="1"/>
  <c r="O1219" i="1"/>
  <c r="Q1219" i="1"/>
  <c r="R1219" i="1"/>
  <c r="W1219" i="1"/>
  <c r="AA1219" i="1"/>
  <c r="AM1219" i="1"/>
  <c r="AN1219" i="1"/>
  <c r="AO1219" i="1"/>
  <c r="AQ1219" i="1"/>
  <c r="BB1219" i="1"/>
  <c r="BD1219" i="1"/>
  <c r="B1220" i="1"/>
  <c r="E1220" i="1"/>
  <c r="F1220" i="1"/>
  <c r="G1220" i="1"/>
  <c r="H1220" i="1"/>
  <c r="I1220" i="1"/>
  <c r="J1220" i="1"/>
  <c r="K1220" i="1"/>
  <c r="M1220" i="1"/>
  <c r="O1220" i="1"/>
  <c r="Q1220" i="1"/>
  <c r="R1220" i="1"/>
  <c r="W1220" i="1"/>
  <c r="AA1220" i="1"/>
  <c r="AM1220" i="1"/>
  <c r="AN1220" i="1"/>
  <c r="AO1220" i="1"/>
  <c r="AQ1220" i="1"/>
  <c r="BB1220" i="1"/>
  <c r="BD1220" i="1"/>
  <c r="B1221" i="1"/>
  <c r="E1221" i="1"/>
  <c r="F1221" i="1"/>
  <c r="G1221" i="1"/>
  <c r="H1221" i="1"/>
  <c r="I1221" i="1"/>
  <c r="J1221" i="1"/>
  <c r="K1221" i="1"/>
  <c r="M1221" i="1"/>
  <c r="O1221" i="1"/>
  <c r="Q1221" i="1"/>
  <c r="R1221" i="1"/>
  <c r="W1221" i="1"/>
  <c r="AA1221" i="1"/>
  <c r="AM1221" i="1"/>
  <c r="AN1221" i="1"/>
  <c r="AO1221" i="1"/>
  <c r="AQ1221" i="1"/>
  <c r="BB1221" i="1"/>
  <c r="BD1221" i="1"/>
  <c r="B1222" i="1"/>
  <c r="E1222" i="1"/>
  <c r="F1222" i="1"/>
  <c r="G1222" i="1"/>
  <c r="H1222" i="1"/>
  <c r="I1222" i="1"/>
  <c r="J1222" i="1"/>
  <c r="K1222" i="1"/>
  <c r="M1222" i="1"/>
  <c r="O1222" i="1"/>
  <c r="Q1222" i="1"/>
  <c r="R1222" i="1"/>
  <c r="W1222" i="1"/>
  <c r="AA1222" i="1"/>
  <c r="AM1222" i="1"/>
  <c r="AN1222" i="1"/>
  <c r="AO1222" i="1"/>
  <c r="AQ1222" i="1"/>
  <c r="BB1222" i="1"/>
  <c r="BD1222" i="1"/>
  <c r="B1223" i="1"/>
  <c r="E1223" i="1"/>
  <c r="F1223" i="1"/>
  <c r="G1223" i="1"/>
  <c r="H1223" i="1"/>
  <c r="I1223" i="1"/>
  <c r="J1223" i="1"/>
  <c r="K1223" i="1"/>
  <c r="M1223" i="1"/>
  <c r="O1223" i="1"/>
  <c r="Q1223" i="1"/>
  <c r="R1223" i="1"/>
  <c r="W1223" i="1"/>
  <c r="AA1223" i="1"/>
  <c r="AM1223" i="1"/>
  <c r="AN1223" i="1"/>
  <c r="AO1223" i="1"/>
  <c r="AQ1223" i="1"/>
  <c r="BB1223" i="1"/>
  <c r="BD1223" i="1"/>
  <c r="B1224" i="1"/>
  <c r="E1224" i="1"/>
  <c r="F1224" i="1"/>
  <c r="G1224" i="1"/>
  <c r="H1224" i="1"/>
  <c r="I1224" i="1"/>
  <c r="J1224" i="1"/>
  <c r="K1224" i="1"/>
  <c r="M1224" i="1"/>
  <c r="O1224" i="1"/>
  <c r="Q1224" i="1"/>
  <c r="R1224" i="1"/>
  <c r="W1224" i="1"/>
  <c r="AA1224" i="1"/>
  <c r="AM1224" i="1"/>
  <c r="AN1224" i="1"/>
  <c r="AO1224" i="1"/>
  <c r="AQ1224" i="1"/>
  <c r="BB1224" i="1"/>
  <c r="BD1224" i="1"/>
  <c r="B1225" i="1"/>
  <c r="C1225" i="1"/>
  <c r="E1225" i="1"/>
  <c r="F1225" i="1"/>
  <c r="G1225" i="1"/>
  <c r="H1225" i="1"/>
  <c r="I1225" i="1"/>
  <c r="J1225" i="1"/>
  <c r="K1225" i="1"/>
  <c r="M1225" i="1"/>
  <c r="O1225" i="1"/>
  <c r="Q1225" i="1"/>
  <c r="R1225" i="1"/>
  <c r="W1225" i="1"/>
  <c r="AA1225" i="1"/>
  <c r="AB1225" i="1"/>
  <c r="AE1225" i="1"/>
  <c r="AF1225" i="1"/>
  <c r="AM1225" i="1"/>
  <c r="AN1225" i="1"/>
  <c r="AO1225" i="1"/>
  <c r="AQ1225" i="1"/>
  <c r="AX1225" i="1"/>
  <c r="BD1225" i="1"/>
  <c r="B1226" i="1"/>
  <c r="C1226" i="1"/>
  <c r="D1226" i="1"/>
  <c r="E1226" i="1"/>
  <c r="F1226" i="1"/>
  <c r="G1226" i="1"/>
  <c r="H1226" i="1"/>
  <c r="I1226" i="1"/>
  <c r="J1226" i="1"/>
  <c r="K1226" i="1"/>
  <c r="M1226" i="1"/>
  <c r="O1226" i="1"/>
  <c r="Q1226" i="1"/>
  <c r="R1226" i="1"/>
  <c r="W1226" i="1"/>
  <c r="AA1226" i="1"/>
  <c r="AB1226" i="1"/>
  <c r="AE1226" i="1"/>
  <c r="AF1226" i="1"/>
  <c r="AM1226" i="1"/>
  <c r="AN1226" i="1"/>
  <c r="AO1226" i="1"/>
  <c r="AQ1226" i="1"/>
  <c r="AX1226" i="1"/>
  <c r="BD1226" i="1"/>
  <c r="B1227" i="1"/>
  <c r="C1227" i="1"/>
  <c r="D1227" i="1"/>
  <c r="E1227" i="1"/>
  <c r="F1227" i="1"/>
  <c r="G1227" i="1"/>
  <c r="H1227" i="1"/>
  <c r="I1227" i="1"/>
  <c r="J1227" i="1"/>
  <c r="K1227" i="1"/>
  <c r="M1227" i="1"/>
  <c r="O1227" i="1"/>
  <c r="Q1227" i="1"/>
  <c r="R1227" i="1"/>
  <c r="W1227" i="1"/>
  <c r="AA1227" i="1"/>
  <c r="AB1227" i="1"/>
  <c r="AE1227" i="1"/>
  <c r="AF1227" i="1"/>
  <c r="AM1227" i="1"/>
  <c r="AN1227" i="1"/>
  <c r="AO1227" i="1"/>
  <c r="AQ1227" i="1"/>
  <c r="AX1227" i="1"/>
  <c r="BD1227" i="1"/>
  <c r="B1228" i="1"/>
  <c r="C1228" i="1"/>
  <c r="D1228" i="1"/>
  <c r="E1228" i="1"/>
  <c r="F1228" i="1"/>
  <c r="G1228" i="1"/>
  <c r="H1228" i="1"/>
  <c r="I1228" i="1"/>
  <c r="J1228" i="1"/>
  <c r="K1228" i="1"/>
  <c r="M1228" i="1"/>
  <c r="O1228" i="1"/>
  <c r="Q1228" i="1"/>
  <c r="R1228" i="1"/>
  <c r="W1228" i="1"/>
  <c r="AA1228" i="1"/>
  <c r="AB1228" i="1"/>
  <c r="AE1228" i="1"/>
  <c r="AF1228" i="1"/>
  <c r="AM1228" i="1"/>
  <c r="AN1228" i="1"/>
  <c r="AO1228" i="1"/>
  <c r="AQ1228" i="1"/>
  <c r="AX1228" i="1"/>
  <c r="BD1228" i="1"/>
  <c r="B1229" i="1"/>
  <c r="C1229" i="1"/>
  <c r="E1229" i="1"/>
  <c r="F1229" i="1"/>
  <c r="G1229" i="1"/>
  <c r="H1229" i="1"/>
  <c r="I1229" i="1"/>
  <c r="J1229" i="1"/>
  <c r="K1229" i="1"/>
  <c r="M1229" i="1"/>
  <c r="O1229" i="1"/>
  <c r="Q1229" i="1"/>
  <c r="R1229" i="1"/>
  <c r="W1229" i="1"/>
  <c r="AA1229" i="1"/>
  <c r="AB1229" i="1"/>
  <c r="AE1229" i="1"/>
  <c r="AF1229" i="1"/>
  <c r="AM1229" i="1"/>
  <c r="AN1229" i="1"/>
  <c r="AO1229" i="1"/>
  <c r="AQ1229" i="1"/>
  <c r="AX1229" i="1"/>
  <c r="BD1229" i="1"/>
  <c r="B1230" i="1"/>
  <c r="C1230" i="1"/>
  <c r="E1230" i="1"/>
  <c r="F1230" i="1"/>
  <c r="G1230" i="1"/>
  <c r="H1230" i="1"/>
  <c r="I1230" i="1"/>
  <c r="J1230" i="1"/>
  <c r="K1230" i="1"/>
  <c r="M1230" i="1"/>
  <c r="O1230" i="1"/>
  <c r="Q1230" i="1"/>
  <c r="R1230" i="1"/>
  <c r="W1230" i="1"/>
  <c r="AA1230" i="1"/>
  <c r="AB1230" i="1"/>
  <c r="AE1230" i="1"/>
  <c r="AF1230" i="1"/>
  <c r="AM1230" i="1"/>
  <c r="AN1230" i="1"/>
  <c r="AO1230" i="1"/>
  <c r="AQ1230" i="1"/>
  <c r="AX1230" i="1"/>
  <c r="BD1230" i="1"/>
  <c r="B1231" i="1"/>
  <c r="C1231" i="1"/>
  <c r="E1231" i="1"/>
  <c r="F1231" i="1"/>
  <c r="G1231" i="1"/>
  <c r="H1231" i="1"/>
  <c r="I1231" i="1"/>
  <c r="J1231" i="1"/>
  <c r="K1231" i="1"/>
  <c r="M1231" i="1"/>
  <c r="O1231" i="1"/>
  <c r="Q1231" i="1"/>
  <c r="R1231" i="1"/>
  <c r="W1231" i="1"/>
  <c r="AA1231" i="1"/>
  <c r="AB1231" i="1"/>
  <c r="AE1231" i="1"/>
  <c r="AF1231" i="1"/>
  <c r="AM1231" i="1"/>
  <c r="AN1231" i="1"/>
  <c r="AO1231" i="1"/>
  <c r="AQ1231" i="1"/>
  <c r="AX1231" i="1"/>
  <c r="BD1231" i="1"/>
  <c r="B1232" i="1"/>
  <c r="C1232" i="1"/>
  <c r="E1232" i="1"/>
  <c r="F1232" i="1"/>
  <c r="G1232" i="1"/>
  <c r="H1232" i="1"/>
  <c r="I1232" i="1"/>
  <c r="J1232" i="1"/>
  <c r="K1232" i="1"/>
  <c r="M1232" i="1"/>
  <c r="O1232" i="1"/>
  <c r="Q1232" i="1"/>
  <c r="R1232" i="1"/>
  <c r="W1232" i="1"/>
  <c r="AA1232" i="1"/>
  <c r="AB1232" i="1"/>
  <c r="AE1232" i="1"/>
  <c r="AF1232" i="1"/>
  <c r="AM1232" i="1"/>
  <c r="AN1232" i="1"/>
  <c r="AO1232" i="1"/>
  <c r="AQ1232" i="1"/>
  <c r="AX1232" i="1"/>
  <c r="BD1232" i="1"/>
  <c r="B1233" i="1"/>
  <c r="C1233" i="1"/>
  <c r="E1233" i="1"/>
  <c r="F1233" i="1"/>
  <c r="G1233" i="1"/>
  <c r="H1233" i="1"/>
  <c r="I1233" i="1"/>
  <c r="J1233" i="1"/>
  <c r="K1233" i="1"/>
  <c r="M1233" i="1"/>
  <c r="O1233" i="1"/>
  <c r="Q1233" i="1"/>
  <c r="R1233" i="1"/>
  <c r="W1233" i="1"/>
  <c r="AA1233" i="1"/>
  <c r="AB1233" i="1"/>
  <c r="AE1233" i="1"/>
  <c r="AF1233" i="1"/>
  <c r="AM1233" i="1"/>
  <c r="AN1233" i="1"/>
  <c r="AO1233" i="1"/>
  <c r="AQ1233" i="1"/>
  <c r="AX1233" i="1"/>
  <c r="BD1233" i="1"/>
  <c r="B1234" i="1"/>
  <c r="C1234" i="1"/>
  <c r="E1234" i="1"/>
  <c r="F1234" i="1"/>
  <c r="G1234" i="1"/>
  <c r="H1234" i="1"/>
  <c r="I1234" i="1"/>
  <c r="J1234" i="1"/>
  <c r="K1234" i="1"/>
  <c r="M1234" i="1"/>
  <c r="O1234" i="1"/>
  <c r="Q1234" i="1"/>
  <c r="R1234" i="1"/>
  <c r="W1234" i="1"/>
  <c r="AA1234" i="1"/>
  <c r="AB1234" i="1"/>
  <c r="AE1234" i="1"/>
  <c r="AF1234" i="1"/>
  <c r="AM1234" i="1"/>
  <c r="AN1234" i="1"/>
  <c r="AO1234" i="1"/>
  <c r="AQ1234" i="1"/>
  <c r="AX1234" i="1"/>
  <c r="BD1234" i="1"/>
  <c r="B1235" i="1"/>
  <c r="C1235" i="1"/>
  <c r="E1235" i="1"/>
  <c r="F1235" i="1"/>
  <c r="G1235" i="1"/>
  <c r="H1235" i="1"/>
  <c r="I1235" i="1"/>
  <c r="J1235" i="1"/>
  <c r="K1235" i="1"/>
  <c r="M1235" i="1"/>
  <c r="O1235" i="1"/>
  <c r="Q1235" i="1"/>
  <c r="R1235" i="1"/>
  <c r="W1235" i="1"/>
  <c r="AA1235" i="1"/>
  <c r="AB1235" i="1"/>
  <c r="AE1235" i="1"/>
  <c r="AF1235" i="1"/>
  <c r="AM1235" i="1"/>
  <c r="AN1235" i="1"/>
  <c r="AO1235" i="1"/>
  <c r="AQ1235" i="1"/>
  <c r="AX1235" i="1"/>
  <c r="BD1235" i="1"/>
  <c r="B1236" i="1"/>
  <c r="C1236" i="1"/>
  <c r="D1236" i="1"/>
  <c r="E1236" i="1"/>
  <c r="F1236" i="1"/>
  <c r="G1236" i="1"/>
  <c r="H1236" i="1"/>
  <c r="I1236" i="1"/>
  <c r="J1236" i="1"/>
  <c r="K1236" i="1"/>
  <c r="M1236" i="1"/>
  <c r="O1236" i="1"/>
  <c r="Q1236" i="1"/>
  <c r="R1236" i="1"/>
  <c r="W1236" i="1"/>
  <c r="AA1236" i="1"/>
  <c r="AB1236" i="1"/>
  <c r="AE1236" i="1"/>
  <c r="AF1236" i="1"/>
  <c r="AM1236" i="1"/>
  <c r="AN1236" i="1"/>
  <c r="AO1236" i="1"/>
  <c r="AQ1236" i="1"/>
  <c r="AX1236" i="1"/>
  <c r="BD1236" i="1"/>
  <c r="B1237" i="1"/>
  <c r="C1237" i="1"/>
  <c r="D1237" i="1"/>
  <c r="E1237" i="1"/>
  <c r="F1237" i="1"/>
  <c r="G1237" i="1"/>
  <c r="H1237" i="1"/>
  <c r="I1237" i="1"/>
  <c r="J1237" i="1"/>
  <c r="K1237" i="1"/>
  <c r="M1237" i="1"/>
  <c r="O1237" i="1"/>
  <c r="Q1237" i="1"/>
  <c r="R1237" i="1"/>
  <c r="W1237" i="1"/>
  <c r="AA1237" i="1"/>
  <c r="AB1237" i="1"/>
  <c r="AE1237" i="1"/>
  <c r="AF1237" i="1"/>
  <c r="AM1237" i="1"/>
  <c r="AN1237" i="1"/>
  <c r="AO1237" i="1"/>
  <c r="AQ1237" i="1"/>
  <c r="AX1237" i="1"/>
  <c r="BD1237" i="1"/>
  <c r="B1238" i="1"/>
  <c r="C1238" i="1"/>
  <c r="E1238" i="1"/>
  <c r="F1238" i="1"/>
  <c r="G1238" i="1"/>
  <c r="H1238" i="1"/>
  <c r="I1238" i="1"/>
  <c r="J1238" i="1"/>
  <c r="K1238" i="1"/>
  <c r="M1238" i="1"/>
  <c r="O1238" i="1"/>
  <c r="Q1238" i="1"/>
  <c r="R1238" i="1"/>
  <c r="W1238" i="1"/>
  <c r="AA1238" i="1"/>
  <c r="AB1238" i="1"/>
  <c r="AE1238" i="1"/>
  <c r="AF1238" i="1"/>
  <c r="AM1238" i="1"/>
  <c r="AN1238" i="1"/>
  <c r="AO1238" i="1"/>
  <c r="AQ1238" i="1"/>
  <c r="AX1238" i="1"/>
  <c r="BD1238" i="1"/>
  <c r="B1239" i="1"/>
  <c r="C1239" i="1"/>
  <c r="E1239" i="1"/>
  <c r="F1239" i="1"/>
  <c r="G1239" i="1"/>
  <c r="H1239" i="1"/>
  <c r="I1239" i="1"/>
  <c r="J1239" i="1"/>
  <c r="K1239" i="1"/>
  <c r="M1239" i="1"/>
  <c r="O1239" i="1"/>
  <c r="Q1239" i="1"/>
  <c r="R1239" i="1"/>
  <c r="W1239" i="1"/>
  <c r="AA1239" i="1"/>
  <c r="AB1239" i="1"/>
  <c r="AE1239" i="1"/>
  <c r="AF1239" i="1"/>
  <c r="AM1239" i="1"/>
  <c r="AN1239" i="1"/>
  <c r="AO1239" i="1"/>
  <c r="AQ1239" i="1"/>
  <c r="AX1239" i="1"/>
  <c r="BD1239" i="1"/>
  <c r="B1240" i="1"/>
  <c r="C1240" i="1"/>
  <c r="E1240" i="1"/>
  <c r="F1240" i="1"/>
  <c r="G1240" i="1"/>
  <c r="H1240" i="1"/>
  <c r="I1240" i="1"/>
  <c r="J1240" i="1"/>
  <c r="K1240" i="1"/>
  <c r="M1240" i="1"/>
  <c r="O1240" i="1"/>
  <c r="Q1240" i="1"/>
  <c r="R1240" i="1"/>
  <c r="W1240" i="1"/>
  <c r="AA1240" i="1"/>
  <c r="AB1240" i="1"/>
  <c r="AE1240" i="1"/>
  <c r="AF1240" i="1"/>
  <c r="AM1240" i="1"/>
  <c r="AN1240" i="1"/>
  <c r="AO1240" i="1"/>
  <c r="AQ1240" i="1"/>
  <c r="AX1240" i="1"/>
  <c r="BD1240" i="1"/>
  <c r="B1241" i="1"/>
  <c r="C1241" i="1"/>
  <c r="E1241" i="1"/>
  <c r="F1241" i="1"/>
  <c r="G1241" i="1"/>
  <c r="H1241" i="1"/>
  <c r="I1241" i="1"/>
  <c r="J1241" i="1"/>
  <c r="K1241" i="1"/>
  <c r="M1241" i="1"/>
  <c r="O1241" i="1"/>
  <c r="Q1241" i="1"/>
  <c r="R1241" i="1"/>
  <c r="W1241" i="1"/>
  <c r="AA1241" i="1"/>
  <c r="AB1241" i="1"/>
  <c r="AE1241" i="1"/>
  <c r="AF1241" i="1"/>
  <c r="AM1241" i="1"/>
  <c r="AN1241" i="1"/>
  <c r="AO1241" i="1"/>
  <c r="AQ1241" i="1"/>
  <c r="AX1241" i="1"/>
  <c r="BD1241" i="1"/>
  <c r="B1242" i="1"/>
  <c r="C1242" i="1"/>
  <c r="E1242" i="1"/>
  <c r="F1242" i="1"/>
  <c r="G1242" i="1"/>
  <c r="H1242" i="1"/>
  <c r="I1242" i="1"/>
  <c r="J1242" i="1"/>
  <c r="K1242" i="1"/>
  <c r="M1242" i="1"/>
  <c r="O1242" i="1"/>
  <c r="Q1242" i="1"/>
  <c r="R1242" i="1"/>
  <c r="W1242" i="1"/>
  <c r="AA1242" i="1"/>
  <c r="AB1242" i="1"/>
  <c r="AE1242" i="1"/>
  <c r="AF1242" i="1"/>
  <c r="AM1242" i="1"/>
  <c r="AN1242" i="1"/>
  <c r="AO1242" i="1"/>
  <c r="AQ1242" i="1"/>
  <c r="AX1242" i="1"/>
  <c r="BD1242" i="1"/>
  <c r="B1243" i="1"/>
  <c r="C1243" i="1"/>
  <c r="E1243" i="1"/>
  <c r="F1243" i="1"/>
  <c r="G1243" i="1"/>
  <c r="H1243" i="1"/>
  <c r="I1243" i="1"/>
  <c r="J1243" i="1"/>
  <c r="K1243" i="1"/>
  <c r="M1243" i="1"/>
  <c r="O1243" i="1"/>
  <c r="Q1243" i="1"/>
  <c r="R1243" i="1"/>
  <c r="W1243" i="1"/>
  <c r="AA1243" i="1"/>
  <c r="AB1243" i="1"/>
  <c r="AE1243" i="1"/>
  <c r="AF1243" i="1"/>
  <c r="AM1243" i="1"/>
  <c r="AN1243" i="1"/>
  <c r="AO1243" i="1"/>
  <c r="AQ1243" i="1"/>
  <c r="AX1243" i="1"/>
  <c r="BD1243" i="1"/>
  <c r="B1244" i="1"/>
  <c r="C1244" i="1"/>
  <c r="E1244" i="1"/>
  <c r="F1244" i="1"/>
  <c r="G1244" i="1"/>
  <c r="H1244" i="1"/>
  <c r="I1244" i="1"/>
  <c r="J1244" i="1"/>
  <c r="K1244" i="1"/>
  <c r="M1244" i="1"/>
  <c r="O1244" i="1"/>
  <c r="Q1244" i="1"/>
  <c r="R1244" i="1"/>
  <c r="W1244" i="1"/>
  <c r="AA1244" i="1"/>
  <c r="AB1244" i="1"/>
  <c r="AE1244" i="1"/>
  <c r="AF1244" i="1"/>
  <c r="AM1244" i="1"/>
  <c r="AN1244" i="1"/>
  <c r="AO1244" i="1"/>
  <c r="AQ1244" i="1"/>
  <c r="AX1244" i="1"/>
  <c r="BD1244" i="1"/>
  <c r="B1245" i="1"/>
  <c r="C1245" i="1"/>
  <c r="D1245" i="1"/>
  <c r="E1245" i="1"/>
  <c r="F1245" i="1"/>
  <c r="G1245" i="1"/>
  <c r="H1245" i="1"/>
  <c r="I1245" i="1"/>
  <c r="J1245" i="1"/>
  <c r="K1245" i="1"/>
  <c r="M1245" i="1"/>
  <c r="O1245" i="1"/>
  <c r="Q1245" i="1"/>
  <c r="R1245" i="1"/>
  <c r="W1245" i="1"/>
  <c r="AA1245" i="1"/>
  <c r="AB1245" i="1"/>
  <c r="AE1245" i="1"/>
  <c r="AF1245" i="1"/>
  <c r="AM1245" i="1"/>
  <c r="AN1245" i="1"/>
  <c r="AO1245" i="1"/>
  <c r="AQ1245" i="1"/>
  <c r="AX1245" i="1"/>
  <c r="BD1245" i="1"/>
  <c r="B1246" i="1"/>
  <c r="C1246" i="1"/>
  <c r="D1246" i="1"/>
  <c r="E1246" i="1"/>
  <c r="F1246" i="1"/>
  <c r="G1246" i="1"/>
  <c r="H1246" i="1"/>
  <c r="I1246" i="1"/>
  <c r="J1246" i="1"/>
  <c r="K1246" i="1"/>
  <c r="M1246" i="1"/>
  <c r="O1246" i="1"/>
  <c r="Q1246" i="1"/>
  <c r="R1246" i="1"/>
  <c r="W1246" i="1"/>
  <c r="AA1246" i="1"/>
  <c r="AB1246" i="1"/>
  <c r="AE1246" i="1"/>
  <c r="AF1246" i="1"/>
  <c r="AM1246" i="1"/>
  <c r="AN1246" i="1"/>
  <c r="AO1246" i="1"/>
  <c r="AQ1246" i="1"/>
  <c r="AX1246" i="1"/>
  <c r="BD1246" i="1"/>
  <c r="B1247" i="1"/>
  <c r="C1247" i="1"/>
  <c r="D1247" i="1"/>
  <c r="E1247" i="1"/>
  <c r="F1247" i="1"/>
  <c r="G1247" i="1"/>
  <c r="H1247" i="1"/>
  <c r="I1247" i="1"/>
  <c r="J1247" i="1"/>
  <c r="K1247" i="1"/>
  <c r="M1247" i="1"/>
  <c r="O1247" i="1"/>
  <c r="Q1247" i="1"/>
  <c r="R1247" i="1"/>
  <c r="W1247" i="1"/>
  <c r="AA1247" i="1"/>
  <c r="AB1247" i="1"/>
  <c r="AE1247" i="1"/>
  <c r="AF1247" i="1"/>
  <c r="AM1247" i="1"/>
  <c r="AN1247" i="1"/>
  <c r="AO1247" i="1"/>
  <c r="AQ1247" i="1"/>
  <c r="AX1247" i="1"/>
  <c r="BD1247" i="1"/>
  <c r="B1248" i="1"/>
  <c r="C1248" i="1"/>
  <c r="D1248" i="1"/>
  <c r="E1248" i="1"/>
  <c r="F1248" i="1"/>
  <c r="G1248" i="1"/>
  <c r="H1248" i="1"/>
  <c r="I1248" i="1"/>
  <c r="J1248" i="1"/>
  <c r="K1248" i="1"/>
  <c r="M1248" i="1"/>
  <c r="O1248" i="1"/>
  <c r="Q1248" i="1"/>
  <c r="R1248" i="1"/>
  <c r="W1248" i="1"/>
  <c r="AA1248" i="1"/>
  <c r="AB1248" i="1"/>
  <c r="AE1248" i="1"/>
  <c r="AF1248" i="1"/>
  <c r="AM1248" i="1"/>
  <c r="AN1248" i="1"/>
  <c r="AO1248" i="1"/>
  <c r="AQ1248" i="1"/>
  <c r="AX1248" i="1"/>
  <c r="BD1248" i="1"/>
  <c r="B1249" i="1"/>
  <c r="C1249" i="1"/>
  <c r="D1249" i="1"/>
  <c r="E1249" i="1"/>
  <c r="F1249" i="1"/>
  <c r="G1249" i="1"/>
  <c r="H1249" i="1"/>
  <c r="I1249" i="1"/>
  <c r="J1249" i="1"/>
  <c r="K1249" i="1"/>
  <c r="M1249" i="1"/>
  <c r="O1249" i="1"/>
  <c r="Q1249" i="1"/>
  <c r="R1249" i="1"/>
  <c r="W1249" i="1"/>
  <c r="AA1249" i="1"/>
  <c r="AB1249" i="1"/>
  <c r="AE1249" i="1"/>
  <c r="AF1249" i="1"/>
  <c r="AM1249" i="1"/>
  <c r="AN1249" i="1"/>
  <c r="AO1249" i="1"/>
  <c r="AQ1249" i="1"/>
  <c r="AX1249" i="1"/>
  <c r="BD1249" i="1"/>
  <c r="B1250" i="1"/>
  <c r="C1250" i="1"/>
  <c r="E1250" i="1"/>
  <c r="F1250" i="1"/>
  <c r="G1250" i="1"/>
  <c r="H1250" i="1"/>
  <c r="I1250" i="1"/>
  <c r="J1250" i="1"/>
  <c r="K1250" i="1"/>
  <c r="M1250" i="1"/>
  <c r="O1250" i="1"/>
  <c r="Q1250" i="1"/>
  <c r="R1250" i="1"/>
  <c r="W1250" i="1"/>
  <c r="AA1250" i="1"/>
  <c r="AM1250" i="1"/>
  <c r="AN1250" i="1"/>
  <c r="AO1250" i="1"/>
  <c r="AQ1250" i="1"/>
  <c r="BB1250" i="1"/>
  <c r="BD1250" i="1"/>
  <c r="B1251" i="1"/>
  <c r="C1251" i="1"/>
  <c r="E1251" i="1"/>
  <c r="F1251" i="1"/>
  <c r="G1251" i="1"/>
  <c r="H1251" i="1"/>
  <c r="I1251" i="1"/>
  <c r="J1251" i="1"/>
  <c r="K1251" i="1"/>
  <c r="M1251" i="1"/>
  <c r="O1251" i="1"/>
  <c r="Q1251" i="1"/>
  <c r="R1251" i="1"/>
  <c r="W1251" i="1"/>
  <c r="AA1251" i="1"/>
  <c r="AM1251" i="1"/>
  <c r="AN1251" i="1"/>
  <c r="AO1251" i="1"/>
  <c r="AQ1251" i="1"/>
  <c r="BB1251" i="1"/>
  <c r="BD1251" i="1"/>
  <c r="B1252" i="1"/>
  <c r="C1252" i="1"/>
  <c r="E1252" i="1"/>
  <c r="F1252" i="1"/>
  <c r="G1252" i="1"/>
  <c r="H1252" i="1"/>
  <c r="I1252" i="1"/>
  <c r="J1252" i="1"/>
  <c r="K1252" i="1"/>
  <c r="M1252" i="1"/>
  <c r="O1252" i="1"/>
  <c r="Q1252" i="1"/>
  <c r="R1252" i="1"/>
  <c r="W1252" i="1"/>
  <c r="AA1252" i="1"/>
  <c r="AM1252" i="1"/>
  <c r="AN1252" i="1"/>
  <c r="AO1252" i="1"/>
  <c r="AQ1252" i="1"/>
  <c r="BB1252" i="1"/>
  <c r="BD1252" i="1"/>
  <c r="B1253" i="1"/>
  <c r="C1253" i="1"/>
  <c r="E1253" i="1"/>
  <c r="F1253" i="1"/>
  <c r="G1253" i="1"/>
  <c r="H1253" i="1"/>
  <c r="I1253" i="1"/>
  <c r="J1253" i="1"/>
  <c r="K1253" i="1"/>
  <c r="M1253" i="1"/>
  <c r="O1253" i="1"/>
  <c r="Q1253" i="1"/>
  <c r="R1253" i="1"/>
  <c r="W1253" i="1"/>
  <c r="AA1253" i="1"/>
  <c r="AM1253" i="1"/>
  <c r="AN1253" i="1"/>
  <c r="AO1253" i="1"/>
  <c r="AQ1253" i="1"/>
  <c r="BB1253" i="1"/>
  <c r="BD1253" i="1"/>
  <c r="B1254" i="1"/>
  <c r="C1254" i="1"/>
  <c r="E1254" i="1"/>
  <c r="F1254" i="1"/>
  <c r="G1254" i="1"/>
  <c r="H1254" i="1"/>
  <c r="I1254" i="1"/>
  <c r="J1254" i="1"/>
  <c r="K1254" i="1"/>
  <c r="M1254" i="1"/>
  <c r="O1254" i="1"/>
  <c r="Q1254" i="1"/>
  <c r="R1254" i="1"/>
  <c r="W1254" i="1"/>
  <c r="AA1254" i="1"/>
  <c r="AM1254" i="1"/>
  <c r="AN1254" i="1"/>
  <c r="AO1254" i="1"/>
  <c r="AQ1254" i="1"/>
  <c r="BB1254" i="1"/>
  <c r="BD1254" i="1"/>
  <c r="B1255" i="1"/>
  <c r="C1255" i="1"/>
  <c r="E1255" i="1"/>
  <c r="F1255" i="1"/>
  <c r="G1255" i="1"/>
  <c r="H1255" i="1"/>
  <c r="I1255" i="1"/>
  <c r="J1255" i="1"/>
  <c r="K1255" i="1"/>
  <c r="M1255" i="1"/>
  <c r="O1255" i="1"/>
  <c r="Q1255" i="1"/>
  <c r="R1255" i="1"/>
  <c r="W1255" i="1"/>
  <c r="AA1255" i="1"/>
  <c r="AM1255" i="1"/>
  <c r="AN1255" i="1"/>
  <c r="AO1255" i="1"/>
  <c r="AQ1255" i="1"/>
  <c r="BB1255" i="1"/>
  <c r="BD1255" i="1"/>
  <c r="B1256" i="1"/>
  <c r="C1256" i="1"/>
  <c r="E1256" i="1"/>
  <c r="F1256" i="1"/>
  <c r="G1256" i="1"/>
  <c r="H1256" i="1"/>
  <c r="I1256" i="1"/>
  <c r="J1256" i="1"/>
  <c r="K1256" i="1"/>
  <c r="M1256" i="1"/>
  <c r="O1256" i="1"/>
  <c r="Q1256" i="1"/>
  <c r="R1256" i="1"/>
  <c r="W1256" i="1"/>
  <c r="AA1256" i="1"/>
  <c r="AB1256" i="1"/>
  <c r="AE1256" i="1"/>
  <c r="AF1256" i="1"/>
  <c r="AM1256" i="1"/>
  <c r="AN1256" i="1"/>
  <c r="AO1256" i="1"/>
  <c r="AQ1256" i="1"/>
  <c r="AX1256" i="1"/>
  <c r="BD1256" i="1"/>
  <c r="B1257" i="1"/>
  <c r="C1257" i="1"/>
  <c r="D1257" i="1"/>
  <c r="E1257" i="1"/>
  <c r="F1257" i="1"/>
  <c r="G1257" i="1"/>
  <c r="H1257" i="1"/>
  <c r="I1257" i="1"/>
  <c r="J1257" i="1"/>
  <c r="K1257" i="1"/>
  <c r="M1257" i="1"/>
  <c r="O1257" i="1"/>
  <c r="Q1257" i="1"/>
  <c r="R1257" i="1"/>
  <c r="W1257" i="1"/>
  <c r="AA1257" i="1"/>
  <c r="AB1257" i="1"/>
  <c r="AE1257" i="1"/>
  <c r="AF1257" i="1"/>
  <c r="AM1257" i="1"/>
  <c r="AN1257" i="1"/>
  <c r="AO1257" i="1"/>
  <c r="AQ1257" i="1"/>
  <c r="AX1257" i="1"/>
  <c r="BD1257" i="1"/>
  <c r="B1258" i="1"/>
  <c r="C1258" i="1"/>
  <c r="D1258" i="1"/>
  <c r="E1258" i="1"/>
  <c r="F1258" i="1"/>
  <c r="G1258" i="1"/>
  <c r="H1258" i="1"/>
  <c r="I1258" i="1"/>
  <c r="J1258" i="1"/>
  <c r="K1258" i="1"/>
  <c r="M1258" i="1"/>
  <c r="O1258" i="1"/>
  <c r="Q1258" i="1"/>
  <c r="R1258" i="1"/>
  <c r="W1258" i="1"/>
  <c r="AA1258" i="1"/>
  <c r="AB1258" i="1"/>
  <c r="AE1258" i="1"/>
  <c r="AF1258" i="1"/>
  <c r="AM1258" i="1"/>
  <c r="AN1258" i="1"/>
  <c r="AO1258" i="1"/>
  <c r="AQ1258" i="1"/>
  <c r="AX1258" i="1"/>
  <c r="BD1258" i="1"/>
  <c r="B1259" i="1"/>
  <c r="C1259" i="1"/>
  <c r="D1259" i="1"/>
  <c r="E1259" i="1"/>
  <c r="F1259" i="1"/>
  <c r="G1259" i="1"/>
  <c r="H1259" i="1"/>
  <c r="I1259" i="1"/>
  <c r="J1259" i="1"/>
  <c r="K1259" i="1"/>
  <c r="M1259" i="1"/>
  <c r="O1259" i="1"/>
  <c r="Q1259" i="1"/>
  <c r="R1259" i="1"/>
  <c r="W1259" i="1"/>
  <c r="AA1259" i="1"/>
  <c r="AB1259" i="1"/>
  <c r="AE1259" i="1"/>
  <c r="AF1259" i="1"/>
  <c r="AM1259" i="1"/>
  <c r="AN1259" i="1"/>
  <c r="AO1259" i="1"/>
  <c r="AQ1259" i="1"/>
  <c r="AX1259" i="1"/>
  <c r="BD1259" i="1"/>
  <c r="B1260" i="1"/>
  <c r="C1260" i="1"/>
  <c r="E1260" i="1"/>
  <c r="F1260" i="1"/>
  <c r="G1260" i="1"/>
  <c r="H1260" i="1"/>
  <c r="I1260" i="1"/>
  <c r="J1260" i="1"/>
  <c r="K1260" i="1"/>
  <c r="M1260" i="1"/>
  <c r="O1260" i="1"/>
  <c r="Q1260" i="1"/>
  <c r="R1260" i="1"/>
  <c r="W1260" i="1"/>
  <c r="AA1260" i="1"/>
  <c r="AM1260" i="1"/>
  <c r="AN1260" i="1"/>
  <c r="AO1260" i="1"/>
  <c r="AQ1260" i="1"/>
  <c r="BB1260" i="1"/>
  <c r="BD1260" i="1"/>
  <c r="B1261" i="1"/>
  <c r="C1261" i="1"/>
  <c r="E1261" i="1"/>
  <c r="F1261" i="1"/>
  <c r="G1261" i="1"/>
  <c r="H1261" i="1"/>
  <c r="I1261" i="1"/>
  <c r="J1261" i="1"/>
  <c r="K1261" i="1"/>
  <c r="M1261" i="1"/>
  <c r="O1261" i="1"/>
  <c r="Q1261" i="1"/>
  <c r="R1261" i="1"/>
  <c r="W1261" i="1"/>
  <c r="AA1261" i="1"/>
  <c r="AM1261" i="1"/>
  <c r="AN1261" i="1"/>
  <c r="AO1261" i="1"/>
  <c r="AQ1261" i="1"/>
  <c r="BB1261" i="1"/>
  <c r="BD1261" i="1"/>
  <c r="B1262" i="1"/>
  <c r="C1262" i="1"/>
  <c r="E1262" i="1"/>
  <c r="F1262" i="1"/>
  <c r="G1262" i="1"/>
  <c r="H1262" i="1"/>
  <c r="I1262" i="1"/>
  <c r="J1262" i="1"/>
  <c r="K1262" i="1"/>
  <c r="M1262" i="1"/>
  <c r="O1262" i="1"/>
  <c r="Q1262" i="1"/>
  <c r="R1262" i="1"/>
  <c r="W1262" i="1"/>
  <c r="AA1262" i="1"/>
  <c r="AB1262" i="1"/>
  <c r="AE1262" i="1"/>
  <c r="AF1262" i="1"/>
  <c r="AM1262" i="1"/>
  <c r="AN1262" i="1"/>
  <c r="AO1262" i="1"/>
  <c r="AQ1262" i="1"/>
  <c r="AX1262" i="1"/>
  <c r="BD1262" i="1"/>
  <c r="B1263" i="1"/>
  <c r="E1263" i="1"/>
  <c r="F1263" i="1"/>
  <c r="G1263" i="1"/>
  <c r="H1263" i="1"/>
  <c r="I1263" i="1"/>
  <c r="J1263" i="1"/>
  <c r="K1263" i="1"/>
  <c r="M1263" i="1"/>
  <c r="O1263" i="1"/>
  <c r="Q1263" i="1"/>
  <c r="R1263" i="1"/>
  <c r="W1263" i="1"/>
  <c r="AA1263" i="1"/>
  <c r="AB1263" i="1"/>
  <c r="AE1263" i="1"/>
  <c r="AF1263" i="1"/>
  <c r="AM1263" i="1"/>
  <c r="AN1263" i="1"/>
  <c r="AO1263" i="1"/>
  <c r="AQ1263" i="1"/>
  <c r="AX1263" i="1"/>
  <c r="BD1263" i="1"/>
  <c r="B1264" i="1"/>
  <c r="E1264" i="1"/>
  <c r="F1264" i="1"/>
  <c r="G1264" i="1"/>
  <c r="H1264" i="1"/>
  <c r="I1264" i="1"/>
  <c r="J1264" i="1"/>
  <c r="K1264" i="1"/>
  <c r="M1264" i="1"/>
  <c r="O1264" i="1"/>
  <c r="Q1264" i="1"/>
  <c r="R1264" i="1"/>
  <c r="W1264" i="1"/>
  <c r="AA1264" i="1"/>
  <c r="AB1264" i="1"/>
  <c r="AM1264" i="1"/>
  <c r="AN1264" i="1"/>
  <c r="AO1264" i="1"/>
  <c r="AQ1264" i="1"/>
  <c r="AX1264" i="1"/>
  <c r="BD1264" i="1"/>
  <c r="B1265" i="1"/>
  <c r="E1265" i="1"/>
  <c r="F1265" i="1"/>
  <c r="G1265" i="1"/>
  <c r="H1265" i="1"/>
  <c r="I1265" i="1"/>
  <c r="J1265" i="1"/>
  <c r="K1265" i="1"/>
  <c r="M1265" i="1"/>
  <c r="O1265" i="1"/>
  <c r="Q1265" i="1"/>
  <c r="R1265" i="1"/>
  <c r="W1265" i="1"/>
  <c r="AA1265" i="1"/>
  <c r="AM1265" i="1"/>
  <c r="AN1265" i="1"/>
  <c r="AO1265" i="1"/>
  <c r="AQ1265" i="1"/>
  <c r="BB1265" i="1"/>
  <c r="BD1265" i="1"/>
  <c r="B1266" i="1"/>
  <c r="E1266" i="1"/>
  <c r="F1266" i="1"/>
  <c r="G1266" i="1"/>
  <c r="H1266" i="1"/>
  <c r="I1266" i="1"/>
  <c r="J1266" i="1"/>
  <c r="K1266" i="1"/>
  <c r="M1266" i="1"/>
  <c r="O1266" i="1"/>
  <c r="Q1266" i="1"/>
  <c r="R1266" i="1"/>
  <c r="W1266" i="1"/>
  <c r="AA1266" i="1"/>
  <c r="AB1266" i="1"/>
  <c r="AM1266" i="1"/>
  <c r="AN1266" i="1"/>
  <c r="AO1266" i="1"/>
  <c r="AQ1266" i="1"/>
  <c r="AX1266" i="1"/>
  <c r="BD1266" i="1"/>
  <c r="B1267" i="1"/>
  <c r="E1267" i="1"/>
  <c r="F1267" i="1"/>
  <c r="G1267" i="1"/>
  <c r="H1267" i="1"/>
  <c r="I1267" i="1"/>
  <c r="J1267" i="1"/>
  <c r="K1267" i="1"/>
  <c r="M1267" i="1"/>
  <c r="O1267" i="1"/>
  <c r="Q1267" i="1"/>
  <c r="R1267" i="1"/>
  <c r="W1267" i="1"/>
  <c r="AA1267" i="1"/>
  <c r="AB1267" i="1"/>
  <c r="AE1267" i="1"/>
  <c r="AF1267" i="1"/>
  <c r="AM1267" i="1"/>
  <c r="AN1267" i="1"/>
  <c r="AO1267" i="1"/>
  <c r="AQ1267" i="1"/>
  <c r="AX1267" i="1"/>
  <c r="BD1267" i="1"/>
  <c r="B1268" i="1"/>
  <c r="E1268" i="1"/>
  <c r="F1268" i="1"/>
  <c r="G1268" i="1"/>
  <c r="H1268" i="1"/>
  <c r="I1268" i="1"/>
  <c r="J1268" i="1"/>
  <c r="K1268" i="1"/>
  <c r="M1268" i="1"/>
  <c r="O1268" i="1"/>
  <c r="Q1268" i="1"/>
  <c r="R1268" i="1"/>
  <c r="W1268" i="1"/>
  <c r="AA1268" i="1"/>
  <c r="AB1268" i="1"/>
  <c r="AE1268" i="1"/>
  <c r="AF1268" i="1"/>
  <c r="AM1268" i="1"/>
  <c r="AN1268" i="1"/>
  <c r="AO1268" i="1"/>
  <c r="AQ1268" i="1"/>
  <c r="AX1268" i="1"/>
  <c r="BD1268" i="1"/>
  <c r="B1269" i="1"/>
  <c r="E1269" i="1"/>
  <c r="F1269" i="1"/>
  <c r="G1269" i="1"/>
  <c r="H1269" i="1"/>
  <c r="I1269" i="1"/>
  <c r="J1269" i="1"/>
  <c r="K1269" i="1"/>
  <c r="M1269" i="1"/>
  <c r="O1269" i="1"/>
  <c r="Q1269" i="1"/>
  <c r="R1269" i="1"/>
  <c r="W1269" i="1"/>
  <c r="AA1269" i="1"/>
  <c r="AB1269" i="1"/>
  <c r="AM1269" i="1"/>
  <c r="AN1269" i="1"/>
  <c r="AO1269" i="1"/>
  <c r="AQ1269" i="1"/>
  <c r="AX1269" i="1"/>
  <c r="BD1269" i="1"/>
  <c r="B1270" i="1"/>
  <c r="E1270" i="1"/>
  <c r="F1270" i="1"/>
  <c r="G1270" i="1"/>
  <c r="H1270" i="1"/>
  <c r="I1270" i="1"/>
  <c r="J1270" i="1"/>
  <c r="K1270" i="1"/>
  <c r="M1270" i="1"/>
  <c r="O1270" i="1"/>
  <c r="Q1270" i="1"/>
  <c r="R1270" i="1"/>
  <c r="W1270" i="1"/>
  <c r="AA1270" i="1"/>
  <c r="AM1270" i="1"/>
  <c r="AN1270" i="1"/>
  <c r="AO1270" i="1"/>
  <c r="AQ1270" i="1"/>
  <c r="BB1270" i="1"/>
  <c r="BD1270" i="1"/>
  <c r="B1271" i="1"/>
  <c r="E1271" i="1"/>
  <c r="F1271" i="1"/>
  <c r="G1271" i="1"/>
  <c r="H1271" i="1"/>
  <c r="I1271" i="1"/>
  <c r="J1271" i="1"/>
  <c r="K1271" i="1"/>
  <c r="M1271" i="1"/>
  <c r="O1271" i="1"/>
  <c r="Q1271" i="1"/>
  <c r="R1271" i="1"/>
  <c r="W1271" i="1"/>
  <c r="AA1271" i="1"/>
  <c r="AM1271" i="1"/>
  <c r="AN1271" i="1"/>
  <c r="AO1271" i="1"/>
  <c r="AQ1271" i="1"/>
  <c r="BB1271" i="1"/>
  <c r="BD1271" i="1"/>
  <c r="B1272" i="1"/>
  <c r="E1272" i="1"/>
  <c r="F1272" i="1"/>
  <c r="G1272" i="1"/>
  <c r="H1272" i="1"/>
  <c r="I1272" i="1"/>
  <c r="J1272" i="1"/>
  <c r="K1272" i="1"/>
  <c r="M1272" i="1"/>
  <c r="O1272" i="1"/>
  <c r="Q1272" i="1"/>
  <c r="R1272" i="1"/>
  <c r="W1272" i="1"/>
  <c r="AA1272" i="1"/>
  <c r="AB1272" i="1"/>
  <c r="AM1272" i="1"/>
  <c r="AN1272" i="1"/>
  <c r="AO1272" i="1"/>
  <c r="AQ1272" i="1"/>
  <c r="AX1272" i="1"/>
  <c r="BD1272" i="1"/>
  <c r="B1273" i="1"/>
  <c r="C1273" i="1"/>
  <c r="D1273" i="1"/>
  <c r="E1273" i="1"/>
  <c r="F1273" i="1"/>
  <c r="G1273" i="1"/>
  <c r="H1273" i="1"/>
  <c r="I1273" i="1"/>
  <c r="J1273" i="1"/>
  <c r="K1273" i="1"/>
  <c r="M1273" i="1"/>
  <c r="O1273" i="1"/>
  <c r="Q1273" i="1"/>
  <c r="R1273" i="1"/>
  <c r="W1273" i="1"/>
  <c r="AA1273" i="1"/>
  <c r="AB1273" i="1"/>
  <c r="AE1273" i="1"/>
  <c r="AF1273" i="1"/>
  <c r="AM1273" i="1"/>
  <c r="AN1273" i="1"/>
  <c r="AO1273" i="1"/>
  <c r="AQ1273" i="1"/>
  <c r="AX1273" i="1"/>
  <c r="BD1273" i="1"/>
  <c r="B1274" i="1"/>
  <c r="C1274" i="1"/>
  <c r="E1274" i="1"/>
  <c r="F1274" i="1"/>
  <c r="G1274" i="1"/>
  <c r="H1274" i="1"/>
  <c r="I1274" i="1"/>
  <c r="J1274" i="1"/>
  <c r="K1274" i="1"/>
  <c r="M1274" i="1"/>
  <c r="O1274" i="1"/>
  <c r="Q1274" i="1"/>
  <c r="R1274" i="1"/>
  <c r="W1274" i="1"/>
  <c r="AA1274" i="1"/>
  <c r="AM1274" i="1"/>
  <c r="AN1274" i="1"/>
  <c r="AO1274" i="1"/>
  <c r="AQ1274" i="1"/>
  <c r="BB1274" i="1"/>
  <c r="BD1274" i="1"/>
  <c r="B1275" i="1"/>
  <c r="C1275" i="1"/>
  <c r="E1275" i="1"/>
  <c r="F1275" i="1"/>
  <c r="G1275" i="1"/>
  <c r="H1275" i="1"/>
  <c r="I1275" i="1"/>
  <c r="J1275" i="1"/>
  <c r="K1275" i="1"/>
  <c r="M1275" i="1"/>
  <c r="O1275" i="1"/>
  <c r="Q1275" i="1"/>
  <c r="R1275" i="1"/>
  <c r="W1275" i="1"/>
  <c r="AA1275" i="1"/>
  <c r="AM1275" i="1"/>
  <c r="AN1275" i="1"/>
  <c r="AO1275" i="1"/>
  <c r="AQ1275" i="1"/>
  <c r="BB1275" i="1"/>
  <c r="BD1275" i="1"/>
  <c r="B1276" i="1"/>
  <c r="E1276" i="1"/>
  <c r="F1276" i="1"/>
  <c r="G1276" i="1"/>
  <c r="H1276" i="1"/>
  <c r="I1276" i="1"/>
  <c r="J1276" i="1"/>
  <c r="K1276" i="1"/>
  <c r="M1276" i="1"/>
  <c r="O1276" i="1"/>
  <c r="Q1276" i="1"/>
  <c r="R1276" i="1"/>
  <c r="W1276" i="1"/>
  <c r="AA1276" i="1"/>
  <c r="AB1276" i="1"/>
  <c r="AM1276" i="1"/>
  <c r="AN1276" i="1"/>
  <c r="AO1276" i="1"/>
  <c r="AQ1276" i="1"/>
  <c r="AX1276" i="1"/>
  <c r="BD1276" i="1"/>
  <c r="B1277" i="1"/>
  <c r="E1277" i="1"/>
  <c r="F1277" i="1"/>
  <c r="G1277" i="1"/>
  <c r="H1277" i="1"/>
  <c r="I1277" i="1"/>
  <c r="J1277" i="1"/>
  <c r="K1277" i="1"/>
  <c r="M1277" i="1"/>
  <c r="O1277" i="1"/>
  <c r="Q1277" i="1"/>
  <c r="R1277" i="1"/>
  <c r="W1277" i="1"/>
  <c r="AA1277" i="1"/>
  <c r="AB1277" i="1"/>
  <c r="AE1277" i="1"/>
  <c r="AF1277" i="1"/>
  <c r="AM1277" i="1"/>
  <c r="AN1277" i="1"/>
  <c r="AO1277" i="1"/>
  <c r="AQ1277" i="1"/>
  <c r="AX1277" i="1"/>
  <c r="BD1277" i="1"/>
  <c r="B1278" i="1"/>
  <c r="E1278" i="1"/>
  <c r="F1278" i="1"/>
  <c r="G1278" i="1"/>
  <c r="H1278" i="1"/>
  <c r="I1278" i="1"/>
  <c r="J1278" i="1"/>
  <c r="K1278" i="1"/>
  <c r="M1278" i="1"/>
  <c r="O1278" i="1"/>
  <c r="Q1278" i="1"/>
  <c r="R1278" i="1"/>
  <c r="W1278" i="1"/>
  <c r="AA1278" i="1"/>
  <c r="AB1278" i="1"/>
  <c r="AM1278" i="1"/>
  <c r="AN1278" i="1"/>
  <c r="AO1278" i="1"/>
  <c r="AQ1278" i="1"/>
  <c r="AX1278" i="1"/>
  <c r="BD1278" i="1"/>
  <c r="B1279" i="1"/>
  <c r="E1279" i="1"/>
  <c r="F1279" i="1"/>
  <c r="G1279" i="1"/>
  <c r="H1279" i="1"/>
  <c r="I1279" i="1"/>
  <c r="J1279" i="1"/>
  <c r="K1279" i="1"/>
  <c r="M1279" i="1"/>
  <c r="O1279" i="1"/>
  <c r="Q1279" i="1"/>
  <c r="R1279" i="1"/>
  <c r="W1279" i="1"/>
  <c r="AA1279" i="1"/>
  <c r="AM1279" i="1"/>
  <c r="AN1279" i="1"/>
  <c r="AO1279" i="1"/>
  <c r="AQ1279" i="1"/>
  <c r="BB1279" i="1"/>
  <c r="BD1279" i="1"/>
  <c r="B1280" i="1"/>
  <c r="E1280" i="1"/>
  <c r="F1280" i="1"/>
  <c r="G1280" i="1"/>
  <c r="H1280" i="1"/>
  <c r="I1280" i="1"/>
  <c r="J1280" i="1"/>
  <c r="K1280" i="1"/>
  <c r="M1280" i="1"/>
  <c r="O1280" i="1"/>
  <c r="Q1280" i="1"/>
  <c r="R1280" i="1"/>
  <c r="W1280" i="1"/>
  <c r="AA1280" i="1"/>
  <c r="AM1280" i="1"/>
  <c r="AN1280" i="1"/>
  <c r="AO1280" i="1"/>
  <c r="AQ1280" i="1"/>
  <c r="BD1280" i="1"/>
  <c r="B1281" i="1"/>
  <c r="C1281" i="1"/>
  <c r="E1281" i="1"/>
  <c r="F1281" i="1"/>
  <c r="G1281" i="1"/>
  <c r="H1281" i="1"/>
  <c r="I1281" i="1"/>
  <c r="J1281" i="1"/>
  <c r="K1281" i="1"/>
  <c r="M1281" i="1"/>
  <c r="O1281" i="1"/>
  <c r="Q1281" i="1"/>
  <c r="R1281" i="1"/>
  <c r="W1281" i="1"/>
  <c r="AA1281" i="1"/>
  <c r="AB1281" i="1"/>
  <c r="AE1281" i="1"/>
  <c r="AF1281" i="1"/>
  <c r="AM1281" i="1"/>
  <c r="AN1281" i="1"/>
  <c r="AO1281" i="1"/>
  <c r="AQ1281" i="1"/>
  <c r="AX1281" i="1"/>
  <c r="BD1281" i="1"/>
  <c r="B1282" i="1"/>
  <c r="C1282" i="1"/>
  <c r="E1282" i="1"/>
  <c r="F1282" i="1"/>
  <c r="G1282" i="1"/>
  <c r="H1282" i="1"/>
  <c r="I1282" i="1"/>
  <c r="J1282" i="1"/>
  <c r="K1282" i="1"/>
  <c r="M1282" i="1"/>
  <c r="O1282" i="1"/>
  <c r="Q1282" i="1"/>
  <c r="R1282" i="1"/>
  <c r="W1282" i="1"/>
  <c r="AA1282" i="1"/>
  <c r="AB1282" i="1"/>
  <c r="AE1282" i="1"/>
  <c r="AF1282" i="1"/>
  <c r="AM1282" i="1"/>
  <c r="AN1282" i="1"/>
  <c r="AO1282" i="1"/>
  <c r="AQ1282" i="1"/>
  <c r="AX1282" i="1"/>
  <c r="BD1282" i="1"/>
  <c r="B1283" i="1"/>
  <c r="C1283" i="1"/>
  <c r="E1283" i="1"/>
  <c r="F1283" i="1"/>
  <c r="G1283" i="1"/>
  <c r="H1283" i="1"/>
  <c r="I1283" i="1"/>
  <c r="J1283" i="1"/>
  <c r="K1283" i="1"/>
  <c r="M1283" i="1"/>
  <c r="O1283" i="1"/>
  <c r="Q1283" i="1"/>
  <c r="R1283" i="1"/>
  <c r="W1283" i="1"/>
  <c r="AA1283" i="1"/>
  <c r="AB1283" i="1"/>
  <c r="AE1283" i="1"/>
  <c r="AF1283" i="1"/>
  <c r="AM1283" i="1"/>
  <c r="AN1283" i="1"/>
  <c r="AO1283" i="1"/>
  <c r="AQ1283" i="1"/>
  <c r="AX1283" i="1"/>
  <c r="BD1283" i="1"/>
  <c r="B1284" i="1"/>
  <c r="C1284" i="1"/>
  <c r="E1284" i="1"/>
  <c r="F1284" i="1"/>
  <c r="G1284" i="1"/>
  <c r="H1284" i="1"/>
  <c r="I1284" i="1"/>
  <c r="J1284" i="1"/>
  <c r="K1284" i="1"/>
  <c r="M1284" i="1"/>
  <c r="O1284" i="1"/>
  <c r="Q1284" i="1"/>
  <c r="R1284" i="1"/>
  <c r="W1284" i="1"/>
  <c r="AA1284" i="1"/>
  <c r="AB1284" i="1"/>
  <c r="AE1284" i="1"/>
  <c r="AF1284" i="1"/>
  <c r="AM1284" i="1"/>
  <c r="AN1284" i="1"/>
  <c r="AO1284" i="1"/>
  <c r="AQ1284" i="1"/>
  <c r="AX1284" i="1"/>
  <c r="BD1284" i="1"/>
  <c r="B1285" i="1"/>
  <c r="C1285" i="1"/>
  <c r="E1285" i="1"/>
  <c r="F1285" i="1"/>
  <c r="G1285" i="1"/>
  <c r="H1285" i="1"/>
  <c r="I1285" i="1"/>
  <c r="J1285" i="1"/>
  <c r="K1285" i="1"/>
  <c r="M1285" i="1"/>
  <c r="O1285" i="1"/>
  <c r="Q1285" i="1"/>
  <c r="R1285" i="1"/>
  <c r="W1285" i="1"/>
  <c r="AA1285" i="1"/>
  <c r="AB1285" i="1"/>
  <c r="AE1285" i="1"/>
  <c r="AF1285" i="1"/>
  <c r="AM1285" i="1"/>
  <c r="AN1285" i="1"/>
  <c r="AO1285" i="1"/>
  <c r="AQ1285" i="1"/>
  <c r="AX1285" i="1"/>
  <c r="BD1285" i="1"/>
  <c r="B1286" i="1"/>
  <c r="C1286" i="1"/>
  <c r="E1286" i="1"/>
  <c r="F1286" i="1"/>
  <c r="G1286" i="1"/>
  <c r="H1286" i="1"/>
  <c r="I1286" i="1"/>
  <c r="J1286" i="1"/>
  <c r="K1286" i="1"/>
  <c r="M1286" i="1"/>
  <c r="O1286" i="1"/>
  <c r="Q1286" i="1"/>
  <c r="R1286" i="1"/>
  <c r="W1286" i="1"/>
  <c r="AA1286" i="1"/>
  <c r="AB1286" i="1"/>
  <c r="AE1286" i="1"/>
  <c r="AF1286" i="1"/>
  <c r="AM1286" i="1"/>
  <c r="AN1286" i="1"/>
  <c r="AO1286" i="1"/>
  <c r="AQ1286" i="1"/>
  <c r="AX1286" i="1"/>
  <c r="BD1286" i="1"/>
  <c r="B1287" i="1"/>
  <c r="C1287" i="1"/>
  <c r="E1287" i="1"/>
  <c r="F1287" i="1"/>
  <c r="G1287" i="1"/>
  <c r="H1287" i="1"/>
  <c r="I1287" i="1"/>
  <c r="J1287" i="1"/>
  <c r="K1287" i="1"/>
  <c r="M1287" i="1"/>
  <c r="O1287" i="1"/>
  <c r="Q1287" i="1"/>
  <c r="R1287" i="1"/>
  <c r="W1287" i="1"/>
  <c r="AA1287" i="1"/>
  <c r="AB1287" i="1"/>
  <c r="AE1287" i="1"/>
  <c r="AF1287" i="1"/>
  <c r="AM1287" i="1"/>
  <c r="AN1287" i="1"/>
  <c r="AO1287" i="1"/>
  <c r="AQ1287" i="1"/>
  <c r="AX1287" i="1"/>
  <c r="BD1287" i="1"/>
  <c r="B1288" i="1"/>
  <c r="C1288" i="1"/>
  <c r="E1288" i="1"/>
  <c r="F1288" i="1"/>
  <c r="G1288" i="1"/>
  <c r="H1288" i="1"/>
  <c r="I1288" i="1"/>
  <c r="J1288" i="1"/>
  <c r="K1288" i="1"/>
  <c r="M1288" i="1"/>
  <c r="O1288" i="1"/>
  <c r="Q1288" i="1"/>
  <c r="R1288" i="1"/>
  <c r="W1288" i="1"/>
  <c r="AA1288" i="1"/>
  <c r="AB1288" i="1"/>
  <c r="AE1288" i="1"/>
  <c r="AF1288" i="1"/>
  <c r="AM1288" i="1"/>
  <c r="AN1288" i="1"/>
  <c r="AO1288" i="1"/>
  <c r="AQ1288" i="1"/>
  <c r="AX1288" i="1"/>
  <c r="BD1288" i="1"/>
  <c r="B1289" i="1"/>
  <c r="C1289" i="1"/>
  <c r="E1289" i="1"/>
  <c r="F1289" i="1"/>
  <c r="G1289" i="1"/>
  <c r="H1289" i="1"/>
  <c r="I1289" i="1"/>
  <c r="J1289" i="1"/>
  <c r="K1289" i="1"/>
  <c r="M1289" i="1"/>
  <c r="O1289" i="1"/>
  <c r="Q1289" i="1"/>
  <c r="R1289" i="1"/>
  <c r="W1289" i="1"/>
  <c r="AA1289" i="1"/>
  <c r="AB1289" i="1"/>
  <c r="AE1289" i="1"/>
  <c r="AF1289" i="1"/>
  <c r="AM1289" i="1"/>
  <c r="AN1289" i="1"/>
  <c r="AO1289" i="1"/>
  <c r="AQ1289" i="1"/>
  <c r="AX1289" i="1"/>
  <c r="BD1289" i="1"/>
  <c r="B1290" i="1"/>
  <c r="C1290" i="1"/>
  <c r="E1290" i="1"/>
  <c r="F1290" i="1"/>
  <c r="G1290" i="1"/>
  <c r="H1290" i="1"/>
  <c r="I1290" i="1"/>
  <c r="J1290" i="1"/>
  <c r="K1290" i="1"/>
  <c r="M1290" i="1"/>
  <c r="O1290" i="1"/>
  <c r="Q1290" i="1"/>
  <c r="R1290" i="1"/>
  <c r="W1290" i="1"/>
  <c r="AA1290" i="1"/>
  <c r="AB1290" i="1"/>
  <c r="AE1290" i="1"/>
  <c r="AF1290" i="1"/>
  <c r="AM1290" i="1"/>
  <c r="AN1290" i="1"/>
  <c r="AO1290" i="1"/>
  <c r="AQ1290" i="1"/>
  <c r="AX1290" i="1"/>
  <c r="BD1290" i="1"/>
  <c r="B1291" i="1"/>
  <c r="C1291" i="1"/>
  <c r="E1291" i="1"/>
  <c r="F1291" i="1"/>
  <c r="G1291" i="1"/>
  <c r="H1291" i="1"/>
  <c r="I1291" i="1"/>
  <c r="J1291" i="1"/>
  <c r="K1291" i="1"/>
  <c r="M1291" i="1"/>
  <c r="O1291" i="1"/>
  <c r="Q1291" i="1"/>
  <c r="R1291" i="1"/>
  <c r="W1291" i="1"/>
  <c r="AA1291" i="1"/>
  <c r="AM1291" i="1"/>
  <c r="AN1291" i="1"/>
  <c r="AO1291" i="1"/>
  <c r="AQ1291" i="1"/>
  <c r="BB1291" i="1"/>
  <c r="BD1291" i="1"/>
  <c r="B1292" i="1"/>
  <c r="C1292" i="1"/>
  <c r="E1292" i="1"/>
  <c r="F1292" i="1"/>
  <c r="G1292" i="1"/>
  <c r="H1292" i="1"/>
  <c r="I1292" i="1"/>
  <c r="J1292" i="1"/>
  <c r="K1292" i="1"/>
  <c r="M1292" i="1"/>
  <c r="O1292" i="1"/>
  <c r="Q1292" i="1"/>
  <c r="R1292" i="1"/>
  <c r="W1292" i="1"/>
  <c r="AA1292" i="1"/>
  <c r="AB1292" i="1"/>
  <c r="AE1292" i="1"/>
  <c r="AF1292" i="1"/>
  <c r="AM1292" i="1"/>
  <c r="AN1292" i="1"/>
  <c r="AO1292" i="1"/>
  <c r="AQ1292" i="1"/>
  <c r="AX1292" i="1"/>
  <c r="BD1292" i="1"/>
  <c r="B1293" i="1"/>
  <c r="C1293" i="1"/>
  <c r="E1293" i="1"/>
  <c r="F1293" i="1"/>
  <c r="G1293" i="1"/>
  <c r="H1293" i="1"/>
  <c r="I1293" i="1"/>
  <c r="J1293" i="1"/>
  <c r="K1293" i="1"/>
  <c r="M1293" i="1"/>
  <c r="O1293" i="1"/>
  <c r="Q1293" i="1"/>
  <c r="R1293" i="1"/>
  <c r="W1293" i="1"/>
  <c r="AA1293" i="1"/>
  <c r="AM1293" i="1"/>
  <c r="AN1293" i="1"/>
  <c r="AO1293" i="1"/>
  <c r="AQ1293" i="1"/>
  <c r="BB1293" i="1"/>
  <c r="BD1293" i="1"/>
  <c r="B1294" i="1"/>
  <c r="C1294" i="1"/>
  <c r="E1294" i="1"/>
  <c r="F1294" i="1"/>
  <c r="G1294" i="1"/>
  <c r="H1294" i="1"/>
  <c r="I1294" i="1"/>
  <c r="J1294" i="1"/>
  <c r="K1294" i="1"/>
  <c r="M1294" i="1"/>
  <c r="O1294" i="1"/>
  <c r="Q1294" i="1"/>
  <c r="R1294" i="1"/>
  <c r="W1294" i="1"/>
  <c r="AA1294" i="1"/>
  <c r="AM1294" i="1"/>
  <c r="AN1294" i="1"/>
  <c r="AO1294" i="1"/>
  <c r="AQ1294" i="1"/>
  <c r="BB1294" i="1"/>
  <c r="BD1294" i="1"/>
  <c r="B1295" i="1"/>
  <c r="C1295" i="1"/>
  <c r="E1295" i="1"/>
  <c r="F1295" i="1"/>
  <c r="G1295" i="1"/>
  <c r="H1295" i="1"/>
  <c r="I1295" i="1"/>
  <c r="J1295" i="1"/>
  <c r="K1295" i="1"/>
  <c r="M1295" i="1"/>
  <c r="O1295" i="1"/>
  <c r="Q1295" i="1"/>
  <c r="R1295" i="1"/>
  <c r="W1295" i="1"/>
  <c r="AA1295" i="1"/>
  <c r="AM1295" i="1"/>
  <c r="AN1295" i="1"/>
  <c r="AO1295" i="1"/>
  <c r="AQ1295" i="1"/>
  <c r="BB1295" i="1"/>
  <c r="BD1295" i="1"/>
  <c r="B1296" i="1"/>
  <c r="C1296" i="1"/>
  <c r="E1296" i="1"/>
  <c r="F1296" i="1"/>
  <c r="G1296" i="1"/>
  <c r="H1296" i="1"/>
  <c r="I1296" i="1"/>
  <c r="J1296" i="1"/>
  <c r="K1296" i="1"/>
  <c r="M1296" i="1"/>
  <c r="O1296" i="1"/>
  <c r="Q1296" i="1"/>
  <c r="R1296" i="1"/>
  <c r="W1296" i="1"/>
  <c r="AA1296" i="1"/>
  <c r="AM1296" i="1"/>
  <c r="AN1296" i="1"/>
  <c r="AO1296" i="1"/>
  <c r="AQ1296" i="1"/>
  <c r="BB1296" i="1"/>
  <c r="BD1296" i="1"/>
  <c r="B1297" i="1"/>
  <c r="E1297" i="1"/>
  <c r="F1297" i="1"/>
  <c r="G1297" i="1"/>
  <c r="H1297" i="1"/>
  <c r="I1297" i="1"/>
  <c r="J1297" i="1"/>
  <c r="K1297" i="1"/>
  <c r="M1297" i="1"/>
  <c r="O1297" i="1"/>
  <c r="Q1297" i="1"/>
  <c r="R1297" i="1"/>
  <c r="W1297" i="1"/>
  <c r="AA1297" i="1"/>
  <c r="AM1297" i="1"/>
  <c r="AN1297" i="1"/>
  <c r="AO1297" i="1"/>
  <c r="AQ1297" i="1"/>
  <c r="BB1297" i="1"/>
  <c r="BD1297" i="1"/>
  <c r="B1298" i="1"/>
  <c r="E1298" i="1"/>
  <c r="F1298" i="1"/>
  <c r="G1298" i="1"/>
  <c r="H1298" i="1"/>
  <c r="I1298" i="1"/>
  <c r="J1298" i="1"/>
  <c r="K1298" i="1"/>
  <c r="M1298" i="1"/>
  <c r="O1298" i="1"/>
  <c r="Q1298" i="1"/>
  <c r="R1298" i="1"/>
  <c r="W1298" i="1"/>
  <c r="AA1298" i="1"/>
  <c r="AM1298" i="1"/>
  <c r="AN1298" i="1"/>
  <c r="AO1298" i="1"/>
  <c r="AQ1298" i="1"/>
  <c r="BB1298" i="1"/>
  <c r="BD1298" i="1"/>
  <c r="B1299" i="1"/>
  <c r="E1299" i="1"/>
  <c r="F1299" i="1"/>
  <c r="G1299" i="1"/>
  <c r="H1299" i="1"/>
  <c r="I1299" i="1"/>
  <c r="J1299" i="1"/>
  <c r="K1299" i="1"/>
  <c r="M1299" i="1"/>
  <c r="O1299" i="1"/>
  <c r="Q1299" i="1"/>
  <c r="R1299" i="1"/>
  <c r="W1299" i="1"/>
  <c r="AA1299" i="1"/>
  <c r="AM1299" i="1"/>
  <c r="AN1299" i="1"/>
  <c r="AO1299" i="1"/>
  <c r="AQ1299" i="1"/>
  <c r="BB1299" i="1"/>
  <c r="BD1299" i="1"/>
  <c r="B1300" i="1"/>
  <c r="C1300" i="1"/>
  <c r="E1300" i="1"/>
  <c r="F1300" i="1"/>
  <c r="G1300" i="1"/>
  <c r="H1300" i="1"/>
  <c r="I1300" i="1"/>
  <c r="J1300" i="1"/>
  <c r="K1300" i="1"/>
  <c r="M1300" i="1"/>
  <c r="O1300" i="1"/>
  <c r="Q1300" i="1"/>
  <c r="R1300" i="1"/>
  <c r="W1300" i="1"/>
  <c r="AA1300" i="1"/>
  <c r="AM1300" i="1"/>
  <c r="AN1300" i="1"/>
  <c r="AO1300" i="1"/>
  <c r="AQ1300" i="1"/>
  <c r="BB1300" i="1"/>
  <c r="BD1300" i="1"/>
  <c r="B1301" i="1"/>
  <c r="C1301" i="1"/>
  <c r="D1301" i="1"/>
  <c r="E1301" i="1"/>
  <c r="F1301" i="1"/>
  <c r="G1301" i="1"/>
  <c r="H1301" i="1"/>
  <c r="I1301" i="1"/>
  <c r="J1301" i="1"/>
  <c r="K1301" i="1"/>
  <c r="M1301" i="1"/>
  <c r="O1301" i="1"/>
  <c r="Q1301" i="1"/>
  <c r="R1301" i="1"/>
  <c r="W1301" i="1"/>
  <c r="AA1301" i="1"/>
  <c r="AB1301" i="1"/>
  <c r="AE1301" i="1"/>
  <c r="AF1301" i="1"/>
  <c r="AM1301" i="1"/>
  <c r="AN1301" i="1"/>
  <c r="AO1301" i="1"/>
  <c r="AQ1301" i="1"/>
  <c r="AX1301" i="1"/>
  <c r="BD1301" i="1"/>
  <c r="B1302" i="1"/>
  <c r="C1302" i="1"/>
  <c r="E1302" i="1"/>
  <c r="F1302" i="1"/>
  <c r="G1302" i="1"/>
  <c r="H1302" i="1"/>
  <c r="I1302" i="1"/>
  <c r="J1302" i="1"/>
  <c r="K1302" i="1"/>
  <c r="M1302" i="1"/>
  <c r="O1302" i="1"/>
  <c r="Q1302" i="1"/>
  <c r="R1302" i="1"/>
  <c r="W1302" i="1"/>
  <c r="AA1302" i="1"/>
  <c r="AB1302" i="1"/>
  <c r="AE1302" i="1"/>
  <c r="AF1302" i="1"/>
  <c r="AM1302" i="1"/>
  <c r="AN1302" i="1"/>
  <c r="AO1302" i="1"/>
  <c r="AQ1302" i="1"/>
  <c r="AX1302" i="1"/>
  <c r="BD1302" i="1"/>
  <c r="B1303" i="1"/>
  <c r="C1303" i="1"/>
  <c r="E1303" i="1"/>
  <c r="F1303" i="1"/>
  <c r="G1303" i="1"/>
  <c r="H1303" i="1"/>
  <c r="I1303" i="1"/>
  <c r="J1303" i="1"/>
  <c r="K1303" i="1"/>
  <c r="M1303" i="1"/>
  <c r="O1303" i="1"/>
  <c r="Q1303" i="1"/>
  <c r="R1303" i="1"/>
  <c r="W1303" i="1"/>
  <c r="AA1303" i="1"/>
  <c r="AB1303" i="1"/>
  <c r="AE1303" i="1"/>
  <c r="AF1303" i="1"/>
  <c r="AM1303" i="1"/>
  <c r="AN1303" i="1"/>
  <c r="AO1303" i="1"/>
  <c r="AQ1303" i="1"/>
  <c r="AX1303" i="1"/>
  <c r="BD1303" i="1"/>
  <c r="B1304" i="1"/>
  <c r="C1304" i="1"/>
  <c r="E1304" i="1"/>
  <c r="F1304" i="1"/>
  <c r="G1304" i="1"/>
  <c r="H1304" i="1"/>
  <c r="I1304" i="1"/>
  <c r="J1304" i="1"/>
  <c r="K1304" i="1"/>
  <c r="M1304" i="1"/>
  <c r="O1304" i="1"/>
  <c r="Q1304" i="1"/>
  <c r="R1304" i="1"/>
  <c r="W1304" i="1"/>
  <c r="AA1304" i="1"/>
  <c r="AB1304" i="1"/>
  <c r="AE1304" i="1"/>
  <c r="AF1304" i="1"/>
  <c r="AM1304" i="1"/>
  <c r="AN1304" i="1"/>
  <c r="AO1304" i="1"/>
  <c r="AQ1304" i="1"/>
  <c r="AX1304" i="1"/>
  <c r="BD1304" i="1"/>
  <c r="B1305" i="1"/>
  <c r="C1305" i="1"/>
  <c r="E1305" i="1"/>
  <c r="F1305" i="1"/>
  <c r="G1305" i="1"/>
  <c r="H1305" i="1"/>
  <c r="I1305" i="1"/>
  <c r="J1305" i="1"/>
  <c r="K1305" i="1"/>
  <c r="M1305" i="1"/>
  <c r="O1305" i="1"/>
  <c r="Q1305" i="1"/>
  <c r="R1305" i="1"/>
  <c r="W1305" i="1"/>
  <c r="AA1305" i="1"/>
  <c r="AB1305" i="1"/>
  <c r="AE1305" i="1"/>
  <c r="AF1305" i="1"/>
  <c r="AM1305" i="1"/>
  <c r="AN1305" i="1"/>
  <c r="AO1305" i="1"/>
  <c r="AQ1305" i="1"/>
  <c r="AX1305" i="1"/>
  <c r="BD1305" i="1"/>
  <c r="B1306" i="1"/>
  <c r="C1306" i="1"/>
  <c r="E1306" i="1"/>
  <c r="F1306" i="1"/>
  <c r="G1306" i="1"/>
  <c r="H1306" i="1"/>
  <c r="I1306" i="1"/>
  <c r="J1306" i="1"/>
  <c r="K1306" i="1"/>
  <c r="M1306" i="1"/>
  <c r="O1306" i="1"/>
  <c r="Q1306" i="1"/>
  <c r="R1306" i="1"/>
  <c r="W1306" i="1"/>
  <c r="AA1306" i="1"/>
  <c r="AB1306" i="1"/>
  <c r="AE1306" i="1"/>
  <c r="AF1306" i="1"/>
  <c r="AM1306" i="1"/>
  <c r="AN1306" i="1"/>
  <c r="AO1306" i="1"/>
  <c r="AQ1306" i="1"/>
  <c r="AX1306" i="1"/>
  <c r="BD1306" i="1"/>
  <c r="B1307" i="1"/>
  <c r="C1307" i="1"/>
  <c r="D1307" i="1"/>
  <c r="E1307" i="1"/>
  <c r="F1307" i="1"/>
  <c r="G1307" i="1"/>
  <c r="H1307" i="1"/>
  <c r="I1307" i="1"/>
  <c r="J1307" i="1"/>
  <c r="K1307" i="1"/>
  <c r="M1307" i="1"/>
  <c r="O1307" i="1"/>
  <c r="Q1307" i="1"/>
  <c r="R1307" i="1"/>
  <c r="W1307" i="1"/>
  <c r="AA1307" i="1"/>
  <c r="AB1307" i="1"/>
  <c r="AE1307" i="1"/>
  <c r="AF1307" i="1"/>
  <c r="AM1307" i="1"/>
  <c r="AN1307" i="1"/>
  <c r="AO1307" i="1"/>
  <c r="AQ1307" i="1"/>
  <c r="AX1307" i="1"/>
  <c r="BD1307" i="1"/>
  <c r="B1308" i="1"/>
  <c r="C1308" i="1"/>
  <c r="D1308" i="1"/>
  <c r="E1308" i="1"/>
  <c r="F1308" i="1"/>
  <c r="G1308" i="1"/>
  <c r="H1308" i="1"/>
  <c r="I1308" i="1"/>
  <c r="J1308" i="1"/>
  <c r="K1308" i="1"/>
  <c r="M1308" i="1"/>
  <c r="O1308" i="1"/>
  <c r="Q1308" i="1"/>
  <c r="R1308" i="1"/>
  <c r="W1308" i="1"/>
  <c r="AA1308" i="1"/>
  <c r="AB1308" i="1"/>
  <c r="AE1308" i="1"/>
  <c r="AF1308" i="1"/>
  <c r="AM1308" i="1"/>
  <c r="AN1308" i="1"/>
  <c r="AO1308" i="1"/>
  <c r="AQ1308" i="1"/>
  <c r="AX1308" i="1"/>
  <c r="BD1308" i="1"/>
  <c r="B1309" i="1"/>
  <c r="C1309" i="1"/>
  <c r="E1309" i="1"/>
  <c r="F1309" i="1"/>
  <c r="G1309" i="1"/>
  <c r="H1309" i="1"/>
  <c r="I1309" i="1"/>
  <c r="J1309" i="1"/>
  <c r="K1309" i="1"/>
  <c r="M1309" i="1"/>
  <c r="O1309" i="1"/>
  <c r="Q1309" i="1"/>
  <c r="R1309" i="1"/>
  <c r="W1309" i="1"/>
  <c r="AA1309" i="1"/>
  <c r="AM1309" i="1"/>
  <c r="AN1309" i="1"/>
  <c r="AO1309" i="1"/>
  <c r="AQ1309" i="1"/>
  <c r="BB1309" i="1"/>
  <c r="BD1309" i="1"/>
  <c r="B1310" i="1"/>
  <c r="C1310" i="1"/>
  <c r="E1310" i="1"/>
  <c r="F1310" i="1"/>
  <c r="G1310" i="1"/>
  <c r="H1310" i="1"/>
  <c r="I1310" i="1"/>
  <c r="J1310" i="1"/>
  <c r="K1310" i="1"/>
  <c r="M1310" i="1"/>
  <c r="O1310" i="1"/>
  <c r="Q1310" i="1"/>
  <c r="R1310" i="1"/>
  <c r="W1310" i="1"/>
  <c r="AA1310" i="1"/>
  <c r="AM1310" i="1"/>
  <c r="AN1310" i="1"/>
  <c r="AO1310" i="1"/>
  <c r="AQ1310" i="1"/>
  <c r="BB1310" i="1"/>
  <c r="BD1310" i="1"/>
  <c r="B1311" i="1"/>
  <c r="C1311" i="1"/>
  <c r="E1311" i="1"/>
  <c r="F1311" i="1"/>
  <c r="G1311" i="1"/>
  <c r="H1311" i="1"/>
  <c r="I1311" i="1"/>
  <c r="J1311" i="1"/>
  <c r="K1311" i="1"/>
  <c r="M1311" i="1"/>
  <c r="O1311" i="1"/>
  <c r="Q1311" i="1"/>
  <c r="R1311" i="1"/>
  <c r="W1311" i="1"/>
  <c r="AA1311" i="1"/>
  <c r="AM1311" i="1"/>
  <c r="AN1311" i="1"/>
  <c r="AO1311" i="1"/>
  <c r="AQ1311" i="1"/>
  <c r="BB1311" i="1"/>
  <c r="BD1311" i="1"/>
  <c r="B1312" i="1"/>
  <c r="C1312" i="1"/>
  <c r="E1312" i="1"/>
  <c r="F1312" i="1"/>
  <c r="G1312" i="1"/>
  <c r="H1312" i="1"/>
  <c r="I1312" i="1"/>
  <c r="J1312" i="1"/>
  <c r="K1312" i="1"/>
  <c r="M1312" i="1"/>
  <c r="O1312" i="1"/>
  <c r="Q1312" i="1"/>
  <c r="R1312" i="1"/>
  <c r="W1312" i="1"/>
  <c r="AA1312" i="1"/>
  <c r="AM1312" i="1"/>
  <c r="AN1312" i="1"/>
  <c r="AO1312" i="1"/>
  <c r="AQ1312" i="1"/>
  <c r="BB1312" i="1"/>
  <c r="BD1312" i="1"/>
  <c r="B1313" i="1"/>
  <c r="C1313" i="1"/>
  <c r="E1313" i="1"/>
  <c r="F1313" i="1"/>
  <c r="G1313" i="1"/>
  <c r="H1313" i="1"/>
  <c r="I1313" i="1"/>
  <c r="J1313" i="1"/>
  <c r="K1313" i="1"/>
  <c r="M1313" i="1"/>
  <c r="O1313" i="1"/>
  <c r="Q1313" i="1"/>
  <c r="R1313" i="1"/>
  <c r="W1313" i="1"/>
  <c r="AA1313" i="1"/>
  <c r="AM1313" i="1"/>
  <c r="AN1313" i="1"/>
  <c r="AO1313" i="1"/>
  <c r="AQ1313" i="1"/>
  <c r="BB1313" i="1"/>
  <c r="BD1313" i="1"/>
  <c r="B1314" i="1"/>
  <c r="C1314" i="1"/>
  <c r="E1314" i="1"/>
  <c r="F1314" i="1"/>
  <c r="G1314" i="1"/>
  <c r="H1314" i="1"/>
  <c r="I1314" i="1"/>
  <c r="J1314" i="1"/>
  <c r="K1314" i="1"/>
  <c r="M1314" i="1"/>
  <c r="O1314" i="1"/>
  <c r="Q1314" i="1"/>
  <c r="R1314" i="1"/>
  <c r="W1314" i="1"/>
  <c r="AA1314" i="1"/>
  <c r="AM1314" i="1"/>
  <c r="AN1314" i="1"/>
  <c r="AO1314" i="1"/>
  <c r="AQ1314" i="1"/>
  <c r="BB1314" i="1"/>
  <c r="BD1314" i="1"/>
  <c r="B1315" i="1"/>
  <c r="C1315" i="1"/>
  <c r="E1315" i="1"/>
  <c r="F1315" i="1"/>
  <c r="G1315" i="1"/>
  <c r="H1315" i="1"/>
  <c r="I1315" i="1"/>
  <c r="J1315" i="1"/>
  <c r="K1315" i="1"/>
  <c r="M1315" i="1"/>
  <c r="O1315" i="1"/>
  <c r="Q1315" i="1"/>
  <c r="R1315" i="1"/>
  <c r="W1315" i="1"/>
  <c r="AA1315" i="1"/>
  <c r="AM1315" i="1"/>
  <c r="AN1315" i="1"/>
  <c r="AO1315" i="1"/>
  <c r="AQ1315" i="1"/>
  <c r="BB1315" i="1"/>
  <c r="BD1315" i="1"/>
  <c r="B1316" i="1"/>
  <c r="C1316" i="1"/>
  <c r="E1316" i="1"/>
  <c r="F1316" i="1"/>
  <c r="G1316" i="1"/>
  <c r="H1316" i="1"/>
  <c r="I1316" i="1"/>
  <c r="J1316" i="1"/>
  <c r="K1316" i="1"/>
  <c r="M1316" i="1"/>
  <c r="O1316" i="1"/>
  <c r="Q1316" i="1"/>
  <c r="R1316" i="1"/>
  <c r="W1316" i="1"/>
  <c r="AA1316" i="1"/>
  <c r="AM1316" i="1"/>
  <c r="AN1316" i="1"/>
  <c r="AO1316" i="1"/>
  <c r="AQ1316" i="1"/>
  <c r="BB1316" i="1"/>
  <c r="BD1316" i="1"/>
  <c r="B1317" i="1"/>
  <c r="C1317" i="1"/>
  <c r="E1317" i="1"/>
  <c r="F1317" i="1"/>
  <c r="G1317" i="1"/>
  <c r="H1317" i="1"/>
  <c r="I1317" i="1"/>
  <c r="J1317" i="1"/>
  <c r="K1317" i="1"/>
  <c r="M1317" i="1"/>
  <c r="O1317" i="1"/>
  <c r="Q1317" i="1"/>
  <c r="R1317" i="1"/>
  <c r="W1317" i="1"/>
  <c r="AA1317" i="1"/>
  <c r="AB1317" i="1"/>
  <c r="AE1317" i="1"/>
  <c r="AF1317" i="1"/>
  <c r="AM1317" i="1"/>
  <c r="AN1317" i="1"/>
  <c r="AO1317" i="1"/>
  <c r="AQ1317" i="1"/>
  <c r="AX1317" i="1"/>
  <c r="BD1317" i="1"/>
  <c r="B1318" i="1"/>
  <c r="C1318" i="1"/>
  <c r="D1318" i="1"/>
  <c r="E1318" i="1"/>
  <c r="F1318" i="1"/>
  <c r="G1318" i="1"/>
  <c r="H1318" i="1"/>
  <c r="I1318" i="1"/>
  <c r="J1318" i="1"/>
  <c r="K1318" i="1"/>
  <c r="M1318" i="1"/>
  <c r="O1318" i="1"/>
  <c r="Q1318" i="1"/>
  <c r="R1318" i="1"/>
  <c r="W1318" i="1"/>
  <c r="AA1318" i="1"/>
  <c r="AB1318" i="1"/>
  <c r="AM1318" i="1"/>
  <c r="AN1318" i="1"/>
  <c r="AO1318" i="1"/>
  <c r="AQ1318" i="1"/>
  <c r="AX1318" i="1"/>
  <c r="BD1318" i="1"/>
  <c r="B1319" i="1"/>
  <c r="C1319" i="1"/>
  <c r="E1319" i="1"/>
  <c r="F1319" i="1"/>
  <c r="G1319" i="1"/>
  <c r="H1319" i="1"/>
  <c r="I1319" i="1"/>
  <c r="J1319" i="1"/>
  <c r="K1319" i="1"/>
  <c r="M1319" i="1"/>
  <c r="O1319" i="1"/>
  <c r="Q1319" i="1"/>
  <c r="R1319" i="1"/>
  <c r="W1319" i="1"/>
  <c r="AA1319" i="1"/>
  <c r="AM1319" i="1"/>
  <c r="AN1319" i="1"/>
  <c r="AO1319" i="1"/>
  <c r="AQ1319" i="1"/>
  <c r="BB1319" i="1"/>
  <c r="BD1319" i="1"/>
  <c r="B1320" i="1"/>
  <c r="C1320" i="1"/>
  <c r="E1320" i="1"/>
  <c r="F1320" i="1"/>
  <c r="G1320" i="1"/>
  <c r="H1320" i="1"/>
  <c r="I1320" i="1"/>
  <c r="J1320" i="1"/>
  <c r="K1320" i="1"/>
  <c r="M1320" i="1"/>
  <c r="O1320" i="1"/>
  <c r="Q1320" i="1"/>
  <c r="R1320" i="1"/>
  <c r="W1320" i="1"/>
  <c r="AA1320" i="1"/>
  <c r="AM1320" i="1"/>
  <c r="AN1320" i="1"/>
  <c r="AO1320" i="1"/>
  <c r="AQ1320" i="1"/>
  <c r="BB1320" i="1"/>
  <c r="BD1320" i="1"/>
  <c r="B1321" i="1"/>
  <c r="C1321" i="1"/>
  <c r="E1321" i="1"/>
  <c r="F1321" i="1"/>
  <c r="G1321" i="1"/>
  <c r="H1321" i="1"/>
  <c r="I1321" i="1"/>
  <c r="J1321" i="1"/>
  <c r="K1321" i="1"/>
  <c r="M1321" i="1"/>
  <c r="O1321" i="1"/>
  <c r="Q1321" i="1"/>
  <c r="R1321" i="1"/>
  <c r="W1321" i="1"/>
  <c r="AA1321" i="1"/>
  <c r="AM1321" i="1"/>
  <c r="AN1321" i="1"/>
  <c r="AO1321" i="1"/>
  <c r="AQ1321" i="1"/>
  <c r="BB1321" i="1"/>
  <c r="BD1321" i="1"/>
  <c r="B1322" i="1"/>
  <c r="C1322" i="1"/>
  <c r="E1322" i="1"/>
  <c r="F1322" i="1"/>
  <c r="G1322" i="1"/>
  <c r="H1322" i="1"/>
  <c r="I1322" i="1"/>
  <c r="J1322" i="1"/>
  <c r="K1322" i="1"/>
  <c r="M1322" i="1"/>
  <c r="O1322" i="1"/>
  <c r="Q1322" i="1"/>
  <c r="R1322" i="1"/>
  <c r="W1322" i="1"/>
  <c r="AA1322" i="1"/>
  <c r="AM1322" i="1"/>
  <c r="AN1322" i="1"/>
  <c r="AO1322" i="1"/>
  <c r="AQ1322" i="1"/>
  <c r="BB1322" i="1"/>
  <c r="BD1322" i="1"/>
  <c r="B1323" i="1"/>
  <c r="C1323" i="1"/>
  <c r="E1323" i="1"/>
  <c r="F1323" i="1"/>
  <c r="G1323" i="1"/>
  <c r="H1323" i="1"/>
  <c r="I1323" i="1"/>
  <c r="J1323" i="1"/>
  <c r="K1323" i="1"/>
  <c r="M1323" i="1"/>
  <c r="O1323" i="1"/>
  <c r="Q1323" i="1"/>
  <c r="R1323" i="1"/>
  <c r="W1323" i="1"/>
  <c r="AA1323" i="1"/>
  <c r="AM1323" i="1"/>
  <c r="AN1323" i="1"/>
  <c r="AO1323" i="1"/>
  <c r="AQ1323" i="1"/>
  <c r="BB1323" i="1"/>
  <c r="BD1323" i="1"/>
  <c r="B1324" i="1"/>
  <c r="C1324" i="1"/>
  <c r="E1324" i="1"/>
  <c r="F1324" i="1"/>
  <c r="G1324" i="1"/>
  <c r="H1324" i="1"/>
  <c r="I1324" i="1"/>
  <c r="J1324" i="1"/>
  <c r="K1324" i="1"/>
  <c r="M1324" i="1"/>
  <c r="O1324" i="1"/>
  <c r="Q1324" i="1"/>
  <c r="R1324" i="1"/>
  <c r="W1324" i="1"/>
  <c r="AA1324" i="1"/>
  <c r="AM1324" i="1"/>
  <c r="AN1324" i="1"/>
  <c r="AO1324" i="1"/>
  <c r="AQ1324" i="1"/>
  <c r="BB1324" i="1"/>
  <c r="BD1324" i="1"/>
  <c r="B1325" i="1"/>
  <c r="C1325" i="1"/>
  <c r="E1325" i="1"/>
  <c r="F1325" i="1"/>
  <c r="G1325" i="1"/>
  <c r="H1325" i="1"/>
  <c r="I1325" i="1"/>
  <c r="J1325" i="1"/>
  <c r="K1325" i="1"/>
  <c r="M1325" i="1"/>
  <c r="O1325" i="1"/>
  <c r="Q1325" i="1"/>
  <c r="R1325" i="1"/>
  <c r="W1325" i="1"/>
  <c r="AA1325" i="1"/>
  <c r="AM1325" i="1"/>
  <c r="AN1325" i="1"/>
  <c r="AO1325" i="1"/>
  <c r="AQ1325" i="1"/>
  <c r="BB1325" i="1"/>
  <c r="BD1325" i="1"/>
  <c r="B1326" i="1"/>
  <c r="C1326" i="1"/>
  <c r="E1326" i="1"/>
  <c r="F1326" i="1"/>
  <c r="G1326" i="1"/>
  <c r="H1326" i="1"/>
  <c r="I1326" i="1"/>
  <c r="J1326" i="1"/>
  <c r="K1326" i="1"/>
  <c r="M1326" i="1"/>
  <c r="O1326" i="1"/>
  <c r="Q1326" i="1"/>
  <c r="R1326" i="1"/>
  <c r="W1326" i="1"/>
  <c r="AA1326" i="1"/>
  <c r="AM1326" i="1"/>
  <c r="AN1326" i="1"/>
  <c r="AO1326" i="1"/>
  <c r="AQ1326" i="1"/>
  <c r="BB1326" i="1"/>
  <c r="BD1326" i="1"/>
  <c r="B1327" i="1"/>
  <c r="E1327" i="1"/>
  <c r="F1327" i="1"/>
  <c r="G1327" i="1"/>
  <c r="H1327" i="1"/>
  <c r="I1327" i="1"/>
  <c r="J1327" i="1"/>
  <c r="K1327" i="1"/>
  <c r="M1327" i="1"/>
  <c r="O1327" i="1"/>
  <c r="Q1327" i="1"/>
  <c r="R1327" i="1"/>
  <c r="W1327" i="1"/>
  <c r="AA1327" i="1"/>
  <c r="AM1327" i="1"/>
  <c r="AN1327" i="1"/>
  <c r="AO1327" i="1"/>
  <c r="AQ1327" i="1"/>
  <c r="BB1327" i="1"/>
  <c r="BD1327" i="1"/>
  <c r="B1328" i="1"/>
  <c r="E1328" i="1"/>
  <c r="F1328" i="1"/>
  <c r="G1328" i="1"/>
  <c r="H1328" i="1"/>
  <c r="I1328" i="1"/>
  <c r="J1328" i="1"/>
  <c r="K1328" i="1"/>
  <c r="M1328" i="1"/>
  <c r="O1328" i="1"/>
  <c r="Q1328" i="1"/>
  <c r="R1328" i="1"/>
  <c r="W1328" i="1"/>
  <c r="AA1328" i="1"/>
  <c r="AB1328" i="1"/>
  <c r="AM1328" i="1"/>
  <c r="AN1328" i="1"/>
  <c r="AO1328" i="1"/>
  <c r="AQ1328" i="1"/>
  <c r="AX1328" i="1"/>
  <c r="BD1328" i="1"/>
  <c r="B1329" i="1"/>
  <c r="E1329" i="1"/>
  <c r="F1329" i="1"/>
  <c r="G1329" i="1"/>
  <c r="H1329" i="1"/>
  <c r="I1329" i="1"/>
  <c r="J1329" i="1"/>
  <c r="K1329" i="1"/>
  <c r="M1329" i="1"/>
  <c r="O1329" i="1"/>
  <c r="Q1329" i="1"/>
  <c r="R1329" i="1"/>
  <c r="W1329" i="1"/>
  <c r="AA1329" i="1"/>
  <c r="AB1329" i="1"/>
  <c r="AE1329" i="1"/>
  <c r="AF1329" i="1"/>
  <c r="AM1329" i="1"/>
  <c r="AN1329" i="1"/>
  <c r="AO1329" i="1"/>
  <c r="AQ1329" i="1"/>
  <c r="AX1329" i="1"/>
  <c r="BD1329" i="1"/>
  <c r="B1330" i="1"/>
  <c r="E1330" i="1"/>
  <c r="F1330" i="1"/>
  <c r="G1330" i="1"/>
  <c r="H1330" i="1"/>
  <c r="I1330" i="1"/>
  <c r="J1330" i="1"/>
  <c r="K1330" i="1"/>
  <c r="M1330" i="1"/>
  <c r="O1330" i="1"/>
  <c r="Q1330" i="1"/>
  <c r="R1330" i="1"/>
  <c r="W1330" i="1"/>
  <c r="AA1330" i="1"/>
  <c r="AM1330" i="1"/>
  <c r="AN1330" i="1"/>
  <c r="AO1330" i="1"/>
  <c r="AQ1330" i="1"/>
  <c r="BB1330" i="1"/>
  <c r="BD1330" i="1"/>
  <c r="B1331" i="1"/>
  <c r="E1331" i="1"/>
  <c r="F1331" i="1"/>
  <c r="G1331" i="1"/>
  <c r="H1331" i="1"/>
  <c r="I1331" i="1"/>
  <c r="J1331" i="1"/>
  <c r="K1331" i="1"/>
  <c r="M1331" i="1"/>
  <c r="O1331" i="1"/>
  <c r="Q1331" i="1"/>
  <c r="R1331" i="1"/>
  <c r="W1331" i="1"/>
  <c r="AA1331" i="1"/>
  <c r="AM1331" i="1"/>
  <c r="AN1331" i="1"/>
  <c r="AO1331" i="1"/>
  <c r="AQ1331" i="1"/>
  <c r="BB1331" i="1"/>
  <c r="BD1331" i="1"/>
  <c r="B1332" i="1"/>
  <c r="E1332" i="1"/>
  <c r="F1332" i="1"/>
  <c r="G1332" i="1"/>
  <c r="H1332" i="1"/>
  <c r="I1332" i="1"/>
  <c r="J1332" i="1"/>
  <c r="K1332" i="1"/>
  <c r="M1332" i="1"/>
  <c r="O1332" i="1"/>
  <c r="Q1332" i="1"/>
  <c r="R1332" i="1"/>
  <c r="W1332" i="1"/>
  <c r="AA1332" i="1"/>
  <c r="AM1332" i="1"/>
  <c r="AN1332" i="1"/>
  <c r="AO1332" i="1"/>
  <c r="AQ1332" i="1"/>
  <c r="BB1332" i="1"/>
  <c r="BD1332" i="1"/>
  <c r="B1333" i="1"/>
  <c r="C1333" i="1"/>
  <c r="D1333" i="1"/>
  <c r="E1333" i="1"/>
  <c r="F1333" i="1"/>
  <c r="G1333" i="1"/>
  <c r="H1333" i="1"/>
  <c r="I1333" i="1"/>
  <c r="J1333" i="1"/>
  <c r="K1333" i="1"/>
  <c r="M1333" i="1"/>
  <c r="O1333" i="1"/>
  <c r="Q1333" i="1"/>
  <c r="R1333" i="1"/>
  <c r="W1333" i="1"/>
  <c r="AA1333" i="1"/>
  <c r="AB1333" i="1"/>
  <c r="AE1333" i="1"/>
  <c r="AF1333" i="1"/>
  <c r="AM1333" i="1"/>
  <c r="AN1333" i="1"/>
  <c r="AO1333" i="1"/>
  <c r="AQ1333" i="1"/>
  <c r="AX1333" i="1"/>
  <c r="BD1333" i="1"/>
  <c r="B1334" i="1"/>
  <c r="C1334" i="1"/>
  <c r="D1334" i="1"/>
  <c r="E1334" i="1"/>
  <c r="F1334" i="1"/>
  <c r="G1334" i="1"/>
  <c r="H1334" i="1"/>
  <c r="I1334" i="1"/>
  <c r="J1334" i="1"/>
  <c r="K1334" i="1"/>
  <c r="M1334" i="1"/>
  <c r="O1334" i="1"/>
  <c r="Q1334" i="1"/>
  <c r="R1334" i="1"/>
  <c r="W1334" i="1"/>
  <c r="AA1334" i="1"/>
  <c r="AB1334" i="1"/>
  <c r="AE1334" i="1"/>
  <c r="AF1334" i="1"/>
  <c r="AM1334" i="1"/>
  <c r="AN1334" i="1"/>
  <c r="AO1334" i="1"/>
  <c r="AQ1334" i="1"/>
  <c r="AX1334" i="1"/>
  <c r="BD1334" i="1"/>
  <c r="B1335" i="1"/>
  <c r="C1335" i="1"/>
  <c r="D1335" i="1"/>
  <c r="E1335" i="1"/>
  <c r="F1335" i="1"/>
  <c r="G1335" i="1"/>
  <c r="H1335" i="1"/>
  <c r="I1335" i="1"/>
  <c r="J1335" i="1"/>
  <c r="K1335" i="1"/>
  <c r="M1335" i="1"/>
  <c r="O1335" i="1"/>
  <c r="Q1335" i="1"/>
  <c r="R1335" i="1"/>
  <c r="W1335" i="1"/>
  <c r="AA1335" i="1"/>
  <c r="AB1335" i="1"/>
  <c r="AE1335" i="1"/>
  <c r="AF1335" i="1"/>
  <c r="AM1335" i="1"/>
  <c r="AN1335" i="1"/>
  <c r="AO1335" i="1"/>
  <c r="AQ1335" i="1"/>
  <c r="AX1335" i="1"/>
  <c r="BD1335" i="1"/>
  <c r="B1336" i="1"/>
  <c r="C1336" i="1"/>
  <c r="D1336" i="1"/>
  <c r="E1336" i="1"/>
  <c r="F1336" i="1"/>
  <c r="G1336" i="1"/>
  <c r="H1336" i="1"/>
  <c r="I1336" i="1"/>
  <c r="J1336" i="1"/>
  <c r="K1336" i="1"/>
  <c r="M1336" i="1"/>
  <c r="O1336" i="1"/>
  <c r="Q1336" i="1"/>
  <c r="R1336" i="1"/>
  <c r="W1336" i="1"/>
  <c r="AA1336" i="1"/>
  <c r="AB1336" i="1"/>
  <c r="AE1336" i="1"/>
  <c r="AF1336" i="1"/>
  <c r="AM1336" i="1"/>
  <c r="AN1336" i="1"/>
  <c r="AO1336" i="1"/>
  <c r="AQ1336" i="1"/>
  <c r="AX1336" i="1"/>
  <c r="BD1336" i="1"/>
  <c r="B1337" i="1"/>
  <c r="C1337" i="1"/>
  <c r="D1337" i="1"/>
  <c r="E1337" i="1"/>
  <c r="F1337" i="1"/>
  <c r="G1337" i="1"/>
  <c r="H1337" i="1"/>
  <c r="I1337" i="1"/>
  <c r="J1337" i="1"/>
  <c r="K1337" i="1"/>
  <c r="M1337" i="1"/>
  <c r="O1337" i="1"/>
  <c r="Q1337" i="1"/>
  <c r="R1337" i="1"/>
  <c r="W1337" i="1"/>
  <c r="AA1337" i="1"/>
  <c r="AB1337" i="1"/>
  <c r="AE1337" i="1"/>
  <c r="AF1337" i="1"/>
  <c r="AM1337" i="1"/>
  <c r="AN1337" i="1"/>
  <c r="AO1337" i="1"/>
  <c r="AQ1337" i="1"/>
  <c r="AX1337" i="1"/>
  <c r="BD1337" i="1"/>
  <c r="B1338" i="1"/>
  <c r="C1338" i="1"/>
  <c r="E1338" i="1"/>
  <c r="F1338" i="1"/>
  <c r="G1338" i="1"/>
  <c r="H1338" i="1"/>
  <c r="I1338" i="1"/>
  <c r="J1338" i="1"/>
  <c r="K1338" i="1"/>
  <c r="M1338" i="1"/>
  <c r="O1338" i="1"/>
  <c r="Q1338" i="1"/>
  <c r="R1338" i="1"/>
  <c r="W1338" i="1"/>
  <c r="AA1338" i="1"/>
  <c r="AB1338" i="1"/>
  <c r="AE1338" i="1"/>
  <c r="AF1338" i="1"/>
  <c r="AM1338" i="1"/>
  <c r="AN1338" i="1"/>
  <c r="AO1338" i="1"/>
  <c r="AQ1338" i="1"/>
  <c r="AX1338" i="1"/>
  <c r="BD1338" i="1"/>
  <c r="B1339" i="1"/>
  <c r="C1339" i="1"/>
  <c r="E1339" i="1"/>
  <c r="F1339" i="1"/>
  <c r="G1339" i="1"/>
  <c r="H1339" i="1"/>
  <c r="I1339" i="1"/>
  <c r="J1339" i="1"/>
  <c r="K1339" i="1"/>
  <c r="M1339" i="1"/>
  <c r="O1339" i="1"/>
  <c r="Q1339" i="1"/>
  <c r="R1339" i="1"/>
  <c r="W1339" i="1"/>
  <c r="AA1339" i="1"/>
  <c r="AM1339" i="1"/>
  <c r="AN1339" i="1"/>
  <c r="AO1339" i="1"/>
  <c r="AQ1339" i="1"/>
  <c r="BB1339" i="1"/>
  <c r="BD1339" i="1"/>
  <c r="B1340" i="1"/>
  <c r="C1340" i="1"/>
  <c r="D1340" i="1"/>
  <c r="E1340" i="1"/>
  <c r="F1340" i="1"/>
  <c r="G1340" i="1"/>
  <c r="H1340" i="1"/>
  <c r="I1340" i="1"/>
  <c r="J1340" i="1"/>
  <c r="K1340" i="1"/>
  <c r="M1340" i="1"/>
  <c r="O1340" i="1"/>
  <c r="Q1340" i="1"/>
  <c r="R1340" i="1"/>
  <c r="W1340" i="1"/>
  <c r="AA1340" i="1"/>
  <c r="AB1340" i="1"/>
  <c r="AE1340" i="1"/>
  <c r="AF1340" i="1"/>
  <c r="AM1340" i="1"/>
  <c r="AN1340" i="1"/>
  <c r="AO1340" i="1"/>
  <c r="AQ1340" i="1"/>
  <c r="AX1340" i="1"/>
  <c r="BD1340" i="1"/>
  <c r="B1341" i="1"/>
  <c r="C1341" i="1"/>
  <c r="E1341" i="1"/>
  <c r="F1341" i="1"/>
  <c r="G1341" i="1"/>
  <c r="H1341" i="1"/>
  <c r="I1341" i="1"/>
  <c r="J1341" i="1"/>
  <c r="K1341" i="1"/>
  <c r="M1341" i="1"/>
  <c r="O1341" i="1"/>
  <c r="Q1341" i="1"/>
  <c r="R1341" i="1"/>
  <c r="W1341" i="1"/>
  <c r="AA1341" i="1"/>
  <c r="AB1341" i="1"/>
  <c r="AE1341" i="1"/>
  <c r="AF1341" i="1"/>
  <c r="AM1341" i="1"/>
  <c r="AN1341" i="1"/>
  <c r="AO1341" i="1"/>
  <c r="AQ1341" i="1"/>
  <c r="AX1341" i="1"/>
  <c r="BD1341" i="1"/>
  <c r="B1342" i="1"/>
  <c r="C1342" i="1"/>
  <c r="E1342" i="1"/>
  <c r="F1342" i="1"/>
  <c r="G1342" i="1"/>
  <c r="H1342" i="1"/>
  <c r="I1342" i="1"/>
  <c r="J1342" i="1"/>
  <c r="K1342" i="1"/>
  <c r="M1342" i="1"/>
  <c r="O1342" i="1"/>
  <c r="Q1342" i="1"/>
  <c r="R1342" i="1"/>
  <c r="W1342" i="1"/>
  <c r="AA1342" i="1"/>
  <c r="AB1342" i="1"/>
  <c r="AE1342" i="1"/>
  <c r="AF1342" i="1"/>
  <c r="AM1342" i="1"/>
  <c r="AN1342" i="1"/>
  <c r="AO1342" i="1"/>
  <c r="AQ1342" i="1"/>
  <c r="AX1342" i="1"/>
  <c r="BD1342" i="1"/>
  <c r="B1343" i="1"/>
  <c r="C1343" i="1"/>
  <c r="E1343" i="1"/>
  <c r="F1343" i="1"/>
  <c r="G1343" i="1"/>
  <c r="H1343" i="1"/>
  <c r="I1343" i="1"/>
  <c r="J1343" i="1"/>
  <c r="K1343" i="1"/>
  <c r="M1343" i="1"/>
  <c r="O1343" i="1"/>
  <c r="Q1343" i="1"/>
  <c r="R1343" i="1"/>
  <c r="W1343" i="1"/>
  <c r="AA1343" i="1"/>
  <c r="AB1343" i="1"/>
  <c r="AE1343" i="1"/>
  <c r="AF1343" i="1"/>
  <c r="AM1343" i="1"/>
  <c r="AN1343" i="1"/>
  <c r="AO1343" i="1"/>
  <c r="AQ1343" i="1"/>
  <c r="AX1343" i="1"/>
  <c r="BD1343" i="1"/>
  <c r="B1344" i="1"/>
  <c r="C1344" i="1"/>
  <c r="E1344" i="1"/>
  <c r="F1344" i="1"/>
  <c r="G1344" i="1"/>
  <c r="H1344" i="1"/>
  <c r="I1344" i="1"/>
  <c r="J1344" i="1"/>
  <c r="K1344" i="1"/>
  <c r="M1344" i="1"/>
  <c r="O1344" i="1"/>
  <c r="Q1344" i="1"/>
  <c r="R1344" i="1"/>
  <c r="W1344" i="1"/>
  <c r="AA1344" i="1"/>
  <c r="AB1344" i="1"/>
  <c r="AE1344" i="1"/>
  <c r="AF1344" i="1"/>
  <c r="AM1344" i="1"/>
  <c r="AN1344" i="1"/>
  <c r="AO1344" i="1"/>
  <c r="AQ1344" i="1"/>
  <c r="AX1344" i="1"/>
  <c r="BD1344" i="1"/>
  <c r="B1345" i="1"/>
  <c r="E1345" i="1"/>
  <c r="F1345" i="1"/>
  <c r="G1345" i="1"/>
  <c r="H1345" i="1"/>
  <c r="I1345" i="1"/>
  <c r="J1345" i="1"/>
  <c r="K1345" i="1"/>
  <c r="M1345" i="1"/>
  <c r="O1345" i="1"/>
  <c r="Q1345" i="1"/>
  <c r="R1345" i="1"/>
  <c r="W1345" i="1"/>
  <c r="AA1345" i="1"/>
  <c r="AB1345" i="1"/>
  <c r="AM1345" i="1"/>
  <c r="AN1345" i="1"/>
  <c r="AO1345" i="1"/>
  <c r="AQ1345" i="1"/>
  <c r="AX1345" i="1"/>
  <c r="BD1345" i="1"/>
  <c r="B1346" i="1"/>
  <c r="C1346" i="1"/>
  <c r="E1346" i="1"/>
  <c r="F1346" i="1"/>
  <c r="G1346" i="1"/>
  <c r="H1346" i="1"/>
  <c r="I1346" i="1"/>
  <c r="J1346" i="1"/>
  <c r="K1346" i="1"/>
  <c r="M1346" i="1"/>
  <c r="O1346" i="1"/>
  <c r="Q1346" i="1"/>
  <c r="R1346" i="1"/>
  <c r="W1346" i="1"/>
  <c r="AA1346" i="1"/>
  <c r="AB1346" i="1"/>
  <c r="AE1346" i="1"/>
  <c r="AF1346" i="1"/>
  <c r="AM1346" i="1"/>
  <c r="AN1346" i="1"/>
  <c r="AO1346" i="1"/>
  <c r="AQ1346" i="1"/>
  <c r="AX1346" i="1"/>
  <c r="BD1346" i="1"/>
  <c r="B1347" i="1"/>
  <c r="C1347" i="1"/>
  <c r="E1347" i="1"/>
  <c r="F1347" i="1"/>
  <c r="G1347" i="1"/>
  <c r="H1347" i="1"/>
  <c r="I1347" i="1"/>
  <c r="J1347" i="1"/>
  <c r="K1347" i="1"/>
  <c r="M1347" i="1"/>
  <c r="O1347" i="1"/>
  <c r="Q1347" i="1"/>
  <c r="R1347" i="1"/>
  <c r="W1347" i="1"/>
  <c r="AA1347" i="1"/>
  <c r="AB1347" i="1"/>
  <c r="AE1347" i="1"/>
  <c r="AF1347" i="1"/>
  <c r="AM1347" i="1"/>
  <c r="AN1347" i="1"/>
  <c r="AO1347" i="1"/>
  <c r="AQ1347" i="1"/>
  <c r="AX1347" i="1"/>
  <c r="BD1347" i="1"/>
  <c r="B1348" i="1"/>
  <c r="C1348" i="1"/>
  <c r="E1348" i="1"/>
  <c r="F1348" i="1"/>
  <c r="G1348" i="1"/>
  <c r="H1348" i="1"/>
  <c r="I1348" i="1"/>
  <c r="J1348" i="1"/>
  <c r="K1348" i="1"/>
  <c r="M1348" i="1"/>
  <c r="O1348" i="1"/>
  <c r="Q1348" i="1"/>
  <c r="R1348" i="1"/>
  <c r="W1348" i="1"/>
  <c r="AA1348" i="1"/>
  <c r="AB1348" i="1"/>
  <c r="AE1348" i="1"/>
  <c r="AF1348" i="1"/>
  <c r="AM1348" i="1"/>
  <c r="AN1348" i="1"/>
  <c r="AO1348" i="1"/>
  <c r="AQ1348" i="1"/>
  <c r="AX1348" i="1"/>
  <c r="BD1348" i="1"/>
  <c r="B1349" i="1"/>
  <c r="C1349" i="1"/>
  <c r="E1349" i="1"/>
  <c r="F1349" i="1"/>
  <c r="G1349" i="1"/>
  <c r="H1349" i="1"/>
  <c r="I1349" i="1"/>
  <c r="J1349" i="1"/>
  <c r="K1349" i="1"/>
  <c r="M1349" i="1"/>
  <c r="O1349" i="1"/>
  <c r="Q1349" i="1"/>
  <c r="R1349" i="1"/>
  <c r="W1349" i="1"/>
  <c r="AA1349" i="1"/>
  <c r="AM1349" i="1"/>
  <c r="AN1349" i="1"/>
  <c r="AO1349" i="1"/>
  <c r="AQ1349" i="1"/>
  <c r="BB1349" i="1"/>
  <c r="BD1349" i="1"/>
  <c r="B1350" i="1"/>
  <c r="E1350" i="1"/>
  <c r="F1350" i="1"/>
  <c r="G1350" i="1"/>
  <c r="H1350" i="1"/>
  <c r="I1350" i="1"/>
  <c r="J1350" i="1"/>
  <c r="K1350" i="1"/>
  <c r="M1350" i="1"/>
  <c r="O1350" i="1"/>
  <c r="Q1350" i="1"/>
  <c r="R1350" i="1"/>
  <c r="W1350" i="1"/>
  <c r="AA1350" i="1"/>
  <c r="AM1350" i="1"/>
  <c r="AN1350" i="1"/>
  <c r="AO1350" i="1"/>
  <c r="AQ1350" i="1"/>
  <c r="BB1350" i="1"/>
  <c r="BD1350" i="1"/>
  <c r="B1351" i="1"/>
  <c r="E1351" i="1"/>
  <c r="F1351" i="1"/>
  <c r="G1351" i="1"/>
  <c r="H1351" i="1"/>
  <c r="I1351" i="1"/>
  <c r="J1351" i="1"/>
  <c r="K1351" i="1"/>
  <c r="M1351" i="1"/>
  <c r="O1351" i="1"/>
  <c r="Q1351" i="1"/>
  <c r="R1351" i="1"/>
  <c r="W1351" i="1"/>
  <c r="AA1351" i="1"/>
  <c r="AM1351" i="1"/>
  <c r="AN1351" i="1"/>
  <c r="AO1351" i="1"/>
  <c r="AQ1351" i="1"/>
  <c r="BB1351" i="1"/>
  <c r="BD1351" i="1"/>
  <c r="B1352" i="1"/>
  <c r="E1352" i="1"/>
  <c r="F1352" i="1"/>
  <c r="G1352" i="1"/>
  <c r="H1352" i="1"/>
  <c r="I1352" i="1"/>
  <c r="J1352" i="1"/>
  <c r="K1352" i="1"/>
  <c r="M1352" i="1"/>
  <c r="O1352" i="1"/>
  <c r="Q1352" i="1"/>
  <c r="R1352" i="1"/>
  <c r="W1352" i="1"/>
  <c r="AA1352" i="1"/>
  <c r="AM1352" i="1"/>
  <c r="AN1352" i="1"/>
  <c r="AO1352" i="1"/>
  <c r="AQ1352" i="1"/>
  <c r="BB1352" i="1"/>
  <c r="BD1352" i="1"/>
  <c r="B1353" i="1"/>
  <c r="E1353" i="1"/>
  <c r="F1353" i="1"/>
  <c r="G1353" i="1"/>
  <c r="H1353" i="1"/>
  <c r="I1353" i="1"/>
  <c r="J1353" i="1"/>
  <c r="K1353" i="1"/>
  <c r="M1353" i="1"/>
  <c r="O1353" i="1"/>
  <c r="Q1353" i="1"/>
  <c r="R1353" i="1"/>
  <c r="W1353" i="1"/>
  <c r="AA1353" i="1"/>
  <c r="AM1353" i="1"/>
  <c r="AN1353" i="1"/>
  <c r="AO1353" i="1"/>
  <c r="AQ1353" i="1"/>
  <c r="BB1353" i="1"/>
  <c r="BD1353" i="1"/>
  <c r="B1354" i="1"/>
  <c r="E1354" i="1"/>
  <c r="F1354" i="1"/>
  <c r="G1354" i="1"/>
  <c r="H1354" i="1"/>
  <c r="I1354" i="1"/>
  <c r="J1354" i="1"/>
  <c r="K1354" i="1"/>
  <c r="M1354" i="1"/>
  <c r="O1354" i="1"/>
  <c r="Q1354" i="1"/>
  <c r="R1354" i="1"/>
  <c r="W1354" i="1"/>
  <c r="AA1354" i="1"/>
  <c r="AB1354" i="1"/>
  <c r="AE1354" i="1"/>
  <c r="AF1354" i="1"/>
  <c r="AM1354" i="1"/>
  <c r="AN1354" i="1"/>
  <c r="AO1354" i="1"/>
  <c r="AQ1354" i="1"/>
  <c r="AX1354" i="1"/>
  <c r="BD1354" i="1"/>
  <c r="B1355" i="1"/>
  <c r="E1355" i="1"/>
  <c r="F1355" i="1"/>
  <c r="G1355" i="1"/>
  <c r="H1355" i="1"/>
  <c r="I1355" i="1"/>
  <c r="J1355" i="1"/>
  <c r="K1355" i="1"/>
  <c r="M1355" i="1"/>
  <c r="O1355" i="1"/>
  <c r="Q1355" i="1"/>
  <c r="R1355" i="1"/>
  <c r="W1355" i="1"/>
  <c r="AA1355" i="1"/>
  <c r="AB1355" i="1"/>
  <c r="AE1355" i="1"/>
  <c r="AF1355" i="1"/>
  <c r="AM1355" i="1"/>
  <c r="AN1355" i="1"/>
  <c r="AO1355" i="1"/>
  <c r="AQ1355" i="1"/>
  <c r="AX1355" i="1"/>
  <c r="BD1355" i="1"/>
  <c r="B1356" i="1"/>
  <c r="E1356" i="1"/>
  <c r="F1356" i="1"/>
  <c r="G1356" i="1"/>
  <c r="H1356" i="1"/>
  <c r="I1356" i="1"/>
  <c r="J1356" i="1"/>
  <c r="K1356" i="1"/>
  <c r="M1356" i="1"/>
  <c r="O1356" i="1"/>
  <c r="Q1356" i="1"/>
  <c r="R1356" i="1"/>
  <c r="W1356" i="1"/>
  <c r="AA1356" i="1"/>
  <c r="AB1356" i="1"/>
  <c r="AM1356" i="1"/>
  <c r="AN1356" i="1"/>
  <c r="AO1356" i="1"/>
  <c r="AQ1356" i="1"/>
  <c r="AX1356" i="1"/>
  <c r="BD1356" i="1"/>
  <c r="B1357" i="1"/>
  <c r="E1357" i="1"/>
  <c r="F1357" i="1"/>
  <c r="G1357" i="1"/>
  <c r="H1357" i="1"/>
  <c r="I1357" i="1"/>
  <c r="J1357" i="1"/>
  <c r="K1357" i="1"/>
  <c r="M1357" i="1"/>
  <c r="O1357" i="1"/>
  <c r="Q1357" i="1"/>
  <c r="R1357" i="1"/>
  <c r="W1357" i="1"/>
  <c r="AA1357" i="1"/>
  <c r="AB1357" i="1"/>
  <c r="AM1357" i="1"/>
  <c r="AN1357" i="1"/>
  <c r="AO1357" i="1"/>
  <c r="AQ1357" i="1"/>
  <c r="AX1357" i="1"/>
  <c r="BD1357" i="1"/>
  <c r="B1358" i="1"/>
  <c r="E1358" i="1"/>
  <c r="F1358" i="1"/>
  <c r="G1358" i="1"/>
  <c r="H1358" i="1"/>
  <c r="I1358" i="1"/>
  <c r="J1358" i="1"/>
  <c r="K1358" i="1"/>
  <c r="M1358" i="1"/>
  <c r="O1358" i="1"/>
  <c r="Q1358" i="1"/>
  <c r="R1358" i="1"/>
  <c r="W1358" i="1"/>
  <c r="AA1358" i="1"/>
  <c r="AB1358" i="1"/>
  <c r="AM1358" i="1"/>
  <c r="AN1358" i="1"/>
  <c r="AO1358" i="1"/>
  <c r="AQ1358" i="1"/>
  <c r="AX1358" i="1"/>
  <c r="BD1358" i="1"/>
  <c r="B1359" i="1"/>
  <c r="E1359" i="1"/>
  <c r="F1359" i="1"/>
  <c r="G1359" i="1"/>
  <c r="H1359" i="1"/>
  <c r="I1359" i="1"/>
  <c r="J1359" i="1"/>
  <c r="K1359" i="1"/>
  <c r="M1359" i="1"/>
  <c r="O1359" i="1"/>
  <c r="Q1359" i="1"/>
  <c r="R1359" i="1"/>
  <c r="W1359" i="1"/>
  <c r="AA1359" i="1"/>
  <c r="AB1359" i="1"/>
  <c r="AE1359" i="1"/>
  <c r="AF1359" i="1"/>
  <c r="AM1359" i="1"/>
  <c r="AN1359" i="1"/>
  <c r="AO1359" i="1"/>
  <c r="AQ1359" i="1"/>
  <c r="AX1359" i="1"/>
  <c r="BD1359" i="1"/>
  <c r="B1360" i="1"/>
  <c r="E1360" i="1"/>
  <c r="F1360" i="1"/>
  <c r="G1360" i="1"/>
  <c r="H1360" i="1"/>
  <c r="I1360" i="1"/>
  <c r="J1360" i="1"/>
  <c r="K1360" i="1"/>
  <c r="M1360" i="1"/>
  <c r="O1360" i="1"/>
  <c r="Q1360" i="1"/>
  <c r="R1360" i="1"/>
  <c r="W1360" i="1"/>
  <c r="AA1360" i="1"/>
  <c r="AB1360" i="1"/>
  <c r="AE1360" i="1"/>
  <c r="AF1360" i="1"/>
  <c r="AM1360" i="1"/>
  <c r="AN1360" i="1"/>
  <c r="AO1360" i="1"/>
  <c r="AQ1360" i="1"/>
  <c r="AX1360" i="1"/>
  <c r="BD1360" i="1"/>
  <c r="B1361" i="1"/>
  <c r="E1361" i="1"/>
  <c r="F1361" i="1"/>
  <c r="G1361" i="1"/>
  <c r="H1361" i="1"/>
  <c r="I1361" i="1"/>
  <c r="J1361" i="1"/>
  <c r="K1361" i="1"/>
  <c r="M1361" i="1"/>
  <c r="O1361" i="1"/>
  <c r="Q1361" i="1"/>
  <c r="R1361" i="1"/>
  <c r="W1361" i="1"/>
  <c r="AA1361" i="1"/>
  <c r="AB1361" i="1"/>
  <c r="AE1361" i="1"/>
  <c r="AF1361" i="1"/>
  <c r="AM1361" i="1"/>
  <c r="AN1361" i="1"/>
  <c r="AO1361" i="1"/>
  <c r="AQ1361" i="1"/>
  <c r="AX1361" i="1"/>
  <c r="BD1361" i="1"/>
  <c r="B1362" i="1"/>
  <c r="C1362" i="1"/>
  <c r="E1362" i="1"/>
  <c r="F1362" i="1"/>
  <c r="G1362" i="1"/>
  <c r="H1362" i="1"/>
  <c r="I1362" i="1"/>
  <c r="J1362" i="1"/>
  <c r="K1362" i="1"/>
  <c r="M1362" i="1"/>
  <c r="O1362" i="1"/>
  <c r="Q1362" i="1"/>
  <c r="R1362" i="1"/>
  <c r="W1362" i="1"/>
  <c r="AA1362" i="1"/>
  <c r="AB1362" i="1"/>
  <c r="AE1362" i="1"/>
  <c r="AF1362" i="1"/>
  <c r="AM1362" i="1"/>
  <c r="AN1362" i="1"/>
  <c r="AO1362" i="1"/>
  <c r="AQ1362" i="1"/>
  <c r="AX1362" i="1"/>
  <c r="BD1362" i="1"/>
  <c r="B1363" i="1"/>
  <c r="C1363" i="1"/>
  <c r="E1363" i="1"/>
  <c r="F1363" i="1"/>
  <c r="G1363" i="1"/>
  <c r="H1363" i="1"/>
  <c r="I1363" i="1"/>
  <c r="J1363" i="1"/>
  <c r="K1363" i="1"/>
  <c r="M1363" i="1"/>
  <c r="O1363" i="1"/>
  <c r="Q1363" i="1"/>
  <c r="R1363" i="1"/>
  <c r="W1363" i="1"/>
  <c r="AA1363" i="1"/>
  <c r="AB1363" i="1"/>
  <c r="AE1363" i="1"/>
  <c r="AF1363" i="1"/>
  <c r="AM1363" i="1"/>
  <c r="AN1363" i="1"/>
  <c r="AO1363" i="1"/>
  <c r="AQ1363" i="1"/>
  <c r="AX1363" i="1"/>
  <c r="BD1363" i="1"/>
  <c r="B1364" i="1"/>
  <c r="E1364" i="1"/>
  <c r="F1364" i="1"/>
  <c r="G1364" i="1"/>
  <c r="H1364" i="1"/>
  <c r="I1364" i="1"/>
  <c r="J1364" i="1"/>
  <c r="K1364" i="1"/>
  <c r="M1364" i="1"/>
  <c r="O1364" i="1"/>
  <c r="Q1364" i="1"/>
  <c r="R1364" i="1"/>
  <c r="W1364" i="1"/>
  <c r="AA1364" i="1"/>
  <c r="AM1364" i="1"/>
  <c r="AN1364" i="1"/>
  <c r="AO1364" i="1"/>
  <c r="AQ1364" i="1"/>
  <c r="BB1364" i="1"/>
  <c r="BD1364" i="1"/>
  <c r="B1365" i="1"/>
  <c r="E1365" i="1"/>
  <c r="F1365" i="1"/>
  <c r="G1365" i="1"/>
  <c r="H1365" i="1"/>
  <c r="I1365" i="1"/>
  <c r="J1365" i="1"/>
  <c r="K1365" i="1"/>
  <c r="M1365" i="1"/>
  <c r="O1365" i="1"/>
  <c r="Q1365" i="1"/>
  <c r="R1365" i="1"/>
  <c r="W1365" i="1"/>
  <c r="AA1365" i="1"/>
  <c r="AM1365" i="1"/>
  <c r="AN1365" i="1"/>
  <c r="AO1365" i="1"/>
  <c r="AQ1365" i="1"/>
  <c r="BB1365" i="1"/>
  <c r="BD1365" i="1"/>
  <c r="B1366" i="1"/>
  <c r="E1366" i="1"/>
  <c r="F1366" i="1"/>
  <c r="G1366" i="1"/>
  <c r="H1366" i="1"/>
  <c r="I1366" i="1"/>
  <c r="J1366" i="1"/>
  <c r="K1366" i="1"/>
  <c r="M1366" i="1"/>
  <c r="O1366" i="1"/>
  <c r="Q1366" i="1"/>
  <c r="R1366" i="1"/>
  <c r="W1366" i="1"/>
  <c r="AA1366" i="1"/>
  <c r="AM1366" i="1"/>
  <c r="AN1366" i="1"/>
  <c r="AO1366" i="1"/>
  <c r="AQ1366" i="1"/>
  <c r="BB1366" i="1"/>
  <c r="BD1366" i="1"/>
  <c r="B1367" i="1"/>
  <c r="E1367" i="1"/>
  <c r="F1367" i="1"/>
  <c r="G1367" i="1"/>
  <c r="H1367" i="1"/>
  <c r="I1367" i="1"/>
  <c r="J1367" i="1"/>
  <c r="K1367" i="1"/>
  <c r="M1367" i="1"/>
  <c r="O1367" i="1"/>
  <c r="Q1367" i="1"/>
  <c r="R1367" i="1"/>
  <c r="W1367" i="1"/>
  <c r="AA1367" i="1"/>
  <c r="AM1367" i="1"/>
  <c r="AN1367" i="1"/>
  <c r="AO1367" i="1"/>
  <c r="AQ1367" i="1"/>
  <c r="BB1367" i="1"/>
  <c r="BD1367" i="1"/>
  <c r="B1368" i="1"/>
  <c r="C1368" i="1"/>
  <c r="D1368" i="1"/>
  <c r="E1368" i="1"/>
  <c r="F1368" i="1"/>
  <c r="G1368" i="1"/>
  <c r="H1368" i="1"/>
  <c r="I1368" i="1"/>
  <c r="J1368" i="1"/>
  <c r="K1368" i="1"/>
  <c r="M1368" i="1"/>
  <c r="O1368" i="1"/>
  <c r="Q1368" i="1"/>
  <c r="R1368" i="1"/>
  <c r="W1368" i="1"/>
  <c r="AA1368" i="1"/>
  <c r="AB1368" i="1"/>
  <c r="AE1368" i="1"/>
  <c r="AF1368" i="1"/>
  <c r="AM1368" i="1"/>
  <c r="AN1368" i="1"/>
  <c r="AO1368" i="1"/>
  <c r="AQ1368" i="1"/>
  <c r="AX1368" i="1"/>
  <c r="BD1368" i="1"/>
  <c r="B1369" i="1"/>
  <c r="C1369" i="1"/>
  <c r="D1369" i="1"/>
  <c r="E1369" i="1"/>
  <c r="F1369" i="1"/>
  <c r="G1369" i="1"/>
  <c r="H1369" i="1"/>
  <c r="I1369" i="1"/>
  <c r="J1369" i="1"/>
  <c r="K1369" i="1"/>
  <c r="M1369" i="1"/>
  <c r="O1369" i="1"/>
  <c r="Q1369" i="1"/>
  <c r="R1369" i="1"/>
  <c r="W1369" i="1"/>
  <c r="AA1369" i="1"/>
  <c r="AB1369" i="1"/>
  <c r="AE1369" i="1"/>
  <c r="AF1369" i="1"/>
  <c r="AM1369" i="1"/>
  <c r="AN1369" i="1"/>
  <c r="AO1369" i="1"/>
  <c r="AQ1369" i="1"/>
  <c r="AX1369" i="1"/>
  <c r="BD1369" i="1"/>
  <c r="B1370" i="1"/>
  <c r="C1370" i="1"/>
  <c r="D1370" i="1"/>
  <c r="E1370" i="1"/>
  <c r="F1370" i="1"/>
  <c r="G1370" i="1"/>
  <c r="H1370" i="1"/>
  <c r="I1370" i="1"/>
  <c r="J1370" i="1"/>
  <c r="K1370" i="1"/>
  <c r="M1370" i="1"/>
  <c r="O1370" i="1"/>
  <c r="Q1370" i="1"/>
  <c r="R1370" i="1"/>
  <c r="W1370" i="1"/>
  <c r="AA1370" i="1"/>
  <c r="AB1370" i="1"/>
  <c r="AE1370" i="1"/>
  <c r="AF1370" i="1"/>
  <c r="AM1370" i="1"/>
  <c r="AN1370" i="1"/>
  <c r="AO1370" i="1"/>
  <c r="AQ1370" i="1"/>
  <c r="AX1370" i="1"/>
  <c r="BD1370" i="1"/>
  <c r="B1371" i="1"/>
  <c r="C1371" i="1"/>
  <c r="D1371" i="1"/>
  <c r="E1371" i="1"/>
  <c r="F1371" i="1"/>
  <c r="G1371" i="1"/>
  <c r="H1371" i="1"/>
  <c r="I1371" i="1"/>
  <c r="J1371" i="1"/>
  <c r="K1371" i="1"/>
  <c r="M1371" i="1"/>
  <c r="O1371" i="1"/>
  <c r="Q1371" i="1"/>
  <c r="R1371" i="1"/>
  <c r="W1371" i="1"/>
  <c r="AA1371" i="1"/>
  <c r="AB1371" i="1"/>
  <c r="AE1371" i="1"/>
  <c r="AF1371" i="1"/>
  <c r="AM1371" i="1"/>
  <c r="AN1371" i="1"/>
  <c r="AO1371" i="1"/>
  <c r="AQ1371" i="1"/>
  <c r="AX1371" i="1"/>
  <c r="BD1371" i="1"/>
  <c r="B1372" i="1"/>
  <c r="C1372" i="1"/>
  <c r="D1372" i="1"/>
  <c r="E1372" i="1"/>
  <c r="F1372" i="1"/>
  <c r="G1372" i="1"/>
  <c r="H1372" i="1"/>
  <c r="I1372" i="1"/>
  <c r="J1372" i="1"/>
  <c r="K1372" i="1"/>
  <c r="M1372" i="1"/>
  <c r="O1372" i="1"/>
  <c r="Q1372" i="1"/>
  <c r="R1372" i="1"/>
  <c r="W1372" i="1"/>
  <c r="AA1372" i="1"/>
  <c r="AB1372" i="1"/>
  <c r="AE1372" i="1"/>
  <c r="AF1372" i="1"/>
  <c r="AM1372" i="1"/>
  <c r="AN1372" i="1"/>
  <c r="AO1372" i="1"/>
  <c r="AQ1372" i="1"/>
  <c r="AX1372" i="1"/>
  <c r="BD1372" i="1"/>
  <c r="B1373" i="1"/>
  <c r="C1373" i="1"/>
  <c r="D1373" i="1"/>
  <c r="E1373" i="1"/>
  <c r="F1373" i="1"/>
  <c r="G1373" i="1"/>
  <c r="H1373" i="1"/>
  <c r="I1373" i="1"/>
  <c r="J1373" i="1"/>
  <c r="K1373" i="1"/>
  <c r="M1373" i="1"/>
  <c r="O1373" i="1"/>
  <c r="Q1373" i="1"/>
  <c r="R1373" i="1"/>
  <c r="W1373" i="1"/>
  <c r="AA1373" i="1"/>
  <c r="AB1373" i="1"/>
  <c r="AE1373" i="1"/>
  <c r="AF1373" i="1"/>
  <c r="AM1373" i="1"/>
  <c r="AN1373" i="1"/>
  <c r="AO1373" i="1"/>
  <c r="AQ1373" i="1"/>
  <c r="AX1373" i="1"/>
  <c r="BD1373" i="1"/>
  <c r="B1374" i="1"/>
  <c r="C1374" i="1"/>
  <c r="E1374" i="1"/>
  <c r="F1374" i="1"/>
  <c r="G1374" i="1"/>
  <c r="H1374" i="1"/>
  <c r="I1374" i="1"/>
  <c r="J1374" i="1"/>
  <c r="K1374" i="1"/>
  <c r="M1374" i="1"/>
  <c r="O1374" i="1"/>
  <c r="Q1374" i="1"/>
  <c r="R1374" i="1"/>
  <c r="W1374" i="1"/>
  <c r="AA1374" i="1"/>
  <c r="AM1374" i="1"/>
  <c r="AN1374" i="1"/>
  <c r="AO1374" i="1"/>
  <c r="AQ1374" i="1"/>
  <c r="BB1374" i="1"/>
  <c r="BD1374" i="1"/>
  <c r="B1375" i="1"/>
  <c r="C1375" i="1"/>
  <c r="E1375" i="1"/>
  <c r="F1375" i="1"/>
  <c r="G1375" i="1"/>
  <c r="H1375" i="1"/>
  <c r="I1375" i="1"/>
  <c r="J1375" i="1"/>
  <c r="K1375" i="1"/>
  <c r="M1375" i="1"/>
  <c r="O1375" i="1"/>
  <c r="Q1375" i="1"/>
  <c r="R1375" i="1"/>
  <c r="W1375" i="1"/>
  <c r="AA1375" i="1"/>
  <c r="AM1375" i="1"/>
  <c r="AN1375" i="1"/>
  <c r="AO1375" i="1"/>
  <c r="AQ1375" i="1"/>
  <c r="BB1375" i="1"/>
  <c r="BD1375" i="1"/>
  <c r="B1376" i="1"/>
  <c r="C1376" i="1"/>
  <c r="E1376" i="1"/>
  <c r="F1376" i="1"/>
  <c r="G1376" i="1"/>
  <c r="H1376" i="1"/>
  <c r="I1376" i="1"/>
  <c r="J1376" i="1"/>
  <c r="K1376" i="1"/>
  <c r="M1376" i="1"/>
  <c r="O1376" i="1"/>
  <c r="Q1376" i="1"/>
  <c r="R1376" i="1"/>
  <c r="W1376" i="1"/>
  <c r="AA1376" i="1"/>
  <c r="AM1376" i="1"/>
  <c r="AN1376" i="1"/>
  <c r="AO1376" i="1"/>
  <c r="AQ1376" i="1"/>
  <c r="BB1376" i="1"/>
  <c r="BD1376" i="1"/>
  <c r="B1377" i="1"/>
  <c r="C1377" i="1"/>
  <c r="E1377" i="1"/>
  <c r="F1377" i="1"/>
  <c r="G1377" i="1"/>
  <c r="H1377" i="1"/>
  <c r="I1377" i="1"/>
  <c r="J1377" i="1"/>
  <c r="K1377" i="1"/>
  <c r="M1377" i="1"/>
  <c r="O1377" i="1"/>
  <c r="Q1377" i="1"/>
  <c r="R1377" i="1"/>
  <c r="W1377" i="1"/>
  <c r="AA1377" i="1"/>
  <c r="AM1377" i="1"/>
  <c r="AN1377" i="1"/>
  <c r="AO1377" i="1"/>
  <c r="AQ1377" i="1"/>
  <c r="BB1377" i="1"/>
  <c r="BD1377" i="1"/>
  <c r="B1378" i="1"/>
  <c r="C1378" i="1"/>
  <c r="E1378" i="1"/>
  <c r="F1378" i="1"/>
  <c r="G1378" i="1"/>
  <c r="H1378" i="1"/>
  <c r="I1378" i="1"/>
  <c r="J1378" i="1"/>
  <c r="K1378" i="1"/>
  <c r="M1378" i="1"/>
  <c r="O1378" i="1"/>
  <c r="Q1378" i="1"/>
  <c r="R1378" i="1"/>
  <c r="W1378" i="1"/>
  <c r="AA1378" i="1"/>
  <c r="AM1378" i="1"/>
  <c r="AN1378" i="1"/>
  <c r="AO1378" i="1"/>
  <c r="AQ1378" i="1"/>
  <c r="BB1378" i="1"/>
  <c r="BD1378" i="1"/>
  <c r="B1379" i="1"/>
  <c r="C1379" i="1"/>
  <c r="E1379" i="1"/>
  <c r="F1379" i="1"/>
  <c r="G1379" i="1"/>
  <c r="H1379" i="1"/>
  <c r="I1379" i="1"/>
  <c r="J1379" i="1"/>
  <c r="K1379" i="1"/>
  <c r="M1379" i="1"/>
  <c r="O1379" i="1"/>
  <c r="Q1379" i="1"/>
  <c r="R1379" i="1"/>
  <c r="W1379" i="1"/>
  <c r="AA1379" i="1"/>
  <c r="AM1379" i="1"/>
  <c r="AN1379" i="1"/>
  <c r="AO1379" i="1"/>
  <c r="AQ1379" i="1"/>
  <c r="BB1379" i="1"/>
  <c r="BD1379" i="1"/>
  <c r="B1380" i="1"/>
  <c r="C1380" i="1"/>
  <c r="E1380" i="1"/>
  <c r="F1380" i="1"/>
  <c r="G1380" i="1"/>
  <c r="H1380" i="1"/>
  <c r="I1380" i="1"/>
  <c r="J1380" i="1"/>
  <c r="K1380" i="1"/>
  <c r="M1380" i="1"/>
  <c r="O1380" i="1"/>
  <c r="Q1380" i="1"/>
  <c r="R1380" i="1"/>
  <c r="W1380" i="1"/>
  <c r="AA1380" i="1"/>
  <c r="AM1380" i="1"/>
  <c r="AN1380" i="1"/>
  <c r="AO1380" i="1"/>
  <c r="AQ1380" i="1"/>
  <c r="BB1380" i="1"/>
  <c r="BD1380" i="1"/>
  <c r="B1381" i="1"/>
  <c r="C1381" i="1"/>
  <c r="E1381" i="1"/>
  <c r="F1381" i="1"/>
  <c r="G1381" i="1"/>
  <c r="H1381" i="1"/>
  <c r="I1381" i="1"/>
  <c r="J1381" i="1"/>
  <c r="K1381" i="1"/>
  <c r="M1381" i="1"/>
  <c r="O1381" i="1"/>
  <c r="Q1381" i="1"/>
  <c r="R1381" i="1"/>
  <c r="W1381" i="1"/>
  <c r="AA1381" i="1"/>
  <c r="AM1381" i="1"/>
  <c r="AN1381" i="1"/>
  <c r="AO1381" i="1"/>
  <c r="AQ1381" i="1"/>
  <c r="BB1381" i="1"/>
  <c r="BD1381" i="1"/>
  <c r="B1382" i="1"/>
  <c r="C1382" i="1"/>
  <c r="E1382" i="1"/>
  <c r="F1382" i="1"/>
  <c r="G1382" i="1"/>
  <c r="H1382" i="1"/>
  <c r="I1382" i="1"/>
  <c r="J1382" i="1"/>
  <c r="K1382" i="1"/>
  <c r="M1382" i="1"/>
  <c r="O1382" i="1"/>
  <c r="Q1382" i="1"/>
  <c r="R1382" i="1"/>
  <c r="W1382" i="1"/>
  <c r="AA1382" i="1"/>
  <c r="AM1382" i="1"/>
  <c r="AN1382" i="1"/>
  <c r="AO1382" i="1"/>
  <c r="AQ1382" i="1"/>
  <c r="BB1382" i="1"/>
  <c r="BD1382" i="1"/>
  <c r="B1383" i="1"/>
  <c r="C1383" i="1"/>
  <c r="E1383" i="1"/>
  <c r="F1383" i="1"/>
  <c r="G1383" i="1"/>
  <c r="H1383" i="1"/>
  <c r="I1383" i="1"/>
  <c r="J1383" i="1"/>
  <c r="K1383" i="1"/>
  <c r="M1383" i="1"/>
  <c r="O1383" i="1"/>
  <c r="Q1383" i="1"/>
  <c r="R1383" i="1"/>
  <c r="W1383" i="1"/>
  <c r="AA1383" i="1"/>
  <c r="AM1383" i="1"/>
  <c r="AN1383" i="1"/>
  <c r="AO1383" i="1"/>
  <c r="AQ1383" i="1"/>
  <c r="BB1383" i="1"/>
  <c r="BD1383" i="1"/>
  <c r="B1384" i="1"/>
  <c r="C1384" i="1"/>
  <c r="E1384" i="1"/>
  <c r="F1384" i="1"/>
  <c r="G1384" i="1"/>
  <c r="H1384" i="1"/>
  <c r="I1384" i="1"/>
  <c r="J1384" i="1"/>
  <c r="K1384" i="1"/>
  <c r="M1384" i="1"/>
  <c r="O1384" i="1"/>
  <c r="Q1384" i="1"/>
  <c r="R1384" i="1"/>
  <c r="W1384" i="1"/>
  <c r="AA1384" i="1"/>
  <c r="AM1384" i="1"/>
  <c r="AN1384" i="1"/>
  <c r="AO1384" i="1"/>
  <c r="AQ1384" i="1"/>
  <c r="BB1384" i="1"/>
  <c r="BD1384" i="1"/>
  <c r="B1385" i="1"/>
  <c r="C1385" i="1"/>
  <c r="E1385" i="1"/>
  <c r="F1385" i="1"/>
  <c r="G1385" i="1"/>
  <c r="H1385" i="1"/>
  <c r="I1385" i="1"/>
  <c r="J1385" i="1"/>
  <c r="K1385" i="1"/>
  <c r="M1385" i="1"/>
  <c r="O1385" i="1"/>
  <c r="Q1385" i="1"/>
  <c r="R1385" i="1"/>
  <c r="W1385" i="1"/>
  <c r="AA1385" i="1"/>
  <c r="AM1385" i="1"/>
  <c r="AN1385" i="1"/>
  <c r="AO1385" i="1"/>
  <c r="AQ1385" i="1"/>
  <c r="BB1385" i="1"/>
  <c r="BD1385" i="1"/>
  <c r="B1386" i="1"/>
  <c r="E1386" i="1"/>
  <c r="F1386" i="1"/>
  <c r="G1386" i="1"/>
  <c r="H1386" i="1"/>
  <c r="I1386" i="1"/>
  <c r="J1386" i="1"/>
  <c r="K1386" i="1"/>
  <c r="M1386" i="1"/>
  <c r="O1386" i="1"/>
  <c r="Q1386" i="1"/>
  <c r="R1386" i="1"/>
  <c r="W1386" i="1"/>
  <c r="AA1386" i="1"/>
  <c r="AB1386" i="1"/>
  <c r="AM1386" i="1"/>
  <c r="AN1386" i="1"/>
  <c r="AO1386" i="1"/>
  <c r="AQ1386" i="1"/>
  <c r="AX1386" i="1"/>
  <c r="BD1386" i="1"/>
  <c r="B1387" i="1"/>
  <c r="E1387" i="1"/>
  <c r="F1387" i="1"/>
  <c r="G1387" i="1"/>
  <c r="H1387" i="1"/>
  <c r="I1387" i="1"/>
  <c r="J1387" i="1"/>
  <c r="K1387" i="1"/>
  <c r="M1387" i="1"/>
  <c r="O1387" i="1"/>
  <c r="Q1387" i="1"/>
  <c r="R1387" i="1"/>
  <c r="W1387" i="1"/>
  <c r="AA1387" i="1"/>
  <c r="AB1387" i="1"/>
  <c r="AM1387" i="1"/>
  <c r="AN1387" i="1"/>
  <c r="AO1387" i="1"/>
  <c r="AQ1387" i="1"/>
  <c r="AX1387" i="1"/>
  <c r="BD1387" i="1"/>
  <c r="B1388" i="1"/>
  <c r="C1388" i="1"/>
  <c r="D1388" i="1"/>
  <c r="E1388" i="1"/>
  <c r="F1388" i="1"/>
  <c r="G1388" i="1"/>
  <c r="H1388" i="1"/>
  <c r="I1388" i="1"/>
  <c r="J1388" i="1"/>
  <c r="K1388" i="1"/>
  <c r="M1388" i="1"/>
  <c r="O1388" i="1"/>
  <c r="Q1388" i="1"/>
  <c r="R1388" i="1"/>
  <c r="W1388" i="1"/>
  <c r="AA1388" i="1"/>
  <c r="AB1388" i="1"/>
  <c r="AM1388" i="1"/>
  <c r="AN1388" i="1"/>
  <c r="AO1388" i="1"/>
  <c r="AQ1388" i="1"/>
  <c r="AX1388" i="1"/>
  <c r="BD1388" i="1"/>
  <c r="B1389" i="1"/>
  <c r="E1389" i="1"/>
  <c r="F1389" i="1"/>
  <c r="G1389" i="1"/>
  <c r="H1389" i="1"/>
  <c r="I1389" i="1"/>
  <c r="J1389" i="1"/>
  <c r="K1389" i="1"/>
  <c r="M1389" i="1"/>
  <c r="O1389" i="1"/>
  <c r="Q1389" i="1"/>
  <c r="R1389" i="1"/>
  <c r="W1389" i="1"/>
  <c r="AA1389" i="1"/>
  <c r="AB1389" i="1"/>
  <c r="AM1389" i="1"/>
  <c r="AN1389" i="1"/>
  <c r="AO1389" i="1"/>
  <c r="AQ1389" i="1"/>
  <c r="AX1389" i="1"/>
  <c r="BD1389" i="1"/>
  <c r="B1390" i="1"/>
  <c r="E1390" i="1"/>
  <c r="F1390" i="1"/>
  <c r="G1390" i="1"/>
  <c r="H1390" i="1"/>
  <c r="I1390" i="1"/>
  <c r="J1390" i="1"/>
  <c r="K1390" i="1"/>
  <c r="M1390" i="1"/>
  <c r="O1390" i="1"/>
  <c r="Q1390" i="1"/>
  <c r="R1390" i="1"/>
  <c r="W1390" i="1"/>
  <c r="AA1390" i="1"/>
  <c r="AM1390" i="1"/>
  <c r="AN1390" i="1"/>
  <c r="AO1390" i="1"/>
  <c r="AQ1390" i="1"/>
  <c r="BB1390" i="1"/>
  <c r="BD1390" i="1"/>
  <c r="B1391" i="1"/>
  <c r="E1391" i="1"/>
  <c r="F1391" i="1"/>
  <c r="G1391" i="1"/>
  <c r="H1391" i="1"/>
  <c r="I1391" i="1"/>
  <c r="J1391" i="1"/>
  <c r="K1391" i="1"/>
  <c r="M1391" i="1"/>
  <c r="O1391" i="1"/>
  <c r="Q1391" i="1"/>
  <c r="R1391" i="1"/>
  <c r="W1391" i="1"/>
  <c r="AA1391" i="1"/>
  <c r="AB1391" i="1"/>
  <c r="AM1391" i="1"/>
  <c r="AN1391" i="1"/>
  <c r="AO1391" i="1"/>
  <c r="AQ1391" i="1"/>
  <c r="AX1391" i="1"/>
  <c r="BD1391" i="1"/>
  <c r="B1392" i="1"/>
  <c r="E1392" i="1"/>
  <c r="F1392" i="1"/>
  <c r="G1392" i="1"/>
  <c r="H1392" i="1"/>
  <c r="I1392" i="1"/>
  <c r="J1392" i="1"/>
  <c r="K1392" i="1"/>
  <c r="M1392" i="1"/>
  <c r="O1392" i="1"/>
  <c r="Q1392" i="1"/>
  <c r="R1392" i="1"/>
  <c r="W1392" i="1"/>
  <c r="AA1392" i="1"/>
  <c r="AM1392" i="1"/>
  <c r="AN1392" i="1"/>
  <c r="AO1392" i="1"/>
  <c r="AQ1392" i="1"/>
  <c r="BB1392" i="1"/>
  <c r="BD1392" i="1"/>
  <c r="B1393" i="1"/>
  <c r="E1393" i="1"/>
  <c r="F1393" i="1"/>
  <c r="G1393" i="1"/>
  <c r="H1393" i="1"/>
  <c r="I1393" i="1"/>
  <c r="J1393" i="1"/>
  <c r="K1393" i="1"/>
  <c r="M1393" i="1"/>
  <c r="O1393" i="1"/>
  <c r="Q1393" i="1"/>
  <c r="R1393" i="1"/>
  <c r="W1393" i="1"/>
  <c r="AA1393" i="1"/>
  <c r="AB1393" i="1"/>
  <c r="AM1393" i="1"/>
  <c r="AN1393" i="1"/>
  <c r="AO1393" i="1"/>
  <c r="AQ1393" i="1"/>
  <c r="AX1393" i="1"/>
  <c r="BD1393" i="1"/>
  <c r="B1394" i="1"/>
  <c r="E1394" i="1"/>
  <c r="F1394" i="1"/>
  <c r="G1394" i="1"/>
  <c r="H1394" i="1"/>
  <c r="I1394" i="1"/>
  <c r="J1394" i="1"/>
  <c r="K1394" i="1"/>
  <c r="M1394" i="1"/>
  <c r="O1394" i="1"/>
  <c r="Q1394" i="1"/>
  <c r="R1394" i="1"/>
  <c r="W1394" i="1"/>
  <c r="AA1394" i="1"/>
  <c r="AB1394" i="1"/>
  <c r="AM1394" i="1"/>
  <c r="AN1394" i="1"/>
  <c r="AO1394" i="1"/>
  <c r="AQ1394" i="1"/>
  <c r="AX1394" i="1"/>
  <c r="BD1394" i="1"/>
  <c r="B1395" i="1"/>
  <c r="E1395" i="1"/>
  <c r="F1395" i="1"/>
  <c r="G1395" i="1"/>
  <c r="H1395" i="1"/>
  <c r="I1395" i="1"/>
  <c r="J1395" i="1"/>
  <c r="K1395" i="1"/>
  <c r="M1395" i="1"/>
  <c r="O1395" i="1"/>
  <c r="Q1395" i="1"/>
  <c r="R1395" i="1"/>
  <c r="W1395" i="1"/>
  <c r="AA1395" i="1"/>
  <c r="AB1395" i="1"/>
  <c r="AM1395" i="1"/>
  <c r="AN1395" i="1"/>
  <c r="AO1395" i="1"/>
  <c r="AQ1395" i="1"/>
  <c r="AX1395" i="1"/>
  <c r="BD1395" i="1"/>
  <c r="B1396" i="1"/>
  <c r="E1396" i="1"/>
  <c r="F1396" i="1"/>
  <c r="G1396" i="1"/>
  <c r="H1396" i="1"/>
  <c r="I1396" i="1"/>
  <c r="J1396" i="1"/>
  <c r="K1396" i="1"/>
  <c r="M1396" i="1"/>
  <c r="O1396" i="1"/>
  <c r="Q1396" i="1"/>
  <c r="R1396" i="1"/>
  <c r="W1396" i="1"/>
  <c r="AA1396" i="1"/>
  <c r="AB1396" i="1"/>
  <c r="AM1396" i="1"/>
  <c r="AN1396" i="1"/>
  <c r="AO1396" i="1"/>
  <c r="AQ1396" i="1"/>
  <c r="AX1396" i="1"/>
  <c r="BD1396" i="1"/>
  <c r="B1397" i="1"/>
  <c r="E1397" i="1"/>
  <c r="F1397" i="1"/>
  <c r="G1397" i="1"/>
  <c r="H1397" i="1"/>
  <c r="I1397" i="1"/>
  <c r="J1397" i="1"/>
  <c r="K1397" i="1"/>
  <c r="M1397" i="1"/>
  <c r="O1397" i="1"/>
  <c r="Q1397" i="1"/>
  <c r="R1397" i="1"/>
  <c r="W1397" i="1"/>
  <c r="AA1397" i="1"/>
  <c r="AM1397" i="1"/>
  <c r="AN1397" i="1"/>
  <c r="AO1397" i="1"/>
  <c r="AQ1397" i="1"/>
  <c r="BB1397" i="1"/>
  <c r="BD1397" i="1"/>
  <c r="B1398" i="1"/>
  <c r="C1398" i="1"/>
  <c r="E1398" i="1"/>
  <c r="F1398" i="1"/>
  <c r="G1398" i="1"/>
  <c r="H1398" i="1"/>
  <c r="I1398" i="1"/>
  <c r="J1398" i="1"/>
  <c r="K1398" i="1"/>
  <c r="M1398" i="1"/>
  <c r="O1398" i="1"/>
  <c r="Q1398" i="1"/>
  <c r="R1398" i="1"/>
  <c r="W1398" i="1"/>
  <c r="AA1398" i="1"/>
  <c r="AB1398" i="1"/>
  <c r="AE1398" i="1"/>
  <c r="AF1398" i="1"/>
  <c r="AM1398" i="1"/>
  <c r="AN1398" i="1"/>
  <c r="AO1398" i="1"/>
  <c r="AQ1398" i="1"/>
  <c r="AX1398" i="1"/>
  <c r="BD1398" i="1"/>
  <c r="B1399" i="1"/>
  <c r="C1399" i="1"/>
  <c r="D1399" i="1"/>
  <c r="E1399" i="1"/>
  <c r="F1399" i="1"/>
  <c r="G1399" i="1"/>
  <c r="H1399" i="1"/>
  <c r="I1399" i="1"/>
  <c r="J1399" i="1"/>
  <c r="K1399" i="1"/>
  <c r="M1399" i="1"/>
  <c r="O1399" i="1"/>
  <c r="Q1399" i="1"/>
  <c r="R1399" i="1"/>
  <c r="W1399" i="1"/>
  <c r="AA1399" i="1"/>
  <c r="AB1399" i="1"/>
  <c r="AE1399" i="1"/>
  <c r="AF1399" i="1"/>
  <c r="AM1399" i="1"/>
  <c r="AN1399" i="1"/>
  <c r="AO1399" i="1"/>
  <c r="AQ1399" i="1"/>
  <c r="AX1399" i="1"/>
  <c r="BD1399" i="1"/>
  <c r="B1400" i="1"/>
  <c r="C1400" i="1"/>
  <c r="E1400" i="1"/>
  <c r="F1400" i="1"/>
  <c r="G1400" i="1"/>
  <c r="H1400" i="1"/>
  <c r="I1400" i="1"/>
  <c r="J1400" i="1"/>
  <c r="K1400" i="1"/>
  <c r="M1400" i="1"/>
  <c r="O1400" i="1"/>
  <c r="Q1400" i="1"/>
  <c r="R1400" i="1"/>
  <c r="W1400" i="1"/>
  <c r="AA1400" i="1"/>
  <c r="AB1400" i="1"/>
  <c r="AE1400" i="1"/>
  <c r="AF1400" i="1"/>
  <c r="AM1400" i="1"/>
  <c r="AN1400" i="1"/>
  <c r="AO1400" i="1"/>
  <c r="AQ1400" i="1"/>
  <c r="AX1400" i="1"/>
  <c r="BD1400" i="1"/>
  <c r="B1401" i="1"/>
  <c r="C1401" i="1"/>
  <c r="E1401" i="1"/>
  <c r="F1401" i="1"/>
  <c r="G1401" i="1"/>
  <c r="H1401" i="1"/>
  <c r="I1401" i="1"/>
  <c r="J1401" i="1"/>
  <c r="K1401" i="1"/>
  <c r="M1401" i="1"/>
  <c r="O1401" i="1"/>
  <c r="Q1401" i="1"/>
  <c r="R1401" i="1"/>
  <c r="W1401" i="1"/>
  <c r="AA1401" i="1"/>
  <c r="AB1401" i="1"/>
  <c r="AE1401" i="1"/>
  <c r="AF1401" i="1"/>
  <c r="AM1401" i="1"/>
  <c r="AN1401" i="1"/>
  <c r="AO1401" i="1"/>
  <c r="AQ1401" i="1"/>
  <c r="AX1401" i="1"/>
  <c r="BD1401" i="1"/>
  <c r="B1402" i="1"/>
  <c r="C1402" i="1"/>
  <c r="E1402" i="1"/>
  <c r="F1402" i="1"/>
  <c r="G1402" i="1"/>
  <c r="H1402" i="1"/>
  <c r="I1402" i="1"/>
  <c r="J1402" i="1"/>
  <c r="K1402" i="1"/>
  <c r="M1402" i="1"/>
  <c r="O1402" i="1"/>
  <c r="Q1402" i="1"/>
  <c r="R1402" i="1"/>
  <c r="W1402" i="1"/>
  <c r="AA1402" i="1"/>
  <c r="AB1402" i="1"/>
  <c r="AE1402" i="1"/>
  <c r="AF1402" i="1"/>
  <c r="AM1402" i="1"/>
  <c r="AN1402" i="1"/>
  <c r="AO1402" i="1"/>
  <c r="AQ1402" i="1"/>
  <c r="AX1402" i="1"/>
  <c r="BD1402" i="1"/>
  <c r="B1403" i="1"/>
  <c r="C1403" i="1"/>
  <c r="E1403" i="1"/>
  <c r="F1403" i="1"/>
  <c r="G1403" i="1"/>
  <c r="H1403" i="1"/>
  <c r="I1403" i="1"/>
  <c r="J1403" i="1"/>
  <c r="K1403" i="1"/>
  <c r="M1403" i="1"/>
  <c r="O1403" i="1"/>
  <c r="Q1403" i="1"/>
  <c r="R1403" i="1"/>
  <c r="W1403" i="1"/>
  <c r="AA1403" i="1"/>
  <c r="AB1403" i="1"/>
  <c r="AE1403" i="1"/>
  <c r="AF1403" i="1"/>
  <c r="AM1403" i="1"/>
  <c r="AN1403" i="1"/>
  <c r="AO1403" i="1"/>
  <c r="AQ1403" i="1"/>
  <c r="AX1403" i="1"/>
  <c r="BD1403" i="1"/>
  <c r="B1404" i="1"/>
  <c r="C1404" i="1"/>
  <c r="E1404" i="1"/>
  <c r="F1404" i="1"/>
  <c r="G1404" i="1"/>
  <c r="H1404" i="1"/>
  <c r="I1404" i="1"/>
  <c r="J1404" i="1"/>
  <c r="K1404" i="1"/>
  <c r="M1404" i="1"/>
  <c r="O1404" i="1"/>
  <c r="Q1404" i="1"/>
  <c r="R1404" i="1"/>
  <c r="W1404" i="1"/>
  <c r="AA1404" i="1"/>
  <c r="AB1404" i="1"/>
  <c r="AE1404" i="1"/>
  <c r="AF1404" i="1"/>
  <c r="AM1404" i="1"/>
  <c r="AN1404" i="1"/>
  <c r="AO1404" i="1"/>
  <c r="AQ1404" i="1"/>
  <c r="AX1404" i="1"/>
  <c r="BD1404" i="1"/>
  <c r="B1405" i="1"/>
  <c r="C1405" i="1"/>
  <c r="D1405" i="1"/>
  <c r="E1405" i="1"/>
  <c r="F1405" i="1"/>
  <c r="G1405" i="1"/>
  <c r="H1405" i="1"/>
  <c r="I1405" i="1"/>
  <c r="J1405" i="1"/>
  <c r="K1405" i="1"/>
  <c r="M1405" i="1"/>
  <c r="O1405" i="1"/>
  <c r="Q1405" i="1"/>
  <c r="R1405" i="1"/>
  <c r="W1405" i="1"/>
  <c r="AA1405" i="1"/>
  <c r="AB1405" i="1"/>
  <c r="AE1405" i="1"/>
  <c r="AF1405" i="1"/>
  <c r="AM1405" i="1"/>
  <c r="AN1405" i="1"/>
  <c r="AO1405" i="1"/>
  <c r="AQ1405" i="1"/>
  <c r="AX1405" i="1"/>
  <c r="BD1405" i="1"/>
  <c r="B1406" i="1"/>
  <c r="C1406" i="1"/>
  <c r="D1406" i="1"/>
  <c r="E1406" i="1"/>
  <c r="F1406" i="1"/>
  <c r="G1406" i="1"/>
  <c r="H1406" i="1"/>
  <c r="I1406" i="1"/>
  <c r="J1406" i="1"/>
  <c r="K1406" i="1"/>
  <c r="M1406" i="1"/>
  <c r="O1406" i="1"/>
  <c r="Q1406" i="1"/>
  <c r="R1406" i="1"/>
  <c r="W1406" i="1"/>
  <c r="AA1406" i="1"/>
  <c r="AB1406" i="1"/>
  <c r="AE1406" i="1"/>
  <c r="AF1406" i="1"/>
  <c r="AM1406" i="1"/>
  <c r="AN1406" i="1"/>
  <c r="AO1406" i="1"/>
  <c r="AQ1406" i="1"/>
  <c r="AX1406" i="1"/>
  <c r="BD1406" i="1"/>
  <c r="B1407" i="1"/>
  <c r="C1407" i="1"/>
  <c r="D1407" i="1"/>
  <c r="E1407" i="1"/>
  <c r="F1407" i="1"/>
  <c r="G1407" i="1"/>
  <c r="H1407" i="1"/>
  <c r="I1407" i="1"/>
  <c r="J1407" i="1"/>
  <c r="K1407" i="1"/>
  <c r="M1407" i="1"/>
  <c r="O1407" i="1"/>
  <c r="Q1407" i="1"/>
  <c r="R1407" i="1"/>
  <c r="W1407" i="1"/>
  <c r="AA1407" i="1"/>
  <c r="AB1407" i="1"/>
  <c r="AE1407" i="1"/>
  <c r="AF1407" i="1"/>
  <c r="AM1407" i="1"/>
  <c r="AN1407" i="1"/>
  <c r="AO1407" i="1"/>
  <c r="AQ1407" i="1"/>
  <c r="AX1407" i="1"/>
  <c r="BD1407" i="1"/>
  <c r="B1408" i="1"/>
  <c r="C1408" i="1"/>
  <c r="E1408" i="1"/>
  <c r="F1408" i="1"/>
  <c r="G1408" i="1"/>
  <c r="H1408" i="1"/>
  <c r="I1408" i="1"/>
  <c r="J1408" i="1"/>
  <c r="K1408" i="1"/>
  <c r="M1408" i="1"/>
  <c r="O1408" i="1"/>
  <c r="Q1408" i="1"/>
  <c r="R1408" i="1"/>
  <c r="W1408" i="1"/>
  <c r="AA1408" i="1"/>
  <c r="AB1408" i="1"/>
  <c r="AE1408" i="1"/>
  <c r="AF1408" i="1"/>
  <c r="AM1408" i="1"/>
  <c r="AN1408" i="1"/>
  <c r="AO1408" i="1"/>
  <c r="AQ1408" i="1"/>
  <c r="AX1408" i="1"/>
  <c r="BD1408" i="1"/>
  <c r="B1409" i="1"/>
  <c r="C1409" i="1"/>
  <c r="E1409" i="1"/>
  <c r="F1409" i="1"/>
  <c r="G1409" i="1"/>
  <c r="H1409" i="1"/>
  <c r="I1409" i="1"/>
  <c r="J1409" i="1"/>
  <c r="K1409" i="1"/>
  <c r="M1409" i="1"/>
  <c r="O1409" i="1"/>
  <c r="Q1409" i="1"/>
  <c r="R1409" i="1"/>
  <c r="W1409" i="1"/>
  <c r="AA1409" i="1"/>
  <c r="AB1409" i="1"/>
  <c r="AE1409" i="1"/>
  <c r="AF1409" i="1"/>
  <c r="AM1409" i="1"/>
  <c r="AN1409" i="1"/>
  <c r="AO1409" i="1"/>
  <c r="AQ1409" i="1"/>
  <c r="AX1409" i="1"/>
  <c r="BD1409" i="1"/>
  <c r="B1410" i="1"/>
  <c r="C1410" i="1"/>
  <c r="E1410" i="1"/>
  <c r="F1410" i="1"/>
  <c r="G1410" i="1"/>
  <c r="H1410" i="1"/>
  <c r="I1410" i="1"/>
  <c r="J1410" i="1"/>
  <c r="K1410" i="1"/>
  <c r="M1410" i="1"/>
  <c r="O1410" i="1"/>
  <c r="Q1410" i="1"/>
  <c r="R1410" i="1"/>
  <c r="W1410" i="1"/>
  <c r="AA1410" i="1"/>
  <c r="AB1410" i="1"/>
  <c r="AE1410" i="1"/>
  <c r="AF1410" i="1"/>
  <c r="AM1410" i="1"/>
  <c r="AN1410" i="1"/>
  <c r="AO1410" i="1"/>
  <c r="AQ1410" i="1"/>
  <c r="AX1410" i="1"/>
  <c r="BD1410" i="1"/>
  <c r="B1411" i="1"/>
  <c r="C1411" i="1"/>
  <c r="E1411" i="1"/>
  <c r="F1411" i="1"/>
  <c r="G1411" i="1"/>
  <c r="H1411" i="1"/>
  <c r="I1411" i="1"/>
  <c r="J1411" i="1"/>
  <c r="K1411" i="1"/>
  <c r="M1411" i="1"/>
  <c r="O1411" i="1"/>
  <c r="Q1411" i="1"/>
  <c r="R1411" i="1"/>
  <c r="W1411" i="1"/>
  <c r="AA1411" i="1"/>
  <c r="AB1411" i="1"/>
  <c r="AE1411" i="1"/>
  <c r="AF1411" i="1"/>
  <c r="AM1411" i="1"/>
  <c r="AN1411" i="1"/>
  <c r="AO1411" i="1"/>
  <c r="AQ1411" i="1"/>
  <c r="AX1411" i="1"/>
  <c r="BD1411" i="1"/>
  <c r="B1412" i="1"/>
  <c r="C1412" i="1"/>
  <c r="E1412" i="1"/>
  <c r="F1412" i="1"/>
  <c r="G1412" i="1"/>
  <c r="H1412" i="1"/>
  <c r="I1412" i="1"/>
  <c r="J1412" i="1"/>
  <c r="K1412" i="1"/>
  <c r="M1412" i="1"/>
  <c r="O1412" i="1"/>
  <c r="Q1412" i="1"/>
  <c r="R1412" i="1"/>
  <c r="W1412" i="1"/>
  <c r="AA1412" i="1"/>
  <c r="AB1412" i="1"/>
  <c r="AE1412" i="1"/>
  <c r="AF1412" i="1"/>
  <c r="AM1412" i="1"/>
  <c r="AN1412" i="1"/>
  <c r="AO1412" i="1"/>
  <c r="AQ1412" i="1"/>
  <c r="AX1412" i="1"/>
  <c r="BD1412" i="1"/>
  <c r="B1413" i="1"/>
  <c r="C1413" i="1"/>
  <c r="E1413" i="1"/>
  <c r="F1413" i="1"/>
  <c r="G1413" i="1"/>
  <c r="H1413" i="1"/>
  <c r="I1413" i="1"/>
  <c r="J1413" i="1"/>
  <c r="K1413" i="1"/>
  <c r="M1413" i="1"/>
  <c r="O1413" i="1"/>
  <c r="Q1413" i="1"/>
  <c r="R1413" i="1"/>
  <c r="W1413" i="1"/>
  <c r="AA1413" i="1"/>
  <c r="AB1413" i="1"/>
  <c r="AE1413" i="1"/>
  <c r="AF1413" i="1"/>
  <c r="AM1413" i="1"/>
  <c r="AN1413" i="1"/>
  <c r="AO1413" i="1"/>
  <c r="AQ1413" i="1"/>
  <c r="AX1413" i="1"/>
  <c r="BD1413" i="1"/>
  <c r="B1414" i="1"/>
  <c r="C1414" i="1"/>
  <c r="E1414" i="1"/>
  <c r="F1414" i="1"/>
  <c r="G1414" i="1"/>
  <c r="H1414" i="1"/>
  <c r="I1414" i="1"/>
  <c r="J1414" i="1"/>
  <c r="K1414" i="1"/>
  <c r="M1414" i="1"/>
  <c r="O1414" i="1"/>
  <c r="Q1414" i="1"/>
  <c r="R1414" i="1"/>
  <c r="W1414" i="1"/>
  <c r="AA1414" i="1"/>
  <c r="AB1414" i="1"/>
  <c r="AE1414" i="1"/>
  <c r="AF1414" i="1"/>
  <c r="AM1414" i="1"/>
  <c r="AN1414" i="1"/>
  <c r="AO1414" i="1"/>
  <c r="AQ1414" i="1"/>
  <c r="AX1414" i="1"/>
  <c r="BD1414" i="1"/>
  <c r="B1415" i="1"/>
  <c r="C1415" i="1"/>
  <c r="E1415" i="1"/>
  <c r="F1415" i="1"/>
  <c r="G1415" i="1"/>
  <c r="H1415" i="1"/>
  <c r="I1415" i="1"/>
  <c r="J1415" i="1"/>
  <c r="K1415" i="1"/>
  <c r="M1415" i="1"/>
  <c r="O1415" i="1"/>
  <c r="Q1415" i="1"/>
  <c r="R1415" i="1"/>
  <c r="W1415" i="1"/>
  <c r="AA1415" i="1"/>
  <c r="AB1415" i="1"/>
  <c r="AE1415" i="1"/>
  <c r="AF1415" i="1"/>
  <c r="AM1415" i="1"/>
  <c r="AN1415" i="1"/>
  <c r="AO1415" i="1"/>
  <c r="AQ1415" i="1"/>
  <c r="AX1415" i="1"/>
  <c r="BD1415" i="1"/>
  <c r="B1416" i="1"/>
  <c r="C1416" i="1"/>
  <c r="E1416" i="1"/>
  <c r="F1416" i="1"/>
  <c r="G1416" i="1"/>
  <c r="H1416" i="1"/>
  <c r="I1416" i="1"/>
  <c r="J1416" i="1"/>
  <c r="K1416" i="1"/>
  <c r="M1416" i="1"/>
  <c r="O1416" i="1"/>
  <c r="Q1416" i="1"/>
  <c r="R1416" i="1"/>
  <c r="W1416" i="1"/>
  <c r="AA1416" i="1"/>
  <c r="AB1416" i="1"/>
  <c r="AE1416" i="1"/>
  <c r="AF1416" i="1"/>
  <c r="AM1416" i="1"/>
  <c r="AN1416" i="1"/>
  <c r="AO1416" i="1"/>
  <c r="AQ1416" i="1"/>
  <c r="AX1416" i="1"/>
  <c r="BD1416" i="1"/>
  <c r="B1417" i="1"/>
  <c r="C1417" i="1"/>
  <c r="E1417" i="1"/>
  <c r="F1417" i="1"/>
  <c r="G1417" i="1"/>
  <c r="H1417" i="1"/>
  <c r="I1417" i="1"/>
  <c r="J1417" i="1"/>
  <c r="K1417" i="1"/>
  <c r="M1417" i="1"/>
  <c r="O1417" i="1"/>
  <c r="Q1417" i="1"/>
  <c r="R1417" i="1"/>
  <c r="W1417" i="1"/>
  <c r="AA1417" i="1"/>
  <c r="AB1417" i="1"/>
  <c r="AE1417" i="1"/>
  <c r="AF1417" i="1"/>
  <c r="AM1417" i="1"/>
  <c r="AN1417" i="1"/>
  <c r="AO1417" i="1"/>
  <c r="AQ1417" i="1"/>
  <c r="AX1417" i="1"/>
  <c r="BD1417" i="1"/>
  <c r="B1418" i="1"/>
  <c r="C1418" i="1"/>
  <c r="D1418" i="1"/>
  <c r="E1418" i="1"/>
  <c r="F1418" i="1"/>
  <c r="G1418" i="1"/>
  <c r="H1418" i="1"/>
  <c r="I1418" i="1"/>
  <c r="J1418" i="1"/>
  <c r="K1418" i="1"/>
  <c r="M1418" i="1"/>
  <c r="O1418" i="1"/>
  <c r="Q1418" i="1"/>
  <c r="R1418" i="1"/>
  <c r="W1418" i="1"/>
  <c r="AA1418" i="1"/>
  <c r="AB1418" i="1"/>
  <c r="AM1418" i="1"/>
  <c r="AN1418" i="1"/>
  <c r="AO1418" i="1"/>
  <c r="AQ1418" i="1"/>
  <c r="AX1418" i="1"/>
  <c r="BD1418" i="1"/>
  <c r="B1419" i="1"/>
  <c r="E1419" i="1"/>
  <c r="F1419" i="1"/>
  <c r="G1419" i="1"/>
  <c r="H1419" i="1"/>
  <c r="I1419" i="1"/>
  <c r="J1419" i="1"/>
  <c r="K1419" i="1"/>
  <c r="M1419" i="1"/>
  <c r="O1419" i="1"/>
  <c r="Q1419" i="1"/>
  <c r="R1419" i="1"/>
  <c r="W1419" i="1"/>
  <c r="AA1419" i="1"/>
  <c r="AB1419" i="1"/>
  <c r="AE1419" i="1"/>
  <c r="AF1419" i="1"/>
  <c r="AM1419" i="1"/>
  <c r="AN1419" i="1"/>
  <c r="AO1419" i="1"/>
  <c r="AQ1419" i="1"/>
  <c r="AX1419" i="1"/>
  <c r="BD1419" i="1"/>
  <c r="B1420" i="1"/>
  <c r="E1420" i="1"/>
  <c r="F1420" i="1"/>
  <c r="G1420" i="1"/>
  <c r="H1420" i="1"/>
  <c r="I1420" i="1"/>
  <c r="J1420" i="1"/>
  <c r="K1420" i="1"/>
  <c r="M1420" i="1"/>
  <c r="O1420" i="1"/>
  <c r="Q1420" i="1"/>
  <c r="R1420" i="1"/>
  <c r="W1420" i="1"/>
  <c r="AA1420" i="1"/>
  <c r="AB1420" i="1"/>
  <c r="AE1420" i="1"/>
  <c r="AF1420" i="1"/>
  <c r="AM1420" i="1"/>
  <c r="AN1420" i="1"/>
  <c r="AO1420" i="1"/>
  <c r="AQ1420" i="1"/>
  <c r="AX1420" i="1"/>
  <c r="BD1420" i="1"/>
  <c r="B1421" i="1"/>
  <c r="E1421" i="1"/>
  <c r="F1421" i="1"/>
  <c r="G1421" i="1"/>
  <c r="H1421" i="1"/>
  <c r="I1421" i="1"/>
  <c r="J1421" i="1"/>
  <c r="K1421" i="1"/>
  <c r="M1421" i="1"/>
  <c r="O1421" i="1"/>
  <c r="Q1421" i="1"/>
  <c r="R1421" i="1"/>
  <c r="W1421" i="1"/>
  <c r="AA1421" i="1"/>
  <c r="AM1421" i="1"/>
  <c r="AN1421" i="1"/>
  <c r="AO1421" i="1"/>
  <c r="AQ1421" i="1"/>
  <c r="BB1421" i="1"/>
  <c r="BD1421" i="1"/>
  <c r="B1422" i="1"/>
  <c r="E1422" i="1"/>
  <c r="F1422" i="1"/>
  <c r="G1422" i="1"/>
  <c r="H1422" i="1"/>
  <c r="I1422" i="1"/>
  <c r="J1422" i="1"/>
  <c r="K1422" i="1"/>
  <c r="M1422" i="1"/>
  <c r="O1422" i="1"/>
  <c r="Q1422" i="1"/>
  <c r="R1422" i="1"/>
  <c r="W1422" i="1"/>
  <c r="AA1422" i="1"/>
  <c r="AB1422" i="1"/>
  <c r="AM1422" i="1"/>
  <c r="AN1422" i="1"/>
  <c r="AO1422" i="1"/>
  <c r="AQ1422" i="1"/>
  <c r="AX1422" i="1"/>
  <c r="BD1422" i="1"/>
  <c r="B1423" i="1"/>
  <c r="E1423" i="1"/>
  <c r="F1423" i="1"/>
  <c r="G1423" i="1"/>
  <c r="H1423" i="1"/>
  <c r="I1423" i="1"/>
  <c r="J1423" i="1"/>
  <c r="K1423" i="1"/>
  <c r="M1423" i="1"/>
  <c r="O1423" i="1"/>
  <c r="Q1423" i="1"/>
  <c r="R1423" i="1"/>
  <c r="W1423" i="1"/>
  <c r="AA1423" i="1"/>
  <c r="AB1423" i="1"/>
  <c r="AM1423" i="1"/>
  <c r="AN1423" i="1"/>
  <c r="AO1423" i="1"/>
  <c r="AQ1423" i="1"/>
  <c r="AX1423" i="1"/>
  <c r="BD1423" i="1"/>
  <c r="B1424" i="1"/>
  <c r="E1424" i="1"/>
  <c r="F1424" i="1"/>
  <c r="G1424" i="1"/>
  <c r="H1424" i="1"/>
  <c r="I1424" i="1"/>
  <c r="J1424" i="1"/>
  <c r="K1424" i="1"/>
  <c r="M1424" i="1"/>
  <c r="O1424" i="1"/>
  <c r="Q1424" i="1"/>
  <c r="R1424" i="1"/>
  <c r="W1424" i="1"/>
  <c r="AA1424" i="1"/>
  <c r="AB1424" i="1"/>
  <c r="AM1424" i="1"/>
  <c r="AN1424" i="1"/>
  <c r="AO1424" i="1"/>
  <c r="AQ1424" i="1"/>
  <c r="AX1424" i="1"/>
  <c r="BD1424" i="1"/>
  <c r="B1425" i="1"/>
  <c r="C1425" i="1"/>
  <c r="D1425" i="1"/>
  <c r="E1425" i="1"/>
  <c r="F1425" i="1"/>
  <c r="G1425" i="1"/>
  <c r="H1425" i="1"/>
  <c r="I1425" i="1"/>
  <c r="J1425" i="1"/>
  <c r="K1425" i="1"/>
  <c r="M1425" i="1"/>
  <c r="O1425" i="1"/>
  <c r="Q1425" i="1"/>
  <c r="R1425" i="1"/>
  <c r="W1425" i="1"/>
  <c r="AA1425" i="1"/>
  <c r="AB1425" i="1"/>
  <c r="AE1425" i="1"/>
  <c r="AF1425" i="1"/>
  <c r="AM1425" i="1"/>
  <c r="AN1425" i="1"/>
  <c r="AO1425" i="1"/>
  <c r="AQ1425" i="1"/>
  <c r="AX1425" i="1"/>
  <c r="BD1425" i="1"/>
  <c r="B1426" i="1"/>
  <c r="C1426" i="1"/>
  <c r="D1426" i="1"/>
  <c r="E1426" i="1"/>
  <c r="F1426" i="1"/>
  <c r="G1426" i="1"/>
  <c r="H1426" i="1"/>
  <c r="I1426" i="1"/>
  <c r="J1426" i="1"/>
  <c r="K1426" i="1"/>
  <c r="M1426" i="1"/>
  <c r="O1426" i="1"/>
  <c r="Q1426" i="1"/>
  <c r="R1426" i="1"/>
  <c r="W1426" i="1"/>
  <c r="AA1426" i="1"/>
  <c r="AB1426" i="1"/>
  <c r="AE1426" i="1"/>
  <c r="AF1426" i="1"/>
  <c r="AM1426" i="1"/>
  <c r="AN1426" i="1"/>
  <c r="AO1426" i="1"/>
  <c r="AQ1426" i="1"/>
  <c r="AX1426" i="1"/>
  <c r="BD1426" i="1"/>
  <c r="B1427" i="1"/>
  <c r="C1427" i="1"/>
  <c r="D1427" i="1"/>
  <c r="E1427" i="1"/>
  <c r="F1427" i="1"/>
  <c r="G1427" i="1"/>
  <c r="H1427" i="1"/>
  <c r="I1427" i="1"/>
  <c r="J1427" i="1"/>
  <c r="K1427" i="1"/>
  <c r="M1427" i="1"/>
  <c r="O1427" i="1"/>
  <c r="Q1427" i="1"/>
  <c r="R1427" i="1"/>
  <c r="W1427" i="1"/>
  <c r="AA1427" i="1"/>
  <c r="AB1427" i="1"/>
  <c r="AE1427" i="1"/>
  <c r="AF1427" i="1"/>
  <c r="AM1427" i="1"/>
  <c r="AN1427" i="1"/>
  <c r="AO1427" i="1"/>
  <c r="AQ1427" i="1"/>
  <c r="AX1427" i="1"/>
  <c r="BD1427" i="1"/>
  <c r="B1428" i="1"/>
  <c r="C1428" i="1"/>
  <c r="E1428" i="1"/>
  <c r="F1428" i="1"/>
  <c r="G1428" i="1"/>
  <c r="H1428" i="1"/>
  <c r="I1428" i="1"/>
  <c r="J1428" i="1"/>
  <c r="K1428" i="1"/>
  <c r="M1428" i="1"/>
  <c r="O1428" i="1"/>
  <c r="Q1428" i="1"/>
  <c r="R1428" i="1"/>
  <c r="W1428" i="1"/>
  <c r="AA1428" i="1"/>
  <c r="AB1428" i="1"/>
  <c r="AE1428" i="1"/>
  <c r="AF1428" i="1"/>
  <c r="AM1428" i="1"/>
  <c r="AN1428" i="1"/>
  <c r="AO1428" i="1"/>
  <c r="AQ1428" i="1"/>
  <c r="AX1428" i="1"/>
  <c r="BD1428" i="1"/>
  <c r="B1429" i="1"/>
  <c r="C1429" i="1"/>
  <c r="E1429" i="1"/>
  <c r="F1429" i="1"/>
  <c r="G1429" i="1"/>
  <c r="H1429" i="1"/>
  <c r="I1429" i="1"/>
  <c r="J1429" i="1"/>
  <c r="K1429" i="1"/>
  <c r="M1429" i="1"/>
  <c r="O1429" i="1"/>
  <c r="Q1429" i="1"/>
  <c r="R1429" i="1"/>
  <c r="W1429" i="1"/>
  <c r="AA1429" i="1"/>
  <c r="AM1429" i="1"/>
  <c r="AN1429" i="1"/>
  <c r="AO1429" i="1"/>
  <c r="AQ1429" i="1"/>
  <c r="BB1429" i="1"/>
  <c r="BD1429" i="1"/>
  <c r="B1430" i="1"/>
  <c r="C1430" i="1"/>
  <c r="E1430" i="1"/>
  <c r="F1430" i="1"/>
  <c r="G1430" i="1"/>
  <c r="H1430" i="1"/>
  <c r="I1430" i="1"/>
  <c r="J1430" i="1"/>
  <c r="K1430" i="1"/>
  <c r="M1430" i="1"/>
  <c r="O1430" i="1"/>
  <c r="Q1430" i="1"/>
  <c r="R1430" i="1"/>
  <c r="W1430" i="1"/>
  <c r="AA1430" i="1"/>
  <c r="AM1430" i="1"/>
  <c r="AN1430" i="1"/>
  <c r="AO1430" i="1"/>
  <c r="AQ1430" i="1"/>
  <c r="BB1430" i="1"/>
  <c r="BD1430" i="1"/>
  <c r="B1431" i="1"/>
  <c r="C1431" i="1"/>
  <c r="E1431" i="1"/>
  <c r="F1431" i="1"/>
  <c r="G1431" i="1"/>
  <c r="H1431" i="1"/>
  <c r="I1431" i="1"/>
  <c r="J1431" i="1"/>
  <c r="K1431" i="1"/>
  <c r="M1431" i="1"/>
  <c r="O1431" i="1"/>
  <c r="Q1431" i="1"/>
  <c r="R1431" i="1"/>
  <c r="W1431" i="1"/>
  <c r="AA1431" i="1"/>
  <c r="AB1431" i="1"/>
  <c r="AE1431" i="1"/>
  <c r="AF1431" i="1"/>
  <c r="AM1431" i="1"/>
  <c r="AN1431" i="1"/>
  <c r="AO1431" i="1"/>
  <c r="AQ1431" i="1"/>
  <c r="AX1431" i="1"/>
  <c r="BD1431" i="1"/>
  <c r="B1432" i="1"/>
  <c r="C1432" i="1"/>
  <c r="E1432" i="1"/>
  <c r="F1432" i="1"/>
  <c r="G1432" i="1"/>
  <c r="H1432" i="1"/>
  <c r="I1432" i="1"/>
  <c r="J1432" i="1"/>
  <c r="K1432" i="1"/>
  <c r="M1432" i="1"/>
  <c r="O1432" i="1"/>
  <c r="Q1432" i="1"/>
  <c r="R1432" i="1"/>
  <c r="W1432" i="1"/>
  <c r="AA1432" i="1"/>
  <c r="AB1432" i="1"/>
  <c r="AE1432" i="1"/>
  <c r="AF1432" i="1"/>
  <c r="AM1432" i="1"/>
  <c r="AN1432" i="1"/>
  <c r="AO1432" i="1"/>
  <c r="AQ1432" i="1"/>
  <c r="AX1432" i="1"/>
  <c r="BD1432" i="1"/>
  <c r="B1433" i="1"/>
  <c r="C1433" i="1"/>
  <c r="E1433" i="1"/>
  <c r="F1433" i="1"/>
  <c r="G1433" i="1"/>
  <c r="H1433" i="1"/>
  <c r="I1433" i="1"/>
  <c r="J1433" i="1"/>
  <c r="K1433" i="1"/>
  <c r="M1433" i="1"/>
  <c r="O1433" i="1"/>
  <c r="Q1433" i="1"/>
  <c r="R1433" i="1"/>
  <c r="W1433" i="1"/>
  <c r="AA1433" i="1"/>
  <c r="AB1433" i="1"/>
  <c r="AE1433" i="1"/>
  <c r="AF1433" i="1"/>
  <c r="AM1433" i="1"/>
  <c r="AN1433" i="1"/>
  <c r="AO1433" i="1"/>
  <c r="AQ1433" i="1"/>
  <c r="AX1433" i="1"/>
  <c r="BD1433" i="1"/>
  <c r="B1434" i="1"/>
  <c r="C1434" i="1"/>
  <c r="E1434" i="1"/>
  <c r="F1434" i="1"/>
  <c r="G1434" i="1"/>
  <c r="H1434" i="1"/>
  <c r="I1434" i="1"/>
  <c r="J1434" i="1"/>
  <c r="K1434" i="1"/>
  <c r="M1434" i="1"/>
  <c r="O1434" i="1"/>
  <c r="Q1434" i="1"/>
  <c r="R1434" i="1"/>
  <c r="W1434" i="1"/>
  <c r="AA1434" i="1"/>
  <c r="AB1434" i="1"/>
  <c r="AE1434" i="1"/>
  <c r="AF1434" i="1"/>
  <c r="AM1434" i="1"/>
  <c r="AN1434" i="1"/>
  <c r="AO1434" i="1"/>
  <c r="AQ1434" i="1"/>
  <c r="AX1434" i="1"/>
  <c r="BD1434" i="1"/>
  <c r="B1435" i="1"/>
  <c r="C1435" i="1"/>
  <c r="E1435" i="1"/>
  <c r="F1435" i="1"/>
  <c r="G1435" i="1"/>
  <c r="H1435" i="1"/>
  <c r="I1435" i="1"/>
  <c r="J1435" i="1"/>
  <c r="K1435" i="1"/>
  <c r="M1435" i="1"/>
  <c r="O1435" i="1"/>
  <c r="Q1435" i="1"/>
  <c r="R1435" i="1"/>
  <c r="W1435" i="1"/>
  <c r="AA1435" i="1"/>
  <c r="AB1435" i="1"/>
  <c r="AE1435" i="1"/>
  <c r="AF1435" i="1"/>
  <c r="AM1435" i="1"/>
  <c r="AN1435" i="1"/>
  <c r="AO1435" i="1"/>
  <c r="AQ1435" i="1"/>
  <c r="AX1435" i="1"/>
  <c r="BD1435" i="1"/>
  <c r="B1436" i="1"/>
  <c r="C1436" i="1"/>
  <c r="E1436" i="1"/>
  <c r="F1436" i="1"/>
  <c r="G1436" i="1"/>
  <c r="H1436" i="1"/>
  <c r="I1436" i="1"/>
  <c r="J1436" i="1"/>
  <c r="K1436" i="1"/>
  <c r="M1436" i="1"/>
  <c r="O1436" i="1"/>
  <c r="Q1436" i="1"/>
  <c r="R1436" i="1"/>
  <c r="W1436" i="1"/>
  <c r="AA1436" i="1"/>
  <c r="AB1436" i="1"/>
  <c r="AE1436" i="1"/>
  <c r="AF1436" i="1"/>
  <c r="AM1436" i="1"/>
  <c r="AN1436" i="1"/>
  <c r="AO1436" i="1"/>
  <c r="AQ1436" i="1"/>
  <c r="AX1436" i="1"/>
  <c r="BD1436" i="1"/>
  <c r="B1437" i="1"/>
  <c r="C1437" i="1"/>
  <c r="E1437" i="1"/>
  <c r="F1437" i="1"/>
  <c r="G1437" i="1"/>
  <c r="H1437" i="1"/>
  <c r="I1437" i="1"/>
  <c r="J1437" i="1"/>
  <c r="K1437" i="1"/>
  <c r="M1437" i="1"/>
  <c r="O1437" i="1"/>
  <c r="Q1437" i="1"/>
  <c r="R1437" i="1"/>
  <c r="W1437" i="1"/>
  <c r="AA1437" i="1"/>
  <c r="AB1437" i="1"/>
  <c r="AE1437" i="1"/>
  <c r="AF1437" i="1"/>
  <c r="AM1437" i="1"/>
  <c r="AN1437" i="1"/>
  <c r="AO1437" i="1"/>
  <c r="AQ1437" i="1"/>
  <c r="AX1437" i="1"/>
  <c r="BD1437" i="1"/>
  <c r="B1438" i="1"/>
  <c r="C1438" i="1"/>
  <c r="E1438" i="1"/>
  <c r="F1438" i="1"/>
  <c r="G1438" i="1"/>
  <c r="H1438" i="1"/>
  <c r="I1438" i="1"/>
  <c r="J1438" i="1"/>
  <c r="K1438" i="1"/>
  <c r="M1438" i="1"/>
  <c r="O1438" i="1"/>
  <c r="Q1438" i="1"/>
  <c r="R1438" i="1"/>
  <c r="W1438" i="1"/>
  <c r="AA1438" i="1"/>
  <c r="AB1438" i="1"/>
  <c r="AE1438" i="1"/>
  <c r="AF1438" i="1"/>
  <c r="AM1438" i="1"/>
  <c r="AN1438" i="1"/>
  <c r="AO1438" i="1"/>
  <c r="AQ1438" i="1"/>
  <c r="AX1438" i="1"/>
  <c r="BD1438" i="1"/>
  <c r="B1439" i="1"/>
  <c r="C1439" i="1"/>
  <c r="D1439" i="1"/>
  <c r="E1439" i="1"/>
  <c r="F1439" i="1"/>
  <c r="G1439" i="1"/>
  <c r="H1439" i="1"/>
  <c r="I1439" i="1"/>
  <c r="J1439" i="1"/>
  <c r="K1439" i="1"/>
  <c r="M1439" i="1"/>
  <c r="O1439" i="1"/>
  <c r="Q1439" i="1"/>
  <c r="R1439" i="1"/>
  <c r="W1439" i="1"/>
  <c r="AA1439" i="1"/>
  <c r="AB1439" i="1"/>
  <c r="AE1439" i="1"/>
  <c r="AF1439" i="1"/>
  <c r="AM1439" i="1"/>
  <c r="AN1439" i="1"/>
  <c r="AO1439" i="1"/>
  <c r="AQ1439" i="1"/>
  <c r="AX1439" i="1"/>
  <c r="BD1439" i="1"/>
  <c r="B1440" i="1"/>
  <c r="E1440" i="1"/>
  <c r="F1440" i="1"/>
  <c r="G1440" i="1"/>
  <c r="H1440" i="1"/>
  <c r="I1440" i="1"/>
  <c r="J1440" i="1"/>
  <c r="K1440" i="1"/>
  <c r="M1440" i="1"/>
  <c r="O1440" i="1"/>
  <c r="Q1440" i="1"/>
  <c r="R1440" i="1"/>
  <c r="W1440" i="1"/>
  <c r="AA1440" i="1"/>
  <c r="AM1440" i="1"/>
  <c r="AN1440" i="1"/>
  <c r="AO1440" i="1"/>
  <c r="AQ1440" i="1"/>
  <c r="BD1440" i="1"/>
  <c r="B1441" i="1"/>
  <c r="E1441" i="1"/>
  <c r="F1441" i="1"/>
  <c r="G1441" i="1"/>
  <c r="H1441" i="1"/>
  <c r="I1441" i="1"/>
  <c r="J1441" i="1"/>
  <c r="K1441" i="1"/>
  <c r="M1441" i="1"/>
  <c r="O1441" i="1"/>
  <c r="Q1441" i="1"/>
  <c r="R1441" i="1"/>
  <c r="W1441" i="1"/>
  <c r="AA1441" i="1"/>
  <c r="AB1441" i="1"/>
  <c r="AM1441" i="1"/>
  <c r="AN1441" i="1"/>
  <c r="AO1441" i="1"/>
  <c r="AQ1441" i="1"/>
  <c r="AX1441" i="1"/>
  <c r="BD1441" i="1"/>
  <c r="B1442" i="1"/>
  <c r="E1442" i="1"/>
  <c r="F1442" i="1"/>
  <c r="G1442" i="1"/>
  <c r="H1442" i="1"/>
  <c r="I1442" i="1"/>
  <c r="J1442" i="1"/>
  <c r="K1442" i="1"/>
  <c r="M1442" i="1"/>
  <c r="O1442" i="1"/>
  <c r="Q1442" i="1"/>
  <c r="R1442" i="1"/>
  <c r="W1442" i="1"/>
  <c r="AA1442" i="1"/>
  <c r="AB1442" i="1"/>
  <c r="AE1442" i="1"/>
  <c r="AF1442" i="1"/>
  <c r="AM1442" i="1"/>
  <c r="AN1442" i="1"/>
  <c r="AO1442" i="1"/>
  <c r="AQ1442" i="1"/>
  <c r="AX1442" i="1"/>
  <c r="BD1442" i="1"/>
  <c r="B1443" i="1"/>
  <c r="E1443" i="1"/>
  <c r="F1443" i="1"/>
  <c r="G1443" i="1"/>
  <c r="H1443" i="1"/>
  <c r="I1443" i="1"/>
  <c r="J1443" i="1"/>
  <c r="K1443" i="1"/>
  <c r="M1443" i="1"/>
  <c r="O1443" i="1"/>
  <c r="Q1443" i="1"/>
  <c r="R1443" i="1"/>
  <c r="W1443" i="1"/>
  <c r="AA1443" i="1"/>
  <c r="AM1443" i="1"/>
  <c r="AN1443" i="1"/>
  <c r="AO1443" i="1"/>
  <c r="AQ1443" i="1"/>
  <c r="BB1443" i="1"/>
  <c r="BD1443" i="1"/>
  <c r="B1444" i="1"/>
  <c r="E1444" i="1"/>
  <c r="F1444" i="1"/>
  <c r="G1444" i="1"/>
  <c r="H1444" i="1"/>
  <c r="I1444" i="1"/>
  <c r="J1444" i="1"/>
  <c r="K1444" i="1"/>
  <c r="M1444" i="1"/>
  <c r="O1444" i="1"/>
  <c r="Q1444" i="1"/>
  <c r="R1444" i="1"/>
  <c r="W1444" i="1"/>
  <c r="AA1444" i="1"/>
  <c r="AB1444" i="1"/>
  <c r="AM1444" i="1"/>
  <c r="AN1444" i="1"/>
  <c r="AO1444" i="1"/>
  <c r="AQ1444" i="1"/>
  <c r="AX1444" i="1"/>
  <c r="BD1444" i="1"/>
  <c r="B1445" i="1"/>
  <c r="E1445" i="1"/>
  <c r="F1445" i="1"/>
  <c r="G1445" i="1"/>
  <c r="H1445" i="1"/>
  <c r="I1445" i="1"/>
  <c r="J1445" i="1"/>
  <c r="K1445" i="1"/>
  <c r="M1445" i="1"/>
  <c r="O1445" i="1"/>
  <c r="Q1445" i="1"/>
  <c r="R1445" i="1"/>
  <c r="W1445" i="1"/>
  <c r="AA1445" i="1"/>
  <c r="AM1445" i="1"/>
  <c r="AN1445" i="1"/>
  <c r="AO1445" i="1"/>
  <c r="AQ1445" i="1"/>
  <c r="BB1445" i="1"/>
  <c r="BD1445" i="1"/>
  <c r="B1446" i="1"/>
  <c r="E1446" i="1"/>
  <c r="F1446" i="1"/>
  <c r="G1446" i="1"/>
  <c r="H1446" i="1"/>
  <c r="I1446" i="1"/>
  <c r="J1446" i="1"/>
  <c r="K1446" i="1"/>
  <c r="M1446" i="1"/>
  <c r="O1446" i="1"/>
  <c r="Q1446" i="1"/>
  <c r="R1446" i="1"/>
  <c r="W1446" i="1"/>
  <c r="AA1446" i="1"/>
  <c r="AM1446" i="1"/>
  <c r="AN1446" i="1"/>
  <c r="AO1446" i="1"/>
  <c r="AQ1446" i="1"/>
  <c r="BB1446" i="1"/>
  <c r="BD1446" i="1"/>
  <c r="B1447" i="1"/>
  <c r="E1447" i="1"/>
  <c r="F1447" i="1"/>
  <c r="G1447" i="1"/>
  <c r="H1447" i="1"/>
  <c r="I1447" i="1"/>
  <c r="J1447" i="1"/>
  <c r="K1447" i="1"/>
  <c r="M1447" i="1"/>
  <c r="O1447" i="1"/>
  <c r="Q1447" i="1"/>
  <c r="R1447" i="1"/>
  <c r="W1447" i="1"/>
  <c r="AA1447" i="1"/>
  <c r="AM1447" i="1"/>
  <c r="AN1447" i="1"/>
  <c r="AO1447" i="1"/>
  <c r="AQ1447" i="1"/>
  <c r="BB1447" i="1"/>
  <c r="BD1447" i="1"/>
  <c r="B1448" i="1"/>
  <c r="E1448" i="1"/>
  <c r="F1448" i="1"/>
  <c r="G1448" i="1"/>
  <c r="H1448" i="1"/>
  <c r="I1448" i="1"/>
  <c r="J1448" i="1"/>
  <c r="K1448" i="1"/>
  <c r="M1448" i="1"/>
  <c r="O1448" i="1"/>
  <c r="Q1448" i="1"/>
  <c r="R1448" i="1"/>
  <c r="W1448" i="1"/>
  <c r="AA1448" i="1"/>
  <c r="AB1448" i="1"/>
  <c r="AE1448" i="1"/>
  <c r="AF1448" i="1"/>
  <c r="AM1448" i="1"/>
  <c r="AN1448" i="1"/>
  <c r="AO1448" i="1"/>
  <c r="AQ1448" i="1"/>
  <c r="AX1448" i="1"/>
  <c r="BD1448" i="1"/>
  <c r="B1449" i="1"/>
  <c r="C1449" i="1"/>
  <c r="E1449" i="1"/>
  <c r="F1449" i="1"/>
  <c r="G1449" i="1"/>
  <c r="H1449" i="1"/>
  <c r="I1449" i="1"/>
  <c r="J1449" i="1"/>
  <c r="K1449" i="1"/>
  <c r="M1449" i="1"/>
  <c r="O1449" i="1"/>
  <c r="Q1449" i="1"/>
  <c r="R1449" i="1"/>
  <c r="W1449" i="1"/>
  <c r="AA1449" i="1"/>
  <c r="AM1449" i="1"/>
  <c r="AN1449" i="1"/>
  <c r="AO1449" i="1"/>
  <c r="AQ1449" i="1"/>
  <c r="BB1449" i="1"/>
  <c r="BD1449" i="1"/>
  <c r="B1450" i="1"/>
  <c r="C1450" i="1"/>
  <c r="E1450" i="1"/>
  <c r="F1450" i="1"/>
  <c r="G1450" i="1"/>
  <c r="H1450" i="1"/>
  <c r="I1450" i="1"/>
  <c r="J1450" i="1"/>
  <c r="K1450" i="1"/>
  <c r="M1450" i="1"/>
  <c r="O1450" i="1"/>
  <c r="Q1450" i="1"/>
  <c r="R1450" i="1"/>
  <c r="W1450" i="1"/>
  <c r="AA1450" i="1"/>
  <c r="AM1450" i="1"/>
  <c r="AN1450" i="1"/>
  <c r="AO1450" i="1"/>
  <c r="AQ1450" i="1"/>
  <c r="BB1450" i="1"/>
  <c r="BD1450" i="1"/>
  <c r="B1451" i="1"/>
  <c r="C1451" i="1"/>
  <c r="E1451" i="1"/>
  <c r="F1451" i="1"/>
  <c r="G1451" i="1"/>
  <c r="H1451" i="1"/>
  <c r="I1451" i="1"/>
  <c r="J1451" i="1"/>
  <c r="K1451" i="1"/>
  <c r="M1451" i="1"/>
  <c r="O1451" i="1"/>
  <c r="Q1451" i="1"/>
  <c r="R1451" i="1"/>
  <c r="W1451" i="1"/>
  <c r="AA1451" i="1"/>
  <c r="AM1451" i="1"/>
  <c r="AN1451" i="1"/>
  <c r="AO1451" i="1"/>
  <c r="AQ1451" i="1"/>
  <c r="BB1451" i="1"/>
  <c r="BD1451" i="1"/>
  <c r="B1452" i="1"/>
  <c r="C1452" i="1"/>
  <c r="E1452" i="1"/>
  <c r="F1452" i="1"/>
  <c r="G1452" i="1"/>
  <c r="H1452" i="1"/>
  <c r="I1452" i="1"/>
  <c r="J1452" i="1"/>
  <c r="K1452" i="1"/>
  <c r="M1452" i="1"/>
  <c r="O1452" i="1"/>
  <c r="Q1452" i="1"/>
  <c r="R1452" i="1"/>
  <c r="W1452" i="1"/>
  <c r="AA1452" i="1"/>
  <c r="AM1452" i="1"/>
  <c r="AN1452" i="1"/>
  <c r="AO1452" i="1"/>
  <c r="AQ1452" i="1"/>
  <c r="BB1452" i="1"/>
  <c r="BD1452" i="1"/>
  <c r="B1453" i="1"/>
  <c r="C1453" i="1"/>
  <c r="E1453" i="1"/>
  <c r="F1453" i="1"/>
  <c r="G1453" i="1"/>
  <c r="H1453" i="1"/>
  <c r="I1453" i="1"/>
  <c r="J1453" i="1"/>
  <c r="K1453" i="1"/>
  <c r="M1453" i="1"/>
  <c r="O1453" i="1"/>
  <c r="Q1453" i="1"/>
  <c r="R1453" i="1"/>
  <c r="W1453" i="1"/>
  <c r="AA1453" i="1"/>
  <c r="AM1453" i="1"/>
  <c r="AN1453" i="1"/>
  <c r="AO1453" i="1"/>
  <c r="AQ1453" i="1"/>
  <c r="BB1453" i="1"/>
  <c r="BD1453" i="1"/>
  <c r="B1454" i="1"/>
  <c r="C1454" i="1"/>
  <c r="E1454" i="1"/>
  <c r="F1454" i="1"/>
  <c r="G1454" i="1"/>
  <c r="H1454" i="1"/>
  <c r="I1454" i="1"/>
  <c r="J1454" i="1"/>
  <c r="K1454" i="1"/>
  <c r="M1454" i="1"/>
  <c r="O1454" i="1"/>
  <c r="Q1454" i="1"/>
  <c r="R1454" i="1"/>
  <c r="W1454" i="1"/>
  <c r="AA1454" i="1"/>
  <c r="AM1454" i="1"/>
  <c r="AN1454" i="1"/>
  <c r="AO1454" i="1"/>
  <c r="AQ1454" i="1"/>
  <c r="BB1454" i="1"/>
  <c r="BD1454" i="1"/>
  <c r="B1455" i="1"/>
  <c r="E1455" i="1"/>
  <c r="F1455" i="1"/>
  <c r="G1455" i="1"/>
  <c r="H1455" i="1"/>
  <c r="I1455" i="1"/>
  <c r="J1455" i="1"/>
  <c r="K1455" i="1"/>
  <c r="M1455" i="1"/>
  <c r="O1455" i="1"/>
  <c r="Q1455" i="1"/>
  <c r="R1455" i="1"/>
  <c r="W1455" i="1"/>
  <c r="AA1455" i="1"/>
  <c r="AM1455" i="1"/>
  <c r="AN1455" i="1"/>
  <c r="AO1455" i="1"/>
  <c r="AQ1455" i="1"/>
  <c r="BB1455" i="1"/>
  <c r="BD1455" i="1"/>
  <c r="B1456" i="1"/>
  <c r="E1456" i="1"/>
  <c r="F1456" i="1"/>
  <c r="G1456" i="1"/>
  <c r="H1456" i="1"/>
  <c r="I1456" i="1"/>
  <c r="J1456" i="1"/>
  <c r="K1456" i="1"/>
  <c r="M1456" i="1"/>
  <c r="O1456" i="1"/>
  <c r="Q1456" i="1"/>
  <c r="R1456" i="1"/>
  <c r="W1456" i="1"/>
  <c r="AA1456" i="1"/>
  <c r="AM1456" i="1"/>
  <c r="AN1456" i="1"/>
  <c r="AO1456" i="1"/>
  <c r="AQ1456" i="1"/>
  <c r="BB1456" i="1"/>
  <c r="BD1456" i="1"/>
  <c r="B1457" i="1"/>
  <c r="E1457" i="1"/>
  <c r="F1457" i="1"/>
  <c r="G1457" i="1"/>
  <c r="H1457" i="1"/>
  <c r="I1457" i="1"/>
  <c r="J1457" i="1"/>
  <c r="K1457" i="1"/>
  <c r="M1457" i="1"/>
  <c r="O1457" i="1"/>
  <c r="Q1457" i="1"/>
  <c r="R1457" i="1"/>
  <c r="W1457" i="1"/>
  <c r="AA1457" i="1"/>
  <c r="AB1457" i="1"/>
  <c r="AM1457" i="1"/>
  <c r="AN1457" i="1"/>
  <c r="AO1457" i="1"/>
  <c r="AQ1457" i="1"/>
  <c r="AX1457" i="1"/>
  <c r="BD1457" i="1"/>
  <c r="B1458" i="1"/>
  <c r="E1458" i="1"/>
  <c r="F1458" i="1"/>
  <c r="G1458" i="1"/>
  <c r="H1458" i="1"/>
  <c r="I1458" i="1"/>
  <c r="J1458" i="1"/>
  <c r="K1458" i="1"/>
  <c r="M1458" i="1"/>
  <c r="O1458" i="1"/>
  <c r="Q1458" i="1"/>
  <c r="R1458" i="1"/>
  <c r="W1458" i="1"/>
  <c r="AA1458" i="1"/>
  <c r="AB1458" i="1"/>
  <c r="AE1458" i="1"/>
  <c r="AF1458" i="1"/>
  <c r="AM1458" i="1"/>
  <c r="AN1458" i="1"/>
  <c r="AO1458" i="1"/>
  <c r="AQ1458" i="1"/>
  <c r="AX1458" i="1"/>
  <c r="BD1458" i="1"/>
  <c r="B1459" i="1"/>
  <c r="C1459" i="1"/>
  <c r="E1459" i="1"/>
  <c r="F1459" i="1"/>
  <c r="G1459" i="1"/>
  <c r="H1459" i="1"/>
  <c r="I1459" i="1"/>
  <c r="J1459" i="1"/>
  <c r="K1459" i="1"/>
  <c r="M1459" i="1"/>
  <c r="O1459" i="1"/>
  <c r="Q1459" i="1"/>
  <c r="R1459" i="1"/>
  <c r="W1459" i="1"/>
  <c r="AA1459" i="1"/>
  <c r="AB1459" i="1"/>
  <c r="AE1459" i="1"/>
  <c r="AF1459" i="1"/>
  <c r="AM1459" i="1"/>
  <c r="AN1459" i="1"/>
  <c r="AO1459" i="1"/>
  <c r="AQ1459" i="1"/>
  <c r="AX1459" i="1"/>
  <c r="BD1459" i="1"/>
  <c r="B1460" i="1"/>
  <c r="C1460" i="1"/>
  <c r="E1460" i="1"/>
  <c r="F1460" i="1"/>
  <c r="G1460" i="1"/>
  <c r="H1460" i="1"/>
  <c r="I1460" i="1"/>
  <c r="J1460" i="1"/>
  <c r="K1460" i="1"/>
  <c r="M1460" i="1"/>
  <c r="O1460" i="1"/>
  <c r="Q1460" i="1"/>
  <c r="R1460" i="1"/>
  <c r="W1460" i="1"/>
  <c r="AA1460" i="1"/>
  <c r="AB1460" i="1"/>
  <c r="AE1460" i="1"/>
  <c r="AF1460" i="1"/>
  <c r="AM1460" i="1"/>
  <c r="AN1460" i="1"/>
  <c r="AO1460" i="1"/>
  <c r="AQ1460" i="1"/>
  <c r="AX1460" i="1"/>
  <c r="BD1460" i="1"/>
  <c r="B1461" i="1"/>
  <c r="C1461" i="1"/>
  <c r="E1461" i="1"/>
  <c r="F1461" i="1"/>
  <c r="G1461" i="1"/>
  <c r="H1461" i="1"/>
  <c r="I1461" i="1"/>
  <c r="J1461" i="1"/>
  <c r="K1461" i="1"/>
  <c r="M1461" i="1"/>
  <c r="O1461" i="1"/>
  <c r="Q1461" i="1"/>
  <c r="R1461" i="1"/>
  <c r="W1461" i="1"/>
  <c r="AA1461" i="1"/>
  <c r="AB1461" i="1"/>
  <c r="AE1461" i="1"/>
  <c r="AF1461" i="1"/>
  <c r="AM1461" i="1"/>
  <c r="AN1461" i="1"/>
  <c r="AO1461" i="1"/>
  <c r="AQ1461" i="1"/>
  <c r="AX1461" i="1"/>
  <c r="BD1461" i="1"/>
  <c r="B1462" i="1"/>
  <c r="C1462" i="1"/>
  <c r="E1462" i="1"/>
  <c r="F1462" i="1"/>
  <c r="G1462" i="1"/>
  <c r="H1462" i="1"/>
  <c r="I1462" i="1"/>
  <c r="J1462" i="1"/>
  <c r="K1462" i="1"/>
  <c r="M1462" i="1"/>
  <c r="O1462" i="1"/>
  <c r="Q1462" i="1"/>
  <c r="R1462" i="1"/>
  <c r="W1462" i="1"/>
  <c r="AA1462" i="1"/>
  <c r="AB1462" i="1"/>
  <c r="AE1462" i="1"/>
  <c r="AF1462" i="1"/>
  <c r="AM1462" i="1"/>
  <c r="AN1462" i="1"/>
  <c r="AO1462" i="1"/>
  <c r="AQ1462" i="1"/>
  <c r="AX1462" i="1"/>
  <c r="BD1462" i="1"/>
  <c r="B1463" i="1"/>
  <c r="C1463" i="1"/>
  <c r="E1463" i="1"/>
  <c r="F1463" i="1"/>
  <c r="G1463" i="1"/>
  <c r="H1463" i="1"/>
  <c r="I1463" i="1"/>
  <c r="J1463" i="1"/>
  <c r="K1463" i="1"/>
  <c r="M1463" i="1"/>
  <c r="O1463" i="1"/>
  <c r="Q1463" i="1"/>
  <c r="R1463" i="1"/>
  <c r="W1463" i="1"/>
  <c r="AA1463" i="1"/>
  <c r="AB1463" i="1"/>
  <c r="AE1463" i="1"/>
  <c r="AF1463" i="1"/>
  <c r="AM1463" i="1"/>
  <c r="AN1463" i="1"/>
  <c r="AO1463" i="1"/>
  <c r="AQ1463" i="1"/>
  <c r="AX1463" i="1"/>
  <c r="BD1463" i="1"/>
  <c r="B1464" i="1"/>
  <c r="C1464" i="1"/>
  <c r="E1464" i="1"/>
  <c r="F1464" i="1"/>
  <c r="G1464" i="1"/>
  <c r="H1464" i="1"/>
  <c r="I1464" i="1"/>
  <c r="J1464" i="1"/>
  <c r="K1464" i="1"/>
  <c r="M1464" i="1"/>
  <c r="O1464" i="1"/>
  <c r="Q1464" i="1"/>
  <c r="R1464" i="1"/>
  <c r="W1464" i="1"/>
  <c r="AA1464" i="1"/>
  <c r="AB1464" i="1"/>
  <c r="AE1464" i="1"/>
  <c r="AF1464" i="1"/>
  <c r="AM1464" i="1"/>
  <c r="AN1464" i="1"/>
  <c r="AO1464" i="1"/>
  <c r="AQ1464" i="1"/>
  <c r="AX1464" i="1"/>
  <c r="BD1464" i="1"/>
  <c r="B1465" i="1"/>
  <c r="C1465" i="1"/>
  <c r="E1465" i="1"/>
  <c r="F1465" i="1"/>
  <c r="G1465" i="1"/>
  <c r="H1465" i="1"/>
  <c r="I1465" i="1"/>
  <c r="J1465" i="1"/>
  <c r="K1465" i="1"/>
  <c r="M1465" i="1"/>
  <c r="O1465" i="1"/>
  <c r="Q1465" i="1"/>
  <c r="R1465" i="1"/>
  <c r="W1465" i="1"/>
  <c r="AA1465" i="1"/>
  <c r="AB1465" i="1"/>
  <c r="AE1465" i="1"/>
  <c r="AF1465" i="1"/>
  <c r="AM1465" i="1"/>
  <c r="AN1465" i="1"/>
  <c r="AO1465" i="1"/>
  <c r="AQ1465" i="1"/>
  <c r="AX1465" i="1"/>
  <c r="BD1465" i="1"/>
  <c r="B1466" i="1"/>
  <c r="C1466" i="1"/>
  <c r="E1466" i="1"/>
  <c r="F1466" i="1"/>
  <c r="G1466" i="1"/>
  <c r="H1466" i="1"/>
  <c r="I1466" i="1"/>
  <c r="J1466" i="1"/>
  <c r="K1466" i="1"/>
  <c r="M1466" i="1"/>
  <c r="O1466" i="1"/>
  <c r="Q1466" i="1"/>
  <c r="R1466" i="1"/>
  <c r="W1466" i="1"/>
  <c r="AA1466" i="1"/>
  <c r="AB1466" i="1"/>
  <c r="AE1466" i="1"/>
  <c r="AF1466" i="1"/>
  <c r="AM1466" i="1"/>
  <c r="AN1466" i="1"/>
  <c r="AO1466" i="1"/>
  <c r="AQ1466" i="1"/>
  <c r="AX1466" i="1"/>
  <c r="BD1466" i="1"/>
  <c r="B1467" i="1"/>
  <c r="C1467" i="1"/>
  <c r="E1467" i="1"/>
  <c r="F1467" i="1"/>
  <c r="G1467" i="1"/>
  <c r="H1467" i="1"/>
  <c r="I1467" i="1"/>
  <c r="J1467" i="1"/>
  <c r="K1467" i="1"/>
  <c r="M1467" i="1"/>
  <c r="O1467" i="1"/>
  <c r="Q1467" i="1"/>
  <c r="R1467" i="1"/>
  <c r="W1467" i="1"/>
  <c r="AA1467" i="1"/>
  <c r="AB1467" i="1"/>
  <c r="AE1467" i="1"/>
  <c r="AF1467" i="1"/>
  <c r="AM1467" i="1"/>
  <c r="AN1467" i="1"/>
  <c r="AO1467" i="1"/>
  <c r="AQ1467" i="1"/>
  <c r="AX1467" i="1"/>
  <c r="BD1467" i="1"/>
  <c r="B1468" i="1"/>
  <c r="C1468" i="1"/>
  <c r="E1468" i="1"/>
  <c r="F1468" i="1"/>
  <c r="G1468" i="1"/>
  <c r="H1468" i="1"/>
  <c r="I1468" i="1"/>
  <c r="J1468" i="1"/>
  <c r="K1468" i="1"/>
  <c r="M1468" i="1"/>
  <c r="O1468" i="1"/>
  <c r="Q1468" i="1"/>
  <c r="R1468" i="1"/>
  <c r="W1468" i="1"/>
  <c r="AA1468" i="1"/>
  <c r="AB1468" i="1"/>
  <c r="AE1468" i="1"/>
  <c r="AF1468" i="1"/>
  <c r="AM1468" i="1"/>
  <c r="AN1468" i="1"/>
  <c r="AO1468" i="1"/>
  <c r="AQ1468" i="1"/>
  <c r="AX1468" i="1"/>
  <c r="BD1468" i="1"/>
  <c r="B1469" i="1"/>
  <c r="C1469" i="1"/>
  <c r="E1469" i="1"/>
  <c r="F1469" i="1"/>
  <c r="G1469" i="1"/>
  <c r="H1469" i="1"/>
  <c r="I1469" i="1"/>
  <c r="J1469" i="1"/>
  <c r="K1469" i="1"/>
  <c r="M1469" i="1"/>
  <c r="O1469" i="1"/>
  <c r="Q1469" i="1"/>
  <c r="R1469" i="1"/>
  <c r="W1469" i="1"/>
  <c r="AA1469" i="1"/>
  <c r="AB1469" i="1"/>
  <c r="AE1469" i="1"/>
  <c r="AF1469" i="1"/>
  <c r="AM1469" i="1"/>
  <c r="AN1469" i="1"/>
  <c r="AO1469" i="1"/>
  <c r="AQ1469" i="1"/>
  <c r="AX1469" i="1"/>
  <c r="BD1469" i="1"/>
  <c r="B1470" i="1"/>
  <c r="C1470" i="1"/>
  <c r="E1470" i="1"/>
  <c r="F1470" i="1"/>
  <c r="G1470" i="1"/>
  <c r="H1470" i="1"/>
  <c r="I1470" i="1"/>
  <c r="J1470" i="1"/>
  <c r="K1470" i="1"/>
  <c r="M1470" i="1"/>
  <c r="O1470" i="1"/>
  <c r="Q1470" i="1"/>
  <c r="R1470" i="1"/>
  <c r="W1470" i="1"/>
  <c r="AA1470" i="1"/>
  <c r="AB1470" i="1"/>
  <c r="AE1470" i="1"/>
  <c r="AF1470" i="1"/>
  <c r="AM1470" i="1"/>
  <c r="AN1470" i="1"/>
  <c r="AO1470" i="1"/>
  <c r="AQ1470" i="1"/>
  <c r="AX1470" i="1"/>
  <c r="BD1470" i="1"/>
  <c r="B1471" i="1"/>
  <c r="C1471" i="1"/>
  <c r="E1471" i="1"/>
  <c r="F1471" i="1"/>
  <c r="G1471" i="1"/>
  <c r="H1471" i="1"/>
  <c r="I1471" i="1"/>
  <c r="J1471" i="1"/>
  <c r="K1471" i="1"/>
  <c r="M1471" i="1"/>
  <c r="O1471" i="1"/>
  <c r="Q1471" i="1"/>
  <c r="R1471" i="1"/>
  <c r="W1471" i="1"/>
  <c r="AA1471" i="1"/>
  <c r="AB1471" i="1"/>
  <c r="AE1471" i="1"/>
  <c r="AF1471" i="1"/>
  <c r="AM1471" i="1"/>
  <c r="AN1471" i="1"/>
  <c r="AO1471" i="1"/>
  <c r="AQ1471" i="1"/>
  <c r="AX1471" i="1"/>
  <c r="BD1471" i="1"/>
  <c r="B1472" i="1"/>
  <c r="C1472" i="1"/>
  <c r="E1472" i="1"/>
  <c r="F1472" i="1"/>
  <c r="G1472" i="1"/>
  <c r="H1472" i="1"/>
  <c r="I1472" i="1"/>
  <c r="J1472" i="1"/>
  <c r="K1472" i="1"/>
  <c r="M1472" i="1"/>
  <c r="O1472" i="1"/>
  <c r="Q1472" i="1"/>
  <c r="R1472" i="1"/>
  <c r="W1472" i="1"/>
  <c r="AA1472" i="1"/>
  <c r="AB1472" i="1"/>
  <c r="AE1472" i="1"/>
  <c r="AF1472" i="1"/>
  <c r="AM1472" i="1"/>
  <c r="AN1472" i="1"/>
  <c r="AO1472" i="1"/>
  <c r="AQ1472" i="1"/>
  <c r="AX1472" i="1"/>
  <c r="BD1472" i="1"/>
  <c r="B1473" i="1"/>
  <c r="C1473" i="1"/>
  <c r="D1473" i="1"/>
  <c r="E1473" i="1"/>
  <c r="F1473" i="1"/>
  <c r="G1473" i="1"/>
  <c r="H1473" i="1"/>
  <c r="I1473" i="1"/>
  <c r="J1473" i="1"/>
  <c r="K1473" i="1"/>
  <c r="M1473" i="1"/>
  <c r="O1473" i="1"/>
  <c r="Q1473" i="1"/>
  <c r="R1473" i="1"/>
  <c r="W1473" i="1"/>
  <c r="AA1473" i="1"/>
  <c r="AB1473" i="1"/>
  <c r="AE1473" i="1"/>
  <c r="AF1473" i="1"/>
  <c r="AM1473" i="1"/>
  <c r="AN1473" i="1"/>
  <c r="AO1473" i="1"/>
  <c r="AQ1473" i="1"/>
  <c r="AX1473" i="1"/>
  <c r="BD1473" i="1"/>
  <c r="B1474" i="1"/>
  <c r="C1474" i="1"/>
  <c r="E1474" i="1"/>
  <c r="F1474" i="1"/>
  <c r="G1474" i="1"/>
  <c r="H1474" i="1"/>
  <c r="I1474" i="1"/>
  <c r="J1474" i="1"/>
  <c r="K1474" i="1"/>
  <c r="M1474" i="1"/>
  <c r="O1474" i="1"/>
  <c r="Q1474" i="1"/>
  <c r="R1474" i="1"/>
  <c r="W1474" i="1"/>
  <c r="AA1474" i="1"/>
  <c r="AB1474" i="1"/>
  <c r="AE1474" i="1"/>
  <c r="AF1474" i="1"/>
  <c r="AM1474" i="1"/>
  <c r="AN1474" i="1"/>
  <c r="AO1474" i="1"/>
  <c r="AQ1474" i="1"/>
  <c r="AX1474" i="1"/>
  <c r="BD1474" i="1"/>
  <c r="B1475" i="1"/>
  <c r="C1475" i="1"/>
  <c r="E1475" i="1"/>
  <c r="F1475" i="1"/>
  <c r="G1475" i="1"/>
  <c r="H1475" i="1"/>
  <c r="I1475" i="1"/>
  <c r="J1475" i="1"/>
  <c r="K1475" i="1"/>
  <c r="M1475" i="1"/>
  <c r="O1475" i="1"/>
  <c r="Q1475" i="1"/>
  <c r="R1475" i="1"/>
  <c r="W1475" i="1"/>
  <c r="AA1475" i="1"/>
  <c r="AB1475" i="1"/>
  <c r="AE1475" i="1"/>
  <c r="AF1475" i="1"/>
  <c r="AM1475" i="1"/>
  <c r="AN1475" i="1"/>
  <c r="AO1475" i="1"/>
  <c r="AQ1475" i="1"/>
  <c r="AX1475" i="1"/>
  <c r="BD1475" i="1"/>
  <c r="B1476" i="1"/>
  <c r="C1476" i="1"/>
  <c r="E1476" i="1"/>
  <c r="F1476" i="1"/>
  <c r="G1476" i="1"/>
  <c r="H1476" i="1"/>
  <c r="I1476" i="1"/>
  <c r="J1476" i="1"/>
  <c r="K1476" i="1"/>
  <c r="M1476" i="1"/>
  <c r="O1476" i="1"/>
  <c r="Q1476" i="1"/>
  <c r="R1476" i="1"/>
  <c r="W1476" i="1"/>
  <c r="AA1476" i="1"/>
  <c r="AB1476" i="1"/>
  <c r="AE1476" i="1"/>
  <c r="AF1476" i="1"/>
  <c r="AM1476" i="1"/>
  <c r="AN1476" i="1"/>
  <c r="AO1476" i="1"/>
  <c r="AQ1476" i="1"/>
  <c r="AX1476" i="1"/>
  <c r="BD1476" i="1"/>
  <c r="B1477" i="1"/>
  <c r="C1477" i="1"/>
  <c r="E1477" i="1"/>
  <c r="F1477" i="1"/>
  <c r="G1477" i="1"/>
  <c r="H1477" i="1"/>
  <c r="I1477" i="1"/>
  <c r="J1477" i="1"/>
  <c r="K1477" i="1"/>
  <c r="M1477" i="1"/>
  <c r="O1477" i="1"/>
  <c r="Q1477" i="1"/>
  <c r="R1477" i="1"/>
  <c r="W1477" i="1"/>
  <c r="AA1477" i="1"/>
  <c r="AB1477" i="1"/>
  <c r="AE1477" i="1"/>
  <c r="AF1477" i="1"/>
  <c r="AM1477" i="1"/>
  <c r="AN1477" i="1"/>
  <c r="AO1477" i="1"/>
  <c r="AQ1477" i="1"/>
  <c r="AX1477" i="1"/>
  <c r="BD1477" i="1"/>
  <c r="B1478" i="1"/>
  <c r="E1478" i="1"/>
  <c r="F1478" i="1"/>
  <c r="G1478" i="1"/>
  <c r="H1478" i="1"/>
  <c r="I1478" i="1"/>
  <c r="J1478" i="1"/>
  <c r="K1478" i="1"/>
  <c r="M1478" i="1"/>
  <c r="O1478" i="1"/>
  <c r="Q1478" i="1"/>
  <c r="R1478" i="1"/>
  <c r="W1478" i="1"/>
  <c r="AA1478" i="1"/>
  <c r="AB1478" i="1"/>
  <c r="AM1478" i="1"/>
  <c r="AN1478" i="1"/>
  <c r="AO1478" i="1"/>
  <c r="AQ1478" i="1"/>
  <c r="AX1478" i="1"/>
  <c r="BD1478" i="1"/>
  <c r="B1479" i="1"/>
  <c r="E1479" i="1"/>
  <c r="F1479" i="1"/>
  <c r="G1479" i="1"/>
  <c r="H1479" i="1"/>
  <c r="I1479" i="1"/>
  <c r="J1479" i="1"/>
  <c r="K1479" i="1"/>
  <c r="M1479" i="1"/>
  <c r="O1479" i="1"/>
  <c r="Q1479" i="1"/>
  <c r="R1479" i="1"/>
  <c r="W1479" i="1"/>
  <c r="AA1479" i="1"/>
  <c r="AM1479" i="1"/>
  <c r="AN1479" i="1"/>
  <c r="AO1479" i="1"/>
  <c r="AQ1479" i="1"/>
  <c r="BB1479" i="1"/>
  <c r="BD1479" i="1"/>
  <c r="B1480" i="1"/>
  <c r="E1480" i="1"/>
  <c r="F1480" i="1"/>
  <c r="G1480" i="1"/>
  <c r="H1480" i="1"/>
  <c r="I1480" i="1"/>
  <c r="J1480" i="1"/>
  <c r="K1480" i="1"/>
  <c r="M1480" i="1"/>
  <c r="O1480" i="1"/>
  <c r="Q1480" i="1"/>
  <c r="R1480" i="1"/>
  <c r="W1480" i="1"/>
  <c r="AA1480" i="1"/>
  <c r="AM1480" i="1"/>
  <c r="AN1480" i="1"/>
  <c r="AO1480" i="1"/>
  <c r="AQ1480" i="1"/>
  <c r="BB1480" i="1"/>
  <c r="BD1480" i="1"/>
  <c r="B1481" i="1"/>
  <c r="C1481" i="1"/>
  <c r="D1481" i="1"/>
  <c r="E1481" i="1"/>
  <c r="F1481" i="1"/>
  <c r="G1481" i="1"/>
  <c r="H1481" i="1"/>
  <c r="I1481" i="1"/>
  <c r="J1481" i="1"/>
  <c r="K1481" i="1"/>
  <c r="M1481" i="1"/>
  <c r="O1481" i="1"/>
  <c r="Q1481" i="1"/>
  <c r="R1481" i="1"/>
  <c r="W1481" i="1"/>
  <c r="AA1481" i="1"/>
  <c r="AB1481" i="1"/>
  <c r="AE1481" i="1"/>
  <c r="AF1481" i="1"/>
  <c r="AM1481" i="1"/>
  <c r="AN1481" i="1"/>
  <c r="AO1481" i="1"/>
  <c r="AQ1481" i="1"/>
  <c r="AX1481" i="1"/>
  <c r="BD1481" i="1"/>
  <c r="B1482" i="1"/>
  <c r="C1482" i="1"/>
  <c r="D1482" i="1"/>
  <c r="E1482" i="1"/>
  <c r="F1482" i="1"/>
  <c r="G1482" i="1"/>
  <c r="H1482" i="1"/>
  <c r="I1482" i="1"/>
  <c r="J1482" i="1"/>
  <c r="K1482" i="1"/>
  <c r="M1482" i="1"/>
  <c r="O1482" i="1"/>
  <c r="Q1482" i="1"/>
  <c r="R1482" i="1"/>
  <c r="W1482" i="1"/>
  <c r="AA1482" i="1"/>
  <c r="AB1482" i="1"/>
  <c r="AM1482" i="1"/>
  <c r="AN1482" i="1"/>
  <c r="AO1482" i="1"/>
  <c r="AQ1482" i="1"/>
  <c r="AX1482" i="1"/>
  <c r="BD1482" i="1"/>
  <c r="B1483" i="1"/>
  <c r="E1483" i="1"/>
  <c r="F1483" i="1"/>
  <c r="G1483" i="1"/>
  <c r="H1483" i="1"/>
  <c r="I1483" i="1"/>
  <c r="J1483" i="1"/>
  <c r="K1483" i="1"/>
  <c r="M1483" i="1"/>
  <c r="O1483" i="1"/>
  <c r="Q1483" i="1"/>
  <c r="R1483" i="1"/>
  <c r="W1483" i="1"/>
  <c r="AA1483" i="1"/>
  <c r="AB1483" i="1"/>
  <c r="AM1483" i="1"/>
  <c r="AN1483" i="1"/>
  <c r="AO1483" i="1"/>
  <c r="AQ1483" i="1"/>
  <c r="AX1483" i="1"/>
  <c r="BD1483" i="1"/>
  <c r="B1484" i="1"/>
  <c r="E1484" i="1"/>
  <c r="F1484" i="1"/>
  <c r="G1484" i="1"/>
  <c r="H1484" i="1"/>
  <c r="I1484" i="1"/>
  <c r="J1484" i="1"/>
  <c r="K1484" i="1"/>
  <c r="M1484" i="1"/>
  <c r="O1484" i="1"/>
  <c r="Q1484" i="1"/>
  <c r="R1484" i="1"/>
  <c r="W1484" i="1"/>
  <c r="AA1484" i="1"/>
  <c r="AB1484" i="1"/>
  <c r="AM1484" i="1"/>
  <c r="AN1484" i="1"/>
  <c r="AO1484" i="1"/>
  <c r="AQ1484" i="1"/>
  <c r="AX1484" i="1"/>
  <c r="BD1484" i="1"/>
  <c r="B1485" i="1"/>
  <c r="E1485" i="1"/>
  <c r="F1485" i="1"/>
  <c r="G1485" i="1"/>
  <c r="H1485" i="1"/>
  <c r="I1485" i="1"/>
  <c r="J1485" i="1"/>
  <c r="K1485" i="1"/>
  <c r="M1485" i="1"/>
  <c r="O1485" i="1"/>
  <c r="Q1485" i="1"/>
  <c r="R1485" i="1"/>
  <c r="W1485" i="1"/>
  <c r="AA1485" i="1"/>
  <c r="AM1485" i="1"/>
  <c r="AN1485" i="1"/>
  <c r="AO1485" i="1"/>
  <c r="AQ1485" i="1"/>
  <c r="BB1485" i="1"/>
  <c r="BD1485" i="1"/>
  <c r="B1486" i="1"/>
  <c r="E1486" i="1"/>
  <c r="F1486" i="1"/>
  <c r="G1486" i="1"/>
  <c r="H1486" i="1"/>
  <c r="I1486" i="1"/>
  <c r="J1486" i="1"/>
  <c r="K1486" i="1"/>
  <c r="M1486" i="1"/>
  <c r="O1486" i="1"/>
  <c r="Q1486" i="1"/>
  <c r="R1486" i="1"/>
  <c r="W1486" i="1"/>
  <c r="AA1486" i="1"/>
  <c r="AM1486" i="1"/>
  <c r="AN1486" i="1"/>
  <c r="AO1486" i="1"/>
  <c r="AQ1486" i="1"/>
  <c r="BB1486" i="1"/>
  <c r="BD1486" i="1"/>
  <c r="B1487" i="1"/>
  <c r="E1487" i="1"/>
  <c r="F1487" i="1"/>
  <c r="G1487" i="1"/>
  <c r="H1487" i="1"/>
  <c r="I1487" i="1"/>
  <c r="J1487" i="1"/>
  <c r="K1487" i="1"/>
  <c r="M1487" i="1"/>
  <c r="O1487" i="1"/>
  <c r="Q1487" i="1"/>
  <c r="R1487" i="1"/>
  <c r="W1487" i="1"/>
  <c r="AA1487" i="1"/>
  <c r="AM1487" i="1"/>
  <c r="AN1487" i="1"/>
  <c r="AO1487" i="1"/>
  <c r="AQ1487" i="1"/>
  <c r="BB1487" i="1"/>
  <c r="BD1487" i="1"/>
  <c r="B1488" i="1"/>
  <c r="C1488" i="1"/>
  <c r="D1488" i="1"/>
  <c r="E1488" i="1"/>
  <c r="F1488" i="1"/>
  <c r="G1488" i="1"/>
  <c r="H1488" i="1"/>
  <c r="I1488" i="1"/>
  <c r="J1488" i="1"/>
  <c r="K1488" i="1"/>
  <c r="M1488" i="1"/>
  <c r="O1488" i="1"/>
  <c r="Q1488" i="1"/>
  <c r="R1488" i="1"/>
  <c r="W1488" i="1"/>
  <c r="AA1488" i="1"/>
  <c r="AB1488" i="1"/>
  <c r="AE1488" i="1"/>
  <c r="AF1488" i="1"/>
  <c r="AM1488" i="1"/>
  <c r="AN1488" i="1"/>
  <c r="AO1488" i="1"/>
  <c r="AQ1488" i="1"/>
  <c r="AX1488" i="1"/>
  <c r="BD1488" i="1"/>
  <c r="B1489" i="1"/>
  <c r="C1489" i="1"/>
  <c r="D1489" i="1"/>
  <c r="E1489" i="1"/>
  <c r="F1489" i="1"/>
  <c r="G1489" i="1"/>
  <c r="H1489" i="1"/>
  <c r="I1489" i="1"/>
  <c r="J1489" i="1"/>
  <c r="K1489" i="1"/>
  <c r="M1489" i="1"/>
  <c r="O1489" i="1"/>
  <c r="Q1489" i="1"/>
  <c r="R1489" i="1"/>
  <c r="W1489" i="1"/>
  <c r="AA1489" i="1"/>
  <c r="AB1489" i="1"/>
  <c r="AE1489" i="1"/>
  <c r="AF1489" i="1"/>
  <c r="AM1489" i="1"/>
  <c r="AN1489" i="1"/>
  <c r="AO1489" i="1"/>
  <c r="AQ1489" i="1"/>
  <c r="AX1489" i="1"/>
  <c r="BD1489" i="1"/>
  <c r="B1490" i="1"/>
  <c r="C1490" i="1"/>
  <c r="D1490" i="1"/>
  <c r="E1490" i="1"/>
  <c r="F1490" i="1"/>
  <c r="G1490" i="1"/>
  <c r="H1490" i="1"/>
  <c r="I1490" i="1"/>
  <c r="J1490" i="1"/>
  <c r="K1490" i="1"/>
  <c r="M1490" i="1"/>
  <c r="O1490" i="1"/>
  <c r="Q1490" i="1"/>
  <c r="R1490" i="1"/>
  <c r="W1490" i="1"/>
  <c r="AA1490" i="1"/>
  <c r="AB1490" i="1"/>
  <c r="AE1490" i="1"/>
  <c r="AF1490" i="1"/>
  <c r="AM1490" i="1"/>
  <c r="AN1490" i="1"/>
  <c r="AO1490" i="1"/>
  <c r="AQ1490" i="1"/>
  <c r="AX1490" i="1"/>
  <c r="BD1490" i="1"/>
  <c r="B1491" i="1"/>
  <c r="C1491" i="1"/>
  <c r="E1491" i="1"/>
  <c r="F1491" i="1"/>
  <c r="G1491" i="1"/>
  <c r="H1491" i="1"/>
  <c r="I1491" i="1"/>
  <c r="J1491" i="1"/>
  <c r="K1491" i="1"/>
  <c r="M1491" i="1"/>
  <c r="O1491" i="1"/>
  <c r="Q1491" i="1"/>
  <c r="R1491" i="1"/>
  <c r="W1491" i="1"/>
  <c r="AA1491" i="1"/>
  <c r="AB1491" i="1"/>
  <c r="AE1491" i="1"/>
  <c r="AF1491" i="1"/>
  <c r="AM1491" i="1"/>
  <c r="AN1491" i="1"/>
  <c r="AO1491" i="1"/>
  <c r="AQ1491" i="1"/>
  <c r="AX1491" i="1"/>
  <c r="BD1491" i="1"/>
  <c r="B1492" i="1"/>
  <c r="C1492" i="1"/>
  <c r="E1492" i="1"/>
  <c r="F1492" i="1"/>
  <c r="G1492" i="1"/>
  <c r="H1492" i="1"/>
  <c r="I1492" i="1"/>
  <c r="J1492" i="1"/>
  <c r="K1492" i="1"/>
  <c r="M1492" i="1"/>
  <c r="O1492" i="1"/>
  <c r="Q1492" i="1"/>
  <c r="R1492" i="1"/>
  <c r="W1492" i="1"/>
  <c r="AA1492" i="1"/>
  <c r="AB1492" i="1"/>
  <c r="AE1492" i="1"/>
  <c r="AF1492" i="1"/>
  <c r="AM1492" i="1"/>
  <c r="AN1492" i="1"/>
  <c r="AO1492" i="1"/>
  <c r="AQ1492" i="1"/>
  <c r="AX1492" i="1"/>
  <c r="BD1492" i="1"/>
  <c r="B1493" i="1"/>
  <c r="C1493" i="1"/>
  <c r="E1493" i="1"/>
  <c r="F1493" i="1"/>
  <c r="G1493" i="1"/>
  <c r="H1493" i="1"/>
  <c r="I1493" i="1"/>
  <c r="J1493" i="1"/>
  <c r="K1493" i="1"/>
  <c r="M1493" i="1"/>
  <c r="O1493" i="1"/>
  <c r="Q1493" i="1"/>
  <c r="R1493" i="1"/>
  <c r="W1493" i="1"/>
  <c r="AA1493" i="1"/>
  <c r="AB1493" i="1"/>
  <c r="AE1493" i="1"/>
  <c r="AF1493" i="1"/>
  <c r="AM1493" i="1"/>
  <c r="AN1493" i="1"/>
  <c r="AO1493" i="1"/>
  <c r="AQ1493" i="1"/>
  <c r="AX1493" i="1"/>
  <c r="BD1493" i="1"/>
  <c r="B1494" i="1"/>
  <c r="C1494" i="1"/>
  <c r="E1494" i="1"/>
  <c r="F1494" i="1"/>
  <c r="G1494" i="1"/>
  <c r="H1494" i="1"/>
  <c r="I1494" i="1"/>
  <c r="J1494" i="1"/>
  <c r="K1494" i="1"/>
  <c r="M1494" i="1"/>
  <c r="O1494" i="1"/>
  <c r="Q1494" i="1"/>
  <c r="R1494" i="1"/>
  <c r="W1494" i="1"/>
  <c r="AA1494" i="1"/>
  <c r="AB1494" i="1"/>
  <c r="AE1494" i="1"/>
  <c r="AF1494" i="1"/>
  <c r="AM1494" i="1"/>
  <c r="AN1494" i="1"/>
  <c r="AO1494" i="1"/>
  <c r="AQ1494" i="1"/>
  <c r="AX1494" i="1"/>
  <c r="BD1494" i="1"/>
  <c r="B1495" i="1"/>
  <c r="C1495" i="1"/>
  <c r="E1495" i="1"/>
  <c r="F1495" i="1"/>
  <c r="G1495" i="1"/>
  <c r="H1495" i="1"/>
  <c r="I1495" i="1"/>
  <c r="J1495" i="1"/>
  <c r="K1495" i="1"/>
  <c r="M1495" i="1"/>
  <c r="O1495" i="1"/>
  <c r="Q1495" i="1"/>
  <c r="R1495" i="1"/>
  <c r="W1495" i="1"/>
  <c r="AA1495" i="1"/>
  <c r="AB1495" i="1"/>
  <c r="AE1495" i="1"/>
  <c r="AF1495" i="1"/>
  <c r="AM1495" i="1"/>
  <c r="AN1495" i="1"/>
  <c r="AO1495" i="1"/>
  <c r="AQ1495" i="1"/>
  <c r="AX1495" i="1"/>
  <c r="BD1495" i="1"/>
  <c r="B1496" i="1"/>
  <c r="C1496" i="1"/>
  <c r="E1496" i="1"/>
  <c r="F1496" i="1"/>
  <c r="G1496" i="1"/>
  <c r="H1496" i="1"/>
  <c r="I1496" i="1"/>
  <c r="J1496" i="1"/>
  <c r="K1496" i="1"/>
  <c r="M1496" i="1"/>
  <c r="O1496" i="1"/>
  <c r="Q1496" i="1"/>
  <c r="R1496" i="1"/>
  <c r="W1496" i="1"/>
  <c r="AA1496" i="1"/>
  <c r="AB1496" i="1"/>
  <c r="AE1496" i="1"/>
  <c r="AF1496" i="1"/>
  <c r="AM1496" i="1"/>
  <c r="AN1496" i="1"/>
  <c r="AO1496" i="1"/>
  <c r="AQ1496" i="1"/>
  <c r="AX1496" i="1"/>
  <c r="BD1496" i="1"/>
  <c r="B1497" i="1"/>
  <c r="C1497" i="1"/>
  <c r="E1497" i="1"/>
  <c r="F1497" i="1"/>
  <c r="G1497" i="1"/>
  <c r="H1497" i="1"/>
  <c r="I1497" i="1"/>
  <c r="J1497" i="1"/>
  <c r="K1497" i="1"/>
  <c r="M1497" i="1"/>
  <c r="O1497" i="1"/>
  <c r="Q1497" i="1"/>
  <c r="R1497" i="1"/>
  <c r="W1497" i="1"/>
  <c r="AA1497" i="1"/>
  <c r="AB1497" i="1"/>
  <c r="AE1497" i="1"/>
  <c r="AF1497" i="1"/>
  <c r="AM1497" i="1"/>
  <c r="AN1497" i="1"/>
  <c r="AO1497" i="1"/>
  <c r="AQ1497" i="1"/>
  <c r="AX1497" i="1"/>
  <c r="BD1497" i="1"/>
  <c r="B1498" i="1"/>
  <c r="C1498" i="1"/>
  <c r="E1498" i="1"/>
  <c r="F1498" i="1"/>
  <c r="G1498" i="1"/>
  <c r="H1498" i="1"/>
  <c r="I1498" i="1"/>
  <c r="J1498" i="1"/>
  <c r="K1498" i="1"/>
  <c r="M1498" i="1"/>
  <c r="O1498" i="1"/>
  <c r="Q1498" i="1"/>
  <c r="R1498" i="1"/>
  <c r="W1498" i="1"/>
  <c r="AA1498" i="1"/>
  <c r="AB1498" i="1"/>
  <c r="AE1498" i="1"/>
  <c r="AF1498" i="1"/>
  <c r="AM1498" i="1"/>
  <c r="AN1498" i="1"/>
  <c r="AO1498" i="1"/>
  <c r="AQ1498" i="1"/>
  <c r="AX1498" i="1"/>
  <c r="BD1498" i="1"/>
  <c r="B1499" i="1"/>
  <c r="C1499" i="1"/>
  <c r="E1499" i="1"/>
  <c r="F1499" i="1"/>
  <c r="G1499" i="1"/>
  <c r="H1499" i="1"/>
  <c r="I1499" i="1"/>
  <c r="J1499" i="1"/>
  <c r="K1499" i="1"/>
  <c r="M1499" i="1"/>
  <c r="O1499" i="1"/>
  <c r="Q1499" i="1"/>
  <c r="R1499" i="1"/>
  <c r="W1499" i="1"/>
  <c r="AA1499" i="1"/>
  <c r="AB1499" i="1"/>
  <c r="AE1499" i="1"/>
  <c r="AF1499" i="1"/>
  <c r="AM1499" i="1"/>
  <c r="AN1499" i="1"/>
  <c r="AO1499" i="1"/>
  <c r="AQ1499" i="1"/>
  <c r="AX1499" i="1"/>
  <c r="BD1499" i="1"/>
  <c r="B1500" i="1"/>
  <c r="C1500" i="1"/>
  <c r="E1500" i="1"/>
  <c r="F1500" i="1"/>
  <c r="G1500" i="1"/>
  <c r="H1500" i="1"/>
  <c r="I1500" i="1"/>
  <c r="J1500" i="1"/>
  <c r="K1500" i="1"/>
  <c r="M1500" i="1"/>
  <c r="O1500" i="1"/>
  <c r="Q1500" i="1"/>
  <c r="R1500" i="1"/>
  <c r="W1500" i="1"/>
  <c r="AA1500" i="1"/>
  <c r="AB1500" i="1"/>
  <c r="AE1500" i="1"/>
  <c r="AF1500" i="1"/>
  <c r="AM1500" i="1"/>
  <c r="AN1500" i="1"/>
  <c r="AO1500" i="1"/>
  <c r="AQ1500" i="1"/>
  <c r="AX1500" i="1"/>
  <c r="BD1500" i="1"/>
  <c r="B1501" i="1"/>
  <c r="C1501" i="1"/>
  <c r="E1501" i="1"/>
  <c r="F1501" i="1"/>
  <c r="G1501" i="1"/>
  <c r="H1501" i="1"/>
  <c r="I1501" i="1"/>
  <c r="J1501" i="1"/>
  <c r="K1501" i="1"/>
  <c r="M1501" i="1"/>
  <c r="O1501" i="1"/>
  <c r="Q1501" i="1"/>
  <c r="R1501" i="1"/>
  <c r="W1501" i="1"/>
  <c r="AA1501" i="1"/>
  <c r="AB1501" i="1"/>
  <c r="AE1501" i="1"/>
  <c r="AF1501" i="1"/>
  <c r="AM1501" i="1"/>
  <c r="AN1501" i="1"/>
  <c r="AO1501" i="1"/>
  <c r="AQ1501" i="1"/>
  <c r="AX1501" i="1"/>
  <c r="BD1501" i="1"/>
  <c r="B1502" i="1"/>
  <c r="C1502" i="1"/>
  <c r="E1502" i="1"/>
  <c r="F1502" i="1"/>
  <c r="G1502" i="1"/>
  <c r="H1502" i="1"/>
  <c r="I1502" i="1"/>
  <c r="J1502" i="1"/>
  <c r="K1502" i="1"/>
  <c r="M1502" i="1"/>
  <c r="O1502" i="1"/>
  <c r="Q1502" i="1"/>
  <c r="R1502" i="1"/>
  <c r="W1502" i="1"/>
  <c r="AA1502" i="1"/>
  <c r="AB1502" i="1"/>
  <c r="AE1502" i="1"/>
  <c r="AF1502" i="1"/>
  <c r="AM1502" i="1"/>
  <c r="AN1502" i="1"/>
  <c r="AO1502" i="1"/>
  <c r="AQ1502" i="1"/>
  <c r="AX1502" i="1"/>
  <c r="BD1502" i="1"/>
  <c r="B1503" i="1"/>
  <c r="C1503" i="1"/>
  <c r="E1503" i="1"/>
  <c r="F1503" i="1"/>
  <c r="G1503" i="1"/>
  <c r="H1503" i="1"/>
  <c r="I1503" i="1"/>
  <c r="J1503" i="1"/>
  <c r="K1503" i="1"/>
  <c r="M1503" i="1"/>
  <c r="O1503" i="1"/>
  <c r="Q1503" i="1"/>
  <c r="R1503" i="1"/>
  <c r="W1503" i="1"/>
  <c r="AA1503" i="1"/>
  <c r="AB1503" i="1"/>
  <c r="AE1503" i="1"/>
  <c r="AF1503" i="1"/>
  <c r="AM1503" i="1"/>
  <c r="AN1503" i="1"/>
  <c r="AO1503" i="1"/>
  <c r="AQ1503" i="1"/>
  <c r="AX1503" i="1"/>
  <c r="BD1503" i="1"/>
  <c r="B1504" i="1"/>
  <c r="C1504" i="1"/>
  <c r="E1504" i="1"/>
  <c r="F1504" i="1"/>
  <c r="G1504" i="1"/>
  <c r="H1504" i="1"/>
  <c r="I1504" i="1"/>
  <c r="J1504" i="1"/>
  <c r="K1504" i="1"/>
  <c r="M1504" i="1"/>
  <c r="O1504" i="1"/>
  <c r="Q1504" i="1"/>
  <c r="R1504" i="1"/>
  <c r="W1504" i="1"/>
  <c r="AA1504" i="1"/>
  <c r="AB1504" i="1"/>
  <c r="AE1504" i="1"/>
  <c r="AF1504" i="1"/>
  <c r="AM1504" i="1"/>
  <c r="AN1504" i="1"/>
  <c r="AO1504" i="1"/>
  <c r="AQ1504" i="1"/>
  <c r="AX1504" i="1"/>
  <c r="BD1504" i="1"/>
  <c r="B1505" i="1"/>
  <c r="C1505" i="1"/>
  <c r="E1505" i="1"/>
  <c r="F1505" i="1"/>
  <c r="G1505" i="1"/>
  <c r="H1505" i="1"/>
  <c r="I1505" i="1"/>
  <c r="J1505" i="1"/>
  <c r="K1505" i="1"/>
  <c r="M1505" i="1"/>
  <c r="O1505" i="1"/>
  <c r="Q1505" i="1"/>
  <c r="R1505" i="1"/>
  <c r="W1505" i="1"/>
  <c r="AA1505" i="1"/>
  <c r="AB1505" i="1"/>
  <c r="AE1505" i="1"/>
  <c r="AF1505" i="1"/>
  <c r="AM1505" i="1"/>
  <c r="AN1505" i="1"/>
  <c r="AO1505" i="1"/>
  <c r="AQ1505" i="1"/>
  <c r="AX1505" i="1"/>
  <c r="BD1505" i="1"/>
  <c r="B1506" i="1"/>
  <c r="C1506" i="1"/>
  <c r="D1506" i="1"/>
  <c r="E1506" i="1"/>
  <c r="F1506" i="1"/>
  <c r="G1506" i="1"/>
  <c r="H1506" i="1"/>
  <c r="I1506" i="1"/>
  <c r="J1506" i="1"/>
  <c r="K1506" i="1"/>
  <c r="M1506" i="1"/>
  <c r="O1506" i="1"/>
  <c r="Q1506" i="1"/>
  <c r="R1506" i="1"/>
  <c r="W1506" i="1"/>
  <c r="AA1506" i="1"/>
  <c r="AB1506" i="1"/>
  <c r="AM1506" i="1"/>
  <c r="AN1506" i="1"/>
  <c r="AO1506" i="1"/>
  <c r="AQ1506" i="1"/>
  <c r="AX1506" i="1"/>
  <c r="BD1506" i="1"/>
  <c r="B1507" i="1"/>
  <c r="C1507" i="1"/>
  <c r="E1507" i="1"/>
  <c r="F1507" i="1"/>
  <c r="G1507" i="1"/>
  <c r="H1507" i="1"/>
  <c r="I1507" i="1"/>
  <c r="J1507" i="1"/>
  <c r="K1507" i="1"/>
  <c r="M1507" i="1"/>
  <c r="O1507" i="1"/>
  <c r="Q1507" i="1"/>
  <c r="R1507" i="1"/>
  <c r="W1507" i="1"/>
  <c r="AA1507" i="1"/>
  <c r="AB1507" i="1"/>
  <c r="AE1507" i="1"/>
  <c r="AF1507" i="1"/>
  <c r="AM1507" i="1"/>
  <c r="AN1507" i="1"/>
  <c r="AO1507" i="1"/>
  <c r="AQ1507" i="1"/>
  <c r="AX1507" i="1"/>
  <c r="BD1507" i="1"/>
  <c r="B1508" i="1"/>
  <c r="C1508" i="1"/>
  <c r="E1508" i="1"/>
  <c r="F1508" i="1"/>
  <c r="G1508" i="1"/>
  <c r="H1508" i="1"/>
  <c r="I1508" i="1"/>
  <c r="J1508" i="1"/>
  <c r="K1508" i="1"/>
  <c r="M1508" i="1"/>
  <c r="O1508" i="1"/>
  <c r="Q1508" i="1"/>
  <c r="R1508" i="1"/>
  <c r="W1508" i="1"/>
  <c r="AA1508" i="1"/>
  <c r="AB1508" i="1"/>
  <c r="AE1508" i="1"/>
  <c r="AF1508" i="1"/>
  <c r="AM1508" i="1"/>
  <c r="AN1508" i="1"/>
  <c r="AO1508" i="1"/>
  <c r="AQ1508" i="1"/>
  <c r="AX1508" i="1"/>
  <c r="BD1508" i="1"/>
  <c r="B1509" i="1"/>
  <c r="E1509" i="1"/>
  <c r="F1509" i="1"/>
  <c r="G1509" i="1"/>
  <c r="H1509" i="1"/>
  <c r="I1509" i="1"/>
  <c r="J1509" i="1"/>
  <c r="K1509" i="1"/>
  <c r="M1509" i="1"/>
  <c r="O1509" i="1"/>
  <c r="Q1509" i="1"/>
  <c r="R1509" i="1"/>
  <c r="W1509" i="1"/>
  <c r="AA1509" i="1"/>
  <c r="AM1509" i="1"/>
  <c r="AN1509" i="1"/>
  <c r="AO1509" i="1"/>
  <c r="AQ1509" i="1"/>
  <c r="BD1509" i="1"/>
  <c r="B1510" i="1"/>
  <c r="E1510" i="1"/>
  <c r="F1510" i="1"/>
  <c r="G1510" i="1"/>
  <c r="H1510" i="1"/>
  <c r="I1510" i="1"/>
  <c r="J1510" i="1"/>
  <c r="K1510" i="1"/>
  <c r="M1510" i="1"/>
  <c r="O1510" i="1"/>
  <c r="Q1510" i="1"/>
  <c r="R1510" i="1"/>
  <c r="W1510" i="1"/>
  <c r="AA1510" i="1"/>
  <c r="AM1510" i="1"/>
  <c r="AN1510" i="1"/>
  <c r="AO1510" i="1"/>
  <c r="AQ1510" i="1"/>
  <c r="BD1510" i="1"/>
  <c r="B1511" i="1"/>
  <c r="E1511" i="1"/>
  <c r="F1511" i="1"/>
  <c r="G1511" i="1"/>
  <c r="H1511" i="1"/>
  <c r="I1511" i="1"/>
  <c r="J1511" i="1"/>
  <c r="K1511" i="1"/>
  <c r="M1511" i="1"/>
  <c r="O1511" i="1"/>
  <c r="Q1511" i="1"/>
  <c r="R1511" i="1"/>
  <c r="W1511" i="1"/>
  <c r="AA1511" i="1"/>
  <c r="AM1511" i="1"/>
  <c r="AN1511" i="1"/>
  <c r="AO1511" i="1"/>
  <c r="AQ1511" i="1"/>
  <c r="BB1511" i="1"/>
  <c r="BD1511" i="1"/>
  <c r="B1512" i="1"/>
  <c r="E1512" i="1"/>
  <c r="F1512" i="1"/>
  <c r="G1512" i="1"/>
  <c r="H1512" i="1"/>
  <c r="I1512" i="1"/>
  <c r="J1512" i="1"/>
  <c r="K1512" i="1"/>
  <c r="M1512" i="1"/>
  <c r="O1512" i="1"/>
  <c r="Q1512" i="1"/>
  <c r="R1512" i="1"/>
  <c r="W1512" i="1"/>
  <c r="AA1512" i="1"/>
  <c r="AM1512" i="1"/>
  <c r="AN1512" i="1"/>
  <c r="AO1512" i="1"/>
  <c r="AQ1512" i="1"/>
  <c r="BB1512" i="1"/>
  <c r="BD1512" i="1"/>
  <c r="B1513" i="1"/>
  <c r="C1513" i="1"/>
  <c r="E1513" i="1"/>
  <c r="F1513" i="1"/>
  <c r="G1513" i="1"/>
  <c r="H1513" i="1"/>
  <c r="I1513" i="1"/>
  <c r="J1513" i="1"/>
  <c r="K1513" i="1"/>
  <c r="M1513" i="1"/>
  <c r="O1513" i="1"/>
  <c r="Q1513" i="1"/>
  <c r="R1513" i="1"/>
  <c r="W1513" i="1"/>
  <c r="AA1513" i="1"/>
  <c r="AB1513" i="1"/>
  <c r="AE1513" i="1"/>
  <c r="AF1513" i="1"/>
  <c r="AM1513" i="1"/>
  <c r="AN1513" i="1"/>
  <c r="AO1513" i="1"/>
  <c r="AQ1513" i="1"/>
  <c r="AX1513" i="1"/>
  <c r="BD1513" i="1"/>
  <c r="B1514" i="1"/>
  <c r="E1514" i="1"/>
  <c r="F1514" i="1"/>
  <c r="G1514" i="1"/>
  <c r="H1514" i="1"/>
  <c r="I1514" i="1"/>
  <c r="J1514" i="1"/>
  <c r="K1514" i="1"/>
  <c r="M1514" i="1"/>
  <c r="O1514" i="1"/>
  <c r="Q1514" i="1"/>
  <c r="R1514" i="1"/>
  <c r="W1514" i="1"/>
  <c r="AA1514" i="1"/>
  <c r="AB1514" i="1"/>
  <c r="AM1514" i="1"/>
  <c r="AN1514" i="1"/>
  <c r="AO1514" i="1"/>
  <c r="AQ1514" i="1"/>
  <c r="AX1514" i="1"/>
  <c r="BD1514" i="1"/>
  <c r="B1515" i="1"/>
  <c r="E1515" i="1"/>
  <c r="F1515" i="1"/>
  <c r="G1515" i="1"/>
  <c r="H1515" i="1"/>
  <c r="I1515" i="1"/>
  <c r="J1515" i="1"/>
  <c r="K1515" i="1"/>
  <c r="M1515" i="1"/>
  <c r="O1515" i="1"/>
  <c r="Q1515" i="1"/>
  <c r="R1515" i="1"/>
  <c r="W1515" i="1"/>
  <c r="AA1515" i="1"/>
  <c r="AB1515" i="1"/>
  <c r="AE1515" i="1"/>
  <c r="AF1515" i="1"/>
  <c r="AM1515" i="1"/>
  <c r="AN1515" i="1"/>
  <c r="AO1515" i="1"/>
  <c r="AQ1515" i="1"/>
  <c r="AX1515" i="1"/>
  <c r="BD1515" i="1"/>
  <c r="B1516" i="1"/>
  <c r="E1516" i="1"/>
  <c r="F1516" i="1"/>
  <c r="G1516" i="1"/>
  <c r="H1516" i="1"/>
  <c r="I1516" i="1"/>
  <c r="J1516" i="1"/>
  <c r="K1516" i="1"/>
  <c r="M1516" i="1"/>
  <c r="O1516" i="1"/>
  <c r="Q1516" i="1"/>
  <c r="R1516" i="1"/>
  <c r="W1516" i="1"/>
  <c r="AA1516" i="1"/>
  <c r="AB1516" i="1"/>
  <c r="AE1516" i="1"/>
  <c r="AF1516" i="1"/>
  <c r="AM1516" i="1"/>
  <c r="AN1516" i="1"/>
  <c r="AO1516" i="1"/>
  <c r="AQ1516" i="1"/>
  <c r="AX1516" i="1"/>
  <c r="BD1516" i="1"/>
  <c r="B1517" i="1"/>
  <c r="E1517" i="1"/>
  <c r="F1517" i="1"/>
  <c r="G1517" i="1"/>
  <c r="H1517" i="1"/>
  <c r="I1517" i="1"/>
  <c r="J1517" i="1"/>
  <c r="K1517" i="1"/>
  <c r="M1517" i="1"/>
  <c r="O1517" i="1"/>
  <c r="Q1517" i="1"/>
  <c r="R1517" i="1"/>
  <c r="W1517" i="1"/>
  <c r="AA1517" i="1"/>
  <c r="AB1517" i="1"/>
  <c r="AE1517" i="1"/>
  <c r="AF1517" i="1"/>
  <c r="AM1517" i="1"/>
  <c r="AN1517" i="1"/>
  <c r="AO1517" i="1"/>
  <c r="AQ1517" i="1"/>
  <c r="AX1517" i="1"/>
  <c r="BD1517" i="1"/>
  <c r="B1518" i="1"/>
  <c r="E1518" i="1"/>
  <c r="F1518" i="1"/>
  <c r="G1518" i="1"/>
  <c r="H1518" i="1"/>
  <c r="I1518" i="1"/>
  <c r="J1518" i="1"/>
  <c r="K1518" i="1"/>
  <c r="M1518" i="1"/>
  <c r="O1518" i="1"/>
  <c r="Q1518" i="1"/>
  <c r="R1518" i="1"/>
  <c r="W1518" i="1"/>
  <c r="AA1518" i="1"/>
  <c r="AB1518" i="1"/>
  <c r="AE1518" i="1"/>
  <c r="AF1518" i="1"/>
  <c r="AM1518" i="1"/>
  <c r="AN1518" i="1"/>
  <c r="AO1518" i="1"/>
  <c r="AQ1518" i="1"/>
  <c r="AX1518" i="1"/>
  <c r="BD1518" i="1"/>
  <c r="B1519" i="1"/>
  <c r="E1519" i="1"/>
  <c r="F1519" i="1"/>
  <c r="G1519" i="1"/>
  <c r="H1519" i="1"/>
  <c r="I1519" i="1"/>
  <c r="J1519" i="1"/>
  <c r="K1519" i="1"/>
  <c r="M1519" i="1"/>
  <c r="O1519" i="1"/>
  <c r="Q1519" i="1"/>
  <c r="R1519" i="1"/>
  <c r="W1519" i="1"/>
  <c r="AA1519" i="1"/>
  <c r="AM1519" i="1"/>
  <c r="AN1519" i="1"/>
  <c r="AO1519" i="1"/>
  <c r="AQ1519" i="1"/>
  <c r="BB1519" i="1"/>
  <c r="BD1519" i="1"/>
  <c r="B1520" i="1"/>
  <c r="E1520" i="1"/>
  <c r="F1520" i="1"/>
  <c r="G1520" i="1"/>
  <c r="H1520" i="1"/>
  <c r="I1520" i="1"/>
  <c r="J1520" i="1"/>
  <c r="K1520" i="1"/>
  <c r="M1520" i="1"/>
  <c r="O1520" i="1"/>
  <c r="Q1520" i="1"/>
  <c r="R1520" i="1"/>
  <c r="W1520" i="1"/>
  <c r="AA1520" i="1"/>
  <c r="AM1520" i="1"/>
  <c r="AN1520" i="1"/>
  <c r="AO1520" i="1"/>
  <c r="AQ1520" i="1"/>
  <c r="BB1520" i="1"/>
  <c r="BD1520" i="1"/>
  <c r="B1521" i="1"/>
  <c r="E1521" i="1"/>
  <c r="F1521" i="1"/>
  <c r="G1521" i="1"/>
  <c r="H1521" i="1"/>
  <c r="I1521" i="1"/>
  <c r="J1521" i="1"/>
  <c r="K1521" i="1"/>
  <c r="M1521" i="1"/>
  <c r="O1521" i="1"/>
  <c r="Q1521" i="1"/>
  <c r="R1521" i="1"/>
  <c r="W1521" i="1"/>
  <c r="AA1521" i="1"/>
  <c r="AM1521" i="1"/>
  <c r="AN1521" i="1"/>
  <c r="AO1521" i="1"/>
  <c r="AQ1521" i="1"/>
  <c r="BB1521" i="1"/>
  <c r="BD1521" i="1"/>
  <c r="B1522" i="1"/>
  <c r="E1522" i="1"/>
  <c r="F1522" i="1"/>
  <c r="G1522" i="1"/>
  <c r="H1522" i="1"/>
  <c r="I1522" i="1"/>
  <c r="J1522" i="1"/>
  <c r="K1522" i="1"/>
  <c r="M1522" i="1"/>
  <c r="O1522" i="1"/>
  <c r="Q1522" i="1"/>
  <c r="R1522" i="1"/>
  <c r="W1522" i="1"/>
  <c r="AA1522" i="1"/>
  <c r="AB1522" i="1"/>
  <c r="AE1522" i="1"/>
  <c r="AF1522" i="1"/>
  <c r="AM1522" i="1"/>
  <c r="AN1522" i="1"/>
  <c r="AO1522" i="1"/>
  <c r="AQ1522" i="1"/>
  <c r="AX1522" i="1"/>
  <c r="BD1522" i="1"/>
  <c r="B1523" i="1"/>
  <c r="E1523" i="1"/>
  <c r="F1523" i="1"/>
  <c r="G1523" i="1"/>
  <c r="H1523" i="1"/>
  <c r="I1523" i="1"/>
  <c r="J1523" i="1"/>
  <c r="K1523" i="1"/>
  <c r="M1523" i="1"/>
  <c r="O1523" i="1"/>
  <c r="Q1523" i="1"/>
  <c r="R1523" i="1"/>
  <c r="W1523" i="1"/>
  <c r="AA1523" i="1"/>
  <c r="AM1523" i="1"/>
  <c r="AN1523" i="1"/>
  <c r="AO1523" i="1"/>
  <c r="AQ1523" i="1"/>
  <c r="BB1523" i="1"/>
  <c r="BD1523" i="1"/>
  <c r="B1524" i="1"/>
  <c r="E1524" i="1"/>
  <c r="F1524" i="1"/>
  <c r="G1524" i="1"/>
  <c r="H1524" i="1"/>
  <c r="I1524" i="1"/>
  <c r="J1524" i="1"/>
  <c r="K1524" i="1"/>
  <c r="M1524" i="1"/>
  <c r="O1524" i="1"/>
  <c r="Q1524" i="1"/>
  <c r="R1524" i="1"/>
  <c r="W1524" i="1"/>
  <c r="AA1524" i="1"/>
  <c r="AM1524" i="1"/>
  <c r="AN1524" i="1"/>
  <c r="AO1524" i="1"/>
  <c r="AQ1524" i="1"/>
  <c r="BB1524" i="1"/>
  <c r="BD1524" i="1"/>
  <c r="B1525" i="1"/>
  <c r="E1525" i="1"/>
  <c r="F1525" i="1"/>
  <c r="G1525" i="1"/>
  <c r="H1525" i="1"/>
  <c r="I1525" i="1"/>
  <c r="J1525" i="1"/>
  <c r="K1525" i="1"/>
  <c r="M1525" i="1"/>
  <c r="O1525" i="1"/>
  <c r="Q1525" i="1"/>
  <c r="R1525" i="1"/>
  <c r="W1525" i="1"/>
  <c r="AA1525" i="1"/>
  <c r="AM1525" i="1"/>
  <c r="AN1525" i="1"/>
  <c r="AO1525" i="1"/>
  <c r="AQ1525" i="1"/>
  <c r="BB1525" i="1"/>
  <c r="BD1525" i="1"/>
  <c r="B1526" i="1"/>
  <c r="E1526" i="1"/>
  <c r="F1526" i="1"/>
  <c r="G1526" i="1"/>
  <c r="H1526" i="1"/>
  <c r="I1526" i="1"/>
  <c r="J1526" i="1"/>
  <c r="K1526" i="1"/>
  <c r="M1526" i="1"/>
  <c r="O1526" i="1"/>
  <c r="Q1526" i="1"/>
  <c r="R1526" i="1"/>
  <c r="W1526" i="1"/>
  <c r="AA1526" i="1"/>
  <c r="AB1526" i="1"/>
  <c r="AM1526" i="1"/>
  <c r="AN1526" i="1"/>
  <c r="AO1526" i="1"/>
  <c r="AQ1526" i="1"/>
  <c r="AX1526" i="1"/>
  <c r="BD1526" i="1"/>
  <c r="B1527" i="1"/>
  <c r="C1527" i="1"/>
  <c r="E1527" i="1"/>
  <c r="F1527" i="1"/>
  <c r="G1527" i="1"/>
  <c r="H1527" i="1"/>
  <c r="I1527" i="1"/>
  <c r="J1527" i="1"/>
  <c r="K1527" i="1"/>
  <c r="M1527" i="1"/>
  <c r="O1527" i="1"/>
  <c r="Q1527" i="1"/>
  <c r="R1527" i="1"/>
  <c r="W1527" i="1"/>
  <c r="AA1527" i="1"/>
  <c r="AM1527" i="1"/>
  <c r="AN1527" i="1"/>
  <c r="AO1527" i="1"/>
  <c r="AQ1527" i="1"/>
  <c r="BB1527" i="1"/>
  <c r="BD1527" i="1"/>
  <c r="B1528" i="1"/>
  <c r="C1528" i="1"/>
  <c r="D1528" i="1"/>
  <c r="E1528" i="1"/>
  <c r="F1528" i="1"/>
  <c r="G1528" i="1"/>
  <c r="H1528" i="1"/>
  <c r="I1528" i="1"/>
  <c r="J1528" i="1"/>
  <c r="K1528" i="1"/>
  <c r="M1528" i="1"/>
  <c r="O1528" i="1"/>
  <c r="Q1528" i="1"/>
  <c r="R1528" i="1"/>
  <c r="W1528" i="1"/>
  <c r="AA1528" i="1"/>
  <c r="AB1528" i="1"/>
  <c r="AE1528" i="1"/>
  <c r="AF1528" i="1"/>
  <c r="AM1528" i="1"/>
  <c r="AN1528" i="1"/>
  <c r="AO1528" i="1"/>
  <c r="AQ1528" i="1"/>
  <c r="AX1528" i="1"/>
  <c r="BD1528" i="1"/>
  <c r="B1529" i="1"/>
  <c r="C1529" i="1"/>
  <c r="D1529" i="1"/>
  <c r="E1529" i="1"/>
  <c r="F1529" i="1"/>
  <c r="G1529" i="1"/>
  <c r="H1529" i="1"/>
  <c r="I1529" i="1"/>
  <c r="J1529" i="1"/>
  <c r="K1529" i="1"/>
  <c r="M1529" i="1"/>
  <c r="O1529" i="1"/>
  <c r="Q1529" i="1"/>
  <c r="R1529" i="1"/>
  <c r="W1529" i="1"/>
  <c r="AA1529" i="1"/>
  <c r="AB1529" i="1"/>
  <c r="AE1529" i="1"/>
  <c r="AF1529" i="1"/>
  <c r="AM1529" i="1"/>
  <c r="AN1529" i="1"/>
  <c r="AO1529" i="1"/>
  <c r="AQ1529" i="1"/>
  <c r="AX1529" i="1"/>
  <c r="BD1529" i="1"/>
  <c r="B1530" i="1"/>
  <c r="C1530" i="1"/>
  <c r="D1530" i="1"/>
  <c r="E1530" i="1"/>
  <c r="F1530" i="1"/>
  <c r="G1530" i="1"/>
  <c r="H1530" i="1"/>
  <c r="I1530" i="1"/>
  <c r="J1530" i="1"/>
  <c r="K1530" i="1"/>
  <c r="M1530" i="1"/>
  <c r="O1530" i="1"/>
  <c r="Q1530" i="1"/>
  <c r="R1530" i="1"/>
  <c r="W1530" i="1"/>
  <c r="AA1530" i="1"/>
  <c r="AB1530" i="1"/>
  <c r="AE1530" i="1"/>
  <c r="AF1530" i="1"/>
  <c r="AM1530" i="1"/>
  <c r="AN1530" i="1"/>
  <c r="AO1530" i="1"/>
  <c r="AQ1530" i="1"/>
  <c r="AX1530" i="1"/>
  <c r="BD1530" i="1"/>
  <c r="B1531" i="1"/>
  <c r="C1531" i="1"/>
  <c r="D1531" i="1"/>
  <c r="E1531" i="1"/>
  <c r="F1531" i="1"/>
  <c r="G1531" i="1"/>
  <c r="H1531" i="1"/>
  <c r="I1531" i="1"/>
  <c r="J1531" i="1"/>
  <c r="K1531" i="1"/>
  <c r="M1531" i="1"/>
  <c r="O1531" i="1"/>
  <c r="Q1531" i="1"/>
  <c r="R1531" i="1"/>
  <c r="W1531" i="1"/>
  <c r="AA1531" i="1"/>
  <c r="AB1531" i="1"/>
  <c r="AE1531" i="1"/>
  <c r="AF1531" i="1"/>
  <c r="AM1531" i="1"/>
  <c r="AN1531" i="1"/>
  <c r="AO1531" i="1"/>
  <c r="AQ1531" i="1"/>
  <c r="AX1531" i="1"/>
  <c r="BD1531" i="1"/>
  <c r="B1532" i="1"/>
  <c r="E1532" i="1"/>
  <c r="F1532" i="1"/>
  <c r="G1532" i="1"/>
  <c r="H1532" i="1"/>
  <c r="I1532" i="1"/>
  <c r="J1532" i="1"/>
  <c r="K1532" i="1"/>
  <c r="M1532" i="1"/>
  <c r="O1532" i="1"/>
  <c r="Q1532" i="1"/>
  <c r="R1532" i="1"/>
  <c r="W1532" i="1"/>
  <c r="AA1532" i="1"/>
  <c r="AB1532" i="1"/>
  <c r="AM1532" i="1"/>
  <c r="AN1532" i="1"/>
  <c r="AO1532" i="1"/>
  <c r="AQ1532" i="1"/>
  <c r="AX1532" i="1"/>
  <c r="BD1532" i="1"/>
  <c r="B1533" i="1"/>
  <c r="E1533" i="1"/>
  <c r="F1533" i="1"/>
  <c r="G1533" i="1"/>
  <c r="H1533" i="1"/>
  <c r="I1533" i="1"/>
  <c r="J1533" i="1"/>
  <c r="K1533" i="1"/>
  <c r="M1533" i="1"/>
  <c r="O1533" i="1"/>
  <c r="Q1533" i="1"/>
  <c r="R1533" i="1"/>
  <c r="W1533" i="1"/>
  <c r="AA1533" i="1"/>
  <c r="AM1533" i="1"/>
  <c r="AN1533" i="1"/>
  <c r="AO1533" i="1"/>
  <c r="AQ1533" i="1"/>
  <c r="BB1533" i="1"/>
  <c r="BD1533" i="1"/>
  <c r="B1534" i="1"/>
  <c r="E1534" i="1"/>
  <c r="F1534" i="1"/>
  <c r="G1534" i="1"/>
  <c r="H1534" i="1"/>
  <c r="I1534" i="1"/>
  <c r="J1534" i="1"/>
  <c r="K1534" i="1"/>
  <c r="M1534" i="1"/>
  <c r="O1534" i="1"/>
  <c r="Q1534" i="1"/>
  <c r="R1534" i="1"/>
  <c r="W1534" i="1"/>
  <c r="AA1534" i="1"/>
  <c r="AB1534" i="1"/>
  <c r="AE1534" i="1"/>
  <c r="AF1534" i="1"/>
  <c r="AM1534" i="1"/>
  <c r="AN1534" i="1"/>
  <c r="AO1534" i="1"/>
  <c r="AQ1534" i="1"/>
  <c r="AX1534" i="1"/>
  <c r="BD1534" i="1"/>
  <c r="B1535" i="1"/>
  <c r="E1535" i="1"/>
  <c r="F1535" i="1"/>
  <c r="G1535" i="1"/>
  <c r="H1535" i="1"/>
  <c r="I1535" i="1"/>
  <c r="J1535" i="1"/>
  <c r="K1535" i="1"/>
  <c r="M1535" i="1"/>
  <c r="O1535" i="1"/>
  <c r="Q1535" i="1"/>
  <c r="R1535" i="1"/>
  <c r="W1535" i="1"/>
  <c r="AA1535" i="1"/>
  <c r="AB1535" i="1"/>
  <c r="AE1535" i="1"/>
  <c r="AF1535" i="1"/>
  <c r="AM1535" i="1"/>
  <c r="AN1535" i="1"/>
  <c r="AO1535" i="1"/>
  <c r="AQ1535" i="1"/>
  <c r="AX1535" i="1"/>
  <c r="BD1535" i="1"/>
  <c r="B1536" i="1"/>
  <c r="E1536" i="1"/>
  <c r="F1536" i="1"/>
  <c r="G1536" i="1"/>
  <c r="H1536" i="1"/>
  <c r="I1536" i="1"/>
  <c r="J1536" i="1"/>
  <c r="K1536" i="1"/>
  <c r="M1536" i="1"/>
  <c r="O1536" i="1"/>
  <c r="Q1536" i="1"/>
  <c r="R1536" i="1"/>
  <c r="W1536" i="1"/>
  <c r="AA1536" i="1"/>
  <c r="AB1536" i="1"/>
  <c r="AM1536" i="1"/>
  <c r="AN1536" i="1"/>
  <c r="AO1536" i="1"/>
  <c r="AQ1536" i="1"/>
  <c r="AX1536" i="1"/>
  <c r="BD1536" i="1"/>
  <c r="B1537" i="1"/>
  <c r="E1537" i="1"/>
  <c r="F1537" i="1"/>
  <c r="G1537" i="1"/>
  <c r="H1537" i="1"/>
  <c r="I1537" i="1"/>
  <c r="J1537" i="1"/>
  <c r="K1537" i="1"/>
  <c r="M1537" i="1"/>
  <c r="O1537" i="1"/>
  <c r="Q1537" i="1"/>
  <c r="R1537" i="1"/>
  <c r="W1537" i="1"/>
  <c r="AA1537" i="1"/>
  <c r="AM1537" i="1"/>
  <c r="AN1537" i="1"/>
  <c r="AO1537" i="1"/>
  <c r="AQ1537" i="1"/>
  <c r="BB1537" i="1"/>
  <c r="BD1537" i="1"/>
  <c r="B1538" i="1"/>
  <c r="C1538" i="1"/>
  <c r="E1538" i="1"/>
  <c r="F1538" i="1"/>
  <c r="G1538" i="1"/>
  <c r="H1538" i="1"/>
  <c r="I1538" i="1"/>
  <c r="J1538" i="1"/>
  <c r="K1538" i="1"/>
  <c r="M1538" i="1"/>
  <c r="O1538" i="1"/>
  <c r="Q1538" i="1"/>
  <c r="R1538" i="1"/>
  <c r="W1538" i="1"/>
  <c r="AA1538" i="1"/>
  <c r="AB1538" i="1"/>
  <c r="AE1538" i="1"/>
  <c r="AF1538" i="1"/>
  <c r="AM1538" i="1"/>
  <c r="AN1538" i="1"/>
  <c r="AO1538" i="1"/>
  <c r="AQ1538" i="1"/>
  <c r="AX1538" i="1"/>
  <c r="BD1538" i="1"/>
  <c r="B1539" i="1"/>
  <c r="C1539" i="1"/>
  <c r="E1539" i="1"/>
  <c r="F1539" i="1"/>
  <c r="G1539" i="1"/>
  <c r="H1539" i="1"/>
  <c r="I1539" i="1"/>
  <c r="J1539" i="1"/>
  <c r="K1539" i="1"/>
  <c r="M1539" i="1"/>
  <c r="O1539" i="1"/>
  <c r="Q1539" i="1"/>
  <c r="R1539" i="1"/>
  <c r="W1539" i="1"/>
  <c r="AA1539" i="1"/>
  <c r="AB1539" i="1"/>
  <c r="AE1539" i="1"/>
  <c r="AF1539" i="1"/>
  <c r="AM1539" i="1"/>
  <c r="AN1539" i="1"/>
  <c r="AO1539" i="1"/>
  <c r="AQ1539" i="1"/>
  <c r="AX1539" i="1"/>
  <c r="BD1539" i="1"/>
  <c r="B1540" i="1"/>
  <c r="C1540" i="1"/>
  <c r="D1540" i="1"/>
  <c r="E1540" i="1"/>
  <c r="F1540" i="1"/>
  <c r="G1540" i="1"/>
  <c r="H1540" i="1"/>
  <c r="I1540" i="1"/>
  <c r="J1540" i="1"/>
  <c r="K1540" i="1"/>
  <c r="M1540" i="1"/>
  <c r="O1540" i="1"/>
  <c r="Q1540" i="1"/>
  <c r="R1540" i="1"/>
  <c r="W1540" i="1"/>
  <c r="AA1540" i="1"/>
  <c r="AB1540" i="1"/>
  <c r="AM1540" i="1"/>
  <c r="AN1540" i="1"/>
  <c r="AO1540" i="1"/>
  <c r="AQ1540" i="1"/>
  <c r="AX1540" i="1"/>
  <c r="BD1540" i="1"/>
  <c r="B1541" i="1"/>
  <c r="C1541" i="1"/>
  <c r="E1541" i="1"/>
  <c r="F1541" i="1"/>
  <c r="G1541" i="1"/>
  <c r="H1541" i="1"/>
  <c r="I1541" i="1"/>
  <c r="J1541" i="1"/>
  <c r="K1541" i="1"/>
  <c r="M1541" i="1"/>
  <c r="O1541" i="1"/>
  <c r="Q1541" i="1"/>
  <c r="R1541" i="1"/>
  <c r="W1541" i="1"/>
  <c r="AA1541" i="1"/>
  <c r="AB1541" i="1"/>
  <c r="AE1541" i="1"/>
  <c r="AF1541" i="1"/>
  <c r="AM1541" i="1"/>
  <c r="AN1541" i="1"/>
  <c r="AO1541" i="1"/>
  <c r="AQ1541" i="1"/>
  <c r="AX1541" i="1"/>
  <c r="BD1541" i="1"/>
  <c r="B1542" i="1"/>
  <c r="C1542" i="1"/>
  <c r="E1542" i="1"/>
  <c r="F1542" i="1"/>
  <c r="G1542" i="1"/>
  <c r="H1542" i="1"/>
  <c r="I1542" i="1"/>
  <c r="J1542" i="1"/>
  <c r="K1542" i="1"/>
  <c r="M1542" i="1"/>
  <c r="O1542" i="1"/>
  <c r="Q1542" i="1"/>
  <c r="R1542" i="1"/>
  <c r="W1542" i="1"/>
  <c r="AA1542" i="1"/>
  <c r="AB1542" i="1"/>
  <c r="AE1542" i="1"/>
  <c r="AF1542" i="1"/>
  <c r="AM1542" i="1"/>
  <c r="AN1542" i="1"/>
  <c r="AO1542" i="1"/>
  <c r="AQ1542" i="1"/>
  <c r="AX1542" i="1"/>
  <c r="BD1542" i="1"/>
  <c r="B1543" i="1"/>
  <c r="C1543" i="1"/>
  <c r="E1543" i="1"/>
  <c r="F1543" i="1"/>
  <c r="G1543" i="1"/>
  <c r="H1543" i="1"/>
  <c r="I1543" i="1"/>
  <c r="J1543" i="1"/>
  <c r="K1543" i="1"/>
  <c r="M1543" i="1"/>
  <c r="O1543" i="1"/>
  <c r="Q1543" i="1"/>
  <c r="R1543" i="1"/>
  <c r="W1543" i="1"/>
  <c r="AA1543" i="1"/>
  <c r="AB1543" i="1"/>
  <c r="AE1543" i="1"/>
  <c r="AF1543" i="1"/>
  <c r="AM1543" i="1"/>
  <c r="AN1543" i="1"/>
  <c r="AO1543" i="1"/>
  <c r="AQ1543" i="1"/>
  <c r="AX1543" i="1"/>
  <c r="BD1543" i="1"/>
  <c r="B1544" i="1"/>
  <c r="C1544" i="1"/>
  <c r="E1544" i="1"/>
  <c r="F1544" i="1"/>
  <c r="G1544" i="1"/>
  <c r="H1544" i="1"/>
  <c r="I1544" i="1"/>
  <c r="J1544" i="1"/>
  <c r="K1544" i="1"/>
  <c r="M1544" i="1"/>
  <c r="O1544" i="1"/>
  <c r="Q1544" i="1"/>
  <c r="R1544" i="1"/>
  <c r="W1544" i="1"/>
  <c r="AA1544" i="1"/>
  <c r="AB1544" i="1"/>
  <c r="AE1544" i="1"/>
  <c r="AF1544" i="1"/>
  <c r="AM1544" i="1"/>
  <c r="AN1544" i="1"/>
  <c r="AO1544" i="1"/>
  <c r="AQ1544" i="1"/>
  <c r="AX1544" i="1"/>
  <c r="BD1544" i="1"/>
  <c r="B1545" i="1"/>
  <c r="C1545" i="1"/>
  <c r="E1545" i="1"/>
  <c r="F1545" i="1"/>
  <c r="G1545" i="1"/>
  <c r="H1545" i="1"/>
  <c r="I1545" i="1"/>
  <c r="J1545" i="1"/>
  <c r="K1545" i="1"/>
  <c r="M1545" i="1"/>
  <c r="O1545" i="1"/>
  <c r="Q1545" i="1"/>
  <c r="R1545" i="1"/>
  <c r="W1545" i="1"/>
  <c r="AA1545" i="1"/>
  <c r="AB1545" i="1"/>
  <c r="AE1545" i="1"/>
  <c r="AF1545" i="1"/>
  <c r="AM1545" i="1"/>
  <c r="AN1545" i="1"/>
  <c r="AO1545" i="1"/>
  <c r="AQ1545" i="1"/>
  <c r="AX1545" i="1"/>
  <c r="BD1545" i="1"/>
  <c r="B1546" i="1"/>
  <c r="C1546" i="1"/>
  <c r="E1546" i="1"/>
  <c r="F1546" i="1"/>
  <c r="G1546" i="1"/>
  <c r="H1546" i="1"/>
  <c r="I1546" i="1"/>
  <c r="J1546" i="1"/>
  <c r="K1546" i="1"/>
  <c r="M1546" i="1"/>
  <c r="O1546" i="1"/>
  <c r="Q1546" i="1"/>
  <c r="R1546" i="1"/>
  <c r="W1546" i="1"/>
  <c r="AA1546" i="1"/>
  <c r="AB1546" i="1"/>
  <c r="AE1546" i="1"/>
  <c r="AF1546" i="1"/>
  <c r="AM1546" i="1"/>
  <c r="AN1546" i="1"/>
  <c r="AO1546" i="1"/>
  <c r="AQ1546" i="1"/>
  <c r="AX1546" i="1"/>
  <c r="BD1546" i="1"/>
  <c r="B1547" i="1"/>
  <c r="C1547" i="1"/>
  <c r="E1547" i="1"/>
  <c r="F1547" i="1"/>
  <c r="G1547" i="1"/>
  <c r="H1547" i="1"/>
  <c r="I1547" i="1"/>
  <c r="J1547" i="1"/>
  <c r="K1547" i="1"/>
  <c r="M1547" i="1"/>
  <c r="O1547" i="1"/>
  <c r="Q1547" i="1"/>
  <c r="R1547" i="1"/>
  <c r="W1547" i="1"/>
  <c r="AA1547" i="1"/>
  <c r="AB1547" i="1"/>
  <c r="AE1547" i="1"/>
  <c r="AF1547" i="1"/>
  <c r="AM1547" i="1"/>
  <c r="AN1547" i="1"/>
  <c r="AO1547" i="1"/>
  <c r="AQ1547" i="1"/>
  <c r="AX1547" i="1"/>
  <c r="BD1547" i="1"/>
  <c r="B1548" i="1"/>
  <c r="C1548" i="1"/>
  <c r="E1548" i="1"/>
  <c r="F1548" i="1"/>
  <c r="G1548" i="1"/>
  <c r="H1548" i="1"/>
  <c r="I1548" i="1"/>
  <c r="J1548" i="1"/>
  <c r="K1548" i="1"/>
  <c r="M1548" i="1"/>
  <c r="O1548" i="1"/>
  <c r="Q1548" i="1"/>
  <c r="R1548" i="1"/>
  <c r="W1548" i="1"/>
  <c r="AA1548" i="1"/>
  <c r="AB1548" i="1"/>
  <c r="AE1548" i="1"/>
  <c r="AF1548" i="1"/>
  <c r="AM1548" i="1"/>
  <c r="AN1548" i="1"/>
  <c r="AO1548" i="1"/>
  <c r="AQ1548" i="1"/>
  <c r="AX1548" i="1"/>
  <c r="BD1548" i="1"/>
  <c r="B1549" i="1"/>
  <c r="C1549" i="1"/>
  <c r="E1549" i="1"/>
  <c r="F1549" i="1"/>
  <c r="G1549" i="1"/>
  <c r="H1549" i="1"/>
  <c r="I1549" i="1"/>
  <c r="J1549" i="1"/>
  <c r="K1549" i="1"/>
  <c r="M1549" i="1"/>
  <c r="O1549" i="1"/>
  <c r="Q1549" i="1"/>
  <c r="R1549" i="1"/>
  <c r="W1549" i="1"/>
  <c r="AA1549" i="1"/>
  <c r="AB1549" i="1"/>
  <c r="AE1549" i="1"/>
  <c r="AF1549" i="1"/>
  <c r="AM1549" i="1"/>
  <c r="AN1549" i="1"/>
  <c r="AO1549" i="1"/>
  <c r="AQ1549" i="1"/>
  <c r="AX1549" i="1"/>
  <c r="BD1549" i="1"/>
  <c r="B1550" i="1"/>
  <c r="C1550" i="1"/>
  <c r="E1550" i="1"/>
  <c r="F1550" i="1"/>
  <c r="G1550" i="1"/>
  <c r="H1550" i="1"/>
  <c r="I1550" i="1"/>
  <c r="J1550" i="1"/>
  <c r="K1550" i="1"/>
  <c r="M1550" i="1"/>
  <c r="O1550" i="1"/>
  <c r="Q1550" i="1"/>
  <c r="R1550" i="1"/>
  <c r="W1550" i="1"/>
  <c r="AA1550" i="1"/>
  <c r="AB1550" i="1"/>
  <c r="AE1550" i="1"/>
  <c r="AF1550" i="1"/>
  <c r="AM1550" i="1"/>
  <c r="AN1550" i="1"/>
  <c r="AO1550" i="1"/>
  <c r="AQ1550" i="1"/>
  <c r="AX1550" i="1"/>
  <c r="BD1550" i="1"/>
  <c r="B1551" i="1"/>
  <c r="C1551" i="1"/>
  <c r="D1551" i="1"/>
  <c r="E1551" i="1"/>
  <c r="F1551" i="1"/>
  <c r="G1551" i="1"/>
  <c r="H1551" i="1"/>
  <c r="I1551" i="1"/>
  <c r="J1551" i="1"/>
  <c r="K1551" i="1"/>
  <c r="M1551" i="1"/>
  <c r="O1551" i="1"/>
  <c r="Q1551" i="1"/>
  <c r="R1551" i="1"/>
  <c r="W1551" i="1"/>
  <c r="AA1551" i="1"/>
  <c r="AB1551" i="1"/>
  <c r="AE1551" i="1"/>
  <c r="AF1551" i="1"/>
  <c r="AM1551" i="1"/>
  <c r="AN1551" i="1"/>
  <c r="AO1551" i="1"/>
  <c r="AQ1551" i="1"/>
  <c r="AX1551" i="1"/>
  <c r="BD1551" i="1"/>
  <c r="B1552" i="1"/>
  <c r="C1552" i="1"/>
  <c r="D1552" i="1"/>
  <c r="E1552" i="1"/>
  <c r="F1552" i="1"/>
  <c r="G1552" i="1"/>
  <c r="H1552" i="1"/>
  <c r="I1552" i="1"/>
  <c r="J1552" i="1"/>
  <c r="K1552" i="1"/>
  <c r="M1552" i="1"/>
  <c r="O1552" i="1"/>
  <c r="Q1552" i="1"/>
  <c r="R1552" i="1"/>
  <c r="W1552" i="1"/>
  <c r="AA1552" i="1"/>
  <c r="AB1552" i="1"/>
  <c r="AE1552" i="1"/>
  <c r="AF1552" i="1"/>
  <c r="AM1552" i="1"/>
  <c r="AN1552" i="1"/>
  <c r="AO1552" i="1"/>
  <c r="AQ1552" i="1"/>
  <c r="AX1552" i="1"/>
  <c r="BD1552" i="1"/>
  <c r="B1553" i="1"/>
  <c r="C1553" i="1"/>
  <c r="D1553" i="1"/>
  <c r="E1553" i="1"/>
  <c r="F1553" i="1"/>
  <c r="G1553" i="1"/>
  <c r="H1553" i="1"/>
  <c r="I1553" i="1"/>
  <c r="J1553" i="1"/>
  <c r="K1553" i="1"/>
  <c r="M1553" i="1"/>
  <c r="O1553" i="1"/>
  <c r="Q1553" i="1"/>
  <c r="R1553" i="1"/>
  <c r="W1553" i="1"/>
  <c r="AA1553" i="1"/>
  <c r="AB1553" i="1"/>
  <c r="AE1553" i="1"/>
  <c r="AF1553" i="1"/>
  <c r="AM1553" i="1"/>
  <c r="AN1553" i="1"/>
  <c r="AO1553" i="1"/>
  <c r="AQ1553" i="1"/>
  <c r="AX1553" i="1"/>
  <c r="BD1553" i="1"/>
  <c r="B1554" i="1"/>
  <c r="C1554" i="1"/>
  <c r="D1554" i="1"/>
  <c r="E1554" i="1"/>
  <c r="F1554" i="1"/>
  <c r="G1554" i="1"/>
  <c r="H1554" i="1"/>
  <c r="I1554" i="1"/>
  <c r="J1554" i="1"/>
  <c r="K1554" i="1"/>
  <c r="M1554" i="1"/>
  <c r="O1554" i="1"/>
  <c r="Q1554" i="1"/>
  <c r="R1554" i="1"/>
  <c r="W1554" i="1"/>
  <c r="AA1554" i="1"/>
  <c r="AB1554" i="1"/>
  <c r="AE1554" i="1"/>
  <c r="AF1554" i="1"/>
  <c r="AM1554" i="1"/>
  <c r="AN1554" i="1"/>
  <c r="AO1554" i="1"/>
  <c r="AQ1554" i="1"/>
  <c r="AX1554" i="1"/>
  <c r="BD1554" i="1"/>
  <c r="B1555" i="1"/>
  <c r="C1555" i="1"/>
  <c r="E1555" i="1"/>
  <c r="F1555" i="1"/>
  <c r="G1555" i="1"/>
  <c r="H1555" i="1"/>
  <c r="I1555" i="1"/>
  <c r="J1555" i="1"/>
  <c r="K1555" i="1"/>
  <c r="M1555" i="1"/>
  <c r="O1555" i="1"/>
  <c r="Q1555" i="1"/>
  <c r="R1555" i="1"/>
  <c r="W1555" i="1"/>
  <c r="AA1555" i="1"/>
  <c r="AB1555" i="1"/>
  <c r="AE1555" i="1"/>
  <c r="AF1555" i="1"/>
  <c r="AM1555" i="1"/>
  <c r="AN1555" i="1"/>
  <c r="AO1555" i="1"/>
  <c r="AQ1555" i="1"/>
  <c r="AX1555" i="1"/>
  <c r="BD1555" i="1"/>
  <c r="B1556" i="1"/>
  <c r="C1556" i="1"/>
  <c r="E1556" i="1"/>
  <c r="F1556" i="1"/>
  <c r="G1556" i="1"/>
  <c r="H1556" i="1"/>
  <c r="I1556" i="1"/>
  <c r="J1556" i="1"/>
  <c r="K1556" i="1"/>
  <c r="M1556" i="1"/>
  <c r="O1556" i="1"/>
  <c r="Q1556" i="1"/>
  <c r="R1556" i="1"/>
  <c r="W1556" i="1"/>
  <c r="AA1556" i="1"/>
  <c r="AB1556" i="1"/>
  <c r="AE1556" i="1"/>
  <c r="AF1556" i="1"/>
  <c r="AM1556" i="1"/>
  <c r="AN1556" i="1"/>
  <c r="AO1556" i="1"/>
  <c r="AQ1556" i="1"/>
  <c r="AX1556" i="1"/>
  <c r="BD1556" i="1"/>
  <c r="B1557" i="1"/>
  <c r="C1557" i="1"/>
  <c r="E1557" i="1"/>
  <c r="F1557" i="1"/>
  <c r="G1557" i="1"/>
  <c r="H1557" i="1"/>
  <c r="I1557" i="1"/>
  <c r="J1557" i="1"/>
  <c r="K1557" i="1"/>
  <c r="M1557" i="1"/>
  <c r="O1557" i="1"/>
  <c r="Q1557" i="1"/>
  <c r="R1557" i="1"/>
  <c r="W1557" i="1"/>
  <c r="AA1557" i="1"/>
  <c r="AB1557" i="1"/>
  <c r="AE1557" i="1"/>
  <c r="AF1557" i="1"/>
  <c r="AM1557" i="1"/>
  <c r="AN1557" i="1"/>
  <c r="AO1557" i="1"/>
  <c r="AQ1557" i="1"/>
  <c r="AX1557" i="1"/>
  <c r="BD1557" i="1"/>
  <c r="B1558" i="1"/>
  <c r="C1558" i="1"/>
  <c r="E1558" i="1"/>
  <c r="F1558" i="1"/>
  <c r="G1558" i="1"/>
  <c r="H1558" i="1"/>
  <c r="I1558" i="1"/>
  <c r="J1558" i="1"/>
  <c r="K1558" i="1"/>
  <c r="M1558" i="1"/>
  <c r="O1558" i="1"/>
  <c r="Q1558" i="1"/>
  <c r="R1558" i="1"/>
  <c r="W1558" i="1"/>
  <c r="AA1558" i="1"/>
  <c r="AB1558" i="1"/>
  <c r="AE1558" i="1"/>
  <c r="AF1558" i="1"/>
  <c r="AM1558" i="1"/>
  <c r="AN1558" i="1"/>
  <c r="AO1558" i="1"/>
  <c r="AQ1558" i="1"/>
  <c r="AX1558" i="1"/>
  <c r="BD1558" i="1"/>
  <c r="B1559" i="1"/>
  <c r="C1559" i="1"/>
  <c r="E1559" i="1"/>
  <c r="F1559" i="1"/>
  <c r="G1559" i="1"/>
  <c r="H1559" i="1"/>
  <c r="I1559" i="1"/>
  <c r="J1559" i="1"/>
  <c r="K1559" i="1"/>
  <c r="M1559" i="1"/>
  <c r="O1559" i="1"/>
  <c r="Q1559" i="1"/>
  <c r="R1559" i="1"/>
  <c r="W1559" i="1"/>
  <c r="AA1559" i="1"/>
  <c r="AB1559" i="1"/>
  <c r="AE1559" i="1"/>
  <c r="AF1559" i="1"/>
  <c r="AM1559" i="1"/>
  <c r="AN1559" i="1"/>
  <c r="AO1559" i="1"/>
  <c r="AQ1559" i="1"/>
  <c r="AX1559" i="1"/>
  <c r="BD1559" i="1"/>
  <c r="B1560" i="1"/>
  <c r="C1560" i="1"/>
  <c r="E1560" i="1"/>
  <c r="F1560" i="1"/>
  <c r="G1560" i="1"/>
  <c r="H1560" i="1"/>
  <c r="I1560" i="1"/>
  <c r="J1560" i="1"/>
  <c r="K1560" i="1"/>
  <c r="M1560" i="1"/>
  <c r="O1560" i="1"/>
  <c r="Q1560" i="1"/>
  <c r="R1560" i="1"/>
  <c r="W1560" i="1"/>
  <c r="AA1560" i="1"/>
  <c r="AB1560" i="1"/>
  <c r="AE1560" i="1"/>
  <c r="AF1560" i="1"/>
  <c r="AM1560" i="1"/>
  <c r="AN1560" i="1"/>
  <c r="AO1560" i="1"/>
  <c r="AQ1560" i="1"/>
  <c r="AX1560" i="1"/>
  <c r="BD1560" i="1"/>
  <c r="B1561" i="1"/>
  <c r="C1561" i="1"/>
  <c r="E1561" i="1"/>
  <c r="F1561" i="1"/>
  <c r="G1561" i="1"/>
  <c r="H1561" i="1"/>
  <c r="I1561" i="1"/>
  <c r="J1561" i="1"/>
  <c r="K1561" i="1"/>
  <c r="M1561" i="1"/>
  <c r="O1561" i="1"/>
  <c r="Q1561" i="1"/>
  <c r="R1561" i="1"/>
  <c r="W1561" i="1"/>
  <c r="AA1561" i="1"/>
  <c r="AB1561" i="1"/>
  <c r="AE1561" i="1"/>
  <c r="AF1561" i="1"/>
  <c r="AM1561" i="1"/>
  <c r="AN1561" i="1"/>
  <c r="AO1561" i="1"/>
  <c r="AQ1561" i="1"/>
  <c r="AX1561" i="1"/>
  <c r="BD1561" i="1"/>
  <c r="B1562" i="1"/>
  <c r="E1562" i="1"/>
  <c r="F1562" i="1"/>
  <c r="G1562" i="1"/>
  <c r="H1562" i="1"/>
  <c r="I1562" i="1"/>
  <c r="J1562" i="1"/>
  <c r="K1562" i="1"/>
  <c r="M1562" i="1"/>
  <c r="O1562" i="1"/>
  <c r="Q1562" i="1"/>
  <c r="R1562" i="1"/>
  <c r="W1562" i="1"/>
  <c r="AA1562" i="1"/>
  <c r="AB1562" i="1"/>
  <c r="AM1562" i="1"/>
  <c r="AN1562" i="1"/>
  <c r="AO1562" i="1"/>
  <c r="AQ1562" i="1"/>
  <c r="AX1562" i="1"/>
  <c r="BD1562" i="1"/>
  <c r="B1563" i="1"/>
  <c r="E1563" i="1"/>
  <c r="F1563" i="1"/>
  <c r="G1563" i="1"/>
  <c r="H1563" i="1"/>
  <c r="I1563" i="1"/>
  <c r="J1563" i="1"/>
  <c r="K1563" i="1"/>
  <c r="M1563" i="1"/>
  <c r="O1563" i="1"/>
  <c r="Q1563" i="1"/>
  <c r="R1563" i="1"/>
  <c r="W1563" i="1"/>
  <c r="AA1563" i="1"/>
  <c r="AB1563" i="1"/>
  <c r="AM1563" i="1"/>
  <c r="AN1563" i="1"/>
  <c r="AO1563" i="1"/>
  <c r="AQ1563" i="1"/>
  <c r="AX1563" i="1"/>
  <c r="BD1563" i="1"/>
  <c r="B1564" i="1"/>
  <c r="E1564" i="1"/>
  <c r="F1564" i="1"/>
  <c r="G1564" i="1"/>
  <c r="H1564" i="1"/>
  <c r="I1564" i="1"/>
  <c r="J1564" i="1"/>
  <c r="K1564" i="1"/>
  <c r="M1564" i="1"/>
  <c r="O1564" i="1"/>
  <c r="Q1564" i="1"/>
  <c r="R1564" i="1"/>
  <c r="W1564" i="1"/>
  <c r="AA1564" i="1"/>
  <c r="AB1564" i="1"/>
  <c r="AM1564" i="1"/>
  <c r="AN1564" i="1"/>
  <c r="AO1564" i="1"/>
  <c r="AQ1564" i="1"/>
  <c r="AX1564" i="1"/>
  <c r="BD1564" i="1"/>
  <c r="B1565" i="1"/>
  <c r="E1565" i="1"/>
  <c r="F1565" i="1"/>
  <c r="G1565" i="1"/>
  <c r="H1565" i="1"/>
  <c r="I1565" i="1"/>
  <c r="J1565" i="1"/>
  <c r="K1565" i="1"/>
  <c r="M1565" i="1"/>
  <c r="O1565" i="1"/>
  <c r="Q1565" i="1"/>
  <c r="R1565" i="1"/>
  <c r="W1565" i="1"/>
  <c r="AA1565" i="1"/>
  <c r="AM1565" i="1"/>
  <c r="AN1565" i="1"/>
  <c r="AO1565" i="1"/>
  <c r="AQ1565" i="1"/>
  <c r="BB1565" i="1"/>
  <c r="BD1565" i="1"/>
  <c r="B1566" i="1"/>
  <c r="E1566" i="1"/>
  <c r="F1566" i="1"/>
  <c r="G1566" i="1"/>
  <c r="H1566" i="1"/>
  <c r="I1566" i="1"/>
  <c r="J1566" i="1"/>
  <c r="K1566" i="1"/>
  <c r="M1566" i="1"/>
  <c r="O1566" i="1"/>
  <c r="Q1566" i="1"/>
  <c r="R1566" i="1"/>
  <c r="W1566" i="1"/>
  <c r="AA1566" i="1"/>
  <c r="AM1566" i="1"/>
  <c r="AN1566" i="1"/>
  <c r="AO1566" i="1"/>
  <c r="AQ1566" i="1"/>
  <c r="BB1566" i="1"/>
  <c r="BD1566" i="1"/>
  <c r="B1567" i="1"/>
  <c r="E1567" i="1"/>
  <c r="F1567" i="1"/>
  <c r="G1567" i="1"/>
  <c r="H1567" i="1"/>
  <c r="I1567" i="1"/>
  <c r="J1567" i="1"/>
  <c r="K1567" i="1"/>
  <c r="M1567" i="1"/>
  <c r="O1567" i="1"/>
  <c r="Q1567" i="1"/>
  <c r="R1567" i="1"/>
  <c r="W1567" i="1"/>
  <c r="AA1567" i="1"/>
  <c r="AM1567" i="1"/>
  <c r="AN1567" i="1"/>
  <c r="AO1567" i="1"/>
  <c r="AQ1567" i="1"/>
  <c r="BB1567" i="1"/>
  <c r="BD1567" i="1"/>
  <c r="B1568" i="1"/>
  <c r="E1568" i="1"/>
  <c r="F1568" i="1"/>
  <c r="G1568" i="1"/>
  <c r="H1568" i="1"/>
  <c r="I1568" i="1"/>
  <c r="J1568" i="1"/>
  <c r="K1568" i="1"/>
  <c r="M1568" i="1"/>
  <c r="O1568" i="1"/>
  <c r="Q1568" i="1"/>
  <c r="R1568" i="1"/>
  <c r="W1568" i="1"/>
  <c r="AA1568" i="1"/>
  <c r="AM1568" i="1"/>
  <c r="AN1568" i="1"/>
  <c r="AO1568" i="1"/>
  <c r="AQ1568" i="1"/>
  <c r="BB1568" i="1"/>
  <c r="BD1568" i="1"/>
  <c r="B1569" i="1"/>
  <c r="E1569" i="1"/>
  <c r="F1569" i="1"/>
  <c r="G1569" i="1"/>
  <c r="H1569" i="1"/>
  <c r="I1569" i="1"/>
  <c r="J1569" i="1"/>
  <c r="K1569" i="1"/>
  <c r="M1569" i="1"/>
  <c r="O1569" i="1"/>
  <c r="Q1569" i="1"/>
  <c r="R1569" i="1"/>
  <c r="W1569" i="1"/>
  <c r="AA1569" i="1"/>
  <c r="AM1569" i="1"/>
  <c r="AN1569" i="1"/>
  <c r="AO1569" i="1"/>
  <c r="AQ1569" i="1"/>
  <c r="BB1569" i="1"/>
  <c r="BD1569" i="1"/>
  <c r="B1570" i="1"/>
  <c r="E1570" i="1"/>
  <c r="F1570" i="1"/>
  <c r="G1570" i="1"/>
  <c r="H1570" i="1"/>
  <c r="I1570" i="1"/>
  <c r="J1570" i="1"/>
  <c r="K1570" i="1"/>
  <c r="M1570" i="1"/>
  <c r="O1570" i="1"/>
  <c r="Q1570" i="1"/>
  <c r="R1570" i="1"/>
  <c r="W1570" i="1"/>
  <c r="AA1570" i="1"/>
  <c r="AM1570" i="1"/>
  <c r="AN1570" i="1"/>
  <c r="AO1570" i="1"/>
  <c r="AQ1570" i="1"/>
  <c r="BB1570" i="1"/>
  <c r="BD1570" i="1"/>
  <c r="B1571" i="1"/>
  <c r="C1571" i="1"/>
  <c r="D1571" i="1"/>
  <c r="E1571" i="1"/>
  <c r="F1571" i="1"/>
  <c r="G1571" i="1"/>
  <c r="H1571" i="1"/>
  <c r="I1571" i="1"/>
  <c r="J1571" i="1"/>
  <c r="K1571" i="1"/>
  <c r="M1571" i="1"/>
  <c r="O1571" i="1"/>
  <c r="Q1571" i="1"/>
  <c r="R1571" i="1"/>
  <c r="W1571" i="1"/>
  <c r="AA1571" i="1"/>
  <c r="AB1571" i="1"/>
  <c r="AE1571" i="1"/>
  <c r="AF1571" i="1"/>
  <c r="AM1571" i="1"/>
  <c r="AN1571" i="1"/>
  <c r="AO1571" i="1"/>
  <c r="AQ1571" i="1"/>
  <c r="AX1571" i="1"/>
  <c r="BD1571" i="1"/>
  <c r="B1572" i="1"/>
  <c r="C1572" i="1"/>
  <c r="D1572" i="1"/>
  <c r="E1572" i="1"/>
  <c r="F1572" i="1"/>
  <c r="G1572" i="1"/>
  <c r="H1572" i="1"/>
  <c r="I1572" i="1"/>
  <c r="J1572" i="1"/>
  <c r="K1572" i="1"/>
  <c r="M1572" i="1"/>
  <c r="O1572" i="1"/>
  <c r="Q1572" i="1"/>
  <c r="R1572" i="1"/>
  <c r="W1572" i="1"/>
  <c r="AA1572" i="1"/>
  <c r="AB1572" i="1"/>
  <c r="AM1572" i="1"/>
  <c r="AN1572" i="1"/>
  <c r="AO1572" i="1"/>
  <c r="AQ1572" i="1"/>
  <c r="AX1572" i="1"/>
  <c r="BD1572" i="1"/>
  <c r="B1573" i="1"/>
  <c r="C1573" i="1"/>
  <c r="D1573" i="1"/>
  <c r="E1573" i="1"/>
  <c r="F1573" i="1"/>
  <c r="G1573" i="1"/>
  <c r="H1573" i="1"/>
  <c r="I1573" i="1"/>
  <c r="J1573" i="1"/>
  <c r="K1573" i="1"/>
  <c r="M1573" i="1"/>
  <c r="O1573" i="1"/>
  <c r="Q1573" i="1"/>
  <c r="R1573" i="1"/>
  <c r="W1573" i="1"/>
  <c r="AA1573" i="1"/>
  <c r="AB1573" i="1"/>
  <c r="AE1573" i="1"/>
  <c r="AF1573" i="1"/>
  <c r="AM1573" i="1"/>
  <c r="AN1573" i="1"/>
  <c r="AO1573" i="1"/>
  <c r="AQ1573" i="1"/>
  <c r="AX1573" i="1"/>
  <c r="BD1573" i="1"/>
  <c r="B1574" i="1"/>
  <c r="C1574" i="1"/>
  <c r="E1574" i="1"/>
  <c r="F1574" i="1"/>
  <c r="G1574" i="1"/>
  <c r="H1574" i="1"/>
  <c r="I1574" i="1"/>
  <c r="J1574" i="1"/>
  <c r="K1574" i="1"/>
  <c r="M1574" i="1"/>
  <c r="O1574" i="1"/>
  <c r="Q1574" i="1"/>
  <c r="R1574" i="1"/>
  <c r="W1574" i="1"/>
  <c r="AA1574" i="1"/>
  <c r="AB1574" i="1"/>
  <c r="AE1574" i="1"/>
  <c r="AF1574" i="1"/>
  <c r="AM1574" i="1"/>
  <c r="AN1574" i="1"/>
  <c r="AO1574" i="1"/>
  <c r="AQ1574" i="1"/>
  <c r="AX1574" i="1"/>
  <c r="BD1574" i="1"/>
  <c r="B1575" i="1"/>
  <c r="C1575" i="1"/>
  <c r="E1575" i="1"/>
  <c r="F1575" i="1"/>
  <c r="G1575" i="1"/>
  <c r="H1575" i="1"/>
  <c r="I1575" i="1"/>
  <c r="J1575" i="1"/>
  <c r="K1575" i="1"/>
  <c r="M1575" i="1"/>
  <c r="O1575" i="1"/>
  <c r="Q1575" i="1"/>
  <c r="R1575" i="1"/>
  <c r="W1575" i="1"/>
  <c r="AA1575" i="1"/>
  <c r="AB1575" i="1"/>
  <c r="AE1575" i="1"/>
  <c r="AF1575" i="1"/>
  <c r="AM1575" i="1"/>
  <c r="AN1575" i="1"/>
  <c r="AO1575" i="1"/>
  <c r="AQ1575" i="1"/>
  <c r="AX1575" i="1"/>
  <c r="BD1575" i="1"/>
  <c r="B1576" i="1"/>
  <c r="C1576" i="1"/>
  <c r="E1576" i="1"/>
  <c r="F1576" i="1"/>
  <c r="G1576" i="1"/>
  <c r="H1576" i="1"/>
  <c r="I1576" i="1"/>
  <c r="J1576" i="1"/>
  <c r="K1576" i="1"/>
  <c r="M1576" i="1"/>
  <c r="O1576" i="1"/>
  <c r="Q1576" i="1"/>
  <c r="R1576" i="1"/>
  <c r="W1576" i="1"/>
  <c r="AA1576" i="1"/>
  <c r="AB1576" i="1"/>
  <c r="AE1576" i="1"/>
  <c r="AF1576" i="1"/>
  <c r="AM1576" i="1"/>
  <c r="AN1576" i="1"/>
  <c r="AO1576" i="1"/>
  <c r="AQ1576" i="1"/>
  <c r="AX1576" i="1"/>
  <c r="BD1576" i="1"/>
  <c r="B1577" i="1"/>
  <c r="C1577" i="1"/>
  <c r="E1577" i="1"/>
  <c r="F1577" i="1"/>
  <c r="G1577" i="1"/>
  <c r="H1577" i="1"/>
  <c r="I1577" i="1"/>
  <c r="J1577" i="1"/>
  <c r="K1577" i="1"/>
  <c r="M1577" i="1"/>
  <c r="O1577" i="1"/>
  <c r="Q1577" i="1"/>
  <c r="R1577" i="1"/>
  <c r="W1577" i="1"/>
  <c r="AA1577" i="1"/>
  <c r="AB1577" i="1"/>
  <c r="AE1577" i="1"/>
  <c r="AF1577" i="1"/>
  <c r="AM1577" i="1"/>
  <c r="AN1577" i="1"/>
  <c r="AO1577" i="1"/>
  <c r="AQ1577" i="1"/>
  <c r="AX1577" i="1"/>
  <c r="BD1577" i="1"/>
  <c r="B1578" i="1"/>
  <c r="C1578" i="1"/>
  <c r="D1578" i="1"/>
  <c r="E1578" i="1"/>
  <c r="F1578" i="1"/>
  <c r="G1578" i="1"/>
  <c r="H1578" i="1"/>
  <c r="I1578" i="1"/>
  <c r="J1578" i="1"/>
  <c r="K1578" i="1"/>
  <c r="M1578" i="1"/>
  <c r="O1578" i="1"/>
  <c r="Q1578" i="1"/>
  <c r="R1578" i="1"/>
  <c r="W1578" i="1"/>
  <c r="AA1578" i="1"/>
  <c r="AB1578" i="1"/>
  <c r="AE1578" i="1"/>
  <c r="AF1578" i="1"/>
  <c r="AM1578" i="1"/>
  <c r="AN1578" i="1"/>
  <c r="AO1578" i="1"/>
  <c r="AQ1578" i="1"/>
  <c r="AX1578" i="1"/>
  <c r="BD1578" i="1"/>
  <c r="B1579" i="1"/>
  <c r="C1579" i="1"/>
  <c r="E1579" i="1"/>
  <c r="F1579" i="1"/>
  <c r="G1579" i="1"/>
  <c r="H1579" i="1"/>
  <c r="I1579" i="1"/>
  <c r="J1579" i="1"/>
  <c r="K1579" i="1"/>
  <c r="M1579" i="1"/>
  <c r="O1579" i="1"/>
  <c r="Q1579" i="1"/>
  <c r="R1579" i="1"/>
  <c r="W1579" i="1"/>
  <c r="AA1579" i="1"/>
  <c r="AB1579" i="1"/>
  <c r="AE1579" i="1"/>
  <c r="AF1579" i="1"/>
  <c r="AM1579" i="1"/>
  <c r="AN1579" i="1"/>
  <c r="AO1579" i="1"/>
  <c r="AQ1579" i="1"/>
  <c r="AX1579" i="1"/>
  <c r="BD1579" i="1"/>
  <c r="B1580" i="1"/>
  <c r="C1580" i="1"/>
  <c r="E1580" i="1"/>
  <c r="F1580" i="1"/>
  <c r="G1580" i="1"/>
  <c r="H1580" i="1"/>
  <c r="I1580" i="1"/>
  <c r="J1580" i="1"/>
  <c r="K1580" i="1"/>
  <c r="M1580" i="1"/>
  <c r="O1580" i="1"/>
  <c r="Q1580" i="1"/>
  <c r="R1580" i="1"/>
  <c r="W1580" i="1"/>
  <c r="AA1580" i="1"/>
  <c r="AB1580" i="1"/>
  <c r="AE1580" i="1"/>
  <c r="AF1580" i="1"/>
  <c r="AM1580" i="1"/>
  <c r="AN1580" i="1"/>
  <c r="AO1580" i="1"/>
  <c r="AQ1580" i="1"/>
  <c r="AX1580" i="1"/>
  <c r="BD1580" i="1"/>
  <c r="B1581" i="1"/>
  <c r="C1581" i="1"/>
  <c r="E1581" i="1"/>
  <c r="F1581" i="1"/>
  <c r="G1581" i="1"/>
  <c r="H1581" i="1"/>
  <c r="I1581" i="1"/>
  <c r="J1581" i="1"/>
  <c r="K1581" i="1"/>
  <c r="M1581" i="1"/>
  <c r="O1581" i="1"/>
  <c r="Q1581" i="1"/>
  <c r="R1581" i="1"/>
  <c r="W1581" i="1"/>
  <c r="AA1581" i="1"/>
  <c r="AB1581" i="1"/>
  <c r="AE1581" i="1"/>
  <c r="AF1581" i="1"/>
  <c r="AM1581" i="1"/>
  <c r="AN1581" i="1"/>
  <c r="AO1581" i="1"/>
  <c r="AQ1581" i="1"/>
  <c r="AX1581" i="1"/>
  <c r="BD1581" i="1"/>
  <c r="B1582" i="1"/>
  <c r="C1582" i="1"/>
  <c r="E1582" i="1"/>
  <c r="F1582" i="1"/>
  <c r="G1582" i="1"/>
  <c r="H1582" i="1"/>
  <c r="I1582" i="1"/>
  <c r="J1582" i="1"/>
  <c r="K1582" i="1"/>
  <c r="M1582" i="1"/>
  <c r="O1582" i="1"/>
  <c r="Q1582" i="1"/>
  <c r="R1582" i="1"/>
  <c r="W1582" i="1"/>
  <c r="AA1582" i="1"/>
  <c r="AB1582" i="1"/>
  <c r="AE1582" i="1"/>
  <c r="AF1582" i="1"/>
  <c r="AM1582" i="1"/>
  <c r="AN1582" i="1"/>
  <c r="AO1582" i="1"/>
  <c r="AQ1582" i="1"/>
  <c r="AX1582" i="1"/>
  <c r="BD1582" i="1"/>
  <c r="B1583" i="1"/>
  <c r="C1583" i="1"/>
  <c r="E1583" i="1"/>
  <c r="F1583" i="1"/>
  <c r="G1583" i="1"/>
  <c r="H1583" i="1"/>
  <c r="I1583" i="1"/>
  <c r="J1583" i="1"/>
  <c r="K1583" i="1"/>
  <c r="M1583" i="1"/>
  <c r="O1583" i="1"/>
  <c r="Q1583" i="1"/>
  <c r="R1583" i="1"/>
  <c r="W1583" i="1"/>
  <c r="AA1583" i="1"/>
  <c r="AB1583" i="1"/>
  <c r="AE1583" i="1"/>
  <c r="AF1583" i="1"/>
  <c r="AM1583" i="1"/>
  <c r="AN1583" i="1"/>
  <c r="AO1583" i="1"/>
  <c r="AQ1583" i="1"/>
  <c r="AX1583" i="1"/>
  <c r="BD1583" i="1"/>
  <c r="B1584" i="1"/>
  <c r="C1584" i="1"/>
  <c r="E1584" i="1"/>
  <c r="F1584" i="1"/>
  <c r="G1584" i="1"/>
  <c r="H1584" i="1"/>
  <c r="I1584" i="1"/>
  <c r="J1584" i="1"/>
  <c r="K1584" i="1"/>
  <c r="M1584" i="1"/>
  <c r="O1584" i="1"/>
  <c r="Q1584" i="1"/>
  <c r="R1584" i="1"/>
  <c r="W1584" i="1"/>
  <c r="AA1584" i="1"/>
  <c r="AB1584" i="1"/>
  <c r="AE1584" i="1"/>
  <c r="AF1584" i="1"/>
  <c r="AM1584" i="1"/>
  <c r="AN1584" i="1"/>
  <c r="AO1584" i="1"/>
  <c r="AQ1584" i="1"/>
  <c r="AX1584" i="1"/>
  <c r="BD1584" i="1"/>
  <c r="B1585" i="1"/>
  <c r="E1585" i="1"/>
  <c r="F1585" i="1"/>
  <c r="G1585" i="1"/>
  <c r="H1585" i="1"/>
  <c r="I1585" i="1"/>
  <c r="J1585" i="1"/>
  <c r="K1585" i="1"/>
  <c r="M1585" i="1"/>
  <c r="O1585" i="1"/>
  <c r="Q1585" i="1"/>
  <c r="R1585" i="1"/>
  <c r="W1585" i="1"/>
  <c r="AA1585" i="1"/>
  <c r="AM1585" i="1"/>
  <c r="AN1585" i="1"/>
  <c r="AO1585" i="1"/>
  <c r="AQ1585" i="1"/>
  <c r="BB1585" i="1"/>
  <c r="BD1585" i="1"/>
  <c r="B1586" i="1"/>
  <c r="E1586" i="1"/>
  <c r="F1586" i="1"/>
  <c r="G1586" i="1"/>
  <c r="H1586" i="1"/>
  <c r="I1586" i="1"/>
  <c r="J1586" i="1"/>
  <c r="K1586" i="1"/>
  <c r="M1586" i="1"/>
  <c r="O1586" i="1"/>
  <c r="Q1586" i="1"/>
  <c r="R1586" i="1"/>
  <c r="W1586" i="1"/>
  <c r="AA1586" i="1"/>
  <c r="AB1586" i="1"/>
  <c r="AM1586" i="1"/>
  <c r="AN1586" i="1"/>
  <c r="AO1586" i="1"/>
  <c r="AQ1586" i="1"/>
  <c r="AX1586" i="1"/>
  <c r="BD1586" i="1"/>
  <c r="B1587" i="1"/>
  <c r="E1587" i="1"/>
  <c r="F1587" i="1"/>
  <c r="G1587" i="1"/>
  <c r="H1587" i="1"/>
  <c r="I1587" i="1"/>
  <c r="J1587" i="1"/>
  <c r="K1587" i="1"/>
  <c r="M1587" i="1"/>
  <c r="O1587" i="1"/>
  <c r="Q1587" i="1"/>
  <c r="R1587" i="1"/>
  <c r="W1587" i="1"/>
  <c r="AA1587" i="1"/>
  <c r="AM1587" i="1"/>
  <c r="AN1587" i="1"/>
  <c r="AO1587" i="1"/>
  <c r="AQ1587" i="1"/>
  <c r="BB1587" i="1"/>
  <c r="BD1587" i="1"/>
  <c r="B1588" i="1"/>
  <c r="E1588" i="1"/>
  <c r="F1588" i="1"/>
  <c r="G1588" i="1"/>
  <c r="H1588" i="1"/>
  <c r="I1588" i="1"/>
  <c r="J1588" i="1"/>
  <c r="K1588" i="1"/>
  <c r="M1588" i="1"/>
  <c r="O1588" i="1"/>
  <c r="Q1588" i="1"/>
  <c r="R1588" i="1"/>
  <c r="W1588" i="1"/>
  <c r="AA1588" i="1"/>
  <c r="AB1588" i="1"/>
  <c r="AM1588" i="1"/>
  <c r="AN1588" i="1"/>
  <c r="AO1588" i="1"/>
  <c r="AQ1588" i="1"/>
  <c r="AX1588" i="1"/>
  <c r="BD1588" i="1"/>
  <c r="B1589" i="1"/>
  <c r="C1589" i="1"/>
  <c r="D1589" i="1"/>
  <c r="E1589" i="1"/>
  <c r="F1589" i="1"/>
  <c r="G1589" i="1"/>
  <c r="H1589" i="1"/>
  <c r="I1589" i="1"/>
  <c r="J1589" i="1"/>
  <c r="K1589" i="1"/>
  <c r="M1589" i="1"/>
  <c r="O1589" i="1"/>
  <c r="Q1589" i="1"/>
  <c r="R1589" i="1"/>
  <c r="W1589" i="1"/>
  <c r="AA1589" i="1"/>
  <c r="AB1589" i="1"/>
  <c r="AE1589" i="1"/>
  <c r="AF1589" i="1"/>
  <c r="AM1589" i="1"/>
  <c r="AN1589" i="1"/>
  <c r="AO1589" i="1"/>
  <c r="AQ1589" i="1"/>
  <c r="AX1589" i="1"/>
  <c r="BD1589" i="1"/>
  <c r="B1590" i="1"/>
  <c r="C1590" i="1"/>
  <c r="E1590" i="1"/>
  <c r="F1590" i="1"/>
  <c r="G1590" i="1"/>
  <c r="H1590" i="1"/>
  <c r="I1590" i="1"/>
  <c r="J1590" i="1"/>
  <c r="K1590" i="1"/>
  <c r="M1590" i="1"/>
  <c r="O1590" i="1"/>
  <c r="Q1590" i="1"/>
  <c r="R1590" i="1"/>
  <c r="W1590" i="1"/>
  <c r="AA1590" i="1"/>
  <c r="AB1590" i="1"/>
  <c r="AE1590" i="1"/>
  <c r="AF1590" i="1"/>
  <c r="AM1590" i="1"/>
  <c r="AN1590" i="1"/>
  <c r="AO1590" i="1"/>
  <c r="AQ1590" i="1"/>
  <c r="AX1590" i="1"/>
  <c r="BD1590" i="1"/>
  <c r="B1591" i="1"/>
  <c r="C1591" i="1"/>
  <c r="E1591" i="1"/>
  <c r="F1591" i="1"/>
  <c r="G1591" i="1"/>
  <c r="H1591" i="1"/>
  <c r="I1591" i="1"/>
  <c r="J1591" i="1"/>
  <c r="K1591" i="1"/>
  <c r="M1591" i="1"/>
  <c r="O1591" i="1"/>
  <c r="Q1591" i="1"/>
  <c r="R1591" i="1"/>
  <c r="W1591" i="1"/>
  <c r="AA1591" i="1"/>
  <c r="AB1591" i="1"/>
  <c r="AE1591" i="1"/>
  <c r="AF1591" i="1"/>
  <c r="AM1591" i="1"/>
  <c r="AN1591" i="1"/>
  <c r="AO1591" i="1"/>
  <c r="AQ1591" i="1"/>
  <c r="AX1591" i="1"/>
  <c r="BD1591" i="1"/>
  <c r="B1592" i="1"/>
  <c r="C1592" i="1"/>
  <c r="E1592" i="1"/>
  <c r="F1592" i="1"/>
  <c r="G1592" i="1"/>
  <c r="H1592" i="1"/>
  <c r="I1592" i="1"/>
  <c r="J1592" i="1"/>
  <c r="K1592" i="1"/>
  <c r="M1592" i="1"/>
  <c r="O1592" i="1"/>
  <c r="Q1592" i="1"/>
  <c r="R1592" i="1"/>
  <c r="W1592" i="1"/>
  <c r="AA1592" i="1"/>
  <c r="AB1592" i="1"/>
  <c r="AE1592" i="1"/>
  <c r="AF1592" i="1"/>
  <c r="AM1592" i="1"/>
  <c r="AN1592" i="1"/>
  <c r="AO1592" i="1"/>
  <c r="AQ1592" i="1"/>
  <c r="AX1592" i="1"/>
  <c r="BD1592" i="1"/>
  <c r="B1593" i="1"/>
  <c r="C1593" i="1"/>
  <c r="E1593" i="1"/>
  <c r="F1593" i="1"/>
  <c r="G1593" i="1"/>
  <c r="H1593" i="1"/>
  <c r="I1593" i="1"/>
  <c r="J1593" i="1"/>
  <c r="K1593" i="1"/>
  <c r="M1593" i="1"/>
  <c r="O1593" i="1"/>
  <c r="Q1593" i="1"/>
  <c r="R1593" i="1"/>
  <c r="W1593" i="1"/>
  <c r="AA1593" i="1"/>
  <c r="AB1593" i="1"/>
  <c r="AE1593" i="1"/>
  <c r="AF1593" i="1"/>
  <c r="AM1593" i="1"/>
  <c r="AN1593" i="1"/>
  <c r="AO1593" i="1"/>
  <c r="AQ1593" i="1"/>
  <c r="AX1593" i="1"/>
  <c r="BD1593" i="1"/>
  <c r="B1594" i="1"/>
  <c r="C1594" i="1"/>
  <c r="E1594" i="1"/>
  <c r="F1594" i="1"/>
  <c r="G1594" i="1"/>
  <c r="H1594" i="1"/>
  <c r="I1594" i="1"/>
  <c r="J1594" i="1"/>
  <c r="K1594" i="1"/>
  <c r="M1594" i="1"/>
  <c r="O1594" i="1"/>
  <c r="Q1594" i="1"/>
  <c r="R1594" i="1"/>
  <c r="W1594" i="1"/>
  <c r="AA1594" i="1"/>
  <c r="AB1594" i="1"/>
  <c r="AE1594" i="1"/>
  <c r="AF1594" i="1"/>
  <c r="AM1594" i="1"/>
  <c r="AN1594" i="1"/>
  <c r="AO1594" i="1"/>
  <c r="AQ1594" i="1"/>
  <c r="AX1594" i="1"/>
  <c r="BD1594" i="1"/>
  <c r="B1595" i="1"/>
  <c r="E1595" i="1"/>
  <c r="F1595" i="1"/>
  <c r="G1595" i="1"/>
  <c r="H1595" i="1"/>
  <c r="I1595" i="1"/>
  <c r="J1595" i="1"/>
  <c r="K1595" i="1"/>
  <c r="M1595" i="1"/>
  <c r="O1595" i="1"/>
  <c r="Q1595" i="1"/>
  <c r="R1595" i="1"/>
  <c r="W1595" i="1"/>
  <c r="AA1595" i="1"/>
  <c r="AB1595" i="1"/>
  <c r="AE1595" i="1"/>
  <c r="AF1595" i="1"/>
  <c r="AM1595" i="1"/>
  <c r="AN1595" i="1"/>
  <c r="AO1595" i="1"/>
  <c r="AQ1595" i="1"/>
  <c r="AX1595" i="1"/>
  <c r="BD1595" i="1"/>
  <c r="B1596" i="1"/>
  <c r="C1596" i="1"/>
  <c r="E1596" i="1"/>
  <c r="F1596" i="1"/>
  <c r="G1596" i="1"/>
  <c r="H1596" i="1"/>
  <c r="I1596" i="1"/>
  <c r="J1596" i="1"/>
  <c r="K1596" i="1"/>
  <c r="M1596" i="1"/>
  <c r="O1596" i="1"/>
  <c r="Q1596" i="1"/>
  <c r="R1596" i="1"/>
  <c r="W1596" i="1"/>
  <c r="AA1596" i="1"/>
  <c r="AB1596" i="1"/>
  <c r="AE1596" i="1"/>
  <c r="AF1596" i="1"/>
  <c r="AM1596" i="1"/>
  <c r="AN1596" i="1"/>
  <c r="AO1596" i="1"/>
  <c r="AQ1596" i="1"/>
  <c r="AX1596" i="1"/>
  <c r="BD1596" i="1"/>
  <c r="B1597" i="1"/>
  <c r="C1597" i="1"/>
  <c r="E1597" i="1"/>
  <c r="F1597" i="1"/>
  <c r="G1597" i="1"/>
  <c r="H1597" i="1"/>
  <c r="I1597" i="1"/>
  <c r="J1597" i="1"/>
  <c r="K1597" i="1"/>
  <c r="M1597" i="1"/>
  <c r="O1597" i="1"/>
  <c r="Q1597" i="1"/>
  <c r="R1597" i="1"/>
  <c r="W1597" i="1"/>
  <c r="AA1597" i="1"/>
  <c r="AM1597" i="1"/>
  <c r="AN1597" i="1"/>
  <c r="AO1597" i="1"/>
  <c r="AQ1597" i="1"/>
  <c r="BB1597" i="1"/>
  <c r="BD1597" i="1"/>
  <c r="B1598" i="1"/>
  <c r="C1598" i="1"/>
  <c r="E1598" i="1"/>
  <c r="F1598" i="1"/>
  <c r="G1598" i="1"/>
  <c r="H1598" i="1"/>
  <c r="I1598" i="1"/>
  <c r="J1598" i="1"/>
  <c r="K1598" i="1"/>
  <c r="M1598" i="1"/>
  <c r="O1598" i="1"/>
  <c r="Q1598" i="1"/>
  <c r="R1598" i="1"/>
  <c r="W1598" i="1"/>
  <c r="AA1598" i="1"/>
  <c r="AB1598" i="1"/>
  <c r="AE1598" i="1"/>
  <c r="AF1598" i="1"/>
  <c r="AM1598" i="1"/>
  <c r="AN1598" i="1"/>
  <c r="AO1598" i="1"/>
  <c r="AQ1598" i="1"/>
  <c r="AX1598" i="1"/>
  <c r="BD1598" i="1"/>
  <c r="B1599" i="1"/>
  <c r="C1599" i="1"/>
  <c r="E1599" i="1"/>
  <c r="F1599" i="1"/>
  <c r="G1599" i="1"/>
  <c r="H1599" i="1"/>
  <c r="I1599" i="1"/>
  <c r="J1599" i="1"/>
  <c r="K1599" i="1"/>
  <c r="M1599" i="1"/>
  <c r="O1599" i="1"/>
  <c r="Q1599" i="1"/>
  <c r="R1599" i="1"/>
  <c r="W1599" i="1"/>
  <c r="AA1599" i="1"/>
  <c r="AB1599" i="1"/>
  <c r="AE1599" i="1"/>
  <c r="AF1599" i="1"/>
  <c r="AM1599" i="1"/>
  <c r="AN1599" i="1"/>
  <c r="AO1599" i="1"/>
  <c r="AQ1599" i="1"/>
  <c r="AX1599" i="1"/>
  <c r="BD1599" i="1"/>
  <c r="B1600" i="1"/>
  <c r="C1600" i="1"/>
  <c r="E1600" i="1"/>
  <c r="F1600" i="1"/>
  <c r="G1600" i="1"/>
  <c r="H1600" i="1"/>
  <c r="I1600" i="1"/>
  <c r="J1600" i="1"/>
  <c r="K1600" i="1"/>
  <c r="M1600" i="1"/>
  <c r="O1600" i="1"/>
  <c r="Q1600" i="1"/>
  <c r="R1600" i="1"/>
  <c r="W1600" i="1"/>
  <c r="AA1600" i="1"/>
  <c r="AB1600" i="1"/>
  <c r="AE1600" i="1"/>
  <c r="AF1600" i="1"/>
  <c r="AM1600" i="1"/>
  <c r="AN1600" i="1"/>
  <c r="AO1600" i="1"/>
  <c r="AQ1600" i="1"/>
  <c r="AX1600" i="1"/>
  <c r="BD1600" i="1"/>
  <c r="B1601" i="1"/>
  <c r="C1601" i="1"/>
  <c r="E1601" i="1"/>
  <c r="F1601" i="1"/>
  <c r="G1601" i="1"/>
  <c r="H1601" i="1"/>
  <c r="I1601" i="1"/>
  <c r="J1601" i="1"/>
  <c r="K1601" i="1"/>
  <c r="M1601" i="1"/>
  <c r="O1601" i="1"/>
  <c r="Q1601" i="1"/>
  <c r="R1601" i="1"/>
  <c r="W1601" i="1"/>
  <c r="AA1601" i="1"/>
  <c r="AB1601" i="1"/>
  <c r="AE1601" i="1"/>
  <c r="AF1601" i="1"/>
  <c r="AM1601" i="1"/>
  <c r="AN1601" i="1"/>
  <c r="AO1601" i="1"/>
  <c r="AQ1601" i="1"/>
  <c r="AX1601" i="1"/>
  <c r="BD1601" i="1"/>
  <c r="B1602" i="1"/>
  <c r="C1602" i="1"/>
  <c r="E1602" i="1"/>
  <c r="F1602" i="1"/>
  <c r="G1602" i="1"/>
  <c r="H1602" i="1"/>
  <c r="I1602" i="1"/>
  <c r="J1602" i="1"/>
  <c r="K1602" i="1"/>
  <c r="M1602" i="1"/>
  <c r="O1602" i="1"/>
  <c r="Q1602" i="1"/>
  <c r="R1602" i="1"/>
  <c r="W1602" i="1"/>
  <c r="AA1602" i="1"/>
  <c r="AB1602" i="1"/>
  <c r="AE1602" i="1"/>
  <c r="AF1602" i="1"/>
  <c r="AM1602" i="1"/>
  <c r="AN1602" i="1"/>
  <c r="AO1602" i="1"/>
  <c r="AQ1602" i="1"/>
  <c r="AX1602" i="1"/>
  <c r="BD1602" i="1"/>
  <c r="B1603" i="1"/>
  <c r="E1603" i="1"/>
  <c r="F1603" i="1"/>
  <c r="G1603" i="1"/>
  <c r="H1603" i="1"/>
  <c r="I1603" i="1"/>
  <c r="J1603" i="1"/>
  <c r="K1603" i="1"/>
  <c r="M1603" i="1"/>
  <c r="O1603" i="1"/>
  <c r="Q1603" i="1"/>
  <c r="R1603" i="1"/>
  <c r="W1603" i="1"/>
  <c r="AA1603" i="1"/>
  <c r="AB1603" i="1"/>
  <c r="AM1603" i="1"/>
  <c r="AN1603" i="1"/>
  <c r="AO1603" i="1"/>
  <c r="AQ1603" i="1"/>
  <c r="AX1603" i="1"/>
  <c r="BD1603" i="1"/>
  <c r="B1604" i="1"/>
  <c r="E1604" i="1"/>
  <c r="F1604" i="1"/>
  <c r="G1604" i="1"/>
  <c r="H1604" i="1"/>
  <c r="I1604" i="1"/>
  <c r="J1604" i="1"/>
  <c r="K1604" i="1"/>
  <c r="M1604" i="1"/>
  <c r="O1604" i="1"/>
  <c r="Q1604" i="1"/>
  <c r="R1604" i="1"/>
  <c r="W1604" i="1"/>
  <c r="AA1604" i="1"/>
  <c r="AM1604" i="1"/>
  <c r="AN1604" i="1"/>
  <c r="AO1604" i="1"/>
  <c r="AQ1604" i="1"/>
  <c r="BB1604" i="1"/>
  <c r="BD1604" i="1"/>
  <c r="B1605" i="1"/>
  <c r="E1605" i="1"/>
  <c r="F1605" i="1"/>
  <c r="G1605" i="1"/>
  <c r="H1605" i="1"/>
  <c r="I1605" i="1"/>
  <c r="J1605" i="1"/>
  <c r="K1605" i="1"/>
  <c r="M1605" i="1"/>
  <c r="O1605" i="1"/>
  <c r="Q1605" i="1"/>
  <c r="R1605" i="1"/>
  <c r="W1605" i="1"/>
  <c r="AA1605" i="1"/>
  <c r="AM1605" i="1"/>
  <c r="AN1605" i="1"/>
  <c r="AO1605" i="1"/>
  <c r="AQ1605" i="1"/>
  <c r="BB1605" i="1"/>
  <c r="BD1605" i="1"/>
  <c r="B1606" i="1"/>
  <c r="C1606" i="1"/>
  <c r="E1606" i="1"/>
  <c r="F1606" i="1"/>
  <c r="G1606" i="1"/>
  <c r="H1606" i="1"/>
  <c r="I1606" i="1"/>
  <c r="J1606" i="1"/>
  <c r="K1606" i="1"/>
  <c r="M1606" i="1"/>
  <c r="O1606" i="1"/>
  <c r="Q1606" i="1"/>
  <c r="R1606" i="1"/>
  <c r="W1606" i="1"/>
  <c r="AA1606" i="1"/>
  <c r="AM1606" i="1"/>
  <c r="AN1606" i="1"/>
  <c r="AO1606" i="1"/>
  <c r="AQ1606" i="1"/>
  <c r="BB1606" i="1"/>
  <c r="BD1606" i="1"/>
  <c r="B1607" i="1"/>
  <c r="C1607" i="1"/>
  <c r="E1607" i="1"/>
  <c r="F1607" i="1"/>
  <c r="G1607" i="1"/>
  <c r="H1607" i="1"/>
  <c r="I1607" i="1"/>
  <c r="J1607" i="1"/>
  <c r="K1607" i="1"/>
  <c r="M1607" i="1"/>
  <c r="O1607" i="1"/>
  <c r="Q1607" i="1"/>
  <c r="R1607" i="1"/>
  <c r="W1607" i="1"/>
  <c r="AA1607" i="1"/>
  <c r="AM1607" i="1"/>
  <c r="AN1607" i="1"/>
  <c r="AO1607" i="1"/>
  <c r="AQ1607" i="1"/>
  <c r="BB1607" i="1"/>
  <c r="BD1607" i="1"/>
  <c r="B1608" i="1"/>
  <c r="C1608" i="1"/>
  <c r="E1608" i="1"/>
  <c r="F1608" i="1"/>
  <c r="G1608" i="1"/>
  <c r="H1608" i="1"/>
  <c r="I1608" i="1"/>
  <c r="J1608" i="1"/>
  <c r="K1608" i="1"/>
  <c r="M1608" i="1"/>
  <c r="O1608" i="1"/>
  <c r="Q1608" i="1"/>
  <c r="R1608" i="1"/>
  <c r="W1608" i="1"/>
  <c r="AA1608" i="1"/>
  <c r="AM1608" i="1"/>
  <c r="AN1608" i="1"/>
  <c r="AO1608" i="1"/>
  <c r="AQ1608" i="1"/>
  <c r="BB1608" i="1"/>
  <c r="BD1608" i="1"/>
  <c r="B1609" i="1"/>
  <c r="C1609" i="1"/>
  <c r="E1609" i="1"/>
  <c r="F1609" i="1"/>
  <c r="G1609" i="1"/>
  <c r="H1609" i="1"/>
  <c r="I1609" i="1"/>
  <c r="J1609" i="1"/>
  <c r="K1609" i="1"/>
  <c r="M1609" i="1"/>
  <c r="O1609" i="1"/>
  <c r="Q1609" i="1"/>
  <c r="R1609" i="1"/>
  <c r="W1609" i="1"/>
  <c r="AA1609" i="1"/>
  <c r="AM1609" i="1"/>
  <c r="AN1609" i="1"/>
  <c r="AO1609" i="1"/>
  <c r="AQ1609" i="1"/>
  <c r="BB1609" i="1"/>
  <c r="BD1609" i="1"/>
  <c r="B1610" i="1"/>
  <c r="C1610" i="1"/>
  <c r="E1610" i="1"/>
  <c r="F1610" i="1"/>
  <c r="G1610" i="1"/>
  <c r="H1610" i="1"/>
  <c r="I1610" i="1"/>
  <c r="J1610" i="1"/>
  <c r="K1610" i="1"/>
  <c r="M1610" i="1"/>
  <c r="O1610" i="1"/>
  <c r="Q1610" i="1"/>
  <c r="R1610" i="1"/>
  <c r="W1610" i="1"/>
  <c r="AA1610" i="1"/>
  <c r="AB1610" i="1"/>
  <c r="AE1610" i="1"/>
  <c r="AF1610" i="1"/>
  <c r="AM1610" i="1"/>
  <c r="AN1610" i="1"/>
  <c r="AO1610" i="1"/>
  <c r="AQ1610" i="1"/>
  <c r="AX1610" i="1"/>
  <c r="BD1610" i="1"/>
  <c r="B1611" i="1"/>
  <c r="C1611" i="1"/>
  <c r="E1611" i="1"/>
  <c r="F1611" i="1"/>
  <c r="G1611" i="1"/>
  <c r="H1611" i="1"/>
  <c r="I1611" i="1"/>
  <c r="J1611" i="1"/>
  <c r="K1611" i="1"/>
  <c r="M1611" i="1"/>
  <c r="O1611" i="1"/>
  <c r="Q1611" i="1"/>
  <c r="R1611" i="1"/>
  <c r="W1611" i="1"/>
  <c r="AA1611" i="1"/>
  <c r="AB1611" i="1"/>
  <c r="AE1611" i="1"/>
  <c r="AF1611" i="1"/>
  <c r="AM1611" i="1"/>
  <c r="AN1611" i="1"/>
  <c r="AO1611" i="1"/>
  <c r="AQ1611" i="1"/>
  <c r="AX1611" i="1"/>
  <c r="BD1611" i="1"/>
  <c r="B1612" i="1"/>
  <c r="C1612" i="1"/>
  <c r="E1612" i="1"/>
  <c r="F1612" i="1"/>
  <c r="G1612" i="1"/>
  <c r="H1612" i="1"/>
  <c r="I1612" i="1"/>
  <c r="J1612" i="1"/>
  <c r="K1612" i="1"/>
  <c r="M1612" i="1"/>
  <c r="O1612" i="1"/>
  <c r="Q1612" i="1"/>
  <c r="R1612" i="1"/>
  <c r="W1612" i="1"/>
  <c r="AA1612" i="1"/>
  <c r="AB1612" i="1"/>
  <c r="AE1612" i="1"/>
  <c r="AF1612" i="1"/>
  <c r="AM1612" i="1"/>
  <c r="AN1612" i="1"/>
  <c r="AO1612" i="1"/>
  <c r="AQ1612" i="1"/>
  <c r="AX1612" i="1"/>
  <c r="BD1612" i="1"/>
  <c r="B1613" i="1"/>
  <c r="C1613" i="1"/>
  <c r="E1613" i="1"/>
  <c r="F1613" i="1"/>
  <c r="G1613" i="1"/>
  <c r="H1613" i="1"/>
  <c r="I1613" i="1"/>
  <c r="J1613" i="1"/>
  <c r="K1613" i="1"/>
  <c r="M1613" i="1"/>
  <c r="O1613" i="1"/>
  <c r="Q1613" i="1"/>
  <c r="R1613" i="1"/>
  <c r="W1613" i="1"/>
  <c r="AA1613" i="1"/>
  <c r="AB1613" i="1"/>
  <c r="AE1613" i="1"/>
  <c r="AF1613" i="1"/>
  <c r="AM1613" i="1"/>
  <c r="AN1613" i="1"/>
  <c r="AO1613" i="1"/>
  <c r="AQ1613" i="1"/>
  <c r="AX1613" i="1"/>
  <c r="BD1613" i="1"/>
  <c r="B1614" i="1"/>
  <c r="C1614" i="1"/>
  <c r="E1614" i="1"/>
  <c r="F1614" i="1"/>
  <c r="G1614" i="1"/>
  <c r="H1614" i="1"/>
  <c r="I1614" i="1"/>
  <c r="J1614" i="1"/>
  <c r="K1614" i="1"/>
  <c r="M1614" i="1"/>
  <c r="O1614" i="1"/>
  <c r="Q1614" i="1"/>
  <c r="R1614" i="1"/>
  <c r="W1614" i="1"/>
  <c r="AA1614" i="1"/>
  <c r="AB1614" i="1"/>
  <c r="AE1614" i="1"/>
  <c r="AF1614" i="1"/>
  <c r="AM1614" i="1"/>
  <c r="AN1614" i="1"/>
  <c r="AO1614" i="1"/>
  <c r="AQ1614" i="1"/>
  <c r="AX1614" i="1"/>
  <c r="BD1614" i="1"/>
  <c r="B1615" i="1"/>
  <c r="C1615" i="1"/>
  <c r="E1615" i="1"/>
  <c r="F1615" i="1"/>
  <c r="G1615" i="1"/>
  <c r="H1615" i="1"/>
  <c r="I1615" i="1"/>
  <c r="J1615" i="1"/>
  <c r="K1615" i="1"/>
  <c r="M1615" i="1"/>
  <c r="O1615" i="1"/>
  <c r="Q1615" i="1"/>
  <c r="R1615" i="1"/>
  <c r="W1615" i="1"/>
  <c r="AA1615" i="1"/>
  <c r="AB1615" i="1"/>
  <c r="AE1615" i="1"/>
  <c r="AF1615" i="1"/>
  <c r="AM1615" i="1"/>
  <c r="AN1615" i="1"/>
  <c r="AO1615" i="1"/>
  <c r="AQ1615" i="1"/>
  <c r="AX1615" i="1"/>
  <c r="BD1615" i="1"/>
  <c r="B1616" i="1"/>
  <c r="C1616" i="1"/>
  <c r="D1616" i="1"/>
  <c r="E1616" i="1"/>
  <c r="F1616" i="1"/>
  <c r="G1616" i="1"/>
  <c r="H1616" i="1"/>
  <c r="I1616" i="1"/>
  <c r="J1616" i="1"/>
  <c r="K1616" i="1"/>
  <c r="M1616" i="1"/>
  <c r="O1616" i="1"/>
  <c r="Q1616" i="1"/>
  <c r="R1616" i="1"/>
  <c r="W1616" i="1"/>
  <c r="AA1616" i="1"/>
  <c r="AB1616" i="1"/>
  <c r="AE1616" i="1"/>
  <c r="AF1616" i="1"/>
  <c r="AM1616" i="1"/>
  <c r="AN1616" i="1"/>
  <c r="AO1616" i="1"/>
  <c r="AQ1616" i="1"/>
  <c r="AX1616" i="1"/>
  <c r="BD1616" i="1"/>
  <c r="B1617" i="1"/>
  <c r="C1617" i="1"/>
  <c r="D1617" i="1"/>
  <c r="E1617" i="1"/>
  <c r="F1617" i="1"/>
  <c r="G1617" i="1"/>
  <c r="H1617" i="1"/>
  <c r="I1617" i="1"/>
  <c r="J1617" i="1"/>
  <c r="K1617" i="1"/>
  <c r="M1617" i="1"/>
  <c r="O1617" i="1"/>
  <c r="Q1617" i="1"/>
  <c r="R1617" i="1"/>
  <c r="W1617" i="1"/>
  <c r="AA1617" i="1"/>
  <c r="AB1617" i="1"/>
  <c r="AE1617" i="1"/>
  <c r="AF1617" i="1"/>
  <c r="AM1617" i="1"/>
  <c r="AN1617" i="1"/>
  <c r="AO1617" i="1"/>
  <c r="AQ1617" i="1"/>
  <c r="AX1617" i="1"/>
  <c r="BD1617" i="1"/>
  <c r="B1618" i="1"/>
  <c r="C1618" i="1"/>
  <c r="D1618" i="1"/>
  <c r="E1618" i="1"/>
  <c r="F1618" i="1"/>
  <c r="G1618" i="1"/>
  <c r="H1618" i="1"/>
  <c r="I1618" i="1"/>
  <c r="J1618" i="1"/>
  <c r="K1618" i="1"/>
  <c r="M1618" i="1"/>
  <c r="O1618" i="1"/>
  <c r="Q1618" i="1"/>
  <c r="R1618" i="1"/>
  <c r="W1618" i="1"/>
  <c r="AA1618" i="1"/>
  <c r="AB1618" i="1"/>
  <c r="AE1618" i="1"/>
  <c r="AF1618" i="1"/>
  <c r="AM1618" i="1"/>
  <c r="AN1618" i="1"/>
  <c r="AO1618" i="1"/>
  <c r="AQ1618" i="1"/>
  <c r="AX1618" i="1"/>
  <c r="BD1618" i="1"/>
  <c r="B1619" i="1"/>
  <c r="C1619" i="1"/>
  <c r="D1619" i="1"/>
  <c r="E1619" i="1"/>
  <c r="F1619" i="1"/>
  <c r="G1619" i="1"/>
  <c r="H1619" i="1"/>
  <c r="I1619" i="1"/>
  <c r="J1619" i="1"/>
  <c r="K1619" i="1"/>
  <c r="M1619" i="1"/>
  <c r="O1619" i="1"/>
  <c r="Q1619" i="1"/>
  <c r="R1619" i="1"/>
  <c r="W1619" i="1"/>
  <c r="AA1619" i="1"/>
  <c r="AB1619" i="1"/>
  <c r="AE1619" i="1"/>
  <c r="AF1619" i="1"/>
  <c r="AM1619" i="1"/>
  <c r="AN1619" i="1"/>
  <c r="AO1619" i="1"/>
  <c r="AQ1619" i="1"/>
  <c r="AX1619" i="1"/>
  <c r="BD1619" i="1"/>
  <c r="B1620" i="1"/>
  <c r="C1620" i="1"/>
  <c r="E1620" i="1"/>
  <c r="F1620" i="1"/>
  <c r="G1620" i="1"/>
  <c r="H1620" i="1"/>
  <c r="I1620" i="1"/>
  <c r="J1620" i="1"/>
  <c r="K1620" i="1"/>
  <c r="M1620" i="1"/>
  <c r="O1620" i="1"/>
  <c r="Q1620" i="1"/>
  <c r="R1620" i="1"/>
  <c r="W1620" i="1"/>
  <c r="AA1620" i="1"/>
  <c r="AB1620" i="1"/>
  <c r="AE1620" i="1"/>
  <c r="AF1620" i="1"/>
  <c r="AM1620" i="1"/>
  <c r="AN1620" i="1"/>
  <c r="AO1620" i="1"/>
  <c r="AQ1620" i="1"/>
  <c r="AX1620" i="1"/>
  <c r="BD1620" i="1"/>
  <c r="B1621" i="1"/>
  <c r="C1621" i="1"/>
  <c r="E1621" i="1"/>
  <c r="F1621" i="1"/>
  <c r="G1621" i="1"/>
  <c r="H1621" i="1"/>
  <c r="I1621" i="1"/>
  <c r="J1621" i="1"/>
  <c r="K1621" i="1"/>
  <c r="M1621" i="1"/>
  <c r="O1621" i="1"/>
  <c r="Q1621" i="1"/>
  <c r="R1621" i="1"/>
  <c r="W1621" i="1"/>
  <c r="AA1621" i="1"/>
  <c r="AB1621" i="1"/>
  <c r="AE1621" i="1"/>
  <c r="AF1621" i="1"/>
  <c r="AM1621" i="1"/>
  <c r="AN1621" i="1"/>
  <c r="AO1621" i="1"/>
  <c r="AQ1621" i="1"/>
  <c r="AX1621" i="1"/>
  <c r="BD1621" i="1"/>
  <c r="B1622" i="1"/>
  <c r="C1622" i="1"/>
  <c r="E1622" i="1"/>
  <c r="F1622" i="1"/>
  <c r="G1622" i="1"/>
  <c r="H1622" i="1"/>
  <c r="I1622" i="1"/>
  <c r="J1622" i="1"/>
  <c r="K1622" i="1"/>
  <c r="M1622" i="1"/>
  <c r="O1622" i="1"/>
  <c r="Q1622" i="1"/>
  <c r="R1622" i="1"/>
  <c r="W1622" i="1"/>
  <c r="AA1622" i="1"/>
  <c r="AB1622" i="1"/>
  <c r="AE1622" i="1"/>
  <c r="AF1622" i="1"/>
  <c r="AM1622" i="1"/>
  <c r="AN1622" i="1"/>
  <c r="AO1622" i="1"/>
  <c r="AQ1622" i="1"/>
  <c r="AX1622" i="1"/>
  <c r="BD1622" i="1"/>
  <c r="B1623" i="1"/>
  <c r="C1623" i="1"/>
  <c r="E1623" i="1"/>
  <c r="F1623" i="1"/>
  <c r="G1623" i="1"/>
  <c r="H1623" i="1"/>
  <c r="I1623" i="1"/>
  <c r="J1623" i="1"/>
  <c r="K1623" i="1"/>
  <c r="M1623" i="1"/>
  <c r="O1623" i="1"/>
  <c r="Q1623" i="1"/>
  <c r="R1623" i="1"/>
  <c r="W1623" i="1"/>
  <c r="AA1623" i="1"/>
  <c r="AB1623" i="1"/>
  <c r="AE1623" i="1"/>
  <c r="AF1623" i="1"/>
  <c r="AM1623" i="1"/>
  <c r="AN1623" i="1"/>
  <c r="AO1623" i="1"/>
  <c r="AQ1623" i="1"/>
  <c r="AX1623" i="1"/>
  <c r="BD1623" i="1"/>
  <c r="B1624" i="1"/>
  <c r="C1624" i="1"/>
  <c r="E1624" i="1"/>
  <c r="F1624" i="1"/>
  <c r="G1624" i="1"/>
  <c r="H1624" i="1"/>
  <c r="I1624" i="1"/>
  <c r="J1624" i="1"/>
  <c r="K1624" i="1"/>
  <c r="M1624" i="1"/>
  <c r="O1624" i="1"/>
  <c r="Q1624" i="1"/>
  <c r="R1624" i="1"/>
  <c r="W1624" i="1"/>
  <c r="AA1624" i="1"/>
  <c r="AB1624" i="1"/>
  <c r="AE1624" i="1"/>
  <c r="AF1624" i="1"/>
  <c r="AM1624" i="1"/>
  <c r="AN1624" i="1"/>
  <c r="AO1624" i="1"/>
  <c r="AQ1624" i="1"/>
  <c r="AX1624" i="1"/>
  <c r="BD1624" i="1"/>
  <c r="B1625" i="1"/>
  <c r="C1625" i="1"/>
  <c r="E1625" i="1"/>
  <c r="F1625" i="1"/>
  <c r="G1625" i="1"/>
  <c r="H1625" i="1"/>
  <c r="I1625" i="1"/>
  <c r="J1625" i="1"/>
  <c r="K1625" i="1"/>
  <c r="M1625" i="1"/>
  <c r="O1625" i="1"/>
  <c r="Q1625" i="1"/>
  <c r="R1625" i="1"/>
  <c r="W1625" i="1"/>
  <c r="AA1625" i="1"/>
  <c r="AB1625" i="1"/>
  <c r="AE1625" i="1"/>
  <c r="AF1625" i="1"/>
  <c r="AM1625" i="1"/>
  <c r="AN1625" i="1"/>
  <c r="AO1625" i="1"/>
  <c r="AQ1625" i="1"/>
  <c r="AX1625" i="1"/>
  <c r="BD1625" i="1"/>
  <c r="B1626" i="1"/>
  <c r="C1626" i="1"/>
  <c r="E1626" i="1"/>
  <c r="F1626" i="1"/>
  <c r="G1626" i="1"/>
  <c r="H1626" i="1"/>
  <c r="I1626" i="1"/>
  <c r="J1626" i="1"/>
  <c r="K1626" i="1"/>
  <c r="M1626" i="1"/>
  <c r="O1626" i="1"/>
  <c r="Q1626" i="1"/>
  <c r="R1626" i="1"/>
  <c r="W1626" i="1"/>
  <c r="AA1626" i="1"/>
  <c r="AB1626" i="1"/>
  <c r="AE1626" i="1"/>
  <c r="AF1626" i="1"/>
  <c r="AM1626" i="1"/>
  <c r="AN1626" i="1"/>
  <c r="AO1626" i="1"/>
  <c r="AQ1626" i="1"/>
  <c r="AX1626" i="1"/>
  <c r="BD1626" i="1"/>
  <c r="B1627" i="1"/>
  <c r="E1627" i="1"/>
  <c r="F1627" i="1"/>
  <c r="G1627" i="1"/>
  <c r="H1627" i="1"/>
  <c r="I1627" i="1"/>
  <c r="J1627" i="1"/>
  <c r="K1627" i="1"/>
  <c r="M1627" i="1"/>
  <c r="O1627" i="1"/>
  <c r="Q1627" i="1"/>
  <c r="R1627" i="1"/>
  <c r="W1627" i="1"/>
  <c r="AA1627" i="1"/>
  <c r="AB1627" i="1"/>
  <c r="AM1627" i="1"/>
  <c r="AN1627" i="1"/>
  <c r="AO1627" i="1"/>
  <c r="AQ1627" i="1"/>
  <c r="AX1627" i="1"/>
  <c r="BD1627" i="1"/>
  <c r="B1628" i="1"/>
  <c r="E1628" i="1"/>
  <c r="F1628" i="1"/>
  <c r="G1628" i="1"/>
  <c r="H1628" i="1"/>
  <c r="I1628" i="1"/>
  <c r="J1628" i="1"/>
  <c r="K1628" i="1"/>
  <c r="M1628" i="1"/>
  <c r="O1628" i="1"/>
  <c r="Q1628" i="1"/>
  <c r="R1628" i="1"/>
  <c r="W1628" i="1"/>
  <c r="AA1628" i="1"/>
  <c r="AM1628" i="1"/>
  <c r="AN1628" i="1"/>
  <c r="AO1628" i="1"/>
  <c r="AQ1628" i="1"/>
  <c r="BB1628" i="1"/>
  <c r="BD1628" i="1"/>
  <c r="B1629" i="1"/>
  <c r="E1629" i="1"/>
  <c r="F1629" i="1"/>
  <c r="G1629" i="1"/>
  <c r="H1629" i="1"/>
  <c r="I1629" i="1"/>
  <c r="J1629" i="1"/>
  <c r="K1629" i="1"/>
  <c r="M1629" i="1"/>
  <c r="O1629" i="1"/>
  <c r="Q1629" i="1"/>
  <c r="R1629" i="1"/>
  <c r="W1629" i="1"/>
  <c r="AA1629" i="1"/>
  <c r="AM1629" i="1"/>
  <c r="AN1629" i="1"/>
  <c r="AO1629" i="1"/>
  <c r="AQ1629" i="1"/>
  <c r="BB1629" i="1"/>
  <c r="BD1629" i="1"/>
  <c r="B1630" i="1"/>
  <c r="E1630" i="1"/>
  <c r="F1630" i="1"/>
  <c r="G1630" i="1"/>
  <c r="H1630" i="1"/>
  <c r="I1630" i="1"/>
  <c r="J1630" i="1"/>
  <c r="K1630" i="1"/>
  <c r="M1630" i="1"/>
  <c r="O1630" i="1"/>
  <c r="Q1630" i="1"/>
  <c r="R1630" i="1"/>
  <c r="W1630" i="1"/>
  <c r="AA1630" i="1"/>
  <c r="AM1630" i="1"/>
  <c r="AN1630" i="1"/>
  <c r="AO1630" i="1"/>
  <c r="AQ1630" i="1"/>
  <c r="BB1630" i="1"/>
  <c r="BD1630" i="1"/>
  <c r="B1631" i="1"/>
  <c r="E1631" i="1"/>
  <c r="F1631" i="1"/>
  <c r="G1631" i="1"/>
  <c r="H1631" i="1"/>
  <c r="I1631" i="1"/>
  <c r="J1631" i="1"/>
  <c r="K1631" i="1"/>
  <c r="M1631" i="1"/>
  <c r="O1631" i="1"/>
  <c r="Q1631" i="1"/>
  <c r="R1631" i="1"/>
  <c r="W1631" i="1"/>
  <c r="AA1631" i="1"/>
  <c r="AM1631" i="1"/>
  <c r="AN1631" i="1"/>
  <c r="AO1631" i="1"/>
  <c r="AQ1631" i="1"/>
  <c r="BB1631" i="1"/>
  <c r="BD1631" i="1"/>
  <c r="B1632" i="1"/>
  <c r="E1632" i="1"/>
  <c r="F1632" i="1"/>
  <c r="G1632" i="1"/>
  <c r="H1632" i="1"/>
  <c r="I1632" i="1"/>
  <c r="J1632" i="1"/>
  <c r="K1632" i="1"/>
  <c r="M1632" i="1"/>
  <c r="O1632" i="1"/>
  <c r="Q1632" i="1"/>
  <c r="R1632" i="1"/>
  <c r="W1632" i="1"/>
  <c r="AA1632" i="1"/>
  <c r="AB1632" i="1"/>
  <c r="AM1632" i="1"/>
  <c r="AN1632" i="1"/>
  <c r="AO1632" i="1"/>
  <c r="AQ1632" i="1"/>
  <c r="AX1632" i="1"/>
  <c r="BD1632" i="1"/>
  <c r="B1633" i="1"/>
  <c r="E1633" i="1"/>
  <c r="F1633" i="1"/>
  <c r="G1633" i="1"/>
  <c r="H1633" i="1"/>
  <c r="I1633" i="1"/>
  <c r="J1633" i="1"/>
  <c r="K1633" i="1"/>
  <c r="M1633" i="1"/>
  <c r="O1633" i="1"/>
  <c r="Q1633" i="1"/>
  <c r="R1633" i="1"/>
  <c r="W1633" i="1"/>
  <c r="AA1633" i="1"/>
  <c r="AB1633" i="1"/>
  <c r="AM1633" i="1"/>
  <c r="AN1633" i="1"/>
  <c r="AO1633" i="1"/>
  <c r="AQ1633" i="1"/>
  <c r="AX1633" i="1"/>
  <c r="BD1633" i="1"/>
  <c r="B1634" i="1"/>
  <c r="C1634" i="1"/>
  <c r="E1634" i="1"/>
  <c r="F1634" i="1"/>
  <c r="G1634" i="1"/>
  <c r="H1634" i="1"/>
  <c r="I1634" i="1"/>
  <c r="J1634" i="1"/>
  <c r="K1634" i="1"/>
  <c r="M1634" i="1"/>
  <c r="O1634" i="1"/>
  <c r="Q1634" i="1"/>
  <c r="R1634" i="1"/>
  <c r="W1634" i="1"/>
  <c r="AA1634" i="1"/>
  <c r="AM1634" i="1"/>
  <c r="AN1634" i="1"/>
  <c r="AO1634" i="1"/>
  <c r="AQ1634" i="1"/>
  <c r="BB1634" i="1"/>
  <c r="BD1634" i="1"/>
  <c r="B1635" i="1"/>
  <c r="C1635" i="1"/>
  <c r="E1635" i="1"/>
  <c r="F1635" i="1"/>
  <c r="G1635" i="1"/>
  <c r="H1635" i="1"/>
  <c r="I1635" i="1"/>
  <c r="J1635" i="1"/>
  <c r="K1635" i="1"/>
  <c r="M1635" i="1"/>
  <c r="O1635" i="1"/>
  <c r="Q1635" i="1"/>
  <c r="R1635" i="1"/>
  <c r="W1635" i="1"/>
  <c r="AA1635" i="1"/>
  <c r="AM1635" i="1"/>
  <c r="AN1635" i="1"/>
  <c r="AO1635" i="1"/>
  <c r="AQ1635" i="1"/>
  <c r="BB1635" i="1"/>
  <c r="BD1635" i="1"/>
  <c r="B1636" i="1"/>
  <c r="C1636" i="1"/>
  <c r="D1636" i="1"/>
  <c r="E1636" i="1"/>
  <c r="F1636" i="1"/>
  <c r="G1636" i="1"/>
  <c r="H1636" i="1"/>
  <c r="I1636" i="1"/>
  <c r="J1636" i="1"/>
  <c r="K1636" i="1"/>
  <c r="M1636" i="1"/>
  <c r="O1636" i="1"/>
  <c r="Q1636" i="1"/>
  <c r="R1636" i="1"/>
  <c r="W1636" i="1"/>
  <c r="AA1636" i="1"/>
  <c r="AB1636" i="1"/>
  <c r="AE1636" i="1"/>
  <c r="AF1636" i="1"/>
  <c r="AM1636" i="1"/>
  <c r="AN1636" i="1"/>
  <c r="AO1636" i="1"/>
  <c r="AQ1636" i="1"/>
  <c r="AX1636" i="1"/>
  <c r="BD1636" i="1"/>
  <c r="B1637" i="1"/>
  <c r="C1637" i="1"/>
  <c r="D1637" i="1"/>
  <c r="E1637" i="1"/>
  <c r="F1637" i="1"/>
  <c r="G1637" i="1"/>
  <c r="H1637" i="1"/>
  <c r="I1637" i="1"/>
  <c r="J1637" i="1"/>
  <c r="K1637" i="1"/>
  <c r="M1637" i="1"/>
  <c r="O1637" i="1"/>
  <c r="Q1637" i="1"/>
  <c r="R1637" i="1"/>
  <c r="W1637" i="1"/>
  <c r="AA1637" i="1"/>
  <c r="AB1637" i="1"/>
  <c r="AE1637" i="1"/>
  <c r="AF1637" i="1"/>
  <c r="AM1637" i="1"/>
  <c r="AN1637" i="1"/>
  <c r="AO1637" i="1"/>
  <c r="AQ1637" i="1"/>
  <c r="AX1637" i="1"/>
  <c r="BD1637" i="1"/>
  <c r="B1638" i="1"/>
  <c r="C1638" i="1"/>
  <c r="D1638" i="1"/>
  <c r="E1638" i="1"/>
  <c r="F1638" i="1"/>
  <c r="G1638" i="1"/>
  <c r="H1638" i="1"/>
  <c r="I1638" i="1"/>
  <c r="J1638" i="1"/>
  <c r="K1638" i="1"/>
  <c r="M1638" i="1"/>
  <c r="O1638" i="1"/>
  <c r="Q1638" i="1"/>
  <c r="R1638" i="1"/>
  <c r="W1638" i="1"/>
  <c r="AA1638" i="1"/>
  <c r="AB1638" i="1"/>
  <c r="AE1638" i="1"/>
  <c r="AF1638" i="1"/>
  <c r="AM1638" i="1"/>
  <c r="AN1638" i="1"/>
  <c r="AO1638" i="1"/>
  <c r="AQ1638" i="1"/>
  <c r="AX1638" i="1"/>
  <c r="BD1638" i="1"/>
  <c r="B1639" i="1"/>
  <c r="C1639" i="1"/>
  <c r="D1639" i="1"/>
  <c r="E1639" i="1"/>
  <c r="F1639" i="1"/>
  <c r="G1639" i="1"/>
  <c r="H1639" i="1"/>
  <c r="I1639" i="1"/>
  <c r="J1639" i="1"/>
  <c r="K1639" i="1"/>
  <c r="M1639" i="1"/>
  <c r="O1639" i="1"/>
  <c r="Q1639" i="1"/>
  <c r="R1639" i="1"/>
  <c r="W1639" i="1"/>
  <c r="AA1639" i="1"/>
  <c r="AB1639" i="1"/>
  <c r="AE1639" i="1"/>
  <c r="AF1639" i="1"/>
  <c r="AM1639" i="1"/>
  <c r="AN1639" i="1"/>
  <c r="AO1639" i="1"/>
  <c r="AQ1639" i="1"/>
  <c r="AX1639" i="1"/>
  <c r="BD1639" i="1"/>
  <c r="B1640" i="1"/>
  <c r="C1640" i="1"/>
  <c r="D1640" i="1"/>
  <c r="E1640" i="1"/>
  <c r="F1640" i="1"/>
  <c r="G1640" i="1"/>
  <c r="H1640" i="1"/>
  <c r="I1640" i="1"/>
  <c r="J1640" i="1"/>
  <c r="K1640" i="1"/>
  <c r="M1640" i="1"/>
  <c r="O1640" i="1"/>
  <c r="Q1640" i="1"/>
  <c r="R1640" i="1"/>
  <c r="W1640" i="1"/>
  <c r="AA1640" i="1"/>
  <c r="AB1640" i="1"/>
  <c r="AE1640" i="1"/>
  <c r="AF1640" i="1"/>
  <c r="AM1640" i="1"/>
  <c r="AN1640" i="1"/>
  <c r="AO1640" i="1"/>
  <c r="AQ1640" i="1"/>
  <c r="AX1640" i="1"/>
  <c r="BD1640" i="1"/>
  <c r="B1641" i="1"/>
  <c r="C1641" i="1"/>
  <c r="D1641" i="1"/>
  <c r="E1641" i="1"/>
  <c r="F1641" i="1"/>
  <c r="G1641" i="1"/>
  <c r="H1641" i="1"/>
  <c r="I1641" i="1"/>
  <c r="J1641" i="1"/>
  <c r="K1641" i="1"/>
  <c r="M1641" i="1"/>
  <c r="O1641" i="1"/>
  <c r="Q1641" i="1"/>
  <c r="R1641" i="1"/>
  <c r="W1641" i="1"/>
  <c r="AA1641" i="1"/>
  <c r="AB1641" i="1"/>
  <c r="AE1641" i="1"/>
  <c r="AF1641" i="1"/>
  <c r="AM1641" i="1"/>
  <c r="AN1641" i="1"/>
  <c r="AO1641" i="1"/>
  <c r="AQ1641" i="1"/>
  <c r="AX1641" i="1"/>
  <c r="BD1641" i="1"/>
  <c r="B1642" i="1"/>
  <c r="E1642" i="1"/>
  <c r="F1642" i="1"/>
  <c r="G1642" i="1"/>
  <c r="H1642" i="1"/>
  <c r="I1642" i="1"/>
  <c r="J1642" i="1"/>
  <c r="K1642" i="1"/>
  <c r="M1642" i="1"/>
  <c r="O1642" i="1"/>
  <c r="Q1642" i="1"/>
  <c r="R1642" i="1"/>
  <c r="W1642" i="1"/>
  <c r="AA1642" i="1"/>
  <c r="AM1642" i="1"/>
  <c r="AN1642" i="1"/>
  <c r="AO1642" i="1"/>
  <c r="AQ1642" i="1"/>
  <c r="BB1642" i="1"/>
  <c r="BD1642" i="1"/>
  <c r="B1643" i="1"/>
  <c r="E1643" i="1"/>
  <c r="F1643" i="1"/>
  <c r="G1643" i="1"/>
  <c r="H1643" i="1"/>
  <c r="I1643" i="1"/>
  <c r="J1643" i="1"/>
  <c r="K1643" i="1"/>
  <c r="M1643" i="1"/>
  <c r="O1643" i="1"/>
  <c r="Q1643" i="1"/>
  <c r="R1643" i="1"/>
  <c r="W1643" i="1"/>
  <c r="AA1643" i="1"/>
  <c r="AM1643" i="1"/>
  <c r="AN1643" i="1"/>
  <c r="AO1643" i="1"/>
  <c r="AQ1643" i="1"/>
  <c r="BB1643" i="1"/>
  <c r="BD1643" i="1"/>
  <c r="B1644" i="1"/>
  <c r="E1644" i="1"/>
  <c r="F1644" i="1"/>
  <c r="G1644" i="1"/>
  <c r="H1644" i="1"/>
  <c r="I1644" i="1"/>
  <c r="J1644" i="1"/>
  <c r="K1644" i="1"/>
  <c r="M1644" i="1"/>
  <c r="O1644" i="1"/>
  <c r="Q1644" i="1"/>
  <c r="R1644" i="1"/>
  <c r="W1644" i="1"/>
  <c r="AA1644" i="1"/>
  <c r="AM1644" i="1"/>
  <c r="AN1644" i="1"/>
  <c r="AO1644" i="1"/>
  <c r="AQ1644" i="1"/>
  <c r="BD1644" i="1"/>
  <c r="B1645" i="1"/>
  <c r="E1645" i="1"/>
  <c r="F1645" i="1"/>
  <c r="G1645" i="1"/>
  <c r="H1645" i="1"/>
  <c r="I1645" i="1"/>
  <c r="J1645" i="1"/>
  <c r="K1645" i="1"/>
  <c r="M1645" i="1"/>
  <c r="O1645" i="1"/>
  <c r="Q1645" i="1"/>
  <c r="R1645" i="1"/>
  <c r="W1645" i="1"/>
  <c r="AA1645" i="1"/>
  <c r="AM1645" i="1"/>
  <c r="AN1645" i="1"/>
  <c r="AO1645" i="1"/>
  <c r="AQ1645" i="1"/>
  <c r="BB1645" i="1"/>
  <c r="BD1645" i="1"/>
  <c r="B1646" i="1"/>
  <c r="E1646" i="1"/>
  <c r="F1646" i="1"/>
  <c r="G1646" i="1"/>
  <c r="H1646" i="1"/>
  <c r="I1646" i="1"/>
  <c r="J1646" i="1"/>
  <c r="K1646" i="1"/>
  <c r="M1646" i="1"/>
  <c r="O1646" i="1"/>
  <c r="Q1646" i="1"/>
  <c r="R1646" i="1"/>
  <c r="W1646" i="1"/>
  <c r="AA1646" i="1"/>
  <c r="AM1646" i="1"/>
  <c r="AN1646" i="1"/>
  <c r="AO1646" i="1"/>
  <c r="AQ1646" i="1"/>
  <c r="BB1646" i="1"/>
  <c r="BD1646" i="1"/>
  <c r="B1647" i="1"/>
  <c r="C1647" i="1"/>
  <c r="E1647" i="1"/>
  <c r="F1647" i="1"/>
  <c r="G1647" i="1"/>
  <c r="H1647" i="1"/>
  <c r="I1647" i="1"/>
  <c r="J1647" i="1"/>
  <c r="K1647" i="1"/>
  <c r="M1647" i="1"/>
  <c r="O1647" i="1"/>
  <c r="Q1647" i="1"/>
  <c r="R1647" i="1"/>
  <c r="W1647" i="1"/>
  <c r="AA1647" i="1"/>
  <c r="AB1647" i="1"/>
  <c r="AE1647" i="1"/>
  <c r="AF1647" i="1"/>
  <c r="AM1647" i="1"/>
  <c r="AN1647" i="1"/>
  <c r="AO1647" i="1"/>
  <c r="AQ1647" i="1"/>
  <c r="AX1647" i="1"/>
  <c r="BD1647" i="1"/>
  <c r="B1648" i="1"/>
  <c r="C1648" i="1"/>
  <c r="E1648" i="1"/>
  <c r="F1648" i="1"/>
  <c r="G1648" i="1"/>
  <c r="H1648" i="1"/>
  <c r="I1648" i="1"/>
  <c r="J1648" i="1"/>
  <c r="K1648" i="1"/>
  <c r="M1648" i="1"/>
  <c r="O1648" i="1"/>
  <c r="Q1648" i="1"/>
  <c r="R1648" i="1"/>
  <c r="W1648" i="1"/>
  <c r="AA1648" i="1"/>
  <c r="AB1648" i="1"/>
  <c r="AE1648" i="1"/>
  <c r="AF1648" i="1"/>
  <c r="AM1648" i="1"/>
  <c r="AN1648" i="1"/>
  <c r="AO1648" i="1"/>
  <c r="AQ1648" i="1"/>
  <c r="AX1648" i="1"/>
  <c r="BD1648" i="1"/>
  <c r="B1649" i="1"/>
  <c r="C1649" i="1"/>
  <c r="E1649" i="1"/>
  <c r="F1649" i="1"/>
  <c r="G1649" i="1"/>
  <c r="H1649" i="1"/>
  <c r="I1649" i="1"/>
  <c r="J1649" i="1"/>
  <c r="K1649" i="1"/>
  <c r="M1649" i="1"/>
  <c r="O1649" i="1"/>
  <c r="Q1649" i="1"/>
  <c r="R1649" i="1"/>
  <c r="W1649" i="1"/>
  <c r="AA1649" i="1"/>
  <c r="AB1649" i="1"/>
  <c r="AE1649" i="1"/>
  <c r="AF1649" i="1"/>
  <c r="AM1649" i="1"/>
  <c r="AN1649" i="1"/>
  <c r="AO1649" i="1"/>
  <c r="AQ1649" i="1"/>
  <c r="AX1649" i="1"/>
  <c r="BD1649" i="1"/>
  <c r="B1650" i="1"/>
  <c r="C1650" i="1"/>
  <c r="E1650" i="1"/>
  <c r="F1650" i="1"/>
  <c r="G1650" i="1"/>
  <c r="H1650" i="1"/>
  <c r="I1650" i="1"/>
  <c r="J1650" i="1"/>
  <c r="K1650" i="1"/>
  <c r="M1650" i="1"/>
  <c r="O1650" i="1"/>
  <c r="Q1650" i="1"/>
  <c r="R1650" i="1"/>
  <c r="W1650" i="1"/>
  <c r="AA1650" i="1"/>
  <c r="AB1650" i="1"/>
  <c r="AE1650" i="1"/>
  <c r="AF1650" i="1"/>
  <c r="AM1650" i="1"/>
  <c r="AN1650" i="1"/>
  <c r="AO1650" i="1"/>
  <c r="AQ1650" i="1"/>
  <c r="AX1650" i="1"/>
  <c r="BD1650" i="1"/>
  <c r="B1651" i="1"/>
  <c r="C1651" i="1"/>
  <c r="E1651" i="1"/>
  <c r="F1651" i="1"/>
  <c r="G1651" i="1"/>
  <c r="H1651" i="1"/>
  <c r="I1651" i="1"/>
  <c r="J1651" i="1"/>
  <c r="K1651" i="1"/>
  <c r="M1651" i="1"/>
  <c r="O1651" i="1"/>
  <c r="Q1651" i="1"/>
  <c r="R1651" i="1"/>
  <c r="W1651" i="1"/>
  <c r="AA1651" i="1"/>
  <c r="AB1651" i="1"/>
  <c r="AE1651" i="1"/>
  <c r="AF1651" i="1"/>
  <c r="AM1651" i="1"/>
  <c r="AN1651" i="1"/>
  <c r="AO1651" i="1"/>
  <c r="AQ1651" i="1"/>
  <c r="AX1651" i="1"/>
  <c r="BD1651" i="1"/>
  <c r="B1652" i="1"/>
  <c r="C1652" i="1"/>
  <c r="E1652" i="1"/>
  <c r="F1652" i="1"/>
  <c r="G1652" i="1"/>
  <c r="H1652" i="1"/>
  <c r="I1652" i="1"/>
  <c r="J1652" i="1"/>
  <c r="K1652" i="1"/>
  <c r="M1652" i="1"/>
  <c r="O1652" i="1"/>
  <c r="Q1652" i="1"/>
  <c r="R1652" i="1"/>
  <c r="W1652" i="1"/>
  <c r="AA1652" i="1"/>
  <c r="AB1652" i="1"/>
  <c r="AE1652" i="1"/>
  <c r="AF1652" i="1"/>
  <c r="AM1652" i="1"/>
  <c r="AN1652" i="1"/>
  <c r="AO1652" i="1"/>
  <c r="AQ1652" i="1"/>
  <c r="AX1652" i="1"/>
  <c r="BD1652" i="1"/>
  <c r="B1653" i="1"/>
  <c r="C1653" i="1"/>
  <c r="E1653" i="1"/>
  <c r="F1653" i="1"/>
  <c r="G1653" i="1"/>
  <c r="H1653" i="1"/>
  <c r="I1653" i="1"/>
  <c r="J1653" i="1"/>
  <c r="K1653" i="1"/>
  <c r="M1653" i="1"/>
  <c r="O1653" i="1"/>
  <c r="Q1653" i="1"/>
  <c r="R1653" i="1"/>
  <c r="W1653" i="1"/>
  <c r="AA1653" i="1"/>
  <c r="AB1653" i="1"/>
  <c r="AE1653" i="1"/>
  <c r="AF1653" i="1"/>
  <c r="AM1653" i="1"/>
  <c r="AN1653" i="1"/>
  <c r="AO1653" i="1"/>
  <c r="AQ1653" i="1"/>
  <c r="AX1653" i="1"/>
  <c r="BD1653" i="1"/>
  <c r="B1654" i="1"/>
  <c r="E1654" i="1"/>
  <c r="F1654" i="1"/>
  <c r="G1654" i="1"/>
  <c r="H1654" i="1"/>
  <c r="I1654" i="1"/>
  <c r="J1654" i="1"/>
  <c r="K1654" i="1"/>
  <c r="M1654" i="1"/>
  <c r="O1654" i="1"/>
  <c r="Q1654" i="1"/>
  <c r="R1654" i="1"/>
  <c r="W1654" i="1"/>
  <c r="AA1654" i="1"/>
  <c r="AB1654" i="1"/>
  <c r="AM1654" i="1"/>
  <c r="AN1654" i="1"/>
  <c r="AO1654" i="1"/>
  <c r="AQ1654" i="1"/>
  <c r="AX1654" i="1"/>
  <c r="BD1654" i="1"/>
  <c r="B1655" i="1"/>
  <c r="C1655" i="1"/>
  <c r="E1655" i="1"/>
  <c r="F1655" i="1"/>
  <c r="G1655" i="1"/>
  <c r="H1655" i="1"/>
  <c r="I1655" i="1"/>
  <c r="J1655" i="1"/>
  <c r="K1655" i="1"/>
  <c r="M1655" i="1"/>
  <c r="O1655" i="1"/>
  <c r="Q1655" i="1"/>
  <c r="R1655" i="1"/>
  <c r="W1655" i="1"/>
  <c r="AA1655" i="1"/>
  <c r="AB1655" i="1"/>
  <c r="AE1655" i="1"/>
  <c r="AF1655" i="1"/>
  <c r="AM1655" i="1"/>
  <c r="AN1655" i="1"/>
  <c r="AO1655" i="1"/>
  <c r="AQ1655" i="1"/>
  <c r="AX1655" i="1"/>
  <c r="BD1655" i="1"/>
  <c r="B1656" i="1"/>
  <c r="C1656" i="1"/>
  <c r="E1656" i="1"/>
  <c r="F1656" i="1"/>
  <c r="G1656" i="1"/>
  <c r="H1656" i="1"/>
  <c r="I1656" i="1"/>
  <c r="J1656" i="1"/>
  <c r="K1656" i="1"/>
  <c r="M1656" i="1"/>
  <c r="O1656" i="1"/>
  <c r="Q1656" i="1"/>
  <c r="R1656" i="1"/>
  <c r="W1656" i="1"/>
  <c r="AA1656" i="1"/>
  <c r="AM1656" i="1"/>
  <c r="AN1656" i="1"/>
  <c r="AO1656" i="1"/>
  <c r="AQ1656" i="1"/>
  <c r="BB1656" i="1"/>
  <c r="BD1656" i="1"/>
  <c r="B1657" i="1"/>
  <c r="C1657" i="1"/>
  <c r="E1657" i="1"/>
  <c r="F1657" i="1"/>
  <c r="G1657" i="1"/>
  <c r="H1657" i="1"/>
  <c r="I1657" i="1"/>
  <c r="J1657" i="1"/>
  <c r="K1657" i="1"/>
  <c r="M1657" i="1"/>
  <c r="O1657" i="1"/>
  <c r="Q1657" i="1"/>
  <c r="R1657" i="1"/>
  <c r="W1657" i="1"/>
  <c r="AA1657" i="1"/>
  <c r="AM1657" i="1"/>
  <c r="AN1657" i="1"/>
  <c r="AO1657" i="1"/>
  <c r="AQ1657" i="1"/>
  <c r="BB1657" i="1"/>
  <c r="BD1657" i="1"/>
  <c r="B1658" i="1"/>
  <c r="C1658" i="1"/>
  <c r="E1658" i="1"/>
  <c r="F1658" i="1"/>
  <c r="G1658" i="1"/>
  <c r="H1658" i="1"/>
  <c r="I1658" i="1"/>
  <c r="J1658" i="1"/>
  <c r="K1658" i="1"/>
  <c r="M1658" i="1"/>
  <c r="O1658" i="1"/>
  <c r="Q1658" i="1"/>
  <c r="R1658" i="1"/>
  <c r="W1658" i="1"/>
  <c r="AA1658" i="1"/>
  <c r="AM1658" i="1"/>
  <c r="AN1658" i="1"/>
  <c r="AO1658" i="1"/>
  <c r="AQ1658" i="1"/>
  <c r="BB1658" i="1"/>
  <c r="BD1658" i="1"/>
  <c r="B1659" i="1"/>
  <c r="C1659" i="1"/>
  <c r="E1659" i="1"/>
  <c r="F1659" i="1"/>
  <c r="G1659" i="1"/>
  <c r="H1659" i="1"/>
  <c r="I1659" i="1"/>
  <c r="J1659" i="1"/>
  <c r="K1659" i="1"/>
  <c r="M1659" i="1"/>
  <c r="O1659" i="1"/>
  <c r="Q1659" i="1"/>
  <c r="R1659" i="1"/>
  <c r="W1659" i="1"/>
  <c r="AA1659" i="1"/>
  <c r="AM1659" i="1"/>
  <c r="AN1659" i="1"/>
  <c r="AO1659" i="1"/>
  <c r="AQ1659" i="1"/>
  <c r="BB1659" i="1"/>
  <c r="BD1659" i="1"/>
  <c r="B1660" i="1"/>
  <c r="C1660" i="1"/>
  <c r="E1660" i="1"/>
  <c r="F1660" i="1"/>
  <c r="G1660" i="1"/>
  <c r="H1660" i="1"/>
  <c r="I1660" i="1"/>
  <c r="J1660" i="1"/>
  <c r="K1660" i="1"/>
  <c r="M1660" i="1"/>
  <c r="O1660" i="1"/>
  <c r="Q1660" i="1"/>
  <c r="R1660" i="1"/>
  <c r="W1660" i="1"/>
  <c r="AA1660" i="1"/>
  <c r="AB1660" i="1"/>
  <c r="AE1660" i="1"/>
  <c r="AF1660" i="1"/>
  <c r="AM1660" i="1"/>
  <c r="AN1660" i="1"/>
  <c r="AO1660" i="1"/>
  <c r="AQ1660" i="1"/>
  <c r="AX1660" i="1"/>
  <c r="BD1660" i="1"/>
  <c r="B1661" i="1"/>
  <c r="C1661" i="1"/>
  <c r="E1661" i="1"/>
  <c r="F1661" i="1"/>
  <c r="G1661" i="1"/>
  <c r="H1661" i="1"/>
  <c r="I1661" i="1"/>
  <c r="J1661" i="1"/>
  <c r="K1661" i="1"/>
  <c r="M1661" i="1"/>
  <c r="O1661" i="1"/>
  <c r="Q1661" i="1"/>
  <c r="R1661" i="1"/>
  <c r="W1661" i="1"/>
  <c r="AA1661" i="1"/>
  <c r="AB1661" i="1"/>
  <c r="AE1661" i="1"/>
  <c r="AF1661" i="1"/>
  <c r="AM1661" i="1"/>
  <c r="AN1661" i="1"/>
  <c r="AO1661" i="1"/>
  <c r="AQ1661" i="1"/>
  <c r="AX1661" i="1"/>
  <c r="BD1661" i="1"/>
  <c r="B1662" i="1"/>
  <c r="C1662" i="1"/>
  <c r="E1662" i="1"/>
  <c r="F1662" i="1"/>
  <c r="G1662" i="1"/>
  <c r="H1662" i="1"/>
  <c r="I1662" i="1"/>
  <c r="J1662" i="1"/>
  <c r="K1662" i="1"/>
  <c r="M1662" i="1"/>
  <c r="O1662" i="1"/>
  <c r="Q1662" i="1"/>
  <c r="R1662" i="1"/>
  <c r="W1662" i="1"/>
  <c r="AA1662" i="1"/>
  <c r="AB1662" i="1"/>
  <c r="AE1662" i="1"/>
  <c r="AF1662" i="1"/>
  <c r="AM1662" i="1"/>
  <c r="AN1662" i="1"/>
  <c r="AO1662" i="1"/>
  <c r="AQ1662" i="1"/>
  <c r="AX1662" i="1"/>
  <c r="BD1662" i="1"/>
  <c r="B1663" i="1"/>
  <c r="C1663" i="1"/>
  <c r="E1663" i="1"/>
  <c r="F1663" i="1"/>
  <c r="G1663" i="1"/>
  <c r="H1663" i="1"/>
  <c r="I1663" i="1"/>
  <c r="J1663" i="1"/>
  <c r="K1663" i="1"/>
  <c r="M1663" i="1"/>
  <c r="O1663" i="1"/>
  <c r="Q1663" i="1"/>
  <c r="R1663" i="1"/>
  <c r="W1663" i="1"/>
  <c r="AA1663" i="1"/>
  <c r="AB1663" i="1"/>
  <c r="AE1663" i="1"/>
  <c r="AF1663" i="1"/>
  <c r="AM1663" i="1"/>
  <c r="AN1663" i="1"/>
  <c r="AO1663" i="1"/>
  <c r="AQ1663" i="1"/>
  <c r="AX1663" i="1"/>
  <c r="BD1663" i="1"/>
  <c r="B1664" i="1"/>
  <c r="C1664" i="1"/>
  <c r="E1664" i="1"/>
  <c r="F1664" i="1"/>
  <c r="G1664" i="1"/>
  <c r="H1664" i="1"/>
  <c r="I1664" i="1"/>
  <c r="J1664" i="1"/>
  <c r="K1664" i="1"/>
  <c r="M1664" i="1"/>
  <c r="O1664" i="1"/>
  <c r="Q1664" i="1"/>
  <c r="R1664" i="1"/>
  <c r="W1664" i="1"/>
  <c r="AA1664" i="1"/>
  <c r="AB1664" i="1"/>
  <c r="AE1664" i="1"/>
  <c r="AF1664" i="1"/>
  <c r="AM1664" i="1"/>
  <c r="AN1664" i="1"/>
  <c r="AO1664" i="1"/>
  <c r="AQ1664" i="1"/>
  <c r="AX1664" i="1"/>
  <c r="BD1664" i="1"/>
  <c r="B1665" i="1"/>
  <c r="C1665" i="1"/>
  <c r="E1665" i="1"/>
  <c r="F1665" i="1"/>
  <c r="G1665" i="1"/>
  <c r="H1665" i="1"/>
  <c r="I1665" i="1"/>
  <c r="J1665" i="1"/>
  <c r="K1665" i="1"/>
  <c r="M1665" i="1"/>
  <c r="O1665" i="1"/>
  <c r="Q1665" i="1"/>
  <c r="R1665" i="1"/>
  <c r="W1665" i="1"/>
  <c r="AA1665" i="1"/>
  <c r="AM1665" i="1"/>
  <c r="AN1665" i="1"/>
  <c r="AO1665" i="1"/>
  <c r="AQ1665" i="1"/>
  <c r="BB1665" i="1"/>
  <c r="BD1665" i="1"/>
  <c r="B1666" i="1"/>
  <c r="C1666" i="1"/>
  <c r="D1666" i="1"/>
  <c r="E1666" i="1"/>
  <c r="F1666" i="1"/>
  <c r="G1666" i="1"/>
  <c r="H1666" i="1"/>
  <c r="I1666" i="1"/>
  <c r="J1666" i="1"/>
  <c r="K1666" i="1"/>
  <c r="M1666" i="1"/>
  <c r="O1666" i="1"/>
  <c r="Q1666" i="1"/>
  <c r="R1666" i="1"/>
  <c r="W1666" i="1"/>
  <c r="AA1666" i="1"/>
  <c r="AB1666" i="1"/>
  <c r="AE1666" i="1"/>
  <c r="AF1666" i="1"/>
  <c r="AM1666" i="1"/>
  <c r="AN1666" i="1"/>
  <c r="AO1666" i="1"/>
  <c r="AQ1666" i="1"/>
  <c r="AX1666" i="1"/>
  <c r="BD1666" i="1"/>
  <c r="B1667" i="1"/>
  <c r="C1667" i="1"/>
  <c r="D1667" i="1"/>
  <c r="E1667" i="1"/>
  <c r="F1667" i="1"/>
  <c r="G1667" i="1"/>
  <c r="H1667" i="1"/>
  <c r="I1667" i="1"/>
  <c r="J1667" i="1"/>
  <c r="K1667" i="1"/>
  <c r="M1667" i="1"/>
  <c r="O1667" i="1"/>
  <c r="Q1667" i="1"/>
  <c r="R1667" i="1"/>
  <c r="W1667" i="1"/>
  <c r="AA1667" i="1"/>
  <c r="AB1667" i="1"/>
  <c r="AE1667" i="1"/>
  <c r="AF1667" i="1"/>
  <c r="AM1667" i="1"/>
  <c r="AN1667" i="1"/>
  <c r="AO1667" i="1"/>
  <c r="AQ1667" i="1"/>
  <c r="AX1667" i="1"/>
  <c r="BD1667" i="1"/>
  <c r="B1668" i="1"/>
  <c r="C1668" i="1"/>
  <c r="D1668" i="1"/>
  <c r="E1668" i="1"/>
  <c r="F1668" i="1"/>
  <c r="G1668" i="1"/>
  <c r="H1668" i="1"/>
  <c r="I1668" i="1"/>
  <c r="J1668" i="1"/>
  <c r="K1668" i="1"/>
  <c r="M1668" i="1"/>
  <c r="O1668" i="1"/>
  <c r="Q1668" i="1"/>
  <c r="R1668" i="1"/>
  <c r="W1668" i="1"/>
  <c r="AA1668" i="1"/>
  <c r="AB1668" i="1"/>
  <c r="AE1668" i="1"/>
  <c r="AF1668" i="1"/>
  <c r="AM1668" i="1"/>
  <c r="AN1668" i="1"/>
  <c r="AO1668" i="1"/>
  <c r="AQ1668" i="1"/>
  <c r="AX1668" i="1"/>
  <c r="BD1668" i="1"/>
  <c r="B1669" i="1"/>
  <c r="C1669" i="1"/>
  <c r="D1669" i="1"/>
  <c r="E1669" i="1"/>
  <c r="F1669" i="1"/>
  <c r="G1669" i="1"/>
  <c r="H1669" i="1"/>
  <c r="I1669" i="1"/>
  <c r="J1669" i="1"/>
  <c r="K1669" i="1"/>
  <c r="M1669" i="1"/>
  <c r="O1669" i="1"/>
  <c r="Q1669" i="1"/>
  <c r="R1669" i="1"/>
  <c r="W1669" i="1"/>
  <c r="AA1669" i="1"/>
  <c r="AB1669" i="1"/>
  <c r="AE1669" i="1"/>
  <c r="AF1669" i="1"/>
  <c r="AM1669" i="1"/>
  <c r="AN1669" i="1"/>
  <c r="AO1669" i="1"/>
  <c r="AQ1669" i="1"/>
  <c r="AX1669" i="1"/>
  <c r="BD1669" i="1"/>
  <c r="B1670" i="1"/>
  <c r="C1670" i="1"/>
  <c r="E1670" i="1"/>
  <c r="F1670" i="1"/>
  <c r="G1670" i="1"/>
  <c r="H1670" i="1"/>
  <c r="I1670" i="1"/>
  <c r="J1670" i="1"/>
  <c r="K1670" i="1"/>
  <c r="M1670" i="1"/>
  <c r="O1670" i="1"/>
  <c r="Q1670" i="1"/>
  <c r="R1670" i="1"/>
  <c r="W1670" i="1"/>
  <c r="AA1670" i="1"/>
  <c r="AB1670" i="1"/>
  <c r="AE1670" i="1"/>
  <c r="AF1670" i="1"/>
  <c r="AM1670" i="1"/>
  <c r="AN1670" i="1"/>
  <c r="AO1670" i="1"/>
  <c r="AQ1670" i="1"/>
  <c r="AX1670" i="1"/>
  <c r="BD1670" i="1"/>
  <c r="B1671" i="1"/>
  <c r="C1671" i="1"/>
  <c r="D1671" i="1"/>
  <c r="E1671" i="1"/>
  <c r="F1671" i="1"/>
  <c r="G1671" i="1"/>
  <c r="H1671" i="1"/>
  <c r="I1671" i="1"/>
  <c r="J1671" i="1"/>
  <c r="K1671" i="1"/>
  <c r="M1671" i="1"/>
  <c r="O1671" i="1"/>
  <c r="Q1671" i="1"/>
  <c r="R1671" i="1"/>
  <c r="W1671" i="1"/>
  <c r="AA1671" i="1"/>
  <c r="AB1671" i="1"/>
  <c r="AE1671" i="1"/>
  <c r="AF1671" i="1"/>
  <c r="AM1671" i="1"/>
  <c r="AN1671" i="1"/>
  <c r="AO1671" i="1"/>
  <c r="AQ1671" i="1"/>
  <c r="AX1671" i="1"/>
  <c r="BD1671" i="1"/>
  <c r="B1672" i="1"/>
  <c r="C1672" i="1"/>
  <c r="D1672" i="1"/>
  <c r="E1672" i="1"/>
  <c r="F1672" i="1"/>
  <c r="G1672" i="1"/>
  <c r="H1672" i="1"/>
  <c r="I1672" i="1"/>
  <c r="J1672" i="1"/>
  <c r="K1672" i="1"/>
  <c r="M1672" i="1"/>
  <c r="O1672" i="1"/>
  <c r="Q1672" i="1"/>
  <c r="R1672" i="1"/>
  <c r="W1672" i="1"/>
  <c r="AA1672" i="1"/>
  <c r="AB1672" i="1"/>
  <c r="AE1672" i="1"/>
  <c r="AF1672" i="1"/>
  <c r="AM1672" i="1"/>
  <c r="AN1672" i="1"/>
  <c r="AO1672" i="1"/>
  <c r="AQ1672" i="1"/>
  <c r="AX1672" i="1"/>
  <c r="BD1672" i="1"/>
  <c r="B1673" i="1"/>
  <c r="C1673" i="1"/>
  <c r="D1673" i="1"/>
  <c r="E1673" i="1"/>
  <c r="F1673" i="1"/>
  <c r="G1673" i="1"/>
  <c r="H1673" i="1"/>
  <c r="I1673" i="1"/>
  <c r="J1673" i="1"/>
  <c r="K1673" i="1"/>
  <c r="M1673" i="1"/>
  <c r="O1673" i="1"/>
  <c r="Q1673" i="1"/>
  <c r="R1673" i="1"/>
  <c r="W1673" i="1"/>
  <c r="AA1673" i="1"/>
  <c r="AB1673" i="1"/>
  <c r="AE1673" i="1"/>
  <c r="AF1673" i="1"/>
  <c r="AM1673" i="1"/>
  <c r="AN1673" i="1"/>
  <c r="AO1673" i="1"/>
  <c r="AQ1673" i="1"/>
  <c r="AX1673" i="1"/>
  <c r="BD1673" i="1"/>
  <c r="B1674" i="1"/>
  <c r="C1674" i="1"/>
  <c r="E1674" i="1"/>
  <c r="F1674" i="1"/>
  <c r="G1674" i="1"/>
  <c r="H1674" i="1"/>
  <c r="I1674" i="1"/>
  <c r="J1674" i="1"/>
  <c r="K1674" i="1"/>
  <c r="M1674" i="1"/>
  <c r="O1674" i="1"/>
  <c r="Q1674" i="1"/>
  <c r="R1674" i="1"/>
  <c r="W1674" i="1"/>
  <c r="AA1674" i="1"/>
  <c r="AB1674" i="1"/>
  <c r="AE1674" i="1"/>
  <c r="AF1674" i="1"/>
  <c r="AM1674" i="1"/>
  <c r="AN1674" i="1"/>
  <c r="AO1674" i="1"/>
  <c r="AQ1674" i="1"/>
  <c r="AX1674" i="1"/>
  <c r="BD1674" i="1"/>
  <c r="B1675" i="1"/>
  <c r="E1675" i="1"/>
  <c r="F1675" i="1"/>
  <c r="G1675" i="1"/>
  <c r="H1675" i="1"/>
  <c r="I1675" i="1"/>
  <c r="J1675" i="1"/>
  <c r="K1675" i="1"/>
  <c r="M1675" i="1"/>
  <c r="O1675" i="1"/>
  <c r="Q1675" i="1"/>
  <c r="R1675" i="1"/>
  <c r="W1675" i="1"/>
  <c r="AA1675" i="1"/>
  <c r="AB1675" i="1"/>
  <c r="AM1675" i="1"/>
  <c r="AN1675" i="1"/>
  <c r="AO1675" i="1"/>
  <c r="AQ1675" i="1"/>
  <c r="AX1675" i="1"/>
  <c r="BD1675" i="1"/>
  <c r="B1676" i="1"/>
  <c r="C1676" i="1"/>
  <c r="E1676" i="1"/>
  <c r="F1676" i="1"/>
  <c r="G1676" i="1"/>
  <c r="H1676" i="1"/>
  <c r="I1676" i="1"/>
  <c r="J1676" i="1"/>
  <c r="K1676" i="1"/>
  <c r="M1676" i="1"/>
  <c r="O1676" i="1"/>
  <c r="Q1676" i="1"/>
  <c r="R1676" i="1"/>
  <c r="W1676" i="1"/>
  <c r="AA1676" i="1"/>
  <c r="AM1676" i="1"/>
  <c r="AN1676" i="1"/>
  <c r="AO1676" i="1"/>
  <c r="AQ1676" i="1"/>
  <c r="BB1676" i="1"/>
  <c r="BD1676" i="1"/>
  <c r="B1677" i="1"/>
  <c r="C1677" i="1"/>
  <c r="E1677" i="1"/>
  <c r="F1677" i="1"/>
  <c r="G1677" i="1"/>
  <c r="H1677" i="1"/>
  <c r="I1677" i="1"/>
  <c r="J1677" i="1"/>
  <c r="K1677" i="1"/>
  <c r="M1677" i="1"/>
  <c r="O1677" i="1"/>
  <c r="Q1677" i="1"/>
  <c r="R1677" i="1"/>
  <c r="W1677" i="1"/>
  <c r="AA1677" i="1"/>
  <c r="AM1677" i="1"/>
  <c r="AN1677" i="1"/>
  <c r="AO1677" i="1"/>
  <c r="AQ1677" i="1"/>
  <c r="BB1677" i="1"/>
  <c r="BD1677" i="1"/>
  <c r="B1678" i="1"/>
  <c r="C1678" i="1"/>
  <c r="E1678" i="1"/>
  <c r="F1678" i="1"/>
  <c r="G1678" i="1"/>
  <c r="H1678" i="1"/>
  <c r="I1678" i="1"/>
  <c r="J1678" i="1"/>
  <c r="K1678" i="1"/>
  <c r="M1678" i="1"/>
  <c r="O1678" i="1"/>
  <c r="Q1678" i="1"/>
  <c r="R1678" i="1"/>
  <c r="W1678" i="1"/>
  <c r="AA1678" i="1"/>
  <c r="AM1678" i="1"/>
  <c r="AN1678" i="1"/>
  <c r="AO1678" i="1"/>
  <c r="AQ1678" i="1"/>
  <c r="BB1678" i="1"/>
  <c r="BD1678" i="1"/>
  <c r="B1679" i="1"/>
  <c r="E1679" i="1"/>
  <c r="F1679" i="1"/>
  <c r="G1679" i="1"/>
  <c r="H1679" i="1"/>
  <c r="I1679" i="1"/>
  <c r="J1679" i="1"/>
  <c r="K1679" i="1"/>
  <c r="M1679" i="1"/>
  <c r="O1679" i="1"/>
  <c r="Q1679" i="1"/>
  <c r="R1679" i="1"/>
  <c r="W1679" i="1"/>
  <c r="AA1679" i="1"/>
  <c r="AM1679" i="1"/>
  <c r="AN1679" i="1"/>
  <c r="AO1679" i="1"/>
  <c r="AQ1679" i="1"/>
  <c r="BB1679" i="1"/>
  <c r="BD1679" i="1"/>
  <c r="B1680" i="1"/>
  <c r="E1680" i="1"/>
  <c r="F1680" i="1"/>
  <c r="G1680" i="1"/>
  <c r="H1680" i="1"/>
  <c r="I1680" i="1"/>
  <c r="J1680" i="1"/>
  <c r="K1680" i="1"/>
  <c r="M1680" i="1"/>
  <c r="O1680" i="1"/>
  <c r="Q1680" i="1"/>
  <c r="R1680" i="1"/>
  <c r="W1680" i="1"/>
  <c r="AA1680" i="1"/>
  <c r="AM1680" i="1"/>
  <c r="AN1680" i="1"/>
  <c r="AO1680" i="1"/>
  <c r="AQ1680" i="1"/>
  <c r="BB1680" i="1"/>
  <c r="BD1680" i="1"/>
  <c r="B1681" i="1"/>
  <c r="E1681" i="1"/>
  <c r="F1681" i="1"/>
  <c r="G1681" i="1"/>
  <c r="H1681" i="1"/>
  <c r="I1681" i="1"/>
  <c r="J1681" i="1"/>
  <c r="K1681" i="1"/>
  <c r="M1681" i="1"/>
  <c r="O1681" i="1"/>
  <c r="Q1681" i="1"/>
  <c r="R1681" i="1"/>
  <c r="W1681" i="1"/>
  <c r="AA1681" i="1"/>
  <c r="AB1681" i="1"/>
  <c r="AE1681" i="1"/>
  <c r="AF1681" i="1"/>
  <c r="AM1681" i="1"/>
  <c r="AN1681" i="1"/>
  <c r="AO1681" i="1"/>
  <c r="AQ1681" i="1"/>
  <c r="AX1681" i="1"/>
  <c r="BD1681" i="1"/>
  <c r="B1682" i="1"/>
  <c r="E1682" i="1"/>
  <c r="F1682" i="1"/>
  <c r="G1682" i="1"/>
  <c r="H1682" i="1"/>
  <c r="I1682" i="1"/>
  <c r="J1682" i="1"/>
  <c r="K1682" i="1"/>
  <c r="M1682" i="1"/>
  <c r="O1682" i="1"/>
  <c r="Q1682" i="1"/>
  <c r="R1682" i="1"/>
  <c r="W1682" i="1"/>
  <c r="AA1682" i="1"/>
  <c r="AM1682" i="1"/>
  <c r="AN1682" i="1"/>
  <c r="AO1682" i="1"/>
  <c r="AQ1682" i="1"/>
  <c r="BB1682" i="1"/>
  <c r="BD1682" i="1"/>
  <c r="B1683" i="1"/>
  <c r="E1683" i="1"/>
  <c r="F1683" i="1"/>
  <c r="G1683" i="1"/>
  <c r="H1683" i="1"/>
  <c r="I1683" i="1"/>
  <c r="J1683" i="1"/>
  <c r="K1683" i="1"/>
  <c r="M1683" i="1"/>
  <c r="O1683" i="1"/>
  <c r="Q1683" i="1"/>
  <c r="R1683" i="1"/>
  <c r="W1683" i="1"/>
  <c r="AA1683" i="1"/>
  <c r="AM1683" i="1"/>
  <c r="AN1683" i="1"/>
  <c r="AO1683" i="1"/>
  <c r="AQ1683" i="1"/>
  <c r="BB1683" i="1"/>
  <c r="BD1683" i="1"/>
  <c r="B1684" i="1"/>
  <c r="E1684" i="1"/>
  <c r="F1684" i="1"/>
  <c r="G1684" i="1"/>
  <c r="H1684" i="1"/>
  <c r="I1684" i="1"/>
  <c r="J1684" i="1"/>
  <c r="K1684" i="1"/>
  <c r="M1684" i="1"/>
  <c r="O1684" i="1"/>
  <c r="Q1684" i="1"/>
  <c r="R1684" i="1"/>
  <c r="W1684" i="1"/>
  <c r="AA1684" i="1"/>
  <c r="AB1684" i="1"/>
  <c r="AE1684" i="1"/>
  <c r="AF1684" i="1"/>
  <c r="AM1684" i="1"/>
  <c r="AN1684" i="1"/>
  <c r="AO1684" i="1"/>
  <c r="AQ1684" i="1"/>
  <c r="AX1684" i="1"/>
  <c r="BD1684" i="1"/>
  <c r="B1685" i="1"/>
  <c r="C1685" i="1"/>
  <c r="D1685" i="1"/>
  <c r="E1685" i="1"/>
  <c r="F1685" i="1"/>
  <c r="G1685" i="1"/>
  <c r="H1685" i="1"/>
  <c r="I1685" i="1"/>
  <c r="J1685" i="1"/>
  <c r="K1685" i="1"/>
  <c r="M1685" i="1"/>
  <c r="O1685" i="1"/>
  <c r="Q1685" i="1"/>
  <c r="R1685" i="1"/>
  <c r="W1685" i="1"/>
  <c r="AA1685" i="1"/>
  <c r="AB1685" i="1"/>
  <c r="AE1685" i="1"/>
  <c r="AF1685" i="1"/>
  <c r="AM1685" i="1"/>
  <c r="AN1685" i="1"/>
  <c r="AO1685" i="1"/>
  <c r="AQ1685" i="1"/>
  <c r="AX1685" i="1"/>
  <c r="BD1685" i="1"/>
  <c r="B1686" i="1"/>
  <c r="C1686" i="1"/>
  <c r="D1686" i="1"/>
  <c r="E1686" i="1"/>
  <c r="F1686" i="1"/>
  <c r="G1686" i="1"/>
  <c r="H1686" i="1"/>
  <c r="I1686" i="1"/>
  <c r="J1686" i="1"/>
  <c r="K1686" i="1"/>
  <c r="M1686" i="1"/>
  <c r="O1686" i="1"/>
  <c r="Q1686" i="1"/>
  <c r="R1686" i="1"/>
  <c r="W1686" i="1"/>
  <c r="AA1686" i="1"/>
  <c r="AB1686" i="1"/>
  <c r="AE1686" i="1"/>
  <c r="AF1686" i="1"/>
  <c r="AM1686" i="1"/>
  <c r="AN1686" i="1"/>
  <c r="AO1686" i="1"/>
  <c r="AQ1686" i="1"/>
  <c r="AX1686" i="1"/>
  <c r="BD1686" i="1"/>
  <c r="B1687" i="1"/>
  <c r="C1687" i="1"/>
  <c r="E1687" i="1"/>
  <c r="F1687" i="1"/>
  <c r="G1687" i="1"/>
  <c r="H1687" i="1"/>
  <c r="I1687" i="1"/>
  <c r="J1687" i="1"/>
  <c r="K1687" i="1"/>
  <c r="M1687" i="1"/>
  <c r="O1687" i="1"/>
  <c r="Q1687" i="1"/>
  <c r="R1687" i="1"/>
  <c r="W1687" i="1"/>
  <c r="AA1687" i="1"/>
  <c r="AB1687" i="1"/>
  <c r="AE1687" i="1"/>
  <c r="AF1687" i="1"/>
  <c r="AM1687" i="1"/>
  <c r="AN1687" i="1"/>
  <c r="AO1687" i="1"/>
  <c r="AQ1687" i="1"/>
  <c r="AX1687" i="1"/>
  <c r="BD1687" i="1"/>
  <c r="B1688" i="1"/>
  <c r="C1688" i="1"/>
  <c r="E1688" i="1"/>
  <c r="F1688" i="1"/>
  <c r="G1688" i="1"/>
  <c r="H1688" i="1"/>
  <c r="I1688" i="1"/>
  <c r="J1688" i="1"/>
  <c r="K1688" i="1"/>
  <c r="M1688" i="1"/>
  <c r="O1688" i="1"/>
  <c r="Q1688" i="1"/>
  <c r="R1688" i="1"/>
  <c r="W1688" i="1"/>
  <c r="AA1688" i="1"/>
  <c r="AB1688" i="1"/>
  <c r="AE1688" i="1"/>
  <c r="AF1688" i="1"/>
  <c r="AM1688" i="1"/>
  <c r="AN1688" i="1"/>
  <c r="AO1688" i="1"/>
  <c r="AQ1688" i="1"/>
  <c r="AX1688" i="1"/>
  <c r="BD1688" i="1"/>
  <c r="B1689" i="1"/>
  <c r="C1689" i="1"/>
  <c r="D1689" i="1"/>
  <c r="E1689" i="1"/>
  <c r="F1689" i="1"/>
  <c r="G1689" i="1"/>
  <c r="H1689" i="1"/>
  <c r="I1689" i="1"/>
  <c r="J1689" i="1"/>
  <c r="K1689" i="1"/>
  <c r="M1689" i="1"/>
  <c r="O1689" i="1"/>
  <c r="Q1689" i="1"/>
  <c r="R1689" i="1"/>
  <c r="W1689" i="1"/>
  <c r="AA1689" i="1"/>
  <c r="AB1689" i="1"/>
  <c r="AE1689" i="1"/>
  <c r="AF1689" i="1"/>
  <c r="AM1689" i="1"/>
  <c r="AN1689" i="1"/>
  <c r="AO1689" i="1"/>
  <c r="AQ1689" i="1"/>
  <c r="AX1689" i="1"/>
  <c r="BD1689" i="1"/>
  <c r="B1690" i="1"/>
  <c r="C1690" i="1"/>
  <c r="D1690" i="1"/>
  <c r="E1690" i="1"/>
  <c r="F1690" i="1"/>
  <c r="G1690" i="1"/>
  <c r="H1690" i="1"/>
  <c r="I1690" i="1"/>
  <c r="J1690" i="1"/>
  <c r="K1690" i="1"/>
  <c r="M1690" i="1"/>
  <c r="O1690" i="1"/>
  <c r="Q1690" i="1"/>
  <c r="R1690" i="1"/>
  <c r="W1690" i="1"/>
  <c r="AA1690" i="1"/>
  <c r="AB1690" i="1"/>
  <c r="AE1690" i="1"/>
  <c r="AF1690" i="1"/>
  <c r="AM1690" i="1"/>
  <c r="AN1690" i="1"/>
  <c r="AO1690" i="1"/>
  <c r="AQ1690" i="1"/>
  <c r="AX1690" i="1"/>
  <c r="BD1690" i="1"/>
  <c r="B1691" i="1"/>
  <c r="C1691" i="1"/>
  <c r="D1691" i="1"/>
  <c r="E1691" i="1"/>
  <c r="F1691" i="1"/>
  <c r="G1691" i="1"/>
  <c r="H1691" i="1"/>
  <c r="I1691" i="1"/>
  <c r="J1691" i="1"/>
  <c r="K1691" i="1"/>
  <c r="M1691" i="1"/>
  <c r="O1691" i="1"/>
  <c r="Q1691" i="1"/>
  <c r="R1691" i="1"/>
  <c r="W1691" i="1"/>
  <c r="AA1691" i="1"/>
  <c r="AB1691" i="1"/>
  <c r="AE1691" i="1"/>
  <c r="AF1691" i="1"/>
  <c r="AM1691" i="1"/>
  <c r="AN1691" i="1"/>
  <c r="AO1691" i="1"/>
  <c r="AQ1691" i="1"/>
  <c r="AX1691" i="1"/>
  <c r="BD1691" i="1"/>
  <c r="B1692" i="1"/>
  <c r="E1692" i="1"/>
  <c r="F1692" i="1"/>
  <c r="G1692" i="1"/>
  <c r="H1692" i="1"/>
  <c r="I1692" i="1"/>
  <c r="J1692" i="1"/>
  <c r="K1692" i="1"/>
  <c r="M1692" i="1"/>
  <c r="O1692" i="1"/>
  <c r="Q1692" i="1"/>
  <c r="R1692" i="1"/>
  <c r="W1692" i="1"/>
  <c r="AA1692" i="1"/>
  <c r="AB1692" i="1"/>
  <c r="AE1692" i="1"/>
  <c r="AF1692" i="1"/>
  <c r="AM1692" i="1"/>
  <c r="AN1692" i="1"/>
  <c r="AO1692" i="1"/>
  <c r="AQ1692" i="1"/>
  <c r="AX1692" i="1"/>
  <c r="BD1692" i="1"/>
  <c r="B1693" i="1"/>
  <c r="C1693" i="1"/>
  <c r="D1693" i="1"/>
  <c r="E1693" i="1"/>
  <c r="F1693" i="1"/>
  <c r="G1693" i="1"/>
  <c r="H1693" i="1"/>
  <c r="I1693" i="1"/>
  <c r="J1693" i="1"/>
  <c r="K1693" i="1"/>
  <c r="M1693" i="1"/>
  <c r="O1693" i="1"/>
  <c r="Q1693" i="1"/>
  <c r="R1693" i="1"/>
  <c r="W1693" i="1"/>
  <c r="AA1693" i="1"/>
  <c r="AB1693" i="1"/>
  <c r="AE1693" i="1"/>
  <c r="AF1693" i="1"/>
  <c r="AM1693" i="1"/>
  <c r="AN1693" i="1"/>
  <c r="AO1693" i="1"/>
  <c r="AQ1693" i="1"/>
  <c r="AX1693" i="1"/>
  <c r="BD1693" i="1"/>
  <c r="B1694" i="1"/>
  <c r="C1694" i="1"/>
  <c r="E1694" i="1"/>
  <c r="F1694" i="1"/>
  <c r="G1694" i="1"/>
  <c r="H1694" i="1"/>
  <c r="I1694" i="1"/>
  <c r="J1694" i="1"/>
  <c r="K1694" i="1"/>
  <c r="M1694" i="1"/>
  <c r="O1694" i="1"/>
  <c r="Q1694" i="1"/>
  <c r="R1694" i="1"/>
  <c r="W1694" i="1"/>
  <c r="AA1694" i="1"/>
  <c r="AB1694" i="1"/>
  <c r="AE1694" i="1"/>
  <c r="AF1694" i="1"/>
  <c r="AM1694" i="1"/>
  <c r="AN1694" i="1"/>
  <c r="AO1694" i="1"/>
  <c r="AQ1694" i="1"/>
  <c r="AX1694" i="1"/>
  <c r="BD1694" i="1"/>
  <c r="B1695" i="1"/>
  <c r="C1695" i="1"/>
  <c r="E1695" i="1"/>
  <c r="F1695" i="1"/>
  <c r="G1695" i="1"/>
  <c r="H1695" i="1"/>
  <c r="I1695" i="1"/>
  <c r="J1695" i="1"/>
  <c r="K1695" i="1"/>
  <c r="M1695" i="1"/>
  <c r="O1695" i="1"/>
  <c r="Q1695" i="1"/>
  <c r="R1695" i="1"/>
  <c r="W1695" i="1"/>
  <c r="AA1695" i="1"/>
  <c r="AB1695" i="1"/>
  <c r="AE1695" i="1"/>
  <c r="AF1695" i="1"/>
  <c r="AM1695" i="1"/>
  <c r="AN1695" i="1"/>
  <c r="AO1695" i="1"/>
  <c r="AQ1695" i="1"/>
  <c r="AX1695" i="1"/>
  <c r="BD1695" i="1"/>
  <c r="B1696" i="1"/>
  <c r="C1696" i="1"/>
  <c r="E1696" i="1"/>
  <c r="F1696" i="1"/>
  <c r="G1696" i="1"/>
  <c r="H1696" i="1"/>
  <c r="I1696" i="1"/>
  <c r="J1696" i="1"/>
  <c r="K1696" i="1"/>
  <c r="M1696" i="1"/>
  <c r="O1696" i="1"/>
  <c r="Q1696" i="1"/>
  <c r="R1696" i="1"/>
  <c r="W1696" i="1"/>
  <c r="AA1696" i="1"/>
  <c r="AB1696" i="1"/>
  <c r="AE1696" i="1"/>
  <c r="AF1696" i="1"/>
  <c r="AM1696" i="1"/>
  <c r="AN1696" i="1"/>
  <c r="AO1696" i="1"/>
  <c r="AQ1696" i="1"/>
  <c r="AX1696" i="1"/>
  <c r="BD1696" i="1"/>
  <c r="B1697" i="1"/>
  <c r="C1697" i="1"/>
  <c r="E1697" i="1"/>
  <c r="F1697" i="1"/>
  <c r="G1697" i="1"/>
  <c r="H1697" i="1"/>
  <c r="I1697" i="1"/>
  <c r="J1697" i="1"/>
  <c r="K1697" i="1"/>
  <c r="M1697" i="1"/>
  <c r="O1697" i="1"/>
  <c r="Q1697" i="1"/>
  <c r="R1697" i="1"/>
  <c r="W1697" i="1"/>
  <c r="AA1697" i="1"/>
  <c r="AB1697" i="1"/>
  <c r="AE1697" i="1"/>
  <c r="AF1697" i="1"/>
  <c r="AM1697" i="1"/>
  <c r="AN1697" i="1"/>
  <c r="AO1697" i="1"/>
  <c r="AQ1697" i="1"/>
  <c r="AX1697" i="1"/>
  <c r="BD1697" i="1"/>
  <c r="B1698" i="1"/>
  <c r="C1698" i="1"/>
  <c r="D1698" i="1"/>
  <c r="E1698" i="1"/>
  <c r="F1698" i="1"/>
  <c r="G1698" i="1"/>
  <c r="H1698" i="1"/>
  <c r="I1698" i="1"/>
  <c r="J1698" i="1"/>
  <c r="K1698" i="1"/>
  <c r="M1698" i="1"/>
  <c r="O1698" i="1"/>
  <c r="Q1698" i="1"/>
  <c r="R1698" i="1"/>
  <c r="W1698" i="1"/>
  <c r="AA1698" i="1"/>
  <c r="AB1698" i="1"/>
  <c r="AE1698" i="1"/>
  <c r="AF1698" i="1"/>
  <c r="AM1698" i="1"/>
  <c r="AN1698" i="1"/>
  <c r="AO1698" i="1"/>
  <c r="AQ1698" i="1"/>
  <c r="AX1698" i="1"/>
  <c r="BD1698" i="1"/>
  <c r="B1699" i="1"/>
  <c r="C1699" i="1"/>
  <c r="D1699" i="1"/>
  <c r="E1699" i="1"/>
  <c r="F1699" i="1"/>
  <c r="G1699" i="1"/>
  <c r="H1699" i="1"/>
  <c r="I1699" i="1"/>
  <c r="J1699" i="1"/>
  <c r="K1699" i="1"/>
  <c r="M1699" i="1"/>
  <c r="O1699" i="1"/>
  <c r="Q1699" i="1"/>
  <c r="R1699" i="1"/>
  <c r="W1699" i="1"/>
  <c r="AA1699" i="1"/>
  <c r="AB1699" i="1"/>
  <c r="AE1699" i="1"/>
  <c r="AF1699" i="1"/>
  <c r="AM1699" i="1"/>
  <c r="AN1699" i="1"/>
  <c r="AO1699" i="1"/>
  <c r="AQ1699" i="1"/>
  <c r="AX1699" i="1"/>
  <c r="BD1699" i="1"/>
  <c r="B1700" i="1"/>
  <c r="C1700" i="1"/>
  <c r="D1700" i="1"/>
  <c r="E1700" i="1"/>
  <c r="F1700" i="1"/>
  <c r="G1700" i="1"/>
  <c r="H1700" i="1"/>
  <c r="I1700" i="1"/>
  <c r="J1700" i="1"/>
  <c r="K1700" i="1"/>
  <c r="M1700" i="1"/>
  <c r="O1700" i="1"/>
  <c r="Q1700" i="1"/>
  <c r="R1700" i="1"/>
  <c r="W1700" i="1"/>
  <c r="AA1700" i="1"/>
  <c r="AB1700" i="1"/>
  <c r="AE1700" i="1"/>
  <c r="AF1700" i="1"/>
  <c r="AM1700" i="1"/>
  <c r="AN1700" i="1"/>
  <c r="AO1700" i="1"/>
  <c r="AQ1700" i="1"/>
  <c r="AX1700" i="1"/>
  <c r="BD1700" i="1"/>
  <c r="B1701" i="1"/>
  <c r="C1701" i="1"/>
  <c r="D1701" i="1"/>
  <c r="E1701" i="1"/>
  <c r="F1701" i="1"/>
  <c r="G1701" i="1"/>
  <c r="H1701" i="1"/>
  <c r="I1701" i="1"/>
  <c r="J1701" i="1"/>
  <c r="K1701" i="1"/>
  <c r="M1701" i="1"/>
  <c r="O1701" i="1"/>
  <c r="Q1701" i="1"/>
  <c r="R1701" i="1"/>
  <c r="W1701" i="1"/>
  <c r="AA1701" i="1"/>
  <c r="AB1701" i="1"/>
  <c r="AE1701" i="1"/>
  <c r="AF1701" i="1"/>
  <c r="AM1701" i="1"/>
  <c r="AN1701" i="1"/>
  <c r="AO1701" i="1"/>
  <c r="AQ1701" i="1"/>
  <c r="AX1701" i="1"/>
  <c r="BD1701" i="1"/>
  <c r="B1702" i="1"/>
  <c r="C1702" i="1"/>
  <c r="D1702" i="1"/>
  <c r="E1702" i="1"/>
  <c r="F1702" i="1"/>
  <c r="G1702" i="1"/>
  <c r="H1702" i="1"/>
  <c r="I1702" i="1"/>
  <c r="J1702" i="1"/>
  <c r="K1702" i="1"/>
  <c r="M1702" i="1"/>
  <c r="O1702" i="1"/>
  <c r="Q1702" i="1"/>
  <c r="R1702" i="1"/>
  <c r="W1702" i="1"/>
  <c r="AA1702" i="1"/>
  <c r="AB1702" i="1"/>
  <c r="AE1702" i="1"/>
  <c r="AF1702" i="1"/>
  <c r="AM1702" i="1"/>
  <c r="AN1702" i="1"/>
  <c r="AO1702" i="1"/>
  <c r="AQ1702" i="1"/>
  <c r="AX1702" i="1"/>
  <c r="BD1702" i="1"/>
  <c r="B1703" i="1"/>
  <c r="C1703" i="1"/>
  <c r="E1703" i="1"/>
  <c r="F1703" i="1"/>
  <c r="G1703" i="1"/>
  <c r="H1703" i="1"/>
  <c r="I1703" i="1"/>
  <c r="J1703" i="1"/>
  <c r="K1703" i="1"/>
  <c r="M1703" i="1"/>
  <c r="O1703" i="1"/>
  <c r="Q1703" i="1"/>
  <c r="R1703" i="1"/>
  <c r="W1703" i="1"/>
  <c r="AA1703" i="1"/>
  <c r="AB1703" i="1"/>
  <c r="AE1703" i="1"/>
  <c r="AF1703" i="1"/>
  <c r="AM1703" i="1"/>
  <c r="AN1703" i="1"/>
  <c r="AO1703" i="1"/>
  <c r="AQ1703" i="1"/>
  <c r="AX1703" i="1"/>
  <c r="BD1703" i="1"/>
  <c r="B1704" i="1"/>
  <c r="C1704" i="1"/>
  <c r="E1704" i="1"/>
  <c r="F1704" i="1"/>
  <c r="G1704" i="1"/>
  <c r="H1704" i="1"/>
  <c r="I1704" i="1"/>
  <c r="J1704" i="1"/>
  <c r="K1704" i="1"/>
  <c r="M1704" i="1"/>
  <c r="O1704" i="1"/>
  <c r="Q1704" i="1"/>
  <c r="R1704" i="1"/>
  <c r="W1704" i="1"/>
  <c r="AA1704" i="1"/>
  <c r="AB1704" i="1"/>
  <c r="AE1704" i="1"/>
  <c r="AF1704" i="1"/>
  <c r="AM1704" i="1"/>
  <c r="AN1704" i="1"/>
  <c r="AO1704" i="1"/>
  <c r="AQ1704" i="1"/>
  <c r="AX1704" i="1"/>
  <c r="BD1704" i="1"/>
  <c r="B1705" i="1"/>
  <c r="C1705" i="1"/>
  <c r="D1705" i="1"/>
  <c r="E1705" i="1"/>
  <c r="F1705" i="1"/>
  <c r="G1705" i="1"/>
  <c r="H1705" i="1"/>
  <c r="I1705" i="1"/>
  <c r="J1705" i="1"/>
  <c r="K1705" i="1"/>
  <c r="M1705" i="1"/>
  <c r="O1705" i="1"/>
  <c r="Q1705" i="1"/>
  <c r="R1705" i="1"/>
  <c r="W1705" i="1"/>
  <c r="AA1705" i="1"/>
  <c r="AB1705" i="1"/>
  <c r="AE1705" i="1"/>
  <c r="AF1705" i="1"/>
  <c r="AM1705" i="1"/>
  <c r="AN1705" i="1"/>
  <c r="AO1705" i="1"/>
  <c r="AQ1705" i="1"/>
  <c r="AX1705" i="1"/>
  <c r="BD1705" i="1"/>
  <c r="B1706" i="1"/>
  <c r="C1706" i="1"/>
  <c r="E1706" i="1"/>
  <c r="F1706" i="1"/>
  <c r="G1706" i="1"/>
  <c r="H1706" i="1"/>
  <c r="I1706" i="1"/>
  <c r="J1706" i="1"/>
  <c r="K1706" i="1"/>
  <c r="M1706" i="1"/>
  <c r="O1706" i="1"/>
  <c r="Q1706" i="1"/>
  <c r="R1706" i="1"/>
  <c r="W1706" i="1"/>
  <c r="AA1706" i="1"/>
  <c r="AB1706" i="1"/>
  <c r="AE1706" i="1"/>
  <c r="AF1706" i="1"/>
  <c r="AM1706" i="1"/>
  <c r="AN1706" i="1"/>
  <c r="AO1706" i="1"/>
  <c r="AQ1706" i="1"/>
  <c r="AX1706" i="1"/>
  <c r="BD1706" i="1"/>
  <c r="B1707" i="1"/>
  <c r="C1707" i="1"/>
  <c r="E1707" i="1"/>
  <c r="F1707" i="1"/>
  <c r="G1707" i="1"/>
  <c r="H1707" i="1"/>
  <c r="I1707" i="1"/>
  <c r="J1707" i="1"/>
  <c r="K1707" i="1"/>
  <c r="M1707" i="1"/>
  <c r="O1707" i="1"/>
  <c r="Q1707" i="1"/>
  <c r="R1707" i="1"/>
  <c r="W1707" i="1"/>
  <c r="AA1707" i="1"/>
  <c r="AM1707" i="1"/>
  <c r="AN1707" i="1"/>
  <c r="AO1707" i="1"/>
  <c r="AQ1707" i="1"/>
  <c r="BB1707" i="1"/>
  <c r="BD1707" i="1"/>
  <c r="B1708" i="1"/>
  <c r="C1708" i="1"/>
  <c r="E1708" i="1"/>
  <c r="F1708" i="1"/>
  <c r="G1708" i="1"/>
  <c r="H1708" i="1"/>
  <c r="I1708" i="1"/>
  <c r="J1708" i="1"/>
  <c r="K1708" i="1"/>
  <c r="M1708" i="1"/>
  <c r="O1708" i="1"/>
  <c r="Q1708" i="1"/>
  <c r="R1708" i="1"/>
  <c r="W1708" i="1"/>
  <c r="AA1708" i="1"/>
  <c r="AM1708" i="1"/>
  <c r="AN1708" i="1"/>
  <c r="AO1708" i="1"/>
  <c r="AQ1708" i="1"/>
  <c r="BB1708" i="1"/>
  <c r="BD1708" i="1"/>
  <c r="B1709" i="1"/>
  <c r="C1709" i="1"/>
  <c r="E1709" i="1"/>
  <c r="F1709" i="1"/>
  <c r="G1709" i="1"/>
  <c r="H1709" i="1"/>
  <c r="I1709" i="1"/>
  <c r="J1709" i="1"/>
  <c r="K1709" i="1"/>
  <c r="M1709" i="1"/>
  <c r="O1709" i="1"/>
  <c r="Q1709" i="1"/>
  <c r="R1709" i="1"/>
  <c r="W1709" i="1"/>
  <c r="AA1709" i="1"/>
  <c r="AM1709" i="1"/>
  <c r="AN1709" i="1"/>
  <c r="AO1709" i="1"/>
  <c r="AQ1709" i="1"/>
  <c r="BB1709" i="1"/>
  <c r="BD1709" i="1"/>
  <c r="B1710" i="1"/>
  <c r="C1710" i="1"/>
  <c r="E1710" i="1"/>
  <c r="F1710" i="1"/>
  <c r="G1710" i="1"/>
  <c r="H1710" i="1"/>
  <c r="I1710" i="1"/>
  <c r="J1710" i="1"/>
  <c r="K1710" i="1"/>
  <c r="M1710" i="1"/>
  <c r="O1710" i="1"/>
  <c r="Q1710" i="1"/>
  <c r="R1710" i="1"/>
  <c r="W1710" i="1"/>
  <c r="AA1710" i="1"/>
  <c r="AM1710" i="1"/>
  <c r="AN1710" i="1"/>
  <c r="AO1710" i="1"/>
  <c r="AQ1710" i="1"/>
  <c r="BB1710" i="1"/>
  <c r="BD1710" i="1"/>
  <c r="B1711" i="1"/>
  <c r="E1711" i="1"/>
  <c r="F1711" i="1"/>
  <c r="G1711" i="1"/>
  <c r="H1711" i="1"/>
  <c r="I1711" i="1"/>
  <c r="J1711" i="1"/>
  <c r="K1711" i="1"/>
  <c r="M1711" i="1"/>
  <c r="O1711" i="1"/>
  <c r="Q1711" i="1"/>
  <c r="R1711" i="1"/>
  <c r="W1711" i="1"/>
  <c r="AA1711" i="1"/>
  <c r="AM1711" i="1"/>
  <c r="AN1711" i="1"/>
  <c r="AO1711" i="1"/>
  <c r="AQ1711" i="1"/>
  <c r="BB1711" i="1"/>
  <c r="BD1711" i="1"/>
  <c r="B1712" i="1"/>
  <c r="E1712" i="1"/>
  <c r="F1712" i="1"/>
  <c r="G1712" i="1"/>
  <c r="H1712" i="1"/>
  <c r="I1712" i="1"/>
  <c r="J1712" i="1"/>
  <c r="K1712" i="1"/>
  <c r="M1712" i="1"/>
  <c r="O1712" i="1"/>
  <c r="Q1712" i="1"/>
  <c r="R1712" i="1"/>
  <c r="W1712" i="1"/>
  <c r="AA1712" i="1"/>
  <c r="AM1712" i="1"/>
  <c r="AN1712" i="1"/>
  <c r="AO1712" i="1"/>
  <c r="AQ1712" i="1"/>
  <c r="BB1712" i="1"/>
  <c r="BD1712" i="1"/>
  <c r="B1713" i="1"/>
  <c r="C1713" i="1"/>
  <c r="D1713" i="1"/>
  <c r="E1713" i="1"/>
  <c r="F1713" i="1"/>
  <c r="G1713" i="1"/>
  <c r="H1713" i="1"/>
  <c r="I1713" i="1"/>
  <c r="J1713" i="1"/>
  <c r="K1713" i="1"/>
  <c r="M1713" i="1"/>
  <c r="O1713" i="1"/>
  <c r="Q1713" i="1"/>
  <c r="R1713" i="1"/>
  <c r="W1713" i="1"/>
  <c r="AA1713" i="1"/>
  <c r="AB1713" i="1"/>
  <c r="AE1713" i="1"/>
  <c r="AF1713" i="1"/>
  <c r="AM1713" i="1"/>
  <c r="AN1713" i="1"/>
  <c r="AO1713" i="1"/>
  <c r="AQ1713" i="1"/>
  <c r="AX1713" i="1"/>
  <c r="BD1713" i="1"/>
  <c r="B1714" i="1"/>
  <c r="C1714" i="1"/>
  <c r="D1714" i="1"/>
  <c r="E1714" i="1"/>
  <c r="F1714" i="1"/>
  <c r="G1714" i="1"/>
  <c r="H1714" i="1"/>
  <c r="I1714" i="1"/>
  <c r="J1714" i="1"/>
  <c r="K1714" i="1"/>
  <c r="M1714" i="1"/>
  <c r="O1714" i="1"/>
  <c r="Q1714" i="1"/>
  <c r="R1714" i="1"/>
  <c r="W1714" i="1"/>
  <c r="AA1714" i="1"/>
  <c r="AB1714" i="1"/>
  <c r="AE1714" i="1"/>
  <c r="AF1714" i="1"/>
  <c r="AM1714" i="1"/>
  <c r="AN1714" i="1"/>
  <c r="AO1714" i="1"/>
  <c r="AQ1714" i="1"/>
  <c r="AX1714" i="1"/>
  <c r="BD1714" i="1"/>
  <c r="B1715" i="1"/>
  <c r="C1715" i="1"/>
  <c r="D1715" i="1"/>
  <c r="E1715" i="1"/>
  <c r="F1715" i="1"/>
  <c r="G1715" i="1"/>
  <c r="H1715" i="1"/>
  <c r="I1715" i="1"/>
  <c r="J1715" i="1"/>
  <c r="K1715" i="1"/>
  <c r="M1715" i="1"/>
  <c r="O1715" i="1"/>
  <c r="Q1715" i="1"/>
  <c r="R1715" i="1"/>
  <c r="W1715" i="1"/>
  <c r="AA1715" i="1"/>
  <c r="AB1715" i="1"/>
  <c r="AE1715" i="1"/>
  <c r="AF1715" i="1"/>
  <c r="AM1715" i="1"/>
  <c r="AN1715" i="1"/>
  <c r="AO1715" i="1"/>
  <c r="AQ1715" i="1"/>
  <c r="AX1715" i="1"/>
  <c r="BD1715" i="1"/>
  <c r="B1716" i="1"/>
  <c r="C1716" i="1"/>
  <c r="E1716" i="1"/>
  <c r="F1716" i="1"/>
  <c r="G1716" i="1"/>
  <c r="H1716" i="1"/>
  <c r="I1716" i="1"/>
  <c r="J1716" i="1"/>
  <c r="K1716" i="1"/>
  <c r="M1716" i="1"/>
  <c r="O1716" i="1"/>
  <c r="Q1716" i="1"/>
  <c r="R1716" i="1"/>
  <c r="W1716" i="1"/>
  <c r="AA1716" i="1"/>
  <c r="AB1716" i="1"/>
  <c r="AE1716" i="1"/>
  <c r="AF1716" i="1"/>
  <c r="AM1716" i="1"/>
  <c r="AN1716" i="1"/>
  <c r="AO1716" i="1"/>
  <c r="AQ1716" i="1"/>
  <c r="AX1716" i="1"/>
  <c r="BD1716" i="1"/>
  <c r="B1717" i="1"/>
  <c r="C1717" i="1"/>
  <c r="E1717" i="1"/>
  <c r="F1717" i="1"/>
  <c r="G1717" i="1"/>
  <c r="H1717" i="1"/>
  <c r="I1717" i="1"/>
  <c r="J1717" i="1"/>
  <c r="K1717" i="1"/>
  <c r="M1717" i="1"/>
  <c r="O1717" i="1"/>
  <c r="Q1717" i="1"/>
  <c r="R1717" i="1"/>
  <c r="W1717" i="1"/>
  <c r="AA1717" i="1"/>
  <c r="AB1717" i="1"/>
  <c r="AE1717" i="1"/>
  <c r="AF1717" i="1"/>
  <c r="AM1717" i="1"/>
  <c r="AN1717" i="1"/>
  <c r="AO1717" i="1"/>
  <c r="AQ1717" i="1"/>
  <c r="AX1717" i="1"/>
  <c r="BD1717" i="1"/>
  <c r="B1718" i="1"/>
  <c r="C1718" i="1"/>
  <c r="D1718" i="1"/>
  <c r="E1718" i="1"/>
  <c r="F1718" i="1"/>
  <c r="G1718" i="1"/>
  <c r="H1718" i="1"/>
  <c r="I1718" i="1"/>
  <c r="J1718" i="1"/>
  <c r="K1718" i="1"/>
  <c r="M1718" i="1"/>
  <c r="O1718" i="1"/>
  <c r="Q1718" i="1"/>
  <c r="R1718" i="1"/>
  <c r="W1718" i="1"/>
  <c r="AA1718" i="1"/>
  <c r="AB1718" i="1"/>
  <c r="AE1718" i="1"/>
  <c r="AF1718" i="1"/>
  <c r="AM1718" i="1"/>
  <c r="AN1718" i="1"/>
  <c r="AO1718" i="1"/>
  <c r="AQ1718" i="1"/>
  <c r="AX1718" i="1"/>
  <c r="BD1718" i="1"/>
  <c r="B1719" i="1"/>
  <c r="C1719" i="1"/>
  <c r="D1719" i="1"/>
  <c r="E1719" i="1"/>
  <c r="F1719" i="1"/>
  <c r="G1719" i="1"/>
  <c r="H1719" i="1"/>
  <c r="I1719" i="1"/>
  <c r="J1719" i="1"/>
  <c r="K1719" i="1"/>
  <c r="M1719" i="1"/>
  <c r="O1719" i="1"/>
  <c r="Q1719" i="1"/>
  <c r="R1719" i="1"/>
  <c r="W1719" i="1"/>
  <c r="AA1719" i="1"/>
  <c r="AB1719" i="1"/>
  <c r="AE1719" i="1"/>
  <c r="AF1719" i="1"/>
  <c r="AM1719" i="1"/>
  <c r="AN1719" i="1"/>
  <c r="AO1719" i="1"/>
  <c r="AQ1719" i="1"/>
  <c r="AX1719" i="1"/>
  <c r="BD1719" i="1"/>
  <c r="B1720" i="1"/>
  <c r="C1720" i="1"/>
  <c r="D1720" i="1"/>
  <c r="E1720" i="1"/>
  <c r="F1720" i="1"/>
  <c r="G1720" i="1"/>
  <c r="H1720" i="1"/>
  <c r="I1720" i="1"/>
  <c r="J1720" i="1"/>
  <c r="K1720" i="1"/>
  <c r="M1720" i="1"/>
  <c r="O1720" i="1"/>
  <c r="Q1720" i="1"/>
  <c r="R1720" i="1"/>
  <c r="W1720" i="1"/>
  <c r="AA1720" i="1"/>
  <c r="AB1720" i="1"/>
  <c r="AE1720" i="1"/>
  <c r="AF1720" i="1"/>
  <c r="AM1720" i="1"/>
  <c r="AN1720" i="1"/>
  <c r="AO1720" i="1"/>
  <c r="AQ1720" i="1"/>
  <c r="AX1720" i="1"/>
  <c r="BD1720" i="1"/>
  <c r="B1721" i="1"/>
  <c r="E1721" i="1"/>
  <c r="F1721" i="1"/>
  <c r="G1721" i="1"/>
  <c r="H1721" i="1"/>
  <c r="I1721" i="1"/>
  <c r="J1721" i="1"/>
  <c r="K1721" i="1"/>
  <c r="M1721" i="1"/>
  <c r="O1721" i="1"/>
  <c r="Q1721" i="1"/>
  <c r="R1721" i="1"/>
  <c r="W1721" i="1"/>
  <c r="AA1721" i="1"/>
  <c r="AB1721" i="1"/>
  <c r="AM1721" i="1"/>
  <c r="AN1721" i="1"/>
  <c r="AO1721" i="1"/>
  <c r="AQ1721" i="1"/>
  <c r="AX1721" i="1"/>
  <c r="BD1721" i="1"/>
  <c r="B1722" i="1"/>
  <c r="C1722" i="1"/>
  <c r="E1722" i="1"/>
  <c r="F1722" i="1"/>
  <c r="G1722" i="1"/>
  <c r="H1722" i="1"/>
  <c r="I1722" i="1"/>
  <c r="J1722" i="1"/>
  <c r="K1722" i="1"/>
  <c r="M1722" i="1"/>
  <c r="O1722" i="1"/>
  <c r="Q1722" i="1"/>
  <c r="R1722" i="1"/>
  <c r="W1722" i="1"/>
  <c r="AA1722" i="1"/>
  <c r="AM1722" i="1"/>
  <c r="AN1722" i="1"/>
  <c r="AO1722" i="1"/>
  <c r="AQ1722" i="1"/>
  <c r="BB1722" i="1"/>
  <c r="BD1722" i="1"/>
  <c r="B1723" i="1"/>
  <c r="C1723" i="1"/>
  <c r="E1723" i="1"/>
  <c r="F1723" i="1"/>
  <c r="G1723" i="1"/>
  <c r="H1723" i="1"/>
  <c r="I1723" i="1"/>
  <c r="J1723" i="1"/>
  <c r="K1723" i="1"/>
  <c r="M1723" i="1"/>
  <c r="O1723" i="1"/>
  <c r="Q1723" i="1"/>
  <c r="R1723" i="1"/>
  <c r="W1723" i="1"/>
  <c r="AA1723" i="1"/>
  <c r="AM1723" i="1"/>
  <c r="AN1723" i="1"/>
  <c r="AO1723" i="1"/>
  <c r="AQ1723" i="1"/>
  <c r="BB1723" i="1"/>
  <c r="BD1723" i="1"/>
  <c r="B1724" i="1"/>
  <c r="C1724" i="1"/>
  <c r="E1724" i="1"/>
  <c r="F1724" i="1"/>
  <c r="G1724" i="1"/>
  <c r="H1724" i="1"/>
  <c r="I1724" i="1"/>
  <c r="J1724" i="1"/>
  <c r="K1724" i="1"/>
  <c r="M1724" i="1"/>
  <c r="O1724" i="1"/>
  <c r="Q1724" i="1"/>
  <c r="R1724" i="1"/>
  <c r="W1724" i="1"/>
  <c r="AA1724" i="1"/>
  <c r="AM1724" i="1"/>
  <c r="AN1724" i="1"/>
  <c r="AO1724" i="1"/>
  <c r="AQ1724" i="1"/>
  <c r="BB1724" i="1"/>
  <c r="BD1724" i="1"/>
  <c r="B1725" i="1"/>
  <c r="C1725" i="1"/>
  <c r="E1725" i="1"/>
  <c r="F1725" i="1"/>
  <c r="G1725" i="1"/>
  <c r="H1725" i="1"/>
  <c r="I1725" i="1"/>
  <c r="J1725" i="1"/>
  <c r="K1725" i="1"/>
  <c r="M1725" i="1"/>
  <c r="O1725" i="1"/>
  <c r="Q1725" i="1"/>
  <c r="R1725" i="1"/>
  <c r="W1725" i="1"/>
  <c r="AA1725" i="1"/>
  <c r="AM1725" i="1"/>
  <c r="AN1725" i="1"/>
  <c r="AO1725" i="1"/>
  <c r="AQ1725" i="1"/>
  <c r="BB1725" i="1"/>
  <c r="BD1725" i="1"/>
  <c r="B1726" i="1"/>
  <c r="C1726" i="1"/>
  <c r="E1726" i="1"/>
  <c r="F1726" i="1"/>
  <c r="G1726" i="1"/>
  <c r="H1726" i="1"/>
  <c r="I1726" i="1"/>
  <c r="J1726" i="1"/>
  <c r="K1726" i="1"/>
  <c r="M1726" i="1"/>
  <c r="O1726" i="1"/>
  <c r="Q1726" i="1"/>
  <c r="R1726" i="1"/>
  <c r="W1726" i="1"/>
  <c r="AA1726" i="1"/>
  <c r="AB1726" i="1"/>
  <c r="AE1726" i="1"/>
  <c r="AF1726" i="1"/>
  <c r="AM1726" i="1"/>
  <c r="AN1726" i="1"/>
  <c r="AO1726" i="1"/>
  <c r="AQ1726" i="1"/>
  <c r="AX1726" i="1"/>
  <c r="BD1726" i="1"/>
  <c r="B1727" i="1"/>
  <c r="C1727" i="1"/>
  <c r="E1727" i="1"/>
  <c r="F1727" i="1"/>
  <c r="G1727" i="1"/>
  <c r="H1727" i="1"/>
  <c r="I1727" i="1"/>
  <c r="J1727" i="1"/>
  <c r="K1727" i="1"/>
  <c r="M1727" i="1"/>
  <c r="O1727" i="1"/>
  <c r="Q1727" i="1"/>
  <c r="R1727" i="1"/>
  <c r="W1727" i="1"/>
  <c r="AA1727" i="1"/>
  <c r="AM1727" i="1"/>
  <c r="AN1727" i="1"/>
  <c r="AO1727" i="1"/>
  <c r="AQ1727" i="1"/>
  <c r="BB1727" i="1"/>
  <c r="BD1727" i="1"/>
  <c r="B1728" i="1"/>
  <c r="C1728" i="1"/>
  <c r="E1728" i="1"/>
  <c r="F1728" i="1"/>
  <c r="G1728" i="1"/>
  <c r="H1728" i="1"/>
  <c r="I1728" i="1"/>
  <c r="J1728" i="1"/>
  <c r="K1728" i="1"/>
  <c r="M1728" i="1"/>
  <c r="O1728" i="1"/>
  <c r="Q1728" i="1"/>
  <c r="R1728" i="1"/>
  <c r="W1728" i="1"/>
  <c r="AA1728" i="1"/>
  <c r="AM1728" i="1"/>
  <c r="AN1728" i="1"/>
  <c r="AO1728" i="1"/>
  <c r="AQ1728" i="1"/>
  <c r="BB1728" i="1"/>
  <c r="BD1728" i="1"/>
  <c r="B1729" i="1"/>
  <c r="C1729" i="1"/>
  <c r="E1729" i="1"/>
  <c r="F1729" i="1"/>
  <c r="G1729" i="1"/>
  <c r="H1729" i="1"/>
  <c r="I1729" i="1"/>
  <c r="J1729" i="1"/>
  <c r="K1729" i="1"/>
  <c r="M1729" i="1"/>
  <c r="O1729" i="1"/>
  <c r="Q1729" i="1"/>
  <c r="R1729" i="1"/>
  <c r="W1729" i="1"/>
  <c r="AA1729" i="1"/>
  <c r="AM1729" i="1"/>
  <c r="AN1729" i="1"/>
  <c r="AO1729" i="1"/>
  <c r="AQ1729" i="1"/>
  <c r="BB1729" i="1"/>
  <c r="BD1729" i="1"/>
  <c r="B1730" i="1"/>
  <c r="C1730" i="1"/>
  <c r="E1730" i="1"/>
  <c r="F1730" i="1"/>
  <c r="G1730" i="1"/>
  <c r="H1730" i="1"/>
  <c r="I1730" i="1"/>
  <c r="J1730" i="1"/>
  <c r="K1730" i="1"/>
  <c r="M1730" i="1"/>
  <c r="O1730" i="1"/>
  <c r="Q1730" i="1"/>
  <c r="R1730" i="1"/>
  <c r="W1730" i="1"/>
  <c r="AA1730" i="1"/>
  <c r="AB1730" i="1"/>
  <c r="AE1730" i="1"/>
  <c r="AF1730" i="1"/>
  <c r="AM1730" i="1"/>
  <c r="AN1730" i="1"/>
  <c r="AO1730" i="1"/>
  <c r="AQ1730" i="1"/>
  <c r="AX1730" i="1"/>
  <c r="BD1730" i="1"/>
  <c r="B1731" i="1"/>
  <c r="C1731" i="1"/>
  <c r="E1731" i="1"/>
  <c r="F1731" i="1"/>
  <c r="G1731" i="1"/>
  <c r="H1731" i="1"/>
  <c r="I1731" i="1"/>
  <c r="J1731" i="1"/>
  <c r="K1731" i="1"/>
  <c r="M1731" i="1"/>
  <c r="O1731" i="1"/>
  <c r="Q1731" i="1"/>
  <c r="R1731" i="1"/>
  <c r="W1731" i="1"/>
  <c r="AA1731" i="1"/>
  <c r="AB1731" i="1"/>
  <c r="AE1731" i="1"/>
  <c r="AF1731" i="1"/>
  <c r="AM1731" i="1"/>
  <c r="AN1731" i="1"/>
  <c r="AO1731" i="1"/>
  <c r="AQ1731" i="1"/>
  <c r="AX1731" i="1"/>
  <c r="BD1731" i="1"/>
  <c r="B1732" i="1"/>
  <c r="C1732" i="1"/>
  <c r="D1732" i="1"/>
  <c r="E1732" i="1"/>
  <c r="F1732" i="1"/>
  <c r="G1732" i="1"/>
  <c r="H1732" i="1"/>
  <c r="I1732" i="1"/>
  <c r="J1732" i="1"/>
  <c r="K1732" i="1"/>
  <c r="M1732" i="1"/>
  <c r="O1732" i="1"/>
  <c r="Q1732" i="1"/>
  <c r="R1732" i="1"/>
  <c r="W1732" i="1"/>
  <c r="AA1732" i="1"/>
  <c r="AB1732" i="1"/>
  <c r="AE1732" i="1"/>
  <c r="AF1732" i="1"/>
  <c r="AM1732" i="1"/>
  <c r="AN1732" i="1"/>
  <c r="AO1732" i="1"/>
  <c r="AQ1732" i="1"/>
  <c r="AX1732" i="1"/>
  <c r="BD1732" i="1"/>
  <c r="B1733" i="1"/>
  <c r="C1733" i="1"/>
  <c r="E1733" i="1"/>
  <c r="F1733" i="1"/>
  <c r="G1733" i="1"/>
  <c r="H1733" i="1"/>
  <c r="I1733" i="1"/>
  <c r="J1733" i="1"/>
  <c r="K1733" i="1"/>
  <c r="M1733" i="1"/>
  <c r="O1733" i="1"/>
  <c r="Q1733" i="1"/>
  <c r="R1733" i="1"/>
  <c r="W1733" i="1"/>
  <c r="AA1733" i="1"/>
  <c r="AM1733" i="1"/>
  <c r="AN1733" i="1"/>
  <c r="AO1733" i="1"/>
  <c r="AQ1733" i="1"/>
  <c r="BB1733" i="1"/>
  <c r="BD1733" i="1"/>
  <c r="B1734" i="1"/>
  <c r="C1734" i="1"/>
  <c r="E1734" i="1"/>
  <c r="F1734" i="1"/>
  <c r="G1734" i="1"/>
  <c r="H1734" i="1"/>
  <c r="I1734" i="1"/>
  <c r="J1734" i="1"/>
  <c r="K1734" i="1"/>
  <c r="M1734" i="1"/>
  <c r="O1734" i="1"/>
  <c r="Q1734" i="1"/>
  <c r="R1734" i="1"/>
  <c r="W1734" i="1"/>
  <c r="AA1734" i="1"/>
  <c r="AM1734" i="1"/>
  <c r="AN1734" i="1"/>
  <c r="AO1734" i="1"/>
  <c r="AQ1734" i="1"/>
  <c r="BB1734" i="1"/>
  <c r="BD1734" i="1"/>
  <c r="B1735" i="1"/>
  <c r="C1735" i="1"/>
  <c r="E1735" i="1"/>
  <c r="F1735" i="1"/>
  <c r="G1735" i="1"/>
  <c r="H1735" i="1"/>
  <c r="I1735" i="1"/>
  <c r="J1735" i="1"/>
  <c r="K1735" i="1"/>
  <c r="M1735" i="1"/>
  <c r="O1735" i="1"/>
  <c r="Q1735" i="1"/>
  <c r="R1735" i="1"/>
  <c r="W1735" i="1"/>
  <c r="AA1735" i="1"/>
  <c r="AM1735" i="1"/>
  <c r="AN1735" i="1"/>
  <c r="AO1735" i="1"/>
  <c r="AQ1735" i="1"/>
  <c r="BB1735" i="1"/>
  <c r="BD1735" i="1"/>
  <c r="B1736" i="1"/>
  <c r="C1736" i="1"/>
  <c r="D1736" i="1"/>
  <c r="E1736" i="1"/>
  <c r="F1736" i="1"/>
  <c r="G1736" i="1"/>
  <c r="H1736" i="1"/>
  <c r="I1736" i="1"/>
  <c r="J1736" i="1"/>
  <c r="K1736" i="1"/>
  <c r="M1736" i="1"/>
  <c r="O1736" i="1"/>
  <c r="Q1736" i="1"/>
  <c r="R1736" i="1"/>
  <c r="W1736" i="1"/>
  <c r="AA1736" i="1"/>
  <c r="AB1736" i="1"/>
  <c r="AE1736" i="1"/>
  <c r="AF1736" i="1"/>
  <c r="AM1736" i="1"/>
  <c r="AN1736" i="1"/>
  <c r="AO1736" i="1"/>
  <c r="AQ1736" i="1"/>
  <c r="AX1736" i="1"/>
  <c r="BD1736" i="1"/>
  <c r="B1737" i="1"/>
  <c r="C1737" i="1"/>
  <c r="D1737" i="1"/>
  <c r="E1737" i="1"/>
  <c r="F1737" i="1"/>
  <c r="G1737" i="1"/>
  <c r="H1737" i="1"/>
  <c r="I1737" i="1"/>
  <c r="J1737" i="1"/>
  <c r="K1737" i="1"/>
  <c r="M1737" i="1"/>
  <c r="O1737" i="1"/>
  <c r="Q1737" i="1"/>
  <c r="R1737" i="1"/>
  <c r="W1737" i="1"/>
  <c r="AA1737" i="1"/>
  <c r="AB1737" i="1"/>
  <c r="AM1737" i="1"/>
  <c r="AN1737" i="1"/>
  <c r="AO1737" i="1"/>
  <c r="AQ1737" i="1"/>
  <c r="AX1737" i="1"/>
  <c r="BD1737" i="1"/>
  <c r="B1738" i="1"/>
  <c r="E1738" i="1"/>
  <c r="F1738" i="1"/>
  <c r="G1738" i="1"/>
  <c r="H1738" i="1"/>
  <c r="I1738" i="1"/>
  <c r="J1738" i="1"/>
  <c r="K1738" i="1"/>
  <c r="M1738" i="1"/>
  <c r="O1738" i="1"/>
  <c r="Q1738" i="1"/>
  <c r="R1738" i="1"/>
  <c r="W1738" i="1"/>
  <c r="AA1738" i="1"/>
  <c r="AB1738" i="1"/>
  <c r="AE1738" i="1"/>
  <c r="AF1738" i="1"/>
  <c r="AM1738" i="1"/>
  <c r="AN1738" i="1"/>
  <c r="AO1738" i="1"/>
  <c r="AQ1738" i="1"/>
  <c r="AX1738" i="1"/>
  <c r="BD1738" i="1"/>
  <c r="B1739" i="1"/>
  <c r="E1739" i="1"/>
  <c r="F1739" i="1"/>
  <c r="G1739" i="1"/>
  <c r="H1739" i="1"/>
  <c r="I1739" i="1"/>
  <c r="J1739" i="1"/>
  <c r="K1739" i="1"/>
  <c r="M1739" i="1"/>
  <c r="O1739" i="1"/>
  <c r="Q1739" i="1"/>
  <c r="R1739" i="1"/>
  <c r="W1739" i="1"/>
  <c r="AA1739" i="1"/>
  <c r="AM1739" i="1"/>
  <c r="AN1739" i="1"/>
  <c r="AO1739" i="1"/>
  <c r="AQ1739" i="1"/>
  <c r="BB1739" i="1"/>
  <c r="BD1739" i="1"/>
  <c r="B1740" i="1"/>
  <c r="E1740" i="1"/>
  <c r="F1740" i="1"/>
  <c r="G1740" i="1"/>
  <c r="H1740" i="1"/>
  <c r="I1740" i="1"/>
  <c r="J1740" i="1"/>
  <c r="K1740" i="1"/>
  <c r="M1740" i="1"/>
  <c r="O1740" i="1"/>
  <c r="Q1740" i="1"/>
  <c r="R1740" i="1"/>
  <c r="W1740" i="1"/>
  <c r="AA1740" i="1"/>
  <c r="AM1740" i="1"/>
  <c r="AN1740" i="1"/>
  <c r="AO1740" i="1"/>
  <c r="AQ1740" i="1"/>
  <c r="BB1740" i="1"/>
  <c r="BD1740" i="1"/>
  <c r="B1741" i="1"/>
  <c r="E1741" i="1"/>
  <c r="F1741" i="1"/>
  <c r="G1741" i="1"/>
  <c r="H1741" i="1"/>
  <c r="I1741" i="1"/>
  <c r="J1741" i="1"/>
  <c r="K1741" i="1"/>
  <c r="M1741" i="1"/>
  <c r="O1741" i="1"/>
  <c r="Q1741" i="1"/>
  <c r="R1741" i="1"/>
  <c r="W1741" i="1"/>
  <c r="AA1741" i="1"/>
  <c r="AB1741" i="1"/>
  <c r="AE1741" i="1"/>
  <c r="AF1741" i="1"/>
  <c r="AM1741" i="1"/>
  <c r="AN1741" i="1"/>
  <c r="AO1741" i="1"/>
  <c r="AQ1741" i="1"/>
  <c r="AX1741" i="1"/>
  <c r="BD1741" i="1"/>
  <c r="B1742" i="1"/>
  <c r="E1742" i="1"/>
  <c r="F1742" i="1"/>
  <c r="G1742" i="1"/>
  <c r="H1742" i="1"/>
  <c r="I1742" i="1"/>
  <c r="J1742" i="1"/>
  <c r="K1742" i="1"/>
  <c r="M1742" i="1"/>
  <c r="O1742" i="1"/>
  <c r="Q1742" i="1"/>
  <c r="R1742" i="1"/>
  <c r="W1742" i="1"/>
  <c r="AA1742" i="1"/>
  <c r="AB1742" i="1"/>
  <c r="AE1742" i="1"/>
  <c r="AF1742" i="1"/>
  <c r="AM1742" i="1"/>
  <c r="AN1742" i="1"/>
  <c r="AO1742" i="1"/>
  <c r="AQ1742" i="1"/>
  <c r="AX1742" i="1"/>
  <c r="BD1742" i="1"/>
  <c r="B1743" i="1"/>
  <c r="C1743" i="1"/>
  <c r="E1743" i="1"/>
  <c r="F1743" i="1"/>
  <c r="G1743" i="1"/>
  <c r="H1743" i="1"/>
  <c r="I1743" i="1"/>
  <c r="J1743" i="1"/>
  <c r="K1743" i="1"/>
  <c r="M1743" i="1"/>
  <c r="O1743" i="1"/>
  <c r="Q1743" i="1"/>
  <c r="R1743" i="1"/>
  <c r="W1743" i="1"/>
  <c r="AA1743" i="1"/>
  <c r="AB1743" i="1"/>
  <c r="AE1743" i="1"/>
  <c r="AF1743" i="1"/>
  <c r="AM1743" i="1"/>
  <c r="AN1743" i="1"/>
  <c r="AO1743" i="1"/>
  <c r="AQ1743" i="1"/>
  <c r="AX1743" i="1"/>
  <c r="BD1743" i="1"/>
  <c r="B1744" i="1"/>
  <c r="C1744" i="1"/>
  <c r="D1744" i="1"/>
  <c r="E1744" i="1"/>
  <c r="F1744" i="1"/>
  <c r="G1744" i="1"/>
  <c r="H1744" i="1"/>
  <c r="I1744" i="1"/>
  <c r="J1744" i="1"/>
  <c r="K1744" i="1"/>
  <c r="M1744" i="1"/>
  <c r="O1744" i="1"/>
  <c r="Q1744" i="1"/>
  <c r="R1744" i="1"/>
  <c r="W1744" i="1"/>
  <c r="AA1744" i="1"/>
  <c r="AB1744" i="1"/>
  <c r="AE1744" i="1"/>
  <c r="AF1744" i="1"/>
  <c r="AM1744" i="1"/>
  <c r="AN1744" i="1"/>
  <c r="AO1744" i="1"/>
  <c r="AQ1744" i="1"/>
  <c r="AX1744" i="1"/>
  <c r="BD1744" i="1"/>
  <c r="B1745" i="1"/>
  <c r="C1745" i="1"/>
  <c r="D1745" i="1"/>
  <c r="E1745" i="1"/>
  <c r="F1745" i="1"/>
  <c r="G1745" i="1"/>
  <c r="H1745" i="1"/>
  <c r="I1745" i="1"/>
  <c r="J1745" i="1"/>
  <c r="K1745" i="1"/>
  <c r="M1745" i="1"/>
  <c r="O1745" i="1"/>
  <c r="Q1745" i="1"/>
  <c r="R1745" i="1"/>
  <c r="W1745" i="1"/>
  <c r="AA1745" i="1"/>
  <c r="AB1745" i="1"/>
  <c r="AM1745" i="1"/>
  <c r="AN1745" i="1"/>
  <c r="AO1745" i="1"/>
  <c r="AQ1745" i="1"/>
  <c r="AX1745" i="1"/>
  <c r="BD1745" i="1"/>
  <c r="B1746" i="1"/>
  <c r="C1746" i="1"/>
  <c r="E1746" i="1"/>
  <c r="F1746" i="1"/>
  <c r="G1746" i="1"/>
  <c r="H1746" i="1"/>
  <c r="I1746" i="1"/>
  <c r="J1746" i="1"/>
  <c r="K1746" i="1"/>
  <c r="M1746" i="1"/>
  <c r="O1746" i="1"/>
  <c r="Q1746" i="1"/>
  <c r="R1746" i="1"/>
  <c r="W1746" i="1"/>
  <c r="AA1746" i="1"/>
  <c r="AB1746" i="1"/>
  <c r="AE1746" i="1"/>
  <c r="AF1746" i="1"/>
  <c r="AM1746" i="1"/>
  <c r="AN1746" i="1"/>
  <c r="AO1746" i="1"/>
  <c r="AQ1746" i="1"/>
  <c r="AX1746" i="1"/>
  <c r="BD1746" i="1"/>
  <c r="B1747" i="1"/>
  <c r="C1747" i="1"/>
  <c r="E1747" i="1"/>
  <c r="F1747" i="1"/>
  <c r="G1747" i="1"/>
  <c r="H1747" i="1"/>
  <c r="I1747" i="1"/>
  <c r="J1747" i="1"/>
  <c r="K1747" i="1"/>
  <c r="M1747" i="1"/>
  <c r="O1747" i="1"/>
  <c r="Q1747" i="1"/>
  <c r="R1747" i="1"/>
  <c r="W1747" i="1"/>
  <c r="AA1747" i="1"/>
  <c r="AB1747" i="1"/>
  <c r="AE1747" i="1"/>
  <c r="AF1747" i="1"/>
  <c r="AM1747" i="1"/>
  <c r="AN1747" i="1"/>
  <c r="AO1747" i="1"/>
  <c r="AQ1747" i="1"/>
  <c r="AX1747" i="1"/>
  <c r="BD1747" i="1"/>
  <c r="B1748" i="1"/>
  <c r="C1748" i="1"/>
  <c r="E1748" i="1"/>
  <c r="F1748" i="1"/>
  <c r="G1748" i="1"/>
  <c r="H1748" i="1"/>
  <c r="I1748" i="1"/>
  <c r="J1748" i="1"/>
  <c r="K1748" i="1"/>
  <c r="M1748" i="1"/>
  <c r="O1748" i="1"/>
  <c r="Q1748" i="1"/>
  <c r="R1748" i="1"/>
  <c r="W1748" i="1"/>
  <c r="AA1748" i="1"/>
  <c r="AB1748" i="1"/>
  <c r="AE1748" i="1"/>
  <c r="AF1748" i="1"/>
  <c r="AM1748" i="1"/>
  <c r="AN1748" i="1"/>
  <c r="AO1748" i="1"/>
  <c r="AQ1748" i="1"/>
  <c r="AX1748" i="1"/>
  <c r="BD1748" i="1"/>
  <c r="B1749" i="1"/>
  <c r="C1749" i="1"/>
  <c r="E1749" i="1"/>
  <c r="F1749" i="1"/>
  <c r="G1749" i="1"/>
  <c r="H1749" i="1"/>
  <c r="I1749" i="1"/>
  <c r="J1749" i="1"/>
  <c r="K1749" i="1"/>
  <c r="M1749" i="1"/>
  <c r="O1749" i="1"/>
  <c r="Q1749" i="1"/>
  <c r="R1749" i="1"/>
  <c r="W1749" i="1"/>
  <c r="AA1749" i="1"/>
  <c r="AB1749" i="1"/>
  <c r="AE1749" i="1"/>
  <c r="AF1749" i="1"/>
  <c r="AM1749" i="1"/>
  <c r="AN1749" i="1"/>
  <c r="AO1749" i="1"/>
  <c r="AQ1749" i="1"/>
  <c r="AX1749" i="1"/>
  <c r="BD1749" i="1"/>
  <c r="B1750" i="1"/>
  <c r="C1750" i="1"/>
  <c r="E1750" i="1"/>
  <c r="F1750" i="1"/>
  <c r="G1750" i="1"/>
  <c r="H1750" i="1"/>
  <c r="I1750" i="1"/>
  <c r="J1750" i="1"/>
  <c r="K1750" i="1"/>
  <c r="M1750" i="1"/>
  <c r="O1750" i="1"/>
  <c r="Q1750" i="1"/>
  <c r="R1750" i="1"/>
  <c r="W1750" i="1"/>
  <c r="AA1750" i="1"/>
  <c r="AB1750" i="1"/>
  <c r="AE1750" i="1"/>
  <c r="AF1750" i="1"/>
  <c r="AM1750" i="1"/>
  <c r="AN1750" i="1"/>
  <c r="AO1750" i="1"/>
  <c r="AQ1750" i="1"/>
  <c r="AX1750" i="1"/>
  <c r="BD1750" i="1"/>
  <c r="B1751" i="1"/>
  <c r="C1751" i="1"/>
  <c r="E1751" i="1"/>
  <c r="F1751" i="1"/>
  <c r="G1751" i="1"/>
  <c r="H1751" i="1"/>
  <c r="I1751" i="1"/>
  <c r="J1751" i="1"/>
  <c r="K1751" i="1"/>
  <c r="M1751" i="1"/>
  <c r="O1751" i="1"/>
  <c r="Q1751" i="1"/>
  <c r="R1751" i="1"/>
  <c r="W1751" i="1"/>
  <c r="AA1751" i="1"/>
  <c r="AB1751" i="1"/>
  <c r="AE1751" i="1"/>
  <c r="AF1751" i="1"/>
  <c r="AM1751" i="1"/>
  <c r="AN1751" i="1"/>
  <c r="AO1751" i="1"/>
  <c r="AQ1751" i="1"/>
  <c r="AX1751" i="1"/>
  <c r="BD1751" i="1"/>
  <c r="B1752" i="1"/>
  <c r="C1752" i="1"/>
  <c r="D1752" i="1"/>
  <c r="E1752" i="1"/>
  <c r="F1752" i="1"/>
  <c r="G1752" i="1"/>
  <c r="H1752" i="1"/>
  <c r="I1752" i="1"/>
  <c r="J1752" i="1"/>
  <c r="K1752" i="1"/>
  <c r="M1752" i="1"/>
  <c r="O1752" i="1"/>
  <c r="Q1752" i="1"/>
  <c r="R1752" i="1"/>
  <c r="W1752" i="1"/>
  <c r="AA1752" i="1"/>
  <c r="AB1752" i="1"/>
  <c r="AE1752" i="1"/>
  <c r="AF1752" i="1"/>
  <c r="AM1752" i="1"/>
  <c r="AN1752" i="1"/>
  <c r="AO1752" i="1"/>
  <c r="AQ1752" i="1"/>
  <c r="AX1752" i="1"/>
  <c r="BD1752" i="1"/>
  <c r="B1753" i="1"/>
  <c r="C1753" i="1"/>
  <c r="E1753" i="1"/>
  <c r="F1753" i="1"/>
  <c r="G1753" i="1"/>
  <c r="H1753" i="1"/>
  <c r="I1753" i="1"/>
  <c r="J1753" i="1"/>
  <c r="K1753" i="1"/>
  <c r="M1753" i="1"/>
  <c r="O1753" i="1"/>
  <c r="Q1753" i="1"/>
  <c r="R1753" i="1"/>
  <c r="W1753" i="1"/>
  <c r="AA1753" i="1"/>
  <c r="AB1753" i="1"/>
  <c r="AE1753" i="1"/>
  <c r="AF1753" i="1"/>
  <c r="AM1753" i="1"/>
  <c r="AN1753" i="1"/>
  <c r="AO1753" i="1"/>
  <c r="AQ1753" i="1"/>
  <c r="AX1753" i="1"/>
  <c r="BD1753" i="1"/>
  <c r="B1754" i="1"/>
  <c r="C1754" i="1"/>
  <c r="E1754" i="1"/>
  <c r="F1754" i="1"/>
  <c r="G1754" i="1"/>
  <c r="H1754" i="1"/>
  <c r="I1754" i="1"/>
  <c r="J1754" i="1"/>
  <c r="K1754" i="1"/>
  <c r="M1754" i="1"/>
  <c r="O1754" i="1"/>
  <c r="Q1754" i="1"/>
  <c r="R1754" i="1"/>
  <c r="W1754" i="1"/>
  <c r="AA1754" i="1"/>
  <c r="AB1754" i="1"/>
  <c r="AE1754" i="1"/>
  <c r="AF1754" i="1"/>
  <c r="AM1754" i="1"/>
  <c r="AN1754" i="1"/>
  <c r="AO1754" i="1"/>
  <c r="AQ1754" i="1"/>
  <c r="AX1754" i="1"/>
  <c r="BD1754" i="1"/>
  <c r="B1755" i="1"/>
  <c r="C1755" i="1"/>
  <c r="E1755" i="1"/>
  <c r="F1755" i="1"/>
  <c r="G1755" i="1"/>
  <c r="H1755" i="1"/>
  <c r="I1755" i="1"/>
  <c r="J1755" i="1"/>
  <c r="K1755" i="1"/>
  <c r="M1755" i="1"/>
  <c r="O1755" i="1"/>
  <c r="Q1755" i="1"/>
  <c r="R1755" i="1"/>
  <c r="W1755" i="1"/>
  <c r="AA1755" i="1"/>
  <c r="AB1755" i="1"/>
  <c r="AE1755" i="1"/>
  <c r="AF1755" i="1"/>
  <c r="AM1755" i="1"/>
  <c r="AN1755" i="1"/>
  <c r="AO1755" i="1"/>
  <c r="AQ1755" i="1"/>
  <c r="AX1755" i="1"/>
  <c r="BD1755" i="1"/>
  <c r="B1756" i="1"/>
  <c r="C1756" i="1"/>
  <c r="E1756" i="1"/>
  <c r="F1756" i="1"/>
  <c r="G1756" i="1"/>
  <c r="H1756" i="1"/>
  <c r="I1756" i="1"/>
  <c r="J1756" i="1"/>
  <c r="K1756" i="1"/>
  <c r="M1756" i="1"/>
  <c r="O1756" i="1"/>
  <c r="Q1756" i="1"/>
  <c r="R1756" i="1"/>
  <c r="W1756" i="1"/>
  <c r="AA1756" i="1"/>
  <c r="AB1756" i="1"/>
  <c r="AE1756" i="1"/>
  <c r="AF1756" i="1"/>
  <c r="AM1756" i="1"/>
  <c r="AN1756" i="1"/>
  <c r="AO1756" i="1"/>
  <c r="AQ1756" i="1"/>
  <c r="AX1756" i="1"/>
  <c r="BD1756" i="1"/>
  <c r="B1757" i="1"/>
  <c r="C1757" i="1"/>
  <c r="E1757" i="1"/>
  <c r="F1757" i="1"/>
  <c r="G1757" i="1"/>
  <c r="H1757" i="1"/>
  <c r="I1757" i="1"/>
  <c r="J1757" i="1"/>
  <c r="K1757" i="1"/>
  <c r="M1757" i="1"/>
  <c r="O1757" i="1"/>
  <c r="Q1757" i="1"/>
  <c r="R1757" i="1"/>
  <c r="W1757" i="1"/>
  <c r="AA1757" i="1"/>
  <c r="AB1757" i="1"/>
  <c r="AE1757" i="1"/>
  <c r="AF1757" i="1"/>
  <c r="AM1757" i="1"/>
  <c r="AN1757" i="1"/>
  <c r="AO1757" i="1"/>
  <c r="AQ1757" i="1"/>
  <c r="AX1757" i="1"/>
  <c r="BD1757" i="1"/>
  <c r="B1758" i="1"/>
  <c r="C1758" i="1"/>
  <c r="E1758" i="1"/>
  <c r="F1758" i="1"/>
  <c r="G1758" i="1"/>
  <c r="H1758" i="1"/>
  <c r="I1758" i="1"/>
  <c r="J1758" i="1"/>
  <c r="K1758" i="1"/>
  <c r="M1758" i="1"/>
  <c r="O1758" i="1"/>
  <c r="Q1758" i="1"/>
  <c r="R1758" i="1"/>
  <c r="W1758" i="1"/>
  <c r="AA1758" i="1"/>
  <c r="AB1758" i="1"/>
  <c r="AE1758" i="1"/>
  <c r="AF1758" i="1"/>
  <c r="AM1758" i="1"/>
  <c r="AN1758" i="1"/>
  <c r="AO1758" i="1"/>
  <c r="AQ1758" i="1"/>
  <c r="AX1758" i="1"/>
  <c r="BD1758" i="1"/>
  <c r="B1759" i="1"/>
  <c r="C1759" i="1"/>
  <c r="E1759" i="1"/>
  <c r="F1759" i="1"/>
  <c r="G1759" i="1"/>
  <c r="H1759" i="1"/>
  <c r="I1759" i="1"/>
  <c r="J1759" i="1"/>
  <c r="K1759" i="1"/>
  <c r="M1759" i="1"/>
  <c r="O1759" i="1"/>
  <c r="Q1759" i="1"/>
  <c r="R1759" i="1"/>
  <c r="W1759" i="1"/>
  <c r="AA1759" i="1"/>
  <c r="AB1759" i="1"/>
  <c r="AE1759" i="1"/>
  <c r="AF1759" i="1"/>
  <c r="AM1759" i="1"/>
  <c r="AN1759" i="1"/>
  <c r="AO1759" i="1"/>
  <c r="AQ1759" i="1"/>
  <c r="AX1759" i="1"/>
  <c r="BD1759" i="1"/>
  <c r="B1760" i="1"/>
  <c r="C1760" i="1"/>
  <c r="E1760" i="1"/>
  <c r="F1760" i="1"/>
  <c r="G1760" i="1"/>
  <c r="H1760" i="1"/>
  <c r="I1760" i="1"/>
  <c r="J1760" i="1"/>
  <c r="K1760" i="1"/>
  <c r="M1760" i="1"/>
  <c r="O1760" i="1"/>
  <c r="Q1760" i="1"/>
  <c r="R1760" i="1"/>
  <c r="W1760" i="1"/>
  <c r="AA1760" i="1"/>
  <c r="AB1760" i="1"/>
  <c r="AE1760" i="1"/>
  <c r="AF1760" i="1"/>
  <c r="AM1760" i="1"/>
  <c r="AN1760" i="1"/>
  <c r="AO1760" i="1"/>
  <c r="AQ1760" i="1"/>
  <c r="AX1760" i="1"/>
  <c r="BD1760" i="1"/>
  <c r="B1761" i="1"/>
  <c r="C1761" i="1"/>
  <c r="E1761" i="1"/>
  <c r="F1761" i="1"/>
  <c r="G1761" i="1"/>
  <c r="H1761" i="1"/>
  <c r="I1761" i="1"/>
  <c r="J1761" i="1"/>
  <c r="K1761" i="1"/>
  <c r="M1761" i="1"/>
  <c r="O1761" i="1"/>
  <c r="Q1761" i="1"/>
  <c r="R1761" i="1"/>
  <c r="W1761" i="1"/>
  <c r="AA1761" i="1"/>
  <c r="AB1761" i="1"/>
  <c r="AE1761" i="1"/>
  <c r="AF1761" i="1"/>
  <c r="AM1761" i="1"/>
  <c r="AN1761" i="1"/>
  <c r="AO1761" i="1"/>
  <c r="AQ1761" i="1"/>
  <c r="AX1761" i="1"/>
  <c r="BD1761" i="1"/>
  <c r="B1762" i="1"/>
  <c r="C1762" i="1"/>
  <c r="E1762" i="1"/>
  <c r="F1762" i="1"/>
  <c r="G1762" i="1"/>
  <c r="H1762" i="1"/>
  <c r="I1762" i="1"/>
  <c r="J1762" i="1"/>
  <c r="K1762" i="1"/>
  <c r="M1762" i="1"/>
  <c r="O1762" i="1"/>
  <c r="Q1762" i="1"/>
  <c r="R1762" i="1"/>
  <c r="W1762" i="1"/>
  <c r="AA1762" i="1"/>
  <c r="AB1762" i="1"/>
  <c r="AE1762" i="1"/>
  <c r="AF1762" i="1"/>
  <c r="AM1762" i="1"/>
  <c r="AN1762" i="1"/>
  <c r="AO1762" i="1"/>
  <c r="AQ1762" i="1"/>
  <c r="AX1762" i="1"/>
  <c r="BD1762" i="1"/>
  <c r="B1763" i="1"/>
  <c r="C1763" i="1"/>
  <c r="E1763" i="1"/>
  <c r="F1763" i="1"/>
  <c r="G1763" i="1"/>
  <c r="H1763" i="1"/>
  <c r="I1763" i="1"/>
  <c r="J1763" i="1"/>
  <c r="K1763" i="1"/>
  <c r="M1763" i="1"/>
  <c r="O1763" i="1"/>
  <c r="Q1763" i="1"/>
  <c r="R1763" i="1"/>
  <c r="W1763" i="1"/>
  <c r="AA1763" i="1"/>
  <c r="AB1763" i="1"/>
  <c r="AE1763" i="1"/>
  <c r="AF1763" i="1"/>
  <c r="AM1763" i="1"/>
  <c r="AN1763" i="1"/>
  <c r="AO1763" i="1"/>
  <c r="AQ1763" i="1"/>
  <c r="AX1763" i="1"/>
  <c r="BD1763" i="1"/>
  <c r="B1764" i="1"/>
  <c r="C1764" i="1"/>
  <c r="D1764" i="1"/>
  <c r="E1764" i="1"/>
  <c r="F1764" i="1"/>
  <c r="G1764" i="1"/>
  <c r="H1764" i="1"/>
  <c r="I1764" i="1"/>
  <c r="J1764" i="1"/>
  <c r="K1764" i="1"/>
  <c r="M1764" i="1"/>
  <c r="O1764" i="1"/>
  <c r="Q1764" i="1"/>
  <c r="R1764" i="1"/>
  <c r="W1764" i="1"/>
  <c r="AA1764" i="1"/>
  <c r="AB1764" i="1"/>
  <c r="AE1764" i="1"/>
  <c r="AF1764" i="1"/>
  <c r="AM1764" i="1"/>
  <c r="AN1764" i="1"/>
  <c r="AO1764" i="1"/>
  <c r="AQ1764" i="1"/>
  <c r="AX1764" i="1"/>
  <c r="BD1764" i="1"/>
  <c r="B1765" i="1"/>
  <c r="C1765" i="1"/>
  <c r="E1765" i="1"/>
  <c r="F1765" i="1"/>
  <c r="G1765" i="1"/>
  <c r="H1765" i="1"/>
  <c r="I1765" i="1"/>
  <c r="J1765" i="1"/>
  <c r="K1765" i="1"/>
  <c r="M1765" i="1"/>
  <c r="O1765" i="1"/>
  <c r="Q1765" i="1"/>
  <c r="R1765" i="1"/>
  <c r="W1765" i="1"/>
  <c r="AA1765" i="1"/>
  <c r="AB1765" i="1"/>
  <c r="AE1765" i="1"/>
  <c r="AF1765" i="1"/>
  <c r="AM1765" i="1"/>
  <c r="AN1765" i="1"/>
  <c r="AO1765" i="1"/>
  <c r="AQ1765" i="1"/>
  <c r="AX1765" i="1"/>
  <c r="BD1765" i="1"/>
  <c r="B1766" i="1"/>
  <c r="C1766" i="1"/>
  <c r="E1766" i="1"/>
  <c r="F1766" i="1"/>
  <c r="G1766" i="1"/>
  <c r="H1766" i="1"/>
  <c r="I1766" i="1"/>
  <c r="J1766" i="1"/>
  <c r="K1766" i="1"/>
  <c r="M1766" i="1"/>
  <c r="O1766" i="1"/>
  <c r="Q1766" i="1"/>
  <c r="R1766" i="1"/>
  <c r="W1766" i="1"/>
  <c r="AA1766" i="1"/>
  <c r="AB1766" i="1"/>
  <c r="AE1766" i="1"/>
  <c r="AF1766" i="1"/>
  <c r="AM1766" i="1"/>
  <c r="AN1766" i="1"/>
  <c r="AO1766" i="1"/>
  <c r="AQ1766" i="1"/>
  <c r="AX1766" i="1"/>
  <c r="BD1766" i="1"/>
  <c r="B1767" i="1"/>
  <c r="E1767" i="1"/>
  <c r="F1767" i="1"/>
  <c r="G1767" i="1"/>
  <c r="H1767" i="1"/>
  <c r="I1767" i="1"/>
  <c r="J1767" i="1"/>
  <c r="K1767" i="1"/>
  <c r="M1767" i="1"/>
  <c r="O1767" i="1"/>
  <c r="Q1767" i="1"/>
  <c r="R1767" i="1"/>
  <c r="W1767" i="1"/>
  <c r="AA1767" i="1"/>
  <c r="AM1767" i="1"/>
  <c r="AN1767" i="1"/>
  <c r="AO1767" i="1"/>
  <c r="AQ1767" i="1"/>
  <c r="BD1767" i="1"/>
  <c r="B1768" i="1"/>
  <c r="C1768" i="1"/>
  <c r="E1768" i="1"/>
  <c r="F1768" i="1"/>
  <c r="G1768" i="1"/>
  <c r="H1768" i="1"/>
  <c r="I1768" i="1"/>
  <c r="J1768" i="1"/>
  <c r="K1768" i="1"/>
  <c r="M1768" i="1"/>
  <c r="O1768" i="1"/>
  <c r="Q1768" i="1"/>
  <c r="R1768" i="1"/>
  <c r="W1768" i="1"/>
  <c r="AA1768" i="1"/>
  <c r="AM1768" i="1"/>
  <c r="AN1768" i="1"/>
  <c r="AO1768" i="1"/>
  <c r="AQ1768" i="1"/>
  <c r="BB1768" i="1"/>
  <c r="BD1768" i="1"/>
  <c r="B1769" i="1"/>
  <c r="C1769" i="1"/>
  <c r="E1769" i="1"/>
  <c r="F1769" i="1"/>
  <c r="G1769" i="1"/>
  <c r="H1769" i="1"/>
  <c r="I1769" i="1"/>
  <c r="J1769" i="1"/>
  <c r="K1769" i="1"/>
  <c r="M1769" i="1"/>
  <c r="O1769" i="1"/>
  <c r="Q1769" i="1"/>
  <c r="R1769" i="1"/>
  <c r="W1769" i="1"/>
  <c r="AA1769" i="1"/>
  <c r="AM1769" i="1"/>
  <c r="AN1769" i="1"/>
  <c r="AO1769" i="1"/>
  <c r="AQ1769" i="1"/>
  <c r="BB1769" i="1"/>
  <c r="BD1769" i="1"/>
  <c r="B1770" i="1"/>
  <c r="C1770" i="1"/>
  <c r="E1770" i="1"/>
  <c r="F1770" i="1"/>
  <c r="G1770" i="1"/>
  <c r="H1770" i="1"/>
  <c r="I1770" i="1"/>
  <c r="J1770" i="1"/>
  <c r="K1770" i="1"/>
  <c r="M1770" i="1"/>
  <c r="O1770" i="1"/>
  <c r="Q1770" i="1"/>
  <c r="R1770" i="1"/>
  <c r="W1770" i="1"/>
  <c r="AA1770" i="1"/>
  <c r="AM1770" i="1"/>
  <c r="AN1770" i="1"/>
  <c r="AO1770" i="1"/>
  <c r="AQ1770" i="1"/>
  <c r="BB1770" i="1"/>
  <c r="BD1770" i="1"/>
  <c r="B1771" i="1"/>
  <c r="C1771" i="1"/>
  <c r="E1771" i="1"/>
  <c r="F1771" i="1"/>
  <c r="G1771" i="1"/>
  <c r="H1771" i="1"/>
  <c r="I1771" i="1"/>
  <c r="J1771" i="1"/>
  <c r="K1771" i="1"/>
  <c r="M1771" i="1"/>
  <c r="O1771" i="1"/>
  <c r="Q1771" i="1"/>
  <c r="R1771" i="1"/>
  <c r="W1771" i="1"/>
  <c r="AA1771" i="1"/>
  <c r="AM1771" i="1"/>
  <c r="AN1771" i="1"/>
  <c r="AO1771" i="1"/>
  <c r="AQ1771" i="1"/>
  <c r="BB1771" i="1"/>
  <c r="BD1771" i="1"/>
  <c r="B1772" i="1"/>
  <c r="C1772" i="1"/>
  <c r="E1772" i="1"/>
  <c r="F1772" i="1"/>
  <c r="G1772" i="1"/>
  <c r="H1772" i="1"/>
  <c r="I1772" i="1"/>
  <c r="J1772" i="1"/>
  <c r="K1772" i="1"/>
  <c r="M1772" i="1"/>
  <c r="O1772" i="1"/>
  <c r="Q1772" i="1"/>
  <c r="R1772" i="1"/>
  <c r="W1772" i="1"/>
  <c r="AA1772" i="1"/>
  <c r="AM1772" i="1"/>
  <c r="AN1772" i="1"/>
  <c r="AO1772" i="1"/>
  <c r="AQ1772" i="1"/>
  <c r="BB1772" i="1"/>
  <c r="BD1772" i="1"/>
  <c r="B1773" i="1"/>
  <c r="C1773" i="1"/>
  <c r="E1773" i="1"/>
  <c r="F1773" i="1"/>
  <c r="G1773" i="1"/>
  <c r="H1773" i="1"/>
  <c r="I1773" i="1"/>
  <c r="J1773" i="1"/>
  <c r="K1773" i="1"/>
  <c r="M1773" i="1"/>
  <c r="O1773" i="1"/>
  <c r="Q1773" i="1"/>
  <c r="R1773" i="1"/>
  <c r="W1773" i="1"/>
  <c r="AA1773" i="1"/>
  <c r="AM1773" i="1"/>
  <c r="AN1773" i="1"/>
  <c r="AO1773" i="1"/>
  <c r="AQ1773" i="1"/>
  <c r="BB1773" i="1"/>
  <c r="BD1773" i="1"/>
  <c r="B1774" i="1"/>
  <c r="C1774" i="1"/>
  <c r="D1774" i="1"/>
  <c r="E1774" i="1"/>
  <c r="F1774" i="1"/>
  <c r="G1774" i="1"/>
  <c r="H1774" i="1"/>
  <c r="I1774" i="1"/>
  <c r="J1774" i="1"/>
  <c r="K1774" i="1"/>
  <c r="M1774" i="1"/>
  <c r="O1774" i="1"/>
  <c r="Q1774" i="1"/>
  <c r="R1774" i="1"/>
  <c r="W1774" i="1"/>
  <c r="AA1774" i="1"/>
  <c r="AB1774" i="1"/>
  <c r="AM1774" i="1"/>
  <c r="AN1774" i="1"/>
  <c r="AO1774" i="1"/>
  <c r="AQ1774" i="1"/>
  <c r="AX1774" i="1"/>
  <c r="BD1774" i="1"/>
  <c r="B1775" i="1"/>
  <c r="C1775" i="1"/>
  <c r="D1775" i="1"/>
  <c r="E1775" i="1"/>
  <c r="F1775" i="1"/>
  <c r="G1775" i="1"/>
  <c r="H1775" i="1"/>
  <c r="I1775" i="1"/>
  <c r="J1775" i="1"/>
  <c r="K1775" i="1"/>
  <c r="M1775" i="1"/>
  <c r="O1775" i="1"/>
  <c r="Q1775" i="1"/>
  <c r="R1775" i="1"/>
  <c r="W1775" i="1"/>
  <c r="AA1775" i="1"/>
  <c r="AB1775" i="1"/>
  <c r="AE1775" i="1"/>
  <c r="AF1775" i="1"/>
  <c r="AM1775" i="1"/>
  <c r="AN1775" i="1"/>
  <c r="AO1775" i="1"/>
  <c r="AQ1775" i="1"/>
  <c r="AX1775" i="1"/>
  <c r="BD1775" i="1"/>
  <c r="B1776" i="1"/>
  <c r="C1776" i="1"/>
  <c r="E1776" i="1"/>
  <c r="F1776" i="1"/>
  <c r="G1776" i="1"/>
  <c r="H1776" i="1"/>
  <c r="I1776" i="1"/>
  <c r="J1776" i="1"/>
  <c r="K1776" i="1"/>
  <c r="M1776" i="1"/>
  <c r="O1776" i="1"/>
  <c r="Q1776" i="1"/>
  <c r="R1776" i="1"/>
  <c r="W1776" i="1"/>
  <c r="AA1776" i="1"/>
  <c r="AM1776" i="1"/>
  <c r="AN1776" i="1"/>
  <c r="AO1776" i="1"/>
  <c r="AQ1776" i="1"/>
  <c r="BB1776" i="1"/>
  <c r="BD1776" i="1"/>
  <c r="B1777" i="1"/>
  <c r="C1777" i="1"/>
  <c r="E1777" i="1"/>
  <c r="F1777" i="1"/>
  <c r="G1777" i="1"/>
  <c r="H1777" i="1"/>
  <c r="I1777" i="1"/>
  <c r="J1777" i="1"/>
  <c r="K1777" i="1"/>
  <c r="M1777" i="1"/>
  <c r="O1777" i="1"/>
  <c r="Q1777" i="1"/>
  <c r="R1777" i="1"/>
  <c r="W1777" i="1"/>
  <c r="AA1777" i="1"/>
  <c r="AM1777" i="1"/>
  <c r="AN1777" i="1"/>
  <c r="AO1777" i="1"/>
  <c r="AQ1777" i="1"/>
  <c r="BB1777" i="1"/>
  <c r="BD1777" i="1"/>
  <c r="B1778" i="1"/>
  <c r="E1778" i="1"/>
  <c r="F1778" i="1"/>
  <c r="G1778" i="1"/>
  <c r="H1778" i="1"/>
  <c r="I1778" i="1"/>
  <c r="J1778" i="1"/>
  <c r="K1778" i="1"/>
  <c r="M1778" i="1"/>
  <c r="O1778" i="1"/>
  <c r="Q1778" i="1"/>
  <c r="R1778" i="1"/>
  <c r="W1778" i="1"/>
  <c r="AA1778" i="1"/>
  <c r="AB1778" i="1"/>
  <c r="AE1778" i="1"/>
  <c r="AF1778" i="1"/>
  <c r="AM1778" i="1"/>
  <c r="AN1778" i="1"/>
  <c r="AO1778" i="1"/>
  <c r="AQ1778" i="1"/>
  <c r="AX1778" i="1"/>
  <c r="BD1778" i="1"/>
  <c r="B1779" i="1"/>
  <c r="E1779" i="1"/>
  <c r="F1779" i="1"/>
  <c r="G1779" i="1"/>
  <c r="H1779" i="1"/>
  <c r="I1779" i="1"/>
  <c r="J1779" i="1"/>
  <c r="K1779" i="1"/>
  <c r="M1779" i="1"/>
  <c r="O1779" i="1"/>
  <c r="Q1779" i="1"/>
  <c r="R1779" i="1"/>
  <c r="W1779" i="1"/>
  <c r="AA1779" i="1"/>
  <c r="AB1779" i="1"/>
  <c r="AE1779" i="1"/>
  <c r="AF1779" i="1"/>
  <c r="AM1779" i="1"/>
  <c r="AN1779" i="1"/>
  <c r="AO1779" i="1"/>
  <c r="AQ1779" i="1"/>
  <c r="AX1779" i="1"/>
  <c r="BD1779" i="1"/>
  <c r="B1780" i="1"/>
  <c r="E1780" i="1"/>
  <c r="F1780" i="1"/>
  <c r="G1780" i="1"/>
  <c r="H1780" i="1"/>
  <c r="I1780" i="1"/>
  <c r="J1780" i="1"/>
  <c r="K1780" i="1"/>
  <c r="M1780" i="1"/>
  <c r="O1780" i="1"/>
  <c r="Q1780" i="1"/>
  <c r="R1780" i="1"/>
  <c r="W1780" i="1"/>
  <c r="AA1780" i="1"/>
  <c r="AB1780" i="1"/>
  <c r="AE1780" i="1"/>
  <c r="AF1780" i="1"/>
  <c r="AM1780" i="1"/>
  <c r="AN1780" i="1"/>
  <c r="AO1780" i="1"/>
  <c r="AQ1780" i="1"/>
  <c r="AX1780" i="1"/>
  <c r="BD1780" i="1"/>
  <c r="B1781" i="1"/>
  <c r="E1781" i="1"/>
  <c r="F1781" i="1"/>
  <c r="G1781" i="1"/>
  <c r="H1781" i="1"/>
  <c r="I1781" i="1"/>
  <c r="J1781" i="1"/>
  <c r="K1781" i="1"/>
  <c r="M1781" i="1"/>
  <c r="O1781" i="1"/>
  <c r="Q1781" i="1"/>
  <c r="R1781" i="1"/>
  <c r="W1781" i="1"/>
  <c r="AA1781" i="1"/>
  <c r="AB1781" i="1"/>
  <c r="AE1781" i="1"/>
  <c r="AF1781" i="1"/>
  <c r="AM1781" i="1"/>
  <c r="AN1781" i="1"/>
  <c r="AO1781" i="1"/>
  <c r="AQ1781" i="1"/>
  <c r="AX1781" i="1"/>
  <c r="BD1781" i="1"/>
  <c r="B1782" i="1"/>
  <c r="E1782" i="1"/>
  <c r="F1782" i="1"/>
  <c r="G1782" i="1"/>
  <c r="H1782" i="1"/>
  <c r="I1782" i="1"/>
  <c r="J1782" i="1"/>
  <c r="K1782" i="1"/>
  <c r="M1782" i="1"/>
  <c r="O1782" i="1"/>
  <c r="Q1782" i="1"/>
  <c r="R1782" i="1"/>
  <c r="W1782" i="1"/>
  <c r="AA1782" i="1"/>
  <c r="AM1782" i="1"/>
  <c r="AN1782" i="1"/>
  <c r="AO1782" i="1"/>
  <c r="AQ1782" i="1"/>
  <c r="BB1782" i="1"/>
  <c r="BD1782" i="1"/>
  <c r="B1783" i="1"/>
  <c r="E1783" i="1"/>
  <c r="F1783" i="1"/>
  <c r="G1783" i="1"/>
  <c r="H1783" i="1"/>
  <c r="I1783" i="1"/>
  <c r="J1783" i="1"/>
  <c r="K1783" i="1"/>
  <c r="M1783" i="1"/>
  <c r="O1783" i="1"/>
  <c r="Q1783" i="1"/>
  <c r="R1783" i="1"/>
  <c r="W1783" i="1"/>
  <c r="AA1783" i="1"/>
  <c r="AM1783" i="1"/>
  <c r="AN1783" i="1"/>
  <c r="AO1783" i="1"/>
  <c r="AQ1783" i="1"/>
  <c r="BB1783" i="1"/>
  <c r="BD1783" i="1"/>
  <c r="B1784" i="1"/>
  <c r="E1784" i="1"/>
  <c r="F1784" i="1"/>
  <c r="G1784" i="1"/>
  <c r="H1784" i="1"/>
  <c r="I1784" i="1"/>
  <c r="J1784" i="1"/>
  <c r="K1784" i="1"/>
  <c r="M1784" i="1"/>
  <c r="O1784" i="1"/>
  <c r="Q1784" i="1"/>
  <c r="R1784" i="1"/>
  <c r="W1784" i="1"/>
  <c r="AA1784" i="1"/>
  <c r="AM1784" i="1"/>
  <c r="AN1784" i="1"/>
  <c r="AO1784" i="1"/>
  <c r="AQ1784" i="1"/>
  <c r="BB1784" i="1"/>
  <c r="BD1784" i="1"/>
  <c r="B1785" i="1"/>
  <c r="C1785" i="1"/>
  <c r="E1785" i="1"/>
  <c r="F1785" i="1"/>
  <c r="G1785" i="1"/>
  <c r="H1785" i="1"/>
  <c r="I1785" i="1"/>
  <c r="J1785" i="1"/>
  <c r="K1785" i="1"/>
  <c r="M1785" i="1"/>
  <c r="O1785" i="1"/>
  <c r="Q1785" i="1"/>
  <c r="R1785" i="1"/>
  <c r="W1785" i="1"/>
  <c r="AA1785" i="1"/>
  <c r="AM1785" i="1"/>
  <c r="AN1785" i="1"/>
  <c r="AO1785" i="1"/>
  <c r="AQ1785" i="1"/>
  <c r="BB1785" i="1"/>
  <c r="BD1785" i="1"/>
  <c r="B1786" i="1"/>
  <c r="E1786" i="1"/>
  <c r="F1786" i="1"/>
  <c r="G1786" i="1"/>
  <c r="H1786" i="1"/>
  <c r="I1786" i="1"/>
  <c r="J1786" i="1"/>
  <c r="K1786" i="1"/>
  <c r="M1786" i="1"/>
  <c r="O1786" i="1"/>
  <c r="Q1786" i="1"/>
  <c r="R1786" i="1"/>
  <c r="W1786" i="1"/>
  <c r="AA1786" i="1"/>
  <c r="AM1786" i="1"/>
  <c r="AN1786" i="1"/>
  <c r="AO1786" i="1"/>
  <c r="AQ1786" i="1"/>
  <c r="BB1786" i="1"/>
  <c r="BD1786" i="1"/>
  <c r="B1787" i="1"/>
  <c r="E1787" i="1"/>
  <c r="F1787" i="1"/>
  <c r="G1787" i="1"/>
  <c r="H1787" i="1"/>
  <c r="I1787" i="1"/>
  <c r="J1787" i="1"/>
  <c r="K1787" i="1"/>
  <c r="M1787" i="1"/>
  <c r="O1787" i="1"/>
  <c r="Q1787" i="1"/>
  <c r="R1787" i="1"/>
  <c r="W1787" i="1"/>
  <c r="AA1787" i="1"/>
  <c r="AM1787" i="1"/>
  <c r="AN1787" i="1"/>
  <c r="AO1787" i="1"/>
  <c r="AQ1787" i="1"/>
  <c r="BB1787" i="1"/>
  <c r="BD1787" i="1"/>
  <c r="B1788" i="1"/>
  <c r="E1788" i="1"/>
  <c r="F1788" i="1"/>
  <c r="G1788" i="1"/>
  <c r="H1788" i="1"/>
  <c r="I1788" i="1"/>
  <c r="J1788" i="1"/>
  <c r="K1788" i="1"/>
  <c r="M1788" i="1"/>
  <c r="O1788" i="1"/>
  <c r="Q1788" i="1"/>
  <c r="R1788" i="1"/>
  <c r="W1788" i="1"/>
  <c r="AA1788" i="1"/>
  <c r="AM1788" i="1"/>
  <c r="AN1788" i="1"/>
  <c r="AO1788" i="1"/>
  <c r="AQ1788" i="1"/>
  <c r="BB1788" i="1"/>
  <c r="BD1788" i="1"/>
  <c r="B1789" i="1"/>
  <c r="E1789" i="1"/>
  <c r="F1789" i="1"/>
  <c r="G1789" i="1"/>
  <c r="H1789" i="1"/>
  <c r="I1789" i="1"/>
  <c r="J1789" i="1"/>
  <c r="K1789" i="1"/>
  <c r="M1789" i="1"/>
  <c r="O1789" i="1"/>
  <c r="Q1789" i="1"/>
  <c r="R1789" i="1"/>
  <c r="W1789" i="1"/>
  <c r="AA1789" i="1"/>
  <c r="AM1789" i="1"/>
  <c r="AN1789" i="1"/>
  <c r="AO1789" i="1"/>
  <c r="AQ1789" i="1"/>
  <c r="BB1789" i="1"/>
  <c r="BD1789" i="1"/>
  <c r="B1790" i="1"/>
  <c r="E1790" i="1"/>
  <c r="F1790" i="1"/>
  <c r="G1790" i="1"/>
  <c r="H1790" i="1"/>
  <c r="I1790" i="1"/>
  <c r="J1790" i="1"/>
  <c r="K1790" i="1"/>
  <c r="M1790" i="1"/>
  <c r="O1790" i="1"/>
  <c r="Q1790" i="1"/>
  <c r="R1790" i="1"/>
  <c r="W1790" i="1"/>
  <c r="AA1790" i="1"/>
  <c r="AB1790" i="1"/>
  <c r="AM1790" i="1"/>
  <c r="AN1790" i="1"/>
  <c r="AO1790" i="1"/>
  <c r="AQ1790" i="1"/>
  <c r="AX1790" i="1"/>
  <c r="BD1790" i="1"/>
  <c r="B1791" i="1"/>
  <c r="E1791" i="1"/>
  <c r="F1791" i="1"/>
  <c r="G1791" i="1"/>
  <c r="H1791" i="1"/>
  <c r="I1791" i="1"/>
  <c r="J1791" i="1"/>
  <c r="K1791" i="1"/>
  <c r="M1791" i="1"/>
  <c r="O1791" i="1"/>
  <c r="Q1791" i="1"/>
  <c r="R1791" i="1"/>
  <c r="W1791" i="1"/>
  <c r="AA1791" i="1"/>
  <c r="AB1791" i="1"/>
  <c r="AM1791" i="1"/>
  <c r="AN1791" i="1"/>
  <c r="AO1791" i="1"/>
  <c r="AQ1791" i="1"/>
  <c r="AX1791" i="1"/>
  <c r="BD1791" i="1"/>
  <c r="B1792" i="1"/>
  <c r="E1792" i="1"/>
  <c r="F1792" i="1"/>
  <c r="G1792" i="1"/>
  <c r="H1792" i="1"/>
  <c r="I1792" i="1"/>
  <c r="J1792" i="1"/>
  <c r="K1792" i="1"/>
  <c r="M1792" i="1"/>
  <c r="O1792" i="1"/>
  <c r="Q1792" i="1"/>
  <c r="R1792" i="1"/>
  <c r="W1792" i="1"/>
  <c r="AA1792" i="1"/>
  <c r="AM1792" i="1"/>
  <c r="AN1792" i="1"/>
  <c r="AO1792" i="1"/>
  <c r="AQ1792" i="1"/>
  <c r="BB1792" i="1"/>
  <c r="BD1792" i="1"/>
  <c r="B1793" i="1"/>
  <c r="E1793" i="1"/>
  <c r="F1793" i="1"/>
  <c r="G1793" i="1"/>
  <c r="H1793" i="1"/>
  <c r="I1793" i="1"/>
  <c r="J1793" i="1"/>
  <c r="K1793" i="1"/>
  <c r="M1793" i="1"/>
  <c r="O1793" i="1"/>
  <c r="Q1793" i="1"/>
  <c r="R1793" i="1"/>
  <c r="W1793" i="1"/>
  <c r="AA1793" i="1"/>
  <c r="AM1793" i="1"/>
  <c r="AN1793" i="1"/>
  <c r="AO1793" i="1"/>
  <c r="AQ1793" i="1"/>
  <c r="BB1793" i="1"/>
  <c r="BD1793" i="1"/>
  <c r="B1794" i="1"/>
  <c r="E1794" i="1"/>
  <c r="F1794" i="1"/>
  <c r="G1794" i="1"/>
  <c r="H1794" i="1"/>
  <c r="I1794" i="1"/>
  <c r="J1794" i="1"/>
  <c r="K1794" i="1"/>
  <c r="M1794" i="1"/>
  <c r="O1794" i="1"/>
  <c r="Q1794" i="1"/>
  <c r="R1794" i="1"/>
  <c r="W1794" i="1"/>
  <c r="AA1794" i="1"/>
  <c r="AM1794" i="1"/>
  <c r="AN1794" i="1"/>
  <c r="AO1794" i="1"/>
  <c r="AQ1794" i="1"/>
  <c r="BB1794" i="1"/>
  <c r="BD1794" i="1"/>
  <c r="B1795" i="1"/>
  <c r="E1795" i="1"/>
  <c r="F1795" i="1"/>
  <c r="G1795" i="1"/>
  <c r="H1795" i="1"/>
  <c r="I1795" i="1"/>
  <c r="J1795" i="1"/>
  <c r="K1795" i="1"/>
  <c r="M1795" i="1"/>
  <c r="O1795" i="1"/>
  <c r="Q1795" i="1"/>
  <c r="R1795" i="1"/>
  <c r="W1795" i="1"/>
  <c r="AA1795" i="1"/>
  <c r="AM1795" i="1"/>
  <c r="AN1795" i="1"/>
  <c r="AO1795" i="1"/>
  <c r="AQ1795" i="1"/>
  <c r="BB1795" i="1"/>
  <c r="BD1795" i="1"/>
  <c r="B1796" i="1"/>
  <c r="E1796" i="1"/>
  <c r="F1796" i="1"/>
  <c r="G1796" i="1"/>
  <c r="H1796" i="1"/>
  <c r="I1796" i="1"/>
  <c r="J1796" i="1"/>
  <c r="K1796" i="1"/>
  <c r="M1796" i="1"/>
  <c r="O1796" i="1"/>
  <c r="Q1796" i="1"/>
  <c r="R1796" i="1"/>
  <c r="W1796" i="1"/>
  <c r="AA1796" i="1"/>
  <c r="AB1796" i="1"/>
  <c r="AM1796" i="1"/>
  <c r="AN1796" i="1"/>
  <c r="AO1796" i="1"/>
  <c r="AQ1796" i="1"/>
  <c r="AX1796" i="1"/>
  <c r="BD1796" i="1"/>
  <c r="B1797" i="1"/>
  <c r="E1797" i="1"/>
  <c r="F1797" i="1"/>
  <c r="G1797" i="1"/>
  <c r="H1797" i="1"/>
  <c r="I1797" i="1"/>
  <c r="J1797" i="1"/>
  <c r="K1797" i="1"/>
  <c r="M1797" i="1"/>
  <c r="O1797" i="1"/>
  <c r="Q1797" i="1"/>
  <c r="R1797" i="1"/>
  <c r="W1797" i="1"/>
  <c r="AA1797" i="1"/>
  <c r="AB1797" i="1"/>
  <c r="AM1797" i="1"/>
  <c r="AN1797" i="1"/>
  <c r="AO1797" i="1"/>
  <c r="AQ1797" i="1"/>
  <c r="AX1797" i="1"/>
  <c r="BD1797" i="1"/>
  <c r="B1798" i="1"/>
  <c r="E1798" i="1"/>
  <c r="F1798" i="1"/>
  <c r="G1798" i="1"/>
  <c r="H1798" i="1"/>
  <c r="I1798" i="1"/>
  <c r="J1798" i="1"/>
  <c r="K1798" i="1"/>
  <c r="M1798" i="1"/>
  <c r="O1798" i="1"/>
  <c r="Q1798" i="1"/>
  <c r="R1798" i="1"/>
  <c r="W1798" i="1"/>
  <c r="AA1798" i="1"/>
  <c r="AM1798" i="1"/>
  <c r="AN1798" i="1"/>
  <c r="AO1798" i="1"/>
  <c r="AQ1798" i="1"/>
  <c r="BB1798" i="1"/>
  <c r="BD1798" i="1"/>
  <c r="B1799" i="1"/>
  <c r="E1799" i="1"/>
  <c r="F1799" i="1"/>
  <c r="G1799" i="1"/>
  <c r="H1799" i="1"/>
  <c r="I1799" i="1"/>
  <c r="J1799" i="1"/>
  <c r="K1799" i="1"/>
  <c r="M1799" i="1"/>
  <c r="O1799" i="1"/>
  <c r="Q1799" i="1"/>
  <c r="R1799" i="1"/>
  <c r="W1799" i="1"/>
  <c r="AA1799" i="1"/>
  <c r="AM1799" i="1"/>
  <c r="AN1799" i="1"/>
  <c r="AO1799" i="1"/>
  <c r="AQ1799" i="1"/>
  <c r="BD1799" i="1"/>
  <c r="B1800" i="1"/>
  <c r="E1800" i="1"/>
  <c r="F1800" i="1"/>
  <c r="G1800" i="1"/>
  <c r="H1800" i="1"/>
  <c r="I1800" i="1"/>
  <c r="J1800" i="1"/>
  <c r="K1800" i="1"/>
  <c r="M1800" i="1"/>
  <c r="O1800" i="1"/>
  <c r="Q1800" i="1"/>
  <c r="R1800" i="1"/>
  <c r="W1800" i="1"/>
  <c r="AA1800" i="1"/>
  <c r="AM1800" i="1"/>
  <c r="AN1800" i="1"/>
  <c r="AO1800" i="1"/>
  <c r="AQ1800" i="1"/>
  <c r="BD1800" i="1"/>
  <c r="B1801" i="1"/>
  <c r="E1801" i="1"/>
  <c r="F1801" i="1"/>
  <c r="G1801" i="1"/>
  <c r="H1801" i="1"/>
  <c r="I1801" i="1"/>
  <c r="J1801" i="1"/>
  <c r="K1801" i="1"/>
  <c r="M1801" i="1"/>
  <c r="O1801" i="1"/>
  <c r="Q1801" i="1"/>
  <c r="R1801" i="1"/>
  <c r="W1801" i="1"/>
  <c r="AA1801" i="1"/>
  <c r="AM1801" i="1"/>
  <c r="AN1801" i="1"/>
  <c r="AO1801" i="1"/>
  <c r="AQ1801" i="1"/>
  <c r="BD1801" i="1"/>
  <c r="B1802" i="1"/>
  <c r="E1802" i="1"/>
  <c r="F1802" i="1"/>
  <c r="G1802" i="1"/>
  <c r="H1802" i="1"/>
  <c r="I1802" i="1"/>
  <c r="J1802" i="1"/>
  <c r="K1802" i="1"/>
  <c r="M1802" i="1"/>
  <c r="O1802" i="1"/>
  <c r="Q1802" i="1"/>
  <c r="R1802" i="1"/>
  <c r="W1802" i="1"/>
  <c r="AA1802" i="1"/>
  <c r="AM1802" i="1"/>
  <c r="AN1802" i="1"/>
  <c r="AO1802" i="1"/>
  <c r="AQ1802" i="1"/>
  <c r="BD1802" i="1"/>
  <c r="B1803" i="1"/>
  <c r="E1803" i="1"/>
  <c r="F1803" i="1"/>
  <c r="G1803" i="1"/>
  <c r="H1803" i="1"/>
  <c r="I1803" i="1"/>
  <c r="J1803" i="1"/>
  <c r="K1803" i="1"/>
  <c r="M1803" i="1"/>
  <c r="O1803" i="1"/>
  <c r="Q1803" i="1"/>
  <c r="R1803" i="1"/>
  <c r="W1803" i="1"/>
  <c r="AA1803" i="1"/>
  <c r="AM1803" i="1"/>
  <c r="AN1803" i="1"/>
  <c r="AO1803" i="1"/>
  <c r="AQ1803" i="1"/>
  <c r="BD1803" i="1"/>
  <c r="B1804" i="1"/>
  <c r="E1804" i="1"/>
  <c r="F1804" i="1"/>
  <c r="G1804" i="1"/>
  <c r="H1804" i="1"/>
  <c r="I1804" i="1"/>
  <c r="J1804" i="1"/>
  <c r="K1804" i="1"/>
  <c r="M1804" i="1"/>
  <c r="O1804" i="1"/>
  <c r="Q1804" i="1"/>
  <c r="R1804" i="1"/>
  <c r="W1804" i="1"/>
  <c r="AA1804" i="1"/>
  <c r="AM1804" i="1"/>
  <c r="AN1804" i="1"/>
  <c r="AO1804" i="1"/>
  <c r="AQ1804" i="1"/>
  <c r="BD1804" i="1"/>
  <c r="B1805" i="1"/>
  <c r="E1805" i="1"/>
  <c r="F1805" i="1"/>
  <c r="G1805" i="1"/>
  <c r="H1805" i="1"/>
  <c r="I1805" i="1"/>
  <c r="J1805" i="1"/>
  <c r="K1805" i="1"/>
  <c r="M1805" i="1"/>
  <c r="O1805" i="1"/>
  <c r="Q1805" i="1"/>
  <c r="R1805" i="1"/>
  <c r="W1805" i="1"/>
  <c r="AA1805" i="1"/>
  <c r="AM1805" i="1"/>
  <c r="AN1805" i="1"/>
  <c r="AO1805" i="1"/>
  <c r="AQ1805" i="1"/>
  <c r="BD1805" i="1"/>
  <c r="B1806" i="1"/>
  <c r="E1806" i="1"/>
  <c r="F1806" i="1"/>
  <c r="G1806" i="1"/>
  <c r="H1806" i="1"/>
  <c r="I1806" i="1"/>
  <c r="J1806" i="1"/>
  <c r="K1806" i="1"/>
  <c r="M1806" i="1"/>
  <c r="O1806" i="1"/>
  <c r="Q1806" i="1"/>
  <c r="R1806" i="1"/>
  <c r="W1806" i="1"/>
  <c r="AA1806" i="1"/>
  <c r="AM1806" i="1"/>
  <c r="AN1806" i="1"/>
  <c r="AO1806" i="1"/>
  <c r="AQ1806" i="1"/>
  <c r="BD1806" i="1"/>
  <c r="B1807" i="1"/>
  <c r="E1807" i="1"/>
  <c r="F1807" i="1"/>
  <c r="G1807" i="1"/>
  <c r="H1807" i="1"/>
  <c r="I1807" i="1"/>
  <c r="J1807" i="1"/>
  <c r="K1807" i="1"/>
  <c r="M1807" i="1"/>
  <c r="O1807" i="1"/>
  <c r="Q1807" i="1"/>
  <c r="R1807" i="1"/>
  <c r="W1807" i="1"/>
  <c r="AA1807" i="1"/>
  <c r="AM1807" i="1"/>
  <c r="AN1807" i="1"/>
  <c r="AO1807" i="1"/>
  <c r="AQ1807" i="1"/>
  <c r="BD1807" i="1"/>
  <c r="B1808" i="1"/>
  <c r="E1808" i="1"/>
  <c r="F1808" i="1"/>
  <c r="G1808" i="1"/>
  <c r="H1808" i="1"/>
  <c r="I1808" i="1"/>
  <c r="J1808" i="1"/>
  <c r="K1808" i="1"/>
  <c r="M1808" i="1"/>
  <c r="O1808" i="1"/>
  <c r="Q1808" i="1"/>
  <c r="R1808" i="1"/>
  <c r="W1808" i="1"/>
  <c r="AA1808" i="1"/>
  <c r="AM1808" i="1"/>
  <c r="AN1808" i="1"/>
  <c r="AO1808" i="1"/>
  <c r="AQ1808" i="1"/>
  <c r="BD1808" i="1"/>
  <c r="B1809" i="1"/>
  <c r="E1809" i="1"/>
  <c r="F1809" i="1"/>
  <c r="G1809" i="1"/>
  <c r="H1809" i="1"/>
  <c r="I1809" i="1"/>
  <c r="J1809" i="1"/>
  <c r="K1809" i="1"/>
  <c r="M1809" i="1"/>
  <c r="O1809" i="1"/>
  <c r="Q1809" i="1"/>
  <c r="R1809" i="1"/>
  <c r="W1809" i="1"/>
  <c r="AA1809" i="1"/>
  <c r="AM1809" i="1"/>
  <c r="AN1809" i="1"/>
  <c r="AO1809" i="1"/>
  <c r="AQ1809" i="1"/>
  <c r="BD1809" i="1"/>
  <c r="B1810" i="1"/>
  <c r="E1810" i="1"/>
  <c r="F1810" i="1"/>
  <c r="G1810" i="1"/>
  <c r="H1810" i="1"/>
  <c r="I1810" i="1"/>
  <c r="J1810" i="1"/>
  <c r="K1810" i="1"/>
  <c r="M1810" i="1"/>
  <c r="O1810" i="1"/>
  <c r="Q1810" i="1"/>
  <c r="R1810" i="1"/>
  <c r="W1810" i="1"/>
  <c r="AA1810" i="1"/>
  <c r="AM1810" i="1"/>
  <c r="AN1810" i="1"/>
  <c r="AO1810" i="1"/>
  <c r="AQ1810" i="1"/>
  <c r="BD1810" i="1"/>
  <c r="B1811" i="1"/>
  <c r="E1811" i="1"/>
  <c r="F1811" i="1"/>
  <c r="G1811" i="1"/>
  <c r="H1811" i="1"/>
  <c r="I1811" i="1"/>
  <c r="J1811" i="1"/>
  <c r="K1811" i="1"/>
  <c r="M1811" i="1"/>
  <c r="O1811" i="1"/>
  <c r="Q1811" i="1"/>
  <c r="R1811" i="1"/>
  <c r="W1811" i="1"/>
  <c r="AA1811" i="1"/>
  <c r="AM1811" i="1"/>
  <c r="AN1811" i="1"/>
  <c r="AO1811" i="1"/>
  <c r="AQ1811" i="1"/>
  <c r="BD1811" i="1"/>
  <c r="B1812" i="1"/>
  <c r="C1812" i="1"/>
  <c r="E1812" i="1"/>
  <c r="F1812" i="1"/>
  <c r="G1812" i="1"/>
  <c r="H1812" i="1"/>
  <c r="I1812" i="1"/>
  <c r="J1812" i="1"/>
  <c r="K1812" i="1"/>
  <c r="M1812" i="1"/>
  <c r="O1812" i="1"/>
  <c r="Q1812" i="1"/>
  <c r="R1812" i="1"/>
  <c r="W1812" i="1"/>
  <c r="AA1812" i="1"/>
  <c r="AM1812" i="1"/>
  <c r="AN1812" i="1"/>
  <c r="AO1812" i="1"/>
  <c r="AQ1812" i="1"/>
  <c r="BB1812" i="1"/>
  <c r="BD1812" i="1"/>
  <c r="B1813" i="1"/>
  <c r="C1813" i="1"/>
  <c r="E1813" i="1"/>
  <c r="F1813" i="1"/>
  <c r="G1813" i="1"/>
  <c r="H1813" i="1"/>
  <c r="I1813" i="1"/>
  <c r="J1813" i="1"/>
  <c r="K1813" i="1"/>
  <c r="M1813" i="1"/>
  <c r="O1813" i="1"/>
  <c r="Q1813" i="1"/>
  <c r="R1813" i="1"/>
  <c r="W1813" i="1"/>
  <c r="AA1813" i="1"/>
  <c r="AM1813" i="1"/>
  <c r="AN1813" i="1"/>
  <c r="AO1813" i="1"/>
  <c r="AQ1813" i="1"/>
  <c r="BB1813" i="1"/>
  <c r="BD1813" i="1"/>
  <c r="B1814" i="1"/>
  <c r="C1814" i="1"/>
  <c r="E1814" i="1"/>
  <c r="F1814" i="1"/>
  <c r="G1814" i="1"/>
  <c r="H1814" i="1"/>
  <c r="I1814" i="1"/>
  <c r="J1814" i="1"/>
  <c r="K1814" i="1"/>
  <c r="M1814" i="1"/>
  <c r="O1814" i="1"/>
  <c r="Q1814" i="1"/>
  <c r="R1814" i="1"/>
  <c r="W1814" i="1"/>
  <c r="AA1814" i="1"/>
  <c r="AM1814" i="1"/>
  <c r="AN1814" i="1"/>
  <c r="AO1814" i="1"/>
  <c r="AQ1814" i="1"/>
  <c r="BB1814" i="1"/>
  <c r="BD1814" i="1"/>
  <c r="B1815" i="1"/>
  <c r="C1815" i="1"/>
  <c r="E1815" i="1"/>
  <c r="F1815" i="1"/>
  <c r="G1815" i="1"/>
  <c r="H1815" i="1"/>
  <c r="I1815" i="1"/>
  <c r="J1815" i="1"/>
  <c r="K1815" i="1"/>
  <c r="M1815" i="1"/>
  <c r="O1815" i="1"/>
  <c r="Q1815" i="1"/>
  <c r="R1815" i="1"/>
  <c r="W1815" i="1"/>
  <c r="AA1815" i="1"/>
  <c r="AM1815" i="1"/>
  <c r="AN1815" i="1"/>
  <c r="AO1815" i="1"/>
  <c r="AQ1815" i="1"/>
  <c r="BB1815" i="1"/>
  <c r="BD1815" i="1"/>
  <c r="B1816" i="1"/>
  <c r="C1816" i="1"/>
  <c r="E1816" i="1"/>
  <c r="F1816" i="1"/>
  <c r="G1816" i="1"/>
  <c r="H1816" i="1"/>
  <c r="I1816" i="1"/>
  <c r="J1816" i="1"/>
  <c r="K1816" i="1"/>
  <c r="M1816" i="1"/>
  <c r="O1816" i="1"/>
  <c r="Q1816" i="1"/>
  <c r="R1816" i="1"/>
  <c r="W1816" i="1"/>
  <c r="AA1816" i="1"/>
  <c r="AB1816" i="1"/>
  <c r="AE1816" i="1"/>
  <c r="AF1816" i="1"/>
  <c r="AM1816" i="1"/>
  <c r="AN1816" i="1"/>
  <c r="AO1816" i="1"/>
  <c r="AQ1816" i="1"/>
  <c r="AX1816" i="1"/>
  <c r="BD1816" i="1"/>
  <c r="B1817" i="1"/>
  <c r="C1817" i="1"/>
  <c r="E1817" i="1"/>
  <c r="F1817" i="1"/>
  <c r="G1817" i="1"/>
  <c r="H1817" i="1"/>
  <c r="I1817" i="1"/>
  <c r="J1817" i="1"/>
  <c r="K1817" i="1"/>
  <c r="M1817" i="1"/>
  <c r="O1817" i="1"/>
  <c r="Q1817" i="1"/>
  <c r="R1817" i="1"/>
  <c r="W1817" i="1"/>
  <c r="AA1817" i="1"/>
  <c r="AM1817" i="1"/>
  <c r="AN1817" i="1"/>
  <c r="AO1817" i="1"/>
  <c r="AQ1817" i="1"/>
  <c r="BB1817" i="1"/>
  <c r="BD1817" i="1"/>
  <c r="B1818" i="1"/>
  <c r="C1818" i="1"/>
  <c r="E1818" i="1"/>
  <c r="F1818" i="1"/>
  <c r="G1818" i="1"/>
  <c r="H1818" i="1"/>
  <c r="I1818" i="1"/>
  <c r="J1818" i="1"/>
  <c r="K1818" i="1"/>
  <c r="M1818" i="1"/>
  <c r="O1818" i="1"/>
  <c r="Q1818" i="1"/>
  <c r="R1818" i="1"/>
  <c r="W1818" i="1"/>
  <c r="AA1818" i="1"/>
  <c r="AB1818" i="1"/>
  <c r="AE1818" i="1"/>
  <c r="AF1818" i="1"/>
  <c r="AM1818" i="1"/>
  <c r="AN1818" i="1"/>
  <c r="AO1818" i="1"/>
  <c r="AQ1818" i="1"/>
  <c r="AX1818" i="1"/>
  <c r="BD1818" i="1"/>
  <c r="B1819" i="1"/>
  <c r="C1819" i="1"/>
  <c r="E1819" i="1"/>
  <c r="F1819" i="1"/>
  <c r="G1819" i="1"/>
  <c r="H1819" i="1"/>
  <c r="I1819" i="1"/>
  <c r="J1819" i="1"/>
  <c r="K1819" i="1"/>
  <c r="M1819" i="1"/>
  <c r="O1819" i="1"/>
  <c r="Q1819" i="1"/>
  <c r="R1819" i="1"/>
  <c r="W1819" i="1"/>
  <c r="AA1819" i="1"/>
  <c r="AB1819" i="1"/>
  <c r="AE1819" i="1"/>
  <c r="AF1819" i="1"/>
  <c r="AM1819" i="1"/>
  <c r="AN1819" i="1"/>
  <c r="AO1819" i="1"/>
  <c r="AQ1819" i="1"/>
  <c r="AX1819" i="1"/>
  <c r="BD1819" i="1"/>
  <c r="B1820" i="1"/>
  <c r="C1820" i="1"/>
  <c r="E1820" i="1"/>
  <c r="F1820" i="1"/>
  <c r="G1820" i="1"/>
  <c r="H1820" i="1"/>
  <c r="I1820" i="1"/>
  <c r="J1820" i="1"/>
  <c r="K1820" i="1"/>
  <c r="M1820" i="1"/>
  <c r="O1820" i="1"/>
  <c r="Q1820" i="1"/>
  <c r="R1820" i="1"/>
  <c r="W1820" i="1"/>
  <c r="AA1820" i="1"/>
  <c r="AB1820" i="1"/>
  <c r="AE1820" i="1"/>
  <c r="AF1820" i="1"/>
  <c r="AM1820" i="1"/>
  <c r="AN1820" i="1"/>
  <c r="AO1820" i="1"/>
  <c r="AQ1820" i="1"/>
  <c r="AX1820" i="1"/>
  <c r="BD1820" i="1"/>
  <c r="B1821" i="1"/>
  <c r="C1821" i="1"/>
  <c r="E1821" i="1"/>
  <c r="F1821" i="1"/>
  <c r="G1821" i="1"/>
  <c r="H1821" i="1"/>
  <c r="I1821" i="1"/>
  <c r="J1821" i="1"/>
  <c r="K1821" i="1"/>
  <c r="M1821" i="1"/>
  <c r="O1821" i="1"/>
  <c r="Q1821" i="1"/>
  <c r="R1821" i="1"/>
  <c r="W1821" i="1"/>
  <c r="AA1821" i="1"/>
  <c r="AB1821" i="1"/>
  <c r="AE1821" i="1"/>
  <c r="AF1821" i="1"/>
  <c r="AM1821" i="1"/>
  <c r="AN1821" i="1"/>
  <c r="AO1821" i="1"/>
  <c r="AQ1821" i="1"/>
  <c r="AX1821" i="1"/>
  <c r="BD1821" i="1"/>
  <c r="B1822" i="1"/>
  <c r="C1822" i="1"/>
  <c r="E1822" i="1"/>
  <c r="F1822" i="1"/>
  <c r="G1822" i="1"/>
  <c r="H1822" i="1"/>
  <c r="I1822" i="1"/>
  <c r="J1822" i="1"/>
  <c r="K1822" i="1"/>
  <c r="M1822" i="1"/>
  <c r="O1822" i="1"/>
  <c r="Q1822" i="1"/>
  <c r="R1822" i="1"/>
  <c r="W1822" i="1"/>
  <c r="AA1822" i="1"/>
  <c r="AB1822" i="1"/>
  <c r="AE1822" i="1"/>
  <c r="AF1822" i="1"/>
  <c r="AM1822" i="1"/>
  <c r="AN1822" i="1"/>
  <c r="AO1822" i="1"/>
  <c r="AQ1822" i="1"/>
  <c r="AX1822" i="1"/>
  <c r="BD1822" i="1"/>
  <c r="B1823" i="1"/>
  <c r="C1823" i="1"/>
  <c r="D1823" i="1"/>
  <c r="E1823" i="1"/>
  <c r="F1823" i="1"/>
  <c r="G1823" i="1"/>
  <c r="H1823" i="1"/>
  <c r="I1823" i="1"/>
  <c r="J1823" i="1"/>
  <c r="K1823" i="1"/>
  <c r="M1823" i="1"/>
  <c r="O1823" i="1"/>
  <c r="Q1823" i="1"/>
  <c r="R1823" i="1"/>
  <c r="W1823" i="1"/>
  <c r="AA1823" i="1"/>
  <c r="AB1823" i="1"/>
  <c r="AE1823" i="1"/>
  <c r="AF1823" i="1"/>
  <c r="AM1823" i="1"/>
  <c r="AN1823" i="1"/>
  <c r="AO1823" i="1"/>
  <c r="AQ1823" i="1"/>
  <c r="AX1823" i="1"/>
  <c r="BD1823" i="1"/>
  <c r="B1824" i="1"/>
  <c r="C1824" i="1"/>
  <c r="E1824" i="1"/>
  <c r="F1824" i="1"/>
  <c r="G1824" i="1"/>
  <c r="H1824" i="1"/>
  <c r="I1824" i="1"/>
  <c r="J1824" i="1"/>
  <c r="K1824" i="1"/>
  <c r="M1824" i="1"/>
  <c r="O1824" i="1"/>
  <c r="Q1824" i="1"/>
  <c r="R1824" i="1"/>
  <c r="W1824" i="1"/>
  <c r="AA1824" i="1"/>
  <c r="AB1824" i="1"/>
  <c r="AM1824" i="1"/>
  <c r="AN1824" i="1"/>
  <c r="AO1824" i="1"/>
  <c r="AQ1824" i="1"/>
  <c r="AX1824" i="1"/>
  <c r="BD1824" i="1"/>
  <c r="B1825" i="1"/>
  <c r="C1825" i="1"/>
  <c r="E1825" i="1"/>
  <c r="F1825" i="1"/>
  <c r="G1825" i="1"/>
  <c r="H1825" i="1"/>
  <c r="I1825" i="1"/>
  <c r="J1825" i="1"/>
  <c r="K1825" i="1"/>
  <c r="M1825" i="1"/>
  <c r="O1825" i="1"/>
  <c r="Q1825" i="1"/>
  <c r="R1825" i="1"/>
  <c r="W1825" i="1"/>
  <c r="AA1825" i="1"/>
  <c r="AB1825" i="1"/>
  <c r="AM1825" i="1"/>
  <c r="AN1825" i="1"/>
  <c r="AO1825" i="1"/>
  <c r="AQ1825" i="1"/>
  <c r="AX1825" i="1"/>
  <c r="BD1825" i="1"/>
  <c r="B1826" i="1"/>
  <c r="C1826" i="1"/>
  <c r="D1826" i="1"/>
  <c r="E1826" i="1"/>
  <c r="F1826" i="1"/>
  <c r="G1826" i="1"/>
  <c r="H1826" i="1"/>
  <c r="I1826" i="1"/>
  <c r="J1826" i="1"/>
  <c r="K1826" i="1"/>
  <c r="M1826" i="1"/>
  <c r="O1826" i="1"/>
  <c r="Q1826" i="1"/>
  <c r="R1826" i="1"/>
  <c r="W1826" i="1"/>
  <c r="AA1826" i="1"/>
  <c r="AB1826" i="1"/>
  <c r="AM1826" i="1"/>
  <c r="AN1826" i="1"/>
  <c r="AO1826" i="1"/>
  <c r="AQ1826" i="1"/>
  <c r="AX1826" i="1"/>
  <c r="BD1826" i="1"/>
  <c r="B1827" i="1"/>
  <c r="E1827" i="1"/>
  <c r="F1827" i="1"/>
  <c r="G1827" i="1"/>
  <c r="H1827" i="1"/>
  <c r="I1827" i="1"/>
  <c r="J1827" i="1"/>
  <c r="K1827" i="1"/>
  <c r="M1827" i="1"/>
  <c r="O1827" i="1"/>
  <c r="Q1827" i="1"/>
  <c r="R1827" i="1"/>
  <c r="W1827" i="1"/>
  <c r="AA1827" i="1"/>
  <c r="AM1827" i="1"/>
  <c r="AN1827" i="1"/>
  <c r="AO1827" i="1"/>
  <c r="AQ1827" i="1"/>
  <c r="BB1827" i="1"/>
  <c r="BD1827" i="1"/>
  <c r="B1828" i="1"/>
  <c r="E1828" i="1"/>
  <c r="F1828" i="1"/>
  <c r="G1828" i="1"/>
  <c r="H1828" i="1"/>
  <c r="I1828" i="1"/>
  <c r="J1828" i="1"/>
  <c r="K1828" i="1"/>
  <c r="M1828" i="1"/>
  <c r="O1828" i="1"/>
  <c r="Q1828" i="1"/>
  <c r="R1828" i="1"/>
  <c r="W1828" i="1"/>
  <c r="AA1828" i="1"/>
  <c r="AM1828" i="1"/>
  <c r="AN1828" i="1"/>
  <c r="AO1828" i="1"/>
  <c r="AQ1828" i="1"/>
  <c r="BB1828" i="1"/>
  <c r="BD1828" i="1"/>
  <c r="B1829" i="1"/>
  <c r="E1829" i="1"/>
  <c r="F1829" i="1"/>
  <c r="G1829" i="1"/>
  <c r="H1829" i="1"/>
  <c r="I1829" i="1"/>
  <c r="J1829" i="1"/>
  <c r="K1829" i="1"/>
  <c r="M1829" i="1"/>
  <c r="O1829" i="1"/>
  <c r="Q1829" i="1"/>
  <c r="R1829" i="1"/>
  <c r="W1829" i="1"/>
  <c r="AA1829" i="1"/>
  <c r="AM1829" i="1"/>
  <c r="AN1829" i="1"/>
  <c r="AO1829" i="1"/>
  <c r="AQ1829" i="1"/>
  <c r="BB1829" i="1"/>
  <c r="BD1829" i="1"/>
  <c r="B1830" i="1"/>
  <c r="C1830" i="1"/>
  <c r="E1830" i="1"/>
  <c r="F1830" i="1"/>
  <c r="G1830" i="1"/>
  <c r="H1830" i="1"/>
  <c r="I1830" i="1"/>
  <c r="J1830" i="1"/>
  <c r="K1830" i="1"/>
  <c r="M1830" i="1"/>
  <c r="O1830" i="1"/>
  <c r="Q1830" i="1"/>
  <c r="R1830" i="1"/>
  <c r="W1830" i="1"/>
  <c r="AA1830" i="1"/>
  <c r="AM1830" i="1"/>
  <c r="AN1830" i="1"/>
  <c r="AO1830" i="1"/>
  <c r="AQ1830" i="1"/>
  <c r="BB1830" i="1"/>
  <c r="BD1830" i="1"/>
  <c r="B1831" i="1"/>
  <c r="E1831" i="1"/>
  <c r="F1831" i="1"/>
  <c r="G1831" i="1"/>
  <c r="H1831" i="1"/>
  <c r="I1831" i="1"/>
  <c r="J1831" i="1"/>
  <c r="K1831" i="1"/>
  <c r="M1831" i="1"/>
  <c r="O1831" i="1"/>
  <c r="Q1831" i="1"/>
  <c r="R1831" i="1"/>
  <c r="W1831" i="1"/>
  <c r="AA1831" i="1"/>
  <c r="AB1831" i="1"/>
  <c r="AM1831" i="1"/>
  <c r="AN1831" i="1"/>
  <c r="AO1831" i="1"/>
  <c r="AQ1831" i="1"/>
  <c r="AX1831" i="1"/>
  <c r="BD1831" i="1"/>
  <c r="B1832" i="1"/>
  <c r="E1832" i="1"/>
  <c r="F1832" i="1"/>
  <c r="G1832" i="1"/>
  <c r="H1832" i="1"/>
  <c r="I1832" i="1"/>
  <c r="J1832" i="1"/>
  <c r="K1832" i="1"/>
  <c r="M1832" i="1"/>
  <c r="O1832" i="1"/>
  <c r="Q1832" i="1"/>
  <c r="R1832" i="1"/>
  <c r="W1832" i="1"/>
  <c r="AA1832" i="1"/>
  <c r="AB1832" i="1"/>
  <c r="AM1832" i="1"/>
  <c r="AN1832" i="1"/>
  <c r="AO1832" i="1"/>
  <c r="AQ1832" i="1"/>
  <c r="AX1832" i="1"/>
  <c r="BD1832" i="1"/>
  <c r="B1833" i="1"/>
  <c r="E1833" i="1"/>
  <c r="F1833" i="1"/>
  <c r="G1833" i="1"/>
  <c r="H1833" i="1"/>
  <c r="I1833" i="1"/>
  <c r="J1833" i="1"/>
  <c r="K1833" i="1"/>
  <c r="M1833" i="1"/>
  <c r="O1833" i="1"/>
  <c r="Q1833" i="1"/>
  <c r="R1833" i="1"/>
  <c r="W1833" i="1"/>
  <c r="AA1833" i="1"/>
  <c r="AB1833" i="1"/>
  <c r="AE1833" i="1"/>
  <c r="AF1833" i="1"/>
  <c r="AM1833" i="1"/>
  <c r="AN1833" i="1"/>
  <c r="AO1833" i="1"/>
  <c r="AQ1833" i="1"/>
  <c r="AX1833" i="1"/>
  <c r="BD1833" i="1"/>
  <c r="B1834" i="1"/>
  <c r="E1834" i="1"/>
  <c r="F1834" i="1"/>
  <c r="G1834" i="1"/>
  <c r="H1834" i="1"/>
  <c r="I1834" i="1"/>
  <c r="J1834" i="1"/>
  <c r="K1834" i="1"/>
  <c r="M1834" i="1"/>
  <c r="O1834" i="1"/>
  <c r="Q1834" i="1"/>
  <c r="R1834" i="1"/>
  <c r="W1834" i="1"/>
  <c r="AA1834" i="1"/>
  <c r="AB1834" i="1"/>
  <c r="AM1834" i="1"/>
  <c r="AN1834" i="1"/>
  <c r="AO1834" i="1"/>
  <c r="AQ1834" i="1"/>
  <c r="AX1834" i="1"/>
  <c r="BD1834" i="1"/>
  <c r="B1835" i="1"/>
  <c r="C1835" i="1"/>
  <c r="E1835" i="1"/>
  <c r="F1835" i="1"/>
  <c r="G1835" i="1"/>
  <c r="H1835" i="1"/>
  <c r="I1835" i="1"/>
  <c r="J1835" i="1"/>
  <c r="K1835" i="1"/>
  <c r="M1835" i="1"/>
  <c r="O1835" i="1"/>
  <c r="Q1835" i="1"/>
  <c r="R1835" i="1"/>
  <c r="W1835" i="1"/>
  <c r="AA1835" i="1"/>
  <c r="AB1835" i="1"/>
  <c r="AE1835" i="1"/>
  <c r="AF1835" i="1"/>
  <c r="AM1835" i="1"/>
  <c r="AN1835" i="1"/>
  <c r="AO1835" i="1"/>
  <c r="AQ1835" i="1"/>
  <c r="AX1835" i="1"/>
  <c r="BD1835" i="1"/>
  <c r="B1836" i="1"/>
  <c r="C1836" i="1"/>
  <c r="E1836" i="1"/>
  <c r="F1836" i="1"/>
  <c r="G1836" i="1"/>
  <c r="H1836" i="1"/>
  <c r="I1836" i="1"/>
  <c r="J1836" i="1"/>
  <c r="K1836" i="1"/>
  <c r="M1836" i="1"/>
  <c r="O1836" i="1"/>
  <c r="Q1836" i="1"/>
  <c r="R1836" i="1"/>
  <c r="W1836" i="1"/>
  <c r="AA1836" i="1"/>
  <c r="AB1836" i="1"/>
  <c r="AE1836" i="1"/>
  <c r="AF1836" i="1"/>
  <c r="AM1836" i="1"/>
  <c r="AN1836" i="1"/>
  <c r="AO1836" i="1"/>
  <c r="AQ1836" i="1"/>
  <c r="AX1836" i="1"/>
  <c r="BD1836" i="1"/>
  <c r="B1837" i="1"/>
  <c r="C1837" i="1"/>
  <c r="E1837" i="1"/>
  <c r="F1837" i="1"/>
  <c r="G1837" i="1"/>
  <c r="H1837" i="1"/>
  <c r="I1837" i="1"/>
  <c r="J1837" i="1"/>
  <c r="K1837" i="1"/>
  <c r="M1837" i="1"/>
  <c r="O1837" i="1"/>
  <c r="Q1837" i="1"/>
  <c r="R1837" i="1"/>
  <c r="W1837" i="1"/>
  <c r="AA1837" i="1"/>
  <c r="AB1837" i="1"/>
  <c r="AE1837" i="1"/>
  <c r="AF1837" i="1"/>
  <c r="AM1837" i="1"/>
  <c r="AN1837" i="1"/>
  <c r="AO1837" i="1"/>
  <c r="AQ1837" i="1"/>
  <c r="AX1837" i="1"/>
  <c r="BD1837" i="1"/>
  <c r="B1838" i="1"/>
  <c r="C1838" i="1"/>
  <c r="E1838" i="1"/>
  <c r="F1838" i="1"/>
  <c r="G1838" i="1"/>
  <c r="H1838" i="1"/>
  <c r="I1838" i="1"/>
  <c r="J1838" i="1"/>
  <c r="K1838" i="1"/>
  <c r="M1838" i="1"/>
  <c r="O1838" i="1"/>
  <c r="Q1838" i="1"/>
  <c r="R1838" i="1"/>
  <c r="W1838" i="1"/>
  <c r="AA1838" i="1"/>
  <c r="AB1838" i="1"/>
  <c r="AE1838" i="1"/>
  <c r="AF1838" i="1"/>
  <c r="AM1838" i="1"/>
  <c r="AN1838" i="1"/>
  <c r="AO1838" i="1"/>
  <c r="AQ1838" i="1"/>
  <c r="AX1838" i="1"/>
  <c r="BD1838" i="1"/>
  <c r="B1839" i="1"/>
  <c r="C1839" i="1"/>
  <c r="E1839" i="1"/>
  <c r="F1839" i="1"/>
  <c r="G1839" i="1"/>
  <c r="H1839" i="1"/>
  <c r="I1839" i="1"/>
  <c r="J1839" i="1"/>
  <c r="K1839" i="1"/>
  <c r="M1839" i="1"/>
  <c r="O1839" i="1"/>
  <c r="Q1839" i="1"/>
  <c r="R1839" i="1"/>
  <c r="W1839" i="1"/>
  <c r="AA1839" i="1"/>
  <c r="AB1839" i="1"/>
  <c r="AE1839" i="1"/>
  <c r="AF1839" i="1"/>
  <c r="AM1839" i="1"/>
  <c r="AN1839" i="1"/>
  <c r="AO1839" i="1"/>
  <c r="AQ1839" i="1"/>
  <c r="AX1839" i="1"/>
  <c r="BD1839" i="1"/>
  <c r="B1840" i="1"/>
  <c r="E1840" i="1"/>
  <c r="F1840" i="1"/>
  <c r="G1840" i="1"/>
  <c r="H1840" i="1"/>
  <c r="I1840" i="1"/>
  <c r="J1840" i="1"/>
  <c r="K1840" i="1"/>
  <c r="M1840" i="1"/>
  <c r="O1840" i="1"/>
  <c r="Q1840" i="1"/>
  <c r="R1840" i="1"/>
  <c r="W1840" i="1"/>
  <c r="AA1840" i="1"/>
  <c r="AB1840" i="1"/>
  <c r="AM1840" i="1"/>
  <c r="AN1840" i="1"/>
  <c r="AO1840" i="1"/>
  <c r="AQ1840" i="1"/>
  <c r="AX1840" i="1"/>
  <c r="BD1840" i="1"/>
  <c r="B1841" i="1"/>
  <c r="C1841" i="1"/>
  <c r="E1841" i="1"/>
  <c r="F1841" i="1"/>
  <c r="G1841" i="1"/>
  <c r="H1841" i="1"/>
  <c r="I1841" i="1"/>
  <c r="J1841" i="1"/>
  <c r="K1841" i="1"/>
  <c r="M1841" i="1"/>
  <c r="O1841" i="1"/>
  <c r="Q1841" i="1"/>
  <c r="R1841" i="1"/>
  <c r="W1841" i="1"/>
  <c r="AA1841" i="1"/>
  <c r="AB1841" i="1"/>
  <c r="AE1841" i="1"/>
  <c r="AF1841" i="1"/>
  <c r="AM1841" i="1"/>
  <c r="AN1841" i="1"/>
  <c r="AO1841" i="1"/>
  <c r="AQ1841" i="1"/>
  <c r="AX1841" i="1"/>
  <c r="BD1841" i="1"/>
  <c r="B1842" i="1"/>
  <c r="E1842" i="1"/>
  <c r="F1842" i="1"/>
  <c r="G1842" i="1"/>
  <c r="H1842" i="1"/>
  <c r="I1842" i="1"/>
  <c r="J1842" i="1"/>
  <c r="K1842" i="1"/>
  <c r="M1842" i="1"/>
  <c r="O1842" i="1"/>
  <c r="Q1842" i="1"/>
  <c r="R1842" i="1"/>
  <c r="W1842" i="1"/>
  <c r="AA1842" i="1"/>
  <c r="AM1842" i="1"/>
  <c r="AN1842" i="1"/>
  <c r="AO1842" i="1"/>
  <c r="AQ1842" i="1"/>
  <c r="BB1842" i="1"/>
  <c r="BD1842" i="1"/>
  <c r="B1843" i="1"/>
  <c r="E1843" i="1"/>
  <c r="F1843" i="1"/>
  <c r="G1843" i="1"/>
  <c r="H1843" i="1"/>
  <c r="I1843" i="1"/>
  <c r="J1843" i="1"/>
  <c r="K1843" i="1"/>
  <c r="M1843" i="1"/>
  <c r="O1843" i="1"/>
  <c r="Q1843" i="1"/>
  <c r="R1843" i="1"/>
  <c r="W1843" i="1"/>
  <c r="AA1843" i="1"/>
  <c r="AB1843" i="1"/>
  <c r="AM1843" i="1"/>
  <c r="AN1843" i="1"/>
  <c r="AO1843" i="1"/>
  <c r="AQ1843" i="1"/>
  <c r="AX1843" i="1"/>
  <c r="BD1843" i="1"/>
  <c r="B1844" i="1"/>
  <c r="C1844" i="1"/>
  <c r="E1844" i="1"/>
  <c r="F1844" i="1"/>
  <c r="G1844" i="1"/>
  <c r="H1844" i="1"/>
  <c r="I1844" i="1"/>
  <c r="J1844" i="1"/>
  <c r="K1844" i="1"/>
  <c r="M1844" i="1"/>
  <c r="O1844" i="1"/>
  <c r="Q1844" i="1"/>
  <c r="R1844" i="1"/>
  <c r="W1844" i="1"/>
  <c r="AA1844" i="1"/>
  <c r="AM1844" i="1"/>
  <c r="AN1844" i="1"/>
  <c r="AO1844" i="1"/>
  <c r="AQ1844" i="1"/>
  <c r="BB1844" i="1"/>
  <c r="BD1844" i="1"/>
  <c r="B1845" i="1"/>
  <c r="C1845" i="1"/>
  <c r="E1845" i="1"/>
  <c r="F1845" i="1"/>
  <c r="G1845" i="1"/>
  <c r="H1845" i="1"/>
  <c r="I1845" i="1"/>
  <c r="J1845" i="1"/>
  <c r="K1845" i="1"/>
  <c r="M1845" i="1"/>
  <c r="O1845" i="1"/>
  <c r="Q1845" i="1"/>
  <c r="R1845" i="1"/>
  <c r="W1845" i="1"/>
  <c r="AA1845" i="1"/>
  <c r="AM1845" i="1"/>
  <c r="AN1845" i="1"/>
  <c r="AO1845" i="1"/>
  <c r="AQ1845" i="1"/>
  <c r="BB1845" i="1"/>
  <c r="BD1845" i="1"/>
  <c r="B1846" i="1"/>
  <c r="C1846" i="1"/>
  <c r="E1846" i="1"/>
  <c r="F1846" i="1"/>
  <c r="G1846" i="1"/>
  <c r="H1846" i="1"/>
  <c r="I1846" i="1"/>
  <c r="J1846" i="1"/>
  <c r="K1846" i="1"/>
  <c r="M1846" i="1"/>
  <c r="O1846" i="1"/>
  <c r="Q1846" i="1"/>
  <c r="R1846" i="1"/>
  <c r="W1846" i="1"/>
  <c r="AA1846" i="1"/>
  <c r="AM1846" i="1"/>
  <c r="AN1846" i="1"/>
  <c r="AO1846" i="1"/>
  <c r="AQ1846" i="1"/>
  <c r="BB1846" i="1"/>
  <c r="BD1846" i="1"/>
  <c r="B1847" i="1"/>
  <c r="C1847" i="1"/>
  <c r="E1847" i="1"/>
  <c r="F1847" i="1"/>
  <c r="G1847" i="1"/>
  <c r="H1847" i="1"/>
  <c r="I1847" i="1"/>
  <c r="J1847" i="1"/>
  <c r="K1847" i="1"/>
  <c r="M1847" i="1"/>
  <c r="O1847" i="1"/>
  <c r="Q1847" i="1"/>
  <c r="R1847" i="1"/>
  <c r="W1847" i="1"/>
  <c r="AA1847" i="1"/>
  <c r="AM1847" i="1"/>
  <c r="AN1847" i="1"/>
  <c r="AO1847" i="1"/>
  <c r="AQ1847" i="1"/>
  <c r="BB1847" i="1"/>
  <c r="BD1847" i="1"/>
  <c r="B1848" i="1"/>
  <c r="C1848" i="1"/>
  <c r="D1848" i="1"/>
  <c r="E1848" i="1"/>
  <c r="F1848" i="1"/>
  <c r="G1848" i="1"/>
  <c r="H1848" i="1"/>
  <c r="I1848" i="1"/>
  <c r="J1848" i="1"/>
  <c r="K1848" i="1"/>
  <c r="M1848" i="1"/>
  <c r="O1848" i="1"/>
  <c r="Q1848" i="1"/>
  <c r="R1848" i="1"/>
  <c r="W1848" i="1"/>
  <c r="AA1848" i="1"/>
  <c r="AB1848" i="1"/>
  <c r="AE1848" i="1"/>
  <c r="AF1848" i="1"/>
  <c r="AM1848" i="1"/>
  <c r="AN1848" i="1"/>
  <c r="AO1848" i="1"/>
  <c r="AQ1848" i="1"/>
  <c r="AX1848" i="1"/>
  <c r="BD1848" i="1"/>
  <c r="B1849" i="1"/>
  <c r="C1849" i="1"/>
  <c r="D1849" i="1"/>
  <c r="E1849" i="1"/>
  <c r="F1849" i="1"/>
  <c r="G1849" i="1"/>
  <c r="H1849" i="1"/>
  <c r="I1849" i="1"/>
  <c r="J1849" i="1"/>
  <c r="K1849" i="1"/>
  <c r="M1849" i="1"/>
  <c r="O1849" i="1"/>
  <c r="Q1849" i="1"/>
  <c r="R1849" i="1"/>
  <c r="W1849" i="1"/>
  <c r="AA1849" i="1"/>
  <c r="AB1849" i="1"/>
  <c r="AE1849" i="1"/>
  <c r="AF1849" i="1"/>
  <c r="AM1849" i="1"/>
  <c r="AN1849" i="1"/>
  <c r="AO1849" i="1"/>
  <c r="AQ1849" i="1"/>
  <c r="AX1849" i="1"/>
  <c r="BD1849" i="1"/>
  <c r="B1850" i="1"/>
  <c r="C1850" i="1"/>
  <c r="D1850" i="1"/>
  <c r="E1850" i="1"/>
  <c r="F1850" i="1"/>
  <c r="G1850" i="1"/>
  <c r="H1850" i="1"/>
  <c r="I1850" i="1"/>
  <c r="J1850" i="1"/>
  <c r="K1850" i="1"/>
  <c r="M1850" i="1"/>
  <c r="O1850" i="1"/>
  <c r="Q1850" i="1"/>
  <c r="R1850" i="1"/>
  <c r="W1850" i="1"/>
  <c r="AA1850" i="1"/>
  <c r="AB1850" i="1"/>
  <c r="AE1850" i="1"/>
  <c r="AF1850" i="1"/>
  <c r="AM1850" i="1"/>
  <c r="AN1850" i="1"/>
  <c r="AO1850" i="1"/>
  <c r="AQ1850" i="1"/>
  <c r="AX1850" i="1"/>
  <c r="BD1850" i="1"/>
  <c r="B1851" i="1"/>
  <c r="C1851" i="1"/>
  <c r="D1851" i="1"/>
  <c r="E1851" i="1"/>
  <c r="F1851" i="1"/>
  <c r="G1851" i="1"/>
  <c r="H1851" i="1"/>
  <c r="I1851" i="1"/>
  <c r="J1851" i="1"/>
  <c r="K1851" i="1"/>
  <c r="M1851" i="1"/>
  <c r="O1851" i="1"/>
  <c r="Q1851" i="1"/>
  <c r="R1851" i="1"/>
  <c r="W1851" i="1"/>
  <c r="AA1851" i="1"/>
  <c r="AB1851" i="1"/>
  <c r="AE1851" i="1"/>
  <c r="AF1851" i="1"/>
  <c r="AM1851" i="1"/>
  <c r="AN1851" i="1"/>
  <c r="AO1851" i="1"/>
  <c r="AQ1851" i="1"/>
  <c r="AX1851" i="1"/>
  <c r="BD1851" i="1"/>
  <c r="B1852" i="1"/>
  <c r="C1852" i="1"/>
  <c r="D1852" i="1"/>
  <c r="E1852" i="1"/>
  <c r="F1852" i="1"/>
  <c r="G1852" i="1"/>
  <c r="H1852" i="1"/>
  <c r="I1852" i="1"/>
  <c r="J1852" i="1"/>
  <c r="K1852" i="1"/>
  <c r="M1852" i="1"/>
  <c r="O1852" i="1"/>
  <c r="Q1852" i="1"/>
  <c r="R1852" i="1"/>
  <c r="W1852" i="1"/>
  <c r="AA1852" i="1"/>
  <c r="AB1852" i="1"/>
  <c r="AE1852" i="1"/>
  <c r="AF1852" i="1"/>
  <c r="AM1852" i="1"/>
  <c r="AN1852" i="1"/>
  <c r="AO1852" i="1"/>
  <c r="AQ1852" i="1"/>
  <c r="AX1852" i="1"/>
  <c r="BD1852" i="1"/>
  <c r="B1853" i="1"/>
  <c r="C1853" i="1"/>
  <c r="D1853" i="1"/>
  <c r="E1853" i="1"/>
  <c r="F1853" i="1"/>
  <c r="G1853" i="1"/>
  <c r="H1853" i="1"/>
  <c r="I1853" i="1"/>
  <c r="J1853" i="1"/>
  <c r="K1853" i="1"/>
  <c r="M1853" i="1"/>
  <c r="O1853" i="1"/>
  <c r="Q1853" i="1"/>
  <c r="R1853" i="1"/>
  <c r="W1853" i="1"/>
  <c r="AA1853" i="1"/>
  <c r="AB1853" i="1"/>
  <c r="AE1853" i="1"/>
  <c r="AF1853" i="1"/>
  <c r="AM1853" i="1"/>
  <c r="AN1853" i="1"/>
  <c r="AO1853" i="1"/>
  <c r="AQ1853" i="1"/>
  <c r="AX1853" i="1"/>
  <c r="BD1853" i="1"/>
  <c r="B1854" i="1"/>
  <c r="C1854" i="1"/>
  <c r="D1854" i="1"/>
  <c r="E1854" i="1"/>
  <c r="F1854" i="1"/>
  <c r="G1854" i="1"/>
  <c r="H1854" i="1"/>
  <c r="I1854" i="1"/>
  <c r="J1854" i="1"/>
  <c r="K1854" i="1"/>
  <c r="M1854" i="1"/>
  <c r="O1854" i="1"/>
  <c r="Q1854" i="1"/>
  <c r="R1854" i="1"/>
  <c r="W1854" i="1"/>
  <c r="AA1854" i="1"/>
  <c r="AB1854" i="1"/>
  <c r="AE1854" i="1"/>
  <c r="AF1854" i="1"/>
  <c r="AM1854" i="1"/>
  <c r="AN1854" i="1"/>
  <c r="AO1854" i="1"/>
  <c r="AQ1854" i="1"/>
  <c r="AX1854" i="1"/>
  <c r="BD1854" i="1"/>
  <c r="B1855" i="1"/>
  <c r="C1855" i="1"/>
  <c r="D1855" i="1"/>
  <c r="E1855" i="1"/>
  <c r="F1855" i="1"/>
  <c r="G1855" i="1"/>
  <c r="H1855" i="1"/>
  <c r="I1855" i="1"/>
  <c r="J1855" i="1"/>
  <c r="K1855" i="1"/>
  <c r="M1855" i="1"/>
  <c r="O1855" i="1"/>
  <c r="Q1855" i="1"/>
  <c r="R1855" i="1"/>
  <c r="W1855" i="1"/>
  <c r="AA1855" i="1"/>
  <c r="AB1855" i="1"/>
  <c r="AE1855" i="1"/>
  <c r="AF1855" i="1"/>
  <c r="AM1855" i="1"/>
  <c r="AN1855" i="1"/>
  <c r="AO1855" i="1"/>
  <c r="AQ1855" i="1"/>
  <c r="AX1855" i="1"/>
  <c r="BD1855" i="1"/>
  <c r="B1856" i="1"/>
  <c r="C1856" i="1"/>
  <c r="D1856" i="1"/>
  <c r="E1856" i="1"/>
  <c r="F1856" i="1"/>
  <c r="G1856" i="1"/>
  <c r="H1856" i="1"/>
  <c r="I1856" i="1"/>
  <c r="J1856" i="1"/>
  <c r="K1856" i="1"/>
  <c r="M1856" i="1"/>
  <c r="O1856" i="1"/>
  <c r="Q1856" i="1"/>
  <c r="R1856" i="1"/>
  <c r="W1856" i="1"/>
  <c r="AA1856" i="1"/>
  <c r="AB1856" i="1"/>
  <c r="AE1856" i="1"/>
  <c r="AF1856" i="1"/>
  <c r="AM1856" i="1"/>
  <c r="AN1856" i="1"/>
  <c r="AO1856" i="1"/>
  <c r="AQ1856" i="1"/>
  <c r="AX1856" i="1"/>
  <c r="BD1856" i="1"/>
  <c r="B1857" i="1"/>
  <c r="C1857" i="1"/>
  <c r="D1857" i="1"/>
  <c r="E1857" i="1"/>
  <c r="F1857" i="1"/>
  <c r="G1857" i="1"/>
  <c r="H1857" i="1"/>
  <c r="I1857" i="1"/>
  <c r="J1857" i="1"/>
  <c r="K1857" i="1"/>
  <c r="M1857" i="1"/>
  <c r="O1857" i="1"/>
  <c r="Q1857" i="1"/>
  <c r="R1857" i="1"/>
  <c r="W1857" i="1"/>
  <c r="AA1857" i="1"/>
  <c r="AB1857" i="1"/>
  <c r="AE1857" i="1"/>
  <c r="AF1857" i="1"/>
  <c r="AM1857" i="1"/>
  <c r="AN1857" i="1"/>
  <c r="AO1857" i="1"/>
  <c r="AQ1857" i="1"/>
  <c r="AX1857" i="1"/>
  <c r="BD1857" i="1"/>
  <c r="B1858" i="1"/>
  <c r="C1858" i="1"/>
  <c r="D1858" i="1"/>
  <c r="E1858" i="1"/>
  <c r="F1858" i="1"/>
  <c r="G1858" i="1"/>
  <c r="H1858" i="1"/>
  <c r="I1858" i="1"/>
  <c r="J1858" i="1"/>
  <c r="K1858" i="1"/>
  <c r="M1858" i="1"/>
  <c r="O1858" i="1"/>
  <c r="Q1858" i="1"/>
  <c r="R1858" i="1"/>
  <c r="W1858" i="1"/>
  <c r="AA1858" i="1"/>
  <c r="AB1858" i="1"/>
  <c r="AE1858" i="1"/>
  <c r="AF1858" i="1"/>
  <c r="AM1858" i="1"/>
  <c r="AN1858" i="1"/>
  <c r="AO1858" i="1"/>
  <c r="AQ1858" i="1"/>
  <c r="AX1858" i="1"/>
  <c r="BD1858" i="1"/>
  <c r="B1859" i="1"/>
  <c r="C1859" i="1"/>
  <c r="D1859" i="1"/>
  <c r="E1859" i="1"/>
  <c r="F1859" i="1"/>
  <c r="G1859" i="1"/>
  <c r="H1859" i="1"/>
  <c r="I1859" i="1"/>
  <c r="J1859" i="1"/>
  <c r="K1859" i="1"/>
  <c r="M1859" i="1"/>
  <c r="O1859" i="1"/>
  <c r="Q1859" i="1"/>
  <c r="R1859" i="1"/>
  <c r="W1859" i="1"/>
  <c r="AA1859" i="1"/>
  <c r="AB1859" i="1"/>
  <c r="AE1859" i="1"/>
  <c r="AF1859" i="1"/>
  <c r="AM1859" i="1"/>
  <c r="AN1859" i="1"/>
  <c r="AO1859" i="1"/>
  <c r="AQ1859" i="1"/>
  <c r="AX1859" i="1"/>
  <c r="BD1859" i="1"/>
  <c r="B1860" i="1"/>
  <c r="C1860" i="1"/>
  <c r="D1860" i="1"/>
  <c r="E1860" i="1"/>
  <c r="F1860" i="1"/>
  <c r="G1860" i="1"/>
  <c r="H1860" i="1"/>
  <c r="I1860" i="1"/>
  <c r="J1860" i="1"/>
  <c r="K1860" i="1"/>
  <c r="M1860" i="1"/>
  <c r="O1860" i="1"/>
  <c r="Q1860" i="1"/>
  <c r="R1860" i="1"/>
  <c r="W1860" i="1"/>
  <c r="AA1860" i="1"/>
  <c r="AB1860" i="1"/>
  <c r="AE1860" i="1"/>
  <c r="AF1860" i="1"/>
  <c r="AM1860" i="1"/>
  <c r="AN1860" i="1"/>
  <c r="AO1860" i="1"/>
  <c r="AQ1860" i="1"/>
  <c r="AX1860" i="1"/>
  <c r="BD1860" i="1"/>
  <c r="B1861" i="1"/>
  <c r="C1861" i="1"/>
  <c r="D1861" i="1"/>
  <c r="E1861" i="1"/>
  <c r="F1861" i="1"/>
  <c r="G1861" i="1"/>
  <c r="H1861" i="1"/>
  <c r="I1861" i="1"/>
  <c r="J1861" i="1"/>
  <c r="K1861" i="1"/>
  <c r="M1861" i="1"/>
  <c r="O1861" i="1"/>
  <c r="Q1861" i="1"/>
  <c r="R1861" i="1"/>
  <c r="W1861" i="1"/>
  <c r="AA1861" i="1"/>
  <c r="AB1861" i="1"/>
  <c r="AE1861" i="1"/>
  <c r="AF1861" i="1"/>
  <c r="AM1861" i="1"/>
  <c r="AN1861" i="1"/>
  <c r="AO1861" i="1"/>
  <c r="AQ1861" i="1"/>
  <c r="AX1861" i="1"/>
  <c r="BD1861" i="1"/>
  <c r="B1862" i="1"/>
  <c r="C1862" i="1"/>
  <c r="D1862" i="1"/>
  <c r="E1862" i="1"/>
  <c r="F1862" i="1"/>
  <c r="G1862" i="1"/>
  <c r="H1862" i="1"/>
  <c r="I1862" i="1"/>
  <c r="J1862" i="1"/>
  <c r="K1862" i="1"/>
  <c r="M1862" i="1"/>
  <c r="O1862" i="1"/>
  <c r="Q1862" i="1"/>
  <c r="R1862" i="1"/>
  <c r="W1862" i="1"/>
  <c r="AA1862" i="1"/>
  <c r="AB1862" i="1"/>
  <c r="AE1862" i="1"/>
  <c r="AF1862" i="1"/>
  <c r="AM1862" i="1"/>
  <c r="AN1862" i="1"/>
  <c r="AO1862" i="1"/>
  <c r="AQ1862" i="1"/>
  <c r="AX1862" i="1"/>
  <c r="BD1862" i="1"/>
  <c r="B1863" i="1"/>
  <c r="C1863" i="1"/>
  <c r="D1863" i="1"/>
  <c r="E1863" i="1"/>
  <c r="F1863" i="1"/>
  <c r="G1863" i="1"/>
  <c r="H1863" i="1"/>
  <c r="I1863" i="1"/>
  <c r="J1863" i="1"/>
  <c r="K1863" i="1"/>
  <c r="M1863" i="1"/>
  <c r="O1863" i="1"/>
  <c r="Q1863" i="1"/>
  <c r="R1863" i="1"/>
  <c r="W1863" i="1"/>
  <c r="AA1863" i="1"/>
  <c r="AB1863" i="1"/>
  <c r="AE1863" i="1"/>
  <c r="AF1863" i="1"/>
  <c r="AM1863" i="1"/>
  <c r="AN1863" i="1"/>
  <c r="AO1863" i="1"/>
  <c r="AQ1863" i="1"/>
  <c r="AX1863" i="1"/>
  <c r="BD1863" i="1"/>
  <c r="B1864" i="1"/>
  <c r="C1864" i="1"/>
  <c r="D1864" i="1"/>
  <c r="E1864" i="1"/>
  <c r="F1864" i="1"/>
  <c r="G1864" i="1"/>
  <c r="H1864" i="1"/>
  <c r="I1864" i="1"/>
  <c r="J1864" i="1"/>
  <c r="K1864" i="1"/>
  <c r="M1864" i="1"/>
  <c r="O1864" i="1"/>
  <c r="Q1864" i="1"/>
  <c r="R1864" i="1"/>
  <c r="W1864" i="1"/>
  <c r="AA1864" i="1"/>
  <c r="AB1864" i="1"/>
  <c r="AE1864" i="1"/>
  <c r="AF1864" i="1"/>
  <c r="AM1864" i="1"/>
  <c r="AN1864" i="1"/>
  <c r="AO1864" i="1"/>
  <c r="AQ1864" i="1"/>
  <c r="AX1864" i="1"/>
  <c r="BD1864" i="1"/>
  <c r="B1865" i="1"/>
  <c r="C1865" i="1"/>
  <c r="D1865" i="1"/>
  <c r="E1865" i="1"/>
  <c r="F1865" i="1"/>
  <c r="G1865" i="1"/>
  <c r="H1865" i="1"/>
  <c r="I1865" i="1"/>
  <c r="J1865" i="1"/>
  <c r="K1865" i="1"/>
  <c r="M1865" i="1"/>
  <c r="O1865" i="1"/>
  <c r="Q1865" i="1"/>
  <c r="R1865" i="1"/>
  <c r="W1865" i="1"/>
  <c r="AA1865" i="1"/>
  <c r="AB1865" i="1"/>
  <c r="AE1865" i="1"/>
  <c r="AF1865" i="1"/>
  <c r="AM1865" i="1"/>
  <c r="AN1865" i="1"/>
  <c r="AO1865" i="1"/>
  <c r="AQ1865" i="1"/>
  <c r="AX1865" i="1"/>
  <c r="BD1865" i="1"/>
  <c r="B1866" i="1"/>
  <c r="C1866" i="1"/>
  <c r="D1866" i="1"/>
  <c r="E1866" i="1"/>
  <c r="F1866" i="1"/>
  <c r="G1866" i="1"/>
  <c r="H1866" i="1"/>
  <c r="I1866" i="1"/>
  <c r="J1866" i="1"/>
  <c r="K1866" i="1"/>
  <c r="M1866" i="1"/>
  <c r="O1866" i="1"/>
  <c r="Q1866" i="1"/>
  <c r="R1866" i="1"/>
  <c r="W1866" i="1"/>
  <c r="AA1866" i="1"/>
  <c r="AB1866" i="1"/>
  <c r="AE1866" i="1"/>
  <c r="AF1866" i="1"/>
  <c r="AM1866" i="1"/>
  <c r="AN1866" i="1"/>
  <c r="AO1866" i="1"/>
  <c r="AQ1866" i="1"/>
  <c r="AX1866" i="1"/>
  <c r="BD1866" i="1"/>
  <c r="B1867" i="1"/>
  <c r="C1867" i="1"/>
  <c r="D1867" i="1"/>
  <c r="E1867" i="1"/>
  <c r="F1867" i="1"/>
  <c r="G1867" i="1"/>
  <c r="H1867" i="1"/>
  <c r="I1867" i="1"/>
  <c r="J1867" i="1"/>
  <c r="K1867" i="1"/>
  <c r="M1867" i="1"/>
  <c r="O1867" i="1"/>
  <c r="Q1867" i="1"/>
  <c r="R1867" i="1"/>
  <c r="W1867" i="1"/>
  <c r="AA1867" i="1"/>
  <c r="AB1867" i="1"/>
  <c r="AE1867" i="1"/>
  <c r="AF1867" i="1"/>
  <c r="AM1867" i="1"/>
  <c r="AN1867" i="1"/>
  <c r="AO1867" i="1"/>
  <c r="AQ1867" i="1"/>
  <c r="AX1867" i="1"/>
  <c r="BD1867" i="1"/>
  <c r="B1868" i="1"/>
  <c r="C1868" i="1"/>
  <c r="D1868" i="1"/>
  <c r="E1868" i="1"/>
  <c r="F1868" i="1"/>
  <c r="G1868" i="1"/>
  <c r="H1868" i="1"/>
  <c r="I1868" i="1"/>
  <c r="J1868" i="1"/>
  <c r="K1868" i="1"/>
  <c r="M1868" i="1"/>
  <c r="O1868" i="1"/>
  <c r="Q1868" i="1"/>
  <c r="R1868" i="1"/>
  <c r="W1868" i="1"/>
  <c r="AA1868" i="1"/>
  <c r="AB1868" i="1"/>
  <c r="AE1868" i="1"/>
  <c r="AF1868" i="1"/>
  <c r="AM1868" i="1"/>
  <c r="AN1868" i="1"/>
  <c r="AO1868" i="1"/>
  <c r="AQ1868" i="1"/>
  <c r="AX1868" i="1"/>
  <c r="BD1868" i="1"/>
  <c r="B1869" i="1"/>
  <c r="C1869" i="1"/>
  <c r="D1869" i="1"/>
  <c r="E1869" i="1"/>
  <c r="F1869" i="1"/>
  <c r="G1869" i="1"/>
  <c r="H1869" i="1"/>
  <c r="I1869" i="1"/>
  <c r="J1869" i="1"/>
  <c r="K1869" i="1"/>
  <c r="M1869" i="1"/>
  <c r="O1869" i="1"/>
  <c r="Q1869" i="1"/>
  <c r="R1869" i="1"/>
  <c r="W1869" i="1"/>
  <c r="AA1869" i="1"/>
  <c r="AB1869" i="1"/>
  <c r="AE1869" i="1"/>
  <c r="AF1869" i="1"/>
  <c r="AM1869" i="1"/>
  <c r="AN1869" i="1"/>
  <c r="AO1869" i="1"/>
  <c r="AQ1869" i="1"/>
  <c r="AX1869" i="1"/>
  <c r="BD1869" i="1"/>
  <c r="B1870" i="1"/>
  <c r="C1870" i="1"/>
  <c r="D1870" i="1"/>
  <c r="E1870" i="1"/>
  <c r="F1870" i="1"/>
  <c r="G1870" i="1"/>
  <c r="H1870" i="1"/>
  <c r="I1870" i="1"/>
  <c r="J1870" i="1"/>
  <c r="K1870" i="1"/>
  <c r="M1870" i="1"/>
  <c r="O1870" i="1"/>
  <c r="Q1870" i="1"/>
  <c r="R1870" i="1"/>
  <c r="W1870" i="1"/>
  <c r="AA1870" i="1"/>
  <c r="AB1870" i="1"/>
  <c r="AE1870" i="1"/>
  <c r="AF1870" i="1"/>
  <c r="AM1870" i="1"/>
  <c r="AN1870" i="1"/>
  <c r="AO1870" i="1"/>
  <c r="AQ1870" i="1"/>
  <c r="AX1870" i="1"/>
  <c r="BD1870" i="1"/>
  <c r="B1871" i="1"/>
  <c r="C1871" i="1"/>
  <c r="D1871" i="1"/>
  <c r="E1871" i="1"/>
  <c r="F1871" i="1"/>
  <c r="G1871" i="1"/>
  <c r="H1871" i="1"/>
  <c r="I1871" i="1"/>
  <c r="J1871" i="1"/>
  <c r="K1871" i="1"/>
  <c r="M1871" i="1"/>
  <c r="O1871" i="1"/>
  <c r="Q1871" i="1"/>
  <c r="R1871" i="1"/>
  <c r="W1871" i="1"/>
  <c r="AA1871" i="1"/>
  <c r="AB1871" i="1"/>
  <c r="AE1871" i="1"/>
  <c r="AF1871" i="1"/>
  <c r="AM1871" i="1"/>
  <c r="AN1871" i="1"/>
  <c r="AO1871" i="1"/>
  <c r="AQ1871" i="1"/>
  <c r="AX1871" i="1"/>
  <c r="BD1871" i="1"/>
  <c r="B1872" i="1"/>
  <c r="C1872" i="1"/>
  <c r="D1872" i="1"/>
  <c r="E1872" i="1"/>
  <c r="F1872" i="1"/>
  <c r="G1872" i="1"/>
  <c r="H1872" i="1"/>
  <c r="I1872" i="1"/>
  <c r="J1872" i="1"/>
  <c r="K1872" i="1"/>
  <c r="M1872" i="1"/>
  <c r="O1872" i="1"/>
  <c r="Q1872" i="1"/>
  <c r="R1872" i="1"/>
  <c r="W1872" i="1"/>
  <c r="AA1872" i="1"/>
  <c r="AB1872" i="1"/>
  <c r="AE1872" i="1"/>
  <c r="AF1872" i="1"/>
  <c r="AM1872" i="1"/>
  <c r="AN1872" i="1"/>
  <c r="AO1872" i="1"/>
  <c r="AQ1872" i="1"/>
  <c r="AX1872" i="1"/>
  <c r="BD1872" i="1"/>
  <c r="B1873" i="1"/>
  <c r="C1873" i="1"/>
  <c r="D1873" i="1"/>
  <c r="E1873" i="1"/>
  <c r="F1873" i="1"/>
  <c r="G1873" i="1"/>
  <c r="H1873" i="1"/>
  <c r="I1873" i="1"/>
  <c r="J1873" i="1"/>
  <c r="K1873" i="1"/>
  <c r="M1873" i="1"/>
  <c r="O1873" i="1"/>
  <c r="Q1873" i="1"/>
  <c r="R1873" i="1"/>
  <c r="W1873" i="1"/>
  <c r="AA1873" i="1"/>
  <c r="AB1873" i="1"/>
  <c r="AE1873" i="1"/>
  <c r="AF1873" i="1"/>
  <c r="AM1873" i="1"/>
  <c r="AN1873" i="1"/>
  <c r="AO1873" i="1"/>
  <c r="AQ1873" i="1"/>
  <c r="AX1873" i="1"/>
  <c r="BD1873" i="1"/>
  <c r="B1874" i="1"/>
  <c r="C1874" i="1"/>
  <c r="E1874" i="1"/>
  <c r="F1874" i="1"/>
  <c r="G1874" i="1"/>
  <c r="H1874" i="1"/>
  <c r="I1874" i="1"/>
  <c r="J1874" i="1"/>
  <c r="K1874" i="1"/>
  <c r="M1874" i="1"/>
  <c r="O1874" i="1"/>
  <c r="Q1874" i="1"/>
  <c r="R1874" i="1"/>
  <c r="W1874" i="1"/>
  <c r="AA1874" i="1"/>
  <c r="AB1874" i="1"/>
  <c r="AE1874" i="1"/>
  <c r="AF1874" i="1"/>
  <c r="AM1874" i="1"/>
  <c r="AN1874" i="1"/>
  <c r="AO1874" i="1"/>
  <c r="AQ1874" i="1"/>
  <c r="AX1874" i="1"/>
  <c r="BD1874" i="1"/>
  <c r="B1875" i="1"/>
  <c r="C1875" i="1"/>
  <c r="D1875" i="1"/>
  <c r="E1875" i="1"/>
  <c r="F1875" i="1"/>
  <c r="G1875" i="1"/>
  <c r="H1875" i="1"/>
  <c r="I1875" i="1"/>
  <c r="J1875" i="1"/>
  <c r="K1875" i="1"/>
  <c r="M1875" i="1"/>
  <c r="O1875" i="1"/>
  <c r="Q1875" i="1"/>
  <c r="R1875" i="1"/>
  <c r="W1875" i="1"/>
  <c r="AA1875" i="1"/>
  <c r="AB1875" i="1"/>
  <c r="AE1875" i="1"/>
  <c r="AF1875" i="1"/>
  <c r="AM1875" i="1"/>
  <c r="AN1875" i="1"/>
  <c r="AO1875" i="1"/>
  <c r="AQ1875" i="1"/>
  <c r="AX1875" i="1"/>
  <c r="BD1875" i="1"/>
  <c r="B1876" i="1"/>
  <c r="C1876" i="1"/>
  <c r="D1876" i="1"/>
  <c r="E1876" i="1"/>
  <c r="F1876" i="1"/>
  <c r="G1876" i="1"/>
  <c r="H1876" i="1"/>
  <c r="I1876" i="1"/>
  <c r="J1876" i="1"/>
  <c r="K1876" i="1"/>
  <c r="M1876" i="1"/>
  <c r="O1876" i="1"/>
  <c r="Q1876" i="1"/>
  <c r="R1876" i="1"/>
  <c r="W1876" i="1"/>
  <c r="AA1876" i="1"/>
  <c r="AB1876" i="1"/>
  <c r="AE1876" i="1"/>
  <c r="AF1876" i="1"/>
  <c r="AM1876" i="1"/>
  <c r="AN1876" i="1"/>
  <c r="AO1876" i="1"/>
  <c r="AQ1876" i="1"/>
  <c r="AX1876" i="1"/>
  <c r="BD1876" i="1"/>
  <c r="B1877" i="1"/>
  <c r="C1877" i="1"/>
  <c r="D1877" i="1"/>
  <c r="E1877" i="1"/>
  <c r="F1877" i="1"/>
  <c r="G1877" i="1"/>
  <c r="H1877" i="1"/>
  <c r="I1877" i="1"/>
  <c r="J1877" i="1"/>
  <c r="K1877" i="1"/>
  <c r="M1877" i="1"/>
  <c r="O1877" i="1"/>
  <c r="Q1877" i="1"/>
  <c r="R1877" i="1"/>
  <c r="W1877" i="1"/>
  <c r="AA1877" i="1"/>
  <c r="AB1877" i="1"/>
  <c r="AE1877" i="1"/>
  <c r="AF1877" i="1"/>
  <c r="AM1877" i="1"/>
  <c r="AN1877" i="1"/>
  <c r="AO1877" i="1"/>
  <c r="AQ1877" i="1"/>
  <c r="AX1877" i="1"/>
  <c r="BD1877" i="1"/>
  <c r="B1878" i="1"/>
  <c r="C1878" i="1"/>
  <c r="E1878" i="1"/>
  <c r="F1878" i="1"/>
  <c r="G1878" i="1"/>
  <c r="H1878" i="1"/>
  <c r="I1878" i="1"/>
  <c r="J1878" i="1"/>
  <c r="K1878" i="1"/>
  <c r="M1878" i="1"/>
  <c r="O1878" i="1"/>
  <c r="Q1878" i="1"/>
  <c r="R1878" i="1"/>
  <c r="W1878" i="1"/>
  <c r="AA1878" i="1"/>
  <c r="AB1878" i="1"/>
  <c r="AE1878" i="1"/>
  <c r="AF1878" i="1"/>
  <c r="AM1878" i="1"/>
  <c r="AN1878" i="1"/>
  <c r="AO1878" i="1"/>
  <c r="AQ1878" i="1"/>
  <c r="AX1878" i="1"/>
  <c r="BD1878" i="1"/>
  <c r="B1879" i="1"/>
  <c r="E1879" i="1"/>
  <c r="F1879" i="1"/>
  <c r="G1879" i="1"/>
  <c r="H1879" i="1"/>
  <c r="I1879" i="1"/>
  <c r="J1879" i="1"/>
  <c r="K1879" i="1"/>
  <c r="M1879" i="1"/>
  <c r="O1879" i="1"/>
  <c r="Q1879" i="1"/>
  <c r="R1879" i="1"/>
  <c r="W1879" i="1"/>
  <c r="AA1879" i="1"/>
  <c r="AB1879" i="1"/>
  <c r="AM1879" i="1"/>
  <c r="AN1879" i="1"/>
  <c r="AO1879" i="1"/>
  <c r="AQ1879" i="1"/>
  <c r="AX1879" i="1"/>
  <c r="BD1879" i="1"/>
  <c r="B1880" i="1"/>
  <c r="C1880" i="1"/>
  <c r="D1880" i="1"/>
  <c r="E1880" i="1"/>
  <c r="F1880" i="1"/>
  <c r="G1880" i="1"/>
  <c r="H1880" i="1"/>
  <c r="I1880" i="1"/>
  <c r="J1880" i="1"/>
  <c r="K1880" i="1"/>
  <c r="M1880" i="1"/>
  <c r="O1880" i="1"/>
  <c r="Q1880" i="1"/>
  <c r="R1880" i="1"/>
  <c r="W1880" i="1"/>
  <c r="AA1880" i="1"/>
  <c r="AB1880" i="1"/>
  <c r="AE1880" i="1"/>
  <c r="AF1880" i="1"/>
  <c r="AM1880" i="1"/>
  <c r="AN1880" i="1"/>
  <c r="AO1880" i="1"/>
  <c r="AQ1880" i="1"/>
  <c r="AX1880" i="1"/>
  <c r="BD1880" i="1"/>
  <c r="B1881" i="1"/>
  <c r="E1881" i="1"/>
  <c r="F1881" i="1"/>
  <c r="G1881" i="1"/>
  <c r="H1881" i="1"/>
  <c r="I1881" i="1"/>
  <c r="J1881" i="1"/>
  <c r="K1881" i="1"/>
  <c r="M1881" i="1"/>
  <c r="O1881" i="1"/>
  <c r="Q1881" i="1"/>
  <c r="R1881" i="1"/>
  <c r="W1881" i="1"/>
  <c r="AA1881" i="1"/>
  <c r="AM1881" i="1"/>
  <c r="AN1881" i="1"/>
  <c r="AO1881" i="1"/>
  <c r="AQ1881" i="1"/>
  <c r="BD1881" i="1"/>
  <c r="B1882" i="1"/>
  <c r="C1882" i="1"/>
  <c r="E1882" i="1"/>
  <c r="F1882" i="1"/>
  <c r="G1882" i="1"/>
  <c r="H1882" i="1"/>
  <c r="I1882" i="1"/>
  <c r="J1882" i="1"/>
  <c r="K1882" i="1"/>
  <c r="M1882" i="1"/>
  <c r="O1882" i="1"/>
  <c r="Q1882" i="1"/>
  <c r="R1882" i="1"/>
  <c r="W1882" i="1"/>
  <c r="AA1882" i="1"/>
  <c r="AM1882" i="1"/>
  <c r="AN1882" i="1"/>
  <c r="AO1882" i="1"/>
  <c r="AQ1882" i="1"/>
  <c r="BB1882" i="1"/>
  <c r="BD1882" i="1"/>
  <c r="B1883" i="1"/>
  <c r="C1883" i="1"/>
  <c r="D1883" i="1"/>
  <c r="E1883" i="1"/>
  <c r="F1883" i="1"/>
  <c r="G1883" i="1"/>
  <c r="H1883" i="1"/>
  <c r="I1883" i="1"/>
  <c r="J1883" i="1"/>
  <c r="K1883" i="1"/>
  <c r="M1883" i="1"/>
  <c r="O1883" i="1"/>
  <c r="Q1883" i="1"/>
  <c r="R1883" i="1"/>
  <c r="W1883" i="1"/>
  <c r="AA1883" i="1"/>
  <c r="AB1883" i="1"/>
  <c r="AE1883" i="1"/>
  <c r="AF1883" i="1"/>
  <c r="AM1883" i="1"/>
  <c r="AN1883" i="1"/>
  <c r="AO1883" i="1"/>
  <c r="AQ1883" i="1"/>
  <c r="AX1883" i="1"/>
  <c r="BD1883" i="1"/>
  <c r="B1884" i="1"/>
  <c r="C1884" i="1"/>
  <c r="D1884" i="1"/>
  <c r="E1884" i="1"/>
  <c r="F1884" i="1"/>
  <c r="G1884" i="1"/>
  <c r="H1884" i="1"/>
  <c r="I1884" i="1"/>
  <c r="J1884" i="1"/>
  <c r="K1884" i="1"/>
  <c r="M1884" i="1"/>
  <c r="O1884" i="1"/>
  <c r="Q1884" i="1"/>
  <c r="R1884" i="1"/>
  <c r="W1884" i="1"/>
  <c r="AA1884" i="1"/>
  <c r="AB1884" i="1"/>
  <c r="AE1884" i="1"/>
  <c r="AF1884" i="1"/>
  <c r="AM1884" i="1"/>
  <c r="AN1884" i="1"/>
  <c r="AO1884" i="1"/>
  <c r="AQ1884" i="1"/>
  <c r="AX1884" i="1"/>
  <c r="BD1884" i="1"/>
  <c r="B1885" i="1"/>
  <c r="C1885" i="1"/>
  <c r="E1885" i="1"/>
  <c r="F1885" i="1"/>
  <c r="G1885" i="1"/>
  <c r="H1885" i="1"/>
  <c r="I1885" i="1"/>
  <c r="J1885" i="1"/>
  <c r="K1885" i="1"/>
  <c r="M1885" i="1"/>
  <c r="O1885" i="1"/>
  <c r="Q1885" i="1"/>
  <c r="R1885" i="1"/>
  <c r="W1885" i="1"/>
  <c r="AA1885" i="1"/>
  <c r="AM1885" i="1"/>
  <c r="AN1885" i="1"/>
  <c r="AO1885" i="1"/>
  <c r="AQ1885" i="1"/>
  <c r="BB1885" i="1"/>
  <c r="BD1885" i="1"/>
  <c r="B1886" i="1"/>
  <c r="C1886" i="1"/>
  <c r="E1886" i="1"/>
  <c r="F1886" i="1"/>
  <c r="G1886" i="1"/>
  <c r="H1886" i="1"/>
  <c r="I1886" i="1"/>
  <c r="J1886" i="1"/>
  <c r="K1886" i="1"/>
  <c r="M1886" i="1"/>
  <c r="O1886" i="1"/>
  <c r="Q1886" i="1"/>
  <c r="R1886" i="1"/>
  <c r="W1886" i="1"/>
  <c r="AA1886" i="1"/>
  <c r="AM1886" i="1"/>
  <c r="AN1886" i="1"/>
  <c r="AO1886" i="1"/>
  <c r="AQ1886" i="1"/>
  <c r="BB1886" i="1"/>
  <c r="BD1886" i="1"/>
  <c r="B1887" i="1"/>
  <c r="C1887" i="1"/>
  <c r="D1887" i="1"/>
  <c r="E1887" i="1"/>
  <c r="F1887" i="1"/>
  <c r="G1887" i="1"/>
  <c r="H1887" i="1"/>
  <c r="I1887" i="1"/>
  <c r="J1887" i="1"/>
  <c r="K1887" i="1"/>
  <c r="M1887" i="1"/>
  <c r="O1887" i="1"/>
  <c r="Q1887" i="1"/>
  <c r="R1887" i="1"/>
  <c r="W1887" i="1"/>
  <c r="AA1887" i="1"/>
  <c r="AB1887" i="1"/>
  <c r="AE1887" i="1"/>
  <c r="AF1887" i="1"/>
  <c r="AM1887" i="1"/>
  <c r="AN1887" i="1"/>
  <c r="AO1887" i="1"/>
  <c r="AQ1887" i="1"/>
  <c r="AX1887" i="1"/>
  <c r="BD1887" i="1"/>
  <c r="B1888" i="1"/>
  <c r="C1888" i="1"/>
  <c r="D1888" i="1"/>
  <c r="E1888" i="1"/>
  <c r="F1888" i="1"/>
  <c r="G1888" i="1"/>
  <c r="H1888" i="1"/>
  <c r="I1888" i="1"/>
  <c r="J1888" i="1"/>
  <c r="K1888" i="1"/>
  <c r="M1888" i="1"/>
  <c r="O1888" i="1"/>
  <c r="Q1888" i="1"/>
  <c r="R1888" i="1"/>
  <c r="W1888" i="1"/>
  <c r="AA1888" i="1"/>
  <c r="AB1888" i="1"/>
  <c r="AE1888" i="1"/>
  <c r="AF1888" i="1"/>
  <c r="AM1888" i="1"/>
  <c r="AN1888" i="1"/>
  <c r="AO1888" i="1"/>
  <c r="AQ1888" i="1"/>
  <c r="AX1888" i="1"/>
  <c r="BD1888" i="1"/>
  <c r="B1889" i="1"/>
  <c r="C1889" i="1"/>
  <c r="D1889" i="1"/>
  <c r="E1889" i="1"/>
  <c r="F1889" i="1"/>
  <c r="G1889" i="1"/>
  <c r="H1889" i="1"/>
  <c r="I1889" i="1"/>
  <c r="J1889" i="1"/>
  <c r="K1889" i="1"/>
  <c r="M1889" i="1"/>
  <c r="O1889" i="1"/>
  <c r="Q1889" i="1"/>
  <c r="R1889" i="1"/>
  <c r="W1889" i="1"/>
  <c r="AA1889" i="1"/>
  <c r="AB1889" i="1"/>
  <c r="AE1889" i="1"/>
  <c r="AF1889" i="1"/>
  <c r="AM1889" i="1"/>
  <c r="AN1889" i="1"/>
  <c r="AO1889" i="1"/>
  <c r="AQ1889" i="1"/>
  <c r="AX1889" i="1"/>
  <c r="BD1889" i="1"/>
  <c r="B1890" i="1"/>
  <c r="C1890" i="1"/>
  <c r="D1890" i="1"/>
  <c r="E1890" i="1"/>
  <c r="F1890" i="1"/>
  <c r="G1890" i="1"/>
  <c r="H1890" i="1"/>
  <c r="I1890" i="1"/>
  <c r="J1890" i="1"/>
  <c r="K1890" i="1"/>
  <c r="M1890" i="1"/>
  <c r="O1890" i="1"/>
  <c r="Q1890" i="1"/>
  <c r="R1890" i="1"/>
  <c r="W1890" i="1"/>
  <c r="AA1890" i="1"/>
  <c r="AB1890" i="1"/>
  <c r="AE1890" i="1"/>
  <c r="AF1890" i="1"/>
  <c r="AM1890" i="1"/>
  <c r="AN1890" i="1"/>
  <c r="AO1890" i="1"/>
  <c r="AQ1890" i="1"/>
  <c r="AX1890" i="1"/>
  <c r="BD1890" i="1"/>
  <c r="B1891" i="1"/>
  <c r="C1891" i="1"/>
  <c r="D1891" i="1"/>
  <c r="E1891" i="1"/>
  <c r="F1891" i="1"/>
  <c r="G1891" i="1"/>
  <c r="H1891" i="1"/>
  <c r="I1891" i="1"/>
  <c r="J1891" i="1"/>
  <c r="K1891" i="1"/>
  <c r="M1891" i="1"/>
  <c r="O1891" i="1"/>
  <c r="Q1891" i="1"/>
  <c r="R1891" i="1"/>
  <c r="W1891" i="1"/>
  <c r="AA1891" i="1"/>
  <c r="AB1891" i="1"/>
  <c r="AE1891" i="1"/>
  <c r="AF1891" i="1"/>
  <c r="AM1891" i="1"/>
  <c r="AN1891" i="1"/>
  <c r="AO1891" i="1"/>
  <c r="AQ1891" i="1"/>
  <c r="AX1891" i="1"/>
  <c r="BD1891" i="1"/>
  <c r="B1892" i="1"/>
  <c r="C1892" i="1"/>
  <c r="E1892" i="1"/>
  <c r="F1892" i="1"/>
  <c r="G1892" i="1"/>
  <c r="H1892" i="1"/>
  <c r="I1892" i="1"/>
  <c r="J1892" i="1"/>
  <c r="K1892" i="1"/>
  <c r="M1892" i="1"/>
  <c r="O1892" i="1"/>
  <c r="Q1892" i="1"/>
  <c r="R1892" i="1"/>
  <c r="W1892" i="1"/>
  <c r="AA1892" i="1"/>
  <c r="AM1892" i="1"/>
  <c r="AN1892" i="1"/>
  <c r="AO1892" i="1"/>
  <c r="AQ1892" i="1"/>
  <c r="BB1892" i="1"/>
  <c r="BD1892" i="1"/>
  <c r="B1893" i="1"/>
  <c r="C1893" i="1"/>
  <c r="E1893" i="1"/>
  <c r="F1893" i="1"/>
  <c r="G1893" i="1"/>
  <c r="H1893" i="1"/>
  <c r="I1893" i="1"/>
  <c r="J1893" i="1"/>
  <c r="K1893" i="1"/>
  <c r="M1893" i="1"/>
  <c r="O1893" i="1"/>
  <c r="Q1893" i="1"/>
  <c r="R1893" i="1"/>
  <c r="W1893" i="1"/>
  <c r="AA1893" i="1"/>
  <c r="AM1893" i="1"/>
  <c r="AN1893" i="1"/>
  <c r="AO1893" i="1"/>
  <c r="AQ1893" i="1"/>
  <c r="BB1893" i="1"/>
  <c r="BD1893" i="1"/>
  <c r="B1894" i="1"/>
  <c r="C1894" i="1"/>
  <c r="E1894" i="1"/>
  <c r="F1894" i="1"/>
  <c r="G1894" i="1"/>
  <c r="H1894" i="1"/>
  <c r="I1894" i="1"/>
  <c r="J1894" i="1"/>
  <c r="K1894" i="1"/>
  <c r="M1894" i="1"/>
  <c r="O1894" i="1"/>
  <c r="Q1894" i="1"/>
  <c r="R1894" i="1"/>
  <c r="W1894" i="1"/>
  <c r="AA1894" i="1"/>
  <c r="AB1894" i="1"/>
  <c r="AE1894" i="1"/>
  <c r="AF1894" i="1"/>
  <c r="AM1894" i="1"/>
  <c r="AN1894" i="1"/>
  <c r="AO1894" i="1"/>
  <c r="AQ1894" i="1"/>
  <c r="AX1894" i="1"/>
  <c r="BD1894" i="1"/>
  <c r="B1895" i="1"/>
  <c r="C1895" i="1"/>
  <c r="E1895" i="1"/>
  <c r="F1895" i="1"/>
  <c r="G1895" i="1"/>
  <c r="H1895" i="1"/>
  <c r="I1895" i="1"/>
  <c r="J1895" i="1"/>
  <c r="K1895" i="1"/>
  <c r="M1895" i="1"/>
  <c r="O1895" i="1"/>
  <c r="Q1895" i="1"/>
  <c r="R1895" i="1"/>
  <c r="W1895" i="1"/>
  <c r="AA1895" i="1"/>
  <c r="AB1895" i="1"/>
  <c r="AE1895" i="1"/>
  <c r="AF1895" i="1"/>
  <c r="AM1895" i="1"/>
  <c r="AN1895" i="1"/>
  <c r="AO1895" i="1"/>
  <c r="AQ1895" i="1"/>
  <c r="AX1895" i="1"/>
  <c r="BD1895" i="1"/>
  <c r="B1896" i="1"/>
  <c r="C1896" i="1"/>
  <c r="D1896" i="1"/>
  <c r="E1896" i="1"/>
  <c r="F1896" i="1"/>
  <c r="G1896" i="1"/>
  <c r="H1896" i="1"/>
  <c r="I1896" i="1"/>
  <c r="J1896" i="1"/>
  <c r="K1896" i="1"/>
  <c r="M1896" i="1"/>
  <c r="O1896" i="1"/>
  <c r="Q1896" i="1"/>
  <c r="R1896" i="1"/>
  <c r="W1896" i="1"/>
  <c r="AA1896" i="1"/>
  <c r="AB1896" i="1"/>
  <c r="AE1896" i="1"/>
  <c r="AF1896" i="1"/>
  <c r="AM1896" i="1"/>
  <c r="AN1896" i="1"/>
  <c r="AO1896" i="1"/>
  <c r="AQ1896" i="1"/>
  <c r="AX1896" i="1"/>
  <c r="BD1896" i="1"/>
  <c r="B1897" i="1"/>
  <c r="C1897" i="1"/>
  <c r="E1897" i="1"/>
  <c r="F1897" i="1"/>
  <c r="G1897" i="1"/>
  <c r="H1897" i="1"/>
  <c r="I1897" i="1"/>
  <c r="J1897" i="1"/>
  <c r="K1897" i="1"/>
  <c r="M1897" i="1"/>
  <c r="O1897" i="1"/>
  <c r="Q1897" i="1"/>
  <c r="R1897" i="1"/>
  <c r="W1897" i="1"/>
  <c r="AA1897" i="1"/>
  <c r="AB1897" i="1"/>
  <c r="AE1897" i="1"/>
  <c r="AF1897" i="1"/>
  <c r="AM1897" i="1"/>
  <c r="AN1897" i="1"/>
  <c r="AO1897" i="1"/>
  <c r="AQ1897" i="1"/>
  <c r="AX1897" i="1"/>
  <c r="BD1897" i="1"/>
  <c r="B1898" i="1"/>
  <c r="C1898" i="1"/>
  <c r="D1898" i="1"/>
  <c r="E1898" i="1"/>
  <c r="F1898" i="1"/>
  <c r="G1898" i="1"/>
  <c r="H1898" i="1"/>
  <c r="I1898" i="1"/>
  <c r="J1898" i="1"/>
  <c r="K1898" i="1"/>
  <c r="M1898" i="1"/>
  <c r="O1898" i="1"/>
  <c r="Q1898" i="1"/>
  <c r="R1898" i="1"/>
  <c r="W1898" i="1"/>
  <c r="AA1898" i="1"/>
  <c r="AB1898" i="1"/>
  <c r="AE1898" i="1"/>
  <c r="AF1898" i="1"/>
  <c r="AM1898" i="1"/>
  <c r="AN1898" i="1"/>
  <c r="AO1898" i="1"/>
  <c r="AQ1898" i="1"/>
  <c r="AX1898" i="1"/>
  <c r="BD1898" i="1"/>
  <c r="B1899" i="1"/>
  <c r="C1899" i="1"/>
  <c r="D1899" i="1"/>
  <c r="E1899" i="1"/>
  <c r="F1899" i="1"/>
  <c r="G1899" i="1"/>
  <c r="H1899" i="1"/>
  <c r="I1899" i="1"/>
  <c r="J1899" i="1"/>
  <c r="K1899" i="1"/>
  <c r="M1899" i="1"/>
  <c r="O1899" i="1"/>
  <c r="Q1899" i="1"/>
  <c r="R1899" i="1"/>
  <c r="W1899" i="1"/>
  <c r="AA1899" i="1"/>
  <c r="AB1899" i="1"/>
  <c r="AE1899" i="1"/>
  <c r="AF1899" i="1"/>
  <c r="AM1899" i="1"/>
  <c r="AN1899" i="1"/>
  <c r="AO1899" i="1"/>
  <c r="AQ1899" i="1"/>
  <c r="AX1899" i="1"/>
  <c r="BD1899" i="1"/>
  <c r="B1900" i="1"/>
  <c r="C1900" i="1"/>
  <c r="D1900" i="1"/>
  <c r="E1900" i="1"/>
  <c r="F1900" i="1"/>
  <c r="G1900" i="1"/>
  <c r="H1900" i="1"/>
  <c r="I1900" i="1"/>
  <c r="J1900" i="1"/>
  <c r="K1900" i="1"/>
  <c r="M1900" i="1"/>
  <c r="O1900" i="1"/>
  <c r="Q1900" i="1"/>
  <c r="R1900" i="1"/>
  <c r="W1900" i="1"/>
  <c r="AA1900" i="1"/>
  <c r="AB1900" i="1"/>
  <c r="AM1900" i="1"/>
  <c r="AN1900" i="1"/>
  <c r="AO1900" i="1"/>
  <c r="AQ1900" i="1"/>
  <c r="AX1900" i="1"/>
  <c r="BD1900" i="1"/>
  <c r="B1901" i="1"/>
  <c r="E1901" i="1"/>
  <c r="F1901" i="1"/>
  <c r="G1901" i="1"/>
  <c r="H1901" i="1"/>
  <c r="I1901" i="1"/>
  <c r="J1901" i="1"/>
  <c r="K1901" i="1"/>
  <c r="M1901" i="1"/>
  <c r="O1901" i="1"/>
  <c r="Q1901" i="1"/>
  <c r="R1901" i="1"/>
  <c r="W1901" i="1"/>
  <c r="AA1901" i="1"/>
  <c r="AB1901" i="1"/>
  <c r="AM1901" i="1"/>
  <c r="AN1901" i="1"/>
  <c r="AO1901" i="1"/>
  <c r="AQ1901" i="1"/>
  <c r="AX1901" i="1"/>
  <c r="BD1901" i="1"/>
  <c r="B1902" i="1"/>
  <c r="E1902" i="1"/>
  <c r="F1902" i="1"/>
  <c r="G1902" i="1"/>
  <c r="H1902" i="1"/>
  <c r="I1902" i="1"/>
  <c r="J1902" i="1"/>
  <c r="K1902" i="1"/>
  <c r="M1902" i="1"/>
  <c r="O1902" i="1"/>
  <c r="Q1902" i="1"/>
  <c r="R1902" i="1"/>
  <c r="W1902" i="1"/>
  <c r="AA1902" i="1"/>
  <c r="AB1902" i="1"/>
  <c r="AM1902" i="1"/>
  <c r="AN1902" i="1"/>
  <c r="AO1902" i="1"/>
  <c r="AQ1902" i="1"/>
  <c r="AX1902" i="1"/>
  <c r="BD1902" i="1"/>
  <c r="B1903" i="1"/>
  <c r="E1903" i="1"/>
  <c r="F1903" i="1"/>
  <c r="G1903" i="1"/>
  <c r="H1903" i="1"/>
  <c r="I1903" i="1"/>
  <c r="J1903" i="1"/>
  <c r="K1903" i="1"/>
  <c r="M1903" i="1"/>
  <c r="O1903" i="1"/>
  <c r="Q1903" i="1"/>
  <c r="R1903" i="1"/>
  <c r="W1903" i="1"/>
  <c r="AA1903" i="1"/>
  <c r="AB1903" i="1"/>
  <c r="AM1903" i="1"/>
  <c r="AN1903" i="1"/>
  <c r="AO1903" i="1"/>
  <c r="AQ1903" i="1"/>
  <c r="AX1903" i="1"/>
  <c r="BD1903" i="1"/>
  <c r="B1904" i="1"/>
  <c r="E1904" i="1"/>
  <c r="F1904" i="1"/>
  <c r="G1904" i="1"/>
  <c r="H1904" i="1"/>
  <c r="I1904" i="1"/>
  <c r="J1904" i="1"/>
  <c r="K1904" i="1"/>
  <c r="M1904" i="1"/>
  <c r="O1904" i="1"/>
  <c r="Q1904" i="1"/>
  <c r="R1904" i="1"/>
  <c r="W1904" i="1"/>
  <c r="AA1904" i="1"/>
  <c r="AB1904" i="1"/>
  <c r="AE1904" i="1"/>
  <c r="AF1904" i="1"/>
  <c r="AM1904" i="1"/>
  <c r="AN1904" i="1"/>
  <c r="AO1904" i="1"/>
  <c r="AQ1904" i="1"/>
  <c r="AX1904" i="1"/>
  <c r="BD1904" i="1"/>
  <c r="B1905" i="1"/>
  <c r="C1905" i="1"/>
  <c r="D1905" i="1"/>
  <c r="E1905" i="1"/>
  <c r="F1905" i="1"/>
  <c r="G1905" i="1"/>
  <c r="H1905" i="1"/>
  <c r="I1905" i="1"/>
  <c r="J1905" i="1"/>
  <c r="K1905" i="1"/>
  <c r="M1905" i="1"/>
  <c r="O1905" i="1"/>
  <c r="Q1905" i="1"/>
  <c r="R1905" i="1"/>
  <c r="W1905" i="1"/>
  <c r="AA1905" i="1"/>
  <c r="AB1905" i="1"/>
  <c r="AE1905" i="1"/>
  <c r="AF1905" i="1"/>
  <c r="AM1905" i="1"/>
  <c r="AN1905" i="1"/>
  <c r="AO1905" i="1"/>
  <c r="AQ1905" i="1"/>
  <c r="AX1905" i="1"/>
  <c r="BD1905" i="1"/>
  <c r="B1906" i="1"/>
  <c r="C1906" i="1"/>
  <c r="D1906" i="1"/>
  <c r="E1906" i="1"/>
  <c r="F1906" i="1"/>
  <c r="G1906" i="1"/>
  <c r="H1906" i="1"/>
  <c r="I1906" i="1"/>
  <c r="J1906" i="1"/>
  <c r="K1906" i="1"/>
  <c r="M1906" i="1"/>
  <c r="O1906" i="1"/>
  <c r="Q1906" i="1"/>
  <c r="R1906" i="1"/>
  <c r="W1906" i="1"/>
  <c r="AA1906" i="1"/>
  <c r="AB1906" i="1"/>
  <c r="AE1906" i="1"/>
  <c r="AF1906" i="1"/>
  <c r="AM1906" i="1"/>
  <c r="AN1906" i="1"/>
  <c r="AO1906" i="1"/>
  <c r="AQ1906" i="1"/>
  <c r="AX1906" i="1"/>
  <c r="BD1906" i="1"/>
  <c r="B1907" i="1"/>
  <c r="C1907" i="1"/>
  <c r="E1907" i="1"/>
  <c r="F1907" i="1"/>
  <c r="G1907" i="1"/>
  <c r="H1907" i="1"/>
  <c r="I1907" i="1"/>
  <c r="J1907" i="1"/>
  <c r="K1907" i="1"/>
  <c r="M1907" i="1"/>
  <c r="O1907" i="1"/>
  <c r="Q1907" i="1"/>
  <c r="R1907" i="1"/>
  <c r="W1907" i="1"/>
  <c r="AA1907" i="1"/>
  <c r="AB1907" i="1"/>
  <c r="AE1907" i="1"/>
  <c r="AF1907" i="1"/>
  <c r="AM1907" i="1"/>
  <c r="AN1907" i="1"/>
  <c r="AO1907" i="1"/>
  <c r="AQ1907" i="1"/>
  <c r="AX1907" i="1"/>
  <c r="BD1907" i="1"/>
  <c r="B1908" i="1"/>
  <c r="C1908" i="1"/>
  <c r="D1908" i="1"/>
  <c r="E1908" i="1"/>
  <c r="F1908" i="1"/>
  <c r="G1908" i="1"/>
  <c r="H1908" i="1"/>
  <c r="I1908" i="1"/>
  <c r="J1908" i="1"/>
  <c r="K1908" i="1"/>
  <c r="M1908" i="1"/>
  <c r="O1908" i="1"/>
  <c r="Q1908" i="1"/>
  <c r="R1908" i="1"/>
  <c r="W1908" i="1"/>
  <c r="AA1908" i="1"/>
  <c r="AB1908" i="1"/>
  <c r="AE1908" i="1"/>
  <c r="AF1908" i="1"/>
  <c r="AM1908" i="1"/>
  <c r="AN1908" i="1"/>
  <c r="AO1908" i="1"/>
  <c r="AQ1908" i="1"/>
  <c r="AX1908" i="1"/>
  <c r="BD1908" i="1"/>
  <c r="B1909" i="1"/>
  <c r="C1909" i="1"/>
  <c r="D1909" i="1"/>
  <c r="E1909" i="1"/>
  <c r="F1909" i="1"/>
  <c r="G1909" i="1"/>
  <c r="H1909" i="1"/>
  <c r="I1909" i="1"/>
  <c r="J1909" i="1"/>
  <c r="K1909" i="1"/>
  <c r="M1909" i="1"/>
  <c r="O1909" i="1"/>
  <c r="Q1909" i="1"/>
  <c r="R1909" i="1"/>
  <c r="W1909" i="1"/>
  <c r="AA1909" i="1"/>
  <c r="AB1909" i="1"/>
  <c r="AE1909" i="1"/>
  <c r="AF1909" i="1"/>
  <c r="AM1909" i="1"/>
  <c r="AN1909" i="1"/>
  <c r="AO1909" i="1"/>
  <c r="AQ1909" i="1"/>
  <c r="AX1909" i="1"/>
  <c r="BD1909" i="1"/>
  <c r="B1910" i="1"/>
  <c r="C1910" i="1"/>
  <c r="D1910" i="1"/>
  <c r="E1910" i="1"/>
  <c r="F1910" i="1"/>
  <c r="G1910" i="1"/>
  <c r="H1910" i="1"/>
  <c r="I1910" i="1"/>
  <c r="J1910" i="1"/>
  <c r="K1910" i="1"/>
  <c r="M1910" i="1"/>
  <c r="O1910" i="1"/>
  <c r="Q1910" i="1"/>
  <c r="R1910" i="1"/>
  <c r="W1910" i="1"/>
  <c r="AA1910" i="1"/>
  <c r="AB1910" i="1"/>
  <c r="AE1910" i="1"/>
  <c r="AF1910" i="1"/>
  <c r="AM1910" i="1"/>
  <c r="AN1910" i="1"/>
  <c r="AO1910" i="1"/>
  <c r="AQ1910" i="1"/>
  <c r="AX1910" i="1"/>
  <c r="BD1910" i="1"/>
  <c r="B1911" i="1"/>
  <c r="C1911" i="1"/>
  <c r="E1911" i="1"/>
  <c r="F1911" i="1"/>
  <c r="G1911" i="1"/>
  <c r="H1911" i="1"/>
  <c r="I1911" i="1"/>
  <c r="J1911" i="1"/>
  <c r="K1911" i="1"/>
  <c r="M1911" i="1"/>
  <c r="O1911" i="1"/>
  <c r="Q1911" i="1"/>
  <c r="R1911" i="1"/>
  <c r="W1911" i="1"/>
  <c r="AA1911" i="1"/>
  <c r="AM1911" i="1"/>
  <c r="AN1911" i="1"/>
  <c r="AO1911" i="1"/>
  <c r="AQ1911" i="1"/>
  <c r="BB1911" i="1"/>
  <c r="BD1911" i="1"/>
  <c r="B1912" i="1"/>
  <c r="C1912" i="1"/>
  <c r="E1912" i="1"/>
  <c r="F1912" i="1"/>
  <c r="G1912" i="1"/>
  <c r="H1912" i="1"/>
  <c r="I1912" i="1"/>
  <c r="J1912" i="1"/>
  <c r="K1912" i="1"/>
  <c r="M1912" i="1"/>
  <c r="O1912" i="1"/>
  <c r="Q1912" i="1"/>
  <c r="R1912" i="1"/>
  <c r="W1912" i="1"/>
  <c r="AA1912" i="1"/>
  <c r="AM1912" i="1"/>
  <c r="AN1912" i="1"/>
  <c r="AO1912" i="1"/>
  <c r="AQ1912" i="1"/>
  <c r="BB1912" i="1"/>
  <c r="BD1912" i="1"/>
  <c r="B1913" i="1"/>
  <c r="C1913" i="1"/>
  <c r="D1913" i="1"/>
  <c r="E1913" i="1"/>
  <c r="F1913" i="1"/>
  <c r="G1913" i="1"/>
  <c r="H1913" i="1"/>
  <c r="I1913" i="1"/>
  <c r="J1913" i="1"/>
  <c r="K1913" i="1"/>
  <c r="M1913" i="1"/>
  <c r="O1913" i="1"/>
  <c r="Q1913" i="1"/>
  <c r="R1913" i="1"/>
  <c r="W1913" i="1"/>
  <c r="AA1913" i="1"/>
  <c r="AB1913" i="1"/>
  <c r="AE1913" i="1"/>
  <c r="AF1913" i="1"/>
  <c r="AM1913" i="1"/>
  <c r="AN1913" i="1"/>
  <c r="AO1913" i="1"/>
  <c r="AQ1913" i="1"/>
  <c r="AX1913" i="1"/>
  <c r="BD1913" i="1"/>
  <c r="B1914" i="1"/>
  <c r="C1914" i="1"/>
  <c r="D1914" i="1"/>
  <c r="E1914" i="1"/>
  <c r="F1914" i="1"/>
  <c r="G1914" i="1"/>
  <c r="H1914" i="1"/>
  <c r="I1914" i="1"/>
  <c r="J1914" i="1"/>
  <c r="K1914" i="1"/>
  <c r="M1914" i="1"/>
  <c r="O1914" i="1"/>
  <c r="Q1914" i="1"/>
  <c r="R1914" i="1"/>
  <c r="W1914" i="1"/>
  <c r="AA1914" i="1"/>
  <c r="AB1914" i="1"/>
  <c r="AE1914" i="1"/>
  <c r="AF1914" i="1"/>
  <c r="AM1914" i="1"/>
  <c r="AN1914" i="1"/>
  <c r="AO1914" i="1"/>
  <c r="AQ1914" i="1"/>
  <c r="AX1914" i="1"/>
  <c r="BD1914" i="1"/>
  <c r="B1915" i="1"/>
  <c r="E1915" i="1"/>
  <c r="F1915" i="1"/>
  <c r="G1915" i="1"/>
  <c r="H1915" i="1"/>
  <c r="I1915" i="1"/>
  <c r="J1915" i="1"/>
  <c r="K1915" i="1"/>
  <c r="M1915" i="1"/>
  <c r="O1915" i="1"/>
  <c r="Q1915" i="1"/>
  <c r="R1915" i="1"/>
  <c r="W1915" i="1"/>
  <c r="AA1915" i="1"/>
  <c r="AM1915" i="1"/>
  <c r="AN1915" i="1"/>
  <c r="AO1915" i="1"/>
  <c r="AQ1915" i="1"/>
  <c r="BB1915" i="1"/>
  <c r="BD1915" i="1"/>
  <c r="B1916" i="1"/>
  <c r="E1916" i="1"/>
  <c r="F1916" i="1"/>
  <c r="G1916" i="1"/>
  <c r="H1916" i="1"/>
  <c r="I1916" i="1"/>
  <c r="J1916" i="1"/>
  <c r="K1916" i="1"/>
  <c r="M1916" i="1"/>
  <c r="O1916" i="1"/>
  <c r="Q1916" i="1"/>
  <c r="R1916" i="1"/>
  <c r="W1916" i="1"/>
  <c r="AA1916" i="1"/>
  <c r="AM1916" i="1"/>
  <c r="AN1916" i="1"/>
  <c r="AO1916" i="1"/>
  <c r="AQ1916" i="1"/>
  <c r="BB1916" i="1"/>
  <c r="BD1916" i="1"/>
  <c r="B1917" i="1"/>
  <c r="E1917" i="1"/>
  <c r="F1917" i="1"/>
  <c r="G1917" i="1"/>
  <c r="H1917" i="1"/>
  <c r="I1917" i="1"/>
  <c r="J1917" i="1"/>
  <c r="K1917" i="1"/>
  <c r="M1917" i="1"/>
  <c r="O1917" i="1"/>
  <c r="Q1917" i="1"/>
  <c r="R1917" i="1"/>
  <c r="W1917" i="1"/>
  <c r="AA1917" i="1"/>
  <c r="AB1917" i="1"/>
  <c r="AM1917" i="1"/>
  <c r="AN1917" i="1"/>
  <c r="AO1917" i="1"/>
  <c r="AQ1917" i="1"/>
  <c r="AX1917" i="1"/>
  <c r="BD1917" i="1"/>
  <c r="B1918" i="1"/>
  <c r="C1918" i="1"/>
  <c r="D1918" i="1"/>
  <c r="E1918" i="1"/>
  <c r="F1918" i="1"/>
  <c r="G1918" i="1"/>
  <c r="H1918" i="1"/>
  <c r="I1918" i="1"/>
  <c r="J1918" i="1"/>
  <c r="K1918" i="1"/>
  <c r="M1918" i="1"/>
  <c r="O1918" i="1"/>
  <c r="Q1918" i="1"/>
  <c r="R1918" i="1"/>
  <c r="W1918" i="1"/>
  <c r="AA1918" i="1"/>
  <c r="AB1918" i="1"/>
  <c r="AM1918" i="1"/>
  <c r="AN1918" i="1"/>
  <c r="AO1918" i="1"/>
  <c r="AQ1918" i="1"/>
  <c r="AX1918" i="1"/>
  <c r="BD1918" i="1"/>
  <c r="B1919" i="1"/>
  <c r="E1919" i="1"/>
  <c r="F1919" i="1"/>
  <c r="G1919" i="1"/>
  <c r="H1919" i="1"/>
  <c r="I1919" i="1"/>
  <c r="J1919" i="1"/>
  <c r="K1919" i="1"/>
  <c r="M1919" i="1"/>
  <c r="O1919" i="1"/>
  <c r="Q1919" i="1"/>
  <c r="R1919" i="1"/>
  <c r="W1919" i="1"/>
  <c r="AA1919" i="1"/>
  <c r="AB1919" i="1"/>
  <c r="AM1919" i="1"/>
  <c r="AN1919" i="1"/>
  <c r="AO1919" i="1"/>
  <c r="AQ1919" i="1"/>
  <c r="AX1919" i="1"/>
  <c r="BD1919" i="1"/>
  <c r="B1920" i="1"/>
  <c r="C1920" i="1"/>
  <c r="D1920" i="1"/>
  <c r="E1920" i="1"/>
  <c r="F1920" i="1"/>
  <c r="G1920" i="1"/>
  <c r="H1920" i="1"/>
  <c r="I1920" i="1"/>
  <c r="J1920" i="1"/>
  <c r="K1920" i="1"/>
  <c r="M1920" i="1"/>
  <c r="O1920" i="1"/>
  <c r="Q1920" i="1"/>
  <c r="R1920" i="1"/>
  <c r="W1920" i="1"/>
  <c r="AA1920" i="1"/>
  <c r="AB1920" i="1"/>
  <c r="AE1920" i="1"/>
  <c r="AF1920" i="1"/>
  <c r="AM1920" i="1"/>
  <c r="AN1920" i="1"/>
  <c r="AO1920" i="1"/>
  <c r="AQ1920" i="1"/>
  <c r="AX1920" i="1"/>
  <c r="BD1920" i="1"/>
  <c r="B1921" i="1"/>
  <c r="C1921" i="1"/>
  <c r="E1921" i="1"/>
  <c r="F1921" i="1"/>
  <c r="G1921" i="1"/>
  <c r="H1921" i="1"/>
  <c r="I1921" i="1"/>
  <c r="J1921" i="1"/>
  <c r="K1921" i="1"/>
  <c r="M1921" i="1"/>
  <c r="O1921" i="1"/>
  <c r="Q1921" i="1"/>
  <c r="R1921" i="1"/>
  <c r="W1921" i="1"/>
  <c r="AA1921" i="1"/>
  <c r="AB1921" i="1"/>
  <c r="AE1921" i="1"/>
  <c r="AF1921" i="1"/>
  <c r="AM1921" i="1"/>
  <c r="AN1921" i="1"/>
  <c r="AO1921" i="1"/>
  <c r="AQ1921" i="1"/>
  <c r="AX1921" i="1"/>
  <c r="BD1921" i="1"/>
  <c r="B1922" i="1"/>
  <c r="C1922" i="1"/>
  <c r="E1922" i="1"/>
  <c r="F1922" i="1"/>
  <c r="G1922" i="1"/>
  <c r="H1922" i="1"/>
  <c r="I1922" i="1"/>
  <c r="J1922" i="1"/>
  <c r="K1922" i="1"/>
  <c r="M1922" i="1"/>
  <c r="O1922" i="1"/>
  <c r="Q1922" i="1"/>
  <c r="R1922" i="1"/>
  <c r="W1922" i="1"/>
  <c r="AA1922" i="1"/>
  <c r="AB1922" i="1"/>
  <c r="AE1922" i="1"/>
  <c r="AF1922" i="1"/>
  <c r="AM1922" i="1"/>
  <c r="AN1922" i="1"/>
  <c r="AO1922" i="1"/>
  <c r="AQ1922" i="1"/>
  <c r="AX1922" i="1"/>
  <c r="BD1922" i="1"/>
  <c r="B1923" i="1"/>
  <c r="C1923" i="1"/>
  <c r="E1923" i="1"/>
  <c r="F1923" i="1"/>
  <c r="G1923" i="1"/>
  <c r="H1923" i="1"/>
  <c r="I1923" i="1"/>
  <c r="J1923" i="1"/>
  <c r="K1923" i="1"/>
  <c r="M1923" i="1"/>
  <c r="O1923" i="1"/>
  <c r="Q1923" i="1"/>
  <c r="R1923" i="1"/>
  <c r="W1923" i="1"/>
  <c r="AA1923" i="1"/>
  <c r="AB1923" i="1"/>
  <c r="AE1923" i="1"/>
  <c r="AF1923" i="1"/>
  <c r="AM1923" i="1"/>
  <c r="AN1923" i="1"/>
  <c r="AO1923" i="1"/>
  <c r="AQ1923" i="1"/>
  <c r="AX1923" i="1"/>
  <c r="BD1923" i="1"/>
  <c r="B1924" i="1"/>
  <c r="C1924" i="1"/>
  <c r="E1924" i="1"/>
  <c r="F1924" i="1"/>
  <c r="G1924" i="1"/>
  <c r="H1924" i="1"/>
  <c r="I1924" i="1"/>
  <c r="J1924" i="1"/>
  <c r="K1924" i="1"/>
  <c r="M1924" i="1"/>
  <c r="O1924" i="1"/>
  <c r="Q1924" i="1"/>
  <c r="R1924" i="1"/>
  <c r="W1924" i="1"/>
  <c r="AA1924" i="1"/>
  <c r="AB1924" i="1"/>
  <c r="AE1924" i="1"/>
  <c r="AF1924" i="1"/>
  <c r="AM1924" i="1"/>
  <c r="AN1924" i="1"/>
  <c r="AO1924" i="1"/>
  <c r="AQ1924" i="1"/>
  <c r="AX1924" i="1"/>
  <c r="BD1924" i="1"/>
  <c r="B1925" i="1"/>
  <c r="C1925" i="1"/>
  <c r="E1925" i="1"/>
  <c r="F1925" i="1"/>
  <c r="G1925" i="1"/>
  <c r="H1925" i="1"/>
  <c r="I1925" i="1"/>
  <c r="J1925" i="1"/>
  <c r="K1925" i="1"/>
  <c r="M1925" i="1"/>
  <c r="O1925" i="1"/>
  <c r="Q1925" i="1"/>
  <c r="R1925" i="1"/>
  <c r="W1925" i="1"/>
  <c r="AA1925" i="1"/>
  <c r="AB1925" i="1"/>
  <c r="AE1925" i="1"/>
  <c r="AF1925" i="1"/>
  <c r="AM1925" i="1"/>
  <c r="AN1925" i="1"/>
  <c r="AO1925" i="1"/>
  <c r="AQ1925" i="1"/>
  <c r="AX1925" i="1"/>
  <c r="BD1925" i="1"/>
  <c r="B1926" i="1"/>
  <c r="C1926" i="1"/>
  <c r="D1926" i="1"/>
  <c r="E1926" i="1"/>
  <c r="F1926" i="1"/>
  <c r="G1926" i="1"/>
  <c r="H1926" i="1"/>
  <c r="I1926" i="1"/>
  <c r="J1926" i="1"/>
  <c r="K1926" i="1"/>
  <c r="M1926" i="1"/>
  <c r="O1926" i="1"/>
  <c r="Q1926" i="1"/>
  <c r="R1926" i="1"/>
  <c r="W1926" i="1"/>
  <c r="AA1926" i="1"/>
  <c r="AB1926" i="1"/>
  <c r="AE1926" i="1"/>
  <c r="AF1926" i="1"/>
  <c r="AM1926" i="1"/>
  <c r="AN1926" i="1"/>
  <c r="AO1926" i="1"/>
  <c r="AQ1926" i="1"/>
  <c r="AX1926" i="1"/>
  <c r="BD1926" i="1"/>
  <c r="B1927" i="1"/>
  <c r="C1927" i="1"/>
  <c r="D1927" i="1"/>
  <c r="E1927" i="1"/>
  <c r="F1927" i="1"/>
  <c r="G1927" i="1"/>
  <c r="H1927" i="1"/>
  <c r="I1927" i="1"/>
  <c r="J1927" i="1"/>
  <c r="K1927" i="1"/>
  <c r="M1927" i="1"/>
  <c r="O1927" i="1"/>
  <c r="Q1927" i="1"/>
  <c r="R1927" i="1"/>
  <c r="W1927" i="1"/>
  <c r="AA1927" i="1"/>
  <c r="AB1927" i="1"/>
  <c r="AE1927" i="1"/>
  <c r="AF1927" i="1"/>
  <c r="AM1927" i="1"/>
  <c r="AN1927" i="1"/>
  <c r="AO1927" i="1"/>
  <c r="AQ1927" i="1"/>
  <c r="AX1927" i="1"/>
  <c r="BD1927" i="1"/>
  <c r="B1928" i="1"/>
  <c r="C1928" i="1"/>
  <c r="D1928" i="1"/>
  <c r="E1928" i="1"/>
  <c r="F1928" i="1"/>
  <c r="G1928" i="1"/>
  <c r="H1928" i="1"/>
  <c r="I1928" i="1"/>
  <c r="J1928" i="1"/>
  <c r="K1928" i="1"/>
  <c r="M1928" i="1"/>
  <c r="O1928" i="1"/>
  <c r="Q1928" i="1"/>
  <c r="R1928" i="1"/>
  <c r="W1928" i="1"/>
  <c r="AA1928" i="1"/>
  <c r="AB1928" i="1"/>
  <c r="AE1928" i="1"/>
  <c r="AF1928" i="1"/>
  <c r="AM1928" i="1"/>
  <c r="AN1928" i="1"/>
  <c r="AO1928" i="1"/>
  <c r="AQ1928" i="1"/>
  <c r="AX1928" i="1"/>
  <c r="BD1928" i="1"/>
  <c r="B1929" i="1"/>
  <c r="C1929" i="1"/>
  <c r="D1929" i="1"/>
  <c r="E1929" i="1"/>
  <c r="F1929" i="1"/>
  <c r="G1929" i="1"/>
  <c r="H1929" i="1"/>
  <c r="I1929" i="1"/>
  <c r="J1929" i="1"/>
  <c r="K1929" i="1"/>
  <c r="M1929" i="1"/>
  <c r="O1929" i="1"/>
  <c r="Q1929" i="1"/>
  <c r="R1929" i="1"/>
  <c r="W1929" i="1"/>
  <c r="AA1929" i="1"/>
  <c r="AB1929" i="1"/>
  <c r="AE1929" i="1"/>
  <c r="AF1929" i="1"/>
  <c r="AM1929" i="1"/>
  <c r="AN1929" i="1"/>
  <c r="AO1929" i="1"/>
  <c r="AQ1929" i="1"/>
  <c r="AX1929" i="1"/>
  <c r="BD1929" i="1"/>
  <c r="B1930" i="1"/>
  <c r="C1930" i="1"/>
  <c r="D1930" i="1"/>
  <c r="E1930" i="1"/>
  <c r="F1930" i="1"/>
  <c r="G1930" i="1"/>
  <c r="H1930" i="1"/>
  <c r="I1930" i="1"/>
  <c r="J1930" i="1"/>
  <c r="K1930" i="1"/>
  <c r="M1930" i="1"/>
  <c r="O1930" i="1"/>
  <c r="Q1930" i="1"/>
  <c r="R1930" i="1"/>
  <c r="W1930" i="1"/>
  <c r="AA1930" i="1"/>
  <c r="AB1930" i="1"/>
  <c r="AE1930" i="1"/>
  <c r="AF1930" i="1"/>
  <c r="AM1930" i="1"/>
  <c r="AN1930" i="1"/>
  <c r="AO1930" i="1"/>
  <c r="AQ1930" i="1"/>
  <c r="AX1930" i="1"/>
  <c r="BD1930" i="1"/>
  <c r="B1931" i="1"/>
  <c r="C1931" i="1"/>
  <c r="D1931" i="1"/>
  <c r="E1931" i="1"/>
  <c r="F1931" i="1"/>
  <c r="G1931" i="1"/>
  <c r="H1931" i="1"/>
  <c r="I1931" i="1"/>
  <c r="J1931" i="1"/>
  <c r="K1931" i="1"/>
  <c r="M1931" i="1"/>
  <c r="O1931" i="1"/>
  <c r="Q1931" i="1"/>
  <c r="R1931" i="1"/>
  <c r="W1931" i="1"/>
  <c r="AA1931" i="1"/>
  <c r="AB1931" i="1"/>
  <c r="AE1931" i="1"/>
  <c r="AF1931" i="1"/>
  <c r="AM1931" i="1"/>
  <c r="AN1931" i="1"/>
  <c r="AO1931" i="1"/>
  <c r="AQ1931" i="1"/>
  <c r="AX1931" i="1"/>
  <c r="BD1931" i="1"/>
  <c r="B1932" i="1"/>
  <c r="C1932" i="1"/>
  <c r="E1932" i="1"/>
  <c r="F1932" i="1"/>
  <c r="G1932" i="1"/>
  <c r="H1932" i="1"/>
  <c r="I1932" i="1"/>
  <c r="J1932" i="1"/>
  <c r="K1932" i="1"/>
  <c r="M1932" i="1"/>
  <c r="O1932" i="1"/>
  <c r="Q1932" i="1"/>
  <c r="R1932" i="1"/>
  <c r="W1932" i="1"/>
  <c r="AA1932" i="1"/>
  <c r="AB1932" i="1"/>
  <c r="AE1932" i="1"/>
  <c r="AF1932" i="1"/>
  <c r="AM1932" i="1"/>
  <c r="AN1932" i="1"/>
  <c r="AO1932" i="1"/>
  <c r="AQ1932" i="1"/>
  <c r="AX1932" i="1"/>
  <c r="BD1932" i="1"/>
  <c r="B1933" i="1"/>
  <c r="C1933" i="1"/>
  <c r="D1933" i="1"/>
  <c r="E1933" i="1"/>
  <c r="F1933" i="1"/>
  <c r="G1933" i="1"/>
  <c r="H1933" i="1"/>
  <c r="I1933" i="1"/>
  <c r="J1933" i="1"/>
  <c r="K1933" i="1"/>
  <c r="M1933" i="1"/>
  <c r="O1933" i="1"/>
  <c r="Q1933" i="1"/>
  <c r="R1933" i="1"/>
  <c r="W1933" i="1"/>
  <c r="AA1933" i="1"/>
  <c r="AB1933" i="1"/>
  <c r="AE1933" i="1"/>
  <c r="AF1933" i="1"/>
  <c r="AM1933" i="1"/>
  <c r="AN1933" i="1"/>
  <c r="AO1933" i="1"/>
  <c r="AQ1933" i="1"/>
  <c r="AX1933" i="1"/>
  <c r="BD1933" i="1"/>
  <c r="B1934" i="1"/>
  <c r="C1934" i="1"/>
  <c r="D1934" i="1"/>
  <c r="E1934" i="1"/>
  <c r="F1934" i="1"/>
  <c r="G1934" i="1"/>
  <c r="H1934" i="1"/>
  <c r="I1934" i="1"/>
  <c r="J1934" i="1"/>
  <c r="K1934" i="1"/>
  <c r="M1934" i="1"/>
  <c r="O1934" i="1"/>
  <c r="Q1934" i="1"/>
  <c r="R1934" i="1"/>
  <c r="W1934" i="1"/>
  <c r="AA1934" i="1"/>
  <c r="AB1934" i="1"/>
  <c r="AE1934" i="1"/>
  <c r="AF1934" i="1"/>
  <c r="AM1934" i="1"/>
  <c r="AN1934" i="1"/>
  <c r="AO1934" i="1"/>
  <c r="AQ1934" i="1"/>
  <c r="AX1934" i="1"/>
  <c r="BD1934" i="1"/>
  <c r="B1935" i="1"/>
  <c r="C1935" i="1"/>
  <c r="E1935" i="1"/>
  <c r="F1935" i="1"/>
  <c r="G1935" i="1"/>
  <c r="H1935" i="1"/>
  <c r="I1935" i="1"/>
  <c r="J1935" i="1"/>
  <c r="K1935" i="1"/>
  <c r="M1935" i="1"/>
  <c r="O1935" i="1"/>
  <c r="Q1935" i="1"/>
  <c r="R1935" i="1"/>
  <c r="W1935" i="1"/>
  <c r="AA1935" i="1"/>
  <c r="AM1935" i="1"/>
  <c r="AN1935" i="1"/>
  <c r="AO1935" i="1"/>
  <c r="AQ1935" i="1"/>
  <c r="BB1935" i="1"/>
  <c r="BD1935" i="1"/>
  <c r="B1936" i="1"/>
  <c r="C1936" i="1"/>
  <c r="E1936" i="1"/>
  <c r="F1936" i="1"/>
  <c r="G1936" i="1"/>
  <c r="H1936" i="1"/>
  <c r="I1936" i="1"/>
  <c r="J1936" i="1"/>
  <c r="K1936" i="1"/>
  <c r="M1936" i="1"/>
  <c r="O1936" i="1"/>
  <c r="Q1936" i="1"/>
  <c r="R1936" i="1"/>
  <c r="W1936" i="1"/>
  <c r="AA1936" i="1"/>
  <c r="AM1936" i="1"/>
  <c r="AN1936" i="1"/>
  <c r="AO1936" i="1"/>
  <c r="AQ1936" i="1"/>
  <c r="BB1936" i="1"/>
  <c r="BD1936" i="1"/>
  <c r="B1937" i="1"/>
  <c r="C1937" i="1"/>
  <c r="E1937" i="1"/>
  <c r="F1937" i="1"/>
  <c r="G1937" i="1"/>
  <c r="H1937" i="1"/>
  <c r="I1937" i="1"/>
  <c r="J1937" i="1"/>
  <c r="K1937" i="1"/>
  <c r="M1937" i="1"/>
  <c r="O1937" i="1"/>
  <c r="Q1937" i="1"/>
  <c r="R1937" i="1"/>
  <c r="W1937" i="1"/>
  <c r="AA1937" i="1"/>
  <c r="AM1937" i="1"/>
  <c r="AN1937" i="1"/>
  <c r="AO1937" i="1"/>
  <c r="AQ1937" i="1"/>
  <c r="BB1937" i="1"/>
  <c r="BD1937" i="1"/>
  <c r="B1938" i="1"/>
  <c r="C1938" i="1"/>
  <c r="E1938" i="1"/>
  <c r="F1938" i="1"/>
  <c r="G1938" i="1"/>
  <c r="H1938" i="1"/>
  <c r="I1938" i="1"/>
  <c r="J1938" i="1"/>
  <c r="K1938" i="1"/>
  <c r="M1938" i="1"/>
  <c r="O1938" i="1"/>
  <c r="Q1938" i="1"/>
  <c r="R1938" i="1"/>
  <c r="W1938" i="1"/>
  <c r="AA1938" i="1"/>
  <c r="AM1938" i="1"/>
  <c r="AN1938" i="1"/>
  <c r="AO1938" i="1"/>
  <c r="AQ1938" i="1"/>
  <c r="BB1938" i="1"/>
  <c r="BD1938" i="1"/>
  <c r="B1939" i="1"/>
  <c r="C1939" i="1"/>
  <c r="E1939" i="1"/>
  <c r="F1939" i="1"/>
  <c r="G1939" i="1"/>
  <c r="H1939" i="1"/>
  <c r="I1939" i="1"/>
  <c r="J1939" i="1"/>
  <c r="K1939" i="1"/>
  <c r="M1939" i="1"/>
  <c r="O1939" i="1"/>
  <c r="Q1939" i="1"/>
  <c r="R1939" i="1"/>
  <c r="W1939" i="1"/>
  <c r="AA1939" i="1"/>
  <c r="AM1939" i="1"/>
  <c r="AN1939" i="1"/>
  <c r="AO1939" i="1"/>
  <c r="AQ1939" i="1"/>
  <c r="BB1939" i="1"/>
  <c r="BD1939" i="1"/>
  <c r="B1940" i="1"/>
  <c r="C1940" i="1"/>
  <c r="E1940" i="1"/>
  <c r="F1940" i="1"/>
  <c r="G1940" i="1"/>
  <c r="H1940" i="1"/>
  <c r="I1940" i="1"/>
  <c r="J1940" i="1"/>
  <c r="K1940" i="1"/>
  <c r="M1940" i="1"/>
  <c r="O1940" i="1"/>
  <c r="Q1940" i="1"/>
  <c r="R1940" i="1"/>
  <c r="W1940" i="1"/>
  <c r="AA1940" i="1"/>
  <c r="AM1940" i="1"/>
  <c r="AN1940" i="1"/>
  <c r="AO1940" i="1"/>
  <c r="AQ1940" i="1"/>
  <c r="BB1940" i="1"/>
  <c r="BD1940" i="1"/>
  <c r="B1941" i="1"/>
  <c r="E1941" i="1"/>
  <c r="F1941" i="1"/>
  <c r="G1941" i="1"/>
  <c r="H1941" i="1"/>
  <c r="I1941" i="1"/>
  <c r="J1941" i="1"/>
  <c r="K1941" i="1"/>
  <c r="M1941" i="1"/>
  <c r="O1941" i="1"/>
  <c r="Q1941" i="1"/>
  <c r="R1941" i="1"/>
  <c r="W1941" i="1"/>
  <c r="AA1941" i="1"/>
  <c r="AB1941" i="1"/>
  <c r="AM1941" i="1"/>
  <c r="AN1941" i="1"/>
  <c r="AO1941" i="1"/>
  <c r="AQ1941" i="1"/>
  <c r="AX1941" i="1"/>
  <c r="BD1941" i="1"/>
  <c r="B1942" i="1"/>
  <c r="E1942" i="1"/>
  <c r="F1942" i="1"/>
  <c r="G1942" i="1"/>
  <c r="H1942" i="1"/>
  <c r="I1942" i="1"/>
  <c r="J1942" i="1"/>
  <c r="K1942" i="1"/>
  <c r="M1942" i="1"/>
  <c r="O1942" i="1"/>
  <c r="Q1942" i="1"/>
  <c r="R1942" i="1"/>
  <c r="W1942" i="1"/>
  <c r="AA1942" i="1"/>
  <c r="AB1942" i="1"/>
  <c r="AM1942" i="1"/>
  <c r="AN1942" i="1"/>
  <c r="AO1942" i="1"/>
  <c r="AQ1942" i="1"/>
  <c r="AX1942" i="1"/>
  <c r="BD1942" i="1"/>
  <c r="B1943" i="1"/>
  <c r="E1943" i="1"/>
  <c r="F1943" i="1"/>
  <c r="G1943" i="1"/>
  <c r="H1943" i="1"/>
  <c r="I1943" i="1"/>
  <c r="J1943" i="1"/>
  <c r="K1943" i="1"/>
  <c r="M1943" i="1"/>
  <c r="O1943" i="1"/>
  <c r="Q1943" i="1"/>
  <c r="R1943" i="1"/>
  <c r="W1943" i="1"/>
  <c r="AA1943" i="1"/>
  <c r="AB1943" i="1"/>
  <c r="AM1943" i="1"/>
  <c r="AN1943" i="1"/>
  <c r="AO1943" i="1"/>
  <c r="AQ1943" i="1"/>
  <c r="AX1943" i="1"/>
  <c r="BD1943" i="1"/>
  <c r="B1944" i="1"/>
  <c r="C1944" i="1"/>
  <c r="E1944" i="1"/>
  <c r="F1944" i="1"/>
  <c r="G1944" i="1"/>
  <c r="H1944" i="1"/>
  <c r="I1944" i="1"/>
  <c r="J1944" i="1"/>
  <c r="K1944" i="1"/>
  <c r="M1944" i="1"/>
  <c r="O1944" i="1"/>
  <c r="Q1944" i="1"/>
  <c r="R1944" i="1"/>
  <c r="W1944" i="1"/>
  <c r="AA1944" i="1"/>
  <c r="AM1944" i="1"/>
  <c r="AN1944" i="1"/>
  <c r="AO1944" i="1"/>
  <c r="AQ1944" i="1"/>
  <c r="BB1944" i="1"/>
  <c r="BD1944" i="1"/>
  <c r="B1945" i="1"/>
  <c r="C1945" i="1"/>
  <c r="E1945" i="1"/>
  <c r="F1945" i="1"/>
  <c r="G1945" i="1"/>
  <c r="H1945" i="1"/>
  <c r="I1945" i="1"/>
  <c r="J1945" i="1"/>
  <c r="K1945" i="1"/>
  <c r="M1945" i="1"/>
  <c r="O1945" i="1"/>
  <c r="Q1945" i="1"/>
  <c r="R1945" i="1"/>
  <c r="W1945" i="1"/>
  <c r="AA1945" i="1"/>
  <c r="AM1945" i="1"/>
  <c r="AN1945" i="1"/>
  <c r="AO1945" i="1"/>
  <c r="AQ1945" i="1"/>
  <c r="BB1945" i="1"/>
  <c r="BD1945" i="1"/>
  <c r="B1946" i="1"/>
  <c r="C1946" i="1"/>
  <c r="E1946" i="1"/>
  <c r="F1946" i="1"/>
  <c r="G1946" i="1"/>
  <c r="H1946" i="1"/>
  <c r="I1946" i="1"/>
  <c r="J1946" i="1"/>
  <c r="K1946" i="1"/>
  <c r="M1946" i="1"/>
  <c r="O1946" i="1"/>
  <c r="Q1946" i="1"/>
  <c r="R1946" i="1"/>
  <c r="W1946" i="1"/>
  <c r="AA1946" i="1"/>
  <c r="AM1946" i="1"/>
  <c r="AN1946" i="1"/>
  <c r="AO1946" i="1"/>
  <c r="AQ1946" i="1"/>
  <c r="BB1946" i="1"/>
  <c r="BD1946" i="1"/>
  <c r="B1947" i="1"/>
  <c r="C1947" i="1"/>
  <c r="E1947" i="1"/>
  <c r="F1947" i="1"/>
  <c r="G1947" i="1"/>
  <c r="H1947" i="1"/>
  <c r="I1947" i="1"/>
  <c r="J1947" i="1"/>
  <c r="K1947" i="1"/>
  <c r="M1947" i="1"/>
  <c r="O1947" i="1"/>
  <c r="Q1947" i="1"/>
  <c r="R1947" i="1"/>
  <c r="W1947" i="1"/>
  <c r="AA1947" i="1"/>
  <c r="AM1947" i="1"/>
  <c r="AN1947" i="1"/>
  <c r="AO1947" i="1"/>
  <c r="AQ1947" i="1"/>
  <c r="BB1947" i="1"/>
  <c r="BD1947" i="1"/>
  <c r="B1948" i="1"/>
  <c r="C1948" i="1"/>
  <c r="E1948" i="1"/>
  <c r="F1948" i="1"/>
  <c r="G1948" i="1"/>
  <c r="H1948" i="1"/>
  <c r="I1948" i="1"/>
  <c r="J1948" i="1"/>
  <c r="K1948" i="1"/>
  <c r="M1948" i="1"/>
  <c r="O1948" i="1"/>
  <c r="Q1948" i="1"/>
  <c r="R1948" i="1"/>
  <c r="W1948" i="1"/>
  <c r="AA1948" i="1"/>
  <c r="AM1948" i="1"/>
  <c r="AN1948" i="1"/>
  <c r="AO1948" i="1"/>
  <c r="AQ1948" i="1"/>
  <c r="BB1948" i="1"/>
  <c r="BD1948" i="1"/>
  <c r="B1949" i="1"/>
  <c r="C1949" i="1"/>
  <c r="E1949" i="1"/>
  <c r="F1949" i="1"/>
  <c r="G1949" i="1"/>
  <c r="H1949" i="1"/>
  <c r="I1949" i="1"/>
  <c r="J1949" i="1"/>
  <c r="K1949" i="1"/>
  <c r="M1949" i="1"/>
  <c r="O1949" i="1"/>
  <c r="Q1949" i="1"/>
  <c r="R1949" i="1"/>
  <c r="W1949" i="1"/>
  <c r="AA1949" i="1"/>
  <c r="AM1949" i="1"/>
  <c r="AN1949" i="1"/>
  <c r="AO1949" i="1"/>
  <c r="AQ1949" i="1"/>
  <c r="BB1949" i="1"/>
  <c r="BD1949" i="1"/>
  <c r="B1950" i="1"/>
  <c r="C1950" i="1"/>
  <c r="D1950" i="1"/>
  <c r="E1950" i="1"/>
  <c r="F1950" i="1"/>
  <c r="G1950" i="1"/>
  <c r="H1950" i="1"/>
  <c r="I1950" i="1"/>
  <c r="J1950" i="1"/>
  <c r="K1950" i="1"/>
  <c r="M1950" i="1"/>
  <c r="O1950" i="1"/>
  <c r="Q1950" i="1"/>
  <c r="R1950" i="1"/>
  <c r="W1950" i="1"/>
  <c r="AA1950" i="1"/>
  <c r="AB1950" i="1"/>
  <c r="AM1950" i="1"/>
  <c r="AN1950" i="1"/>
  <c r="AO1950" i="1"/>
  <c r="AQ1950" i="1"/>
  <c r="AX1950" i="1"/>
  <c r="BD1950" i="1"/>
  <c r="B1951" i="1"/>
  <c r="C1951" i="1"/>
  <c r="E1951" i="1"/>
  <c r="F1951" i="1"/>
  <c r="G1951" i="1"/>
  <c r="H1951" i="1"/>
  <c r="I1951" i="1"/>
  <c r="J1951" i="1"/>
  <c r="K1951" i="1"/>
  <c r="M1951" i="1"/>
  <c r="O1951" i="1"/>
  <c r="Q1951" i="1"/>
  <c r="R1951" i="1"/>
  <c r="W1951" i="1"/>
  <c r="AA1951" i="1"/>
  <c r="AM1951" i="1"/>
  <c r="AN1951" i="1"/>
  <c r="AO1951" i="1"/>
  <c r="AQ1951" i="1"/>
  <c r="BB1951" i="1"/>
  <c r="BD1951" i="1"/>
  <c r="B1952" i="1"/>
  <c r="E1952" i="1"/>
  <c r="F1952" i="1"/>
  <c r="G1952" i="1"/>
  <c r="H1952" i="1"/>
  <c r="I1952" i="1"/>
  <c r="J1952" i="1"/>
  <c r="K1952" i="1"/>
  <c r="M1952" i="1"/>
  <c r="O1952" i="1"/>
  <c r="Q1952" i="1"/>
  <c r="R1952" i="1"/>
  <c r="W1952" i="1"/>
  <c r="AA1952" i="1"/>
  <c r="AB1952" i="1"/>
  <c r="AE1952" i="1"/>
  <c r="AF1952" i="1"/>
  <c r="AM1952" i="1"/>
  <c r="AN1952" i="1"/>
  <c r="AO1952" i="1"/>
  <c r="AQ1952" i="1"/>
  <c r="AX1952" i="1"/>
  <c r="BD1952" i="1"/>
  <c r="B1953" i="1"/>
  <c r="E1953" i="1"/>
  <c r="F1953" i="1"/>
  <c r="G1953" i="1"/>
  <c r="H1953" i="1"/>
  <c r="I1953" i="1"/>
  <c r="J1953" i="1"/>
  <c r="K1953" i="1"/>
  <c r="M1953" i="1"/>
  <c r="O1953" i="1"/>
  <c r="Q1953" i="1"/>
  <c r="R1953" i="1"/>
  <c r="W1953" i="1"/>
  <c r="AA1953" i="1"/>
  <c r="AB1953" i="1"/>
  <c r="AE1953" i="1"/>
  <c r="AF1953" i="1"/>
  <c r="AM1953" i="1"/>
  <c r="AN1953" i="1"/>
  <c r="AO1953" i="1"/>
  <c r="AQ1953" i="1"/>
  <c r="AX1953" i="1"/>
  <c r="BD1953" i="1"/>
  <c r="B1954" i="1"/>
  <c r="C1954" i="1"/>
  <c r="D1954" i="1"/>
  <c r="E1954" i="1"/>
  <c r="F1954" i="1"/>
  <c r="G1954" i="1"/>
  <c r="H1954" i="1"/>
  <c r="I1954" i="1"/>
  <c r="J1954" i="1"/>
  <c r="K1954" i="1"/>
  <c r="M1954" i="1"/>
  <c r="O1954" i="1"/>
  <c r="Q1954" i="1"/>
  <c r="R1954" i="1"/>
  <c r="W1954" i="1"/>
  <c r="AA1954" i="1"/>
  <c r="AB1954" i="1"/>
  <c r="AM1954" i="1"/>
  <c r="AN1954" i="1"/>
  <c r="AO1954" i="1"/>
  <c r="AQ1954" i="1"/>
  <c r="AX1954" i="1"/>
  <c r="BD1954" i="1"/>
  <c r="B1955" i="1"/>
  <c r="C1955" i="1"/>
  <c r="E1955" i="1"/>
  <c r="F1955" i="1"/>
  <c r="G1955" i="1"/>
  <c r="H1955" i="1"/>
  <c r="I1955" i="1"/>
  <c r="J1955" i="1"/>
  <c r="K1955" i="1"/>
  <c r="M1955" i="1"/>
  <c r="O1955" i="1"/>
  <c r="Q1955" i="1"/>
  <c r="R1955" i="1"/>
  <c r="W1955" i="1"/>
  <c r="AA1955" i="1"/>
  <c r="AM1955" i="1"/>
  <c r="AN1955" i="1"/>
  <c r="AO1955" i="1"/>
  <c r="AQ1955" i="1"/>
  <c r="BB1955" i="1"/>
  <c r="BD1955" i="1"/>
  <c r="B1956" i="1"/>
  <c r="E1956" i="1"/>
  <c r="F1956" i="1"/>
  <c r="G1956" i="1"/>
  <c r="H1956" i="1"/>
  <c r="I1956" i="1"/>
  <c r="J1956" i="1"/>
  <c r="K1956" i="1"/>
  <c r="M1956" i="1"/>
  <c r="O1956" i="1"/>
  <c r="Q1956" i="1"/>
  <c r="R1956" i="1"/>
  <c r="W1956" i="1"/>
  <c r="AA1956" i="1"/>
  <c r="AB1956" i="1"/>
  <c r="AM1956" i="1"/>
  <c r="AN1956" i="1"/>
  <c r="AO1956" i="1"/>
  <c r="AQ1956" i="1"/>
  <c r="AX1956" i="1"/>
  <c r="BD1956" i="1"/>
  <c r="B1957" i="1"/>
  <c r="E1957" i="1"/>
  <c r="F1957" i="1"/>
  <c r="G1957" i="1"/>
  <c r="H1957" i="1"/>
  <c r="I1957" i="1"/>
  <c r="J1957" i="1"/>
  <c r="K1957" i="1"/>
  <c r="M1957" i="1"/>
  <c r="O1957" i="1"/>
  <c r="Q1957" i="1"/>
  <c r="R1957" i="1"/>
  <c r="W1957" i="1"/>
  <c r="AA1957" i="1"/>
  <c r="AB1957" i="1"/>
  <c r="AM1957" i="1"/>
  <c r="AN1957" i="1"/>
  <c r="AO1957" i="1"/>
  <c r="AQ1957" i="1"/>
  <c r="AX1957" i="1"/>
  <c r="BD1957" i="1"/>
  <c r="B1958" i="1"/>
  <c r="C1958" i="1"/>
  <c r="E1958" i="1"/>
  <c r="F1958" i="1"/>
  <c r="G1958" i="1"/>
  <c r="H1958" i="1"/>
  <c r="I1958" i="1"/>
  <c r="J1958" i="1"/>
  <c r="K1958" i="1"/>
  <c r="M1958" i="1"/>
  <c r="O1958" i="1"/>
  <c r="Q1958" i="1"/>
  <c r="R1958" i="1"/>
  <c r="W1958" i="1"/>
  <c r="AA1958" i="1"/>
  <c r="AB1958" i="1"/>
  <c r="AE1958" i="1"/>
  <c r="AF1958" i="1"/>
  <c r="AM1958" i="1"/>
  <c r="AN1958" i="1"/>
  <c r="AO1958" i="1"/>
  <c r="AQ1958" i="1"/>
  <c r="AX1958" i="1"/>
  <c r="BD1958" i="1"/>
  <c r="B1959" i="1"/>
  <c r="C1959" i="1"/>
  <c r="E1959" i="1"/>
  <c r="F1959" i="1"/>
  <c r="G1959" i="1"/>
  <c r="H1959" i="1"/>
  <c r="I1959" i="1"/>
  <c r="J1959" i="1"/>
  <c r="K1959" i="1"/>
  <c r="M1959" i="1"/>
  <c r="O1959" i="1"/>
  <c r="Q1959" i="1"/>
  <c r="R1959" i="1"/>
  <c r="W1959" i="1"/>
  <c r="AA1959" i="1"/>
  <c r="AB1959" i="1"/>
  <c r="AE1959" i="1"/>
  <c r="AF1959" i="1"/>
  <c r="AM1959" i="1"/>
  <c r="AN1959" i="1"/>
  <c r="AO1959" i="1"/>
  <c r="AQ1959" i="1"/>
  <c r="AX1959" i="1"/>
  <c r="BD1959" i="1"/>
  <c r="B1960" i="1"/>
  <c r="C1960" i="1"/>
  <c r="E1960" i="1"/>
  <c r="F1960" i="1"/>
  <c r="G1960" i="1"/>
  <c r="H1960" i="1"/>
  <c r="I1960" i="1"/>
  <c r="J1960" i="1"/>
  <c r="K1960" i="1"/>
  <c r="M1960" i="1"/>
  <c r="O1960" i="1"/>
  <c r="Q1960" i="1"/>
  <c r="R1960" i="1"/>
  <c r="W1960" i="1"/>
  <c r="AA1960" i="1"/>
  <c r="AB1960" i="1"/>
  <c r="AE1960" i="1"/>
  <c r="AF1960" i="1"/>
  <c r="AM1960" i="1"/>
  <c r="AN1960" i="1"/>
  <c r="AO1960" i="1"/>
  <c r="AQ1960" i="1"/>
  <c r="AX1960" i="1"/>
  <c r="BD1960" i="1"/>
  <c r="B1961" i="1"/>
  <c r="C1961" i="1"/>
  <c r="E1961" i="1"/>
  <c r="F1961" i="1"/>
  <c r="G1961" i="1"/>
  <c r="H1961" i="1"/>
  <c r="I1961" i="1"/>
  <c r="J1961" i="1"/>
  <c r="K1961" i="1"/>
  <c r="M1961" i="1"/>
  <c r="O1961" i="1"/>
  <c r="Q1961" i="1"/>
  <c r="R1961" i="1"/>
  <c r="W1961" i="1"/>
  <c r="AA1961" i="1"/>
  <c r="AB1961" i="1"/>
  <c r="AE1961" i="1"/>
  <c r="AF1961" i="1"/>
  <c r="AM1961" i="1"/>
  <c r="AN1961" i="1"/>
  <c r="AO1961" i="1"/>
  <c r="AQ1961" i="1"/>
  <c r="AX1961" i="1"/>
  <c r="BD1961" i="1"/>
  <c r="B1962" i="1"/>
  <c r="C1962" i="1"/>
  <c r="E1962" i="1"/>
  <c r="F1962" i="1"/>
  <c r="G1962" i="1"/>
  <c r="H1962" i="1"/>
  <c r="I1962" i="1"/>
  <c r="J1962" i="1"/>
  <c r="K1962" i="1"/>
  <c r="M1962" i="1"/>
  <c r="O1962" i="1"/>
  <c r="Q1962" i="1"/>
  <c r="R1962" i="1"/>
  <c r="W1962" i="1"/>
  <c r="AA1962" i="1"/>
  <c r="AB1962" i="1"/>
  <c r="AE1962" i="1"/>
  <c r="AF1962" i="1"/>
  <c r="AM1962" i="1"/>
  <c r="AN1962" i="1"/>
  <c r="AO1962" i="1"/>
  <c r="AQ1962" i="1"/>
  <c r="AX1962" i="1"/>
  <c r="BD1962" i="1"/>
  <c r="B1963" i="1"/>
  <c r="C1963" i="1"/>
  <c r="E1963" i="1"/>
  <c r="F1963" i="1"/>
  <c r="G1963" i="1"/>
  <c r="H1963" i="1"/>
  <c r="I1963" i="1"/>
  <c r="J1963" i="1"/>
  <c r="K1963" i="1"/>
  <c r="M1963" i="1"/>
  <c r="O1963" i="1"/>
  <c r="Q1963" i="1"/>
  <c r="R1963" i="1"/>
  <c r="W1963" i="1"/>
  <c r="AA1963" i="1"/>
  <c r="AB1963" i="1"/>
  <c r="AE1963" i="1"/>
  <c r="AF1963" i="1"/>
  <c r="AM1963" i="1"/>
  <c r="AN1963" i="1"/>
  <c r="AO1963" i="1"/>
  <c r="AQ1963" i="1"/>
  <c r="AX1963" i="1"/>
  <c r="BD1963" i="1"/>
  <c r="B1964" i="1"/>
  <c r="C1964" i="1"/>
  <c r="D1964" i="1"/>
  <c r="E1964" i="1"/>
  <c r="F1964" i="1"/>
  <c r="G1964" i="1"/>
  <c r="H1964" i="1"/>
  <c r="I1964" i="1"/>
  <c r="J1964" i="1"/>
  <c r="K1964" i="1"/>
  <c r="M1964" i="1"/>
  <c r="O1964" i="1"/>
  <c r="Q1964" i="1"/>
  <c r="R1964" i="1"/>
  <c r="W1964" i="1"/>
  <c r="AA1964" i="1"/>
  <c r="AB1964" i="1"/>
  <c r="AE1964" i="1"/>
  <c r="AF1964" i="1"/>
  <c r="AM1964" i="1"/>
  <c r="AN1964" i="1"/>
  <c r="AO1964" i="1"/>
  <c r="AQ1964" i="1"/>
  <c r="AX1964" i="1"/>
  <c r="BD1964" i="1"/>
  <c r="B1965" i="1"/>
  <c r="C1965" i="1"/>
  <c r="D1965" i="1"/>
  <c r="E1965" i="1"/>
  <c r="F1965" i="1"/>
  <c r="G1965" i="1"/>
  <c r="H1965" i="1"/>
  <c r="I1965" i="1"/>
  <c r="J1965" i="1"/>
  <c r="K1965" i="1"/>
  <c r="M1965" i="1"/>
  <c r="O1965" i="1"/>
  <c r="Q1965" i="1"/>
  <c r="R1965" i="1"/>
  <c r="W1965" i="1"/>
  <c r="AA1965" i="1"/>
  <c r="AB1965" i="1"/>
  <c r="AE1965" i="1"/>
  <c r="AF1965" i="1"/>
  <c r="AM1965" i="1"/>
  <c r="AN1965" i="1"/>
  <c r="AO1965" i="1"/>
  <c r="AQ1965" i="1"/>
  <c r="AX1965" i="1"/>
  <c r="BD1965" i="1"/>
  <c r="B1966" i="1"/>
  <c r="C1966" i="1"/>
  <c r="D1966" i="1"/>
  <c r="E1966" i="1"/>
  <c r="F1966" i="1"/>
  <c r="G1966" i="1"/>
  <c r="H1966" i="1"/>
  <c r="I1966" i="1"/>
  <c r="J1966" i="1"/>
  <c r="K1966" i="1"/>
  <c r="M1966" i="1"/>
  <c r="O1966" i="1"/>
  <c r="Q1966" i="1"/>
  <c r="R1966" i="1"/>
  <c r="W1966" i="1"/>
  <c r="AA1966" i="1"/>
  <c r="AB1966" i="1"/>
  <c r="AE1966" i="1"/>
  <c r="AF1966" i="1"/>
  <c r="AM1966" i="1"/>
  <c r="AN1966" i="1"/>
  <c r="AO1966" i="1"/>
  <c r="AQ1966" i="1"/>
  <c r="AX1966" i="1"/>
  <c r="BD1966" i="1"/>
  <c r="B1967" i="1"/>
  <c r="C1967" i="1"/>
  <c r="D1967" i="1"/>
  <c r="E1967" i="1"/>
  <c r="F1967" i="1"/>
  <c r="G1967" i="1"/>
  <c r="H1967" i="1"/>
  <c r="I1967" i="1"/>
  <c r="J1967" i="1"/>
  <c r="K1967" i="1"/>
  <c r="M1967" i="1"/>
  <c r="O1967" i="1"/>
  <c r="Q1967" i="1"/>
  <c r="R1967" i="1"/>
  <c r="W1967" i="1"/>
  <c r="AA1967" i="1"/>
  <c r="AB1967" i="1"/>
  <c r="AE1967" i="1"/>
  <c r="AF1967" i="1"/>
  <c r="AM1967" i="1"/>
  <c r="AN1967" i="1"/>
  <c r="AO1967" i="1"/>
  <c r="AQ1967" i="1"/>
  <c r="AX1967" i="1"/>
  <c r="BD1967" i="1"/>
  <c r="B1968" i="1"/>
  <c r="C1968" i="1"/>
  <c r="D1968" i="1"/>
  <c r="E1968" i="1"/>
  <c r="F1968" i="1"/>
  <c r="G1968" i="1"/>
  <c r="H1968" i="1"/>
  <c r="I1968" i="1"/>
  <c r="J1968" i="1"/>
  <c r="K1968" i="1"/>
  <c r="M1968" i="1"/>
  <c r="O1968" i="1"/>
  <c r="Q1968" i="1"/>
  <c r="R1968" i="1"/>
  <c r="W1968" i="1"/>
  <c r="AA1968" i="1"/>
  <c r="AB1968" i="1"/>
  <c r="AE1968" i="1"/>
  <c r="AF1968" i="1"/>
  <c r="AM1968" i="1"/>
  <c r="AN1968" i="1"/>
  <c r="AO1968" i="1"/>
  <c r="AQ1968" i="1"/>
  <c r="AX1968" i="1"/>
  <c r="BD1968" i="1"/>
  <c r="B1969" i="1"/>
  <c r="C1969" i="1"/>
  <c r="D1969" i="1"/>
  <c r="E1969" i="1"/>
  <c r="F1969" i="1"/>
  <c r="G1969" i="1"/>
  <c r="H1969" i="1"/>
  <c r="I1969" i="1"/>
  <c r="J1969" i="1"/>
  <c r="K1969" i="1"/>
  <c r="M1969" i="1"/>
  <c r="O1969" i="1"/>
  <c r="Q1969" i="1"/>
  <c r="R1969" i="1"/>
  <c r="W1969" i="1"/>
  <c r="AA1969" i="1"/>
  <c r="AB1969" i="1"/>
  <c r="AE1969" i="1"/>
  <c r="AF1969" i="1"/>
  <c r="AM1969" i="1"/>
  <c r="AN1969" i="1"/>
  <c r="AO1969" i="1"/>
  <c r="AQ1969" i="1"/>
  <c r="AX1969" i="1"/>
  <c r="BD1969" i="1"/>
  <c r="B1970" i="1"/>
  <c r="C1970" i="1"/>
  <c r="D1970" i="1"/>
  <c r="E1970" i="1"/>
  <c r="F1970" i="1"/>
  <c r="G1970" i="1"/>
  <c r="H1970" i="1"/>
  <c r="I1970" i="1"/>
  <c r="J1970" i="1"/>
  <c r="K1970" i="1"/>
  <c r="M1970" i="1"/>
  <c r="O1970" i="1"/>
  <c r="Q1970" i="1"/>
  <c r="R1970" i="1"/>
  <c r="W1970" i="1"/>
  <c r="AA1970" i="1"/>
  <c r="AB1970" i="1"/>
  <c r="AE1970" i="1"/>
  <c r="AF1970" i="1"/>
  <c r="AM1970" i="1"/>
  <c r="AN1970" i="1"/>
  <c r="AO1970" i="1"/>
  <c r="AQ1970" i="1"/>
  <c r="AX1970" i="1"/>
  <c r="BD1970" i="1"/>
  <c r="B1971" i="1"/>
  <c r="C1971" i="1"/>
  <c r="E1971" i="1"/>
  <c r="F1971" i="1"/>
  <c r="G1971" i="1"/>
  <c r="H1971" i="1"/>
  <c r="I1971" i="1"/>
  <c r="J1971" i="1"/>
  <c r="K1971" i="1"/>
  <c r="M1971" i="1"/>
  <c r="O1971" i="1"/>
  <c r="Q1971" i="1"/>
  <c r="R1971" i="1"/>
  <c r="W1971" i="1"/>
  <c r="AA1971" i="1"/>
  <c r="AB1971" i="1"/>
  <c r="AE1971" i="1"/>
  <c r="AF1971" i="1"/>
  <c r="AM1971" i="1"/>
  <c r="AN1971" i="1"/>
  <c r="AO1971" i="1"/>
  <c r="AQ1971" i="1"/>
  <c r="AX1971" i="1"/>
  <c r="BD1971" i="1"/>
  <c r="B1972" i="1"/>
  <c r="C1972" i="1"/>
  <c r="E1972" i="1"/>
  <c r="F1972" i="1"/>
  <c r="G1972" i="1"/>
  <c r="H1972" i="1"/>
  <c r="I1972" i="1"/>
  <c r="J1972" i="1"/>
  <c r="K1972" i="1"/>
  <c r="M1972" i="1"/>
  <c r="O1972" i="1"/>
  <c r="Q1972" i="1"/>
  <c r="R1972" i="1"/>
  <c r="W1972" i="1"/>
  <c r="AA1972" i="1"/>
  <c r="AB1972" i="1"/>
  <c r="AE1972" i="1"/>
  <c r="AF1972" i="1"/>
  <c r="AM1972" i="1"/>
  <c r="AN1972" i="1"/>
  <c r="AO1972" i="1"/>
  <c r="AQ1972" i="1"/>
  <c r="AX1972" i="1"/>
  <c r="BD1972" i="1"/>
  <c r="B1973" i="1"/>
  <c r="C1973" i="1"/>
  <c r="E1973" i="1"/>
  <c r="F1973" i="1"/>
  <c r="G1973" i="1"/>
  <c r="H1973" i="1"/>
  <c r="I1973" i="1"/>
  <c r="J1973" i="1"/>
  <c r="K1973" i="1"/>
  <c r="M1973" i="1"/>
  <c r="O1973" i="1"/>
  <c r="Q1973" i="1"/>
  <c r="R1973" i="1"/>
  <c r="W1973" i="1"/>
  <c r="AA1973" i="1"/>
  <c r="AB1973" i="1"/>
  <c r="AE1973" i="1"/>
  <c r="AF1973" i="1"/>
  <c r="AM1973" i="1"/>
  <c r="AN1973" i="1"/>
  <c r="AO1973" i="1"/>
  <c r="AQ1973" i="1"/>
  <c r="AX1973" i="1"/>
  <c r="BD1973" i="1"/>
  <c r="B1974" i="1"/>
  <c r="C1974" i="1"/>
  <c r="E1974" i="1"/>
  <c r="F1974" i="1"/>
  <c r="G1974" i="1"/>
  <c r="H1974" i="1"/>
  <c r="I1974" i="1"/>
  <c r="J1974" i="1"/>
  <c r="K1974" i="1"/>
  <c r="M1974" i="1"/>
  <c r="O1974" i="1"/>
  <c r="Q1974" i="1"/>
  <c r="R1974" i="1"/>
  <c r="W1974" i="1"/>
  <c r="AA1974" i="1"/>
  <c r="AB1974" i="1"/>
  <c r="AE1974" i="1"/>
  <c r="AF1974" i="1"/>
  <c r="AM1974" i="1"/>
  <c r="AN1974" i="1"/>
  <c r="AO1974" i="1"/>
  <c r="AQ1974" i="1"/>
  <c r="AX1974" i="1"/>
  <c r="BD1974" i="1"/>
  <c r="B1975" i="1"/>
  <c r="C1975" i="1"/>
  <c r="E1975" i="1"/>
  <c r="F1975" i="1"/>
  <c r="G1975" i="1"/>
  <c r="H1975" i="1"/>
  <c r="I1975" i="1"/>
  <c r="J1975" i="1"/>
  <c r="K1975" i="1"/>
  <c r="M1975" i="1"/>
  <c r="O1975" i="1"/>
  <c r="Q1975" i="1"/>
  <c r="R1975" i="1"/>
  <c r="W1975" i="1"/>
  <c r="AA1975" i="1"/>
  <c r="AB1975" i="1"/>
  <c r="AE1975" i="1"/>
  <c r="AF1975" i="1"/>
  <c r="AM1975" i="1"/>
  <c r="AN1975" i="1"/>
  <c r="AO1975" i="1"/>
  <c r="AQ1975" i="1"/>
  <c r="AX1975" i="1"/>
  <c r="BD1975" i="1"/>
  <c r="B1976" i="1"/>
  <c r="C1976" i="1"/>
  <c r="E1976" i="1"/>
  <c r="F1976" i="1"/>
  <c r="G1976" i="1"/>
  <c r="H1976" i="1"/>
  <c r="I1976" i="1"/>
  <c r="J1976" i="1"/>
  <c r="K1976" i="1"/>
  <c r="M1976" i="1"/>
  <c r="O1976" i="1"/>
  <c r="Q1976" i="1"/>
  <c r="R1976" i="1"/>
  <c r="W1976" i="1"/>
  <c r="AA1976" i="1"/>
  <c r="AB1976" i="1"/>
  <c r="AE1976" i="1"/>
  <c r="AF1976" i="1"/>
  <c r="AM1976" i="1"/>
  <c r="AN1976" i="1"/>
  <c r="AO1976" i="1"/>
  <c r="AQ1976" i="1"/>
  <c r="AX1976" i="1"/>
  <c r="BD1976" i="1"/>
  <c r="B1977" i="1"/>
  <c r="C1977" i="1"/>
  <c r="E1977" i="1"/>
  <c r="F1977" i="1"/>
  <c r="G1977" i="1"/>
  <c r="H1977" i="1"/>
  <c r="I1977" i="1"/>
  <c r="J1977" i="1"/>
  <c r="K1977" i="1"/>
  <c r="M1977" i="1"/>
  <c r="O1977" i="1"/>
  <c r="Q1977" i="1"/>
  <c r="R1977" i="1"/>
  <c r="W1977" i="1"/>
  <c r="AA1977" i="1"/>
  <c r="AB1977" i="1"/>
  <c r="AE1977" i="1"/>
  <c r="AF1977" i="1"/>
  <c r="AM1977" i="1"/>
  <c r="AN1977" i="1"/>
  <c r="AO1977" i="1"/>
  <c r="AQ1977" i="1"/>
  <c r="AX1977" i="1"/>
  <c r="BD1977" i="1"/>
  <c r="B1978" i="1"/>
  <c r="C1978" i="1"/>
  <c r="E1978" i="1"/>
  <c r="F1978" i="1"/>
  <c r="G1978" i="1"/>
  <c r="H1978" i="1"/>
  <c r="I1978" i="1"/>
  <c r="J1978" i="1"/>
  <c r="K1978" i="1"/>
  <c r="M1978" i="1"/>
  <c r="O1978" i="1"/>
  <c r="Q1978" i="1"/>
  <c r="R1978" i="1"/>
  <c r="W1978" i="1"/>
  <c r="AA1978" i="1"/>
  <c r="AB1978" i="1"/>
  <c r="AE1978" i="1"/>
  <c r="AF1978" i="1"/>
  <c r="AM1978" i="1"/>
  <c r="AN1978" i="1"/>
  <c r="AO1978" i="1"/>
  <c r="AQ1978" i="1"/>
  <c r="AX1978" i="1"/>
  <c r="BD1978" i="1"/>
  <c r="B1979" i="1"/>
  <c r="C1979" i="1"/>
  <c r="E1979" i="1"/>
  <c r="F1979" i="1"/>
  <c r="G1979" i="1"/>
  <c r="H1979" i="1"/>
  <c r="I1979" i="1"/>
  <c r="J1979" i="1"/>
  <c r="K1979" i="1"/>
  <c r="M1979" i="1"/>
  <c r="O1979" i="1"/>
  <c r="Q1979" i="1"/>
  <c r="R1979" i="1"/>
  <c r="W1979" i="1"/>
  <c r="AA1979" i="1"/>
  <c r="AB1979" i="1"/>
  <c r="AE1979" i="1"/>
  <c r="AF1979" i="1"/>
  <c r="AM1979" i="1"/>
  <c r="AN1979" i="1"/>
  <c r="AO1979" i="1"/>
  <c r="AQ1979" i="1"/>
  <c r="AX1979" i="1"/>
  <c r="BD1979" i="1"/>
  <c r="B1980" i="1"/>
  <c r="C1980" i="1"/>
  <c r="E1980" i="1"/>
  <c r="F1980" i="1"/>
  <c r="G1980" i="1"/>
  <c r="H1980" i="1"/>
  <c r="I1980" i="1"/>
  <c r="J1980" i="1"/>
  <c r="K1980" i="1"/>
  <c r="M1980" i="1"/>
  <c r="O1980" i="1"/>
  <c r="Q1980" i="1"/>
  <c r="R1980" i="1"/>
  <c r="W1980" i="1"/>
  <c r="AA1980" i="1"/>
  <c r="AB1980" i="1"/>
  <c r="AE1980" i="1"/>
  <c r="AF1980" i="1"/>
  <c r="AM1980" i="1"/>
  <c r="AN1980" i="1"/>
  <c r="AO1980" i="1"/>
  <c r="AQ1980" i="1"/>
  <c r="AX1980" i="1"/>
  <c r="BD1980" i="1"/>
  <c r="B1981" i="1"/>
  <c r="C1981" i="1"/>
  <c r="E1981" i="1"/>
  <c r="F1981" i="1"/>
  <c r="G1981" i="1"/>
  <c r="H1981" i="1"/>
  <c r="I1981" i="1"/>
  <c r="J1981" i="1"/>
  <c r="K1981" i="1"/>
  <c r="M1981" i="1"/>
  <c r="O1981" i="1"/>
  <c r="Q1981" i="1"/>
  <c r="R1981" i="1"/>
  <c r="W1981" i="1"/>
  <c r="AA1981" i="1"/>
  <c r="AB1981" i="1"/>
  <c r="AE1981" i="1"/>
  <c r="AF1981" i="1"/>
  <c r="AM1981" i="1"/>
  <c r="AN1981" i="1"/>
  <c r="AO1981" i="1"/>
  <c r="AQ1981" i="1"/>
  <c r="AX1981" i="1"/>
  <c r="BD1981" i="1"/>
  <c r="B1982" i="1"/>
  <c r="C1982" i="1"/>
  <c r="E1982" i="1"/>
  <c r="F1982" i="1"/>
  <c r="G1982" i="1"/>
  <c r="H1982" i="1"/>
  <c r="I1982" i="1"/>
  <c r="J1982" i="1"/>
  <c r="K1982" i="1"/>
  <c r="M1982" i="1"/>
  <c r="O1982" i="1"/>
  <c r="Q1982" i="1"/>
  <c r="R1982" i="1"/>
  <c r="W1982" i="1"/>
  <c r="AA1982" i="1"/>
  <c r="AB1982" i="1"/>
  <c r="AE1982" i="1"/>
  <c r="AF1982" i="1"/>
  <c r="AM1982" i="1"/>
  <c r="AN1982" i="1"/>
  <c r="AO1982" i="1"/>
  <c r="AQ1982" i="1"/>
  <c r="AX1982" i="1"/>
  <c r="BD1982" i="1"/>
  <c r="B1983" i="1"/>
  <c r="C1983" i="1"/>
  <c r="E1983" i="1"/>
  <c r="F1983" i="1"/>
  <c r="G1983" i="1"/>
  <c r="H1983" i="1"/>
  <c r="I1983" i="1"/>
  <c r="J1983" i="1"/>
  <c r="K1983" i="1"/>
  <c r="M1983" i="1"/>
  <c r="O1983" i="1"/>
  <c r="Q1983" i="1"/>
  <c r="R1983" i="1"/>
  <c r="W1983" i="1"/>
  <c r="AA1983" i="1"/>
  <c r="AM1983" i="1"/>
  <c r="AN1983" i="1"/>
  <c r="AO1983" i="1"/>
  <c r="AQ1983" i="1"/>
  <c r="BB1983" i="1"/>
  <c r="BD1983" i="1"/>
  <c r="B1984" i="1"/>
  <c r="C1984" i="1"/>
  <c r="E1984" i="1"/>
  <c r="F1984" i="1"/>
  <c r="G1984" i="1"/>
  <c r="H1984" i="1"/>
  <c r="I1984" i="1"/>
  <c r="J1984" i="1"/>
  <c r="K1984" i="1"/>
  <c r="M1984" i="1"/>
  <c r="O1984" i="1"/>
  <c r="Q1984" i="1"/>
  <c r="R1984" i="1"/>
  <c r="W1984" i="1"/>
  <c r="AA1984" i="1"/>
  <c r="AM1984" i="1"/>
  <c r="AN1984" i="1"/>
  <c r="AO1984" i="1"/>
  <c r="AQ1984" i="1"/>
  <c r="BB1984" i="1"/>
  <c r="BD1984" i="1"/>
  <c r="B1985" i="1"/>
  <c r="C1985" i="1"/>
  <c r="D1985" i="1"/>
  <c r="E1985" i="1"/>
  <c r="F1985" i="1"/>
  <c r="G1985" i="1"/>
  <c r="H1985" i="1"/>
  <c r="I1985" i="1"/>
  <c r="J1985" i="1"/>
  <c r="K1985" i="1"/>
  <c r="M1985" i="1"/>
  <c r="O1985" i="1"/>
  <c r="Q1985" i="1"/>
  <c r="R1985" i="1"/>
  <c r="W1985" i="1"/>
  <c r="AA1985" i="1"/>
  <c r="AB1985" i="1"/>
  <c r="AM1985" i="1"/>
  <c r="AN1985" i="1"/>
  <c r="AO1985" i="1"/>
  <c r="AQ1985" i="1"/>
  <c r="AX1985" i="1"/>
  <c r="BD1985" i="1"/>
  <c r="B1986" i="1"/>
  <c r="C1986" i="1"/>
  <c r="D1986" i="1"/>
  <c r="E1986" i="1"/>
  <c r="F1986" i="1"/>
  <c r="G1986" i="1"/>
  <c r="H1986" i="1"/>
  <c r="I1986" i="1"/>
  <c r="J1986" i="1"/>
  <c r="K1986" i="1"/>
  <c r="M1986" i="1"/>
  <c r="O1986" i="1"/>
  <c r="Q1986" i="1"/>
  <c r="R1986" i="1"/>
  <c r="W1986" i="1"/>
  <c r="AA1986" i="1"/>
  <c r="AB1986" i="1"/>
  <c r="AM1986" i="1"/>
  <c r="AN1986" i="1"/>
  <c r="AO1986" i="1"/>
  <c r="AQ1986" i="1"/>
  <c r="AX1986" i="1"/>
  <c r="BD1986" i="1"/>
  <c r="B1987" i="1"/>
  <c r="E1987" i="1"/>
  <c r="F1987" i="1"/>
  <c r="G1987" i="1"/>
  <c r="H1987" i="1"/>
  <c r="I1987" i="1"/>
  <c r="J1987" i="1"/>
  <c r="K1987" i="1"/>
  <c r="M1987" i="1"/>
  <c r="O1987" i="1"/>
  <c r="Q1987" i="1"/>
  <c r="R1987" i="1"/>
  <c r="W1987" i="1"/>
  <c r="AA1987" i="1"/>
  <c r="AM1987" i="1"/>
  <c r="AN1987" i="1"/>
  <c r="AO1987" i="1"/>
  <c r="AQ1987" i="1"/>
  <c r="BB1987" i="1"/>
  <c r="BD1987" i="1"/>
  <c r="B1988" i="1"/>
  <c r="E1988" i="1"/>
  <c r="F1988" i="1"/>
  <c r="G1988" i="1"/>
  <c r="H1988" i="1"/>
  <c r="I1988" i="1"/>
  <c r="J1988" i="1"/>
  <c r="K1988" i="1"/>
  <c r="M1988" i="1"/>
  <c r="O1988" i="1"/>
  <c r="Q1988" i="1"/>
  <c r="R1988" i="1"/>
  <c r="W1988" i="1"/>
  <c r="AA1988" i="1"/>
  <c r="AB1988" i="1"/>
  <c r="AM1988" i="1"/>
  <c r="AN1988" i="1"/>
  <c r="AO1988" i="1"/>
  <c r="AQ1988" i="1"/>
  <c r="AX1988" i="1"/>
  <c r="BD1988" i="1"/>
  <c r="B1989" i="1"/>
  <c r="E1989" i="1"/>
  <c r="F1989" i="1"/>
  <c r="G1989" i="1"/>
  <c r="H1989" i="1"/>
  <c r="I1989" i="1"/>
  <c r="J1989" i="1"/>
  <c r="K1989" i="1"/>
  <c r="M1989" i="1"/>
  <c r="O1989" i="1"/>
  <c r="Q1989" i="1"/>
  <c r="R1989" i="1"/>
  <c r="W1989" i="1"/>
  <c r="AA1989" i="1"/>
  <c r="AB1989" i="1"/>
  <c r="AM1989" i="1"/>
  <c r="AN1989" i="1"/>
  <c r="AO1989" i="1"/>
  <c r="AQ1989" i="1"/>
  <c r="AX1989" i="1"/>
  <c r="BD1989" i="1"/>
  <c r="B1990" i="1"/>
  <c r="E1990" i="1"/>
  <c r="F1990" i="1"/>
  <c r="G1990" i="1"/>
  <c r="H1990" i="1"/>
  <c r="I1990" i="1"/>
  <c r="J1990" i="1"/>
  <c r="K1990" i="1"/>
  <c r="M1990" i="1"/>
  <c r="O1990" i="1"/>
  <c r="Q1990" i="1"/>
  <c r="R1990" i="1"/>
  <c r="W1990" i="1"/>
  <c r="AA1990" i="1"/>
  <c r="AB1990" i="1"/>
  <c r="AM1990" i="1"/>
  <c r="AN1990" i="1"/>
  <c r="AO1990" i="1"/>
  <c r="AQ1990" i="1"/>
  <c r="AX1990" i="1"/>
  <c r="BD1990" i="1"/>
  <c r="B1991" i="1"/>
  <c r="E1991" i="1"/>
  <c r="F1991" i="1"/>
  <c r="G1991" i="1"/>
  <c r="H1991" i="1"/>
  <c r="I1991" i="1"/>
  <c r="J1991" i="1"/>
  <c r="K1991" i="1"/>
  <c r="M1991" i="1"/>
  <c r="O1991" i="1"/>
  <c r="Q1991" i="1"/>
  <c r="R1991" i="1"/>
  <c r="W1991" i="1"/>
  <c r="AA1991" i="1"/>
  <c r="AB1991" i="1"/>
  <c r="AM1991" i="1"/>
  <c r="AN1991" i="1"/>
  <c r="AO1991" i="1"/>
  <c r="AQ1991" i="1"/>
  <c r="AX1991" i="1"/>
  <c r="BD1991" i="1"/>
  <c r="B1992" i="1"/>
  <c r="E1992" i="1"/>
  <c r="F1992" i="1"/>
  <c r="G1992" i="1"/>
  <c r="H1992" i="1"/>
  <c r="I1992" i="1"/>
  <c r="J1992" i="1"/>
  <c r="K1992" i="1"/>
  <c r="M1992" i="1"/>
  <c r="O1992" i="1"/>
  <c r="Q1992" i="1"/>
  <c r="R1992" i="1"/>
  <c r="W1992" i="1"/>
  <c r="AA1992" i="1"/>
  <c r="AM1992" i="1"/>
  <c r="AN1992" i="1"/>
  <c r="AO1992" i="1"/>
  <c r="AQ1992" i="1"/>
  <c r="BB1992" i="1"/>
  <c r="BD1992" i="1"/>
  <c r="B1993" i="1"/>
  <c r="E1993" i="1"/>
  <c r="F1993" i="1"/>
  <c r="G1993" i="1"/>
  <c r="H1993" i="1"/>
  <c r="I1993" i="1"/>
  <c r="J1993" i="1"/>
  <c r="K1993" i="1"/>
  <c r="M1993" i="1"/>
  <c r="O1993" i="1"/>
  <c r="Q1993" i="1"/>
  <c r="R1993" i="1"/>
  <c r="W1993" i="1"/>
  <c r="AA1993" i="1"/>
  <c r="AM1993" i="1"/>
  <c r="AN1993" i="1"/>
  <c r="AO1993" i="1"/>
  <c r="AQ1993" i="1"/>
  <c r="BB1993" i="1"/>
  <c r="BD1993" i="1"/>
  <c r="B1994" i="1"/>
  <c r="C1994" i="1"/>
  <c r="E1994" i="1"/>
  <c r="F1994" i="1"/>
  <c r="G1994" i="1"/>
  <c r="H1994" i="1"/>
  <c r="I1994" i="1"/>
  <c r="J1994" i="1"/>
  <c r="K1994" i="1"/>
  <c r="M1994" i="1"/>
  <c r="O1994" i="1"/>
  <c r="Q1994" i="1"/>
  <c r="R1994" i="1"/>
  <c r="W1994" i="1"/>
  <c r="AA1994" i="1"/>
  <c r="AM1994" i="1"/>
  <c r="AN1994" i="1"/>
  <c r="AO1994" i="1"/>
  <c r="AQ1994" i="1"/>
  <c r="BB1994" i="1"/>
  <c r="BD1994" i="1"/>
  <c r="B1995" i="1"/>
  <c r="C1995" i="1"/>
  <c r="E1995" i="1"/>
  <c r="F1995" i="1"/>
  <c r="G1995" i="1"/>
  <c r="H1995" i="1"/>
  <c r="I1995" i="1"/>
  <c r="J1995" i="1"/>
  <c r="K1995" i="1"/>
  <c r="M1995" i="1"/>
  <c r="O1995" i="1"/>
  <c r="Q1995" i="1"/>
  <c r="R1995" i="1"/>
  <c r="W1995" i="1"/>
  <c r="AA1995" i="1"/>
  <c r="AM1995" i="1"/>
  <c r="AN1995" i="1"/>
  <c r="AO1995" i="1"/>
  <c r="AQ1995" i="1"/>
  <c r="BB1995" i="1"/>
  <c r="BD1995" i="1"/>
  <c r="B1996" i="1"/>
  <c r="C1996" i="1"/>
  <c r="D1996" i="1"/>
  <c r="E1996" i="1"/>
  <c r="F1996" i="1"/>
  <c r="G1996" i="1"/>
  <c r="H1996" i="1"/>
  <c r="I1996" i="1"/>
  <c r="J1996" i="1"/>
  <c r="K1996" i="1"/>
  <c r="M1996" i="1"/>
  <c r="O1996" i="1"/>
  <c r="Q1996" i="1"/>
  <c r="R1996" i="1"/>
  <c r="W1996" i="1"/>
  <c r="AA1996" i="1"/>
  <c r="AB1996" i="1"/>
  <c r="AE1996" i="1"/>
  <c r="AF1996" i="1"/>
  <c r="AM1996" i="1"/>
  <c r="AN1996" i="1"/>
  <c r="AO1996" i="1"/>
  <c r="AQ1996" i="1"/>
  <c r="AX1996" i="1"/>
  <c r="BD1996" i="1"/>
  <c r="B1997" i="1"/>
  <c r="C1997" i="1"/>
  <c r="D1997" i="1"/>
  <c r="E1997" i="1"/>
  <c r="F1997" i="1"/>
  <c r="G1997" i="1"/>
  <c r="H1997" i="1"/>
  <c r="I1997" i="1"/>
  <c r="J1997" i="1"/>
  <c r="K1997" i="1"/>
  <c r="M1997" i="1"/>
  <c r="O1997" i="1"/>
  <c r="Q1997" i="1"/>
  <c r="R1997" i="1"/>
  <c r="W1997" i="1"/>
  <c r="AA1997" i="1"/>
  <c r="AB1997" i="1"/>
  <c r="AE1997" i="1"/>
  <c r="AF1997" i="1"/>
  <c r="AM1997" i="1"/>
  <c r="AN1997" i="1"/>
  <c r="AO1997" i="1"/>
  <c r="AQ1997" i="1"/>
  <c r="AX1997" i="1"/>
  <c r="BD1997" i="1"/>
  <c r="B1998" i="1"/>
  <c r="C1998" i="1"/>
  <c r="E1998" i="1"/>
  <c r="F1998" i="1"/>
  <c r="G1998" i="1"/>
  <c r="H1998" i="1"/>
  <c r="I1998" i="1"/>
  <c r="J1998" i="1"/>
  <c r="K1998" i="1"/>
  <c r="M1998" i="1"/>
  <c r="O1998" i="1"/>
  <c r="Q1998" i="1"/>
  <c r="R1998" i="1"/>
  <c r="W1998" i="1"/>
  <c r="AA1998" i="1"/>
  <c r="AB1998" i="1"/>
  <c r="AE1998" i="1"/>
  <c r="AF1998" i="1"/>
  <c r="AM1998" i="1"/>
  <c r="AN1998" i="1"/>
  <c r="AO1998" i="1"/>
  <c r="AQ1998" i="1"/>
  <c r="AX1998" i="1"/>
  <c r="BD1998" i="1"/>
  <c r="B1999" i="1"/>
  <c r="C1999" i="1"/>
  <c r="E1999" i="1"/>
  <c r="F1999" i="1"/>
  <c r="G1999" i="1"/>
  <c r="H1999" i="1"/>
  <c r="I1999" i="1"/>
  <c r="J1999" i="1"/>
  <c r="K1999" i="1"/>
  <c r="M1999" i="1"/>
  <c r="O1999" i="1"/>
  <c r="Q1999" i="1"/>
  <c r="R1999" i="1"/>
  <c r="W1999" i="1"/>
  <c r="AA1999" i="1"/>
  <c r="AB1999" i="1"/>
  <c r="AE1999" i="1"/>
  <c r="AF1999" i="1"/>
  <c r="AM1999" i="1"/>
  <c r="AN1999" i="1"/>
  <c r="AO1999" i="1"/>
  <c r="AQ1999" i="1"/>
  <c r="AX1999" i="1"/>
  <c r="BD1999" i="1"/>
  <c r="B2000" i="1"/>
  <c r="C2000" i="1"/>
  <c r="E2000" i="1"/>
  <c r="F2000" i="1"/>
  <c r="G2000" i="1"/>
  <c r="H2000" i="1"/>
  <c r="I2000" i="1"/>
  <c r="J2000" i="1"/>
  <c r="K2000" i="1"/>
  <c r="M2000" i="1"/>
  <c r="O2000" i="1"/>
  <c r="Q2000" i="1"/>
  <c r="R2000" i="1"/>
  <c r="W2000" i="1"/>
  <c r="AA2000" i="1"/>
  <c r="AB2000" i="1"/>
  <c r="AE2000" i="1"/>
  <c r="AF2000" i="1"/>
  <c r="AM2000" i="1"/>
  <c r="AN2000" i="1"/>
  <c r="AO2000" i="1"/>
  <c r="AQ2000" i="1"/>
  <c r="AX2000" i="1"/>
  <c r="BD2000" i="1"/>
  <c r="B2001" i="1"/>
  <c r="C2001" i="1"/>
  <c r="D2001" i="1"/>
  <c r="E2001" i="1"/>
  <c r="F2001" i="1"/>
  <c r="G2001" i="1"/>
  <c r="H2001" i="1"/>
  <c r="I2001" i="1"/>
  <c r="J2001" i="1"/>
  <c r="K2001" i="1"/>
  <c r="M2001" i="1"/>
  <c r="O2001" i="1"/>
  <c r="Q2001" i="1"/>
  <c r="R2001" i="1"/>
  <c r="W2001" i="1"/>
  <c r="AA2001" i="1"/>
  <c r="AB2001" i="1"/>
  <c r="AE2001" i="1"/>
  <c r="AF2001" i="1"/>
  <c r="AM2001" i="1"/>
  <c r="AN2001" i="1"/>
  <c r="AO2001" i="1"/>
  <c r="AQ2001" i="1"/>
  <c r="AX2001" i="1"/>
  <c r="BD2001" i="1"/>
  <c r="B2002" i="1"/>
  <c r="C2002" i="1"/>
  <c r="D2002" i="1"/>
  <c r="E2002" i="1"/>
  <c r="F2002" i="1"/>
  <c r="G2002" i="1"/>
  <c r="H2002" i="1"/>
  <c r="I2002" i="1"/>
  <c r="J2002" i="1"/>
  <c r="K2002" i="1"/>
  <c r="M2002" i="1"/>
  <c r="O2002" i="1"/>
  <c r="Q2002" i="1"/>
  <c r="R2002" i="1"/>
  <c r="W2002" i="1"/>
  <c r="AA2002" i="1"/>
  <c r="AB2002" i="1"/>
  <c r="AE2002" i="1"/>
  <c r="AF2002" i="1"/>
  <c r="AM2002" i="1"/>
  <c r="AN2002" i="1"/>
  <c r="AO2002" i="1"/>
  <c r="AQ2002" i="1"/>
  <c r="AX2002" i="1"/>
  <c r="BD2002" i="1"/>
  <c r="B2003" i="1"/>
  <c r="C2003" i="1"/>
  <c r="E2003" i="1"/>
  <c r="F2003" i="1"/>
  <c r="G2003" i="1"/>
  <c r="H2003" i="1"/>
  <c r="I2003" i="1"/>
  <c r="J2003" i="1"/>
  <c r="K2003" i="1"/>
  <c r="M2003" i="1"/>
  <c r="O2003" i="1"/>
  <c r="Q2003" i="1"/>
  <c r="R2003" i="1"/>
  <c r="W2003" i="1"/>
  <c r="AA2003" i="1"/>
  <c r="AB2003" i="1"/>
  <c r="AE2003" i="1"/>
  <c r="AF2003" i="1"/>
  <c r="AM2003" i="1"/>
  <c r="AN2003" i="1"/>
  <c r="AO2003" i="1"/>
  <c r="AQ2003" i="1"/>
  <c r="AX2003" i="1"/>
  <c r="BD2003" i="1"/>
  <c r="B2004" i="1"/>
  <c r="C2004" i="1"/>
  <c r="D2004" i="1"/>
  <c r="E2004" i="1"/>
  <c r="F2004" i="1"/>
  <c r="G2004" i="1"/>
  <c r="H2004" i="1"/>
  <c r="I2004" i="1"/>
  <c r="J2004" i="1"/>
  <c r="K2004" i="1"/>
  <c r="M2004" i="1"/>
  <c r="O2004" i="1"/>
  <c r="Q2004" i="1"/>
  <c r="R2004" i="1"/>
  <c r="W2004" i="1"/>
  <c r="AA2004" i="1"/>
  <c r="AB2004" i="1"/>
  <c r="AE2004" i="1"/>
  <c r="AF2004" i="1"/>
  <c r="AM2004" i="1"/>
  <c r="AN2004" i="1"/>
  <c r="AO2004" i="1"/>
  <c r="AQ2004" i="1"/>
  <c r="AX2004" i="1"/>
  <c r="BD2004" i="1"/>
  <c r="B2005" i="1"/>
  <c r="C2005" i="1"/>
  <c r="D2005" i="1"/>
  <c r="E2005" i="1"/>
  <c r="F2005" i="1"/>
  <c r="G2005" i="1"/>
  <c r="H2005" i="1"/>
  <c r="I2005" i="1"/>
  <c r="J2005" i="1"/>
  <c r="K2005" i="1"/>
  <c r="M2005" i="1"/>
  <c r="O2005" i="1"/>
  <c r="Q2005" i="1"/>
  <c r="R2005" i="1"/>
  <c r="W2005" i="1"/>
  <c r="AA2005" i="1"/>
  <c r="AB2005" i="1"/>
  <c r="AE2005" i="1"/>
  <c r="AF2005" i="1"/>
  <c r="AM2005" i="1"/>
  <c r="AN2005" i="1"/>
  <c r="AO2005" i="1"/>
  <c r="AQ2005" i="1"/>
  <c r="AX2005" i="1"/>
  <c r="BD2005" i="1"/>
  <c r="B2006" i="1"/>
  <c r="C2006" i="1"/>
  <c r="D2006" i="1"/>
  <c r="E2006" i="1"/>
  <c r="F2006" i="1"/>
  <c r="G2006" i="1"/>
  <c r="H2006" i="1"/>
  <c r="I2006" i="1"/>
  <c r="J2006" i="1"/>
  <c r="K2006" i="1"/>
  <c r="M2006" i="1"/>
  <c r="O2006" i="1"/>
  <c r="Q2006" i="1"/>
  <c r="R2006" i="1"/>
  <c r="W2006" i="1"/>
  <c r="AA2006" i="1"/>
  <c r="AB2006" i="1"/>
  <c r="AE2006" i="1"/>
  <c r="AF2006" i="1"/>
  <c r="AM2006" i="1"/>
  <c r="AN2006" i="1"/>
  <c r="AO2006" i="1"/>
  <c r="AQ2006" i="1"/>
  <c r="AX2006" i="1"/>
  <c r="BD2006" i="1"/>
  <c r="B2007" i="1"/>
  <c r="C2007" i="1"/>
  <c r="D2007" i="1"/>
  <c r="E2007" i="1"/>
  <c r="F2007" i="1"/>
  <c r="G2007" i="1"/>
  <c r="H2007" i="1"/>
  <c r="I2007" i="1"/>
  <c r="J2007" i="1"/>
  <c r="K2007" i="1"/>
  <c r="M2007" i="1"/>
  <c r="O2007" i="1"/>
  <c r="Q2007" i="1"/>
  <c r="R2007" i="1"/>
  <c r="W2007" i="1"/>
  <c r="AA2007" i="1"/>
  <c r="AB2007" i="1"/>
  <c r="AE2007" i="1"/>
  <c r="AF2007" i="1"/>
  <c r="AM2007" i="1"/>
  <c r="AN2007" i="1"/>
  <c r="AO2007" i="1"/>
  <c r="AQ2007" i="1"/>
  <c r="AX2007" i="1"/>
  <c r="BD2007" i="1"/>
  <c r="B2008" i="1"/>
  <c r="C2008" i="1"/>
  <c r="D2008" i="1"/>
  <c r="E2008" i="1"/>
  <c r="F2008" i="1"/>
  <c r="G2008" i="1"/>
  <c r="H2008" i="1"/>
  <c r="I2008" i="1"/>
  <c r="J2008" i="1"/>
  <c r="K2008" i="1"/>
  <c r="M2008" i="1"/>
  <c r="O2008" i="1"/>
  <c r="Q2008" i="1"/>
  <c r="R2008" i="1"/>
  <c r="W2008" i="1"/>
  <c r="AA2008" i="1"/>
  <c r="AB2008" i="1"/>
  <c r="AE2008" i="1"/>
  <c r="AF2008" i="1"/>
  <c r="AM2008" i="1"/>
  <c r="AN2008" i="1"/>
  <c r="AO2008" i="1"/>
  <c r="AQ2008" i="1"/>
  <c r="AX2008" i="1"/>
  <c r="BD2008" i="1"/>
  <c r="B2009" i="1"/>
  <c r="C2009" i="1"/>
  <c r="D2009" i="1"/>
  <c r="E2009" i="1"/>
  <c r="F2009" i="1"/>
  <c r="G2009" i="1"/>
  <c r="H2009" i="1"/>
  <c r="I2009" i="1"/>
  <c r="J2009" i="1"/>
  <c r="K2009" i="1"/>
  <c r="M2009" i="1"/>
  <c r="O2009" i="1"/>
  <c r="Q2009" i="1"/>
  <c r="R2009" i="1"/>
  <c r="W2009" i="1"/>
  <c r="AA2009" i="1"/>
  <c r="AB2009" i="1"/>
  <c r="AE2009" i="1"/>
  <c r="AF2009" i="1"/>
  <c r="AM2009" i="1"/>
  <c r="AN2009" i="1"/>
  <c r="AO2009" i="1"/>
  <c r="AQ2009" i="1"/>
  <c r="AX2009" i="1"/>
  <c r="BD2009" i="1"/>
  <c r="B2010" i="1"/>
  <c r="E2010" i="1"/>
  <c r="F2010" i="1"/>
  <c r="G2010" i="1"/>
  <c r="H2010" i="1"/>
  <c r="I2010" i="1"/>
  <c r="J2010" i="1"/>
  <c r="K2010" i="1"/>
  <c r="M2010" i="1"/>
  <c r="O2010" i="1"/>
  <c r="Q2010" i="1"/>
  <c r="R2010" i="1"/>
  <c r="W2010" i="1"/>
  <c r="AA2010" i="1"/>
  <c r="AM2010" i="1"/>
  <c r="AN2010" i="1"/>
  <c r="AO2010" i="1"/>
  <c r="AQ2010" i="1"/>
  <c r="BD2010" i="1"/>
  <c r="B2011" i="1"/>
  <c r="E2011" i="1"/>
  <c r="F2011" i="1"/>
  <c r="G2011" i="1"/>
  <c r="H2011" i="1"/>
  <c r="I2011" i="1"/>
  <c r="J2011" i="1"/>
  <c r="K2011" i="1"/>
  <c r="M2011" i="1"/>
  <c r="O2011" i="1"/>
  <c r="Q2011" i="1"/>
  <c r="R2011" i="1"/>
  <c r="W2011" i="1"/>
  <c r="AA2011" i="1"/>
  <c r="AM2011" i="1"/>
  <c r="AN2011" i="1"/>
  <c r="AO2011" i="1"/>
  <c r="AQ2011" i="1"/>
  <c r="BD2011" i="1"/>
  <c r="B2012" i="1"/>
  <c r="E2012" i="1"/>
  <c r="F2012" i="1"/>
  <c r="G2012" i="1"/>
  <c r="H2012" i="1"/>
  <c r="I2012" i="1"/>
  <c r="J2012" i="1"/>
  <c r="K2012" i="1"/>
  <c r="M2012" i="1"/>
  <c r="O2012" i="1"/>
  <c r="Q2012" i="1"/>
  <c r="R2012" i="1"/>
  <c r="W2012" i="1"/>
  <c r="AA2012" i="1"/>
  <c r="AM2012" i="1"/>
  <c r="AN2012" i="1"/>
  <c r="AO2012" i="1"/>
  <c r="AQ2012" i="1"/>
  <c r="BD2012" i="1"/>
  <c r="B2013" i="1"/>
  <c r="E2013" i="1"/>
  <c r="F2013" i="1"/>
  <c r="G2013" i="1"/>
  <c r="H2013" i="1"/>
  <c r="I2013" i="1"/>
  <c r="J2013" i="1"/>
  <c r="K2013" i="1"/>
  <c r="M2013" i="1"/>
  <c r="O2013" i="1"/>
  <c r="Q2013" i="1"/>
  <c r="R2013" i="1"/>
  <c r="W2013" i="1"/>
  <c r="AA2013" i="1"/>
  <c r="AM2013" i="1"/>
  <c r="AN2013" i="1"/>
  <c r="AO2013" i="1"/>
  <c r="AQ2013" i="1"/>
  <c r="BD2013" i="1"/>
  <c r="B2014" i="1"/>
  <c r="E2014" i="1"/>
  <c r="F2014" i="1"/>
  <c r="G2014" i="1"/>
  <c r="H2014" i="1"/>
  <c r="I2014" i="1"/>
  <c r="J2014" i="1"/>
  <c r="K2014" i="1"/>
  <c r="M2014" i="1"/>
  <c r="O2014" i="1"/>
  <c r="Q2014" i="1"/>
  <c r="R2014" i="1"/>
  <c r="W2014" i="1"/>
  <c r="AA2014" i="1"/>
  <c r="AM2014" i="1"/>
  <c r="AN2014" i="1"/>
  <c r="AO2014" i="1"/>
  <c r="AQ2014" i="1"/>
  <c r="BD2014" i="1"/>
  <c r="B2015" i="1"/>
  <c r="C2015" i="1"/>
  <c r="D2015" i="1"/>
  <c r="E2015" i="1"/>
  <c r="F2015" i="1"/>
  <c r="G2015" i="1"/>
  <c r="H2015" i="1"/>
  <c r="I2015" i="1"/>
  <c r="J2015" i="1"/>
  <c r="K2015" i="1"/>
  <c r="M2015" i="1"/>
  <c r="O2015" i="1"/>
  <c r="Q2015" i="1"/>
  <c r="R2015" i="1"/>
  <c r="W2015" i="1"/>
  <c r="AA2015" i="1"/>
  <c r="AB2015" i="1"/>
  <c r="AM2015" i="1"/>
  <c r="AN2015" i="1"/>
  <c r="AO2015" i="1"/>
  <c r="AQ2015" i="1"/>
  <c r="AX2015" i="1"/>
  <c r="BD2015" i="1"/>
  <c r="B2016" i="1"/>
  <c r="E2016" i="1"/>
  <c r="F2016" i="1"/>
  <c r="G2016" i="1"/>
  <c r="H2016" i="1"/>
  <c r="I2016" i="1"/>
  <c r="J2016" i="1"/>
  <c r="K2016" i="1"/>
  <c r="M2016" i="1"/>
  <c r="O2016" i="1"/>
  <c r="Q2016" i="1"/>
  <c r="R2016" i="1"/>
  <c r="W2016" i="1"/>
  <c r="AA2016" i="1"/>
  <c r="AM2016" i="1"/>
  <c r="AN2016" i="1"/>
  <c r="AO2016" i="1"/>
  <c r="AQ2016" i="1"/>
  <c r="BD2016" i="1"/>
  <c r="B2017" i="1"/>
  <c r="E2017" i="1"/>
  <c r="F2017" i="1"/>
  <c r="G2017" i="1"/>
  <c r="H2017" i="1"/>
  <c r="I2017" i="1"/>
  <c r="J2017" i="1"/>
  <c r="K2017" i="1"/>
  <c r="M2017" i="1"/>
  <c r="O2017" i="1"/>
  <c r="Q2017" i="1"/>
  <c r="R2017" i="1"/>
  <c r="W2017" i="1"/>
  <c r="AA2017" i="1"/>
  <c r="AM2017" i="1"/>
  <c r="AN2017" i="1"/>
  <c r="AO2017" i="1"/>
  <c r="AQ2017" i="1"/>
  <c r="BD2017" i="1"/>
  <c r="B2018" i="1"/>
  <c r="E2018" i="1"/>
  <c r="F2018" i="1"/>
  <c r="G2018" i="1"/>
  <c r="H2018" i="1"/>
  <c r="I2018" i="1"/>
  <c r="J2018" i="1"/>
  <c r="K2018" i="1"/>
  <c r="M2018" i="1"/>
  <c r="O2018" i="1"/>
  <c r="Q2018" i="1"/>
  <c r="R2018" i="1"/>
  <c r="W2018" i="1"/>
  <c r="AA2018" i="1"/>
  <c r="AM2018" i="1"/>
  <c r="AN2018" i="1"/>
  <c r="AO2018" i="1"/>
  <c r="AQ2018" i="1"/>
  <c r="BD2018" i="1"/>
  <c r="B2019" i="1"/>
  <c r="E2019" i="1"/>
  <c r="F2019" i="1"/>
  <c r="G2019" i="1"/>
  <c r="H2019" i="1"/>
  <c r="I2019" i="1"/>
  <c r="J2019" i="1"/>
  <c r="K2019" i="1"/>
  <c r="M2019" i="1"/>
  <c r="O2019" i="1"/>
  <c r="Q2019" i="1"/>
  <c r="R2019" i="1"/>
  <c r="W2019" i="1"/>
  <c r="AA2019" i="1"/>
  <c r="AM2019" i="1"/>
  <c r="AN2019" i="1"/>
  <c r="AO2019" i="1"/>
  <c r="AQ2019" i="1"/>
  <c r="BD2019" i="1"/>
  <c r="B2020" i="1"/>
  <c r="E2020" i="1"/>
  <c r="F2020" i="1"/>
  <c r="G2020" i="1"/>
  <c r="H2020" i="1"/>
  <c r="I2020" i="1"/>
  <c r="J2020" i="1"/>
  <c r="K2020" i="1"/>
  <c r="M2020" i="1"/>
  <c r="O2020" i="1"/>
  <c r="Q2020" i="1"/>
  <c r="R2020" i="1"/>
  <c r="W2020" i="1"/>
  <c r="AA2020" i="1"/>
  <c r="AM2020" i="1"/>
  <c r="AN2020" i="1"/>
  <c r="AO2020" i="1"/>
  <c r="AQ2020" i="1"/>
  <c r="BD2020" i="1"/>
  <c r="B2021" i="1"/>
  <c r="E2021" i="1"/>
  <c r="F2021" i="1"/>
  <c r="G2021" i="1"/>
  <c r="H2021" i="1"/>
  <c r="I2021" i="1"/>
  <c r="J2021" i="1"/>
  <c r="K2021" i="1"/>
  <c r="M2021" i="1"/>
  <c r="O2021" i="1"/>
  <c r="Q2021" i="1"/>
  <c r="R2021" i="1"/>
  <c r="W2021" i="1"/>
  <c r="AA2021" i="1"/>
  <c r="AM2021" i="1"/>
  <c r="AN2021" i="1"/>
  <c r="AO2021" i="1"/>
  <c r="AQ2021" i="1"/>
  <c r="BD2021" i="1"/>
  <c r="B2022" i="1"/>
  <c r="E2022" i="1"/>
  <c r="F2022" i="1"/>
  <c r="G2022" i="1"/>
  <c r="H2022" i="1"/>
  <c r="I2022" i="1"/>
  <c r="J2022" i="1"/>
  <c r="K2022" i="1"/>
  <c r="M2022" i="1"/>
  <c r="O2022" i="1"/>
  <c r="Q2022" i="1"/>
  <c r="R2022" i="1"/>
  <c r="W2022" i="1"/>
  <c r="AA2022" i="1"/>
  <c r="AM2022" i="1"/>
  <c r="AN2022" i="1"/>
  <c r="AO2022" i="1"/>
  <c r="AQ2022" i="1"/>
  <c r="BD2022" i="1"/>
  <c r="B2023" i="1"/>
  <c r="E2023" i="1"/>
  <c r="F2023" i="1"/>
  <c r="G2023" i="1"/>
  <c r="H2023" i="1"/>
  <c r="I2023" i="1"/>
  <c r="J2023" i="1"/>
  <c r="K2023" i="1"/>
  <c r="M2023" i="1"/>
  <c r="O2023" i="1"/>
  <c r="Q2023" i="1"/>
  <c r="R2023" i="1"/>
  <c r="W2023" i="1"/>
  <c r="AA2023" i="1"/>
  <c r="AM2023" i="1"/>
  <c r="AN2023" i="1"/>
  <c r="AO2023" i="1"/>
  <c r="AQ2023" i="1"/>
  <c r="BD2023" i="1"/>
  <c r="B2024" i="1"/>
  <c r="E2024" i="1"/>
  <c r="F2024" i="1"/>
  <c r="G2024" i="1"/>
  <c r="H2024" i="1"/>
  <c r="I2024" i="1"/>
  <c r="J2024" i="1"/>
  <c r="K2024" i="1"/>
  <c r="M2024" i="1"/>
  <c r="O2024" i="1"/>
  <c r="Q2024" i="1"/>
  <c r="R2024" i="1"/>
  <c r="W2024" i="1"/>
  <c r="AA2024" i="1"/>
  <c r="AM2024" i="1"/>
  <c r="AN2024" i="1"/>
  <c r="AO2024" i="1"/>
  <c r="AQ2024" i="1"/>
  <c r="BD2024" i="1"/>
  <c r="B2025" i="1"/>
  <c r="E2025" i="1"/>
  <c r="F2025" i="1"/>
  <c r="G2025" i="1"/>
  <c r="H2025" i="1"/>
  <c r="I2025" i="1"/>
  <c r="J2025" i="1"/>
  <c r="K2025" i="1"/>
  <c r="M2025" i="1"/>
  <c r="O2025" i="1"/>
  <c r="Q2025" i="1"/>
  <c r="R2025" i="1"/>
  <c r="W2025" i="1"/>
  <c r="AA2025" i="1"/>
  <c r="AM2025" i="1"/>
  <c r="AN2025" i="1"/>
  <c r="AO2025" i="1"/>
  <c r="AQ2025" i="1"/>
  <c r="BD2025" i="1"/>
  <c r="B2026" i="1"/>
  <c r="E2026" i="1"/>
  <c r="F2026" i="1"/>
  <c r="G2026" i="1"/>
  <c r="H2026" i="1"/>
  <c r="I2026" i="1"/>
  <c r="J2026" i="1"/>
  <c r="K2026" i="1"/>
  <c r="M2026" i="1"/>
  <c r="O2026" i="1"/>
  <c r="Q2026" i="1"/>
  <c r="R2026" i="1"/>
  <c r="W2026" i="1"/>
  <c r="AA2026" i="1"/>
  <c r="AM2026" i="1"/>
  <c r="AN2026" i="1"/>
  <c r="AO2026" i="1"/>
  <c r="AQ2026" i="1"/>
  <c r="BD2026" i="1"/>
  <c r="B2027" i="1"/>
  <c r="E2027" i="1"/>
  <c r="F2027" i="1"/>
  <c r="G2027" i="1"/>
  <c r="H2027" i="1"/>
  <c r="I2027" i="1"/>
  <c r="J2027" i="1"/>
  <c r="K2027" i="1"/>
  <c r="M2027" i="1"/>
  <c r="O2027" i="1"/>
  <c r="Q2027" i="1"/>
  <c r="R2027" i="1"/>
  <c r="W2027" i="1"/>
  <c r="AA2027" i="1"/>
  <c r="AM2027" i="1"/>
  <c r="AN2027" i="1"/>
  <c r="AO2027" i="1"/>
  <c r="AQ2027" i="1"/>
  <c r="BD2027" i="1"/>
  <c r="B2028" i="1"/>
  <c r="E2028" i="1"/>
  <c r="F2028" i="1"/>
  <c r="G2028" i="1"/>
  <c r="H2028" i="1"/>
  <c r="I2028" i="1"/>
  <c r="J2028" i="1"/>
  <c r="K2028" i="1"/>
  <c r="M2028" i="1"/>
  <c r="O2028" i="1"/>
  <c r="Q2028" i="1"/>
  <c r="R2028" i="1"/>
  <c r="W2028" i="1"/>
  <c r="AA2028" i="1"/>
  <c r="AM2028" i="1"/>
  <c r="AN2028" i="1"/>
  <c r="AO2028" i="1"/>
  <c r="AQ2028" i="1"/>
  <c r="BD2028" i="1"/>
  <c r="B2029" i="1"/>
  <c r="E2029" i="1"/>
  <c r="F2029" i="1"/>
  <c r="G2029" i="1"/>
  <c r="H2029" i="1"/>
  <c r="I2029" i="1"/>
  <c r="J2029" i="1"/>
  <c r="K2029" i="1"/>
  <c r="M2029" i="1"/>
  <c r="O2029" i="1"/>
  <c r="Q2029" i="1"/>
  <c r="R2029" i="1"/>
  <c r="W2029" i="1"/>
  <c r="AA2029" i="1"/>
  <c r="AM2029" i="1"/>
  <c r="AN2029" i="1"/>
  <c r="AO2029" i="1"/>
  <c r="AQ2029" i="1"/>
  <c r="BD2029" i="1"/>
  <c r="B2030" i="1"/>
  <c r="E2030" i="1"/>
  <c r="F2030" i="1"/>
  <c r="G2030" i="1"/>
  <c r="H2030" i="1"/>
  <c r="I2030" i="1"/>
  <c r="J2030" i="1"/>
  <c r="K2030" i="1"/>
  <c r="M2030" i="1"/>
  <c r="O2030" i="1"/>
  <c r="Q2030" i="1"/>
  <c r="R2030" i="1"/>
  <c r="W2030" i="1"/>
  <c r="AA2030" i="1"/>
  <c r="AM2030" i="1"/>
  <c r="AN2030" i="1"/>
  <c r="AO2030" i="1"/>
  <c r="AQ2030" i="1"/>
  <c r="BD2030" i="1"/>
  <c r="B2031" i="1"/>
  <c r="E2031" i="1"/>
  <c r="F2031" i="1"/>
  <c r="G2031" i="1"/>
  <c r="H2031" i="1"/>
  <c r="I2031" i="1"/>
  <c r="J2031" i="1"/>
  <c r="K2031" i="1"/>
  <c r="M2031" i="1"/>
  <c r="O2031" i="1"/>
  <c r="Q2031" i="1"/>
  <c r="R2031" i="1"/>
  <c r="W2031" i="1"/>
  <c r="AA2031" i="1"/>
  <c r="AM2031" i="1"/>
  <c r="AN2031" i="1"/>
  <c r="AO2031" i="1"/>
  <c r="AQ2031" i="1"/>
  <c r="BD2031" i="1"/>
  <c r="B2032" i="1"/>
  <c r="E2032" i="1"/>
  <c r="F2032" i="1"/>
  <c r="G2032" i="1"/>
  <c r="H2032" i="1"/>
  <c r="I2032" i="1"/>
  <c r="J2032" i="1"/>
  <c r="K2032" i="1"/>
  <c r="M2032" i="1"/>
  <c r="O2032" i="1"/>
  <c r="Q2032" i="1"/>
  <c r="R2032" i="1"/>
  <c r="W2032" i="1"/>
  <c r="AA2032" i="1"/>
  <c r="AM2032" i="1"/>
  <c r="AN2032" i="1"/>
  <c r="AO2032" i="1"/>
  <c r="AQ2032" i="1"/>
  <c r="BD2032" i="1"/>
  <c r="B2033" i="1"/>
  <c r="E2033" i="1"/>
  <c r="F2033" i="1"/>
  <c r="G2033" i="1"/>
  <c r="H2033" i="1"/>
  <c r="I2033" i="1"/>
  <c r="J2033" i="1"/>
  <c r="K2033" i="1"/>
  <c r="M2033" i="1"/>
  <c r="O2033" i="1"/>
  <c r="Q2033" i="1"/>
  <c r="R2033" i="1"/>
  <c r="W2033" i="1"/>
  <c r="AA2033" i="1"/>
  <c r="AM2033" i="1"/>
  <c r="AN2033" i="1"/>
  <c r="AO2033" i="1"/>
  <c r="AQ2033" i="1"/>
  <c r="BD2033" i="1"/>
  <c r="B2034" i="1"/>
  <c r="E2034" i="1"/>
  <c r="F2034" i="1"/>
  <c r="G2034" i="1"/>
  <c r="H2034" i="1"/>
  <c r="I2034" i="1"/>
  <c r="J2034" i="1"/>
  <c r="K2034" i="1"/>
  <c r="M2034" i="1"/>
  <c r="O2034" i="1"/>
  <c r="Q2034" i="1"/>
  <c r="R2034" i="1"/>
  <c r="W2034" i="1"/>
  <c r="AA2034" i="1"/>
  <c r="AM2034" i="1"/>
  <c r="AN2034" i="1"/>
  <c r="AO2034" i="1"/>
  <c r="AQ2034" i="1"/>
  <c r="BD2034" i="1"/>
  <c r="B2035" i="1"/>
  <c r="E2035" i="1"/>
  <c r="F2035" i="1"/>
  <c r="G2035" i="1"/>
  <c r="H2035" i="1"/>
  <c r="I2035" i="1"/>
  <c r="J2035" i="1"/>
  <c r="K2035" i="1"/>
  <c r="M2035" i="1"/>
  <c r="O2035" i="1"/>
  <c r="Q2035" i="1"/>
  <c r="R2035" i="1"/>
  <c r="W2035" i="1"/>
  <c r="AA2035" i="1"/>
  <c r="AM2035" i="1"/>
  <c r="AN2035" i="1"/>
  <c r="AO2035" i="1"/>
  <c r="AQ2035" i="1"/>
  <c r="BD2035" i="1"/>
  <c r="B2036" i="1"/>
  <c r="E2036" i="1"/>
  <c r="F2036" i="1"/>
  <c r="G2036" i="1"/>
  <c r="H2036" i="1"/>
  <c r="I2036" i="1"/>
  <c r="J2036" i="1"/>
  <c r="K2036" i="1"/>
  <c r="M2036" i="1"/>
  <c r="O2036" i="1"/>
  <c r="Q2036" i="1"/>
  <c r="R2036" i="1"/>
  <c r="W2036" i="1"/>
  <c r="AA2036" i="1"/>
  <c r="AM2036" i="1"/>
  <c r="AN2036" i="1"/>
  <c r="AO2036" i="1"/>
  <c r="AQ2036" i="1"/>
  <c r="BD2036" i="1"/>
  <c r="B2037" i="1"/>
  <c r="E2037" i="1"/>
  <c r="F2037" i="1"/>
  <c r="G2037" i="1"/>
  <c r="H2037" i="1"/>
  <c r="I2037" i="1"/>
  <c r="J2037" i="1"/>
  <c r="K2037" i="1"/>
  <c r="M2037" i="1"/>
  <c r="O2037" i="1"/>
  <c r="Q2037" i="1"/>
  <c r="R2037" i="1"/>
  <c r="W2037" i="1"/>
  <c r="AA2037" i="1"/>
  <c r="AM2037" i="1"/>
  <c r="AN2037" i="1"/>
  <c r="AO2037" i="1"/>
  <c r="AQ2037" i="1"/>
  <c r="BD2037" i="1"/>
  <c r="B2038" i="1"/>
  <c r="E2038" i="1"/>
  <c r="F2038" i="1"/>
  <c r="G2038" i="1"/>
  <c r="H2038" i="1"/>
  <c r="I2038" i="1"/>
  <c r="J2038" i="1"/>
  <c r="K2038" i="1"/>
  <c r="M2038" i="1"/>
  <c r="O2038" i="1"/>
  <c r="Q2038" i="1"/>
  <c r="R2038" i="1"/>
  <c r="W2038" i="1"/>
  <c r="AA2038" i="1"/>
  <c r="AM2038" i="1"/>
  <c r="AN2038" i="1"/>
  <c r="AO2038" i="1"/>
  <c r="AQ2038" i="1"/>
  <c r="BD2038" i="1"/>
  <c r="B2039" i="1"/>
  <c r="E2039" i="1"/>
  <c r="F2039" i="1"/>
  <c r="G2039" i="1"/>
  <c r="H2039" i="1"/>
  <c r="I2039" i="1"/>
  <c r="J2039" i="1"/>
  <c r="K2039" i="1"/>
  <c r="M2039" i="1"/>
  <c r="O2039" i="1"/>
  <c r="Q2039" i="1"/>
  <c r="R2039" i="1"/>
  <c r="W2039" i="1"/>
  <c r="AA2039" i="1"/>
  <c r="AM2039" i="1"/>
  <c r="AN2039" i="1"/>
  <c r="AO2039" i="1"/>
  <c r="AQ2039" i="1"/>
  <c r="BD2039" i="1"/>
  <c r="B2040" i="1"/>
  <c r="E2040" i="1"/>
  <c r="F2040" i="1"/>
  <c r="G2040" i="1"/>
  <c r="H2040" i="1"/>
  <c r="I2040" i="1"/>
  <c r="J2040" i="1"/>
  <c r="K2040" i="1"/>
  <c r="M2040" i="1"/>
  <c r="O2040" i="1"/>
  <c r="Q2040" i="1"/>
  <c r="R2040" i="1"/>
  <c r="W2040" i="1"/>
  <c r="AA2040" i="1"/>
  <c r="AM2040" i="1"/>
  <c r="AN2040" i="1"/>
  <c r="AO2040" i="1"/>
  <c r="AQ2040" i="1"/>
  <c r="BD2040" i="1"/>
  <c r="B2041" i="1"/>
  <c r="E2041" i="1"/>
  <c r="F2041" i="1"/>
  <c r="G2041" i="1"/>
  <c r="H2041" i="1"/>
  <c r="I2041" i="1"/>
  <c r="J2041" i="1"/>
  <c r="K2041" i="1"/>
  <c r="M2041" i="1"/>
  <c r="O2041" i="1"/>
  <c r="Q2041" i="1"/>
  <c r="R2041" i="1"/>
  <c r="W2041" i="1"/>
  <c r="AA2041" i="1"/>
  <c r="AM2041" i="1"/>
  <c r="AN2041" i="1"/>
  <c r="AO2041" i="1"/>
  <c r="AQ2041" i="1"/>
  <c r="BD2041" i="1"/>
  <c r="B2042" i="1"/>
  <c r="E2042" i="1"/>
  <c r="F2042" i="1"/>
  <c r="G2042" i="1"/>
  <c r="H2042" i="1"/>
  <c r="I2042" i="1"/>
  <c r="J2042" i="1"/>
  <c r="K2042" i="1"/>
  <c r="M2042" i="1"/>
  <c r="O2042" i="1"/>
  <c r="Q2042" i="1"/>
  <c r="R2042" i="1"/>
  <c r="W2042" i="1"/>
  <c r="AA2042" i="1"/>
  <c r="AM2042" i="1"/>
  <c r="AN2042" i="1"/>
  <c r="AO2042" i="1"/>
  <c r="AQ2042" i="1"/>
  <c r="BD2042" i="1"/>
  <c r="B2043" i="1"/>
  <c r="E2043" i="1"/>
  <c r="F2043" i="1"/>
  <c r="G2043" i="1"/>
  <c r="H2043" i="1"/>
  <c r="I2043" i="1"/>
  <c r="J2043" i="1"/>
  <c r="K2043" i="1"/>
  <c r="M2043" i="1"/>
  <c r="O2043" i="1"/>
  <c r="Q2043" i="1"/>
  <c r="R2043" i="1"/>
  <c r="W2043" i="1"/>
  <c r="AA2043" i="1"/>
  <c r="AM2043" i="1"/>
  <c r="AN2043" i="1"/>
  <c r="AO2043" i="1"/>
  <c r="AQ2043" i="1"/>
  <c r="BD2043" i="1"/>
  <c r="B2044" i="1"/>
  <c r="E2044" i="1"/>
  <c r="F2044" i="1"/>
  <c r="G2044" i="1"/>
  <c r="H2044" i="1"/>
  <c r="I2044" i="1"/>
  <c r="J2044" i="1"/>
  <c r="K2044" i="1"/>
  <c r="M2044" i="1"/>
  <c r="O2044" i="1"/>
  <c r="Q2044" i="1"/>
  <c r="R2044" i="1"/>
  <c r="W2044" i="1"/>
  <c r="AA2044" i="1"/>
  <c r="AM2044" i="1"/>
  <c r="AN2044" i="1"/>
  <c r="AO2044" i="1"/>
  <c r="AQ2044" i="1"/>
  <c r="BD2044" i="1"/>
  <c r="B2045" i="1"/>
  <c r="E2045" i="1"/>
  <c r="F2045" i="1"/>
  <c r="G2045" i="1"/>
  <c r="H2045" i="1"/>
  <c r="I2045" i="1"/>
  <c r="J2045" i="1"/>
  <c r="K2045" i="1"/>
  <c r="M2045" i="1"/>
  <c r="O2045" i="1"/>
  <c r="Q2045" i="1"/>
  <c r="R2045" i="1"/>
  <c r="W2045" i="1"/>
  <c r="AA2045" i="1"/>
  <c r="AM2045" i="1"/>
  <c r="AN2045" i="1"/>
  <c r="AO2045" i="1"/>
  <c r="AQ2045" i="1"/>
  <c r="BD2045" i="1"/>
  <c r="B2046" i="1"/>
  <c r="E2046" i="1"/>
  <c r="F2046" i="1"/>
  <c r="G2046" i="1"/>
  <c r="H2046" i="1"/>
  <c r="I2046" i="1"/>
  <c r="J2046" i="1"/>
  <c r="K2046" i="1"/>
  <c r="M2046" i="1"/>
  <c r="O2046" i="1"/>
  <c r="Q2046" i="1"/>
  <c r="R2046" i="1"/>
  <c r="W2046" i="1"/>
  <c r="AA2046" i="1"/>
  <c r="AM2046" i="1"/>
  <c r="AN2046" i="1"/>
  <c r="AO2046" i="1"/>
  <c r="AQ2046" i="1"/>
  <c r="BD2046" i="1"/>
  <c r="B2047" i="1"/>
  <c r="E2047" i="1"/>
  <c r="F2047" i="1"/>
  <c r="G2047" i="1"/>
  <c r="H2047" i="1"/>
  <c r="I2047" i="1"/>
  <c r="J2047" i="1"/>
  <c r="K2047" i="1"/>
  <c r="M2047" i="1"/>
  <c r="O2047" i="1"/>
  <c r="Q2047" i="1"/>
  <c r="R2047" i="1"/>
  <c r="W2047" i="1"/>
  <c r="AA2047" i="1"/>
  <c r="AM2047" i="1"/>
  <c r="AN2047" i="1"/>
  <c r="AO2047" i="1"/>
  <c r="AQ2047" i="1"/>
  <c r="BD2047" i="1"/>
  <c r="B2048" i="1"/>
  <c r="E2048" i="1"/>
  <c r="F2048" i="1"/>
  <c r="G2048" i="1"/>
  <c r="H2048" i="1"/>
  <c r="I2048" i="1"/>
  <c r="J2048" i="1"/>
  <c r="K2048" i="1"/>
  <c r="M2048" i="1"/>
  <c r="O2048" i="1"/>
  <c r="Q2048" i="1"/>
  <c r="R2048" i="1"/>
  <c r="W2048" i="1"/>
  <c r="AA2048" i="1"/>
  <c r="AM2048" i="1"/>
  <c r="AN2048" i="1"/>
  <c r="AO2048" i="1"/>
  <c r="AQ2048" i="1"/>
  <c r="BD2048" i="1"/>
  <c r="B2049" i="1"/>
  <c r="E2049" i="1"/>
  <c r="F2049" i="1"/>
  <c r="G2049" i="1"/>
  <c r="H2049" i="1"/>
  <c r="I2049" i="1"/>
  <c r="J2049" i="1"/>
  <c r="K2049" i="1"/>
  <c r="M2049" i="1"/>
  <c r="O2049" i="1"/>
  <c r="Q2049" i="1"/>
  <c r="R2049" i="1"/>
  <c r="W2049" i="1"/>
  <c r="AA2049" i="1"/>
  <c r="AM2049" i="1"/>
  <c r="AN2049" i="1"/>
  <c r="AO2049" i="1"/>
  <c r="AQ2049" i="1"/>
  <c r="BD2049" i="1"/>
  <c r="B2050" i="1"/>
  <c r="E2050" i="1"/>
  <c r="F2050" i="1"/>
  <c r="G2050" i="1"/>
  <c r="H2050" i="1"/>
  <c r="I2050" i="1"/>
  <c r="J2050" i="1"/>
  <c r="K2050" i="1"/>
  <c r="M2050" i="1"/>
  <c r="O2050" i="1"/>
  <c r="Q2050" i="1"/>
  <c r="R2050" i="1"/>
  <c r="W2050" i="1"/>
  <c r="AA2050" i="1"/>
  <c r="AM2050" i="1"/>
  <c r="AN2050" i="1"/>
  <c r="AO2050" i="1"/>
  <c r="AQ2050" i="1"/>
  <c r="BD2050" i="1"/>
  <c r="B2051" i="1"/>
  <c r="E2051" i="1"/>
  <c r="F2051" i="1"/>
  <c r="G2051" i="1"/>
  <c r="H2051" i="1"/>
  <c r="I2051" i="1"/>
  <c r="J2051" i="1"/>
  <c r="K2051" i="1"/>
  <c r="M2051" i="1"/>
  <c r="O2051" i="1"/>
  <c r="Q2051" i="1"/>
  <c r="R2051" i="1"/>
  <c r="W2051" i="1"/>
  <c r="AA2051" i="1"/>
  <c r="AM2051" i="1"/>
  <c r="AN2051" i="1"/>
  <c r="AO2051" i="1"/>
  <c r="AQ2051" i="1"/>
  <c r="BD2051" i="1"/>
  <c r="B2052" i="1"/>
  <c r="E2052" i="1"/>
  <c r="F2052" i="1"/>
  <c r="G2052" i="1"/>
  <c r="H2052" i="1"/>
  <c r="I2052" i="1"/>
  <c r="J2052" i="1"/>
  <c r="K2052" i="1"/>
  <c r="M2052" i="1"/>
  <c r="O2052" i="1"/>
  <c r="Q2052" i="1"/>
  <c r="R2052" i="1"/>
  <c r="W2052" i="1"/>
  <c r="AA2052" i="1"/>
  <c r="AM2052" i="1"/>
  <c r="AN2052" i="1"/>
  <c r="AO2052" i="1"/>
  <c r="AQ2052" i="1"/>
  <c r="BD2052" i="1"/>
  <c r="B2053" i="1"/>
  <c r="E2053" i="1"/>
  <c r="F2053" i="1"/>
  <c r="G2053" i="1"/>
  <c r="H2053" i="1"/>
  <c r="I2053" i="1"/>
  <c r="J2053" i="1"/>
  <c r="K2053" i="1"/>
  <c r="M2053" i="1"/>
  <c r="O2053" i="1"/>
  <c r="Q2053" i="1"/>
  <c r="R2053" i="1"/>
  <c r="W2053" i="1"/>
  <c r="AA2053" i="1"/>
  <c r="AM2053" i="1"/>
  <c r="AN2053" i="1"/>
  <c r="AO2053" i="1"/>
  <c r="AQ2053" i="1"/>
  <c r="BD2053" i="1"/>
  <c r="B2054" i="1"/>
  <c r="E2054" i="1"/>
  <c r="F2054" i="1"/>
  <c r="G2054" i="1"/>
  <c r="H2054" i="1"/>
  <c r="I2054" i="1"/>
  <c r="J2054" i="1"/>
  <c r="K2054" i="1"/>
  <c r="M2054" i="1"/>
  <c r="O2054" i="1"/>
  <c r="Q2054" i="1"/>
  <c r="R2054" i="1"/>
  <c r="W2054" i="1"/>
  <c r="AA2054" i="1"/>
  <c r="AM2054" i="1"/>
  <c r="AN2054" i="1"/>
  <c r="AO2054" i="1"/>
  <c r="AQ2054" i="1"/>
  <c r="BD2054" i="1"/>
  <c r="B2055" i="1"/>
  <c r="E2055" i="1"/>
  <c r="F2055" i="1"/>
  <c r="G2055" i="1"/>
  <c r="H2055" i="1"/>
  <c r="I2055" i="1"/>
  <c r="J2055" i="1"/>
  <c r="K2055" i="1"/>
  <c r="M2055" i="1"/>
  <c r="O2055" i="1"/>
  <c r="Q2055" i="1"/>
  <c r="R2055" i="1"/>
  <c r="W2055" i="1"/>
  <c r="AA2055" i="1"/>
  <c r="AM2055" i="1"/>
  <c r="AN2055" i="1"/>
  <c r="AO2055" i="1"/>
  <c r="AQ2055" i="1"/>
  <c r="BD2055" i="1"/>
  <c r="B2056" i="1"/>
  <c r="E2056" i="1"/>
  <c r="F2056" i="1"/>
  <c r="G2056" i="1"/>
  <c r="H2056" i="1"/>
  <c r="I2056" i="1"/>
  <c r="J2056" i="1"/>
  <c r="K2056" i="1"/>
  <c r="M2056" i="1"/>
  <c r="O2056" i="1"/>
  <c r="Q2056" i="1"/>
  <c r="R2056" i="1"/>
  <c r="W2056" i="1"/>
  <c r="AA2056" i="1"/>
  <c r="AM2056" i="1"/>
  <c r="AN2056" i="1"/>
  <c r="AO2056" i="1"/>
  <c r="AQ2056" i="1"/>
  <c r="BD2056" i="1"/>
  <c r="B2057" i="1"/>
  <c r="E2057" i="1"/>
  <c r="F2057" i="1"/>
  <c r="G2057" i="1"/>
  <c r="H2057" i="1"/>
  <c r="I2057" i="1"/>
  <c r="J2057" i="1"/>
  <c r="K2057" i="1"/>
  <c r="M2057" i="1"/>
  <c r="O2057" i="1"/>
  <c r="Q2057" i="1"/>
  <c r="R2057" i="1"/>
  <c r="W2057" i="1"/>
  <c r="AA2057" i="1"/>
  <c r="AM2057" i="1"/>
  <c r="AN2057" i="1"/>
  <c r="AO2057" i="1"/>
  <c r="AQ2057" i="1"/>
  <c r="BD2057" i="1"/>
  <c r="B2058" i="1"/>
  <c r="E2058" i="1"/>
  <c r="F2058" i="1"/>
  <c r="G2058" i="1"/>
  <c r="H2058" i="1"/>
  <c r="I2058" i="1"/>
  <c r="J2058" i="1"/>
  <c r="K2058" i="1"/>
  <c r="M2058" i="1"/>
  <c r="O2058" i="1"/>
  <c r="Q2058" i="1"/>
  <c r="R2058" i="1"/>
  <c r="W2058" i="1"/>
  <c r="AA2058" i="1"/>
  <c r="AM2058" i="1"/>
  <c r="AN2058" i="1"/>
  <c r="AO2058" i="1"/>
  <c r="AQ2058" i="1"/>
  <c r="BD2058" i="1"/>
  <c r="B2059" i="1"/>
  <c r="E2059" i="1"/>
  <c r="F2059" i="1"/>
  <c r="G2059" i="1"/>
  <c r="H2059" i="1"/>
  <c r="I2059" i="1"/>
  <c r="J2059" i="1"/>
  <c r="K2059" i="1"/>
  <c r="M2059" i="1"/>
  <c r="O2059" i="1"/>
  <c r="Q2059" i="1"/>
  <c r="R2059" i="1"/>
  <c r="W2059" i="1"/>
  <c r="AA2059" i="1"/>
  <c r="AM2059" i="1"/>
  <c r="AN2059" i="1"/>
  <c r="AO2059" i="1"/>
  <c r="AQ2059" i="1"/>
  <c r="BD2059" i="1"/>
  <c r="B2060" i="1"/>
  <c r="E2060" i="1"/>
  <c r="F2060" i="1"/>
  <c r="G2060" i="1"/>
  <c r="H2060" i="1"/>
  <c r="I2060" i="1"/>
  <c r="J2060" i="1"/>
  <c r="K2060" i="1"/>
  <c r="M2060" i="1"/>
  <c r="O2060" i="1"/>
  <c r="Q2060" i="1"/>
  <c r="R2060" i="1"/>
  <c r="W2060" i="1"/>
  <c r="AA2060" i="1"/>
  <c r="AM2060" i="1"/>
  <c r="AN2060" i="1"/>
  <c r="AO2060" i="1"/>
  <c r="AQ2060" i="1"/>
  <c r="BD2060" i="1"/>
  <c r="B2061" i="1"/>
  <c r="E2061" i="1"/>
  <c r="F2061" i="1"/>
  <c r="G2061" i="1"/>
  <c r="H2061" i="1"/>
  <c r="I2061" i="1"/>
  <c r="J2061" i="1"/>
  <c r="K2061" i="1"/>
  <c r="M2061" i="1"/>
  <c r="O2061" i="1"/>
  <c r="Q2061" i="1"/>
  <c r="R2061" i="1"/>
  <c r="W2061" i="1"/>
  <c r="AA2061" i="1"/>
  <c r="AM2061" i="1"/>
  <c r="AN2061" i="1"/>
  <c r="AO2061" i="1"/>
  <c r="AQ2061" i="1"/>
  <c r="BD2061" i="1"/>
  <c r="B2062" i="1"/>
  <c r="E2062" i="1"/>
  <c r="F2062" i="1"/>
  <c r="G2062" i="1"/>
  <c r="H2062" i="1"/>
  <c r="I2062" i="1"/>
  <c r="J2062" i="1"/>
  <c r="K2062" i="1"/>
  <c r="M2062" i="1"/>
  <c r="O2062" i="1"/>
  <c r="Q2062" i="1"/>
  <c r="R2062" i="1"/>
  <c r="W2062" i="1"/>
  <c r="AA2062" i="1"/>
  <c r="AM2062" i="1"/>
  <c r="AN2062" i="1"/>
  <c r="AO2062" i="1"/>
  <c r="AQ2062" i="1"/>
  <c r="BD2062" i="1"/>
  <c r="B2063" i="1"/>
  <c r="E2063" i="1"/>
  <c r="F2063" i="1"/>
  <c r="G2063" i="1"/>
  <c r="H2063" i="1"/>
  <c r="I2063" i="1"/>
  <c r="J2063" i="1"/>
  <c r="K2063" i="1"/>
  <c r="M2063" i="1"/>
  <c r="O2063" i="1"/>
  <c r="Q2063" i="1"/>
  <c r="R2063" i="1"/>
  <c r="W2063" i="1"/>
  <c r="AA2063" i="1"/>
  <c r="AM2063" i="1"/>
  <c r="AN2063" i="1"/>
  <c r="AO2063" i="1"/>
  <c r="AQ2063" i="1"/>
  <c r="BD2063" i="1"/>
  <c r="B2064" i="1"/>
  <c r="E2064" i="1"/>
  <c r="F2064" i="1"/>
  <c r="G2064" i="1"/>
  <c r="H2064" i="1"/>
  <c r="I2064" i="1"/>
  <c r="J2064" i="1"/>
  <c r="K2064" i="1"/>
  <c r="M2064" i="1"/>
  <c r="O2064" i="1"/>
  <c r="Q2064" i="1"/>
  <c r="R2064" i="1"/>
  <c r="W2064" i="1"/>
  <c r="AA2064" i="1"/>
  <c r="AM2064" i="1"/>
  <c r="AN2064" i="1"/>
  <c r="AO2064" i="1"/>
  <c r="AQ2064" i="1"/>
  <c r="BD2064" i="1"/>
  <c r="B2065" i="1"/>
  <c r="E2065" i="1"/>
  <c r="F2065" i="1"/>
  <c r="G2065" i="1"/>
  <c r="H2065" i="1"/>
  <c r="I2065" i="1"/>
  <c r="J2065" i="1"/>
  <c r="K2065" i="1"/>
  <c r="M2065" i="1"/>
  <c r="O2065" i="1"/>
  <c r="Q2065" i="1"/>
  <c r="R2065" i="1"/>
  <c r="W2065" i="1"/>
  <c r="AA2065" i="1"/>
  <c r="AM2065" i="1"/>
  <c r="AN2065" i="1"/>
  <c r="AO2065" i="1"/>
  <c r="AQ2065" i="1"/>
  <c r="BD2065" i="1"/>
  <c r="B2066" i="1"/>
  <c r="E2066" i="1"/>
  <c r="F2066" i="1"/>
  <c r="G2066" i="1"/>
  <c r="H2066" i="1"/>
  <c r="I2066" i="1"/>
  <c r="J2066" i="1"/>
  <c r="K2066" i="1"/>
  <c r="M2066" i="1"/>
  <c r="O2066" i="1"/>
  <c r="Q2066" i="1"/>
  <c r="R2066" i="1"/>
  <c r="W2066" i="1"/>
  <c r="AA2066" i="1"/>
  <c r="AM2066" i="1"/>
  <c r="AN2066" i="1"/>
  <c r="AO2066" i="1"/>
  <c r="AQ2066" i="1"/>
  <c r="BD2066" i="1"/>
  <c r="B2067" i="1"/>
  <c r="E2067" i="1"/>
  <c r="F2067" i="1"/>
  <c r="G2067" i="1"/>
  <c r="H2067" i="1"/>
  <c r="I2067" i="1"/>
  <c r="J2067" i="1"/>
  <c r="K2067" i="1"/>
  <c r="M2067" i="1"/>
  <c r="O2067" i="1"/>
  <c r="Q2067" i="1"/>
  <c r="R2067" i="1"/>
  <c r="W2067" i="1"/>
  <c r="AA2067" i="1"/>
  <c r="AM2067" i="1"/>
  <c r="AN2067" i="1"/>
  <c r="AO2067" i="1"/>
  <c r="AQ2067" i="1"/>
  <c r="BD2067" i="1"/>
  <c r="B2068" i="1"/>
  <c r="E2068" i="1"/>
  <c r="F2068" i="1"/>
  <c r="G2068" i="1"/>
  <c r="H2068" i="1"/>
  <c r="I2068" i="1"/>
  <c r="J2068" i="1"/>
  <c r="K2068" i="1"/>
  <c r="M2068" i="1"/>
  <c r="O2068" i="1"/>
  <c r="Q2068" i="1"/>
  <c r="R2068" i="1"/>
  <c r="W2068" i="1"/>
  <c r="AA2068" i="1"/>
  <c r="AM2068" i="1"/>
  <c r="AN2068" i="1"/>
  <c r="AO2068" i="1"/>
  <c r="AQ2068" i="1"/>
  <c r="BD2068" i="1"/>
  <c r="B2069" i="1"/>
  <c r="E2069" i="1"/>
  <c r="F2069" i="1"/>
  <c r="G2069" i="1"/>
  <c r="H2069" i="1"/>
  <c r="I2069" i="1"/>
  <c r="J2069" i="1"/>
  <c r="K2069" i="1"/>
  <c r="M2069" i="1"/>
  <c r="O2069" i="1"/>
  <c r="Q2069" i="1"/>
  <c r="R2069" i="1"/>
  <c r="W2069" i="1"/>
  <c r="AA2069" i="1"/>
  <c r="AM2069" i="1"/>
  <c r="AN2069" i="1"/>
  <c r="AO2069" i="1"/>
  <c r="AQ2069" i="1"/>
  <c r="BD2069" i="1"/>
  <c r="B2070" i="1"/>
  <c r="E2070" i="1"/>
  <c r="F2070" i="1"/>
  <c r="G2070" i="1"/>
  <c r="H2070" i="1"/>
  <c r="I2070" i="1"/>
  <c r="J2070" i="1"/>
  <c r="K2070" i="1"/>
  <c r="M2070" i="1"/>
  <c r="O2070" i="1"/>
  <c r="Q2070" i="1"/>
  <c r="R2070" i="1"/>
  <c r="W2070" i="1"/>
  <c r="AA2070" i="1"/>
  <c r="AM2070" i="1"/>
  <c r="AN2070" i="1"/>
  <c r="AO2070" i="1"/>
  <c r="AQ2070" i="1"/>
  <c r="BD2070" i="1"/>
  <c r="B2071" i="1"/>
  <c r="E2071" i="1"/>
  <c r="F2071" i="1"/>
  <c r="G2071" i="1"/>
  <c r="H2071" i="1"/>
  <c r="I2071" i="1"/>
  <c r="J2071" i="1"/>
  <c r="K2071" i="1"/>
  <c r="M2071" i="1"/>
  <c r="O2071" i="1"/>
  <c r="Q2071" i="1"/>
  <c r="R2071" i="1"/>
  <c r="W2071" i="1"/>
  <c r="AA2071" i="1"/>
  <c r="AM2071" i="1"/>
  <c r="AN2071" i="1"/>
  <c r="AO2071" i="1"/>
  <c r="AQ2071" i="1"/>
  <c r="BD2071" i="1"/>
  <c r="B2072" i="1"/>
  <c r="E2072" i="1"/>
  <c r="F2072" i="1"/>
  <c r="G2072" i="1"/>
  <c r="H2072" i="1"/>
  <c r="I2072" i="1"/>
  <c r="J2072" i="1"/>
  <c r="K2072" i="1"/>
  <c r="M2072" i="1"/>
  <c r="O2072" i="1"/>
  <c r="Q2072" i="1"/>
  <c r="R2072" i="1"/>
  <c r="W2072" i="1"/>
  <c r="AA2072" i="1"/>
  <c r="AM2072" i="1"/>
  <c r="AN2072" i="1"/>
  <c r="AO2072" i="1"/>
  <c r="AQ2072" i="1"/>
  <c r="BD2072" i="1"/>
  <c r="B2073" i="1"/>
  <c r="E2073" i="1"/>
  <c r="F2073" i="1"/>
  <c r="G2073" i="1"/>
  <c r="H2073" i="1"/>
  <c r="I2073" i="1"/>
  <c r="J2073" i="1"/>
  <c r="K2073" i="1"/>
  <c r="M2073" i="1"/>
  <c r="O2073" i="1"/>
  <c r="Q2073" i="1"/>
  <c r="R2073" i="1"/>
  <c r="W2073" i="1"/>
  <c r="AA2073" i="1"/>
  <c r="AM2073" i="1"/>
  <c r="AN2073" i="1"/>
  <c r="AO2073" i="1"/>
  <c r="AQ2073" i="1"/>
  <c r="BB2073" i="1"/>
  <c r="BD2073" i="1"/>
  <c r="B2074" i="1"/>
  <c r="E2074" i="1"/>
  <c r="F2074" i="1"/>
  <c r="G2074" i="1"/>
  <c r="H2074" i="1"/>
  <c r="I2074" i="1"/>
  <c r="J2074" i="1"/>
  <c r="K2074" i="1"/>
  <c r="M2074" i="1"/>
  <c r="O2074" i="1"/>
  <c r="Q2074" i="1"/>
  <c r="R2074" i="1"/>
  <c r="W2074" i="1"/>
  <c r="AA2074" i="1"/>
  <c r="AM2074" i="1"/>
  <c r="AN2074" i="1"/>
  <c r="AO2074" i="1"/>
  <c r="AQ2074" i="1"/>
  <c r="BB2074" i="1"/>
  <c r="BD2074" i="1"/>
  <c r="B2075" i="1"/>
  <c r="E2075" i="1"/>
  <c r="F2075" i="1"/>
  <c r="G2075" i="1"/>
  <c r="H2075" i="1"/>
  <c r="I2075" i="1"/>
  <c r="J2075" i="1"/>
  <c r="K2075" i="1"/>
  <c r="M2075" i="1"/>
  <c r="O2075" i="1"/>
  <c r="Q2075" i="1"/>
  <c r="R2075" i="1"/>
  <c r="W2075" i="1"/>
  <c r="AA2075" i="1"/>
  <c r="AB2075" i="1"/>
  <c r="AM2075" i="1"/>
  <c r="AN2075" i="1"/>
  <c r="AO2075" i="1"/>
  <c r="AQ2075" i="1"/>
  <c r="AX2075" i="1"/>
  <c r="BD2075" i="1"/>
  <c r="B2076" i="1"/>
  <c r="E2076" i="1"/>
  <c r="F2076" i="1"/>
  <c r="G2076" i="1"/>
  <c r="H2076" i="1"/>
  <c r="I2076" i="1"/>
  <c r="J2076" i="1"/>
  <c r="K2076" i="1"/>
  <c r="M2076" i="1"/>
  <c r="O2076" i="1"/>
  <c r="Q2076" i="1"/>
  <c r="R2076" i="1"/>
  <c r="W2076" i="1"/>
  <c r="AA2076" i="1"/>
  <c r="AM2076" i="1"/>
  <c r="AN2076" i="1"/>
  <c r="AO2076" i="1"/>
  <c r="AQ2076" i="1"/>
  <c r="BD2076" i="1"/>
  <c r="B2077" i="1"/>
  <c r="E2077" i="1"/>
  <c r="F2077" i="1"/>
  <c r="G2077" i="1"/>
  <c r="H2077" i="1"/>
  <c r="I2077" i="1"/>
  <c r="J2077" i="1"/>
  <c r="K2077" i="1"/>
  <c r="M2077" i="1"/>
  <c r="O2077" i="1"/>
  <c r="Q2077" i="1"/>
  <c r="R2077" i="1"/>
  <c r="W2077" i="1"/>
  <c r="AA2077" i="1"/>
  <c r="AM2077" i="1"/>
  <c r="AN2077" i="1"/>
  <c r="AO2077" i="1"/>
  <c r="AQ2077" i="1"/>
  <c r="BD2077" i="1"/>
  <c r="B2078" i="1"/>
  <c r="E2078" i="1"/>
  <c r="F2078" i="1"/>
  <c r="G2078" i="1"/>
  <c r="H2078" i="1"/>
  <c r="I2078" i="1"/>
  <c r="J2078" i="1"/>
  <c r="K2078" i="1"/>
  <c r="M2078" i="1"/>
  <c r="O2078" i="1"/>
  <c r="Q2078" i="1"/>
  <c r="R2078" i="1"/>
  <c r="W2078" i="1"/>
  <c r="AA2078" i="1"/>
  <c r="AM2078" i="1"/>
  <c r="AN2078" i="1"/>
  <c r="AO2078" i="1"/>
  <c r="AQ2078" i="1"/>
  <c r="BD2078" i="1"/>
  <c r="B2079" i="1"/>
  <c r="E2079" i="1"/>
  <c r="F2079" i="1"/>
  <c r="G2079" i="1"/>
  <c r="H2079" i="1"/>
  <c r="I2079" i="1"/>
  <c r="J2079" i="1"/>
  <c r="K2079" i="1"/>
  <c r="M2079" i="1"/>
  <c r="O2079" i="1"/>
  <c r="Q2079" i="1"/>
  <c r="R2079" i="1"/>
  <c r="W2079" i="1"/>
  <c r="AA2079" i="1"/>
  <c r="AM2079" i="1"/>
  <c r="AN2079" i="1"/>
  <c r="AO2079" i="1"/>
  <c r="AQ2079" i="1"/>
  <c r="BD2079" i="1"/>
  <c r="B2080" i="1"/>
  <c r="E2080" i="1"/>
  <c r="F2080" i="1"/>
  <c r="G2080" i="1"/>
  <c r="H2080" i="1"/>
  <c r="I2080" i="1"/>
  <c r="J2080" i="1"/>
  <c r="K2080" i="1"/>
  <c r="M2080" i="1"/>
  <c r="O2080" i="1"/>
  <c r="Q2080" i="1"/>
  <c r="R2080" i="1"/>
  <c r="W2080" i="1"/>
  <c r="AA2080" i="1"/>
  <c r="AM2080" i="1"/>
  <c r="AN2080" i="1"/>
  <c r="AO2080" i="1"/>
  <c r="AQ2080" i="1"/>
  <c r="BD2080" i="1"/>
  <c r="B2081" i="1"/>
  <c r="E2081" i="1"/>
  <c r="F2081" i="1"/>
  <c r="G2081" i="1"/>
  <c r="H2081" i="1"/>
  <c r="I2081" i="1"/>
  <c r="J2081" i="1"/>
  <c r="K2081" i="1"/>
  <c r="M2081" i="1"/>
  <c r="O2081" i="1"/>
  <c r="Q2081" i="1"/>
  <c r="R2081" i="1"/>
  <c r="W2081" i="1"/>
  <c r="AA2081" i="1"/>
  <c r="AM2081" i="1"/>
  <c r="AN2081" i="1"/>
  <c r="AO2081" i="1"/>
  <c r="AQ2081" i="1"/>
  <c r="BD2081" i="1"/>
  <c r="B2082" i="1"/>
  <c r="E2082" i="1"/>
  <c r="F2082" i="1"/>
  <c r="G2082" i="1"/>
  <c r="H2082" i="1"/>
  <c r="I2082" i="1"/>
  <c r="J2082" i="1"/>
  <c r="K2082" i="1"/>
  <c r="M2082" i="1"/>
  <c r="O2082" i="1"/>
  <c r="Q2082" i="1"/>
  <c r="R2082" i="1"/>
  <c r="W2082" i="1"/>
  <c r="AA2082" i="1"/>
  <c r="AM2082" i="1"/>
  <c r="AN2082" i="1"/>
  <c r="AO2082" i="1"/>
  <c r="AQ2082" i="1"/>
  <c r="BD2082" i="1"/>
  <c r="B2083" i="1"/>
  <c r="C2083" i="1"/>
  <c r="D2083" i="1"/>
  <c r="E2083" i="1"/>
  <c r="F2083" i="1"/>
  <c r="G2083" i="1"/>
  <c r="H2083" i="1"/>
  <c r="I2083" i="1"/>
  <c r="J2083" i="1"/>
  <c r="K2083" i="1"/>
  <c r="M2083" i="1"/>
  <c r="O2083" i="1"/>
  <c r="Q2083" i="1"/>
  <c r="R2083" i="1"/>
  <c r="W2083" i="1"/>
  <c r="AA2083" i="1"/>
  <c r="AB2083" i="1"/>
  <c r="AE2083" i="1"/>
  <c r="AF2083" i="1"/>
  <c r="AM2083" i="1"/>
  <c r="AN2083" i="1"/>
  <c r="AO2083" i="1"/>
  <c r="AQ2083" i="1"/>
  <c r="AX2083" i="1"/>
  <c r="BD2083" i="1"/>
  <c r="B2084" i="1"/>
  <c r="C2084" i="1"/>
  <c r="D2084" i="1"/>
  <c r="E2084" i="1"/>
  <c r="F2084" i="1"/>
  <c r="G2084" i="1"/>
  <c r="H2084" i="1"/>
  <c r="I2084" i="1"/>
  <c r="J2084" i="1"/>
  <c r="K2084" i="1"/>
  <c r="M2084" i="1"/>
  <c r="O2084" i="1"/>
  <c r="Q2084" i="1"/>
  <c r="R2084" i="1"/>
  <c r="W2084" i="1"/>
  <c r="AA2084" i="1"/>
  <c r="AB2084" i="1"/>
  <c r="AE2084" i="1"/>
  <c r="AF2084" i="1"/>
  <c r="AM2084" i="1"/>
  <c r="AN2084" i="1"/>
  <c r="AO2084" i="1"/>
  <c r="AQ2084" i="1"/>
  <c r="AX2084" i="1"/>
  <c r="BD2084" i="1"/>
  <c r="B2085" i="1"/>
  <c r="C2085" i="1"/>
  <c r="D2085" i="1"/>
  <c r="E2085" i="1"/>
  <c r="F2085" i="1"/>
  <c r="G2085" i="1"/>
  <c r="H2085" i="1"/>
  <c r="I2085" i="1"/>
  <c r="J2085" i="1"/>
  <c r="K2085" i="1"/>
  <c r="M2085" i="1"/>
  <c r="O2085" i="1"/>
  <c r="Q2085" i="1"/>
  <c r="R2085" i="1"/>
  <c r="W2085" i="1"/>
  <c r="AA2085" i="1"/>
  <c r="AB2085" i="1"/>
  <c r="AE2085" i="1"/>
  <c r="AF2085" i="1"/>
  <c r="AM2085" i="1"/>
  <c r="AN2085" i="1"/>
  <c r="AO2085" i="1"/>
  <c r="AQ2085" i="1"/>
  <c r="AX2085" i="1"/>
  <c r="BD2085" i="1"/>
  <c r="B2086" i="1"/>
  <c r="C2086" i="1"/>
  <c r="D2086" i="1"/>
  <c r="E2086" i="1"/>
  <c r="F2086" i="1"/>
  <c r="G2086" i="1"/>
  <c r="H2086" i="1"/>
  <c r="I2086" i="1"/>
  <c r="J2086" i="1"/>
  <c r="K2086" i="1"/>
  <c r="M2086" i="1"/>
  <c r="O2086" i="1"/>
  <c r="Q2086" i="1"/>
  <c r="R2086" i="1"/>
  <c r="W2086" i="1"/>
  <c r="AA2086" i="1"/>
  <c r="AB2086" i="1"/>
  <c r="AE2086" i="1"/>
  <c r="AF2086" i="1"/>
  <c r="AM2086" i="1"/>
  <c r="AN2086" i="1"/>
  <c r="AO2086" i="1"/>
  <c r="AQ2086" i="1"/>
  <c r="AX2086" i="1"/>
  <c r="BD2086" i="1"/>
  <c r="B2087" i="1"/>
  <c r="C2087" i="1"/>
  <c r="D2087" i="1"/>
  <c r="E2087" i="1"/>
  <c r="F2087" i="1"/>
  <c r="G2087" i="1"/>
  <c r="H2087" i="1"/>
  <c r="I2087" i="1"/>
  <c r="J2087" i="1"/>
  <c r="K2087" i="1"/>
  <c r="M2087" i="1"/>
  <c r="O2087" i="1"/>
  <c r="Q2087" i="1"/>
  <c r="R2087" i="1"/>
  <c r="W2087" i="1"/>
  <c r="AA2087" i="1"/>
  <c r="AB2087" i="1"/>
  <c r="AE2087" i="1"/>
  <c r="AF2087" i="1"/>
  <c r="AM2087" i="1"/>
  <c r="AN2087" i="1"/>
  <c r="AO2087" i="1"/>
  <c r="AQ2087" i="1"/>
  <c r="AX2087" i="1"/>
  <c r="BD2087" i="1"/>
  <c r="B2088" i="1"/>
  <c r="C2088" i="1"/>
  <c r="D2088" i="1"/>
  <c r="E2088" i="1"/>
  <c r="F2088" i="1"/>
  <c r="G2088" i="1"/>
  <c r="H2088" i="1"/>
  <c r="I2088" i="1"/>
  <c r="J2088" i="1"/>
  <c r="K2088" i="1"/>
  <c r="M2088" i="1"/>
  <c r="O2088" i="1"/>
  <c r="Q2088" i="1"/>
  <c r="R2088" i="1"/>
  <c r="W2088" i="1"/>
  <c r="AA2088" i="1"/>
  <c r="AB2088" i="1"/>
  <c r="AE2088" i="1"/>
  <c r="AF2088" i="1"/>
  <c r="AM2088" i="1"/>
  <c r="AN2088" i="1"/>
  <c r="AO2088" i="1"/>
  <c r="AQ2088" i="1"/>
  <c r="AX2088" i="1"/>
  <c r="BD2088" i="1"/>
  <c r="B2089" i="1"/>
  <c r="C2089" i="1"/>
  <c r="D2089" i="1"/>
  <c r="E2089" i="1"/>
  <c r="F2089" i="1"/>
  <c r="G2089" i="1"/>
  <c r="H2089" i="1"/>
  <c r="I2089" i="1"/>
  <c r="J2089" i="1"/>
  <c r="K2089" i="1"/>
  <c r="M2089" i="1"/>
  <c r="O2089" i="1"/>
  <c r="Q2089" i="1"/>
  <c r="R2089" i="1"/>
  <c r="W2089" i="1"/>
  <c r="AA2089" i="1"/>
  <c r="AB2089" i="1"/>
  <c r="AE2089" i="1"/>
  <c r="AF2089" i="1"/>
  <c r="AM2089" i="1"/>
  <c r="AN2089" i="1"/>
  <c r="AO2089" i="1"/>
  <c r="AQ2089" i="1"/>
  <c r="AX2089" i="1"/>
  <c r="BD2089" i="1"/>
  <c r="B2090" i="1"/>
  <c r="C2090" i="1"/>
  <c r="D2090" i="1"/>
  <c r="E2090" i="1"/>
  <c r="F2090" i="1"/>
  <c r="G2090" i="1"/>
  <c r="H2090" i="1"/>
  <c r="I2090" i="1"/>
  <c r="J2090" i="1"/>
  <c r="K2090" i="1"/>
  <c r="M2090" i="1"/>
  <c r="O2090" i="1"/>
  <c r="Q2090" i="1"/>
  <c r="R2090" i="1"/>
  <c r="W2090" i="1"/>
  <c r="AA2090" i="1"/>
  <c r="AB2090" i="1"/>
  <c r="AE2090" i="1"/>
  <c r="AF2090" i="1"/>
  <c r="AM2090" i="1"/>
  <c r="AN2090" i="1"/>
  <c r="AO2090" i="1"/>
  <c r="AQ2090" i="1"/>
  <c r="AX2090" i="1"/>
  <c r="BD2090" i="1"/>
  <c r="B2091" i="1"/>
  <c r="C2091" i="1"/>
  <c r="D2091" i="1"/>
  <c r="E2091" i="1"/>
  <c r="F2091" i="1"/>
  <c r="G2091" i="1"/>
  <c r="H2091" i="1"/>
  <c r="I2091" i="1"/>
  <c r="J2091" i="1"/>
  <c r="K2091" i="1"/>
  <c r="M2091" i="1"/>
  <c r="O2091" i="1"/>
  <c r="Q2091" i="1"/>
  <c r="R2091" i="1"/>
  <c r="W2091" i="1"/>
  <c r="AA2091" i="1"/>
  <c r="AB2091" i="1"/>
  <c r="AE2091" i="1"/>
  <c r="AF2091" i="1"/>
  <c r="AM2091" i="1"/>
  <c r="AN2091" i="1"/>
  <c r="AO2091" i="1"/>
  <c r="AQ2091" i="1"/>
  <c r="AX2091" i="1"/>
  <c r="BD2091" i="1"/>
  <c r="B2092" i="1"/>
  <c r="C2092" i="1"/>
  <c r="E2092" i="1"/>
  <c r="F2092" i="1"/>
  <c r="G2092" i="1"/>
  <c r="H2092" i="1"/>
  <c r="I2092" i="1"/>
  <c r="J2092" i="1"/>
  <c r="K2092" i="1"/>
  <c r="M2092" i="1"/>
  <c r="O2092" i="1"/>
  <c r="Q2092" i="1"/>
  <c r="R2092" i="1"/>
  <c r="W2092" i="1"/>
  <c r="AA2092" i="1"/>
  <c r="AB2092" i="1"/>
  <c r="AE2092" i="1"/>
  <c r="AF2092" i="1"/>
  <c r="AM2092" i="1"/>
  <c r="AN2092" i="1"/>
  <c r="AO2092" i="1"/>
  <c r="AQ2092" i="1"/>
  <c r="AX2092" i="1"/>
  <c r="BD2092" i="1"/>
  <c r="B2093" i="1"/>
  <c r="C2093" i="1"/>
  <c r="D2093" i="1"/>
  <c r="E2093" i="1"/>
  <c r="F2093" i="1"/>
  <c r="G2093" i="1"/>
  <c r="H2093" i="1"/>
  <c r="I2093" i="1"/>
  <c r="J2093" i="1"/>
  <c r="K2093" i="1"/>
  <c r="M2093" i="1"/>
  <c r="O2093" i="1"/>
  <c r="Q2093" i="1"/>
  <c r="R2093" i="1"/>
  <c r="W2093" i="1"/>
  <c r="AA2093" i="1"/>
  <c r="AB2093" i="1"/>
  <c r="AE2093" i="1"/>
  <c r="AF2093" i="1"/>
  <c r="AM2093" i="1"/>
  <c r="AN2093" i="1"/>
  <c r="AO2093" i="1"/>
  <c r="AQ2093" i="1"/>
  <c r="AX2093" i="1"/>
  <c r="BD2093" i="1"/>
  <c r="B2094" i="1"/>
  <c r="C2094" i="1"/>
  <c r="E2094" i="1"/>
  <c r="F2094" i="1"/>
  <c r="G2094" i="1"/>
  <c r="H2094" i="1"/>
  <c r="I2094" i="1"/>
  <c r="J2094" i="1"/>
  <c r="K2094" i="1"/>
  <c r="M2094" i="1"/>
  <c r="O2094" i="1"/>
  <c r="Q2094" i="1"/>
  <c r="R2094" i="1"/>
  <c r="W2094" i="1"/>
  <c r="AA2094" i="1"/>
  <c r="AB2094" i="1"/>
  <c r="AE2094" i="1"/>
  <c r="AF2094" i="1"/>
  <c r="AM2094" i="1"/>
  <c r="AN2094" i="1"/>
  <c r="AO2094" i="1"/>
  <c r="AQ2094" i="1"/>
  <c r="AX2094" i="1"/>
  <c r="BD2094" i="1"/>
  <c r="B2095" i="1"/>
  <c r="C2095" i="1"/>
  <c r="E2095" i="1"/>
  <c r="F2095" i="1"/>
  <c r="G2095" i="1"/>
  <c r="H2095" i="1"/>
  <c r="I2095" i="1"/>
  <c r="J2095" i="1"/>
  <c r="K2095" i="1"/>
  <c r="M2095" i="1"/>
  <c r="O2095" i="1"/>
  <c r="Q2095" i="1"/>
  <c r="R2095" i="1"/>
  <c r="W2095" i="1"/>
  <c r="AA2095" i="1"/>
  <c r="AB2095" i="1"/>
  <c r="AE2095" i="1"/>
  <c r="AF2095" i="1"/>
  <c r="AM2095" i="1"/>
  <c r="AN2095" i="1"/>
  <c r="AO2095" i="1"/>
  <c r="AQ2095" i="1"/>
  <c r="AX2095" i="1"/>
  <c r="BD2095" i="1"/>
  <c r="B2096" i="1"/>
  <c r="C2096" i="1"/>
  <c r="E2096" i="1"/>
  <c r="F2096" i="1"/>
  <c r="G2096" i="1"/>
  <c r="H2096" i="1"/>
  <c r="I2096" i="1"/>
  <c r="J2096" i="1"/>
  <c r="K2096" i="1"/>
  <c r="M2096" i="1"/>
  <c r="O2096" i="1"/>
  <c r="Q2096" i="1"/>
  <c r="R2096" i="1"/>
  <c r="W2096" i="1"/>
  <c r="AA2096" i="1"/>
  <c r="AB2096" i="1"/>
  <c r="AE2096" i="1"/>
  <c r="AF2096" i="1"/>
  <c r="AM2096" i="1"/>
  <c r="AN2096" i="1"/>
  <c r="AO2096" i="1"/>
  <c r="AQ2096" i="1"/>
  <c r="AX2096" i="1"/>
  <c r="BD2096" i="1"/>
  <c r="B2097" i="1"/>
  <c r="C2097" i="1"/>
  <c r="E2097" i="1"/>
  <c r="F2097" i="1"/>
  <c r="G2097" i="1"/>
  <c r="H2097" i="1"/>
  <c r="I2097" i="1"/>
  <c r="J2097" i="1"/>
  <c r="K2097" i="1"/>
  <c r="M2097" i="1"/>
  <c r="O2097" i="1"/>
  <c r="Q2097" i="1"/>
  <c r="R2097" i="1"/>
  <c r="W2097" i="1"/>
  <c r="AA2097" i="1"/>
  <c r="AB2097" i="1"/>
  <c r="AE2097" i="1"/>
  <c r="AF2097" i="1"/>
  <c r="AM2097" i="1"/>
  <c r="AN2097" i="1"/>
  <c r="AO2097" i="1"/>
  <c r="AQ2097" i="1"/>
  <c r="AX2097" i="1"/>
  <c r="BD2097" i="1"/>
  <c r="B2098" i="1"/>
  <c r="C2098" i="1"/>
  <c r="E2098" i="1"/>
  <c r="F2098" i="1"/>
  <c r="G2098" i="1"/>
  <c r="H2098" i="1"/>
  <c r="I2098" i="1"/>
  <c r="J2098" i="1"/>
  <c r="K2098" i="1"/>
  <c r="M2098" i="1"/>
  <c r="O2098" i="1"/>
  <c r="Q2098" i="1"/>
  <c r="R2098" i="1"/>
  <c r="W2098" i="1"/>
  <c r="AA2098" i="1"/>
  <c r="AB2098" i="1"/>
  <c r="AE2098" i="1"/>
  <c r="AF2098" i="1"/>
  <c r="AM2098" i="1"/>
  <c r="AN2098" i="1"/>
  <c r="AO2098" i="1"/>
  <c r="AQ2098" i="1"/>
  <c r="AX2098" i="1"/>
  <c r="BD2098" i="1"/>
  <c r="B2099" i="1"/>
  <c r="C2099" i="1"/>
  <c r="E2099" i="1"/>
  <c r="F2099" i="1"/>
  <c r="G2099" i="1"/>
  <c r="H2099" i="1"/>
  <c r="I2099" i="1"/>
  <c r="J2099" i="1"/>
  <c r="K2099" i="1"/>
  <c r="M2099" i="1"/>
  <c r="O2099" i="1"/>
  <c r="Q2099" i="1"/>
  <c r="R2099" i="1"/>
  <c r="W2099" i="1"/>
  <c r="AA2099" i="1"/>
  <c r="AB2099" i="1"/>
  <c r="AE2099" i="1"/>
  <c r="AF2099" i="1"/>
  <c r="AM2099" i="1"/>
  <c r="AN2099" i="1"/>
  <c r="AO2099" i="1"/>
  <c r="AQ2099" i="1"/>
  <c r="AX2099" i="1"/>
  <c r="BD2099" i="1"/>
  <c r="B2100" i="1"/>
  <c r="C2100" i="1"/>
  <c r="E2100" i="1"/>
  <c r="F2100" i="1"/>
  <c r="G2100" i="1"/>
  <c r="H2100" i="1"/>
  <c r="I2100" i="1"/>
  <c r="J2100" i="1"/>
  <c r="K2100" i="1"/>
  <c r="M2100" i="1"/>
  <c r="O2100" i="1"/>
  <c r="Q2100" i="1"/>
  <c r="R2100" i="1"/>
  <c r="W2100" i="1"/>
  <c r="AA2100" i="1"/>
  <c r="AB2100" i="1"/>
  <c r="AE2100" i="1"/>
  <c r="AF2100" i="1"/>
  <c r="AM2100" i="1"/>
  <c r="AN2100" i="1"/>
  <c r="AO2100" i="1"/>
  <c r="AQ2100" i="1"/>
  <c r="AX2100" i="1"/>
  <c r="BD2100" i="1"/>
  <c r="B2101" i="1"/>
  <c r="C2101" i="1"/>
  <c r="D2101" i="1"/>
  <c r="E2101" i="1"/>
  <c r="F2101" i="1"/>
  <c r="G2101" i="1"/>
  <c r="H2101" i="1"/>
  <c r="I2101" i="1"/>
  <c r="J2101" i="1"/>
  <c r="K2101" i="1"/>
  <c r="M2101" i="1"/>
  <c r="O2101" i="1"/>
  <c r="Q2101" i="1"/>
  <c r="R2101" i="1"/>
  <c r="W2101" i="1"/>
  <c r="AA2101" i="1"/>
  <c r="AB2101" i="1"/>
  <c r="AE2101" i="1"/>
  <c r="AF2101" i="1"/>
  <c r="AM2101" i="1"/>
  <c r="AN2101" i="1"/>
  <c r="AO2101" i="1"/>
  <c r="AQ2101" i="1"/>
  <c r="AX2101" i="1"/>
  <c r="BD2101" i="1"/>
  <c r="B2102" i="1"/>
  <c r="C2102" i="1"/>
  <c r="D2102" i="1"/>
  <c r="E2102" i="1"/>
  <c r="F2102" i="1"/>
  <c r="G2102" i="1"/>
  <c r="H2102" i="1"/>
  <c r="I2102" i="1"/>
  <c r="J2102" i="1"/>
  <c r="K2102" i="1"/>
  <c r="M2102" i="1"/>
  <c r="O2102" i="1"/>
  <c r="Q2102" i="1"/>
  <c r="R2102" i="1"/>
  <c r="W2102" i="1"/>
  <c r="AA2102" i="1"/>
  <c r="AB2102" i="1"/>
  <c r="AE2102" i="1"/>
  <c r="AF2102" i="1"/>
  <c r="AM2102" i="1"/>
  <c r="AN2102" i="1"/>
  <c r="AO2102" i="1"/>
  <c r="AQ2102" i="1"/>
  <c r="AX2102" i="1"/>
  <c r="BD2102" i="1"/>
  <c r="B2103" i="1"/>
  <c r="C2103" i="1"/>
  <c r="D2103" i="1"/>
  <c r="E2103" i="1"/>
  <c r="F2103" i="1"/>
  <c r="G2103" i="1"/>
  <c r="H2103" i="1"/>
  <c r="I2103" i="1"/>
  <c r="J2103" i="1"/>
  <c r="K2103" i="1"/>
  <c r="M2103" i="1"/>
  <c r="O2103" i="1"/>
  <c r="Q2103" i="1"/>
  <c r="R2103" i="1"/>
  <c r="W2103" i="1"/>
  <c r="AA2103" i="1"/>
  <c r="AB2103" i="1"/>
  <c r="AE2103" i="1"/>
  <c r="AF2103" i="1"/>
  <c r="AM2103" i="1"/>
  <c r="AN2103" i="1"/>
  <c r="AO2103" i="1"/>
  <c r="AQ2103" i="1"/>
  <c r="AX2103" i="1"/>
  <c r="BD2103" i="1"/>
  <c r="B2104" i="1"/>
  <c r="C2104" i="1"/>
  <c r="E2104" i="1"/>
  <c r="F2104" i="1"/>
  <c r="G2104" i="1"/>
  <c r="H2104" i="1"/>
  <c r="I2104" i="1"/>
  <c r="J2104" i="1"/>
  <c r="K2104" i="1"/>
  <c r="M2104" i="1"/>
  <c r="O2104" i="1"/>
  <c r="Q2104" i="1"/>
  <c r="R2104" i="1"/>
  <c r="W2104" i="1"/>
  <c r="AA2104" i="1"/>
  <c r="AB2104" i="1"/>
  <c r="AE2104" i="1"/>
  <c r="AF2104" i="1"/>
  <c r="AM2104" i="1"/>
  <c r="AN2104" i="1"/>
  <c r="AO2104" i="1"/>
  <c r="AQ2104" i="1"/>
  <c r="AX2104" i="1"/>
  <c r="BD2104" i="1"/>
  <c r="B2105" i="1"/>
  <c r="C2105" i="1"/>
  <c r="D2105" i="1"/>
  <c r="E2105" i="1"/>
  <c r="F2105" i="1"/>
  <c r="G2105" i="1"/>
  <c r="H2105" i="1"/>
  <c r="I2105" i="1"/>
  <c r="J2105" i="1"/>
  <c r="K2105" i="1"/>
  <c r="M2105" i="1"/>
  <c r="O2105" i="1"/>
  <c r="Q2105" i="1"/>
  <c r="R2105" i="1"/>
  <c r="W2105" i="1"/>
  <c r="AA2105" i="1"/>
  <c r="AB2105" i="1"/>
  <c r="AE2105" i="1"/>
  <c r="AF2105" i="1"/>
  <c r="AM2105" i="1"/>
  <c r="AN2105" i="1"/>
  <c r="AO2105" i="1"/>
  <c r="AQ2105" i="1"/>
  <c r="AX2105" i="1"/>
  <c r="BD2105" i="1"/>
  <c r="B2106" i="1"/>
  <c r="C2106" i="1"/>
  <c r="D2106" i="1"/>
  <c r="E2106" i="1"/>
  <c r="F2106" i="1"/>
  <c r="G2106" i="1"/>
  <c r="H2106" i="1"/>
  <c r="I2106" i="1"/>
  <c r="J2106" i="1"/>
  <c r="K2106" i="1"/>
  <c r="M2106" i="1"/>
  <c r="O2106" i="1"/>
  <c r="Q2106" i="1"/>
  <c r="R2106" i="1"/>
  <c r="W2106" i="1"/>
  <c r="AA2106" i="1"/>
  <c r="AB2106" i="1"/>
  <c r="AE2106" i="1"/>
  <c r="AF2106" i="1"/>
  <c r="AM2106" i="1"/>
  <c r="AN2106" i="1"/>
  <c r="AO2106" i="1"/>
  <c r="AQ2106" i="1"/>
  <c r="AX2106" i="1"/>
  <c r="BD2106" i="1"/>
  <c r="B2107" i="1"/>
  <c r="C2107" i="1"/>
  <c r="D2107" i="1"/>
  <c r="E2107" i="1"/>
  <c r="F2107" i="1"/>
  <c r="G2107" i="1"/>
  <c r="H2107" i="1"/>
  <c r="I2107" i="1"/>
  <c r="J2107" i="1"/>
  <c r="K2107" i="1"/>
  <c r="M2107" i="1"/>
  <c r="O2107" i="1"/>
  <c r="Q2107" i="1"/>
  <c r="R2107" i="1"/>
  <c r="W2107" i="1"/>
  <c r="AA2107" i="1"/>
  <c r="AB2107" i="1"/>
  <c r="AE2107" i="1"/>
  <c r="AF2107" i="1"/>
  <c r="AM2107" i="1"/>
  <c r="AN2107" i="1"/>
  <c r="AO2107" i="1"/>
  <c r="AQ2107" i="1"/>
  <c r="AX2107" i="1"/>
  <c r="BD2107" i="1"/>
  <c r="B2108" i="1"/>
  <c r="C2108" i="1"/>
  <c r="D2108" i="1"/>
  <c r="E2108" i="1"/>
  <c r="F2108" i="1"/>
  <c r="G2108" i="1"/>
  <c r="H2108" i="1"/>
  <c r="I2108" i="1"/>
  <c r="J2108" i="1"/>
  <c r="K2108" i="1"/>
  <c r="M2108" i="1"/>
  <c r="O2108" i="1"/>
  <c r="Q2108" i="1"/>
  <c r="R2108" i="1"/>
  <c r="W2108" i="1"/>
  <c r="AA2108" i="1"/>
  <c r="AB2108" i="1"/>
  <c r="AE2108" i="1"/>
  <c r="AF2108" i="1"/>
  <c r="AM2108" i="1"/>
  <c r="AN2108" i="1"/>
  <c r="AO2108" i="1"/>
  <c r="AQ2108" i="1"/>
  <c r="AX2108" i="1"/>
  <c r="BD2108" i="1"/>
  <c r="B2109" i="1"/>
  <c r="C2109" i="1"/>
  <c r="D2109" i="1"/>
  <c r="E2109" i="1"/>
  <c r="F2109" i="1"/>
  <c r="G2109" i="1"/>
  <c r="H2109" i="1"/>
  <c r="I2109" i="1"/>
  <c r="J2109" i="1"/>
  <c r="K2109" i="1"/>
  <c r="M2109" i="1"/>
  <c r="O2109" i="1"/>
  <c r="Q2109" i="1"/>
  <c r="R2109" i="1"/>
  <c r="W2109" i="1"/>
  <c r="AA2109" i="1"/>
  <c r="AB2109" i="1"/>
  <c r="AE2109" i="1"/>
  <c r="AF2109" i="1"/>
  <c r="AM2109" i="1"/>
  <c r="AN2109" i="1"/>
  <c r="AO2109" i="1"/>
  <c r="AQ2109" i="1"/>
  <c r="AX2109" i="1"/>
  <c r="BD2109" i="1"/>
  <c r="B2110" i="1"/>
  <c r="C2110" i="1"/>
  <c r="E2110" i="1"/>
  <c r="F2110" i="1"/>
  <c r="G2110" i="1"/>
  <c r="H2110" i="1"/>
  <c r="I2110" i="1"/>
  <c r="J2110" i="1"/>
  <c r="K2110" i="1"/>
  <c r="M2110" i="1"/>
  <c r="O2110" i="1"/>
  <c r="Q2110" i="1"/>
  <c r="R2110" i="1"/>
  <c r="W2110" i="1"/>
  <c r="AA2110" i="1"/>
  <c r="AB2110" i="1"/>
  <c r="AE2110" i="1"/>
  <c r="AF2110" i="1"/>
  <c r="AM2110" i="1"/>
  <c r="AN2110" i="1"/>
  <c r="AO2110" i="1"/>
  <c r="AQ2110" i="1"/>
  <c r="AX2110" i="1"/>
  <c r="BD2110" i="1"/>
  <c r="B2111" i="1"/>
  <c r="E2111" i="1"/>
  <c r="F2111" i="1"/>
  <c r="G2111" i="1"/>
  <c r="H2111" i="1"/>
  <c r="I2111" i="1"/>
  <c r="J2111" i="1"/>
  <c r="K2111" i="1"/>
  <c r="M2111" i="1"/>
  <c r="O2111" i="1"/>
  <c r="Q2111" i="1"/>
  <c r="R2111" i="1"/>
  <c r="W2111" i="1"/>
  <c r="AA2111" i="1"/>
  <c r="AM2111" i="1"/>
  <c r="AN2111" i="1"/>
  <c r="AO2111" i="1"/>
  <c r="AQ2111" i="1"/>
  <c r="BD2111" i="1"/>
  <c r="B2112" i="1"/>
  <c r="E2112" i="1"/>
  <c r="F2112" i="1"/>
  <c r="G2112" i="1"/>
  <c r="H2112" i="1"/>
  <c r="I2112" i="1"/>
  <c r="J2112" i="1"/>
  <c r="K2112" i="1"/>
  <c r="M2112" i="1"/>
  <c r="O2112" i="1"/>
  <c r="Q2112" i="1"/>
  <c r="R2112" i="1"/>
  <c r="W2112" i="1"/>
  <c r="AA2112" i="1"/>
  <c r="AM2112" i="1"/>
  <c r="AN2112" i="1"/>
  <c r="AO2112" i="1"/>
  <c r="AQ2112" i="1"/>
  <c r="BD2112" i="1"/>
  <c r="B2113" i="1"/>
  <c r="C2113" i="1"/>
  <c r="D2113" i="1"/>
  <c r="E2113" i="1"/>
  <c r="F2113" i="1"/>
  <c r="G2113" i="1"/>
  <c r="H2113" i="1"/>
  <c r="I2113" i="1"/>
  <c r="J2113" i="1"/>
  <c r="K2113" i="1"/>
  <c r="M2113" i="1"/>
  <c r="O2113" i="1"/>
  <c r="Q2113" i="1"/>
  <c r="R2113" i="1"/>
  <c r="W2113" i="1"/>
  <c r="AA2113" i="1"/>
  <c r="AB2113" i="1"/>
  <c r="AM2113" i="1"/>
  <c r="AN2113" i="1"/>
  <c r="AO2113" i="1"/>
  <c r="AQ2113" i="1"/>
  <c r="AX2113" i="1"/>
  <c r="BD2113" i="1"/>
  <c r="B2114" i="1"/>
  <c r="C2114" i="1"/>
  <c r="E2114" i="1"/>
  <c r="F2114" i="1"/>
  <c r="G2114" i="1"/>
  <c r="H2114" i="1"/>
  <c r="I2114" i="1"/>
  <c r="J2114" i="1"/>
  <c r="K2114" i="1"/>
  <c r="M2114" i="1"/>
  <c r="O2114" i="1"/>
  <c r="Q2114" i="1"/>
  <c r="R2114" i="1"/>
  <c r="W2114" i="1"/>
  <c r="AA2114" i="1"/>
  <c r="AB2114" i="1"/>
  <c r="AE2114" i="1"/>
  <c r="AF2114" i="1"/>
  <c r="AM2114" i="1"/>
  <c r="AN2114" i="1"/>
  <c r="AO2114" i="1"/>
  <c r="AQ2114" i="1"/>
  <c r="AX2114" i="1"/>
  <c r="BD2114" i="1"/>
  <c r="B2115" i="1"/>
  <c r="C2115" i="1"/>
  <c r="E2115" i="1"/>
  <c r="F2115" i="1"/>
  <c r="G2115" i="1"/>
  <c r="H2115" i="1"/>
  <c r="I2115" i="1"/>
  <c r="J2115" i="1"/>
  <c r="K2115" i="1"/>
  <c r="M2115" i="1"/>
  <c r="O2115" i="1"/>
  <c r="Q2115" i="1"/>
  <c r="R2115" i="1"/>
  <c r="W2115" i="1"/>
  <c r="AA2115" i="1"/>
  <c r="AB2115" i="1"/>
  <c r="AE2115" i="1"/>
  <c r="AF2115" i="1"/>
  <c r="AM2115" i="1"/>
  <c r="AN2115" i="1"/>
  <c r="AO2115" i="1"/>
  <c r="AQ2115" i="1"/>
  <c r="AX2115" i="1"/>
  <c r="BD2115" i="1"/>
  <c r="B2116" i="1"/>
  <c r="C2116" i="1"/>
  <c r="E2116" i="1"/>
  <c r="F2116" i="1"/>
  <c r="G2116" i="1"/>
  <c r="H2116" i="1"/>
  <c r="I2116" i="1"/>
  <c r="J2116" i="1"/>
  <c r="K2116" i="1"/>
  <c r="M2116" i="1"/>
  <c r="O2116" i="1"/>
  <c r="Q2116" i="1"/>
  <c r="R2116" i="1"/>
  <c r="W2116" i="1"/>
  <c r="AA2116" i="1"/>
  <c r="AB2116" i="1"/>
  <c r="AE2116" i="1"/>
  <c r="AF2116" i="1"/>
  <c r="AM2116" i="1"/>
  <c r="AN2116" i="1"/>
  <c r="AO2116" i="1"/>
  <c r="AQ2116" i="1"/>
  <c r="AX2116" i="1"/>
  <c r="BD2116" i="1"/>
  <c r="B2117" i="1"/>
  <c r="C2117" i="1"/>
  <c r="E2117" i="1"/>
  <c r="F2117" i="1"/>
  <c r="G2117" i="1"/>
  <c r="H2117" i="1"/>
  <c r="I2117" i="1"/>
  <c r="J2117" i="1"/>
  <c r="K2117" i="1"/>
  <c r="M2117" i="1"/>
  <c r="O2117" i="1"/>
  <c r="Q2117" i="1"/>
  <c r="R2117" i="1"/>
  <c r="W2117" i="1"/>
  <c r="AA2117" i="1"/>
  <c r="AB2117" i="1"/>
  <c r="AE2117" i="1"/>
  <c r="AF2117" i="1"/>
  <c r="AM2117" i="1"/>
  <c r="AN2117" i="1"/>
  <c r="AO2117" i="1"/>
  <c r="AQ2117" i="1"/>
  <c r="AX2117" i="1"/>
  <c r="BD2117" i="1"/>
  <c r="B2118" i="1"/>
  <c r="C2118" i="1"/>
  <c r="E2118" i="1"/>
  <c r="F2118" i="1"/>
  <c r="G2118" i="1"/>
  <c r="H2118" i="1"/>
  <c r="I2118" i="1"/>
  <c r="J2118" i="1"/>
  <c r="K2118" i="1"/>
  <c r="M2118" i="1"/>
  <c r="O2118" i="1"/>
  <c r="Q2118" i="1"/>
  <c r="R2118" i="1"/>
  <c r="W2118" i="1"/>
  <c r="AA2118" i="1"/>
  <c r="AB2118" i="1"/>
  <c r="AE2118" i="1"/>
  <c r="AF2118" i="1"/>
  <c r="AM2118" i="1"/>
  <c r="AN2118" i="1"/>
  <c r="AO2118" i="1"/>
  <c r="AQ2118" i="1"/>
  <c r="AX2118" i="1"/>
  <c r="BD2118" i="1"/>
  <c r="B2119" i="1"/>
  <c r="C2119" i="1"/>
  <c r="E2119" i="1"/>
  <c r="F2119" i="1"/>
  <c r="G2119" i="1"/>
  <c r="H2119" i="1"/>
  <c r="I2119" i="1"/>
  <c r="J2119" i="1"/>
  <c r="K2119" i="1"/>
  <c r="M2119" i="1"/>
  <c r="O2119" i="1"/>
  <c r="Q2119" i="1"/>
  <c r="R2119" i="1"/>
  <c r="W2119" i="1"/>
  <c r="AA2119" i="1"/>
  <c r="AB2119" i="1"/>
  <c r="AE2119" i="1"/>
  <c r="AF2119" i="1"/>
  <c r="AM2119" i="1"/>
  <c r="AN2119" i="1"/>
  <c r="AO2119" i="1"/>
  <c r="AQ2119" i="1"/>
  <c r="AX2119" i="1"/>
  <c r="BD2119" i="1"/>
  <c r="B2120" i="1"/>
  <c r="E2120" i="1"/>
  <c r="F2120" i="1"/>
  <c r="G2120" i="1"/>
  <c r="H2120" i="1"/>
  <c r="I2120" i="1"/>
  <c r="J2120" i="1"/>
  <c r="K2120" i="1"/>
  <c r="M2120" i="1"/>
  <c r="O2120" i="1"/>
  <c r="Q2120" i="1"/>
  <c r="R2120" i="1"/>
  <c r="W2120" i="1"/>
  <c r="AA2120" i="1"/>
  <c r="AB2120" i="1"/>
  <c r="AM2120" i="1"/>
  <c r="AN2120" i="1"/>
  <c r="AO2120" i="1"/>
  <c r="AQ2120" i="1"/>
  <c r="AX2120" i="1"/>
  <c r="BD2120" i="1"/>
  <c r="B2121" i="1"/>
  <c r="E2121" i="1"/>
  <c r="F2121" i="1"/>
  <c r="G2121" i="1"/>
  <c r="H2121" i="1"/>
  <c r="I2121" i="1"/>
  <c r="J2121" i="1"/>
  <c r="K2121" i="1"/>
  <c r="M2121" i="1"/>
  <c r="O2121" i="1"/>
  <c r="Q2121" i="1"/>
  <c r="R2121" i="1"/>
  <c r="W2121" i="1"/>
  <c r="AA2121" i="1"/>
  <c r="AB2121" i="1"/>
  <c r="AM2121" i="1"/>
  <c r="AN2121" i="1"/>
  <c r="AO2121" i="1"/>
  <c r="AQ2121" i="1"/>
  <c r="AX2121" i="1"/>
  <c r="BD2121" i="1"/>
  <c r="B2122" i="1"/>
  <c r="C2122" i="1"/>
  <c r="E2122" i="1"/>
  <c r="F2122" i="1"/>
  <c r="G2122" i="1"/>
  <c r="H2122" i="1"/>
  <c r="I2122" i="1"/>
  <c r="J2122" i="1"/>
  <c r="K2122" i="1"/>
  <c r="M2122" i="1"/>
  <c r="O2122" i="1"/>
  <c r="Q2122" i="1"/>
  <c r="R2122" i="1"/>
  <c r="W2122" i="1"/>
  <c r="AA2122" i="1"/>
  <c r="AM2122" i="1"/>
  <c r="AN2122" i="1"/>
  <c r="AO2122" i="1"/>
  <c r="AQ2122" i="1"/>
  <c r="BB2122" i="1"/>
  <c r="BD2122" i="1"/>
  <c r="B2123" i="1"/>
  <c r="C2123" i="1"/>
  <c r="D2123" i="1"/>
  <c r="E2123" i="1"/>
  <c r="F2123" i="1"/>
  <c r="G2123" i="1"/>
  <c r="H2123" i="1"/>
  <c r="I2123" i="1"/>
  <c r="J2123" i="1"/>
  <c r="K2123" i="1"/>
  <c r="M2123" i="1"/>
  <c r="O2123" i="1"/>
  <c r="Q2123" i="1"/>
  <c r="R2123" i="1"/>
  <c r="W2123" i="1"/>
  <c r="AA2123" i="1"/>
  <c r="AB2123" i="1"/>
  <c r="AE2123" i="1"/>
  <c r="AF2123" i="1"/>
  <c r="AM2123" i="1"/>
  <c r="AN2123" i="1"/>
  <c r="AO2123" i="1"/>
  <c r="AQ2123" i="1"/>
  <c r="AX2123" i="1"/>
  <c r="BD2123" i="1"/>
  <c r="B2124" i="1"/>
  <c r="C2124" i="1"/>
  <c r="D2124" i="1"/>
  <c r="E2124" i="1"/>
  <c r="F2124" i="1"/>
  <c r="G2124" i="1"/>
  <c r="H2124" i="1"/>
  <c r="I2124" i="1"/>
  <c r="J2124" i="1"/>
  <c r="K2124" i="1"/>
  <c r="M2124" i="1"/>
  <c r="O2124" i="1"/>
  <c r="Q2124" i="1"/>
  <c r="R2124" i="1"/>
  <c r="W2124" i="1"/>
  <c r="AA2124" i="1"/>
  <c r="AB2124" i="1"/>
  <c r="AE2124" i="1"/>
  <c r="AF2124" i="1"/>
  <c r="AM2124" i="1"/>
  <c r="AN2124" i="1"/>
  <c r="AO2124" i="1"/>
  <c r="AQ2124" i="1"/>
  <c r="AX2124" i="1"/>
  <c r="BD2124" i="1"/>
  <c r="B2125" i="1"/>
  <c r="C2125" i="1"/>
  <c r="D2125" i="1"/>
  <c r="E2125" i="1"/>
  <c r="F2125" i="1"/>
  <c r="G2125" i="1"/>
  <c r="H2125" i="1"/>
  <c r="I2125" i="1"/>
  <c r="J2125" i="1"/>
  <c r="K2125" i="1"/>
  <c r="M2125" i="1"/>
  <c r="O2125" i="1"/>
  <c r="Q2125" i="1"/>
  <c r="R2125" i="1"/>
  <c r="W2125" i="1"/>
  <c r="AA2125" i="1"/>
  <c r="AB2125" i="1"/>
  <c r="AE2125" i="1"/>
  <c r="AF2125" i="1"/>
  <c r="AM2125" i="1"/>
  <c r="AN2125" i="1"/>
  <c r="AO2125" i="1"/>
  <c r="AQ2125" i="1"/>
  <c r="AX2125" i="1"/>
  <c r="BD2125" i="1"/>
  <c r="B2126" i="1"/>
  <c r="C2126" i="1"/>
  <c r="E2126" i="1"/>
  <c r="F2126" i="1"/>
  <c r="G2126" i="1"/>
  <c r="H2126" i="1"/>
  <c r="I2126" i="1"/>
  <c r="J2126" i="1"/>
  <c r="K2126" i="1"/>
  <c r="M2126" i="1"/>
  <c r="O2126" i="1"/>
  <c r="Q2126" i="1"/>
  <c r="R2126" i="1"/>
  <c r="W2126" i="1"/>
  <c r="AA2126" i="1"/>
  <c r="AB2126" i="1"/>
  <c r="AE2126" i="1"/>
  <c r="AF2126" i="1"/>
  <c r="AM2126" i="1"/>
  <c r="AN2126" i="1"/>
  <c r="AO2126" i="1"/>
  <c r="AQ2126" i="1"/>
  <c r="AX2126" i="1"/>
  <c r="BD2126" i="1"/>
  <c r="B2127" i="1"/>
  <c r="C2127" i="1"/>
  <c r="D2127" i="1"/>
  <c r="E2127" i="1"/>
  <c r="F2127" i="1"/>
  <c r="G2127" i="1"/>
  <c r="H2127" i="1"/>
  <c r="I2127" i="1"/>
  <c r="J2127" i="1"/>
  <c r="K2127" i="1"/>
  <c r="M2127" i="1"/>
  <c r="O2127" i="1"/>
  <c r="Q2127" i="1"/>
  <c r="R2127" i="1"/>
  <c r="W2127" i="1"/>
  <c r="AA2127" i="1"/>
  <c r="AB2127" i="1"/>
  <c r="AE2127" i="1"/>
  <c r="AF2127" i="1"/>
  <c r="AM2127" i="1"/>
  <c r="AN2127" i="1"/>
  <c r="AO2127" i="1"/>
  <c r="AQ2127" i="1"/>
  <c r="AX2127" i="1"/>
  <c r="BD2127" i="1"/>
  <c r="B2128" i="1"/>
  <c r="C2128" i="1"/>
  <c r="E2128" i="1"/>
  <c r="F2128" i="1"/>
  <c r="G2128" i="1"/>
  <c r="H2128" i="1"/>
  <c r="I2128" i="1"/>
  <c r="J2128" i="1"/>
  <c r="K2128" i="1"/>
  <c r="M2128" i="1"/>
  <c r="O2128" i="1"/>
  <c r="Q2128" i="1"/>
  <c r="R2128" i="1"/>
  <c r="W2128" i="1"/>
  <c r="AA2128" i="1"/>
  <c r="AB2128" i="1"/>
  <c r="AE2128" i="1"/>
  <c r="AF2128" i="1"/>
  <c r="AM2128" i="1"/>
  <c r="AN2128" i="1"/>
  <c r="AO2128" i="1"/>
  <c r="AQ2128" i="1"/>
  <c r="AX2128" i="1"/>
  <c r="BD2128" i="1"/>
  <c r="B2129" i="1"/>
  <c r="C2129" i="1"/>
  <c r="E2129" i="1"/>
  <c r="F2129" i="1"/>
  <c r="G2129" i="1"/>
  <c r="H2129" i="1"/>
  <c r="I2129" i="1"/>
  <c r="J2129" i="1"/>
  <c r="K2129" i="1"/>
  <c r="M2129" i="1"/>
  <c r="O2129" i="1"/>
  <c r="Q2129" i="1"/>
  <c r="R2129" i="1"/>
  <c r="W2129" i="1"/>
  <c r="AA2129" i="1"/>
  <c r="AB2129" i="1"/>
  <c r="AE2129" i="1"/>
  <c r="AF2129" i="1"/>
  <c r="AM2129" i="1"/>
  <c r="AN2129" i="1"/>
  <c r="AO2129" i="1"/>
  <c r="AQ2129" i="1"/>
  <c r="AX2129" i="1"/>
  <c r="BD2129" i="1"/>
  <c r="B2130" i="1"/>
  <c r="C2130" i="1"/>
  <c r="E2130" i="1"/>
  <c r="F2130" i="1"/>
  <c r="G2130" i="1"/>
  <c r="H2130" i="1"/>
  <c r="I2130" i="1"/>
  <c r="J2130" i="1"/>
  <c r="K2130" i="1"/>
  <c r="M2130" i="1"/>
  <c r="O2130" i="1"/>
  <c r="Q2130" i="1"/>
  <c r="R2130" i="1"/>
  <c r="W2130" i="1"/>
  <c r="AA2130" i="1"/>
  <c r="AB2130" i="1"/>
  <c r="AE2130" i="1"/>
  <c r="AF2130" i="1"/>
  <c r="AM2130" i="1"/>
  <c r="AN2130" i="1"/>
  <c r="AO2130" i="1"/>
  <c r="AQ2130" i="1"/>
  <c r="AX2130" i="1"/>
  <c r="BD2130" i="1"/>
  <c r="B2131" i="1"/>
  <c r="C2131" i="1"/>
  <c r="E2131" i="1"/>
  <c r="F2131" i="1"/>
  <c r="G2131" i="1"/>
  <c r="H2131" i="1"/>
  <c r="I2131" i="1"/>
  <c r="J2131" i="1"/>
  <c r="K2131" i="1"/>
  <c r="M2131" i="1"/>
  <c r="O2131" i="1"/>
  <c r="Q2131" i="1"/>
  <c r="R2131" i="1"/>
  <c r="W2131" i="1"/>
  <c r="AA2131" i="1"/>
  <c r="AB2131" i="1"/>
  <c r="AE2131" i="1"/>
  <c r="AF2131" i="1"/>
  <c r="AM2131" i="1"/>
  <c r="AN2131" i="1"/>
  <c r="AO2131" i="1"/>
  <c r="AQ2131" i="1"/>
  <c r="AX2131" i="1"/>
  <c r="BD2131" i="1"/>
  <c r="B2132" i="1"/>
  <c r="C2132" i="1"/>
  <c r="E2132" i="1"/>
  <c r="F2132" i="1"/>
  <c r="G2132" i="1"/>
  <c r="H2132" i="1"/>
  <c r="I2132" i="1"/>
  <c r="J2132" i="1"/>
  <c r="K2132" i="1"/>
  <c r="M2132" i="1"/>
  <c r="O2132" i="1"/>
  <c r="Q2132" i="1"/>
  <c r="R2132" i="1"/>
  <c r="W2132" i="1"/>
  <c r="AA2132" i="1"/>
  <c r="AB2132" i="1"/>
  <c r="AE2132" i="1"/>
  <c r="AF2132" i="1"/>
  <c r="AM2132" i="1"/>
  <c r="AN2132" i="1"/>
  <c r="AO2132" i="1"/>
  <c r="AQ2132" i="1"/>
  <c r="AX2132" i="1"/>
  <c r="BD2132" i="1"/>
  <c r="B2133" i="1"/>
  <c r="C2133" i="1"/>
  <c r="D2133" i="1"/>
  <c r="E2133" i="1"/>
  <c r="F2133" i="1"/>
  <c r="G2133" i="1"/>
  <c r="H2133" i="1"/>
  <c r="I2133" i="1"/>
  <c r="J2133" i="1"/>
  <c r="K2133" i="1"/>
  <c r="M2133" i="1"/>
  <c r="O2133" i="1"/>
  <c r="Q2133" i="1"/>
  <c r="R2133" i="1"/>
  <c r="W2133" i="1"/>
  <c r="AA2133" i="1"/>
  <c r="AB2133" i="1"/>
  <c r="AE2133" i="1"/>
  <c r="AF2133" i="1"/>
  <c r="AM2133" i="1"/>
  <c r="AN2133" i="1"/>
  <c r="AO2133" i="1"/>
  <c r="AQ2133" i="1"/>
  <c r="AX2133" i="1"/>
  <c r="BD2133" i="1"/>
  <c r="B2134" i="1"/>
  <c r="C2134" i="1"/>
  <c r="D2134" i="1"/>
  <c r="E2134" i="1"/>
  <c r="F2134" i="1"/>
  <c r="G2134" i="1"/>
  <c r="H2134" i="1"/>
  <c r="I2134" i="1"/>
  <c r="J2134" i="1"/>
  <c r="K2134" i="1"/>
  <c r="M2134" i="1"/>
  <c r="O2134" i="1"/>
  <c r="Q2134" i="1"/>
  <c r="R2134" i="1"/>
  <c r="W2134" i="1"/>
  <c r="AA2134" i="1"/>
  <c r="AB2134" i="1"/>
  <c r="AE2134" i="1"/>
  <c r="AF2134" i="1"/>
  <c r="AM2134" i="1"/>
  <c r="AN2134" i="1"/>
  <c r="AO2134" i="1"/>
  <c r="AQ2134" i="1"/>
  <c r="AX2134" i="1"/>
  <c r="BD2134" i="1"/>
  <c r="B2135" i="1"/>
  <c r="C2135" i="1"/>
  <c r="D2135" i="1"/>
  <c r="E2135" i="1"/>
  <c r="F2135" i="1"/>
  <c r="G2135" i="1"/>
  <c r="H2135" i="1"/>
  <c r="I2135" i="1"/>
  <c r="J2135" i="1"/>
  <c r="K2135" i="1"/>
  <c r="M2135" i="1"/>
  <c r="O2135" i="1"/>
  <c r="Q2135" i="1"/>
  <c r="R2135" i="1"/>
  <c r="W2135" i="1"/>
  <c r="AA2135" i="1"/>
  <c r="AB2135" i="1"/>
  <c r="AE2135" i="1"/>
  <c r="AF2135" i="1"/>
  <c r="AM2135" i="1"/>
  <c r="AN2135" i="1"/>
  <c r="AO2135" i="1"/>
  <c r="AQ2135" i="1"/>
  <c r="AX2135" i="1"/>
  <c r="BD2135" i="1"/>
  <c r="B2136" i="1"/>
  <c r="C2136" i="1"/>
  <c r="E2136" i="1"/>
  <c r="F2136" i="1"/>
  <c r="G2136" i="1"/>
  <c r="H2136" i="1"/>
  <c r="I2136" i="1"/>
  <c r="J2136" i="1"/>
  <c r="K2136" i="1"/>
  <c r="M2136" i="1"/>
  <c r="O2136" i="1"/>
  <c r="Q2136" i="1"/>
  <c r="R2136" i="1"/>
  <c r="W2136" i="1"/>
  <c r="AA2136" i="1"/>
  <c r="AB2136" i="1"/>
  <c r="AE2136" i="1"/>
  <c r="AF2136" i="1"/>
  <c r="AM2136" i="1"/>
  <c r="AN2136" i="1"/>
  <c r="AO2136" i="1"/>
  <c r="AQ2136" i="1"/>
  <c r="AX2136" i="1"/>
  <c r="BD2136" i="1"/>
  <c r="B2137" i="1"/>
  <c r="C2137" i="1"/>
  <c r="E2137" i="1"/>
  <c r="F2137" i="1"/>
  <c r="G2137" i="1"/>
  <c r="H2137" i="1"/>
  <c r="I2137" i="1"/>
  <c r="J2137" i="1"/>
  <c r="K2137" i="1"/>
  <c r="M2137" i="1"/>
  <c r="O2137" i="1"/>
  <c r="Q2137" i="1"/>
  <c r="R2137" i="1"/>
  <c r="W2137" i="1"/>
  <c r="AA2137" i="1"/>
  <c r="AB2137" i="1"/>
  <c r="AE2137" i="1"/>
  <c r="AF2137" i="1"/>
  <c r="AM2137" i="1"/>
  <c r="AN2137" i="1"/>
  <c r="AO2137" i="1"/>
  <c r="AQ2137" i="1"/>
  <c r="AX2137" i="1"/>
  <c r="BD2137" i="1"/>
  <c r="B2138" i="1"/>
  <c r="C2138" i="1"/>
  <c r="E2138" i="1"/>
  <c r="F2138" i="1"/>
  <c r="G2138" i="1"/>
  <c r="H2138" i="1"/>
  <c r="I2138" i="1"/>
  <c r="J2138" i="1"/>
  <c r="K2138" i="1"/>
  <c r="M2138" i="1"/>
  <c r="O2138" i="1"/>
  <c r="Q2138" i="1"/>
  <c r="R2138" i="1"/>
  <c r="W2138" i="1"/>
  <c r="AA2138" i="1"/>
  <c r="AB2138" i="1"/>
  <c r="AE2138" i="1"/>
  <c r="AF2138" i="1"/>
  <c r="AM2138" i="1"/>
  <c r="AN2138" i="1"/>
  <c r="AO2138" i="1"/>
  <c r="AQ2138" i="1"/>
  <c r="AX2138" i="1"/>
  <c r="BD2138" i="1"/>
  <c r="B2139" i="1"/>
  <c r="C2139" i="1"/>
  <c r="E2139" i="1"/>
  <c r="F2139" i="1"/>
  <c r="G2139" i="1"/>
  <c r="H2139" i="1"/>
  <c r="I2139" i="1"/>
  <c r="J2139" i="1"/>
  <c r="K2139" i="1"/>
  <c r="M2139" i="1"/>
  <c r="O2139" i="1"/>
  <c r="Q2139" i="1"/>
  <c r="R2139" i="1"/>
  <c r="W2139" i="1"/>
  <c r="AA2139" i="1"/>
  <c r="AM2139" i="1"/>
  <c r="AN2139" i="1"/>
  <c r="AO2139" i="1"/>
  <c r="AP2139" i="1"/>
  <c r="AQ2139" i="1"/>
  <c r="BB2139" i="1"/>
  <c r="BD2139" i="1"/>
  <c r="B2140" i="1"/>
  <c r="C2140" i="1"/>
  <c r="E2140" i="1"/>
  <c r="F2140" i="1"/>
  <c r="G2140" i="1"/>
  <c r="H2140" i="1"/>
  <c r="I2140" i="1"/>
  <c r="J2140" i="1"/>
  <c r="K2140" i="1"/>
  <c r="M2140" i="1"/>
  <c r="O2140" i="1"/>
  <c r="Q2140" i="1"/>
  <c r="R2140" i="1"/>
  <c r="W2140" i="1"/>
  <c r="AA2140" i="1"/>
  <c r="AM2140" i="1"/>
  <c r="AN2140" i="1"/>
  <c r="AO2140" i="1"/>
  <c r="AP2140" i="1"/>
  <c r="AQ2140" i="1"/>
  <c r="BB2140" i="1"/>
  <c r="BD2140" i="1"/>
  <c r="B2141" i="1"/>
  <c r="C2141" i="1"/>
  <c r="D2141" i="1"/>
  <c r="E2141" i="1"/>
  <c r="F2141" i="1"/>
  <c r="G2141" i="1"/>
  <c r="H2141" i="1"/>
  <c r="I2141" i="1"/>
  <c r="J2141" i="1"/>
  <c r="K2141" i="1"/>
  <c r="M2141" i="1"/>
  <c r="O2141" i="1"/>
  <c r="Q2141" i="1"/>
  <c r="R2141" i="1"/>
  <c r="W2141" i="1"/>
  <c r="AA2141" i="1"/>
  <c r="AB2141" i="1"/>
  <c r="AE2141" i="1"/>
  <c r="AF2141" i="1"/>
  <c r="AM2141" i="1"/>
  <c r="AN2141" i="1"/>
  <c r="AO2141" i="1"/>
  <c r="AQ2141" i="1"/>
  <c r="AX2141" i="1"/>
  <c r="BD2141" i="1"/>
  <c r="B2142" i="1"/>
  <c r="C2142" i="1"/>
  <c r="D2142" i="1"/>
  <c r="E2142" i="1"/>
  <c r="F2142" i="1"/>
  <c r="G2142" i="1"/>
  <c r="H2142" i="1"/>
  <c r="I2142" i="1"/>
  <c r="J2142" i="1"/>
  <c r="K2142" i="1"/>
  <c r="M2142" i="1"/>
  <c r="O2142" i="1"/>
  <c r="Q2142" i="1"/>
  <c r="R2142" i="1"/>
  <c r="W2142" i="1"/>
  <c r="AA2142" i="1"/>
  <c r="AB2142" i="1"/>
  <c r="AE2142" i="1"/>
  <c r="AF2142" i="1"/>
  <c r="AM2142" i="1"/>
  <c r="AN2142" i="1"/>
  <c r="AO2142" i="1"/>
  <c r="AQ2142" i="1"/>
  <c r="AX2142" i="1"/>
  <c r="BD2142" i="1"/>
  <c r="B2143" i="1"/>
  <c r="C2143" i="1"/>
  <c r="D2143" i="1"/>
  <c r="E2143" i="1"/>
  <c r="F2143" i="1"/>
  <c r="G2143" i="1"/>
  <c r="H2143" i="1"/>
  <c r="I2143" i="1"/>
  <c r="J2143" i="1"/>
  <c r="K2143" i="1"/>
  <c r="M2143" i="1"/>
  <c r="O2143" i="1"/>
  <c r="Q2143" i="1"/>
  <c r="R2143" i="1"/>
  <c r="W2143" i="1"/>
  <c r="AA2143" i="1"/>
  <c r="AB2143" i="1"/>
  <c r="AE2143" i="1"/>
  <c r="AF2143" i="1"/>
  <c r="AM2143" i="1"/>
  <c r="AN2143" i="1"/>
  <c r="AO2143" i="1"/>
  <c r="AQ2143" i="1"/>
  <c r="AX2143" i="1"/>
  <c r="BD2143" i="1"/>
  <c r="B2144" i="1"/>
  <c r="C2144" i="1"/>
  <c r="D2144" i="1"/>
  <c r="E2144" i="1"/>
  <c r="F2144" i="1"/>
  <c r="G2144" i="1"/>
  <c r="H2144" i="1"/>
  <c r="I2144" i="1"/>
  <c r="J2144" i="1"/>
  <c r="K2144" i="1"/>
  <c r="M2144" i="1"/>
  <c r="O2144" i="1"/>
  <c r="Q2144" i="1"/>
  <c r="R2144" i="1"/>
  <c r="W2144" i="1"/>
  <c r="AA2144" i="1"/>
  <c r="AB2144" i="1"/>
  <c r="AE2144" i="1"/>
  <c r="AF2144" i="1"/>
  <c r="AM2144" i="1"/>
  <c r="AN2144" i="1"/>
  <c r="AO2144" i="1"/>
  <c r="AQ2144" i="1"/>
  <c r="AX2144" i="1"/>
  <c r="BD2144" i="1"/>
  <c r="B2145" i="1"/>
  <c r="C2145" i="1"/>
  <c r="D2145" i="1"/>
  <c r="E2145" i="1"/>
  <c r="F2145" i="1"/>
  <c r="G2145" i="1"/>
  <c r="H2145" i="1"/>
  <c r="I2145" i="1"/>
  <c r="J2145" i="1"/>
  <c r="K2145" i="1"/>
  <c r="M2145" i="1"/>
  <c r="O2145" i="1"/>
  <c r="Q2145" i="1"/>
  <c r="R2145" i="1"/>
  <c r="W2145" i="1"/>
  <c r="AA2145" i="1"/>
  <c r="AB2145" i="1"/>
  <c r="AE2145" i="1"/>
  <c r="AF2145" i="1"/>
  <c r="AM2145" i="1"/>
  <c r="AN2145" i="1"/>
  <c r="AO2145" i="1"/>
  <c r="AQ2145" i="1"/>
  <c r="AX2145" i="1"/>
  <c r="BD2145" i="1"/>
  <c r="B2146" i="1"/>
  <c r="C2146" i="1"/>
  <c r="D2146" i="1"/>
  <c r="E2146" i="1"/>
  <c r="F2146" i="1"/>
  <c r="G2146" i="1"/>
  <c r="H2146" i="1"/>
  <c r="I2146" i="1"/>
  <c r="J2146" i="1"/>
  <c r="K2146" i="1"/>
  <c r="M2146" i="1"/>
  <c r="O2146" i="1"/>
  <c r="Q2146" i="1"/>
  <c r="R2146" i="1"/>
  <c r="W2146" i="1"/>
  <c r="AA2146" i="1"/>
  <c r="AB2146" i="1"/>
  <c r="AE2146" i="1"/>
  <c r="AF2146" i="1"/>
  <c r="AM2146" i="1"/>
  <c r="AN2146" i="1"/>
  <c r="AO2146" i="1"/>
  <c r="AQ2146" i="1"/>
  <c r="AX2146" i="1"/>
  <c r="BD2146" i="1"/>
  <c r="B2147" i="1"/>
  <c r="E2147" i="1"/>
  <c r="F2147" i="1"/>
  <c r="G2147" i="1"/>
  <c r="H2147" i="1"/>
  <c r="I2147" i="1"/>
  <c r="J2147" i="1"/>
  <c r="K2147" i="1"/>
  <c r="M2147" i="1"/>
  <c r="O2147" i="1"/>
  <c r="Q2147" i="1"/>
  <c r="R2147" i="1"/>
  <c r="W2147" i="1"/>
  <c r="AA2147" i="1"/>
  <c r="AB2147" i="1"/>
  <c r="AM2147" i="1"/>
  <c r="AN2147" i="1"/>
  <c r="AO2147" i="1"/>
  <c r="AQ2147" i="1"/>
  <c r="AX2147" i="1"/>
  <c r="BD2147" i="1"/>
  <c r="B2148" i="1"/>
  <c r="C2148" i="1"/>
  <c r="E2148" i="1"/>
  <c r="F2148" i="1"/>
  <c r="G2148" i="1"/>
  <c r="H2148" i="1"/>
  <c r="I2148" i="1"/>
  <c r="J2148" i="1"/>
  <c r="K2148" i="1"/>
  <c r="M2148" i="1"/>
  <c r="O2148" i="1"/>
  <c r="Q2148" i="1"/>
  <c r="R2148" i="1"/>
  <c r="W2148" i="1"/>
  <c r="AA2148" i="1"/>
  <c r="AM2148" i="1"/>
  <c r="AN2148" i="1"/>
  <c r="AO2148" i="1"/>
  <c r="AP2148" i="1"/>
  <c r="AQ2148" i="1"/>
  <c r="BB2148" i="1"/>
  <c r="BD2148" i="1"/>
  <c r="B2149" i="1"/>
  <c r="C2149" i="1"/>
  <c r="E2149" i="1"/>
  <c r="F2149" i="1"/>
  <c r="G2149" i="1"/>
  <c r="H2149" i="1"/>
  <c r="I2149" i="1"/>
  <c r="J2149" i="1"/>
  <c r="K2149" i="1"/>
  <c r="M2149" i="1"/>
  <c r="O2149" i="1"/>
  <c r="Q2149" i="1"/>
  <c r="R2149" i="1"/>
  <c r="W2149" i="1"/>
  <c r="AA2149" i="1"/>
  <c r="AM2149" i="1"/>
  <c r="AN2149" i="1"/>
  <c r="AO2149" i="1"/>
  <c r="AP2149" i="1"/>
  <c r="AQ2149" i="1"/>
  <c r="BD2149" i="1"/>
  <c r="B2150" i="1"/>
  <c r="C2150" i="1"/>
  <c r="E2150" i="1"/>
  <c r="F2150" i="1"/>
  <c r="G2150" i="1"/>
  <c r="H2150" i="1"/>
  <c r="I2150" i="1"/>
  <c r="J2150" i="1"/>
  <c r="K2150" i="1"/>
  <c r="M2150" i="1"/>
  <c r="O2150" i="1"/>
  <c r="Q2150" i="1"/>
  <c r="R2150" i="1"/>
  <c r="W2150" i="1"/>
  <c r="AA2150" i="1"/>
  <c r="AM2150" i="1"/>
  <c r="AN2150" i="1"/>
  <c r="AO2150" i="1"/>
  <c r="AP2150" i="1"/>
  <c r="AQ2150" i="1"/>
  <c r="BD2150" i="1"/>
  <c r="B2151" i="1"/>
  <c r="C2151" i="1"/>
  <c r="E2151" i="1"/>
  <c r="F2151" i="1"/>
  <c r="G2151" i="1"/>
  <c r="H2151" i="1"/>
  <c r="I2151" i="1"/>
  <c r="J2151" i="1"/>
  <c r="K2151" i="1"/>
  <c r="M2151" i="1"/>
  <c r="O2151" i="1"/>
  <c r="Q2151" i="1"/>
  <c r="R2151" i="1"/>
  <c r="W2151" i="1"/>
  <c r="AA2151" i="1"/>
  <c r="AM2151" i="1"/>
  <c r="AN2151" i="1"/>
  <c r="AO2151" i="1"/>
  <c r="AP2151" i="1"/>
  <c r="AQ2151" i="1"/>
  <c r="BD2151" i="1"/>
  <c r="B2152" i="1"/>
  <c r="C2152" i="1"/>
  <c r="E2152" i="1"/>
  <c r="F2152" i="1"/>
  <c r="G2152" i="1"/>
  <c r="H2152" i="1"/>
  <c r="I2152" i="1"/>
  <c r="J2152" i="1"/>
  <c r="K2152" i="1"/>
  <c r="M2152" i="1"/>
  <c r="O2152" i="1"/>
  <c r="Q2152" i="1"/>
  <c r="R2152" i="1"/>
  <c r="W2152" i="1"/>
  <c r="AA2152" i="1"/>
  <c r="AM2152" i="1"/>
  <c r="AN2152" i="1"/>
  <c r="AO2152" i="1"/>
  <c r="AP2152" i="1"/>
  <c r="AQ2152" i="1"/>
  <c r="BD2152" i="1"/>
  <c r="B2153" i="1"/>
  <c r="C2153" i="1"/>
  <c r="E2153" i="1"/>
  <c r="F2153" i="1"/>
  <c r="G2153" i="1"/>
  <c r="H2153" i="1"/>
  <c r="I2153" i="1"/>
  <c r="J2153" i="1"/>
  <c r="K2153" i="1"/>
  <c r="M2153" i="1"/>
  <c r="O2153" i="1"/>
  <c r="Q2153" i="1"/>
  <c r="R2153" i="1"/>
  <c r="W2153" i="1"/>
  <c r="AA2153" i="1"/>
  <c r="AM2153" i="1"/>
  <c r="AN2153" i="1"/>
  <c r="AO2153" i="1"/>
  <c r="AP2153" i="1"/>
  <c r="AQ2153" i="1"/>
  <c r="BD2153" i="1"/>
  <c r="B2154" i="1"/>
  <c r="C2154" i="1"/>
  <c r="E2154" i="1"/>
  <c r="F2154" i="1"/>
  <c r="G2154" i="1"/>
  <c r="H2154" i="1"/>
  <c r="I2154" i="1"/>
  <c r="J2154" i="1"/>
  <c r="K2154" i="1"/>
  <c r="M2154" i="1"/>
  <c r="O2154" i="1"/>
  <c r="Q2154" i="1"/>
  <c r="R2154" i="1"/>
  <c r="W2154" i="1"/>
  <c r="AA2154" i="1"/>
  <c r="AM2154" i="1"/>
  <c r="AN2154" i="1"/>
  <c r="AO2154" i="1"/>
  <c r="AP2154" i="1"/>
  <c r="AQ2154" i="1"/>
  <c r="BD2154" i="1"/>
  <c r="B2155" i="1"/>
  <c r="C2155" i="1"/>
  <c r="E2155" i="1"/>
  <c r="F2155" i="1"/>
  <c r="G2155" i="1"/>
  <c r="H2155" i="1"/>
  <c r="I2155" i="1"/>
  <c r="J2155" i="1"/>
  <c r="K2155" i="1"/>
  <c r="M2155" i="1"/>
  <c r="O2155" i="1"/>
  <c r="Q2155" i="1"/>
  <c r="R2155" i="1"/>
  <c r="W2155" i="1"/>
  <c r="AA2155" i="1"/>
  <c r="AM2155" i="1"/>
  <c r="AN2155" i="1"/>
  <c r="AO2155" i="1"/>
  <c r="AP2155" i="1"/>
  <c r="AQ2155" i="1"/>
  <c r="BD2155" i="1"/>
  <c r="B2156" i="1"/>
  <c r="C2156" i="1"/>
  <c r="E2156" i="1"/>
  <c r="F2156" i="1"/>
  <c r="G2156" i="1"/>
  <c r="H2156" i="1"/>
  <c r="I2156" i="1"/>
  <c r="J2156" i="1"/>
  <c r="K2156" i="1"/>
  <c r="M2156" i="1"/>
  <c r="O2156" i="1"/>
  <c r="Q2156" i="1"/>
  <c r="R2156" i="1"/>
  <c r="W2156" i="1"/>
  <c r="AA2156" i="1"/>
  <c r="AM2156" i="1"/>
  <c r="AN2156" i="1"/>
  <c r="AO2156" i="1"/>
  <c r="AP2156" i="1"/>
  <c r="AQ2156" i="1"/>
  <c r="BD2156" i="1"/>
  <c r="B2157" i="1"/>
  <c r="C2157" i="1"/>
  <c r="E2157" i="1"/>
  <c r="F2157" i="1"/>
  <c r="G2157" i="1"/>
  <c r="H2157" i="1"/>
  <c r="I2157" i="1"/>
  <c r="J2157" i="1"/>
  <c r="K2157" i="1"/>
  <c r="M2157" i="1"/>
  <c r="O2157" i="1"/>
  <c r="Q2157" i="1"/>
  <c r="R2157" i="1"/>
  <c r="W2157" i="1"/>
  <c r="AA2157" i="1"/>
  <c r="AM2157" i="1"/>
  <c r="AN2157" i="1"/>
  <c r="AO2157" i="1"/>
  <c r="AP2157" i="1"/>
  <c r="AQ2157" i="1"/>
  <c r="BD2157" i="1"/>
  <c r="B2158" i="1"/>
  <c r="C2158" i="1"/>
  <c r="E2158" i="1"/>
  <c r="F2158" i="1"/>
  <c r="G2158" i="1"/>
  <c r="H2158" i="1"/>
  <c r="I2158" i="1"/>
  <c r="J2158" i="1"/>
  <c r="K2158" i="1"/>
  <c r="M2158" i="1"/>
  <c r="O2158" i="1"/>
  <c r="Q2158" i="1"/>
  <c r="R2158" i="1"/>
  <c r="W2158" i="1"/>
  <c r="AA2158" i="1"/>
  <c r="AM2158" i="1"/>
  <c r="AN2158" i="1"/>
  <c r="AO2158" i="1"/>
  <c r="AP2158" i="1"/>
  <c r="AQ2158" i="1"/>
  <c r="BD2158" i="1"/>
  <c r="B2159" i="1"/>
  <c r="C2159" i="1"/>
  <c r="E2159" i="1"/>
  <c r="F2159" i="1"/>
  <c r="G2159" i="1"/>
  <c r="H2159" i="1"/>
  <c r="I2159" i="1"/>
  <c r="J2159" i="1"/>
  <c r="K2159" i="1"/>
  <c r="M2159" i="1"/>
  <c r="O2159" i="1"/>
  <c r="Q2159" i="1"/>
  <c r="R2159" i="1"/>
  <c r="W2159" i="1"/>
  <c r="AA2159" i="1"/>
  <c r="AM2159" i="1"/>
  <c r="AN2159" i="1"/>
  <c r="AO2159" i="1"/>
  <c r="AP2159" i="1"/>
  <c r="AQ2159" i="1"/>
  <c r="BD2159" i="1"/>
  <c r="B2160" i="1"/>
  <c r="C2160" i="1"/>
  <c r="E2160" i="1"/>
  <c r="F2160" i="1"/>
  <c r="G2160" i="1"/>
  <c r="H2160" i="1"/>
  <c r="I2160" i="1"/>
  <c r="J2160" i="1"/>
  <c r="K2160" i="1"/>
  <c r="M2160" i="1"/>
  <c r="O2160" i="1"/>
  <c r="Q2160" i="1"/>
  <c r="R2160" i="1"/>
  <c r="W2160" i="1"/>
  <c r="AA2160" i="1"/>
  <c r="AM2160" i="1"/>
  <c r="AN2160" i="1"/>
  <c r="AO2160" i="1"/>
  <c r="AP2160" i="1"/>
  <c r="AQ2160" i="1"/>
  <c r="BD2160" i="1"/>
  <c r="B2161" i="1"/>
  <c r="C2161" i="1"/>
  <c r="E2161" i="1"/>
  <c r="F2161" i="1"/>
  <c r="G2161" i="1"/>
  <c r="H2161" i="1"/>
  <c r="I2161" i="1"/>
  <c r="J2161" i="1"/>
  <c r="K2161" i="1"/>
  <c r="M2161" i="1"/>
  <c r="O2161" i="1"/>
  <c r="Q2161" i="1"/>
  <c r="R2161" i="1"/>
  <c r="W2161" i="1"/>
  <c r="AA2161" i="1"/>
  <c r="AM2161" i="1"/>
  <c r="AN2161" i="1"/>
  <c r="AO2161" i="1"/>
  <c r="AP2161" i="1"/>
  <c r="AQ2161" i="1"/>
  <c r="BD2161" i="1"/>
  <c r="B2162" i="1"/>
  <c r="C2162" i="1"/>
  <c r="E2162" i="1"/>
  <c r="F2162" i="1"/>
  <c r="G2162" i="1"/>
  <c r="H2162" i="1"/>
  <c r="I2162" i="1"/>
  <c r="J2162" i="1"/>
  <c r="K2162" i="1"/>
  <c r="M2162" i="1"/>
  <c r="O2162" i="1"/>
  <c r="Q2162" i="1"/>
  <c r="R2162" i="1"/>
  <c r="W2162" i="1"/>
  <c r="AA2162" i="1"/>
  <c r="AM2162" i="1"/>
  <c r="AN2162" i="1"/>
  <c r="AO2162" i="1"/>
  <c r="AP2162" i="1"/>
  <c r="AQ2162" i="1"/>
  <c r="BD2162" i="1"/>
  <c r="B2163" i="1"/>
  <c r="C2163" i="1"/>
  <c r="E2163" i="1"/>
  <c r="F2163" i="1"/>
  <c r="G2163" i="1"/>
  <c r="H2163" i="1"/>
  <c r="I2163" i="1"/>
  <c r="J2163" i="1"/>
  <c r="K2163" i="1"/>
  <c r="M2163" i="1"/>
  <c r="O2163" i="1"/>
  <c r="Q2163" i="1"/>
  <c r="R2163" i="1"/>
  <c r="W2163" i="1"/>
  <c r="AA2163" i="1"/>
  <c r="AM2163" i="1"/>
  <c r="AN2163" i="1"/>
  <c r="AO2163" i="1"/>
  <c r="AP2163" i="1"/>
  <c r="AQ2163" i="1"/>
  <c r="BD2163" i="1"/>
  <c r="B2164" i="1"/>
  <c r="C2164" i="1"/>
  <c r="E2164" i="1"/>
  <c r="F2164" i="1"/>
  <c r="G2164" i="1"/>
  <c r="H2164" i="1"/>
  <c r="I2164" i="1"/>
  <c r="J2164" i="1"/>
  <c r="K2164" i="1"/>
  <c r="M2164" i="1"/>
  <c r="O2164" i="1"/>
  <c r="Q2164" i="1"/>
  <c r="R2164" i="1"/>
  <c r="W2164" i="1"/>
  <c r="AA2164" i="1"/>
  <c r="AM2164" i="1"/>
  <c r="AN2164" i="1"/>
  <c r="AO2164" i="1"/>
  <c r="AP2164" i="1"/>
  <c r="AQ2164" i="1"/>
  <c r="BD2164" i="1"/>
  <c r="B2165" i="1"/>
  <c r="C2165" i="1"/>
  <c r="E2165" i="1"/>
  <c r="F2165" i="1"/>
  <c r="G2165" i="1"/>
  <c r="H2165" i="1"/>
  <c r="I2165" i="1"/>
  <c r="J2165" i="1"/>
  <c r="K2165" i="1"/>
  <c r="M2165" i="1"/>
  <c r="O2165" i="1"/>
  <c r="Q2165" i="1"/>
  <c r="R2165" i="1"/>
  <c r="W2165" i="1"/>
  <c r="AA2165" i="1"/>
  <c r="AM2165" i="1"/>
  <c r="AN2165" i="1"/>
  <c r="AO2165" i="1"/>
  <c r="AP2165" i="1"/>
  <c r="AQ2165" i="1"/>
  <c r="BD2165" i="1"/>
  <c r="B2166" i="1"/>
  <c r="C2166" i="1"/>
  <c r="E2166" i="1"/>
  <c r="F2166" i="1"/>
  <c r="G2166" i="1"/>
  <c r="H2166" i="1"/>
  <c r="I2166" i="1"/>
  <c r="J2166" i="1"/>
  <c r="K2166" i="1"/>
  <c r="M2166" i="1"/>
  <c r="O2166" i="1"/>
  <c r="Q2166" i="1"/>
  <c r="R2166" i="1"/>
  <c r="W2166" i="1"/>
  <c r="AA2166" i="1"/>
  <c r="AM2166" i="1"/>
  <c r="AN2166" i="1"/>
  <c r="AO2166" i="1"/>
  <c r="AP2166" i="1"/>
  <c r="AQ2166" i="1"/>
  <c r="BD2166" i="1"/>
  <c r="B2167" i="1"/>
  <c r="C2167" i="1"/>
  <c r="E2167" i="1"/>
  <c r="F2167" i="1"/>
  <c r="G2167" i="1"/>
  <c r="H2167" i="1"/>
  <c r="I2167" i="1"/>
  <c r="J2167" i="1"/>
  <c r="K2167" i="1"/>
  <c r="M2167" i="1"/>
  <c r="O2167" i="1"/>
  <c r="Q2167" i="1"/>
  <c r="R2167" i="1"/>
  <c r="W2167" i="1"/>
  <c r="AA2167" i="1"/>
  <c r="AM2167" i="1"/>
  <c r="AN2167" i="1"/>
  <c r="AO2167" i="1"/>
  <c r="AP2167" i="1"/>
  <c r="AQ2167" i="1"/>
  <c r="BD2167" i="1"/>
  <c r="B2168" i="1"/>
  <c r="C2168" i="1"/>
  <c r="E2168" i="1"/>
  <c r="F2168" i="1"/>
  <c r="G2168" i="1"/>
  <c r="H2168" i="1"/>
  <c r="I2168" i="1"/>
  <c r="J2168" i="1"/>
  <c r="K2168" i="1"/>
  <c r="M2168" i="1"/>
  <c r="O2168" i="1"/>
  <c r="Q2168" i="1"/>
  <c r="R2168" i="1"/>
  <c r="W2168" i="1"/>
  <c r="AA2168" i="1"/>
  <c r="AM2168" i="1"/>
  <c r="AN2168" i="1"/>
  <c r="AO2168" i="1"/>
  <c r="AP2168" i="1"/>
  <c r="AQ2168" i="1"/>
  <c r="BD2168" i="1"/>
  <c r="B2169" i="1"/>
  <c r="C2169" i="1"/>
  <c r="E2169" i="1"/>
  <c r="F2169" i="1"/>
  <c r="G2169" i="1"/>
  <c r="H2169" i="1"/>
  <c r="I2169" i="1"/>
  <c r="J2169" i="1"/>
  <c r="K2169" i="1"/>
  <c r="M2169" i="1"/>
  <c r="O2169" i="1"/>
  <c r="Q2169" i="1"/>
  <c r="R2169" i="1"/>
  <c r="W2169" i="1"/>
  <c r="AA2169" i="1"/>
  <c r="AM2169" i="1"/>
  <c r="AN2169" i="1"/>
  <c r="AO2169" i="1"/>
  <c r="AP2169" i="1"/>
  <c r="AQ2169" i="1"/>
  <c r="BD2169" i="1"/>
  <c r="B2170" i="1"/>
  <c r="C2170" i="1"/>
  <c r="E2170" i="1"/>
  <c r="F2170" i="1"/>
  <c r="G2170" i="1"/>
  <c r="H2170" i="1"/>
  <c r="I2170" i="1"/>
  <c r="J2170" i="1"/>
  <c r="K2170" i="1"/>
  <c r="M2170" i="1"/>
  <c r="O2170" i="1"/>
  <c r="Q2170" i="1"/>
  <c r="R2170" i="1"/>
  <c r="W2170" i="1"/>
  <c r="AA2170" i="1"/>
  <c r="AM2170" i="1"/>
  <c r="AN2170" i="1"/>
  <c r="AO2170" i="1"/>
  <c r="AP2170" i="1"/>
  <c r="AQ2170" i="1"/>
  <c r="BD2170" i="1"/>
  <c r="B2171" i="1"/>
  <c r="C2171" i="1"/>
  <c r="E2171" i="1"/>
  <c r="F2171" i="1"/>
  <c r="G2171" i="1"/>
  <c r="H2171" i="1"/>
  <c r="I2171" i="1"/>
  <c r="J2171" i="1"/>
  <c r="K2171" i="1"/>
  <c r="M2171" i="1"/>
  <c r="O2171" i="1"/>
  <c r="Q2171" i="1"/>
  <c r="R2171" i="1"/>
  <c r="W2171" i="1"/>
  <c r="AA2171" i="1"/>
  <c r="AM2171" i="1"/>
  <c r="AN2171" i="1"/>
  <c r="AO2171" i="1"/>
  <c r="AP2171" i="1"/>
  <c r="AQ2171" i="1"/>
  <c r="BD2171" i="1"/>
  <c r="B2172" i="1"/>
  <c r="C2172" i="1"/>
  <c r="E2172" i="1"/>
  <c r="F2172" i="1"/>
  <c r="G2172" i="1"/>
  <c r="H2172" i="1"/>
  <c r="I2172" i="1"/>
  <c r="J2172" i="1"/>
  <c r="K2172" i="1"/>
  <c r="M2172" i="1"/>
  <c r="O2172" i="1"/>
  <c r="Q2172" i="1"/>
  <c r="R2172" i="1"/>
  <c r="W2172" i="1"/>
  <c r="AA2172" i="1"/>
  <c r="AM2172" i="1"/>
  <c r="AN2172" i="1"/>
  <c r="AO2172" i="1"/>
  <c r="AP2172" i="1"/>
  <c r="AQ2172" i="1"/>
  <c r="BD2172" i="1"/>
  <c r="B2173" i="1"/>
  <c r="C2173" i="1"/>
  <c r="E2173" i="1"/>
  <c r="F2173" i="1"/>
  <c r="G2173" i="1"/>
  <c r="H2173" i="1"/>
  <c r="I2173" i="1"/>
  <c r="J2173" i="1"/>
  <c r="K2173" i="1"/>
  <c r="M2173" i="1"/>
  <c r="O2173" i="1"/>
  <c r="Q2173" i="1"/>
  <c r="R2173" i="1"/>
  <c r="W2173" i="1"/>
  <c r="AA2173" i="1"/>
  <c r="AM2173" i="1"/>
  <c r="AN2173" i="1"/>
  <c r="AO2173" i="1"/>
  <c r="AP2173" i="1"/>
  <c r="AQ2173" i="1"/>
  <c r="BD2173" i="1"/>
  <c r="B2174" i="1"/>
  <c r="C2174" i="1"/>
  <c r="E2174" i="1"/>
  <c r="F2174" i="1"/>
  <c r="G2174" i="1"/>
  <c r="H2174" i="1"/>
  <c r="I2174" i="1"/>
  <c r="J2174" i="1"/>
  <c r="K2174" i="1"/>
  <c r="M2174" i="1"/>
  <c r="O2174" i="1"/>
  <c r="Q2174" i="1"/>
  <c r="R2174" i="1"/>
  <c r="W2174" i="1"/>
  <c r="AA2174" i="1"/>
  <c r="AM2174" i="1"/>
  <c r="AN2174" i="1"/>
  <c r="AO2174" i="1"/>
  <c r="AP2174" i="1"/>
  <c r="AQ2174" i="1"/>
  <c r="BD2174" i="1"/>
  <c r="B2175" i="1"/>
  <c r="C2175" i="1"/>
  <c r="E2175" i="1"/>
  <c r="F2175" i="1"/>
  <c r="G2175" i="1"/>
  <c r="H2175" i="1"/>
  <c r="I2175" i="1"/>
  <c r="J2175" i="1"/>
  <c r="K2175" i="1"/>
  <c r="M2175" i="1"/>
  <c r="O2175" i="1"/>
  <c r="Q2175" i="1"/>
  <c r="R2175" i="1"/>
  <c r="W2175" i="1"/>
  <c r="AA2175" i="1"/>
  <c r="AM2175" i="1"/>
  <c r="AN2175" i="1"/>
  <c r="AO2175" i="1"/>
  <c r="AP2175" i="1"/>
  <c r="AQ2175" i="1"/>
  <c r="BD2175" i="1"/>
  <c r="B2176" i="1"/>
  <c r="C2176" i="1"/>
  <c r="E2176" i="1"/>
  <c r="F2176" i="1"/>
  <c r="G2176" i="1"/>
  <c r="H2176" i="1"/>
  <c r="I2176" i="1"/>
  <c r="J2176" i="1"/>
  <c r="K2176" i="1"/>
  <c r="M2176" i="1"/>
  <c r="O2176" i="1"/>
  <c r="Q2176" i="1"/>
  <c r="R2176" i="1"/>
  <c r="W2176" i="1"/>
  <c r="AA2176" i="1"/>
  <c r="AM2176" i="1"/>
  <c r="AN2176" i="1"/>
  <c r="AO2176" i="1"/>
  <c r="AP2176" i="1"/>
  <c r="AQ2176" i="1"/>
  <c r="BD2176" i="1"/>
  <c r="B2177" i="1"/>
  <c r="C2177" i="1"/>
  <c r="E2177" i="1"/>
  <c r="F2177" i="1"/>
  <c r="G2177" i="1"/>
  <c r="H2177" i="1"/>
  <c r="I2177" i="1"/>
  <c r="J2177" i="1"/>
  <c r="K2177" i="1"/>
  <c r="M2177" i="1"/>
  <c r="O2177" i="1"/>
  <c r="Q2177" i="1"/>
  <c r="R2177" i="1"/>
  <c r="W2177" i="1"/>
  <c r="AA2177" i="1"/>
  <c r="AM2177" i="1"/>
  <c r="AN2177" i="1"/>
  <c r="AO2177" i="1"/>
  <c r="AP2177" i="1"/>
  <c r="AQ2177" i="1"/>
  <c r="BD2177" i="1"/>
  <c r="B2178" i="1"/>
  <c r="C2178" i="1"/>
  <c r="E2178" i="1"/>
  <c r="F2178" i="1"/>
  <c r="G2178" i="1"/>
  <c r="H2178" i="1"/>
  <c r="I2178" i="1"/>
  <c r="J2178" i="1"/>
  <c r="K2178" i="1"/>
  <c r="M2178" i="1"/>
  <c r="O2178" i="1"/>
  <c r="Q2178" i="1"/>
  <c r="R2178" i="1"/>
  <c r="W2178" i="1"/>
  <c r="AA2178" i="1"/>
  <c r="AM2178" i="1"/>
  <c r="AN2178" i="1"/>
  <c r="AO2178" i="1"/>
  <c r="AP2178" i="1"/>
  <c r="AQ2178" i="1"/>
  <c r="BD2178" i="1"/>
  <c r="B2179" i="1"/>
  <c r="C2179" i="1"/>
  <c r="E2179" i="1"/>
  <c r="F2179" i="1"/>
  <c r="G2179" i="1"/>
  <c r="H2179" i="1"/>
  <c r="I2179" i="1"/>
  <c r="J2179" i="1"/>
  <c r="K2179" i="1"/>
  <c r="M2179" i="1"/>
  <c r="O2179" i="1"/>
  <c r="Q2179" i="1"/>
  <c r="R2179" i="1"/>
  <c r="W2179" i="1"/>
  <c r="AA2179" i="1"/>
  <c r="AM2179" i="1"/>
  <c r="AN2179" i="1"/>
  <c r="AO2179" i="1"/>
  <c r="AP2179" i="1"/>
  <c r="AQ2179" i="1"/>
  <c r="BB2179" i="1"/>
  <c r="BD2179" i="1"/>
  <c r="B2180" i="1"/>
  <c r="C2180" i="1"/>
  <c r="E2180" i="1"/>
  <c r="F2180" i="1"/>
  <c r="G2180" i="1"/>
  <c r="H2180" i="1"/>
  <c r="I2180" i="1"/>
  <c r="J2180" i="1"/>
  <c r="K2180" i="1"/>
  <c r="M2180" i="1"/>
  <c r="O2180" i="1"/>
  <c r="Q2180" i="1"/>
  <c r="R2180" i="1"/>
  <c r="W2180" i="1"/>
  <c r="AA2180" i="1"/>
  <c r="AM2180" i="1"/>
  <c r="AN2180" i="1"/>
  <c r="AO2180" i="1"/>
  <c r="AP2180" i="1"/>
  <c r="AQ2180" i="1"/>
  <c r="BD2180" i="1"/>
  <c r="B2181" i="1"/>
  <c r="C2181" i="1"/>
  <c r="E2181" i="1"/>
  <c r="F2181" i="1"/>
  <c r="G2181" i="1"/>
  <c r="H2181" i="1"/>
  <c r="I2181" i="1"/>
  <c r="J2181" i="1"/>
  <c r="K2181" i="1"/>
  <c r="M2181" i="1"/>
  <c r="O2181" i="1"/>
  <c r="Q2181" i="1"/>
  <c r="R2181" i="1"/>
  <c r="W2181" i="1"/>
  <c r="AA2181" i="1"/>
  <c r="AM2181" i="1"/>
  <c r="AN2181" i="1"/>
  <c r="AO2181" i="1"/>
  <c r="AP2181" i="1"/>
  <c r="AQ2181" i="1"/>
  <c r="BD2181" i="1"/>
  <c r="B2182" i="1"/>
  <c r="C2182" i="1"/>
  <c r="E2182" i="1"/>
  <c r="F2182" i="1"/>
  <c r="G2182" i="1"/>
  <c r="H2182" i="1"/>
  <c r="I2182" i="1"/>
  <c r="J2182" i="1"/>
  <c r="K2182" i="1"/>
  <c r="M2182" i="1"/>
  <c r="O2182" i="1"/>
  <c r="Q2182" i="1"/>
  <c r="R2182" i="1"/>
  <c r="W2182" i="1"/>
  <c r="AA2182" i="1"/>
  <c r="AM2182" i="1"/>
  <c r="AN2182" i="1"/>
  <c r="AO2182" i="1"/>
  <c r="AP2182" i="1"/>
  <c r="AQ2182" i="1"/>
  <c r="BD2182" i="1"/>
  <c r="B2183" i="1"/>
  <c r="C2183" i="1"/>
  <c r="E2183" i="1"/>
  <c r="F2183" i="1"/>
  <c r="G2183" i="1"/>
  <c r="H2183" i="1"/>
  <c r="I2183" i="1"/>
  <c r="J2183" i="1"/>
  <c r="K2183" i="1"/>
  <c r="M2183" i="1"/>
  <c r="O2183" i="1"/>
  <c r="Q2183" i="1"/>
  <c r="R2183" i="1"/>
  <c r="W2183" i="1"/>
  <c r="AA2183" i="1"/>
  <c r="AM2183" i="1"/>
  <c r="AN2183" i="1"/>
  <c r="AO2183" i="1"/>
  <c r="AP2183" i="1"/>
  <c r="AQ2183" i="1"/>
  <c r="BD2183" i="1"/>
  <c r="B2184" i="1"/>
  <c r="C2184" i="1"/>
  <c r="E2184" i="1"/>
  <c r="F2184" i="1"/>
  <c r="G2184" i="1"/>
  <c r="H2184" i="1"/>
  <c r="I2184" i="1"/>
  <c r="J2184" i="1"/>
  <c r="K2184" i="1"/>
  <c r="M2184" i="1"/>
  <c r="O2184" i="1"/>
  <c r="Q2184" i="1"/>
  <c r="R2184" i="1"/>
  <c r="W2184" i="1"/>
  <c r="AA2184" i="1"/>
  <c r="AM2184" i="1"/>
  <c r="AN2184" i="1"/>
  <c r="AO2184" i="1"/>
  <c r="AP2184" i="1"/>
  <c r="AQ2184" i="1"/>
  <c r="BD2184" i="1"/>
  <c r="B2185" i="1"/>
  <c r="C2185" i="1"/>
  <c r="E2185" i="1"/>
  <c r="F2185" i="1"/>
  <c r="G2185" i="1"/>
  <c r="H2185" i="1"/>
  <c r="I2185" i="1"/>
  <c r="J2185" i="1"/>
  <c r="K2185" i="1"/>
  <c r="M2185" i="1"/>
  <c r="O2185" i="1"/>
  <c r="Q2185" i="1"/>
  <c r="R2185" i="1"/>
  <c r="W2185" i="1"/>
  <c r="AA2185" i="1"/>
  <c r="AM2185" i="1"/>
  <c r="AN2185" i="1"/>
  <c r="AO2185" i="1"/>
  <c r="AP2185" i="1"/>
  <c r="AQ2185" i="1"/>
  <c r="BD2185" i="1"/>
  <c r="B2186" i="1"/>
  <c r="C2186" i="1"/>
  <c r="E2186" i="1"/>
  <c r="F2186" i="1"/>
  <c r="G2186" i="1"/>
  <c r="H2186" i="1"/>
  <c r="I2186" i="1"/>
  <c r="J2186" i="1"/>
  <c r="K2186" i="1"/>
  <c r="M2186" i="1"/>
  <c r="O2186" i="1"/>
  <c r="Q2186" i="1"/>
  <c r="R2186" i="1"/>
  <c r="W2186" i="1"/>
  <c r="AA2186" i="1"/>
  <c r="AM2186" i="1"/>
  <c r="AN2186" i="1"/>
  <c r="AO2186" i="1"/>
  <c r="AP2186" i="1"/>
  <c r="AQ2186" i="1"/>
  <c r="BD2186" i="1"/>
  <c r="B2187" i="1"/>
  <c r="C2187" i="1"/>
  <c r="E2187" i="1"/>
  <c r="F2187" i="1"/>
  <c r="G2187" i="1"/>
  <c r="H2187" i="1"/>
  <c r="I2187" i="1"/>
  <c r="J2187" i="1"/>
  <c r="K2187" i="1"/>
  <c r="M2187" i="1"/>
  <c r="O2187" i="1"/>
  <c r="Q2187" i="1"/>
  <c r="R2187" i="1"/>
  <c r="W2187" i="1"/>
  <c r="AA2187" i="1"/>
  <c r="AM2187" i="1"/>
  <c r="AN2187" i="1"/>
  <c r="AO2187" i="1"/>
  <c r="AP2187" i="1"/>
  <c r="AQ2187" i="1"/>
  <c r="BD2187" i="1"/>
  <c r="B2188" i="1"/>
  <c r="C2188" i="1"/>
  <c r="E2188" i="1"/>
  <c r="F2188" i="1"/>
  <c r="G2188" i="1"/>
  <c r="H2188" i="1"/>
  <c r="I2188" i="1"/>
  <c r="J2188" i="1"/>
  <c r="K2188" i="1"/>
  <c r="M2188" i="1"/>
  <c r="O2188" i="1"/>
  <c r="Q2188" i="1"/>
  <c r="R2188" i="1"/>
  <c r="W2188" i="1"/>
  <c r="AA2188" i="1"/>
  <c r="AM2188" i="1"/>
  <c r="AN2188" i="1"/>
  <c r="AO2188" i="1"/>
  <c r="AP2188" i="1"/>
  <c r="AQ2188" i="1"/>
  <c r="BD2188" i="1"/>
  <c r="B2189" i="1"/>
  <c r="C2189" i="1"/>
  <c r="E2189" i="1"/>
  <c r="F2189" i="1"/>
  <c r="G2189" i="1"/>
  <c r="H2189" i="1"/>
  <c r="I2189" i="1"/>
  <c r="J2189" i="1"/>
  <c r="K2189" i="1"/>
  <c r="M2189" i="1"/>
  <c r="O2189" i="1"/>
  <c r="Q2189" i="1"/>
  <c r="R2189" i="1"/>
  <c r="W2189" i="1"/>
  <c r="AA2189" i="1"/>
  <c r="AM2189" i="1"/>
  <c r="AN2189" i="1"/>
  <c r="AO2189" i="1"/>
  <c r="AP2189" i="1"/>
  <c r="AQ2189" i="1"/>
  <c r="BD2189" i="1"/>
  <c r="B2190" i="1"/>
  <c r="C2190" i="1"/>
  <c r="E2190" i="1"/>
  <c r="F2190" i="1"/>
  <c r="G2190" i="1"/>
  <c r="H2190" i="1"/>
  <c r="I2190" i="1"/>
  <c r="J2190" i="1"/>
  <c r="K2190" i="1"/>
  <c r="M2190" i="1"/>
  <c r="O2190" i="1"/>
  <c r="Q2190" i="1"/>
  <c r="R2190" i="1"/>
  <c r="W2190" i="1"/>
  <c r="AA2190" i="1"/>
  <c r="AM2190" i="1"/>
  <c r="AN2190" i="1"/>
  <c r="AO2190" i="1"/>
  <c r="AP2190" i="1"/>
  <c r="AQ2190" i="1"/>
  <c r="BD2190" i="1"/>
  <c r="B2191" i="1"/>
  <c r="C2191" i="1"/>
  <c r="E2191" i="1"/>
  <c r="F2191" i="1"/>
  <c r="G2191" i="1"/>
  <c r="H2191" i="1"/>
  <c r="I2191" i="1"/>
  <c r="J2191" i="1"/>
  <c r="K2191" i="1"/>
  <c r="M2191" i="1"/>
  <c r="O2191" i="1"/>
  <c r="Q2191" i="1"/>
  <c r="R2191" i="1"/>
  <c r="W2191" i="1"/>
  <c r="AA2191" i="1"/>
  <c r="AM2191" i="1"/>
  <c r="AN2191" i="1"/>
  <c r="AO2191" i="1"/>
  <c r="AP2191" i="1"/>
  <c r="AQ2191" i="1"/>
  <c r="BD2191" i="1"/>
  <c r="B2192" i="1"/>
  <c r="C2192" i="1"/>
  <c r="E2192" i="1"/>
  <c r="F2192" i="1"/>
  <c r="G2192" i="1"/>
  <c r="H2192" i="1"/>
  <c r="I2192" i="1"/>
  <c r="J2192" i="1"/>
  <c r="K2192" i="1"/>
  <c r="M2192" i="1"/>
  <c r="O2192" i="1"/>
  <c r="Q2192" i="1"/>
  <c r="R2192" i="1"/>
  <c r="W2192" i="1"/>
  <c r="AA2192" i="1"/>
  <c r="AM2192" i="1"/>
  <c r="AN2192" i="1"/>
  <c r="AO2192" i="1"/>
  <c r="AP2192" i="1"/>
  <c r="AQ2192" i="1"/>
  <c r="BD2192" i="1"/>
  <c r="B2193" i="1"/>
  <c r="C2193" i="1"/>
  <c r="E2193" i="1"/>
  <c r="F2193" i="1"/>
  <c r="G2193" i="1"/>
  <c r="H2193" i="1"/>
  <c r="I2193" i="1"/>
  <c r="J2193" i="1"/>
  <c r="K2193" i="1"/>
  <c r="M2193" i="1"/>
  <c r="O2193" i="1"/>
  <c r="Q2193" i="1"/>
  <c r="R2193" i="1"/>
  <c r="W2193" i="1"/>
  <c r="AA2193" i="1"/>
  <c r="AM2193" i="1"/>
  <c r="AN2193" i="1"/>
  <c r="AO2193" i="1"/>
  <c r="AP2193" i="1"/>
  <c r="AQ2193" i="1"/>
  <c r="BD2193" i="1"/>
  <c r="B2194" i="1"/>
  <c r="C2194" i="1"/>
  <c r="E2194" i="1"/>
  <c r="F2194" i="1"/>
  <c r="G2194" i="1"/>
  <c r="H2194" i="1"/>
  <c r="I2194" i="1"/>
  <c r="J2194" i="1"/>
  <c r="K2194" i="1"/>
  <c r="M2194" i="1"/>
  <c r="O2194" i="1"/>
  <c r="Q2194" i="1"/>
  <c r="R2194" i="1"/>
  <c r="W2194" i="1"/>
  <c r="AA2194" i="1"/>
  <c r="AM2194" i="1"/>
  <c r="AN2194" i="1"/>
  <c r="AO2194" i="1"/>
  <c r="AP2194" i="1"/>
  <c r="AQ2194" i="1"/>
  <c r="BD2194" i="1"/>
  <c r="B2195" i="1"/>
  <c r="C2195" i="1"/>
  <c r="E2195" i="1"/>
  <c r="F2195" i="1"/>
  <c r="G2195" i="1"/>
  <c r="H2195" i="1"/>
  <c r="I2195" i="1"/>
  <c r="J2195" i="1"/>
  <c r="K2195" i="1"/>
  <c r="M2195" i="1"/>
  <c r="O2195" i="1"/>
  <c r="Q2195" i="1"/>
  <c r="R2195" i="1"/>
  <c r="W2195" i="1"/>
  <c r="AA2195" i="1"/>
  <c r="AM2195" i="1"/>
  <c r="AN2195" i="1"/>
  <c r="AO2195" i="1"/>
  <c r="AP2195" i="1"/>
  <c r="AQ2195" i="1"/>
  <c r="BD2195" i="1"/>
  <c r="B2196" i="1"/>
  <c r="C2196" i="1"/>
  <c r="E2196" i="1"/>
  <c r="F2196" i="1"/>
  <c r="G2196" i="1"/>
  <c r="H2196" i="1"/>
  <c r="I2196" i="1"/>
  <c r="J2196" i="1"/>
  <c r="K2196" i="1"/>
  <c r="M2196" i="1"/>
  <c r="O2196" i="1"/>
  <c r="Q2196" i="1"/>
  <c r="R2196" i="1"/>
  <c r="W2196" i="1"/>
  <c r="AA2196" i="1"/>
  <c r="AM2196" i="1"/>
  <c r="AN2196" i="1"/>
  <c r="AO2196" i="1"/>
  <c r="AP2196" i="1"/>
  <c r="AQ2196" i="1"/>
  <c r="BD2196" i="1"/>
  <c r="B2197" i="1"/>
  <c r="C2197" i="1"/>
  <c r="E2197" i="1"/>
  <c r="F2197" i="1"/>
  <c r="G2197" i="1"/>
  <c r="H2197" i="1"/>
  <c r="I2197" i="1"/>
  <c r="J2197" i="1"/>
  <c r="K2197" i="1"/>
  <c r="M2197" i="1"/>
  <c r="O2197" i="1"/>
  <c r="Q2197" i="1"/>
  <c r="R2197" i="1"/>
  <c r="W2197" i="1"/>
  <c r="AA2197" i="1"/>
  <c r="AM2197" i="1"/>
  <c r="AN2197" i="1"/>
  <c r="AO2197" i="1"/>
  <c r="AP2197" i="1"/>
  <c r="AQ2197" i="1"/>
  <c r="BD2197" i="1"/>
  <c r="B2198" i="1"/>
  <c r="C2198" i="1"/>
  <c r="E2198" i="1"/>
  <c r="F2198" i="1"/>
  <c r="G2198" i="1"/>
  <c r="H2198" i="1"/>
  <c r="I2198" i="1"/>
  <c r="J2198" i="1"/>
  <c r="K2198" i="1"/>
  <c r="M2198" i="1"/>
  <c r="O2198" i="1"/>
  <c r="Q2198" i="1"/>
  <c r="R2198" i="1"/>
  <c r="W2198" i="1"/>
  <c r="AA2198" i="1"/>
  <c r="AM2198" i="1"/>
  <c r="AN2198" i="1"/>
  <c r="AO2198" i="1"/>
  <c r="AP2198" i="1"/>
  <c r="AQ2198" i="1"/>
  <c r="BD2198" i="1"/>
  <c r="B2199" i="1"/>
  <c r="C2199" i="1"/>
  <c r="E2199" i="1"/>
  <c r="F2199" i="1"/>
  <c r="G2199" i="1"/>
  <c r="H2199" i="1"/>
  <c r="I2199" i="1"/>
  <c r="J2199" i="1"/>
  <c r="K2199" i="1"/>
  <c r="M2199" i="1"/>
  <c r="O2199" i="1"/>
  <c r="Q2199" i="1"/>
  <c r="R2199" i="1"/>
  <c r="W2199" i="1"/>
  <c r="AA2199" i="1"/>
  <c r="AM2199" i="1"/>
  <c r="AN2199" i="1"/>
  <c r="AO2199" i="1"/>
  <c r="AP2199" i="1"/>
  <c r="AQ2199" i="1"/>
  <c r="BD2199" i="1"/>
  <c r="B2200" i="1"/>
  <c r="C2200" i="1"/>
  <c r="E2200" i="1"/>
  <c r="F2200" i="1"/>
  <c r="G2200" i="1"/>
  <c r="H2200" i="1"/>
  <c r="I2200" i="1"/>
  <c r="J2200" i="1"/>
  <c r="K2200" i="1"/>
  <c r="M2200" i="1"/>
  <c r="O2200" i="1"/>
  <c r="Q2200" i="1"/>
  <c r="R2200" i="1"/>
  <c r="W2200" i="1"/>
  <c r="AA2200" i="1"/>
  <c r="AM2200" i="1"/>
  <c r="AN2200" i="1"/>
  <c r="AO2200" i="1"/>
  <c r="AP2200" i="1"/>
  <c r="AQ2200" i="1"/>
  <c r="BD2200" i="1"/>
  <c r="B2201" i="1"/>
  <c r="C2201" i="1"/>
  <c r="E2201" i="1"/>
  <c r="F2201" i="1"/>
  <c r="G2201" i="1"/>
  <c r="H2201" i="1"/>
  <c r="I2201" i="1"/>
  <c r="J2201" i="1"/>
  <c r="K2201" i="1"/>
  <c r="M2201" i="1"/>
  <c r="O2201" i="1"/>
  <c r="Q2201" i="1"/>
  <c r="R2201" i="1"/>
  <c r="W2201" i="1"/>
  <c r="AA2201" i="1"/>
  <c r="AM2201" i="1"/>
  <c r="AN2201" i="1"/>
  <c r="AO2201" i="1"/>
  <c r="AP2201" i="1"/>
  <c r="AQ2201" i="1"/>
  <c r="BD2201" i="1"/>
  <c r="B2202" i="1"/>
  <c r="C2202" i="1"/>
  <c r="E2202" i="1"/>
  <c r="F2202" i="1"/>
  <c r="G2202" i="1"/>
  <c r="H2202" i="1"/>
  <c r="I2202" i="1"/>
  <c r="J2202" i="1"/>
  <c r="K2202" i="1"/>
  <c r="M2202" i="1"/>
  <c r="O2202" i="1"/>
  <c r="Q2202" i="1"/>
  <c r="R2202" i="1"/>
  <c r="W2202" i="1"/>
  <c r="AA2202" i="1"/>
  <c r="AM2202" i="1"/>
  <c r="AN2202" i="1"/>
  <c r="AO2202" i="1"/>
  <c r="AP2202" i="1"/>
  <c r="AQ2202" i="1"/>
  <c r="BD2202" i="1"/>
  <c r="B2203" i="1"/>
  <c r="C2203" i="1"/>
  <c r="E2203" i="1"/>
  <c r="F2203" i="1"/>
  <c r="G2203" i="1"/>
  <c r="H2203" i="1"/>
  <c r="I2203" i="1"/>
  <c r="J2203" i="1"/>
  <c r="K2203" i="1"/>
  <c r="M2203" i="1"/>
  <c r="O2203" i="1"/>
  <c r="Q2203" i="1"/>
  <c r="R2203" i="1"/>
  <c r="W2203" i="1"/>
  <c r="AA2203" i="1"/>
  <c r="AM2203" i="1"/>
  <c r="AN2203" i="1"/>
  <c r="AO2203" i="1"/>
  <c r="AP2203" i="1"/>
  <c r="AQ2203" i="1"/>
  <c r="BD2203" i="1"/>
  <c r="B2204" i="1"/>
  <c r="C2204" i="1"/>
  <c r="E2204" i="1"/>
  <c r="F2204" i="1"/>
  <c r="G2204" i="1"/>
  <c r="H2204" i="1"/>
  <c r="I2204" i="1"/>
  <c r="J2204" i="1"/>
  <c r="K2204" i="1"/>
  <c r="M2204" i="1"/>
  <c r="O2204" i="1"/>
  <c r="Q2204" i="1"/>
  <c r="R2204" i="1"/>
  <c r="W2204" i="1"/>
  <c r="AA2204" i="1"/>
  <c r="AM2204" i="1"/>
  <c r="AN2204" i="1"/>
  <c r="AO2204" i="1"/>
  <c r="AP2204" i="1"/>
  <c r="AQ2204" i="1"/>
  <c r="BD2204" i="1"/>
  <c r="B2205" i="1"/>
  <c r="C2205" i="1"/>
  <c r="E2205" i="1"/>
  <c r="F2205" i="1"/>
  <c r="G2205" i="1"/>
  <c r="H2205" i="1"/>
  <c r="I2205" i="1"/>
  <c r="J2205" i="1"/>
  <c r="K2205" i="1"/>
  <c r="M2205" i="1"/>
  <c r="O2205" i="1"/>
  <c r="Q2205" i="1"/>
  <c r="R2205" i="1"/>
  <c r="W2205" i="1"/>
  <c r="AA2205" i="1"/>
  <c r="AM2205" i="1"/>
  <c r="AN2205" i="1"/>
  <c r="AO2205" i="1"/>
  <c r="AP2205" i="1"/>
  <c r="AQ2205" i="1"/>
  <c r="BD2205" i="1"/>
  <c r="B2206" i="1"/>
  <c r="C2206" i="1"/>
  <c r="E2206" i="1"/>
  <c r="F2206" i="1"/>
  <c r="G2206" i="1"/>
  <c r="H2206" i="1"/>
  <c r="I2206" i="1"/>
  <c r="J2206" i="1"/>
  <c r="K2206" i="1"/>
  <c r="M2206" i="1"/>
  <c r="O2206" i="1"/>
  <c r="Q2206" i="1"/>
  <c r="R2206" i="1"/>
  <c r="W2206" i="1"/>
  <c r="AA2206" i="1"/>
  <c r="AM2206" i="1"/>
  <c r="AN2206" i="1"/>
  <c r="AO2206" i="1"/>
  <c r="AP2206" i="1"/>
  <c r="AQ2206" i="1"/>
  <c r="BD2206" i="1"/>
  <c r="B2207" i="1"/>
  <c r="C2207" i="1"/>
  <c r="E2207" i="1"/>
  <c r="F2207" i="1"/>
  <c r="G2207" i="1"/>
  <c r="H2207" i="1"/>
  <c r="I2207" i="1"/>
  <c r="J2207" i="1"/>
  <c r="K2207" i="1"/>
  <c r="M2207" i="1"/>
  <c r="O2207" i="1"/>
  <c r="Q2207" i="1"/>
  <c r="R2207" i="1"/>
  <c r="W2207" i="1"/>
  <c r="AA2207" i="1"/>
  <c r="AM2207" i="1"/>
  <c r="AN2207" i="1"/>
  <c r="AO2207" i="1"/>
  <c r="AP2207" i="1"/>
  <c r="AQ2207" i="1"/>
  <c r="BD2207" i="1"/>
  <c r="B2208" i="1"/>
  <c r="C2208" i="1"/>
  <c r="E2208" i="1"/>
  <c r="F2208" i="1"/>
  <c r="G2208" i="1"/>
  <c r="H2208" i="1"/>
  <c r="I2208" i="1"/>
  <c r="J2208" i="1"/>
  <c r="K2208" i="1"/>
  <c r="M2208" i="1"/>
  <c r="O2208" i="1"/>
  <c r="Q2208" i="1"/>
  <c r="R2208" i="1"/>
  <c r="W2208" i="1"/>
  <c r="AA2208" i="1"/>
  <c r="AM2208" i="1"/>
  <c r="AN2208" i="1"/>
  <c r="AO2208" i="1"/>
  <c r="AP2208" i="1"/>
  <c r="AQ2208" i="1"/>
  <c r="BD2208" i="1"/>
  <c r="B2209" i="1"/>
  <c r="C2209" i="1"/>
  <c r="E2209" i="1"/>
  <c r="F2209" i="1"/>
  <c r="G2209" i="1"/>
  <c r="H2209" i="1"/>
  <c r="I2209" i="1"/>
  <c r="J2209" i="1"/>
  <c r="K2209" i="1"/>
  <c r="M2209" i="1"/>
  <c r="O2209" i="1"/>
  <c r="Q2209" i="1"/>
  <c r="R2209" i="1"/>
  <c r="W2209" i="1"/>
  <c r="AA2209" i="1"/>
  <c r="AM2209" i="1"/>
  <c r="AN2209" i="1"/>
  <c r="AO2209" i="1"/>
  <c r="AP2209" i="1"/>
  <c r="AQ2209" i="1"/>
  <c r="BD2209" i="1"/>
  <c r="B2210" i="1"/>
  <c r="C2210" i="1"/>
  <c r="E2210" i="1"/>
  <c r="F2210" i="1"/>
  <c r="G2210" i="1"/>
  <c r="H2210" i="1"/>
  <c r="I2210" i="1"/>
  <c r="J2210" i="1"/>
  <c r="K2210" i="1"/>
  <c r="M2210" i="1"/>
  <c r="O2210" i="1"/>
  <c r="Q2210" i="1"/>
  <c r="R2210" i="1"/>
  <c r="W2210" i="1"/>
  <c r="AA2210" i="1"/>
  <c r="AM2210" i="1"/>
  <c r="AN2210" i="1"/>
  <c r="AO2210" i="1"/>
  <c r="AP2210" i="1"/>
  <c r="AQ2210" i="1"/>
  <c r="BD2210" i="1"/>
  <c r="B2211" i="1"/>
  <c r="C2211" i="1"/>
  <c r="E2211" i="1"/>
  <c r="F2211" i="1"/>
  <c r="G2211" i="1"/>
  <c r="H2211" i="1"/>
  <c r="I2211" i="1"/>
  <c r="J2211" i="1"/>
  <c r="K2211" i="1"/>
  <c r="M2211" i="1"/>
  <c r="O2211" i="1"/>
  <c r="Q2211" i="1"/>
  <c r="R2211" i="1"/>
  <c r="W2211" i="1"/>
  <c r="AA2211" i="1"/>
  <c r="AM2211" i="1"/>
  <c r="AN2211" i="1"/>
  <c r="AO2211" i="1"/>
  <c r="AP2211" i="1"/>
  <c r="AQ2211" i="1"/>
  <c r="BD2211" i="1"/>
  <c r="B2212" i="1"/>
  <c r="C2212" i="1"/>
  <c r="E2212" i="1"/>
  <c r="F2212" i="1"/>
  <c r="G2212" i="1"/>
  <c r="H2212" i="1"/>
  <c r="I2212" i="1"/>
  <c r="J2212" i="1"/>
  <c r="K2212" i="1"/>
  <c r="M2212" i="1"/>
  <c r="O2212" i="1"/>
  <c r="Q2212" i="1"/>
  <c r="R2212" i="1"/>
  <c r="W2212" i="1"/>
  <c r="AA2212" i="1"/>
  <c r="AM2212" i="1"/>
  <c r="AN2212" i="1"/>
  <c r="AO2212" i="1"/>
  <c r="AP2212" i="1"/>
  <c r="AQ2212" i="1"/>
  <c r="BD2212" i="1"/>
  <c r="B2213" i="1"/>
  <c r="C2213" i="1"/>
  <c r="E2213" i="1"/>
  <c r="F2213" i="1"/>
  <c r="G2213" i="1"/>
  <c r="H2213" i="1"/>
  <c r="I2213" i="1"/>
  <c r="J2213" i="1"/>
  <c r="K2213" i="1"/>
  <c r="M2213" i="1"/>
  <c r="O2213" i="1"/>
  <c r="Q2213" i="1"/>
  <c r="R2213" i="1"/>
  <c r="W2213" i="1"/>
  <c r="AA2213" i="1"/>
  <c r="AM2213" i="1"/>
  <c r="AN2213" i="1"/>
  <c r="AO2213" i="1"/>
  <c r="AP2213" i="1"/>
  <c r="AQ2213" i="1"/>
  <c r="BD2213" i="1"/>
  <c r="B2214" i="1"/>
  <c r="C2214" i="1"/>
  <c r="E2214" i="1"/>
  <c r="F2214" i="1"/>
  <c r="G2214" i="1"/>
  <c r="H2214" i="1"/>
  <c r="I2214" i="1"/>
  <c r="J2214" i="1"/>
  <c r="K2214" i="1"/>
  <c r="M2214" i="1"/>
  <c r="O2214" i="1"/>
  <c r="Q2214" i="1"/>
  <c r="R2214" i="1"/>
  <c r="W2214" i="1"/>
  <c r="AA2214" i="1"/>
  <c r="AM2214" i="1"/>
  <c r="AN2214" i="1"/>
  <c r="AO2214" i="1"/>
  <c r="AP2214" i="1"/>
  <c r="AQ2214" i="1"/>
  <c r="BD2214" i="1"/>
  <c r="B2215" i="1"/>
  <c r="C2215" i="1"/>
  <c r="E2215" i="1"/>
  <c r="F2215" i="1"/>
  <c r="G2215" i="1"/>
  <c r="H2215" i="1"/>
  <c r="I2215" i="1"/>
  <c r="J2215" i="1"/>
  <c r="K2215" i="1"/>
  <c r="M2215" i="1"/>
  <c r="O2215" i="1"/>
  <c r="Q2215" i="1"/>
  <c r="R2215" i="1"/>
  <c r="W2215" i="1"/>
  <c r="AA2215" i="1"/>
  <c r="AM2215" i="1"/>
  <c r="AN2215" i="1"/>
  <c r="AO2215" i="1"/>
  <c r="AP2215" i="1"/>
  <c r="AQ2215" i="1"/>
  <c r="BD2215" i="1"/>
  <c r="B2216" i="1"/>
  <c r="C2216" i="1"/>
  <c r="E2216" i="1"/>
  <c r="F2216" i="1"/>
  <c r="G2216" i="1"/>
  <c r="H2216" i="1"/>
  <c r="I2216" i="1"/>
  <c r="J2216" i="1"/>
  <c r="K2216" i="1"/>
  <c r="M2216" i="1"/>
  <c r="O2216" i="1"/>
  <c r="Q2216" i="1"/>
  <c r="R2216" i="1"/>
  <c r="W2216" i="1"/>
  <c r="AA2216" i="1"/>
  <c r="AM2216" i="1"/>
  <c r="AN2216" i="1"/>
  <c r="AO2216" i="1"/>
  <c r="AP2216" i="1"/>
  <c r="AQ2216" i="1"/>
  <c r="BD2216" i="1"/>
  <c r="B2217" i="1"/>
  <c r="C2217" i="1"/>
  <c r="E2217" i="1"/>
  <c r="F2217" i="1"/>
  <c r="G2217" i="1"/>
  <c r="H2217" i="1"/>
  <c r="I2217" i="1"/>
  <c r="J2217" i="1"/>
  <c r="K2217" i="1"/>
  <c r="M2217" i="1"/>
  <c r="O2217" i="1"/>
  <c r="Q2217" i="1"/>
  <c r="R2217" i="1"/>
  <c r="W2217" i="1"/>
  <c r="AA2217" i="1"/>
  <c r="AM2217" i="1"/>
  <c r="AN2217" i="1"/>
  <c r="AO2217" i="1"/>
  <c r="AP2217" i="1"/>
  <c r="AQ2217" i="1"/>
  <c r="BD2217" i="1"/>
  <c r="B2218" i="1"/>
  <c r="C2218" i="1"/>
  <c r="E2218" i="1"/>
  <c r="F2218" i="1"/>
  <c r="G2218" i="1"/>
  <c r="H2218" i="1"/>
  <c r="I2218" i="1"/>
  <c r="J2218" i="1"/>
  <c r="K2218" i="1"/>
  <c r="M2218" i="1"/>
  <c r="O2218" i="1"/>
  <c r="Q2218" i="1"/>
  <c r="R2218" i="1"/>
  <c r="W2218" i="1"/>
  <c r="AA2218" i="1"/>
  <c r="AM2218" i="1"/>
  <c r="AN2218" i="1"/>
  <c r="AO2218" i="1"/>
  <c r="AP2218" i="1"/>
  <c r="AQ2218" i="1"/>
  <c r="BD2218" i="1"/>
  <c r="B2219" i="1"/>
  <c r="C2219" i="1"/>
  <c r="E2219" i="1"/>
  <c r="F2219" i="1"/>
  <c r="G2219" i="1"/>
  <c r="H2219" i="1"/>
  <c r="I2219" i="1"/>
  <c r="J2219" i="1"/>
  <c r="K2219" i="1"/>
  <c r="M2219" i="1"/>
  <c r="O2219" i="1"/>
  <c r="Q2219" i="1"/>
  <c r="R2219" i="1"/>
  <c r="W2219" i="1"/>
  <c r="AA2219" i="1"/>
  <c r="AM2219" i="1"/>
  <c r="AN2219" i="1"/>
  <c r="AO2219" i="1"/>
  <c r="AP2219" i="1"/>
  <c r="AQ2219" i="1"/>
  <c r="BD2219" i="1"/>
  <c r="B2220" i="1"/>
  <c r="C2220" i="1"/>
  <c r="E2220" i="1"/>
  <c r="F2220" i="1"/>
  <c r="G2220" i="1"/>
  <c r="H2220" i="1"/>
  <c r="I2220" i="1"/>
  <c r="J2220" i="1"/>
  <c r="K2220" i="1"/>
  <c r="M2220" i="1"/>
  <c r="O2220" i="1"/>
  <c r="Q2220" i="1"/>
  <c r="R2220" i="1"/>
  <c r="W2220" i="1"/>
  <c r="AA2220" i="1"/>
  <c r="AM2220" i="1"/>
  <c r="AN2220" i="1"/>
  <c r="AO2220" i="1"/>
  <c r="AP2220" i="1"/>
  <c r="AQ2220" i="1"/>
  <c r="BD2220" i="1"/>
  <c r="B2221" i="1"/>
  <c r="C2221" i="1"/>
  <c r="E2221" i="1"/>
  <c r="F2221" i="1"/>
  <c r="G2221" i="1"/>
  <c r="H2221" i="1"/>
  <c r="I2221" i="1"/>
  <c r="J2221" i="1"/>
  <c r="K2221" i="1"/>
  <c r="M2221" i="1"/>
  <c r="O2221" i="1"/>
  <c r="Q2221" i="1"/>
  <c r="R2221" i="1"/>
  <c r="W2221" i="1"/>
  <c r="AA2221" i="1"/>
  <c r="AM2221" i="1"/>
  <c r="AN2221" i="1"/>
  <c r="AO2221" i="1"/>
  <c r="AP2221" i="1"/>
  <c r="AQ2221" i="1"/>
  <c r="BD2221" i="1"/>
  <c r="B2222" i="1"/>
  <c r="C2222" i="1"/>
  <c r="E2222" i="1"/>
  <c r="F2222" i="1"/>
  <c r="G2222" i="1"/>
  <c r="H2222" i="1"/>
  <c r="I2222" i="1"/>
  <c r="J2222" i="1"/>
  <c r="K2222" i="1"/>
  <c r="M2222" i="1"/>
  <c r="O2222" i="1"/>
  <c r="Q2222" i="1"/>
  <c r="R2222" i="1"/>
  <c r="W2222" i="1"/>
  <c r="AA2222" i="1"/>
  <c r="AM2222" i="1"/>
  <c r="AN2222" i="1"/>
  <c r="AO2222" i="1"/>
  <c r="AP2222" i="1"/>
  <c r="AQ2222" i="1"/>
  <c r="BD2222" i="1"/>
  <c r="B2223" i="1"/>
  <c r="C2223" i="1"/>
  <c r="E2223" i="1"/>
  <c r="F2223" i="1"/>
  <c r="G2223" i="1"/>
  <c r="H2223" i="1"/>
  <c r="I2223" i="1"/>
  <c r="J2223" i="1"/>
  <c r="K2223" i="1"/>
  <c r="M2223" i="1"/>
  <c r="O2223" i="1"/>
  <c r="Q2223" i="1"/>
  <c r="R2223" i="1"/>
  <c r="W2223" i="1"/>
  <c r="AA2223" i="1"/>
  <c r="AM2223" i="1"/>
  <c r="AN2223" i="1"/>
  <c r="AO2223" i="1"/>
  <c r="AP2223" i="1"/>
  <c r="AQ2223" i="1"/>
  <c r="BD2223" i="1"/>
  <c r="B2224" i="1"/>
  <c r="C2224" i="1"/>
  <c r="E2224" i="1"/>
  <c r="F2224" i="1"/>
  <c r="G2224" i="1"/>
  <c r="H2224" i="1"/>
  <c r="I2224" i="1"/>
  <c r="J2224" i="1"/>
  <c r="K2224" i="1"/>
  <c r="M2224" i="1"/>
  <c r="O2224" i="1"/>
  <c r="Q2224" i="1"/>
  <c r="R2224" i="1"/>
  <c r="W2224" i="1"/>
  <c r="AA2224" i="1"/>
  <c r="AM2224" i="1"/>
  <c r="AN2224" i="1"/>
  <c r="AO2224" i="1"/>
  <c r="AP2224" i="1"/>
  <c r="AQ2224" i="1"/>
  <c r="BD2224" i="1"/>
  <c r="B2225" i="1"/>
  <c r="C2225" i="1"/>
  <c r="E2225" i="1"/>
  <c r="F2225" i="1"/>
  <c r="G2225" i="1"/>
  <c r="H2225" i="1"/>
  <c r="I2225" i="1"/>
  <c r="J2225" i="1"/>
  <c r="K2225" i="1"/>
  <c r="M2225" i="1"/>
  <c r="O2225" i="1"/>
  <c r="Q2225" i="1"/>
  <c r="R2225" i="1"/>
  <c r="W2225" i="1"/>
  <c r="AA2225" i="1"/>
  <c r="AM2225" i="1"/>
  <c r="AN2225" i="1"/>
  <c r="AO2225" i="1"/>
  <c r="AP2225" i="1"/>
  <c r="AQ2225" i="1"/>
  <c r="BD2225" i="1"/>
  <c r="B2226" i="1"/>
  <c r="C2226" i="1"/>
  <c r="E2226" i="1"/>
  <c r="F2226" i="1"/>
  <c r="G2226" i="1"/>
  <c r="H2226" i="1"/>
  <c r="I2226" i="1"/>
  <c r="J2226" i="1"/>
  <c r="K2226" i="1"/>
  <c r="M2226" i="1"/>
  <c r="O2226" i="1"/>
  <c r="Q2226" i="1"/>
  <c r="R2226" i="1"/>
  <c r="W2226" i="1"/>
  <c r="AA2226" i="1"/>
  <c r="AM2226" i="1"/>
  <c r="AN2226" i="1"/>
  <c r="AO2226" i="1"/>
  <c r="AP2226" i="1"/>
  <c r="AQ2226" i="1"/>
  <c r="BD2226" i="1"/>
  <c r="B2227" i="1"/>
  <c r="C2227" i="1"/>
  <c r="E2227" i="1"/>
  <c r="F2227" i="1"/>
  <c r="G2227" i="1"/>
  <c r="H2227" i="1"/>
  <c r="I2227" i="1"/>
  <c r="J2227" i="1"/>
  <c r="K2227" i="1"/>
  <c r="M2227" i="1"/>
  <c r="O2227" i="1"/>
  <c r="Q2227" i="1"/>
  <c r="R2227" i="1"/>
  <c r="W2227" i="1"/>
  <c r="AA2227" i="1"/>
  <c r="AM2227" i="1"/>
  <c r="AN2227" i="1"/>
  <c r="AO2227" i="1"/>
  <c r="AP2227" i="1"/>
  <c r="AQ2227" i="1"/>
  <c r="BD2227" i="1"/>
  <c r="B2228" i="1"/>
  <c r="C2228" i="1"/>
  <c r="E2228" i="1"/>
  <c r="F2228" i="1"/>
  <c r="G2228" i="1"/>
  <c r="H2228" i="1"/>
  <c r="I2228" i="1"/>
  <c r="J2228" i="1"/>
  <c r="K2228" i="1"/>
  <c r="M2228" i="1"/>
  <c r="O2228" i="1"/>
  <c r="Q2228" i="1"/>
  <c r="R2228" i="1"/>
  <c r="W2228" i="1"/>
  <c r="AA2228" i="1"/>
  <c r="AM2228" i="1"/>
  <c r="AN2228" i="1"/>
  <c r="AO2228" i="1"/>
  <c r="AP2228" i="1"/>
  <c r="AQ2228" i="1"/>
  <c r="BD2228" i="1"/>
  <c r="B2229" i="1"/>
  <c r="C2229" i="1"/>
  <c r="E2229" i="1"/>
  <c r="F2229" i="1"/>
  <c r="G2229" i="1"/>
  <c r="H2229" i="1"/>
  <c r="I2229" i="1"/>
  <c r="J2229" i="1"/>
  <c r="K2229" i="1"/>
  <c r="M2229" i="1"/>
  <c r="O2229" i="1"/>
  <c r="Q2229" i="1"/>
  <c r="R2229" i="1"/>
  <c r="W2229" i="1"/>
  <c r="AA2229" i="1"/>
  <c r="AM2229" i="1"/>
  <c r="AN2229" i="1"/>
  <c r="AO2229" i="1"/>
  <c r="AP2229" i="1"/>
  <c r="AQ2229" i="1"/>
  <c r="BD2229" i="1"/>
  <c r="B2230" i="1"/>
  <c r="C2230" i="1"/>
  <c r="E2230" i="1"/>
  <c r="F2230" i="1"/>
  <c r="G2230" i="1"/>
  <c r="H2230" i="1"/>
  <c r="I2230" i="1"/>
  <c r="J2230" i="1"/>
  <c r="K2230" i="1"/>
  <c r="M2230" i="1"/>
  <c r="O2230" i="1"/>
  <c r="Q2230" i="1"/>
  <c r="R2230" i="1"/>
  <c r="W2230" i="1"/>
  <c r="AA2230" i="1"/>
  <c r="AM2230" i="1"/>
  <c r="AN2230" i="1"/>
  <c r="AO2230" i="1"/>
  <c r="AP2230" i="1"/>
  <c r="AQ2230" i="1"/>
  <c r="BD2230" i="1"/>
  <c r="B2231" i="1"/>
  <c r="C2231" i="1"/>
  <c r="E2231" i="1"/>
  <c r="F2231" i="1"/>
  <c r="G2231" i="1"/>
  <c r="H2231" i="1"/>
  <c r="I2231" i="1"/>
  <c r="J2231" i="1"/>
  <c r="K2231" i="1"/>
  <c r="M2231" i="1"/>
  <c r="O2231" i="1"/>
  <c r="Q2231" i="1"/>
  <c r="R2231" i="1"/>
  <c r="W2231" i="1"/>
  <c r="AA2231" i="1"/>
  <c r="AM2231" i="1"/>
  <c r="AN2231" i="1"/>
  <c r="AO2231" i="1"/>
  <c r="AP2231" i="1"/>
  <c r="AQ2231" i="1"/>
  <c r="BD2231" i="1"/>
  <c r="B2232" i="1"/>
  <c r="C2232" i="1"/>
  <c r="E2232" i="1"/>
  <c r="F2232" i="1"/>
  <c r="G2232" i="1"/>
  <c r="H2232" i="1"/>
  <c r="I2232" i="1"/>
  <c r="J2232" i="1"/>
  <c r="K2232" i="1"/>
  <c r="M2232" i="1"/>
  <c r="O2232" i="1"/>
  <c r="Q2232" i="1"/>
  <c r="R2232" i="1"/>
  <c r="W2232" i="1"/>
  <c r="AA2232" i="1"/>
  <c r="AM2232" i="1"/>
  <c r="AN2232" i="1"/>
  <c r="AO2232" i="1"/>
  <c r="AP2232" i="1"/>
  <c r="AQ2232" i="1"/>
  <c r="BD2232" i="1"/>
  <c r="B2233" i="1"/>
  <c r="C2233" i="1"/>
  <c r="E2233" i="1"/>
  <c r="F2233" i="1"/>
  <c r="G2233" i="1"/>
  <c r="H2233" i="1"/>
  <c r="I2233" i="1"/>
  <c r="J2233" i="1"/>
  <c r="K2233" i="1"/>
  <c r="M2233" i="1"/>
  <c r="O2233" i="1"/>
  <c r="Q2233" i="1"/>
  <c r="R2233" i="1"/>
  <c r="W2233" i="1"/>
  <c r="AA2233" i="1"/>
  <c r="AM2233" i="1"/>
  <c r="AN2233" i="1"/>
  <c r="AO2233" i="1"/>
  <c r="AP2233" i="1"/>
  <c r="AQ2233" i="1"/>
  <c r="BD2233" i="1"/>
  <c r="B2234" i="1"/>
  <c r="C2234" i="1"/>
  <c r="E2234" i="1"/>
  <c r="F2234" i="1"/>
  <c r="G2234" i="1"/>
  <c r="H2234" i="1"/>
  <c r="I2234" i="1"/>
  <c r="J2234" i="1"/>
  <c r="K2234" i="1"/>
  <c r="M2234" i="1"/>
  <c r="O2234" i="1"/>
  <c r="Q2234" i="1"/>
  <c r="R2234" i="1"/>
  <c r="W2234" i="1"/>
  <c r="AA2234" i="1"/>
  <c r="AM2234" i="1"/>
  <c r="AN2234" i="1"/>
  <c r="AO2234" i="1"/>
  <c r="AP2234" i="1"/>
  <c r="AQ2234" i="1"/>
  <c r="BD2234" i="1"/>
  <c r="B2235" i="1"/>
  <c r="C2235" i="1"/>
  <c r="E2235" i="1"/>
  <c r="F2235" i="1"/>
  <c r="G2235" i="1"/>
  <c r="H2235" i="1"/>
  <c r="I2235" i="1"/>
  <c r="J2235" i="1"/>
  <c r="K2235" i="1"/>
  <c r="M2235" i="1"/>
  <c r="O2235" i="1"/>
  <c r="Q2235" i="1"/>
  <c r="R2235" i="1"/>
  <c r="W2235" i="1"/>
  <c r="AA2235" i="1"/>
  <c r="AM2235" i="1"/>
  <c r="AN2235" i="1"/>
  <c r="AO2235" i="1"/>
  <c r="AP2235" i="1"/>
  <c r="AQ2235" i="1"/>
  <c r="BD2235" i="1"/>
  <c r="B2236" i="1"/>
  <c r="C2236" i="1"/>
  <c r="E2236" i="1"/>
  <c r="F2236" i="1"/>
  <c r="G2236" i="1"/>
  <c r="H2236" i="1"/>
  <c r="I2236" i="1"/>
  <c r="J2236" i="1"/>
  <c r="K2236" i="1"/>
  <c r="M2236" i="1"/>
  <c r="O2236" i="1"/>
  <c r="Q2236" i="1"/>
  <c r="R2236" i="1"/>
  <c r="W2236" i="1"/>
  <c r="AA2236" i="1"/>
  <c r="AM2236" i="1"/>
  <c r="AN2236" i="1"/>
  <c r="AO2236" i="1"/>
  <c r="AP2236" i="1"/>
  <c r="AQ2236" i="1"/>
  <c r="BD2236" i="1"/>
  <c r="B2237" i="1"/>
  <c r="C2237" i="1"/>
  <c r="E2237" i="1"/>
  <c r="F2237" i="1"/>
  <c r="G2237" i="1"/>
  <c r="H2237" i="1"/>
  <c r="I2237" i="1"/>
  <c r="J2237" i="1"/>
  <c r="K2237" i="1"/>
  <c r="M2237" i="1"/>
  <c r="O2237" i="1"/>
  <c r="Q2237" i="1"/>
  <c r="R2237" i="1"/>
  <c r="W2237" i="1"/>
  <c r="AA2237" i="1"/>
  <c r="AM2237" i="1"/>
  <c r="AN2237" i="1"/>
  <c r="AO2237" i="1"/>
  <c r="AP2237" i="1"/>
  <c r="AQ2237" i="1"/>
  <c r="BD2237" i="1"/>
  <c r="B2238" i="1"/>
  <c r="E2238" i="1"/>
  <c r="F2238" i="1"/>
  <c r="G2238" i="1"/>
  <c r="H2238" i="1"/>
  <c r="I2238" i="1"/>
  <c r="J2238" i="1"/>
  <c r="K2238" i="1"/>
  <c r="M2238" i="1"/>
  <c r="O2238" i="1"/>
  <c r="Q2238" i="1"/>
  <c r="R2238" i="1"/>
  <c r="W2238" i="1"/>
  <c r="AA2238" i="1"/>
  <c r="AM2238" i="1"/>
  <c r="AN2238" i="1"/>
  <c r="AO2238" i="1"/>
  <c r="AP2238" i="1"/>
  <c r="AQ2238" i="1"/>
  <c r="BD2238" i="1"/>
  <c r="B2239" i="1"/>
  <c r="C2239" i="1"/>
  <c r="E2239" i="1"/>
  <c r="F2239" i="1"/>
  <c r="G2239" i="1"/>
  <c r="H2239" i="1"/>
  <c r="I2239" i="1"/>
  <c r="J2239" i="1"/>
  <c r="K2239" i="1"/>
  <c r="M2239" i="1"/>
  <c r="O2239" i="1"/>
  <c r="Q2239" i="1"/>
  <c r="R2239" i="1"/>
  <c r="W2239" i="1"/>
  <c r="AA2239" i="1"/>
  <c r="AM2239" i="1"/>
  <c r="AN2239" i="1"/>
  <c r="AO2239" i="1"/>
  <c r="AQ2239" i="1"/>
  <c r="BB2239" i="1"/>
  <c r="BD2239" i="1"/>
  <c r="B2240" i="1"/>
  <c r="C2240" i="1"/>
  <c r="E2240" i="1"/>
  <c r="F2240" i="1"/>
  <c r="G2240" i="1"/>
  <c r="H2240" i="1"/>
  <c r="I2240" i="1"/>
  <c r="J2240" i="1"/>
  <c r="K2240" i="1"/>
  <c r="M2240" i="1"/>
  <c r="O2240" i="1"/>
  <c r="Q2240" i="1"/>
  <c r="R2240" i="1"/>
  <c r="W2240" i="1"/>
  <c r="AA2240" i="1"/>
  <c r="AM2240" i="1"/>
  <c r="AN2240" i="1"/>
  <c r="AO2240" i="1"/>
  <c r="AQ2240" i="1"/>
  <c r="BB2240" i="1"/>
  <c r="BD2240" i="1"/>
  <c r="B2241" i="1"/>
  <c r="C2241" i="1"/>
  <c r="E2241" i="1"/>
  <c r="F2241" i="1"/>
  <c r="G2241" i="1"/>
  <c r="H2241" i="1"/>
  <c r="I2241" i="1"/>
  <c r="J2241" i="1"/>
  <c r="K2241" i="1"/>
  <c r="M2241" i="1"/>
  <c r="O2241" i="1"/>
  <c r="Q2241" i="1"/>
  <c r="R2241" i="1"/>
  <c r="W2241" i="1"/>
  <c r="AA2241" i="1"/>
  <c r="AM2241" i="1"/>
  <c r="AN2241" i="1"/>
  <c r="AO2241" i="1"/>
  <c r="AQ2241" i="1"/>
  <c r="BB2241" i="1"/>
  <c r="BD2241" i="1"/>
  <c r="B2242" i="1"/>
  <c r="C2242" i="1"/>
  <c r="E2242" i="1"/>
  <c r="F2242" i="1"/>
  <c r="G2242" i="1"/>
  <c r="H2242" i="1"/>
  <c r="I2242" i="1"/>
  <c r="J2242" i="1"/>
  <c r="K2242" i="1"/>
  <c r="M2242" i="1"/>
  <c r="O2242" i="1"/>
  <c r="Q2242" i="1"/>
  <c r="R2242" i="1"/>
  <c r="W2242" i="1"/>
  <c r="AA2242" i="1"/>
  <c r="AM2242" i="1"/>
  <c r="AN2242" i="1"/>
  <c r="AO2242" i="1"/>
  <c r="AQ2242" i="1"/>
  <c r="BB2242" i="1"/>
  <c r="BD2242" i="1"/>
  <c r="B2243" i="1"/>
  <c r="C2243" i="1"/>
  <c r="E2243" i="1"/>
  <c r="F2243" i="1"/>
  <c r="G2243" i="1"/>
  <c r="H2243" i="1"/>
  <c r="I2243" i="1"/>
  <c r="J2243" i="1"/>
  <c r="K2243" i="1"/>
  <c r="M2243" i="1"/>
  <c r="O2243" i="1"/>
  <c r="Q2243" i="1"/>
  <c r="R2243" i="1"/>
  <c r="W2243" i="1"/>
  <c r="AA2243" i="1"/>
  <c r="AM2243" i="1"/>
  <c r="AN2243" i="1"/>
  <c r="AO2243" i="1"/>
  <c r="AQ2243" i="1"/>
  <c r="BB2243" i="1"/>
  <c r="BD2243" i="1"/>
  <c r="B2244" i="1"/>
  <c r="C2244" i="1"/>
  <c r="E2244" i="1"/>
  <c r="F2244" i="1"/>
  <c r="G2244" i="1"/>
  <c r="H2244" i="1"/>
  <c r="I2244" i="1"/>
  <c r="J2244" i="1"/>
  <c r="K2244" i="1"/>
  <c r="M2244" i="1"/>
  <c r="O2244" i="1"/>
  <c r="Q2244" i="1"/>
  <c r="R2244" i="1"/>
  <c r="W2244" i="1"/>
  <c r="AA2244" i="1"/>
  <c r="AB2244" i="1"/>
  <c r="AE2244" i="1"/>
  <c r="AF2244" i="1"/>
  <c r="AM2244" i="1"/>
  <c r="AN2244" i="1"/>
  <c r="AO2244" i="1"/>
  <c r="AQ2244" i="1"/>
  <c r="AX2244" i="1"/>
  <c r="BD2244" i="1"/>
  <c r="B2245" i="1"/>
  <c r="C2245" i="1"/>
  <c r="E2245" i="1"/>
  <c r="F2245" i="1"/>
  <c r="G2245" i="1"/>
  <c r="H2245" i="1"/>
  <c r="I2245" i="1"/>
  <c r="J2245" i="1"/>
  <c r="K2245" i="1"/>
  <c r="M2245" i="1"/>
  <c r="O2245" i="1"/>
  <c r="Q2245" i="1"/>
  <c r="R2245" i="1"/>
  <c r="W2245" i="1"/>
  <c r="AA2245" i="1"/>
  <c r="AB2245" i="1"/>
  <c r="AE2245" i="1"/>
  <c r="AF2245" i="1"/>
  <c r="AM2245" i="1"/>
  <c r="AN2245" i="1"/>
  <c r="AO2245" i="1"/>
  <c r="AQ2245" i="1"/>
  <c r="AX2245" i="1"/>
  <c r="BD2245" i="1"/>
  <c r="B2246" i="1"/>
  <c r="C2246" i="1"/>
  <c r="D2246" i="1"/>
  <c r="E2246" i="1"/>
  <c r="F2246" i="1"/>
  <c r="G2246" i="1"/>
  <c r="H2246" i="1"/>
  <c r="I2246" i="1"/>
  <c r="J2246" i="1"/>
  <c r="K2246" i="1"/>
  <c r="M2246" i="1"/>
  <c r="O2246" i="1"/>
  <c r="Q2246" i="1"/>
  <c r="R2246" i="1"/>
  <c r="W2246" i="1"/>
  <c r="AA2246" i="1"/>
  <c r="AB2246" i="1"/>
  <c r="AE2246" i="1"/>
  <c r="AF2246" i="1"/>
  <c r="AM2246" i="1"/>
  <c r="AN2246" i="1"/>
  <c r="AO2246" i="1"/>
  <c r="AQ2246" i="1"/>
  <c r="AX2246" i="1"/>
  <c r="BD2246" i="1"/>
  <c r="B2247" i="1"/>
  <c r="E2247" i="1"/>
  <c r="F2247" i="1"/>
  <c r="G2247" i="1"/>
  <c r="H2247" i="1"/>
  <c r="I2247" i="1"/>
  <c r="J2247" i="1"/>
  <c r="K2247" i="1"/>
  <c r="M2247" i="1"/>
  <c r="O2247" i="1"/>
  <c r="Q2247" i="1"/>
  <c r="R2247" i="1"/>
  <c r="W2247" i="1"/>
  <c r="AA2247" i="1"/>
  <c r="AM2247" i="1"/>
  <c r="AN2247" i="1"/>
  <c r="AO2247" i="1"/>
  <c r="AQ2247" i="1"/>
  <c r="BB2247" i="1"/>
  <c r="BD2247" i="1"/>
  <c r="B2248" i="1"/>
  <c r="E2248" i="1"/>
  <c r="F2248" i="1"/>
  <c r="G2248" i="1"/>
  <c r="H2248" i="1"/>
  <c r="I2248" i="1"/>
  <c r="J2248" i="1"/>
  <c r="K2248" i="1"/>
  <c r="M2248" i="1"/>
  <c r="O2248" i="1"/>
  <c r="Q2248" i="1"/>
  <c r="R2248" i="1"/>
  <c r="W2248" i="1"/>
  <c r="AA2248" i="1"/>
  <c r="AB2248" i="1"/>
  <c r="AE2248" i="1"/>
  <c r="AF2248" i="1"/>
  <c r="AM2248" i="1"/>
  <c r="AN2248" i="1"/>
  <c r="AO2248" i="1"/>
  <c r="AQ2248" i="1"/>
  <c r="AX2248" i="1"/>
  <c r="BD2248" i="1"/>
  <c r="B2249" i="1"/>
  <c r="E2249" i="1"/>
  <c r="F2249" i="1"/>
  <c r="G2249" i="1"/>
  <c r="H2249" i="1"/>
  <c r="I2249" i="1"/>
  <c r="J2249" i="1"/>
  <c r="K2249" i="1"/>
  <c r="M2249" i="1"/>
  <c r="O2249" i="1"/>
  <c r="Q2249" i="1"/>
  <c r="R2249" i="1"/>
  <c r="W2249" i="1"/>
  <c r="AA2249" i="1"/>
  <c r="AB2249" i="1"/>
  <c r="AE2249" i="1"/>
  <c r="AF2249" i="1"/>
  <c r="AM2249" i="1"/>
  <c r="AN2249" i="1"/>
  <c r="AO2249" i="1"/>
  <c r="AQ2249" i="1"/>
  <c r="AX2249" i="1"/>
  <c r="BD2249" i="1"/>
  <c r="B2250" i="1"/>
  <c r="C2250" i="1"/>
  <c r="E2250" i="1"/>
  <c r="F2250" i="1"/>
  <c r="G2250" i="1"/>
  <c r="H2250" i="1"/>
  <c r="I2250" i="1"/>
  <c r="J2250" i="1"/>
  <c r="K2250" i="1"/>
  <c r="M2250" i="1"/>
  <c r="O2250" i="1"/>
  <c r="Q2250" i="1"/>
  <c r="R2250" i="1"/>
  <c r="W2250" i="1"/>
  <c r="AA2250" i="1"/>
  <c r="AB2250" i="1"/>
  <c r="AE2250" i="1"/>
  <c r="AF2250" i="1"/>
  <c r="AM2250" i="1"/>
  <c r="AN2250" i="1"/>
  <c r="AO2250" i="1"/>
  <c r="AQ2250" i="1"/>
  <c r="AX2250" i="1"/>
  <c r="BD2250" i="1"/>
  <c r="B2251" i="1"/>
  <c r="C2251" i="1"/>
  <c r="E2251" i="1"/>
  <c r="F2251" i="1"/>
  <c r="G2251" i="1"/>
  <c r="H2251" i="1"/>
  <c r="I2251" i="1"/>
  <c r="J2251" i="1"/>
  <c r="K2251" i="1"/>
  <c r="M2251" i="1"/>
  <c r="O2251" i="1"/>
  <c r="Q2251" i="1"/>
  <c r="R2251" i="1"/>
  <c r="W2251" i="1"/>
  <c r="AA2251" i="1"/>
  <c r="AB2251" i="1"/>
  <c r="AE2251" i="1"/>
  <c r="AF2251" i="1"/>
  <c r="AM2251" i="1"/>
  <c r="AN2251" i="1"/>
  <c r="AO2251" i="1"/>
  <c r="AQ2251" i="1"/>
  <c r="AX2251" i="1"/>
  <c r="BD2251" i="1"/>
  <c r="B2252" i="1"/>
  <c r="C2252" i="1"/>
  <c r="E2252" i="1"/>
  <c r="F2252" i="1"/>
  <c r="G2252" i="1"/>
  <c r="H2252" i="1"/>
  <c r="I2252" i="1"/>
  <c r="J2252" i="1"/>
  <c r="K2252" i="1"/>
  <c r="M2252" i="1"/>
  <c r="O2252" i="1"/>
  <c r="Q2252" i="1"/>
  <c r="R2252" i="1"/>
  <c r="W2252" i="1"/>
  <c r="AA2252" i="1"/>
  <c r="AB2252" i="1"/>
  <c r="AE2252" i="1"/>
  <c r="AF2252" i="1"/>
  <c r="AM2252" i="1"/>
  <c r="AN2252" i="1"/>
  <c r="AO2252" i="1"/>
  <c r="AQ2252" i="1"/>
  <c r="AX2252" i="1"/>
  <c r="BD2252" i="1"/>
  <c r="B2253" i="1"/>
  <c r="C2253" i="1"/>
  <c r="E2253" i="1"/>
  <c r="F2253" i="1"/>
  <c r="G2253" i="1"/>
  <c r="H2253" i="1"/>
  <c r="I2253" i="1"/>
  <c r="J2253" i="1"/>
  <c r="K2253" i="1"/>
  <c r="M2253" i="1"/>
  <c r="O2253" i="1"/>
  <c r="Q2253" i="1"/>
  <c r="R2253" i="1"/>
  <c r="W2253" i="1"/>
  <c r="AA2253" i="1"/>
  <c r="AB2253" i="1"/>
  <c r="AE2253" i="1"/>
  <c r="AF2253" i="1"/>
  <c r="AM2253" i="1"/>
  <c r="AN2253" i="1"/>
  <c r="AO2253" i="1"/>
  <c r="AQ2253" i="1"/>
  <c r="AX2253" i="1"/>
  <c r="BD2253" i="1"/>
  <c r="B2254" i="1"/>
  <c r="C2254" i="1"/>
  <c r="D2254" i="1"/>
  <c r="E2254" i="1"/>
  <c r="F2254" i="1"/>
  <c r="G2254" i="1"/>
  <c r="H2254" i="1"/>
  <c r="I2254" i="1"/>
  <c r="J2254" i="1"/>
  <c r="K2254" i="1"/>
  <c r="M2254" i="1"/>
  <c r="O2254" i="1"/>
  <c r="Q2254" i="1"/>
  <c r="R2254" i="1"/>
  <c r="W2254" i="1"/>
  <c r="AA2254" i="1"/>
  <c r="AB2254" i="1"/>
  <c r="AE2254" i="1"/>
  <c r="AF2254" i="1"/>
  <c r="AM2254" i="1"/>
  <c r="AN2254" i="1"/>
  <c r="AO2254" i="1"/>
  <c r="AQ2254" i="1"/>
  <c r="AX2254" i="1"/>
  <c r="BD2254" i="1"/>
  <c r="B2255" i="1"/>
  <c r="C2255" i="1"/>
  <c r="E2255" i="1"/>
  <c r="F2255" i="1"/>
  <c r="G2255" i="1"/>
  <c r="H2255" i="1"/>
  <c r="I2255" i="1"/>
  <c r="J2255" i="1"/>
  <c r="K2255" i="1"/>
  <c r="M2255" i="1"/>
  <c r="O2255" i="1"/>
  <c r="Q2255" i="1"/>
  <c r="R2255" i="1"/>
  <c r="W2255" i="1"/>
  <c r="AA2255" i="1"/>
  <c r="AB2255" i="1"/>
  <c r="AE2255" i="1"/>
  <c r="AF2255" i="1"/>
  <c r="AM2255" i="1"/>
  <c r="AN2255" i="1"/>
  <c r="AO2255" i="1"/>
  <c r="AQ2255" i="1"/>
  <c r="AX2255" i="1"/>
  <c r="BD2255" i="1"/>
  <c r="B2256" i="1"/>
  <c r="C2256" i="1"/>
  <c r="D2256" i="1"/>
  <c r="E2256" i="1"/>
  <c r="F2256" i="1"/>
  <c r="G2256" i="1"/>
  <c r="H2256" i="1"/>
  <c r="I2256" i="1"/>
  <c r="J2256" i="1"/>
  <c r="K2256" i="1"/>
  <c r="M2256" i="1"/>
  <c r="O2256" i="1"/>
  <c r="Q2256" i="1"/>
  <c r="R2256" i="1"/>
  <c r="W2256" i="1"/>
  <c r="AA2256" i="1"/>
  <c r="AB2256" i="1"/>
  <c r="AE2256" i="1"/>
  <c r="AF2256" i="1"/>
  <c r="AM2256" i="1"/>
  <c r="AN2256" i="1"/>
  <c r="AO2256" i="1"/>
  <c r="AQ2256" i="1"/>
  <c r="AX2256" i="1"/>
  <c r="BD2256" i="1"/>
  <c r="B2257" i="1"/>
  <c r="C2257" i="1"/>
  <c r="D2257" i="1"/>
  <c r="E2257" i="1"/>
  <c r="F2257" i="1"/>
  <c r="G2257" i="1"/>
  <c r="H2257" i="1"/>
  <c r="I2257" i="1"/>
  <c r="J2257" i="1"/>
  <c r="K2257" i="1"/>
  <c r="M2257" i="1"/>
  <c r="O2257" i="1"/>
  <c r="Q2257" i="1"/>
  <c r="R2257" i="1"/>
  <c r="W2257" i="1"/>
  <c r="AA2257" i="1"/>
  <c r="AB2257" i="1"/>
  <c r="AM2257" i="1"/>
  <c r="AN2257" i="1"/>
  <c r="AO2257" i="1"/>
  <c r="AQ2257" i="1"/>
  <c r="AX2257" i="1"/>
  <c r="BD2257" i="1"/>
  <c r="B2258" i="1"/>
  <c r="C2258" i="1"/>
  <c r="E2258" i="1"/>
  <c r="F2258" i="1"/>
  <c r="G2258" i="1"/>
  <c r="H2258" i="1"/>
  <c r="I2258" i="1"/>
  <c r="J2258" i="1"/>
  <c r="K2258" i="1"/>
  <c r="M2258" i="1"/>
  <c r="O2258" i="1"/>
  <c r="Q2258" i="1"/>
  <c r="R2258" i="1"/>
  <c r="W2258" i="1"/>
  <c r="AA2258" i="1"/>
  <c r="AM2258" i="1"/>
  <c r="AN2258" i="1"/>
  <c r="AO2258" i="1"/>
  <c r="AQ2258" i="1"/>
  <c r="BB2258" i="1"/>
  <c r="BD2258" i="1"/>
  <c r="B2259" i="1"/>
  <c r="C2259" i="1"/>
  <c r="E2259" i="1"/>
  <c r="F2259" i="1"/>
  <c r="G2259" i="1"/>
  <c r="H2259" i="1"/>
  <c r="I2259" i="1"/>
  <c r="J2259" i="1"/>
  <c r="K2259" i="1"/>
  <c r="M2259" i="1"/>
  <c r="O2259" i="1"/>
  <c r="Q2259" i="1"/>
  <c r="R2259" i="1"/>
  <c r="W2259" i="1"/>
  <c r="AA2259" i="1"/>
  <c r="AM2259" i="1"/>
  <c r="AN2259" i="1"/>
  <c r="AO2259" i="1"/>
  <c r="AQ2259" i="1"/>
  <c r="BB2259" i="1"/>
  <c r="BD2259" i="1"/>
  <c r="B2260" i="1"/>
  <c r="E2260" i="1"/>
  <c r="F2260" i="1"/>
  <c r="G2260" i="1"/>
  <c r="H2260" i="1"/>
  <c r="I2260" i="1"/>
  <c r="J2260" i="1"/>
  <c r="K2260" i="1"/>
  <c r="M2260" i="1"/>
  <c r="O2260" i="1"/>
  <c r="Q2260" i="1"/>
  <c r="R2260" i="1"/>
  <c r="W2260" i="1"/>
  <c r="AA2260" i="1"/>
  <c r="AM2260" i="1"/>
  <c r="AN2260" i="1"/>
  <c r="AO2260" i="1"/>
  <c r="AQ2260" i="1"/>
  <c r="BB2260" i="1"/>
  <c r="BD2260" i="1"/>
  <c r="B2261" i="1"/>
  <c r="C2261" i="1"/>
  <c r="E2261" i="1"/>
  <c r="F2261" i="1"/>
  <c r="G2261" i="1"/>
  <c r="H2261" i="1"/>
  <c r="I2261" i="1"/>
  <c r="J2261" i="1"/>
  <c r="K2261" i="1"/>
  <c r="M2261" i="1"/>
  <c r="O2261" i="1"/>
  <c r="Q2261" i="1"/>
  <c r="R2261" i="1"/>
  <c r="W2261" i="1"/>
  <c r="AA2261" i="1"/>
  <c r="AM2261" i="1"/>
  <c r="AN2261" i="1"/>
  <c r="AO2261" i="1"/>
  <c r="AQ2261" i="1"/>
  <c r="BB2261" i="1"/>
  <c r="BD2261" i="1"/>
  <c r="B2262" i="1"/>
  <c r="C2262" i="1"/>
  <c r="D2262" i="1"/>
  <c r="E2262" i="1"/>
  <c r="F2262" i="1"/>
  <c r="G2262" i="1"/>
  <c r="H2262" i="1"/>
  <c r="I2262" i="1"/>
  <c r="J2262" i="1"/>
  <c r="K2262" i="1"/>
  <c r="M2262" i="1"/>
  <c r="O2262" i="1"/>
  <c r="Q2262" i="1"/>
  <c r="R2262" i="1"/>
  <c r="W2262" i="1"/>
  <c r="AA2262" i="1"/>
  <c r="AB2262" i="1"/>
  <c r="AE2262" i="1"/>
  <c r="AF2262" i="1"/>
  <c r="AM2262" i="1"/>
  <c r="AN2262" i="1"/>
  <c r="AO2262" i="1"/>
  <c r="AQ2262" i="1"/>
  <c r="AX2262" i="1"/>
  <c r="BD2262" i="1"/>
  <c r="B2263" i="1"/>
  <c r="C2263" i="1"/>
  <c r="D2263" i="1"/>
  <c r="E2263" i="1"/>
  <c r="F2263" i="1"/>
  <c r="G2263" i="1"/>
  <c r="H2263" i="1"/>
  <c r="I2263" i="1"/>
  <c r="J2263" i="1"/>
  <c r="K2263" i="1"/>
  <c r="M2263" i="1"/>
  <c r="O2263" i="1"/>
  <c r="Q2263" i="1"/>
  <c r="R2263" i="1"/>
  <c r="W2263" i="1"/>
  <c r="AA2263" i="1"/>
  <c r="AB2263" i="1"/>
  <c r="AE2263" i="1"/>
  <c r="AF2263" i="1"/>
  <c r="AM2263" i="1"/>
  <c r="AN2263" i="1"/>
  <c r="AO2263" i="1"/>
  <c r="AQ2263" i="1"/>
  <c r="AX2263" i="1"/>
  <c r="BD2263" i="1"/>
  <c r="B2264" i="1"/>
  <c r="C2264" i="1"/>
  <c r="D2264" i="1"/>
  <c r="E2264" i="1"/>
  <c r="F2264" i="1"/>
  <c r="G2264" i="1"/>
  <c r="H2264" i="1"/>
  <c r="I2264" i="1"/>
  <c r="J2264" i="1"/>
  <c r="K2264" i="1"/>
  <c r="M2264" i="1"/>
  <c r="O2264" i="1"/>
  <c r="Q2264" i="1"/>
  <c r="R2264" i="1"/>
  <c r="W2264" i="1"/>
  <c r="AA2264" i="1"/>
  <c r="AB2264" i="1"/>
  <c r="AE2264" i="1"/>
  <c r="AF2264" i="1"/>
  <c r="AM2264" i="1"/>
  <c r="AN2264" i="1"/>
  <c r="AO2264" i="1"/>
  <c r="AQ2264" i="1"/>
  <c r="AX2264" i="1"/>
  <c r="BD2264" i="1"/>
  <c r="B2265" i="1"/>
  <c r="C2265" i="1"/>
  <c r="D2265" i="1"/>
  <c r="E2265" i="1"/>
  <c r="F2265" i="1"/>
  <c r="G2265" i="1"/>
  <c r="H2265" i="1"/>
  <c r="I2265" i="1"/>
  <c r="J2265" i="1"/>
  <c r="K2265" i="1"/>
  <c r="M2265" i="1"/>
  <c r="O2265" i="1"/>
  <c r="Q2265" i="1"/>
  <c r="R2265" i="1"/>
  <c r="W2265" i="1"/>
  <c r="AA2265" i="1"/>
  <c r="AB2265" i="1"/>
  <c r="AE2265" i="1"/>
  <c r="AF2265" i="1"/>
  <c r="AM2265" i="1"/>
  <c r="AN2265" i="1"/>
  <c r="AO2265" i="1"/>
  <c r="AQ2265" i="1"/>
  <c r="AX2265" i="1"/>
  <c r="BD2265" i="1"/>
  <c r="B2266" i="1"/>
  <c r="C2266" i="1"/>
  <c r="D2266" i="1"/>
  <c r="E2266" i="1"/>
  <c r="F2266" i="1"/>
  <c r="G2266" i="1"/>
  <c r="H2266" i="1"/>
  <c r="I2266" i="1"/>
  <c r="J2266" i="1"/>
  <c r="K2266" i="1"/>
  <c r="M2266" i="1"/>
  <c r="O2266" i="1"/>
  <c r="Q2266" i="1"/>
  <c r="R2266" i="1"/>
  <c r="W2266" i="1"/>
  <c r="AA2266" i="1"/>
  <c r="AB2266" i="1"/>
  <c r="AE2266" i="1"/>
  <c r="AF2266" i="1"/>
  <c r="AM2266" i="1"/>
  <c r="AN2266" i="1"/>
  <c r="AO2266" i="1"/>
  <c r="AQ2266" i="1"/>
  <c r="AX2266" i="1"/>
  <c r="BD2266" i="1"/>
  <c r="B2267" i="1"/>
  <c r="C2267" i="1"/>
  <c r="D2267" i="1"/>
  <c r="E2267" i="1"/>
  <c r="F2267" i="1"/>
  <c r="G2267" i="1"/>
  <c r="H2267" i="1"/>
  <c r="I2267" i="1"/>
  <c r="J2267" i="1"/>
  <c r="K2267" i="1"/>
  <c r="M2267" i="1"/>
  <c r="O2267" i="1"/>
  <c r="Q2267" i="1"/>
  <c r="R2267" i="1"/>
  <c r="W2267" i="1"/>
  <c r="AA2267" i="1"/>
  <c r="AB2267" i="1"/>
  <c r="AE2267" i="1"/>
  <c r="AF2267" i="1"/>
  <c r="AM2267" i="1"/>
  <c r="AN2267" i="1"/>
  <c r="AO2267" i="1"/>
  <c r="AQ2267" i="1"/>
  <c r="AX2267" i="1"/>
  <c r="BD2267" i="1"/>
  <c r="B2268" i="1"/>
  <c r="C2268" i="1"/>
  <c r="D2268" i="1"/>
  <c r="E2268" i="1"/>
  <c r="F2268" i="1"/>
  <c r="G2268" i="1"/>
  <c r="H2268" i="1"/>
  <c r="I2268" i="1"/>
  <c r="J2268" i="1"/>
  <c r="K2268" i="1"/>
  <c r="M2268" i="1"/>
  <c r="O2268" i="1"/>
  <c r="Q2268" i="1"/>
  <c r="R2268" i="1"/>
  <c r="W2268" i="1"/>
  <c r="AA2268" i="1"/>
  <c r="AB2268" i="1"/>
  <c r="AE2268" i="1"/>
  <c r="AF2268" i="1"/>
  <c r="AM2268" i="1"/>
  <c r="AN2268" i="1"/>
  <c r="AO2268" i="1"/>
  <c r="AQ2268" i="1"/>
  <c r="AX2268" i="1"/>
  <c r="BD2268" i="1"/>
  <c r="B2269" i="1"/>
  <c r="C2269" i="1"/>
  <c r="D2269" i="1"/>
  <c r="E2269" i="1"/>
  <c r="F2269" i="1"/>
  <c r="G2269" i="1"/>
  <c r="H2269" i="1"/>
  <c r="I2269" i="1"/>
  <c r="J2269" i="1"/>
  <c r="K2269" i="1"/>
  <c r="M2269" i="1"/>
  <c r="O2269" i="1"/>
  <c r="Q2269" i="1"/>
  <c r="R2269" i="1"/>
  <c r="W2269" i="1"/>
  <c r="AA2269" i="1"/>
  <c r="AB2269" i="1"/>
  <c r="AE2269" i="1"/>
  <c r="AF2269" i="1"/>
  <c r="AM2269" i="1"/>
  <c r="AN2269" i="1"/>
  <c r="AO2269" i="1"/>
  <c r="AQ2269" i="1"/>
  <c r="AX2269" i="1"/>
  <c r="BD2269" i="1"/>
  <c r="B2270" i="1"/>
  <c r="C2270" i="1"/>
  <c r="D2270" i="1"/>
  <c r="E2270" i="1"/>
  <c r="F2270" i="1"/>
  <c r="G2270" i="1"/>
  <c r="H2270" i="1"/>
  <c r="I2270" i="1"/>
  <c r="J2270" i="1"/>
  <c r="K2270" i="1"/>
  <c r="M2270" i="1"/>
  <c r="O2270" i="1"/>
  <c r="Q2270" i="1"/>
  <c r="R2270" i="1"/>
  <c r="W2270" i="1"/>
  <c r="AA2270" i="1"/>
  <c r="AB2270" i="1"/>
  <c r="AE2270" i="1"/>
  <c r="AF2270" i="1"/>
  <c r="AM2270" i="1"/>
  <c r="AN2270" i="1"/>
  <c r="AO2270" i="1"/>
  <c r="AQ2270" i="1"/>
  <c r="AX2270" i="1"/>
  <c r="BD2270" i="1"/>
  <c r="B2271" i="1"/>
  <c r="C2271" i="1"/>
  <c r="D2271" i="1"/>
  <c r="E2271" i="1"/>
  <c r="F2271" i="1"/>
  <c r="G2271" i="1"/>
  <c r="H2271" i="1"/>
  <c r="I2271" i="1"/>
  <c r="J2271" i="1"/>
  <c r="K2271" i="1"/>
  <c r="M2271" i="1"/>
  <c r="O2271" i="1"/>
  <c r="Q2271" i="1"/>
  <c r="R2271" i="1"/>
  <c r="W2271" i="1"/>
  <c r="AA2271" i="1"/>
  <c r="AB2271" i="1"/>
  <c r="AE2271" i="1"/>
  <c r="AF2271" i="1"/>
  <c r="AM2271" i="1"/>
  <c r="AN2271" i="1"/>
  <c r="AO2271" i="1"/>
  <c r="AQ2271" i="1"/>
  <c r="AX2271" i="1"/>
  <c r="BD2271" i="1"/>
  <c r="B2272" i="1"/>
  <c r="C2272" i="1"/>
  <c r="D2272" i="1"/>
  <c r="E2272" i="1"/>
  <c r="F2272" i="1"/>
  <c r="G2272" i="1"/>
  <c r="H2272" i="1"/>
  <c r="I2272" i="1"/>
  <c r="J2272" i="1"/>
  <c r="K2272" i="1"/>
  <c r="M2272" i="1"/>
  <c r="O2272" i="1"/>
  <c r="Q2272" i="1"/>
  <c r="R2272" i="1"/>
  <c r="W2272" i="1"/>
  <c r="AA2272" i="1"/>
  <c r="AB2272" i="1"/>
  <c r="AE2272" i="1"/>
  <c r="AF2272" i="1"/>
  <c r="AM2272" i="1"/>
  <c r="AN2272" i="1"/>
  <c r="AO2272" i="1"/>
  <c r="AQ2272" i="1"/>
  <c r="AX2272" i="1"/>
  <c r="BD2272" i="1"/>
  <c r="B2273" i="1"/>
  <c r="C2273" i="1"/>
  <c r="D2273" i="1"/>
  <c r="E2273" i="1"/>
  <c r="F2273" i="1"/>
  <c r="G2273" i="1"/>
  <c r="H2273" i="1"/>
  <c r="I2273" i="1"/>
  <c r="J2273" i="1"/>
  <c r="K2273" i="1"/>
  <c r="M2273" i="1"/>
  <c r="O2273" i="1"/>
  <c r="Q2273" i="1"/>
  <c r="R2273" i="1"/>
  <c r="W2273" i="1"/>
  <c r="AA2273" i="1"/>
  <c r="AB2273" i="1"/>
  <c r="AE2273" i="1"/>
  <c r="AF2273" i="1"/>
  <c r="AM2273" i="1"/>
  <c r="AN2273" i="1"/>
  <c r="AO2273" i="1"/>
  <c r="AQ2273" i="1"/>
  <c r="AX2273" i="1"/>
  <c r="BD2273" i="1"/>
  <c r="B2274" i="1"/>
  <c r="C2274" i="1"/>
  <c r="D2274" i="1"/>
  <c r="E2274" i="1"/>
  <c r="F2274" i="1"/>
  <c r="G2274" i="1"/>
  <c r="H2274" i="1"/>
  <c r="I2274" i="1"/>
  <c r="J2274" i="1"/>
  <c r="K2274" i="1"/>
  <c r="M2274" i="1"/>
  <c r="O2274" i="1"/>
  <c r="Q2274" i="1"/>
  <c r="R2274" i="1"/>
  <c r="W2274" i="1"/>
  <c r="AA2274" i="1"/>
  <c r="AB2274" i="1"/>
  <c r="AE2274" i="1"/>
  <c r="AF2274" i="1"/>
  <c r="AM2274" i="1"/>
  <c r="AN2274" i="1"/>
  <c r="AO2274" i="1"/>
  <c r="AQ2274" i="1"/>
  <c r="AX2274" i="1"/>
  <c r="BD2274" i="1"/>
  <c r="B2275" i="1"/>
  <c r="C2275" i="1"/>
  <c r="D2275" i="1"/>
  <c r="E2275" i="1"/>
  <c r="F2275" i="1"/>
  <c r="G2275" i="1"/>
  <c r="H2275" i="1"/>
  <c r="I2275" i="1"/>
  <c r="J2275" i="1"/>
  <c r="K2275" i="1"/>
  <c r="M2275" i="1"/>
  <c r="O2275" i="1"/>
  <c r="Q2275" i="1"/>
  <c r="R2275" i="1"/>
  <c r="W2275" i="1"/>
  <c r="AA2275" i="1"/>
  <c r="AB2275" i="1"/>
  <c r="AE2275" i="1"/>
  <c r="AF2275" i="1"/>
  <c r="AM2275" i="1"/>
  <c r="AN2275" i="1"/>
  <c r="AO2275" i="1"/>
  <c r="AQ2275" i="1"/>
  <c r="AX2275" i="1"/>
  <c r="BD2275" i="1"/>
  <c r="B2276" i="1"/>
  <c r="C2276" i="1"/>
  <c r="D2276" i="1"/>
  <c r="E2276" i="1"/>
  <c r="F2276" i="1"/>
  <c r="G2276" i="1"/>
  <c r="H2276" i="1"/>
  <c r="I2276" i="1"/>
  <c r="J2276" i="1"/>
  <c r="K2276" i="1"/>
  <c r="M2276" i="1"/>
  <c r="O2276" i="1"/>
  <c r="Q2276" i="1"/>
  <c r="R2276" i="1"/>
  <c r="W2276" i="1"/>
  <c r="AA2276" i="1"/>
  <c r="AB2276" i="1"/>
  <c r="AE2276" i="1"/>
  <c r="AF2276" i="1"/>
  <c r="AM2276" i="1"/>
  <c r="AN2276" i="1"/>
  <c r="AO2276" i="1"/>
  <c r="AQ2276" i="1"/>
  <c r="AX2276" i="1"/>
  <c r="BD2276" i="1"/>
  <c r="B2277" i="1"/>
  <c r="C2277" i="1"/>
  <c r="D2277" i="1"/>
  <c r="E2277" i="1"/>
  <c r="F2277" i="1"/>
  <c r="G2277" i="1"/>
  <c r="H2277" i="1"/>
  <c r="I2277" i="1"/>
  <c r="J2277" i="1"/>
  <c r="K2277" i="1"/>
  <c r="M2277" i="1"/>
  <c r="O2277" i="1"/>
  <c r="Q2277" i="1"/>
  <c r="R2277" i="1"/>
  <c r="W2277" i="1"/>
  <c r="AA2277" i="1"/>
  <c r="AB2277" i="1"/>
  <c r="AE2277" i="1"/>
  <c r="AF2277" i="1"/>
  <c r="AM2277" i="1"/>
  <c r="AN2277" i="1"/>
  <c r="AO2277" i="1"/>
  <c r="AQ2277" i="1"/>
  <c r="AX2277" i="1"/>
  <c r="BD2277" i="1"/>
  <c r="B2278" i="1"/>
  <c r="C2278" i="1"/>
  <c r="D2278" i="1"/>
  <c r="E2278" i="1"/>
  <c r="F2278" i="1"/>
  <c r="G2278" i="1"/>
  <c r="H2278" i="1"/>
  <c r="I2278" i="1"/>
  <c r="J2278" i="1"/>
  <c r="K2278" i="1"/>
  <c r="M2278" i="1"/>
  <c r="O2278" i="1"/>
  <c r="Q2278" i="1"/>
  <c r="R2278" i="1"/>
  <c r="W2278" i="1"/>
  <c r="AA2278" i="1"/>
  <c r="AB2278" i="1"/>
  <c r="AE2278" i="1"/>
  <c r="AF2278" i="1"/>
  <c r="AM2278" i="1"/>
  <c r="AN2278" i="1"/>
  <c r="AO2278" i="1"/>
  <c r="AQ2278" i="1"/>
  <c r="AX2278" i="1"/>
  <c r="BD2278" i="1"/>
  <c r="B2279" i="1"/>
  <c r="C2279" i="1"/>
  <c r="D2279" i="1"/>
  <c r="E2279" i="1"/>
  <c r="F2279" i="1"/>
  <c r="G2279" i="1"/>
  <c r="H2279" i="1"/>
  <c r="I2279" i="1"/>
  <c r="J2279" i="1"/>
  <c r="K2279" i="1"/>
  <c r="M2279" i="1"/>
  <c r="O2279" i="1"/>
  <c r="Q2279" i="1"/>
  <c r="R2279" i="1"/>
  <c r="W2279" i="1"/>
  <c r="AA2279" i="1"/>
  <c r="AB2279" i="1"/>
  <c r="AE2279" i="1"/>
  <c r="AF2279" i="1"/>
  <c r="AM2279" i="1"/>
  <c r="AN2279" i="1"/>
  <c r="AO2279" i="1"/>
  <c r="AQ2279" i="1"/>
  <c r="AX2279" i="1"/>
  <c r="BD2279" i="1"/>
  <c r="B2280" i="1"/>
  <c r="C2280" i="1"/>
  <c r="D2280" i="1"/>
  <c r="E2280" i="1"/>
  <c r="F2280" i="1"/>
  <c r="G2280" i="1"/>
  <c r="H2280" i="1"/>
  <c r="I2280" i="1"/>
  <c r="J2280" i="1"/>
  <c r="K2280" i="1"/>
  <c r="M2280" i="1"/>
  <c r="O2280" i="1"/>
  <c r="Q2280" i="1"/>
  <c r="R2280" i="1"/>
  <c r="W2280" i="1"/>
  <c r="AA2280" i="1"/>
  <c r="AB2280" i="1"/>
  <c r="AE2280" i="1"/>
  <c r="AF2280" i="1"/>
  <c r="AM2280" i="1"/>
  <c r="AN2280" i="1"/>
  <c r="AO2280" i="1"/>
  <c r="AQ2280" i="1"/>
  <c r="AX2280" i="1"/>
  <c r="BD2280" i="1"/>
  <c r="B2281" i="1"/>
  <c r="C2281" i="1"/>
  <c r="D2281" i="1"/>
  <c r="E2281" i="1"/>
  <c r="F2281" i="1"/>
  <c r="G2281" i="1"/>
  <c r="H2281" i="1"/>
  <c r="I2281" i="1"/>
  <c r="J2281" i="1"/>
  <c r="K2281" i="1"/>
  <c r="M2281" i="1"/>
  <c r="O2281" i="1"/>
  <c r="Q2281" i="1"/>
  <c r="R2281" i="1"/>
  <c r="W2281" i="1"/>
  <c r="AA2281" i="1"/>
  <c r="AB2281" i="1"/>
  <c r="AE2281" i="1"/>
  <c r="AF2281" i="1"/>
  <c r="AM2281" i="1"/>
  <c r="AN2281" i="1"/>
  <c r="AO2281" i="1"/>
  <c r="AQ2281" i="1"/>
  <c r="AX2281" i="1"/>
  <c r="BD2281" i="1"/>
  <c r="B2282" i="1"/>
  <c r="C2282" i="1"/>
  <c r="D2282" i="1"/>
  <c r="E2282" i="1"/>
  <c r="F2282" i="1"/>
  <c r="G2282" i="1"/>
  <c r="H2282" i="1"/>
  <c r="I2282" i="1"/>
  <c r="J2282" i="1"/>
  <c r="K2282" i="1"/>
  <c r="M2282" i="1"/>
  <c r="O2282" i="1"/>
  <c r="Q2282" i="1"/>
  <c r="R2282" i="1"/>
  <c r="W2282" i="1"/>
  <c r="AA2282" i="1"/>
  <c r="AB2282" i="1"/>
  <c r="AE2282" i="1"/>
  <c r="AF2282" i="1"/>
  <c r="AM2282" i="1"/>
  <c r="AN2282" i="1"/>
  <c r="AO2282" i="1"/>
  <c r="AQ2282" i="1"/>
  <c r="AX2282" i="1"/>
  <c r="BD2282" i="1"/>
  <c r="B2283" i="1"/>
  <c r="C2283" i="1"/>
  <c r="D2283" i="1"/>
  <c r="E2283" i="1"/>
  <c r="F2283" i="1"/>
  <c r="G2283" i="1"/>
  <c r="H2283" i="1"/>
  <c r="I2283" i="1"/>
  <c r="J2283" i="1"/>
  <c r="K2283" i="1"/>
  <c r="M2283" i="1"/>
  <c r="O2283" i="1"/>
  <c r="Q2283" i="1"/>
  <c r="R2283" i="1"/>
  <c r="W2283" i="1"/>
  <c r="AA2283" i="1"/>
  <c r="AB2283" i="1"/>
  <c r="AE2283" i="1"/>
  <c r="AF2283" i="1"/>
  <c r="AM2283" i="1"/>
  <c r="AN2283" i="1"/>
  <c r="AO2283" i="1"/>
  <c r="AQ2283" i="1"/>
  <c r="AX2283" i="1"/>
  <c r="BD2283" i="1"/>
  <c r="B2284" i="1"/>
  <c r="C2284" i="1"/>
  <c r="D2284" i="1"/>
  <c r="E2284" i="1"/>
  <c r="F2284" i="1"/>
  <c r="G2284" i="1"/>
  <c r="H2284" i="1"/>
  <c r="I2284" i="1"/>
  <c r="J2284" i="1"/>
  <c r="K2284" i="1"/>
  <c r="M2284" i="1"/>
  <c r="O2284" i="1"/>
  <c r="Q2284" i="1"/>
  <c r="R2284" i="1"/>
  <c r="W2284" i="1"/>
  <c r="AA2284" i="1"/>
  <c r="AB2284" i="1"/>
  <c r="AE2284" i="1"/>
  <c r="AF2284" i="1"/>
  <c r="AM2284" i="1"/>
  <c r="AN2284" i="1"/>
  <c r="AO2284" i="1"/>
  <c r="AQ2284" i="1"/>
  <c r="AX2284" i="1"/>
  <c r="BD2284" i="1"/>
  <c r="B2285" i="1"/>
  <c r="C2285" i="1"/>
  <c r="D2285" i="1"/>
  <c r="E2285" i="1"/>
  <c r="F2285" i="1"/>
  <c r="G2285" i="1"/>
  <c r="H2285" i="1"/>
  <c r="I2285" i="1"/>
  <c r="J2285" i="1"/>
  <c r="K2285" i="1"/>
  <c r="M2285" i="1"/>
  <c r="O2285" i="1"/>
  <c r="Q2285" i="1"/>
  <c r="R2285" i="1"/>
  <c r="W2285" i="1"/>
  <c r="AA2285" i="1"/>
  <c r="AB2285" i="1"/>
  <c r="AE2285" i="1"/>
  <c r="AF2285" i="1"/>
  <c r="AM2285" i="1"/>
  <c r="AN2285" i="1"/>
  <c r="AO2285" i="1"/>
  <c r="AQ2285" i="1"/>
  <c r="AX2285" i="1"/>
  <c r="BD2285" i="1"/>
  <c r="B2286" i="1"/>
  <c r="C2286" i="1"/>
  <c r="D2286" i="1"/>
  <c r="E2286" i="1"/>
  <c r="F2286" i="1"/>
  <c r="G2286" i="1"/>
  <c r="H2286" i="1"/>
  <c r="I2286" i="1"/>
  <c r="J2286" i="1"/>
  <c r="K2286" i="1"/>
  <c r="M2286" i="1"/>
  <c r="O2286" i="1"/>
  <c r="Q2286" i="1"/>
  <c r="R2286" i="1"/>
  <c r="W2286" i="1"/>
  <c r="AA2286" i="1"/>
  <c r="AB2286" i="1"/>
  <c r="AE2286" i="1"/>
  <c r="AF2286" i="1"/>
  <c r="AM2286" i="1"/>
  <c r="AN2286" i="1"/>
  <c r="AO2286" i="1"/>
  <c r="AQ2286" i="1"/>
  <c r="AX2286" i="1"/>
  <c r="BD2286" i="1"/>
  <c r="B2287" i="1"/>
  <c r="C2287" i="1"/>
  <c r="D2287" i="1"/>
  <c r="E2287" i="1"/>
  <c r="F2287" i="1"/>
  <c r="G2287" i="1"/>
  <c r="H2287" i="1"/>
  <c r="I2287" i="1"/>
  <c r="J2287" i="1"/>
  <c r="K2287" i="1"/>
  <c r="M2287" i="1"/>
  <c r="O2287" i="1"/>
  <c r="Q2287" i="1"/>
  <c r="R2287" i="1"/>
  <c r="W2287" i="1"/>
  <c r="AA2287" i="1"/>
  <c r="AB2287" i="1"/>
  <c r="AE2287" i="1"/>
  <c r="AF2287" i="1"/>
  <c r="AM2287" i="1"/>
  <c r="AN2287" i="1"/>
  <c r="AO2287" i="1"/>
  <c r="AQ2287" i="1"/>
  <c r="AX2287" i="1"/>
  <c r="BD2287" i="1"/>
  <c r="B2288" i="1"/>
  <c r="C2288" i="1"/>
  <c r="D2288" i="1"/>
  <c r="E2288" i="1"/>
  <c r="F2288" i="1"/>
  <c r="G2288" i="1"/>
  <c r="H2288" i="1"/>
  <c r="I2288" i="1"/>
  <c r="J2288" i="1"/>
  <c r="K2288" i="1"/>
  <c r="M2288" i="1"/>
  <c r="O2288" i="1"/>
  <c r="Q2288" i="1"/>
  <c r="R2288" i="1"/>
  <c r="W2288" i="1"/>
  <c r="AA2288" i="1"/>
  <c r="AB2288" i="1"/>
  <c r="AE2288" i="1"/>
  <c r="AF2288" i="1"/>
  <c r="AM2288" i="1"/>
  <c r="AN2288" i="1"/>
  <c r="AO2288" i="1"/>
  <c r="AQ2288" i="1"/>
  <c r="AX2288" i="1"/>
  <c r="BD2288" i="1"/>
  <c r="B2289" i="1"/>
  <c r="C2289" i="1"/>
  <c r="D2289" i="1"/>
  <c r="E2289" i="1"/>
  <c r="F2289" i="1"/>
  <c r="G2289" i="1"/>
  <c r="H2289" i="1"/>
  <c r="I2289" i="1"/>
  <c r="J2289" i="1"/>
  <c r="K2289" i="1"/>
  <c r="M2289" i="1"/>
  <c r="O2289" i="1"/>
  <c r="Q2289" i="1"/>
  <c r="R2289" i="1"/>
  <c r="W2289" i="1"/>
  <c r="AA2289" i="1"/>
  <c r="AB2289" i="1"/>
  <c r="AE2289" i="1"/>
  <c r="AF2289" i="1"/>
  <c r="AM2289" i="1"/>
  <c r="AN2289" i="1"/>
  <c r="AO2289" i="1"/>
  <c r="AQ2289" i="1"/>
  <c r="AX2289" i="1"/>
  <c r="BD2289" i="1"/>
  <c r="B2290" i="1"/>
  <c r="C2290" i="1"/>
  <c r="D2290" i="1"/>
  <c r="E2290" i="1"/>
  <c r="F2290" i="1"/>
  <c r="G2290" i="1"/>
  <c r="H2290" i="1"/>
  <c r="I2290" i="1"/>
  <c r="J2290" i="1"/>
  <c r="K2290" i="1"/>
  <c r="M2290" i="1"/>
  <c r="O2290" i="1"/>
  <c r="Q2290" i="1"/>
  <c r="R2290" i="1"/>
  <c r="W2290" i="1"/>
  <c r="AA2290" i="1"/>
  <c r="AB2290" i="1"/>
  <c r="AE2290" i="1"/>
  <c r="AF2290" i="1"/>
  <c r="AM2290" i="1"/>
  <c r="AN2290" i="1"/>
  <c r="AO2290" i="1"/>
  <c r="AQ2290" i="1"/>
  <c r="AX2290" i="1"/>
  <c r="BD2290" i="1"/>
  <c r="B2291" i="1"/>
  <c r="C2291" i="1"/>
  <c r="D2291" i="1"/>
  <c r="E2291" i="1"/>
  <c r="F2291" i="1"/>
  <c r="G2291" i="1"/>
  <c r="H2291" i="1"/>
  <c r="I2291" i="1"/>
  <c r="J2291" i="1"/>
  <c r="K2291" i="1"/>
  <c r="M2291" i="1"/>
  <c r="O2291" i="1"/>
  <c r="Q2291" i="1"/>
  <c r="R2291" i="1"/>
  <c r="W2291" i="1"/>
  <c r="AA2291" i="1"/>
  <c r="AB2291" i="1"/>
  <c r="AE2291" i="1"/>
  <c r="AF2291" i="1"/>
  <c r="AM2291" i="1"/>
  <c r="AN2291" i="1"/>
  <c r="AO2291" i="1"/>
  <c r="AQ2291" i="1"/>
  <c r="AX2291" i="1"/>
  <c r="BD2291" i="1"/>
  <c r="B2292" i="1"/>
  <c r="C2292" i="1"/>
  <c r="D2292" i="1"/>
  <c r="E2292" i="1"/>
  <c r="F2292" i="1"/>
  <c r="G2292" i="1"/>
  <c r="H2292" i="1"/>
  <c r="I2292" i="1"/>
  <c r="J2292" i="1"/>
  <c r="K2292" i="1"/>
  <c r="M2292" i="1"/>
  <c r="O2292" i="1"/>
  <c r="Q2292" i="1"/>
  <c r="R2292" i="1"/>
  <c r="W2292" i="1"/>
  <c r="AA2292" i="1"/>
  <c r="AB2292" i="1"/>
  <c r="AE2292" i="1"/>
  <c r="AF2292" i="1"/>
  <c r="AM2292" i="1"/>
  <c r="AN2292" i="1"/>
  <c r="AO2292" i="1"/>
  <c r="AQ2292" i="1"/>
  <c r="AX2292" i="1"/>
  <c r="BD2292" i="1"/>
  <c r="B2293" i="1"/>
  <c r="C2293" i="1"/>
  <c r="D2293" i="1"/>
  <c r="E2293" i="1"/>
  <c r="F2293" i="1"/>
  <c r="G2293" i="1"/>
  <c r="H2293" i="1"/>
  <c r="I2293" i="1"/>
  <c r="J2293" i="1"/>
  <c r="K2293" i="1"/>
  <c r="M2293" i="1"/>
  <c r="O2293" i="1"/>
  <c r="Q2293" i="1"/>
  <c r="R2293" i="1"/>
  <c r="W2293" i="1"/>
  <c r="AA2293" i="1"/>
  <c r="AB2293" i="1"/>
  <c r="AE2293" i="1"/>
  <c r="AF2293" i="1"/>
  <c r="AM2293" i="1"/>
  <c r="AN2293" i="1"/>
  <c r="AO2293" i="1"/>
  <c r="AQ2293" i="1"/>
  <c r="AX2293" i="1"/>
  <c r="BD2293" i="1"/>
  <c r="B2294" i="1"/>
  <c r="C2294" i="1"/>
  <c r="D2294" i="1"/>
  <c r="E2294" i="1"/>
  <c r="F2294" i="1"/>
  <c r="G2294" i="1"/>
  <c r="H2294" i="1"/>
  <c r="I2294" i="1"/>
  <c r="J2294" i="1"/>
  <c r="K2294" i="1"/>
  <c r="M2294" i="1"/>
  <c r="O2294" i="1"/>
  <c r="Q2294" i="1"/>
  <c r="R2294" i="1"/>
  <c r="W2294" i="1"/>
  <c r="AA2294" i="1"/>
  <c r="AB2294" i="1"/>
  <c r="AE2294" i="1"/>
  <c r="AF2294" i="1"/>
  <c r="AM2294" i="1"/>
  <c r="AN2294" i="1"/>
  <c r="AO2294" i="1"/>
  <c r="AQ2294" i="1"/>
  <c r="AX2294" i="1"/>
  <c r="BD2294" i="1"/>
  <c r="B2295" i="1"/>
  <c r="C2295" i="1"/>
  <c r="D2295" i="1"/>
  <c r="E2295" i="1"/>
  <c r="F2295" i="1"/>
  <c r="G2295" i="1"/>
  <c r="H2295" i="1"/>
  <c r="I2295" i="1"/>
  <c r="J2295" i="1"/>
  <c r="K2295" i="1"/>
  <c r="M2295" i="1"/>
  <c r="O2295" i="1"/>
  <c r="Q2295" i="1"/>
  <c r="R2295" i="1"/>
  <c r="W2295" i="1"/>
  <c r="AA2295" i="1"/>
  <c r="AB2295" i="1"/>
  <c r="AE2295" i="1"/>
  <c r="AF2295" i="1"/>
  <c r="AM2295" i="1"/>
  <c r="AN2295" i="1"/>
  <c r="AO2295" i="1"/>
  <c r="AQ2295" i="1"/>
  <c r="AX2295" i="1"/>
  <c r="BD2295" i="1"/>
  <c r="B2296" i="1"/>
  <c r="C2296" i="1"/>
  <c r="D2296" i="1"/>
  <c r="E2296" i="1"/>
  <c r="F2296" i="1"/>
  <c r="G2296" i="1"/>
  <c r="H2296" i="1"/>
  <c r="I2296" i="1"/>
  <c r="J2296" i="1"/>
  <c r="K2296" i="1"/>
  <c r="M2296" i="1"/>
  <c r="O2296" i="1"/>
  <c r="Q2296" i="1"/>
  <c r="R2296" i="1"/>
  <c r="W2296" i="1"/>
  <c r="AA2296" i="1"/>
  <c r="AB2296" i="1"/>
  <c r="AE2296" i="1"/>
  <c r="AF2296" i="1"/>
  <c r="AM2296" i="1"/>
  <c r="AN2296" i="1"/>
  <c r="AO2296" i="1"/>
  <c r="AQ2296" i="1"/>
  <c r="AX2296" i="1"/>
  <c r="BD2296" i="1"/>
  <c r="B2297" i="1"/>
  <c r="C2297" i="1"/>
  <c r="D2297" i="1"/>
  <c r="E2297" i="1"/>
  <c r="F2297" i="1"/>
  <c r="G2297" i="1"/>
  <c r="H2297" i="1"/>
  <c r="I2297" i="1"/>
  <c r="J2297" i="1"/>
  <c r="K2297" i="1"/>
  <c r="M2297" i="1"/>
  <c r="O2297" i="1"/>
  <c r="Q2297" i="1"/>
  <c r="R2297" i="1"/>
  <c r="W2297" i="1"/>
  <c r="AA2297" i="1"/>
  <c r="AB2297" i="1"/>
  <c r="AE2297" i="1"/>
  <c r="AF2297" i="1"/>
  <c r="AM2297" i="1"/>
  <c r="AN2297" i="1"/>
  <c r="AO2297" i="1"/>
  <c r="AQ2297" i="1"/>
  <c r="AX2297" i="1"/>
  <c r="BD2297" i="1"/>
  <c r="B2298" i="1"/>
  <c r="C2298" i="1"/>
  <c r="D2298" i="1"/>
  <c r="E2298" i="1"/>
  <c r="F2298" i="1"/>
  <c r="G2298" i="1"/>
  <c r="H2298" i="1"/>
  <c r="I2298" i="1"/>
  <c r="J2298" i="1"/>
  <c r="K2298" i="1"/>
  <c r="M2298" i="1"/>
  <c r="O2298" i="1"/>
  <c r="Q2298" i="1"/>
  <c r="R2298" i="1"/>
  <c r="W2298" i="1"/>
  <c r="AA2298" i="1"/>
  <c r="AB2298" i="1"/>
  <c r="AE2298" i="1"/>
  <c r="AF2298" i="1"/>
  <c r="AM2298" i="1"/>
  <c r="AN2298" i="1"/>
  <c r="AO2298" i="1"/>
  <c r="AQ2298" i="1"/>
  <c r="AX2298" i="1"/>
  <c r="BD2298" i="1"/>
  <c r="B2299" i="1"/>
  <c r="C2299" i="1"/>
  <c r="D2299" i="1"/>
  <c r="E2299" i="1"/>
  <c r="F2299" i="1"/>
  <c r="G2299" i="1"/>
  <c r="H2299" i="1"/>
  <c r="I2299" i="1"/>
  <c r="J2299" i="1"/>
  <c r="K2299" i="1"/>
  <c r="M2299" i="1"/>
  <c r="O2299" i="1"/>
  <c r="Q2299" i="1"/>
  <c r="R2299" i="1"/>
  <c r="W2299" i="1"/>
  <c r="AA2299" i="1"/>
  <c r="AB2299" i="1"/>
  <c r="AE2299" i="1"/>
  <c r="AF2299" i="1"/>
  <c r="AM2299" i="1"/>
  <c r="AN2299" i="1"/>
  <c r="AO2299" i="1"/>
  <c r="AQ2299" i="1"/>
  <c r="AX2299" i="1"/>
  <c r="BD2299" i="1"/>
  <c r="B2300" i="1"/>
  <c r="C2300" i="1"/>
  <c r="D2300" i="1"/>
  <c r="E2300" i="1"/>
  <c r="F2300" i="1"/>
  <c r="G2300" i="1"/>
  <c r="H2300" i="1"/>
  <c r="I2300" i="1"/>
  <c r="J2300" i="1"/>
  <c r="K2300" i="1"/>
  <c r="M2300" i="1"/>
  <c r="O2300" i="1"/>
  <c r="Q2300" i="1"/>
  <c r="R2300" i="1"/>
  <c r="W2300" i="1"/>
  <c r="AA2300" i="1"/>
  <c r="AB2300" i="1"/>
  <c r="AE2300" i="1"/>
  <c r="AF2300" i="1"/>
  <c r="AM2300" i="1"/>
  <c r="AN2300" i="1"/>
  <c r="AO2300" i="1"/>
  <c r="AQ2300" i="1"/>
  <c r="AX2300" i="1"/>
  <c r="BD2300" i="1"/>
  <c r="B2301" i="1"/>
  <c r="C2301" i="1"/>
  <c r="D2301" i="1"/>
  <c r="E2301" i="1"/>
  <c r="F2301" i="1"/>
  <c r="G2301" i="1"/>
  <c r="H2301" i="1"/>
  <c r="I2301" i="1"/>
  <c r="J2301" i="1"/>
  <c r="K2301" i="1"/>
  <c r="M2301" i="1"/>
  <c r="O2301" i="1"/>
  <c r="Q2301" i="1"/>
  <c r="R2301" i="1"/>
  <c r="W2301" i="1"/>
  <c r="AA2301" i="1"/>
  <c r="AB2301" i="1"/>
  <c r="AE2301" i="1"/>
  <c r="AF2301" i="1"/>
  <c r="AM2301" i="1"/>
  <c r="AN2301" i="1"/>
  <c r="AO2301" i="1"/>
  <c r="AQ2301" i="1"/>
  <c r="AX2301" i="1"/>
  <c r="BD2301" i="1"/>
  <c r="B2302" i="1"/>
  <c r="C2302" i="1"/>
  <c r="D2302" i="1"/>
  <c r="E2302" i="1"/>
  <c r="F2302" i="1"/>
  <c r="G2302" i="1"/>
  <c r="H2302" i="1"/>
  <c r="I2302" i="1"/>
  <c r="J2302" i="1"/>
  <c r="K2302" i="1"/>
  <c r="M2302" i="1"/>
  <c r="O2302" i="1"/>
  <c r="Q2302" i="1"/>
  <c r="R2302" i="1"/>
  <c r="W2302" i="1"/>
  <c r="AA2302" i="1"/>
  <c r="AB2302" i="1"/>
  <c r="AE2302" i="1"/>
  <c r="AF2302" i="1"/>
  <c r="AM2302" i="1"/>
  <c r="AN2302" i="1"/>
  <c r="AO2302" i="1"/>
  <c r="AQ2302" i="1"/>
  <c r="AX2302" i="1"/>
  <c r="BD2302" i="1"/>
  <c r="B2303" i="1"/>
  <c r="C2303" i="1"/>
  <c r="D2303" i="1"/>
  <c r="E2303" i="1"/>
  <c r="F2303" i="1"/>
  <c r="G2303" i="1"/>
  <c r="H2303" i="1"/>
  <c r="I2303" i="1"/>
  <c r="J2303" i="1"/>
  <c r="K2303" i="1"/>
  <c r="M2303" i="1"/>
  <c r="O2303" i="1"/>
  <c r="Q2303" i="1"/>
  <c r="R2303" i="1"/>
  <c r="W2303" i="1"/>
  <c r="AA2303" i="1"/>
  <c r="AB2303" i="1"/>
  <c r="AE2303" i="1"/>
  <c r="AF2303" i="1"/>
  <c r="AM2303" i="1"/>
  <c r="AN2303" i="1"/>
  <c r="AO2303" i="1"/>
  <c r="AQ2303" i="1"/>
  <c r="AX2303" i="1"/>
  <c r="BD2303" i="1"/>
  <c r="B2304" i="1"/>
  <c r="C2304" i="1"/>
  <c r="D2304" i="1"/>
  <c r="E2304" i="1"/>
  <c r="F2304" i="1"/>
  <c r="G2304" i="1"/>
  <c r="H2304" i="1"/>
  <c r="I2304" i="1"/>
  <c r="J2304" i="1"/>
  <c r="K2304" i="1"/>
  <c r="M2304" i="1"/>
  <c r="O2304" i="1"/>
  <c r="Q2304" i="1"/>
  <c r="R2304" i="1"/>
  <c r="W2304" i="1"/>
  <c r="AA2304" i="1"/>
  <c r="AB2304" i="1"/>
  <c r="AE2304" i="1"/>
  <c r="AF2304" i="1"/>
  <c r="AM2304" i="1"/>
  <c r="AN2304" i="1"/>
  <c r="AO2304" i="1"/>
  <c r="AQ2304" i="1"/>
  <c r="AX2304" i="1"/>
  <c r="BD2304" i="1"/>
  <c r="B2305" i="1"/>
  <c r="C2305" i="1"/>
  <c r="D2305" i="1"/>
  <c r="E2305" i="1"/>
  <c r="F2305" i="1"/>
  <c r="G2305" i="1"/>
  <c r="H2305" i="1"/>
  <c r="I2305" i="1"/>
  <c r="J2305" i="1"/>
  <c r="K2305" i="1"/>
  <c r="M2305" i="1"/>
  <c r="O2305" i="1"/>
  <c r="Q2305" i="1"/>
  <c r="R2305" i="1"/>
  <c r="W2305" i="1"/>
  <c r="AA2305" i="1"/>
  <c r="AB2305" i="1"/>
  <c r="AE2305" i="1"/>
  <c r="AF2305" i="1"/>
  <c r="AM2305" i="1"/>
  <c r="AN2305" i="1"/>
  <c r="AO2305" i="1"/>
  <c r="AQ2305" i="1"/>
  <c r="AX2305" i="1"/>
  <c r="BD2305" i="1"/>
  <c r="B2306" i="1"/>
  <c r="C2306" i="1"/>
  <c r="D2306" i="1"/>
  <c r="E2306" i="1"/>
  <c r="F2306" i="1"/>
  <c r="G2306" i="1"/>
  <c r="H2306" i="1"/>
  <c r="I2306" i="1"/>
  <c r="J2306" i="1"/>
  <c r="K2306" i="1"/>
  <c r="M2306" i="1"/>
  <c r="O2306" i="1"/>
  <c r="Q2306" i="1"/>
  <c r="R2306" i="1"/>
  <c r="W2306" i="1"/>
  <c r="AA2306" i="1"/>
  <c r="AB2306" i="1"/>
  <c r="AE2306" i="1"/>
  <c r="AF2306" i="1"/>
  <c r="AM2306" i="1"/>
  <c r="AN2306" i="1"/>
  <c r="AO2306" i="1"/>
  <c r="AQ2306" i="1"/>
  <c r="AX2306" i="1"/>
  <c r="BD2306" i="1"/>
  <c r="B2307" i="1"/>
  <c r="C2307" i="1"/>
  <c r="D2307" i="1"/>
  <c r="E2307" i="1"/>
  <c r="F2307" i="1"/>
  <c r="G2307" i="1"/>
  <c r="H2307" i="1"/>
  <c r="I2307" i="1"/>
  <c r="J2307" i="1"/>
  <c r="K2307" i="1"/>
  <c r="M2307" i="1"/>
  <c r="O2307" i="1"/>
  <c r="Q2307" i="1"/>
  <c r="R2307" i="1"/>
  <c r="W2307" i="1"/>
  <c r="AA2307" i="1"/>
  <c r="AB2307" i="1"/>
  <c r="AE2307" i="1"/>
  <c r="AF2307" i="1"/>
  <c r="AM2307" i="1"/>
  <c r="AN2307" i="1"/>
  <c r="AO2307" i="1"/>
  <c r="AQ2307" i="1"/>
  <c r="AX2307" i="1"/>
  <c r="BD2307" i="1"/>
  <c r="B2308" i="1"/>
  <c r="C2308" i="1"/>
  <c r="D2308" i="1"/>
  <c r="E2308" i="1"/>
  <c r="F2308" i="1"/>
  <c r="G2308" i="1"/>
  <c r="H2308" i="1"/>
  <c r="I2308" i="1"/>
  <c r="J2308" i="1"/>
  <c r="K2308" i="1"/>
  <c r="M2308" i="1"/>
  <c r="O2308" i="1"/>
  <c r="Q2308" i="1"/>
  <c r="R2308" i="1"/>
  <c r="W2308" i="1"/>
  <c r="AA2308" i="1"/>
  <c r="AB2308" i="1"/>
  <c r="AE2308" i="1"/>
  <c r="AF2308" i="1"/>
  <c r="AM2308" i="1"/>
  <c r="AN2308" i="1"/>
  <c r="AO2308" i="1"/>
  <c r="AQ2308" i="1"/>
  <c r="AX2308" i="1"/>
  <c r="BD2308" i="1"/>
  <c r="B2309" i="1"/>
  <c r="C2309" i="1"/>
  <c r="D2309" i="1"/>
  <c r="E2309" i="1"/>
  <c r="F2309" i="1"/>
  <c r="G2309" i="1"/>
  <c r="H2309" i="1"/>
  <c r="I2309" i="1"/>
  <c r="J2309" i="1"/>
  <c r="K2309" i="1"/>
  <c r="M2309" i="1"/>
  <c r="O2309" i="1"/>
  <c r="Q2309" i="1"/>
  <c r="R2309" i="1"/>
  <c r="W2309" i="1"/>
  <c r="AA2309" i="1"/>
  <c r="AB2309" i="1"/>
  <c r="AE2309" i="1"/>
  <c r="AF2309" i="1"/>
  <c r="AM2309" i="1"/>
  <c r="AN2309" i="1"/>
  <c r="AO2309" i="1"/>
  <c r="AQ2309" i="1"/>
  <c r="AX2309" i="1"/>
  <c r="BD2309" i="1"/>
  <c r="B2310" i="1"/>
  <c r="C2310" i="1"/>
  <c r="D2310" i="1"/>
  <c r="E2310" i="1"/>
  <c r="F2310" i="1"/>
  <c r="G2310" i="1"/>
  <c r="H2310" i="1"/>
  <c r="I2310" i="1"/>
  <c r="J2310" i="1"/>
  <c r="K2310" i="1"/>
  <c r="M2310" i="1"/>
  <c r="O2310" i="1"/>
  <c r="Q2310" i="1"/>
  <c r="R2310" i="1"/>
  <c r="W2310" i="1"/>
  <c r="AA2310" i="1"/>
  <c r="AB2310" i="1"/>
  <c r="AE2310" i="1"/>
  <c r="AF2310" i="1"/>
  <c r="AM2310" i="1"/>
  <c r="AN2310" i="1"/>
  <c r="AO2310" i="1"/>
  <c r="AQ2310" i="1"/>
  <c r="AX2310" i="1"/>
  <c r="BD2310" i="1"/>
  <c r="B2311" i="1"/>
  <c r="C2311" i="1"/>
  <c r="D2311" i="1"/>
  <c r="E2311" i="1"/>
  <c r="F2311" i="1"/>
  <c r="G2311" i="1"/>
  <c r="H2311" i="1"/>
  <c r="I2311" i="1"/>
  <c r="J2311" i="1"/>
  <c r="K2311" i="1"/>
  <c r="M2311" i="1"/>
  <c r="O2311" i="1"/>
  <c r="Q2311" i="1"/>
  <c r="R2311" i="1"/>
  <c r="W2311" i="1"/>
  <c r="AA2311" i="1"/>
  <c r="AB2311" i="1"/>
  <c r="AE2311" i="1"/>
  <c r="AF2311" i="1"/>
  <c r="AM2311" i="1"/>
  <c r="AN2311" i="1"/>
  <c r="AO2311" i="1"/>
  <c r="AQ2311" i="1"/>
  <c r="AX2311" i="1"/>
  <c r="BD2311" i="1"/>
  <c r="B2312" i="1"/>
  <c r="C2312" i="1"/>
  <c r="D2312" i="1"/>
  <c r="E2312" i="1"/>
  <c r="F2312" i="1"/>
  <c r="G2312" i="1"/>
  <c r="H2312" i="1"/>
  <c r="I2312" i="1"/>
  <c r="J2312" i="1"/>
  <c r="K2312" i="1"/>
  <c r="M2312" i="1"/>
  <c r="O2312" i="1"/>
  <c r="Q2312" i="1"/>
  <c r="R2312" i="1"/>
  <c r="W2312" i="1"/>
  <c r="AA2312" i="1"/>
  <c r="AB2312" i="1"/>
  <c r="AE2312" i="1"/>
  <c r="AF2312" i="1"/>
  <c r="AM2312" i="1"/>
  <c r="AN2312" i="1"/>
  <c r="AO2312" i="1"/>
  <c r="AQ2312" i="1"/>
  <c r="AX2312" i="1"/>
  <c r="BD2312" i="1"/>
  <c r="B2313" i="1"/>
  <c r="C2313" i="1"/>
  <c r="D2313" i="1"/>
  <c r="E2313" i="1"/>
  <c r="F2313" i="1"/>
  <c r="G2313" i="1"/>
  <c r="H2313" i="1"/>
  <c r="I2313" i="1"/>
  <c r="J2313" i="1"/>
  <c r="K2313" i="1"/>
  <c r="M2313" i="1"/>
  <c r="O2313" i="1"/>
  <c r="Q2313" i="1"/>
  <c r="R2313" i="1"/>
  <c r="W2313" i="1"/>
  <c r="AA2313" i="1"/>
  <c r="AB2313" i="1"/>
  <c r="AE2313" i="1"/>
  <c r="AF2313" i="1"/>
  <c r="AM2313" i="1"/>
  <c r="AN2313" i="1"/>
  <c r="AO2313" i="1"/>
  <c r="AQ2313" i="1"/>
  <c r="AX2313" i="1"/>
  <c r="BD2313" i="1"/>
  <c r="B2314" i="1"/>
  <c r="C2314" i="1"/>
  <c r="D2314" i="1"/>
  <c r="E2314" i="1"/>
  <c r="F2314" i="1"/>
  <c r="G2314" i="1"/>
  <c r="H2314" i="1"/>
  <c r="I2314" i="1"/>
  <c r="J2314" i="1"/>
  <c r="K2314" i="1"/>
  <c r="M2314" i="1"/>
  <c r="O2314" i="1"/>
  <c r="Q2314" i="1"/>
  <c r="R2314" i="1"/>
  <c r="W2314" i="1"/>
  <c r="AA2314" i="1"/>
  <c r="AB2314" i="1"/>
  <c r="AE2314" i="1"/>
  <c r="AF2314" i="1"/>
  <c r="AM2314" i="1"/>
  <c r="AN2314" i="1"/>
  <c r="AO2314" i="1"/>
  <c r="AQ2314" i="1"/>
  <c r="AX2314" i="1"/>
  <c r="BD2314" i="1"/>
  <c r="B2315" i="1"/>
  <c r="C2315" i="1"/>
  <c r="D2315" i="1"/>
  <c r="E2315" i="1"/>
  <c r="F2315" i="1"/>
  <c r="G2315" i="1"/>
  <c r="H2315" i="1"/>
  <c r="I2315" i="1"/>
  <c r="J2315" i="1"/>
  <c r="K2315" i="1"/>
  <c r="M2315" i="1"/>
  <c r="O2315" i="1"/>
  <c r="Q2315" i="1"/>
  <c r="R2315" i="1"/>
  <c r="W2315" i="1"/>
  <c r="AA2315" i="1"/>
  <c r="AB2315" i="1"/>
  <c r="AE2315" i="1"/>
  <c r="AF2315" i="1"/>
  <c r="AM2315" i="1"/>
  <c r="AN2315" i="1"/>
  <c r="AO2315" i="1"/>
  <c r="AQ2315" i="1"/>
  <c r="AX2315" i="1"/>
  <c r="BD2315" i="1"/>
  <c r="B2316" i="1"/>
  <c r="C2316" i="1"/>
  <c r="D2316" i="1"/>
  <c r="E2316" i="1"/>
  <c r="F2316" i="1"/>
  <c r="G2316" i="1"/>
  <c r="H2316" i="1"/>
  <c r="I2316" i="1"/>
  <c r="J2316" i="1"/>
  <c r="K2316" i="1"/>
  <c r="M2316" i="1"/>
  <c r="O2316" i="1"/>
  <c r="Q2316" i="1"/>
  <c r="R2316" i="1"/>
  <c r="W2316" i="1"/>
  <c r="AA2316" i="1"/>
  <c r="AB2316" i="1"/>
  <c r="AE2316" i="1"/>
  <c r="AF2316" i="1"/>
  <c r="AM2316" i="1"/>
  <c r="AN2316" i="1"/>
  <c r="AO2316" i="1"/>
  <c r="AQ2316" i="1"/>
  <c r="AX2316" i="1"/>
  <c r="BD2316" i="1"/>
  <c r="B2317" i="1"/>
  <c r="C2317" i="1"/>
  <c r="D2317" i="1"/>
  <c r="E2317" i="1"/>
  <c r="F2317" i="1"/>
  <c r="G2317" i="1"/>
  <c r="H2317" i="1"/>
  <c r="I2317" i="1"/>
  <c r="J2317" i="1"/>
  <c r="K2317" i="1"/>
  <c r="M2317" i="1"/>
  <c r="O2317" i="1"/>
  <c r="Q2317" i="1"/>
  <c r="R2317" i="1"/>
  <c r="W2317" i="1"/>
  <c r="AA2317" i="1"/>
  <c r="AB2317" i="1"/>
  <c r="AE2317" i="1"/>
  <c r="AF2317" i="1"/>
  <c r="AM2317" i="1"/>
  <c r="AN2317" i="1"/>
  <c r="AO2317" i="1"/>
  <c r="AQ2317" i="1"/>
  <c r="AX2317" i="1"/>
  <c r="BD2317" i="1"/>
  <c r="B2318" i="1"/>
  <c r="C2318" i="1"/>
  <c r="D2318" i="1"/>
  <c r="E2318" i="1"/>
  <c r="F2318" i="1"/>
  <c r="G2318" i="1"/>
  <c r="H2318" i="1"/>
  <c r="I2318" i="1"/>
  <c r="J2318" i="1"/>
  <c r="K2318" i="1"/>
  <c r="M2318" i="1"/>
  <c r="O2318" i="1"/>
  <c r="Q2318" i="1"/>
  <c r="R2318" i="1"/>
  <c r="W2318" i="1"/>
  <c r="AA2318" i="1"/>
  <c r="AB2318" i="1"/>
  <c r="AE2318" i="1"/>
  <c r="AF2318" i="1"/>
  <c r="AM2318" i="1"/>
  <c r="AN2318" i="1"/>
  <c r="AO2318" i="1"/>
  <c r="AQ2318" i="1"/>
  <c r="AX2318" i="1"/>
  <c r="BD2318" i="1"/>
  <c r="B2319" i="1"/>
  <c r="C2319" i="1"/>
  <c r="D2319" i="1"/>
  <c r="E2319" i="1"/>
  <c r="F2319" i="1"/>
  <c r="G2319" i="1"/>
  <c r="H2319" i="1"/>
  <c r="I2319" i="1"/>
  <c r="J2319" i="1"/>
  <c r="K2319" i="1"/>
  <c r="M2319" i="1"/>
  <c r="O2319" i="1"/>
  <c r="Q2319" i="1"/>
  <c r="R2319" i="1"/>
  <c r="W2319" i="1"/>
  <c r="AA2319" i="1"/>
  <c r="AB2319" i="1"/>
  <c r="AE2319" i="1"/>
  <c r="AF2319" i="1"/>
  <c r="AM2319" i="1"/>
  <c r="AN2319" i="1"/>
  <c r="AO2319" i="1"/>
  <c r="AQ2319" i="1"/>
  <c r="AX2319" i="1"/>
  <c r="BD2319" i="1"/>
  <c r="B2320" i="1"/>
  <c r="C2320" i="1"/>
  <c r="D2320" i="1"/>
  <c r="E2320" i="1"/>
  <c r="F2320" i="1"/>
  <c r="G2320" i="1"/>
  <c r="H2320" i="1"/>
  <c r="I2320" i="1"/>
  <c r="J2320" i="1"/>
  <c r="K2320" i="1"/>
  <c r="M2320" i="1"/>
  <c r="O2320" i="1"/>
  <c r="Q2320" i="1"/>
  <c r="R2320" i="1"/>
  <c r="W2320" i="1"/>
  <c r="AA2320" i="1"/>
  <c r="AB2320" i="1"/>
  <c r="AE2320" i="1"/>
  <c r="AF2320" i="1"/>
  <c r="AM2320" i="1"/>
  <c r="AN2320" i="1"/>
  <c r="AO2320" i="1"/>
  <c r="AQ2320" i="1"/>
  <c r="AX2320" i="1"/>
  <c r="BD2320" i="1"/>
  <c r="B2321" i="1"/>
  <c r="C2321" i="1"/>
  <c r="D2321" i="1"/>
  <c r="E2321" i="1"/>
  <c r="F2321" i="1"/>
  <c r="G2321" i="1"/>
  <c r="H2321" i="1"/>
  <c r="I2321" i="1"/>
  <c r="J2321" i="1"/>
  <c r="K2321" i="1"/>
  <c r="M2321" i="1"/>
  <c r="O2321" i="1"/>
  <c r="Q2321" i="1"/>
  <c r="R2321" i="1"/>
  <c r="W2321" i="1"/>
  <c r="AA2321" i="1"/>
  <c r="AB2321" i="1"/>
  <c r="AE2321" i="1"/>
  <c r="AF2321" i="1"/>
  <c r="AM2321" i="1"/>
  <c r="AN2321" i="1"/>
  <c r="AO2321" i="1"/>
  <c r="AQ2321" i="1"/>
  <c r="AX2321" i="1"/>
  <c r="BD2321" i="1"/>
  <c r="B2322" i="1"/>
  <c r="C2322" i="1"/>
  <c r="D2322" i="1"/>
  <c r="E2322" i="1"/>
  <c r="F2322" i="1"/>
  <c r="G2322" i="1"/>
  <c r="H2322" i="1"/>
  <c r="I2322" i="1"/>
  <c r="J2322" i="1"/>
  <c r="K2322" i="1"/>
  <c r="M2322" i="1"/>
  <c r="O2322" i="1"/>
  <c r="Q2322" i="1"/>
  <c r="R2322" i="1"/>
  <c r="W2322" i="1"/>
  <c r="AA2322" i="1"/>
  <c r="AB2322" i="1"/>
  <c r="AE2322" i="1"/>
  <c r="AF2322" i="1"/>
  <c r="AM2322" i="1"/>
  <c r="AN2322" i="1"/>
  <c r="AO2322" i="1"/>
  <c r="AQ2322" i="1"/>
  <c r="AX2322" i="1"/>
  <c r="BD2322" i="1"/>
  <c r="B2323" i="1"/>
  <c r="C2323" i="1"/>
  <c r="E2323" i="1"/>
  <c r="F2323" i="1"/>
  <c r="G2323" i="1"/>
  <c r="H2323" i="1"/>
  <c r="I2323" i="1"/>
  <c r="J2323" i="1"/>
  <c r="K2323" i="1"/>
  <c r="M2323" i="1"/>
  <c r="O2323" i="1"/>
  <c r="Q2323" i="1"/>
  <c r="R2323" i="1"/>
  <c r="W2323" i="1"/>
  <c r="AA2323" i="1"/>
  <c r="AB2323" i="1"/>
  <c r="AE2323" i="1"/>
  <c r="AF2323" i="1"/>
  <c r="AM2323" i="1"/>
  <c r="AN2323" i="1"/>
  <c r="AO2323" i="1"/>
  <c r="AQ2323" i="1"/>
  <c r="AX2323" i="1"/>
  <c r="BD2323" i="1"/>
  <c r="B2324" i="1"/>
  <c r="C2324" i="1"/>
  <c r="E2324" i="1"/>
  <c r="F2324" i="1"/>
  <c r="G2324" i="1"/>
  <c r="H2324" i="1"/>
  <c r="I2324" i="1"/>
  <c r="J2324" i="1"/>
  <c r="K2324" i="1"/>
  <c r="M2324" i="1"/>
  <c r="O2324" i="1"/>
  <c r="Q2324" i="1"/>
  <c r="R2324" i="1"/>
  <c r="W2324" i="1"/>
  <c r="AA2324" i="1"/>
  <c r="AB2324" i="1"/>
  <c r="AE2324" i="1"/>
  <c r="AF2324" i="1"/>
  <c r="AM2324" i="1"/>
  <c r="AN2324" i="1"/>
  <c r="AO2324" i="1"/>
  <c r="AQ2324" i="1"/>
  <c r="AX2324" i="1"/>
  <c r="BD2324" i="1"/>
  <c r="B2325" i="1"/>
  <c r="C2325" i="1"/>
  <c r="D2325" i="1"/>
  <c r="E2325" i="1"/>
  <c r="F2325" i="1"/>
  <c r="G2325" i="1"/>
  <c r="H2325" i="1"/>
  <c r="I2325" i="1"/>
  <c r="J2325" i="1"/>
  <c r="K2325" i="1"/>
  <c r="M2325" i="1"/>
  <c r="O2325" i="1"/>
  <c r="Q2325" i="1"/>
  <c r="R2325" i="1"/>
  <c r="W2325" i="1"/>
  <c r="AA2325" i="1"/>
  <c r="AB2325" i="1"/>
  <c r="AE2325" i="1"/>
  <c r="AF2325" i="1"/>
  <c r="AM2325" i="1"/>
  <c r="AN2325" i="1"/>
  <c r="AO2325" i="1"/>
  <c r="AQ2325" i="1"/>
  <c r="AX2325" i="1"/>
  <c r="BD2325" i="1"/>
  <c r="B2326" i="1"/>
  <c r="C2326" i="1"/>
  <c r="D2326" i="1"/>
  <c r="E2326" i="1"/>
  <c r="F2326" i="1"/>
  <c r="G2326" i="1"/>
  <c r="H2326" i="1"/>
  <c r="I2326" i="1"/>
  <c r="J2326" i="1"/>
  <c r="K2326" i="1"/>
  <c r="M2326" i="1"/>
  <c r="O2326" i="1"/>
  <c r="Q2326" i="1"/>
  <c r="R2326" i="1"/>
  <c r="W2326" i="1"/>
  <c r="AA2326" i="1"/>
  <c r="AB2326" i="1"/>
  <c r="AE2326" i="1"/>
  <c r="AF2326" i="1"/>
  <c r="AM2326" i="1"/>
  <c r="AN2326" i="1"/>
  <c r="AO2326" i="1"/>
  <c r="AQ2326" i="1"/>
  <c r="AX2326" i="1"/>
  <c r="BD2326" i="1"/>
  <c r="B2327" i="1"/>
  <c r="C2327" i="1"/>
  <c r="E2327" i="1"/>
  <c r="F2327" i="1"/>
  <c r="G2327" i="1"/>
  <c r="H2327" i="1"/>
  <c r="I2327" i="1"/>
  <c r="J2327" i="1"/>
  <c r="K2327" i="1"/>
  <c r="M2327" i="1"/>
  <c r="O2327" i="1"/>
  <c r="Q2327" i="1"/>
  <c r="R2327" i="1"/>
  <c r="W2327" i="1"/>
  <c r="AA2327" i="1"/>
  <c r="AB2327" i="1"/>
  <c r="AE2327" i="1"/>
  <c r="AF2327" i="1"/>
  <c r="AM2327" i="1"/>
  <c r="AN2327" i="1"/>
  <c r="AO2327" i="1"/>
  <c r="AQ2327" i="1"/>
  <c r="AX2327" i="1"/>
  <c r="BD2327" i="1"/>
  <c r="B2328" i="1"/>
  <c r="C2328" i="1"/>
  <c r="E2328" i="1"/>
  <c r="F2328" i="1"/>
  <c r="G2328" i="1"/>
  <c r="H2328" i="1"/>
  <c r="I2328" i="1"/>
  <c r="J2328" i="1"/>
  <c r="K2328" i="1"/>
  <c r="M2328" i="1"/>
  <c r="O2328" i="1"/>
  <c r="Q2328" i="1"/>
  <c r="R2328" i="1"/>
  <c r="W2328" i="1"/>
  <c r="AA2328" i="1"/>
  <c r="AB2328" i="1"/>
  <c r="AE2328" i="1"/>
  <c r="AF2328" i="1"/>
  <c r="AM2328" i="1"/>
  <c r="AN2328" i="1"/>
  <c r="AO2328" i="1"/>
  <c r="AQ2328" i="1"/>
  <c r="AX2328" i="1"/>
  <c r="BD2328" i="1"/>
  <c r="B2329" i="1"/>
  <c r="C2329" i="1"/>
  <c r="D2329" i="1"/>
  <c r="E2329" i="1"/>
  <c r="F2329" i="1"/>
  <c r="G2329" i="1"/>
  <c r="H2329" i="1"/>
  <c r="I2329" i="1"/>
  <c r="J2329" i="1"/>
  <c r="K2329" i="1"/>
  <c r="M2329" i="1"/>
  <c r="O2329" i="1"/>
  <c r="Q2329" i="1"/>
  <c r="R2329" i="1"/>
  <c r="W2329" i="1"/>
  <c r="AA2329" i="1"/>
  <c r="AB2329" i="1"/>
  <c r="AE2329" i="1"/>
  <c r="AF2329" i="1"/>
  <c r="AM2329" i="1"/>
  <c r="AN2329" i="1"/>
  <c r="AO2329" i="1"/>
  <c r="AQ2329" i="1"/>
  <c r="AX2329" i="1"/>
  <c r="BD2329" i="1"/>
  <c r="B2330" i="1"/>
  <c r="C2330" i="1"/>
  <c r="E2330" i="1"/>
  <c r="F2330" i="1"/>
  <c r="G2330" i="1"/>
  <c r="H2330" i="1"/>
  <c r="I2330" i="1"/>
  <c r="J2330" i="1"/>
  <c r="K2330" i="1"/>
  <c r="M2330" i="1"/>
  <c r="O2330" i="1"/>
  <c r="Q2330" i="1"/>
  <c r="R2330" i="1"/>
  <c r="W2330" i="1"/>
  <c r="AA2330" i="1"/>
  <c r="AB2330" i="1"/>
  <c r="AE2330" i="1"/>
  <c r="AF2330" i="1"/>
  <c r="AM2330" i="1"/>
  <c r="AN2330" i="1"/>
  <c r="AO2330" i="1"/>
  <c r="AQ2330" i="1"/>
  <c r="AX2330" i="1"/>
  <c r="BD2330" i="1"/>
  <c r="B2331" i="1"/>
  <c r="C2331" i="1"/>
  <c r="E2331" i="1"/>
  <c r="F2331" i="1"/>
  <c r="G2331" i="1"/>
  <c r="H2331" i="1"/>
  <c r="I2331" i="1"/>
  <c r="J2331" i="1"/>
  <c r="K2331" i="1"/>
  <c r="M2331" i="1"/>
  <c r="O2331" i="1"/>
  <c r="Q2331" i="1"/>
  <c r="R2331" i="1"/>
  <c r="W2331" i="1"/>
  <c r="AA2331" i="1"/>
  <c r="AM2331" i="1"/>
  <c r="AN2331" i="1"/>
  <c r="AO2331" i="1"/>
  <c r="AQ2331" i="1"/>
  <c r="BB2331" i="1"/>
  <c r="BD2331" i="1"/>
  <c r="B2332" i="1"/>
  <c r="C2332" i="1"/>
  <c r="E2332" i="1"/>
  <c r="F2332" i="1"/>
  <c r="G2332" i="1"/>
  <c r="H2332" i="1"/>
  <c r="I2332" i="1"/>
  <c r="J2332" i="1"/>
  <c r="K2332" i="1"/>
  <c r="M2332" i="1"/>
  <c r="O2332" i="1"/>
  <c r="Q2332" i="1"/>
  <c r="R2332" i="1"/>
  <c r="W2332" i="1"/>
  <c r="AA2332" i="1"/>
  <c r="AB2332" i="1"/>
  <c r="AE2332" i="1"/>
  <c r="AF2332" i="1"/>
  <c r="AM2332" i="1"/>
  <c r="AN2332" i="1"/>
  <c r="AO2332" i="1"/>
  <c r="AQ2332" i="1"/>
  <c r="AX2332" i="1"/>
  <c r="BD2332" i="1"/>
  <c r="B2333" i="1"/>
  <c r="C2333" i="1"/>
  <c r="E2333" i="1"/>
  <c r="F2333" i="1"/>
  <c r="G2333" i="1"/>
  <c r="H2333" i="1"/>
  <c r="I2333" i="1"/>
  <c r="J2333" i="1"/>
  <c r="K2333" i="1"/>
  <c r="M2333" i="1"/>
  <c r="O2333" i="1"/>
  <c r="Q2333" i="1"/>
  <c r="R2333" i="1"/>
  <c r="W2333" i="1"/>
  <c r="AA2333" i="1"/>
  <c r="AB2333" i="1"/>
  <c r="AE2333" i="1"/>
  <c r="AF2333" i="1"/>
  <c r="AM2333" i="1"/>
  <c r="AN2333" i="1"/>
  <c r="AO2333" i="1"/>
  <c r="AQ2333" i="1"/>
  <c r="AX2333" i="1"/>
  <c r="BD2333" i="1"/>
  <c r="B2334" i="1"/>
  <c r="E2334" i="1"/>
  <c r="F2334" i="1"/>
  <c r="G2334" i="1"/>
  <c r="H2334" i="1"/>
  <c r="I2334" i="1"/>
  <c r="J2334" i="1"/>
  <c r="K2334" i="1"/>
  <c r="M2334" i="1"/>
  <c r="O2334" i="1"/>
  <c r="Q2334" i="1"/>
  <c r="R2334" i="1"/>
  <c r="W2334" i="1"/>
  <c r="AA2334" i="1"/>
  <c r="AM2334" i="1"/>
  <c r="AN2334" i="1"/>
  <c r="AO2334" i="1"/>
  <c r="AQ2334" i="1"/>
  <c r="BB2334" i="1"/>
  <c r="BD2334" i="1"/>
  <c r="B2335" i="1"/>
  <c r="C2335" i="1"/>
  <c r="E2335" i="1"/>
  <c r="F2335" i="1"/>
  <c r="G2335" i="1"/>
  <c r="H2335" i="1"/>
  <c r="I2335" i="1"/>
  <c r="J2335" i="1"/>
  <c r="K2335" i="1"/>
  <c r="M2335" i="1"/>
  <c r="O2335" i="1"/>
  <c r="Q2335" i="1"/>
  <c r="R2335" i="1"/>
  <c r="W2335" i="1"/>
  <c r="AA2335" i="1"/>
  <c r="AB2335" i="1"/>
  <c r="AE2335" i="1"/>
  <c r="AF2335" i="1"/>
  <c r="AM2335" i="1"/>
  <c r="AN2335" i="1"/>
  <c r="AO2335" i="1"/>
  <c r="AQ2335" i="1"/>
  <c r="AX2335" i="1"/>
  <c r="BD2335" i="1"/>
  <c r="B2336" i="1"/>
  <c r="C2336" i="1"/>
  <c r="E2336" i="1"/>
  <c r="F2336" i="1"/>
  <c r="G2336" i="1"/>
  <c r="H2336" i="1"/>
  <c r="I2336" i="1"/>
  <c r="J2336" i="1"/>
  <c r="K2336" i="1"/>
  <c r="M2336" i="1"/>
  <c r="O2336" i="1"/>
  <c r="Q2336" i="1"/>
  <c r="R2336" i="1"/>
  <c r="W2336" i="1"/>
  <c r="AA2336" i="1"/>
  <c r="AM2336" i="1"/>
  <c r="AN2336" i="1"/>
  <c r="AO2336" i="1"/>
  <c r="AQ2336" i="1"/>
  <c r="BB2336" i="1"/>
  <c r="BD2336" i="1"/>
  <c r="B2337" i="1"/>
  <c r="C2337" i="1"/>
  <c r="E2337" i="1"/>
  <c r="F2337" i="1"/>
  <c r="G2337" i="1"/>
  <c r="H2337" i="1"/>
  <c r="I2337" i="1"/>
  <c r="J2337" i="1"/>
  <c r="K2337" i="1"/>
  <c r="M2337" i="1"/>
  <c r="O2337" i="1"/>
  <c r="Q2337" i="1"/>
  <c r="R2337" i="1"/>
  <c r="W2337" i="1"/>
  <c r="AA2337" i="1"/>
  <c r="AB2337" i="1"/>
  <c r="AE2337" i="1"/>
  <c r="AF2337" i="1"/>
  <c r="AM2337" i="1"/>
  <c r="AN2337" i="1"/>
  <c r="AO2337" i="1"/>
  <c r="AQ2337" i="1"/>
  <c r="AX2337" i="1"/>
  <c r="BD2337" i="1"/>
  <c r="B2338" i="1"/>
  <c r="C2338" i="1"/>
  <c r="E2338" i="1"/>
  <c r="F2338" i="1"/>
  <c r="G2338" i="1"/>
  <c r="H2338" i="1"/>
  <c r="I2338" i="1"/>
  <c r="J2338" i="1"/>
  <c r="K2338" i="1"/>
  <c r="M2338" i="1"/>
  <c r="O2338" i="1"/>
  <c r="Q2338" i="1"/>
  <c r="R2338" i="1"/>
  <c r="W2338" i="1"/>
  <c r="AA2338" i="1"/>
  <c r="AB2338" i="1"/>
  <c r="AE2338" i="1"/>
  <c r="AF2338" i="1"/>
  <c r="AM2338" i="1"/>
  <c r="AN2338" i="1"/>
  <c r="AO2338" i="1"/>
  <c r="AQ2338" i="1"/>
  <c r="AX2338" i="1"/>
  <c r="BD2338" i="1"/>
  <c r="B2339" i="1"/>
  <c r="C2339" i="1"/>
  <c r="D2339" i="1"/>
  <c r="E2339" i="1"/>
  <c r="F2339" i="1"/>
  <c r="G2339" i="1"/>
  <c r="H2339" i="1"/>
  <c r="I2339" i="1"/>
  <c r="J2339" i="1"/>
  <c r="K2339" i="1"/>
  <c r="M2339" i="1"/>
  <c r="O2339" i="1"/>
  <c r="Q2339" i="1"/>
  <c r="R2339" i="1"/>
  <c r="W2339" i="1"/>
  <c r="AA2339" i="1"/>
  <c r="AB2339" i="1"/>
  <c r="AE2339" i="1"/>
  <c r="AF2339" i="1"/>
  <c r="AM2339" i="1"/>
  <c r="AN2339" i="1"/>
  <c r="AO2339" i="1"/>
  <c r="AQ2339" i="1"/>
  <c r="AX2339" i="1"/>
  <c r="BD2339" i="1"/>
  <c r="B2340" i="1"/>
  <c r="C2340" i="1"/>
  <c r="E2340" i="1"/>
  <c r="F2340" i="1"/>
  <c r="G2340" i="1"/>
  <c r="H2340" i="1"/>
  <c r="I2340" i="1"/>
  <c r="J2340" i="1"/>
  <c r="K2340" i="1"/>
  <c r="M2340" i="1"/>
  <c r="O2340" i="1"/>
  <c r="Q2340" i="1"/>
  <c r="R2340" i="1"/>
  <c r="W2340" i="1"/>
  <c r="AA2340" i="1"/>
  <c r="AM2340" i="1"/>
  <c r="AN2340" i="1"/>
  <c r="AO2340" i="1"/>
  <c r="AQ2340" i="1"/>
  <c r="BB2340" i="1"/>
  <c r="BD2340" i="1"/>
  <c r="B2341" i="1"/>
  <c r="C2341" i="1"/>
  <c r="E2341" i="1"/>
  <c r="F2341" i="1"/>
  <c r="G2341" i="1"/>
  <c r="H2341" i="1"/>
  <c r="I2341" i="1"/>
  <c r="J2341" i="1"/>
  <c r="K2341" i="1"/>
  <c r="M2341" i="1"/>
  <c r="O2341" i="1"/>
  <c r="Q2341" i="1"/>
  <c r="R2341" i="1"/>
  <c r="W2341" i="1"/>
  <c r="AA2341" i="1"/>
  <c r="AB2341" i="1"/>
  <c r="AE2341" i="1"/>
  <c r="AF2341" i="1"/>
  <c r="AM2341" i="1"/>
  <c r="AN2341" i="1"/>
  <c r="AO2341" i="1"/>
  <c r="AQ2341" i="1"/>
  <c r="AX2341" i="1"/>
  <c r="BD2341" i="1"/>
  <c r="B2342" i="1"/>
  <c r="C2342" i="1"/>
  <c r="E2342" i="1"/>
  <c r="F2342" i="1"/>
  <c r="G2342" i="1"/>
  <c r="H2342" i="1"/>
  <c r="I2342" i="1"/>
  <c r="J2342" i="1"/>
  <c r="K2342" i="1"/>
  <c r="M2342" i="1"/>
  <c r="O2342" i="1"/>
  <c r="Q2342" i="1"/>
  <c r="R2342" i="1"/>
  <c r="W2342" i="1"/>
  <c r="AA2342" i="1"/>
  <c r="AB2342" i="1"/>
  <c r="AE2342" i="1"/>
  <c r="AF2342" i="1"/>
  <c r="AM2342" i="1"/>
  <c r="AN2342" i="1"/>
  <c r="AO2342" i="1"/>
  <c r="AQ2342" i="1"/>
  <c r="AX2342" i="1"/>
  <c r="BD2342" i="1"/>
  <c r="B2343" i="1"/>
  <c r="C2343" i="1"/>
  <c r="E2343" i="1"/>
  <c r="F2343" i="1"/>
  <c r="G2343" i="1"/>
  <c r="H2343" i="1"/>
  <c r="I2343" i="1"/>
  <c r="J2343" i="1"/>
  <c r="K2343" i="1"/>
  <c r="M2343" i="1"/>
  <c r="O2343" i="1"/>
  <c r="Q2343" i="1"/>
  <c r="R2343" i="1"/>
  <c r="W2343" i="1"/>
  <c r="AA2343" i="1"/>
  <c r="AB2343" i="1"/>
  <c r="AE2343" i="1"/>
  <c r="AF2343" i="1"/>
  <c r="AM2343" i="1"/>
  <c r="AN2343" i="1"/>
  <c r="AO2343" i="1"/>
  <c r="AQ2343" i="1"/>
  <c r="AX2343" i="1"/>
  <c r="BD2343" i="1"/>
  <c r="B2344" i="1"/>
  <c r="C2344" i="1"/>
  <c r="E2344" i="1"/>
  <c r="F2344" i="1"/>
  <c r="G2344" i="1"/>
  <c r="H2344" i="1"/>
  <c r="I2344" i="1"/>
  <c r="J2344" i="1"/>
  <c r="K2344" i="1"/>
  <c r="M2344" i="1"/>
  <c r="O2344" i="1"/>
  <c r="Q2344" i="1"/>
  <c r="R2344" i="1"/>
  <c r="W2344" i="1"/>
  <c r="AA2344" i="1"/>
  <c r="AB2344" i="1"/>
  <c r="AE2344" i="1"/>
  <c r="AF2344" i="1"/>
  <c r="AM2344" i="1"/>
  <c r="AN2344" i="1"/>
  <c r="AO2344" i="1"/>
  <c r="AQ2344" i="1"/>
  <c r="AX2344" i="1"/>
  <c r="BD2344" i="1"/>
  <c r="B2345" i="1"/>
  <c r="C2345" i="1"/>
  <c r="D2345" i="1"/>
  <c r="E2345" i="1"/>
  <c r="F2345" i="1"/>
  <c r="G2345" i="1"/>
  <c r="H2345" i="1"/>
  <c r="I2345" i="1"/>
  <c r="J2345" i="1"/>
  <c r="K2345" i="1"/>
  <c r="M2345" i="1"/>
  <c r="O2345" i="1"/>
  <c r="Q2345" i="1"/>
  <c r="R2345" i="1"/>
  <c r="W2345" i="1"/>
  <c r="AA2345" i="1"/>
  <c r="AB2345" i="1"/>
  <c r="AE2345" i="1"/>
  <c r="AF2345" i="1"/>
  <c r="AM2345" i="1"/>
  <c r="AN2345" i="1"/>
  <c r="AO2345" i="1"/>
  <c r="AQ2345" i="1"/>
  <c r="AX2345" i="1"/>
  <c r="BD2345" i="1"/>
  <c r="B2346" i="1"/>
  <c r="C2346" i="1"/>
  <c r="E2346" i="1"/>
  <c r="F2346" i="1"/>
  <c r="G2346" i="1"/>
  <c r="H2346" i="1"/>
  <c r="I2346" i="1"/>
  <c r="J2346" i="1"/>
  <c r="K2346" i="1"/>
  <c r="M2346" i="1"/>
  <c r="O2346" i="1"/>
  <c r="Q2346" i="1"/>
  <c r="R2346" i="1"/>
  <c r="W2346" i="1"/>
  <c r="AA2346" i="1"/>
  <c r="AM2346" i="1"/>
  <c r="AN2346" i="1"/>
  <c r="AO2346" i="1"/>
  <c r="AQ2346" i="1"/>
  <c r="BB2346" i="1"/>
  <c r="BD2346" i="1"/>
  <c r="B2347" i="1"/>
  <c r="C2347" i="1"/>
  <c r="E2347" i="1"/>
  <c r="F2347" i="1"/>
  <c r="G2347" i="1"/>
  <c r="H2347" i="1"/>
  <c r="I2347" i="1"/>
  <c r="J2347" i="1"/>
  <c r="K2347" i="1"/>
  <c r="M2347" i="1"/>
  <c r="O2347" i="1"/>
  <c r="Q2347" i="1"/>
  <c r="R2347" i="1"/>
  <c r="W2347" i="1"/>
  <c r="AA2347" i="1"/>
  <c r="AM2347" i="1"/>
  <c r="AN2347" i="1"/>
  <c r="AO2347" i="1"/>
  <c r="AQ2347" i="1"/>
  <c r="BB2347" i="1"/>
  <c r="BD2347" i="1"/>
  <c r="B2348" i="1"/>
  <c r="C2348" i="1"/>
  <c r="E2348" i="1"/>
  <c r="F2348" i="1"/>
  <c r="G2348" i="1"/>
  <c r="H2348" i="1"/>
  <c r="I2348" i="1"/>
  <c r="J2348" i="1"/>
  <c r="K2348" i="1"/>
  <c r="M2348" i="1"/>
  <c r="O2348" i="1"/>
  <c r="Q2348" i="1"/>
  <c r="R2348" i="1"/>
  <c r="W2348" i="1"/>
  <c r="AA2348" i="1"/>
  <c r="AM2348" i="1"/>
  <c r="AN2348" i="1"/>
  <c r="AO2348" i="1"/>
  <c r="AQ2348" i="1"/>
  <c r="BB2348" i="1"/>
  <c r="BD2348" i="1"/>
  <c r="B2349" i="1"/>
  <c r="C2349" i="1"/>
  <c r="E2349" i="1"/>
  <c r="F2349" i="1"/>
  <c r="G2349" i="1"/>
  <c r="H2349" i="1"/>
  <c r="I2349" i="1"/>
  <c r="J2349" i="1"/>
  <c r="K2349" i="1"/>
  <c r="M2349" i="1"/>
  <c r="O2349" i="1"/>
  <c r="Q2349" i="1"/>
  <c r="R2349" i="1"/>
  <c r="W2349" i="1"/>
  <c r="AA2349" i="1"/>
  <c r="AM2349" i="1"/>
  <c r="AN2349" i="1"/>
  <c r="AO2349" i="1"/>
  <c r="AQ2349" i="1"/>
  <c r="BB2349" i="1"/>
  <c r="BD2349" i="1"/>
  <c r="B2350" i="1"/>
  <c r="C2350" i="1"/>
  <c r="E2350" i="1"/>
  <c r="F2350" i="1"/>
  <c r="G2350" i="1"/>
  <c r="H2350" i="1"/>
  <c r="I2350" i="1"/>
  <c r="J2350" i="1"/>
  <c r="K2350" i="1"/>
  <c r="M2350" i="1"/>
  <c r="O2350" i="1"/>
  <c r="Q2350" i="1"/>
  <c r="R2350" i="1"/>
  <c r="W2350" i="1"/>
  <c r="AA2350" i="1"/>
  <c r="AM2350" i="1"/>
  <c r="AN2350" i="1"/>
  <c r="AO2350" i="1"/>
  <c r="AQ2350" i="1"/>
  <c r="BB2350" i="1"/>
  <c r="BD2350" i="1"/>
  <c r="B2351" i="1"/>
  <c r="C2351" i="1"/>
  <c r="E2351" i="1"/>
  <c r="F2351" i="1"/>
  <c r="G2351" i="1"/>
  <c r="H2351" i="1"/>
  <c r="I2351" i="1"/>
  <c r="J2351" i="1"/>
  <c r="K2351" i="1"/>
  <c r="M2351" i="1"/>
  <c r="O2351" i="1"/>
  <c r="Q2351" i="1"/>
  <c r="R2351" i="1"/>
  <c r="W2351" i="1"/>
  <c r="AA2351" i="1"/>
  <c r="AM2351" i="1"/>
  <c r="AN2351" i="1"/>
  <c r="AO2351" i="1"/>
  <c r="AQ2351" i="1"/>
  <c r="BB2351" i="1"/>
  <c r="BD2351" i="1"/>
  <c r="B2352" i="1"/>
  <c r="C2352" i="1"/>
  <c r="D2352" i="1"/>
  <c r="E2352" i="1"/>
  <c r="F2352" i="1"/>
  <c r="G2352" i="1"/>
  <c r="H2352" i="1"/>
  <c r="I2352" i="1"/>
  <c r="J2352" i="1"/>
  <c r="K2352" i="1"/>
  <c r="M2352" i="1"/>
  <c r="O2352" i="1"/>
  <c r="Q2352" i="1"/>
  <c r="R2352" i="1"/>
  <c r="W2352" i="1"/>
  <c r="AA2352" i="1"/>
  <c r="AB2352" i="1"/>
  <c r="AE2352" i="1"/>
  <c r="AF2352" i="1"/>
  <c r="AM2352" i="1"/>
  <c r="AN2352" i="1"/>
  <c r="AO2352" i="1"/>
  <c r="AQ2352" i="1"/>
  <c r="AX2352" i="1"/>
  <c r="BD2352" i="1"/>
  <c r="B2353" i="1"/>
  <c r="C2353" i="1"/>
  <c r="D2353" i="1"/>
  <c r="E2353" i="1"/>
  <c r="F2353" i="1"/>
  <c r="G2353" i="1"/>
  <c r="H2353" i="1"/>
  <c r="I2353" i="1"/>
  <c r="J2353" i="1"/>
  <c r="K2353" i="1"/>
  <c r="M2353" i="1"/>
  <c r="O2353" i="1"/>
  <c r="Q2353" i="1"/>
  <c r="R2353" i="1"/>
  <c r="W2353" i="1"/>
  <c r="AA2353" i="1"/>
  <c r="AB2353" i="1"/>
  <c r="AE2353" i="1"/>
  <c r="AF2353" i="1"/>
  <c r="AM2353" i="1"/>
  <c r="AN2353" i="1"/>
  <c r="AO2353" i="1"/>
  <c r="AQ2353" i="1"/>
  <c r="AX2353" i="1"/>
  <c r="BD2353" i="1"/>
  <c r="B2354" i="1"/>
  <c r="C2354" i="1"/>
  <c r="D2354" i="1"/>
  <c r="E2354" i="1"/>
  <c r="F2354" i="1"/>
  <c r="G2354" i="1"/>
  <c r="H2354" i="1"/>
  <c r="I2354" i="1"/>
  <c r="J2354" i="1"/>
  <c r="K2354" i="1"/>
  <c r="M2354" i="1"/>
  <c r="O2354" i="1"/>
  <c r="Q2354" i="1"/>
  <c r="R2354" i="1"/>
  <c r="W2354" i="1"/>
  <c r="AA2354" i="1"/>
  <c r="AB2354" i="1"/>
  <c r="AE2354" i="1"/>
  <c r="AF2354" i="1"/>
  <c r="AM2354" i="1"/>
  <c r="AN2354" i="1"/>
  <c r="AO2354" i="1"/>
  <c r="AQ2354" i="1"/>
  <c r="AX2354" i="1"/>
  <c r="BD2354" i="1"/>
  <c r="B2355" i="1"/>
  <c r="C2355" i="1"/>
  <c r="D2355" i="1"/>
  <c r="E2355" i="1"/>
  <c r="F2355" i="1"/>
  <c r="G2355" i="1"/>
  <c r="H2355" i="1"/>
  <c r="I2355" i="1"/>
  <c r="J2355" i="1"/>
  <c r="K2355" i="1"/>
  <c r="M2355" i="1"/>
  <c r="O2355" i="1"/>
  <c r="Q2355" i="1"/>
  <c r="R2355" i="1"/>
  <c r="W2355" i="1"/>
  <c r="AA2355" i="1"/>
  <c r="AB2355" i="1"/>
  <c r="AE2355" i="1"/>
  <c r="AF2355" i="1"/>
  <c r="AM2355" i="1"/>
  <c r="AN2355" i="1"/>
  <c r="AO2355" i="1"/>
  <c r="AQ2355" i="1"/>
  <c r="AX2355" i="1"/>
  <c r="BD2355" i="1"/>
  <c r="B2356" i="1"/>
  <c r="C2356" i="1"/>
  <c r="D2356" i="1"/>
  <c r="E2356" i="1"/>
  <c r="F2356" i="1"/>
  <c r="G2356" i="1"/>
  <c r="H2356" i="1"/>
  <c r="I2356" i="1"/>
  <c r="J2356" i="1"/>
  <c r="K2356" i="1"/>
  <c r="M2356" i="1"/>
  <c r="O2356" i="1"/>
  <c r="Q2356" i="1"/>
  <c r="R2356" i="1"/>
  <c r="W2356" i="1"/>
  <c r="AA2356" i="1"/>
  <c r="AB2356" i="1"/>
  <c r="AE2356" i="1"/>
  <c r="AF2356" i="1"/>
  <c r="AM2356" i="1"/>
  <c r="AN2356" i="1"/>
  <c r="AO2356" i="1"/>
  <c r="AQ2356" i="1"/>
  <c r="AX2356" i="1"/>
  <c r="BD2356" i="1"/>
  <c r="B2357" i="1"/>
  <c r="C2357" i="1"/>
  <c r="D2357" i="1"/>
  <c r="E2357" i="1"/>
  <c r="F2357" i="1"/>
  <c r="G2357" i="1"/>
  <c r="H2357" i="1"/>
  <c r="I2357" i="1"/>
  <c r="J2357" i="1"/>
  <c r="K2357" i="1"/>
  <c r="M2357" i="1"/>
  <c r="O2357" i="1"/>
  <c r="Q2357" i="1"/>
  <c r="R2357" i="1"/>
  <c r="W2357" i="1"/>
  <c r="AA2357" i="1"/>
  <c r="AB2357" i="1"/>
  <c r="AE2357" i="1"/>
  <c r="AF2357" i="1"/>
  <c r="AM2357" i="1"/>
  <c r="AN2357" i="1"/>
  <c r="AO2357" i="1"/>
  <c r="AQ2357" i="1"/>
  <c r="AX2357" i="1"/>
  <c r="BD2357" i="1"/>
  <c r="B2358" i="1"/>
  <c r="C2358" i="1"/>
  <c r="D2358" i="1"/>
  <c r="E2358" i="1"/>
  <c r="F2358" i="1"/>
  <c r="G2358" i="1"/>
  <c r="H2358" i="1"/>
  <c r="I2358" i="1"/>
  <c r="J2358" i="1"/>
  <c r="K2358" i="1"/>
  <c r="M2358" i="1"/>
  <c r="O2358" i="1"/>
  <c r="Q2358" i="1"/>
  <c r="R2358" i="1"/>
  <c r="W2358" i="1"/>
  <c r="AA2358" i="1"/>
  <c r="AB2358" i="1"/>
  <c r="AE2358" i="1"/>
  <c r="AF2358" i="1"/>
  <c r="AM2358" i="1"/>
  <c r="AN2358" i="1"/>
  <c r="AO2358" i="1"/>
  <c r="AQ2358" i="1"/>
  <c r="AX2358" i="1"/>
  <c r="BD2358" i="1"/>
  <c r="B2359" i="1"/>
  <c r="C2359" i="1"/>
  <c r="D2359" i="1"/>
  <c r="E2359" i="1"/>
  <c r="F2359" i="1"/>
  <c r="G2359" i="1"/>
  <c r="H2359" i="1"/>
  <c r="I2359" i="1"/>
  <c r="J2359" i="1"/>
  <c r="K2359" i="1"/>
  <c r="M2359" i="1"/>
  <c r="O2359" i="1"/>
  <c r="Q2359" i="1"/>
  <c r="R2359" i="1"/>
  <c r="W2359" i="1"/>
  <c r="AA2359" i="1"/>
  <c r="AB2359" i="1"/>
  <c r="AE2359" i="1"/>
  <c r="AF2359" i="1"/>
  <c r="AM2359" i="1"/>
  <c r="AN2359" i="1"/>
  <c r="AO2359" i="1"/>
  <c r="AQ2359" i="1"/>
  <c r="AX2359" i="1"/>
  <c r="BD2359" i="1"/>
  <c r="B2360" i="1"/>
  <c r="C2360" i="1"/>
  <c r="D2360" i="1"/>
  <c r="E2360" i="1"/>
  <c r="F2360" i="1"/>
  <c r="G2360" i="1"/>
  <c r="H2360" i="1"/>
  <c r="I2360" i="1"/>
  <c r="J2360" i="1"/>
  <c r="K2360" i="1"/>
  <c r="M2360" i="1"/>
  <c r="O2360" i="1"/>
  <c r="Q2360" i="1"/>
  <c r="R2360" i="1"/>
  <c r="W2360" i="1"/>
  <c r="AA2360" i="1"/>
  <c r="AB2360" i="1"/>
  <c r="AE2360" i="1"/>
  <c r="AF2360" i="1"/>
  <c r="AM2360" i="1"/>
  <c r="AN2360" i="1"/>
  <c r="AO2360" i="1"/>
  <c r="AQ2360" i="1"/>
  <c r="AX2360" i="1"/>
  <c r="BD2360" i="1"/>
  <c r="B2361" i="1"/>
  <c r="C2361" i="1"/>
  <c r="D2361" i="1"/>
  <c r="E2361" i="1"/>
  <c r="F2361" i="1"/>
  <c r="G2361" i="1"/>
  <c r="H2361" i="1"/>
  <c r="I2361" i="1"/>
  <c r="J2361" i="1"/>
  <c r="K2361" i="1"/>
  <c r="M2361" i="1"/>
  <c r="O2361" i="1"/>
  <c r="Q2361" i="1"/>
  <c r="R2361" i="1"/>
  <c r="W2361" i="1"/>
  <c r="AA2361" i="1"/>
  <c r="AB2361" i="1"/>
  <c r="AE2361" i="1"/>
  <c r="AF2361" i="1"/>
  <c r="AM2361" i="1"/>
  <c r="AN2361" i="1"/>
  <c r="AO2361" i="1"/>
  <c r="AQ2361" i="1"/>
  <c r="AX2361" i="1"/>
  <c r="BD2361" i="1"/>
  <c r="B2362" i="1"/>
  <c r="C2362" i="1"/>
  <c r="D2362" i="1"/>
  <c r="E2362" i="1"/>
  <c r="F2362" i="1"/>
  <c r="G2362" i="1"/>
  <c r="H2362" i="1"/>
  <c r="I2362" i="1"/>
  <c r="J2362" i="1"/>
  <c r="K2362" i="1"/>
  <c r="M2362" i="1"/>
  <c r="O2362" i="1"/>
  <c r="Q2362" i="1"/>
  <c r="R2362" i="1"/>
  <c r="W2362" i="1"/>
  <c r="AA2362" i="1"/>
  <c r="AB2362" i="1"/>
  <c r="AE2362" i="1"/>
  <c r="AF2362" i="1"/>
  <c r="AM2362" i="1"/>
  <c r="AN2362" i="1"/>
  <c r="AO2362" i="1"/>
  <c r="AQ2362" i="1"/>
  <c r="AX2362" i="1"/>
  <c r="BD2362" i="1"/>
  <c r="B2363" i="1"/>
  <c r="C2363" i="1"/>
  <c r="E2363" i="1"/>
  <c r="F2363" i="1"/>
  <c r="G2363" i="1"/>
  <c r="H2363" i="1"/>
  <c r="I2363" i="1"/>
  <c r="J2363" i="1"/>
  <c r="K2363" i="1"/>
  <c r="M2363" i="1"/>
  <c r="O2363" i="1"/>
  <c r="Q2363" i="1"/>
  <c r="R2363" i="1"/>
  <c r="W2363" i="1"/>
  <c r="AA2363" i="1"/>
  <c r="AB2363" i="1"/>
  <c r="AE2363" i="1"/>
  <c r="AF2363" i="1"/>
  <c r="AM2363" i="1"/>
  <c r="AN2363" i="1"/>
  <c r="AO2363" i="1"/>
  <c r="AQ2363" i="1"/>
  <c r="AX2363" i="1"/>
  <c r="BD2363" i="1"/>
  <c r="B2364" i="1"/>
  <c r="C2364" i="1"/>
  <c r="E2364" i="1"/>
  <c r="F2364" i="1"/>
  <c r="G2364" i="1"/>
  <c r="H2364" i="1"/>
  <c r="I2364" i="1"/>
  <c r="J2364" i="1"/>
  <c r="K2364" i="1"/>
  <c r="M2364" i="1"/>
  <c r="O2364" i="1"/>
  <c r="Q2364" i="1"/>
  <c r="R2364" i="1"/>
  <c r="W2364" i="1"/>
  <c r="AA2364" i="1"/>
  <c r="AB2364" i="1"/>
  <c r="AE2364" i="1"/>
  <c r="AF2364" i="1"/>
  <c r="AM2364" i="1"/>
  <c r="AN2364" i="1"/>
  <c r="AO2364" i="1"/>
  <c r="AQ2364" i="1"/>
  <c r="AX2364" i="1"/>
  <c r="BD2364" i="1"/>
  <c r="B2365" i="1"/>
  <c r="C2365" i="1"/>
  <c r="D2365" i="1"/>
  <c r="E2365" i="1"/>
  <c r="F2365" i="1"/>
  <c r="G2365" i="1"/>
  <c r="H2365" i="1"/>
  <c r="I2365" i="1"/>
  <c r="J2365" i="1"/>
  <c r="K2365" i="1"/>
  <c r="M2365" i="1"/>
  <c r="O2365" i="1"/>
  <c r="Q2365" i="1"/>
  <c r="R2365" i="1"/>
  <c r="W2365" i="1"/>
  <c r="AA2365" i="1"/>
  <c r="AB2365" i="1"/>
  <c r="AE2365" i="1"/>
  <c r="AF2365" i="1"/>
  <c r="AM2365" i="1"/>
  <c r="AN2365" i="1"/>
  <c r="AO2365" i="1"/>
  <c r="AQ2365" i="1"/>
  <c r="AX2365" i="1"/>
  <c r="BD2365" i="1"/>
  <c r="B2366" i="1"/>
  <c r="C2366" i="1"/>
  <c r="D2366" i="1"/>
  <c r="E2366" i="1"/>
  <c r="F2366" i="1"/>
  <c r="G2366" i="1"/>
  <c r="H2366" i="1"/>
  <c r="I2366" i="1"/>
  <c r="J2366" i="1"/>
  <c r="K2366" i="1"/>
  <c r="M2366" i="1"/>
  <c r="O2366" i="1"/>
  <c r="Q2366" i="1"/>
  <c r="R2366" i="1"/>
  <c r="W2366" i="1"/>
  <c r="AA2366" i="1"/>
  <c r="AB2366" i="1"/>
  <c r="AE2366" i="1"/>
  <c r="AF2366" i="1"/>
  <c r="AM2366" i="1"/>
  <c r="AN2366" i="1"/>
  <c r="AO2366" i="1"/>
  <c r="AQ2366" i="1"/>
  <c r="AX2366" i="1"/>
  <c r="BD2366" i="1"/>
  <c r="B2367" i="1"/>
  <c r="C2367" i="1"/>
  <c r="D2367" i="1"/>
  <c r="E2367" i="1"/>
  <c r="F2367" i="1"/>
  <c r="G2367" i="1"/>
  <c r="H2367" i="1"/>
  <c r="I2367" i="1"/>
  <c r="J2367" i="1"/>
  <c r="K2367" i="1"/>
  <c r="M2367" i="1"/>
  <c r="O2367" i="1"/>
  <c r="Q2367" i="1"/>
  <c r="R2367" i="1"/>
  <c r="W2367" i="1"/>
  <c r="AA2367" i="1"/>
  <c r="AB2367" i="1"/>
  <c r="AE2367" i="1"/>
  <c r="AF2367" i="1"/>
  <c r="AM2367" i="1"/>
  <c r="AN2367" i="1"/>
  <c r="AO2367" i="1"/>
  <c r="AQ2367" i="1"/>
  <c r="AX2367" i="1"/>
  <c r="BD2367" i="1"/>
  <c r="B2368" i="1"/>
  <c r="C2368" i="1"/>
  <c r="D2368" i="1"/>
  <c r="E2368" i="1"/>
  <c r="F2368" i="1"/>
  <c r="G2368" i="1"/>
  <c r="H2368" i="1"/>
  <c r="I2368" i="1"/>
  <c r="J2368" i="1"/>
  <c r="K2368" i="1"/>
  <c r="M2368" i="1"/>
  <c r="O2368" i="1"/>
  <c r="Q2368" i="1"/>
  <c r="R2368" i="1"/>
  <c r="W2368" i="1"/>
  <c r="AA2368" i="1"/>
  <c r="AB2368" i="1"/>
  <c r="AE2368" i="1"/>
  <c r="AF2368" i="1"/>
  <c r="AM2368" i="1"/>
  <c r="AN2368" i="1"/>
  <c r="AO2368" i="1"/>
  <c r="AQ2368" i="1"/>
  <c r="AX2368" i="1"/>
  <c r="BD2368" i="1"/>
  <c r="B2369" i="1"/>
  <c r="C2369" i="1"/>
  <c r="E2369" i="1"/>
  <c r="F2369" i="1"/>
  <c r="G2369" i="1"/>
  <c r="H2369" i="1"/>
  <c r="I2369" i="1"/>
  <c r="J2369" i="1"/>
  <c r="K2369" i="1"/>
  <c r="M2369" i="1"/>
  <c r="O2369" i="1"/>
  <c r="Q2369" i="1"/>
  <c r="R2369" i="1"/>
  <c r="W2369" i="1"/>
  <c r="AA2369" i="1"/>
  <c r="AB2369" i="1"/>
  <c r="AE2369" i="1"/>
  <c r="AF2369" i="1"/>
  <c r="AM2369" i="1"/>
  <c r="AN2369" i="1"/>
  <c r="AO2369" i="1"/>
  <c r="AQ2369" i="1"/>
  <c r="AX2369" i="1"/>
  <c r="BD2369" i="1"/>
  <c r="B2370" i="1"/>
  <c r="C2370" i="1"/>
  <c r="E2370" i="1"/>
  <c r="F2370" i="1"/>
  <c r="G2370" i="1"/>
  <c r="H2370" i="1"/>
  <c r="I2370" i="1"/>
  <c r="J2370" i="1"/>
  <c r="K2370" i="1"/>
  <c r="M2370" i="1"/>
  <c r="O2370" i="1"/>
  <c r="Q2370" i="1"/>
  <c r="R2370" i="1"/>
  <c r="W2370" i="1"/>
  <c r="AA2370" i="1"/>
  <c r="AB2370" i="1"/>
  <c r="AE2370" i="1"/>
  <c r="AF2370" i="1"/>
  <c r="AM2370" i="1"/>
  <c r="AN2370" i="1"/>
  <c r="AO2370" i="1"/>
  <c r="AQ2370" i="1"/>
  <c r="AX2370" i="1"/>
  <c r="BD2370" i="1"/>
  <c r="B2371" i="1"/>
  <c r="C2371" i="1"/>
  <c r="D2371" i="1"/>
  <c r="E2371" i="1"/>
  <c r="F2371" i="1"/>
  <c r="G2371" i="1"/>
  <c r="H2371" i="1"/>
  <c r="I2371" i="1"/>
  <c r="J2371" i="1"/>
  <c r="K2371" i="1"/>
  <c r="M2371" i="1"/>
  <c r="O2371" i="1"/>
  <c r="Q2371" i="1"/>
  <c r="R2371" i="1"/>
  <c r="W2371" i="1"/>
  <c r="AA2371" i="1"/>
  <c r="AB2371" i="1"/>
  <c r="AE2371" i="1"/>
  <c r="AF2371" i="1"/>
  <c r="AM2371" i="1"/>
  <c r="AN2371" i="1"/>
  <c r="AO2371" i="1"/>
  <c r="AQ2371" i="1"/>
  <c r="AX2371" i="1"/>
  <c r="BD2371" i="1"/>
  <c r="B2372" i="1"/>
  <c r="C2372" i="1"/>
  <c r="D2372" i="1"/>
  <c r="E2372" i="1"/>
  <c r="F2372" i="1"/>
  <c r="G2372" i="1"/>
  <c r="H2372" i="1"/>
  <c r="I2372" i="1"/>
  <c r="J2372" i="1"/>
  <c r="K2372" i="1"/>
  <c r="M2372" i="1"/>
  <c r="O2372" i="1"/>
  <c r="Q2372" i="1"/>
  <c r="R2372" i="1"/>
  <c r="W2372" i="1"/>
  <c r="AA2372" i="1"/>
  <c r="AB2372" i="1"/>
  <c r="AE2372" i="1"/>
  <c r="AF2372" i="1"/>
  <c r="AM2372" i="1"/>
  <c r="AN2372" i="1"/>
  <c r="AO2372" i="1"/>
  <c r="AQ2372" i="1"/>
  <c r="AX2372" i="1"/>
  <c r="BD2372" i="1"/>
  <c r="B2373" i="1"/>
  <c r="C2373" i="1"/>
  <c r="E2373" i="1"/>
  <c r="F2373" i="1"/>
  <c r="G2373" i="1"/>
  <c r="H2373" i="1"/>
  <c r="I2373" i="1"/>
  <c r="J2373" i="1"/>
  <c r="K2373" i="1"/>
  <c r="M2373" i="1"/>
  <c r="O2373" i="1"/>
  <c r="Q2373" i="1"/>
  <c r="R2373" i="1"/>
  <c r="W2373" i="1"/>
  <c r="AA2373" i="1"/>
  <c r="AB2373" i="1"/>
  <c r="AE2373" i="1"/>
  <c r="AF2373" i="1"/>
  <c r="AM2373" i="1"/>
  <c r="AN2373" i="1"/>
  <c r="AO2373" i="1"/>
  <c r="AQ2373" i="1"/>
  <c r="AX2373" i="1"/>
  <c r="BD2373" i="1"/>
  <c r="B2374" i="1"/>
  <c r="C2374" i="1"/>
  <c r="E2374" i="1"/>
  <c r="F2374" i="1"/>
  <c r="G2374" i="1"/>
  <c r="H2374" i="1"/>
  <c r="I2374" i="1"/>
  <c r="J2374" i="1"/>
  <c r="K2374" i="1"/>
  <c r="M2374" i="1"/>
  <c r="O2374" i="1"/>
  <c r="Q2374" i="1"/>
  <c r="R2374" i="1"/>
  <c r="W2374" i="1"/>
  <c r="AA2374" i="1"/>
  <c r="AB2374" i="1"/>
  <c r="AE2374" i="1"/>
  <c r="AF2374" i="1"/>
  <c r="AM2374" i="1"/>
  <c r="AN2374" i="1"/>
  <c r="AO2374" i="1"/>
  <c r="AQ2374" i="1"/>
  <c r="AX2374" i="1"/>
  <c r="BD2374" i="1"/>
  <c r="B2375" i="1"/>
  <c r="C2375" i="1"/>
  <c r="D2375" i="1"/>
  <c r="E2375" i="1"/>
  <c r="F2375" i="1"/>
  <c r="G2375" i="1"/>
  <c r="H2375" i="1"/>
  <c r="I2375" i="1"/>
  <c r="J2375" i="1"/>
  <c r="K2375" i="1"/>
  <c r="M2375" i="1"/>
  <c r="O2375" i="1"/>
  <c r="Q2375" i="1"/>
  <c r="R2375" i="1"/>
  <c r="W2375" i="1"/>
  <c r="AA2375" i="1"/>
  <c r="AB2375" i="1"/>
  <c r="AE2375" i="1"/>
  <c r="AF2375" i="1"/>
  <c r="AM2375" i="1"/>
  <c r="AN2375" i="1"/>
  <c r="AO2375" i="1"/>
  <c r="AQ2375" i="1"/>
  <c r="AX2375" i="1"/>
  <c r="BD2375" i="1"/>
  <c r="B2376" i="1"/>
  <c r="C2376" i="1"/>
  <c r="D2376" i="1"/>
  <c r="E2376" i="1"/>
  <c r="F2376" i="1"/>
  <c r="G2376" i="1"/>
  <c r="H2376" i="1"/>
  <c r="I2376" i="1"/>
  <c r="J2376" i="1"/>
  <c r="K2376" i="1"/>
  <c r="M2376" i="1"/>
  <c r="O2376" i="1"/>
  <c r="Q2376" i="1"/>
  <c r="R2376" i="1"/>
  <c r="W2376" i="1"/>
  <c r="AA2376" i="1"/>
  <c r="AB2376" i="1"/>
  <c r="AE2376" i="1"/>
  <c r="AF2376" i="1"/>
  <c r="AM2376" i="1"/>
  <c r="AN2376" i="1"/>
  <c r="AO2376" i="1"/>
  <c r="AQ2376" i="1"/>
  <c r="AX2376" i="1"/>
  <c r="BD2376" i="1"/>
  <c r="B2377" i="1"/>
  <c r="C2377" i="1"/>
  <c r="D2377" i="1"/>
  <c r="E2377" i="1"/>
  <c r="F2377" i="1"/>
  <c r="G2377" i="1"/>
  <c r="H2377" i="1"/>
  <c r="I2377" i="1"/>
  <c r="J2377" i="1"/>
  <c r="K2377" i="1"/>
  <c r="M2377" i="1"/>
  <c r="O2377" i="1"/>
  <c r="Q2377" i="1"/>
  <c r="R2377" i="1"/>
  <c r="W2377" i="1"/>
  <c r="AA2377" i="1"/>
  <c r="AB2377" i="1"/>
  <c r="AE2377" i="1"/>
  <c r="AF2377" i="1"/>
  <c r="AM2377" i="1"/>
  <c r="AN2377" i="1"/>
  <c r="AO2377" i="1"/>
  <c r="AQ2377" i="1"/>
  <c r="AX2377" i="1"/>
  <c r="BD2377" i="1"/>
  <c r="B2378" i="1"/>
  <c r="C2378" i="1"/>
  <c r="D2378" i="1"/>
  <c r="E2378" i="1"/>
  <c r="F2378" i="1"/>
  <c r="G2378" i="1"/>
  <c r="H2378" i="1"/>
  <c r="I2378" i="1"/>
  <c r="J2378" i="1"/>
  <c r="K2378" i="1"/>
  <c r="M2378" i="1"/>
  <c r="O2378" i="1"/>
  <c r="Q2378" i="1"/>
  <c r="R2378" i="1"/>
  <c r="W2378" i="1"/>
  <c r="AA2378" i="1"/>
  <c r="AB2378" i="1"/>
  <c r="AE2378" i="1"/>
  <c r="AF2378" i="1"/>
  <c r="AM2378" i="1"/>
  <c r="AN2378" i="1"/>
  <c r="AO2378" i="1"/>
  <c r="AQ2378" i="1"/>
  <c r="AX2378" i="1"/>
  <c r="BD2378" i="1"/>
  <c r="B2379" i="1"/>
  <c r="C2379" i="1"/>
  <c r="D2379" i="1"/>
  <c r="E2379" i="1"/>
  <c r="F2379" i="1"/>
  <c r="G2379" i="1"/>
  <c r="H2379" i="1"/>
  <c r="I2379" i="1"/>
  <c r="J2379" i="1"/>
  <c r="K2379" i="1"/>
  <c r="M2379" i="1"/>
  <c r="O2379" i="1"/>
  <c r="Q2379" i="1"/>
  <c r="R2379" i="1"/>
  <c r="W2379" i="1"/>
  <c r="AA2379" i="1"/>
  <c r="AB2379" i="1"/>
  <c r="AE2379" i="1"/>
  <c r="AF2379" i="1"/>
  <c r="AM2379" i="1"/>
  <c r="AN2379" i="1"/>
  <c r="AO2379" i="1"/>
  <c r="AQ2379" i="1"/>
  <c r="AX2379" i="1"/>
  <c r="BD2379" i="1"/>
  <c r="B2380" i="1"/>
  <c r="C2380" i="1"/>
  <c r="D2380" i="1"/>
  <c r="E2380" i="1"/>
  <c r="F2380" i="1"/>
  <c r="G2380" i="1"/>
  <c r="H2380" i="1"/>
  <c r="I2380" i="1"/>
  <c r="J2380" i="1"/>
  <c r="K2380" i="1"/>
  <c r="M2380" i="1"/>
  <c r="O2380" i="1"/>
  <c r="Q2380" i="1"/>
  <c r="R2380" i="1"/>
  <c r="W2380" i="1"/>
  <c r="AA2380" i="1"/>
  <c r="AB2380" i="1"/>
  <c r="AE2380" i="1"/>
  <c r="AF2380" i="1"/>
  <c r="AM2380" i="1"/>
  <c r="AN2380" i="1"/>
  <c r="AO2380" i="1"/>
  <c r="AQ2380" i="1"/>
  <c r="AX2380" i="1"/>
  <c r="BD2380" i="1"/>
  <c r="B2381" i="1"/>
  <c r="C2381" i="1"/>
  <c r="E2381" i="1"/>
  <c r="F2381" i="1"/>
  <c r="G2381" i="1"/>
  <c r="H2381" i="1"/>
  <c r="I2381" i="1"/>
  <c r="J2381" i="1"/>
  <c r="K2381" i="1"/>
  <c r="M2381" i="1"/>
  <c r="O2381" i="1"/>
  <c r="Q2381" i="1"/>
  <c r="R2381" i="1"/>
  <c r="W2381" i="1"/>
  <c r="AA2381" i="1"/>
  <c r="AM2381" i="1"/>
  <c r="AN2381" i="1"/>
  <c r="AO2381" i="1"/>
  <c r="AQ2381" i="1"/>
  <c r="BB2381" i="1"/>
  <c r="BD2381" i="1"/>
  <c r="B2382" i="1"/>
  <c r="C2382" i="1"/>
  <c r="E2382" i="1"/>
  <c r="F2382" i="1"/>
  <c r="G2382" i="1"/>
  <c r="H2382" i="1"/>
  <c r="I2382" i="1"/>
  <c r="J2382" i="1"/>
  <c r="K2382" i="1"/>
  <c r="M2382" i="1"/>
  <c r="O2382" i="1"/>
  <c r="Q2382" i="1"/>
  <c r="R2382" i="1"/>
  <c r="W2382" i="1"/>
  <c r="AA2382" i="1"/>
  <c r="AM2382" i="1"/>
  <c r="AN2382" i="1"/>
  <c r="AO2382" i="1"/>
  <c r="AQ2382" i="1"/>
  <c r="BB2382" i="1"/>
  <c r="BD2382" i="1"/>
  <c r="B2383" i="1"/>
  <c r="C2383" i="1"/>
  <c r="E2383" i="1"/>
  <c r="F2383" i="1"/>
  <c r="G2383" i="1"/>
  <c r="H2383" i="1"/>
  <c r="I2383" i="1"/>
  <c r="J2383" i="1"/>
  <c r="K2383" i="1"/>
  <c r="M2383" i="1"/>
  <c r="O2383" i="1"/>
  <c r="Q2383" i="1"/>
  <c r="R2383" i="1"/>
  <c r="W2383" i="1"/>
  <c r="AA2383" i="1"/>
  <c r="AB2383" i="1"/>
  <c r="AE2383" i="1"/>
  <c r="AF2383" i="1"/>
  <c r="AM2383" i="1"/>
  <c r="AN2383" i="1"/>
  <c r="AO2383" i="1"/>
  <c r="AQ2383" i="1"/>
  <c r="AX2383" i="1"/>
  <c r="BD2383" i="1"/>
  <c r="B2384" i="1"/>
  <c r="C2384" i="1"/>
  <c r="E2384" i="1"/>
  <c r="F2384" i="1"/>
  <c r="G2384" i="1"/>
  <c r="H2384" i="1"/>
  <c r="I2384" i="1"/>
  <c r="J2384" i="1"/>
  <c r="K2384" i="1"/>
  <c r="M2384" i="1"/>
  <c r="O2384" i="1"/>
  <c r="Q2384" i="1"/>
  <c r="R2384" i="1"/>
  <c r="W2384" i="1"/>
  <c r="AA2384" i="1"/>
  <c r="AB2384" i="1"/>
  <c r="AE2384" i="1"/>
  <c r="AF2384" i="1"/>
  <c r="AM2384" i="1"/>
  <c r="AN2384" i="1"/>
  <c r="AO2384" i="1"/>
  <c r="AQ2384" i="1"/>
  <c r="AX2384" i="1"/>
  <c r="BD2384" i="1"/>
  <c r="B2385" i="1"/>
  <c r="C2385" i="1"/>
  <c r="E2385" i="1"/>
  <c r="F2385" i="1"/>
  <c r="G2385" i="1"/>
  <c r="H2385" i="1"/>
  <c r="I2385" i="1"/>
  <c r="J2385" i="1"/>
  <c r="K2385" i="1"/>
  <c r="M2385" i="1"/>
  <c r="O2385" i="1"/>
  <c r="Q2385" i="1"/>
  <c r="R2385" i="1"/>
  <c r="W2385" i="1"/>
  <c r="AA2385" i="1"/>
  <c r="AB2385" i="1"/>
  <c r="AE2385" i="1"/>
  <c r="AF2385" i="1"/>
  <c r="AM2385" i="1"/>
  <c r="AN2385" i="1"/>
  <c r="AO2385" i="1"/>
  <c r="AQ2385" i="1"/>
  <c r="AX2385" i="1"/>
  <c r="BD2385" i="1"/>
  <c r="B2386" i="1"/>
  <c r="C2386" i="1"/>
  <c r="E2386" i="1"/>
  <c r="F2386" i="1"/>
  <c r="G2386" i="1"/>
  <c r="H2386" i="1"/>
  <c r="I2386" i="1"/>
  <c r="J2386" i="1"/>
  <c r="K2386" i="1"/>
  <c r="M2386" i="1"/>
  <c r="O2386" i="1"/>
  <c r="Q2386" i="1"/>
  <c r="R2386" i="1"/>
  <c r="W2386" i="1"/>
  <c r="AA2386" i="1"/>
  <c r="AB2386" i="1"/>
  <c r="AE2386" i="1"/>
  <c r="AF2386" i="1"/>
  <c r="AM2386" i="1"/>
  <c r="AN2386" i="1"/>
  <c r="AO2386" i="1"/>
  <c r="AQ2386" i="1"/>
  <c r="AX2386" i="1"/>
  <c r="BD2386" i="1"/>
  <c r="B2387" i="1"/>
  <c r="C2387" i="1"/>
  <c r="E2387" i="1"/>
  <c r="F2387" i="1"/>
  <c r="G2387" i="1"/>
  <c r="H2387" i="1"/>
  <c r="I2387" i="1"/>
  <c r="J2387" i="1"/>
  <c r="K2387" i="1"/>
  <c r="M2387" i="1"/>
  <c r="O2387" i="1"/>
  <c r="Q2387" i="1"/>
  <c r="R2387" i="1"/>
  <c r="W2387" i="1"/>
  <c r="AA2387" i="1"/>
  <c r="AB2387" i="1"/>
  <c r="AE2387" i="1"/>
  <c r="AF2387" i="1"/>
  <c r="AM2387" i="1"/>
  <c r="AN2387" i="1"/>
  <c r="AO2387" i="1"/>
  <c r="AQ2387" i="1"/>
  <c r="AX2387" i="1"/>
  <c r="BD2387" i="1"/>
  <c r="B2388" i="1"/>
  <c r="C2388" i="1"/>
  <c r="E2388" i="1"/>
  <c r="F2388" i="1"/>
  <c r="G2388" i="1"/>
  <c r="H2388" i="1"/>
  <c r="I2388" i="1"/>
  <c r="J2388" i="1"/>
  <c r="K2388" i="1"/>
  <c r="M2388" i="1"/>
  <c r="O2388" i="1"/>
  <c r="Q2388" i="1"/>
  <c r="R2388" i="1"/>
  <c r="W2388" i="1"/>
  <c r="AA2388" i="1"/>
  <c r="AB2388" i="1"/>
  <c r="AE2388" i="1"/>
  <c r="AF2388" i="1"/>
  <c r="AM2388" i="1"/>
  <c r="AN2388" i="1"/>
  <c r="AO2388" i="1"/>
  <c r="AQ2388" i="1"/>
  <c r="AX2388" i="1"/>
  <c r="BD2388" i="1"/>
  <c r="B2389" i="1"/>
  <c r="C2389" i="1"/>
  <c r="E2389" i="1"/>
  <c r="F2389" i="1"/>
  <c r="G2389" i="1"/>
  <c r="H2389" i="1"/>
  <c r="I2389" i="1"/>
  <c r="J2389" i="1"/>
  <c r="K2389" i="1"/>
  <c r="M2389" i="1"/>
  <c r="O2389" i="1"/>
  <c r="Q2389" i="1"/>
  <c r="R2389" i="1"/>
  <c r="W2389" i="1"/>
  <c r="AA2389" i="1"/>
  <c r="AB2389" i="1"/>
  <c r="AE2389" i="1"/>
  <c r="AF2389" i="1"/>
  <c r="AM2389" i="1"/>
  <c r="AN2389" i="1"/>
  <c r="AO2389" i="1"/>
  <c r="AQ2389" i="1"/>
  <c r="AX2389" i="1"/>
  <c r="BD2389" i="1"/>
  <c r="B2390" i="1"/>
  <c r="C2390" i="1"/>
  <c r="E2390" i="1"/>
  <c r="F2390" i="1"/>
  <c r="G2390" i="1"/>
  <c r="H2390" i="1"/>
  <c r="I2390" i="1"/>
  <c r="J2390" i="1"/>
  <c r="K2390" i="1"/>
  <c r="M2390" i="1"/>
  <c r="O2390" i="1"/>
  <c r="Q2390" i="1"/>
  <c r="R2390" i="1"/>
  <c r="W2390" i="1"/>
  <c r="AA2390" i="1"/>
  <c r="AB2390" i="1"/>
  <c r="AE2390" i="1"/>
  <c r="AF2390" i="1"/>
  <c r="AM2390" i="1"/>
  <c r="AN2390" i="1"/>
  <c r="AO2390" i="1"/>
  <c r="AQ2390" i="1"/>
  <c r="AX2390" i="1"/>
  <c r="BD2390" i="1"/>
  <c r="B2391" i="1"/>
  <c r="C2391" i="1"/>
  <c r="E2391" i="1"/>
  <c r="F2391" i="1"/>
  <c r="G2391" i="1"/>
  <c r="H2391" i="1"/>
  <c r="I2391" i="1"/>
  <c r="J2391" i="1"/>
  <c r="K2391" i="1"/>
  <c r="M2391" i="1"/>
  <c r="O2391" i="1"/>
  <c r="Q2391" i="1"/>
  <c r="R2391" i="1"/>
  <c r="W2391" i="1"/>
  <c r="AA2391" i="1"/>
  <c r="AB2391" i="1"/>
  <c r="AE2391" i="1"/>
  <c r="AF2391" i="1"/>
  <c r="AM2391" i="1"/>
  <c r="AN2391" i="1"/>
  <c r="AO2391" i="1"/>
  <c r="AQ2391" i="1"/>
  <c r="AX2391" i="1"/>
  <c r="BD2391" i="1"/>
  <c r="B2392" i="1"/>
  <c r="C2392" i="1"/>
  <c r="E2392" i="1"/>
  <c r="F2392" i="1"/>
  <c r="G2392" i="1"/>
  <c r="H2392" i="1"/>
  <c r="I2392" i="1"/>
  <c r="J2392" i="1"/>
  <c r="K2392" i="1"/>
  <c r="M2392" i="1"/>
  <c r="O2392" i="1"/>
  <c r="Q2392" i="1"/>
  <c r="R2392" i="1"/>
  <c r="W2392" i="1"/>
  <c r="AA2392" i="1"/>
  <c r="AB2392" i="1"/>
  <c r="AE2392" i="1"/>
  <c r="AF2392" i="1"/>
  <c r="AM2392" i="1"/>
  <c r="AN2392" i="1"/>
  <c r="AO2392" i="1"/>
  <c r="AQ2392" i="1"/>
  <c r="AX2392" i="1"/>
  <c r="BD2392" i="1"/>
  <c r="B2393" i="1"/>
  <c r="C2393" i="1"/>
  <c r="E2393" i="1"/>
  <c r="F2393" i="1"/>
  <c r="G2393" i="1"/>
  <c r="H2393" i="1"/>
  <c r="I2393" i="1"/>
  <c r="J2393" i="1"/>
  <c r="K2393" i="1"/>
  <c r="M2393" i="1"/>
  <c r="O2393" i="1"/>
  <c r="Q2393" i="1"/>
  <c r="R2393" i="1"/>
  <c r="W2393" i="1"/>
  <c r="AA2393" i="1"/>
  <c r="AB2393" i="1"/>
  <c r="AE2393" i="1"/>
  <c r="AF2393" i="1"/>
  <c r="AM2393" i="1"/>
  <c r="AN2393" i="1"/>
  <c r="AO2393" i="1"/>
  <c r="AQ2393" i="1"/>
  <c r="AX2393" i="1"/>
  <c r="BD2393" i="1"/>
  <c r="B2394" i="1"/>
  <c r="C2394" i="1"/>
  <c r="E2394" i="1"/>
  <c r="F2394" i="1"/>
  <c r="G2394" i="1"/>
  <c r="H2394" i="1"/>
  <c r="I2394" i="1"/>
  <c r="J2394" i="1"/>
  <c r="K2394" i="1"/>
  <c r="M2394" i="1"/>
  <c r="O2394" i="1"/>
  <c r="Q2394" i="1"/>
  <c r="R2394" i="1"/>
  <c r="W2394" i="1"/>
  <c r="AA2394" i="1"/>
  <c r="AB2394" i="1"/>
  <c r="AE2394" i="1"/>
  <c r="AF2394" i="1"/>
  <c r="AM2394" i="1"/>
  <c r="AN2394" i="1"/>
  <c r="AO2394" i="1"/>
  <c r="AQ2394" i="1"/>
  <c r="AX2394" i="1"/>
  <c r="BD2394" i="1"/>
  <c r="B2395" i="1"/>
  <c r="C2395" i="1"/>
  <c r="D2395" i="1"/>
  <c r="E2395" i="1"/>
  <c r="F2395" i="1"/>
  <c r="G2395" i="1"/>
  <c r="H2395" i="1"/>
  <c r="I2395" i="1"/>
  <c r="J2395" i="1"/>
  <c r="K2395" i="1"/>
  <c r="M2395" i="1"/>
  <c r="O2395" i="1"/>
  <c r="Q2395" i="1"/>
  <c r="R2395" i="1"/>
  <c r="W2395" i="1"/>
  <c r="AA2395" i="1"/>
  <c r="AB2395" i="1"/>
  <c r="AE2395" i="1"/>
  <c r="AF2395" i="1"/>
  <c r="AM2395" i="1"/>
  <c r="AN2395" i="1"/>
  <c r="AO2395" i="1"/>
  <c r="AQ2395" i="1"/>
  <c r="AX2395" i="1"/>
  <c r="BD2395" i="1"/>
  <c r="B2396" i="1"/>
  <c r="C2396" i="1"/>
  <c r="D2396" i="1"/>
  <c r="E2396" i="1"/>
  <c r="F2396" i="1"/>
  <c r="G2396" i="1"/>
  <c r="H2396" i="1"/>
  <c r="I2396" i="1"/>
  <c r="J2396" i="1"/>
  <c r="K2396" i="1"/>
  <c r="M2396" i="1"/>
  <c r="O2396" i="1"/>
  <c r="Q2396" i="1"/>
  <c r="R2396" i="1"/>
  <c r="W2396" i="1"/>
  <c r="AA2396" i="1"/>
  <c r="AB2396" i="1"/>
  <c r="AE2396" i="1"/>
  <c r="AF2396" i="1"/>
  <c r="AM2396" i="1"/>
  <c r="AN2396" i="1"/>
  <c r="AO2396" i="1"/>
  <c r="AQ2396" i="1"/>
  <c r="AX2396" i="1"/>
  <c r="BD2396" i="1"/>
  <c r="B2397" i="1"/>
  <c r="C2397" i="1"/>
  <c r="D2397" i="1"/>
  <c r="E2397" i="1"/>
  <c r="F2397" i="1"/>
  <c r="G2397" i="1"/>
  <c r="H2397" i="1"/>
  <c r="I2397" i="1"/>
  <c r="J2397" i="1"/>
  <c r="K2397" i="1"/>
  <c r="M2397" i="1"/>
  <c r="O2397" i="1"/>
  <c r="Q2397" i="1"/>
  <c r="R2397" i="1"/>
  <c r="W2397" i="1"/>
  <c r="AA2397" i="1"/>
  <c r="AB2397" i="1"/>
  <c r="AE2397" i="1"/>
  <c r="AF2397" i="1"/>
  <c r="AM2397" i="1"/>
  <c r="AN2397" i="1"/>
  <c r="AO2397" i="1"/>
  <c r="AQ2397" i="1"/>
  <c r="AX2397" i="1"/>
  <c r="BD2397" i="1"/>
  <c r="B2398" i="1"/>
  <c r="C2398" i="1"/>
  <c r="D2398" i="1"/>
  <c r="E2398" i="1"/>
  <c r="F2398" i="1"/>
  <c r="G2398" i="1"/>
  <c r="H2398" i="1"/>
  <c r="I2398" i="1"/>
  <c r="J2398" i="1"/>
  <c r="K2398" i="1"/>
  <c r="M2398" i="1"/>
  <c r="O2398" i="1"/>
  <c r="Q2398" i="1"/>
  <c r="R2398" i="1"/>
  <c r="W2398" i="1"/>
  <c r="AA2398" i="1"/>
  <c r="AB2398" i="1"/>
  <c r="AE2398" i="1"/>
  <c r="AF2398" i="1"/>
  <c r="AM2398" i="1"/>
  <c r="AN2398" i="1"/>
  <c r="AO2398" i="1"/>
  <c r="AQ2398" i="1"/>
  <c r="AX2398" i="1"/>
  <c r="BD2398" i="1"/>
  <c r="B2399" i="1"/>
  <c r="C2399" i="1"/>
  <c r="D2399" i="1"/>
  <c r="E2399" i="1"/>
  <c r="F2399" i="1"/>
  <c r="G2399" i="1"/>
  <c r="H2399" i="1"/>
  <c r="I2399" i="1"/>
  <c r="J2399" i="1"/>
  <c r="K2399" i="1"/>
  <c r="M2399" i="1"/>
  <c r="O2399" i="1"/>
  <c r="Q2399" i="1"/>
  <c r="R2399" i="1"/>
  <c r="W2399" i="1"/>
  <c r="AA2399" i="1"/>
  <c r="AB2399" i="1"/>
  <c r="AM2399" i="1"/>
  <c r="AN2399" i="1"/>
  <c r="AO2399" i="1"/>
  <c r="AQ2399" i="1"/>
  <c r="AX2399" i="1"/>
  <c r="BD2399" i="1"/>
  <c r="B2400" i="1"/>
  <c r="C2400" i="1"/>
  <c r="E2400" i="1"/>
  <c r="F2400" i="1"/>
  <c r="G2400" i="1"/>
  <c r="H2400" i="1"/>
  <c r="I2400" i="1"/>
  <c r="J2400" i="1"/>
  <c r="K2400" i="1"/>
  <c r="M2400" i="1"/>
  <c r="O2400" i="1"/>
  <c r="Q2400" i="1"/>
  <c r="R2400" i="1"/>
  <c r="W2400" i="1"/>
  <c r="AA2400" i="1"/>
  <c r="AB2400" i="1"/>
  <c r="AE2400" i="1"/>
  <c r="AF2400" i="1"/>
  <c r="AM2400" i="1"/>
  <c r="AN2400" i="1"/>
  <c r="AO2400" i="1"/>
  <c r="AQ2400" i="1"/>
  <c r="AX2400" i="1"/>
  <c r="BD2400" i="1"/>
  <c r="B2401" i="1"/>
  <c r="E2401" i="1"/>
  <c r="F2401" i="1"/>
  <c r="G2401" i="1"/>
  <c r="H2401" i="1"/>
  <c r="I2401" i="1"/>
  <c r="J2401" i="1"/>
  <c r="K2401" i="1"/>
  <c r="M2401" i="1"/>
  <c r="O2401" i="1"/>
  <c r="Q2401" i="1"/>
  <c r="R2401" i="1"/>
  <c r="W2401" i="1"/>
  <c r="AA2401" i="1"/>
  <c r="AB2401" i="1"/>
  <c r="AM2401" i="1"/>
  <c r="AN2401" i="1"/>
  <c r="AO2401" i="1"/>
  <c r="AQ2401" i="1"/>
  <c r="AX2401" i="1"/>
  <c r="BD2401" i="1"/>
  <c r="B2402" i="1"/>
  <c r="C2402" i="1"/>
  <c r="D2402" i="1"/>
  <c r="E2402" i="1"/>
  <c r="F2402" i="1"/>
  <c r="G2402" i="1"/>
  <c r="H2402" i="1"/>
  <c r="I2402" i="1"/>
  <c r="J2402" i="1"/>
  <c r="K2402" i="1"/>
  <c r="M2402" i="1"/>
  <c r="O2402" i="1"/>
  <c r="Q2402" i="1"/>
  <c r="R2402" i="1"/>
  <c r="W2402" i="1"/>
  <c r="AA2402" i="1"/>
  <c r="AB2402" i="1"/>
  <c r="AM2402" i="1"/>
  <c r="AN2402" i="1"/>
  <c r="AO2402" i="1"/>
  <c r="AQ2402" i="1"/>
  <c r="AX2402" i="1"/>
  <c r="BD2402" i="1"/>
  <c r="B2403" i="1"/>
  <c r="C2403" i="1"/>
  <c r="E2403" i="1"/>
  <c r="F2403" i="1"/>
  <c r="G2403" i="1"/>
  <c r="H2403" i="1"/>
  <c r="I2403" i="1"/>
  <c r="J2403" i="1"/>
  <c r="K2403" i="1"/>
  <c r="M2403" i="1"/>
  <c r="O2403" i="1"/>
  <c r="Q2403" i="1"/>
  <c r="R2403" i="1"/>
  <c r="W2403" i="1"/>
  <c r="AA2403" i="1"/>
  <c r="AM2403" i="1"/>
  <c r="AN2403" i="1"/>
  <c r="AO2403" i="1"/>
  <c r="AQ2403" i="1"/>
  <c r="BB2403" i="1"/>
  <c r="BD2403" i="1"/>
  <c r="B2404" i="1"/>
  <c r="C2404" i="1"/>
  <c r="E2404" i="1"/>
  <c r="F2404" i="1"/>
  <c r="G2404" i="1"/>
  <c r="H2404" i="1"/>
  <c r="I2404" i="1"/>
  <c r="J2404" i="1"/>
  <c r="K2404" i="1"/>
  <c r="M2404" i="1"/>
  <c r="O2404" i="1"/>
  <c r="Q2404" i="1"/>
  <c r="R2404" i="1"/>
  <c r="W2404" i="1"/>
  <c r="AA2404" i="1"/>
  <c r="AM2404" i="1"/>
  <c r="AN2404" i="1"/>
  <c r="AO2404" i="1"/>
  <c r="AQ2404" i="1"/>
  <c r="BB2404" i="1"/>
  <c r="BD2404" i="1"/>
  <c r="B2405" i="1"/>
  <c r="C2405" i="1"/>
  <c r="D2405" i="1"/>
  <c r="E2405" i="1"/>
  <c r="F2405" i="1"/>
  <c r="G2405" i="1"/>
  <c r="H2405" i="1"/>
  <c r="I2405" i="1"/>
  <c r="J2405" i="1"/>
  <c r="K2405" i="1"/>
  <c r="M2405" i="1"/>
  <c r="O2405" i="1"/>
  <c r="Q2405" i="1"/>
  <c r="R2405" i="1"/>
  <c r="W2405" i="1"/>
  <c r="AA2405" i="1"/>
  <c r="AB2405" i="1"/>
  <c r="AM2405" i="1"/>
  <c r="AN2405" i="1"/>
  <c r="AO2405" i="1"/>
  <c r="AQ2405" i="1"/>
  <c r="AX2405" i="1"/>
  <c r="BD2405" i="1"/>
  <c r="B2406" i="1"/>
  <c r="C2406" i="1"/>
  <c r="D2406" i="1"/>
  <c r="E2406" i="1"/>
  <c r="F2406" i="1"/>
  <c r="G2406" i="1"/>
  <c r="H2406" i="1"/>
  <c r="I2406" i="1"/>
  <c r="J2406" i="1"/>
  <c r="K2406" i="1"/>
  <c r="M2406" i="1"/>
  <c r="O2406" i="1"/>
  <c r="Q2406" i="1"/>
  <c r="R2406" i="1"/>
  <c r="W2406" i="1"/>
  <c r="AA2406" i="1"/>
  <c r="AB2406" i="1"/>
  <c r="AM2406" i="1"/>
  <c r="AN2406" i="1"/>
  <c r="AO2406" i="1"/>
  <c r="AQ2406" i="1"/>
  <c r="AX2406" i="1"/>
  <c r="BD2406" i="1"/>
  <c r="B2407" i="1"/>
  <c r="C2407" i="1"/>
  <c r="D2407" i="1"/>
  <c r="E2407" i="1"/>
  <c r="F2407" i="1"/>
  <c r="G2407" i="1"/>
  <c r="H2407" i="1"/>
  <c r="I2407" i="1"/>
  <c r="J2407" i="1"/>
  <c r="K2407" i="1"/>
  <c r="M2407" i="1"/>
  <c r="O2407" i="1"/>
  <c r="Q2407" i="1"/>
  <c r="R2407" i="1"/>
  <c r="W2407" i="1"/>
  <c r="AA2407" i="1"/>
  <c r="AB2407" i="1"/>
  <c r="AM2407" i="1"/>
  <c r="AN2407" i="1"/>
  <c r="AO2407" i="1"/>
  <c r="AQ2407" i="1"/>
  <c r="AX2407" i="1"/>
  <c r="BD2407" i="1"/>
  <c r="B2408" i="1"/>
  <c r="C2408" i="1"/>
  <c r="D2408" i="1"/>
  <c r="E2408" i="1"/>
  <c r="F2408" i="1"/>
  <c r="G2408" i="1"/>
  <c r="H2408" i="1"/>
  <c r="I2408" i="1"/>
  <c r="J2408" i="1"/>
  <c r="K2408" i="1"/>
  <c r="M2408" i="1"/>
  <c r="O2408" i="1"/>
  <c r="Q2408" i="1"/>
  <c r="R2408" i="1"/>
  <c r="W2408" i="1"/>
  <c r="AA2408" i="1"/>
  <c r="AB2408" i="1"/>
  <c r="AM2408" i="1"/>
  <c r="AN2408" i="1"/>
  <c r="AO2408" i="1"/>
  <c r="AQ2408" i="1"/>
  <c r="AX2408" i="1"/>
  <c r="BD2408" i="1"/>
  <c r="B2409" i="1"/>
  <c r="C2409" i="1"/>
  <c r="D2409" i="1"/>
  <c r="E2409" i="1"/>
  <c r="F2409" i="1"/>
  <c r="G2409" i="1"/>
  <c r="H2409" i="1"/>
  <c r="I2409" i="1"/>
  <c r="J2409" i="1"/>
  <c r="K2409" i="1"/>
  <c r="M2409" i="1"/>
  <c r="O2409" i="1"/>
  <c r="Q2409" i="1"/>
  <c r="R2409" i="1"/>
  <c r="W2409" i="1"/>
  <c r="AA2409" i="1"/>
  <c r="AB2409" i="1"/>
  <c r="AM2409" i="1"/>
  <c r="AN2409" i="1"/>
  <c r="AO2409" i="1"/>
  <c r="AQ2409" i="1"/>
  <c r="AX2409" i="1"/>
  <c r="BD2409" i="1"/>
  <c r="B2410" i="1"/>
  <c r="C2410" i="1"/>
  <c r="D2410" i="1"/>
  <c r="E2410" i="1"/>
  <c r="F2410" i="1"/>
  <c r="G2410" i="1"/>
  <c r="H2410" i="1"/>
  <c r="I2410" i="1"/>
  <c r="J2410" i="1"/>
  <c r="K2410" i="1"/>
  <c r="M2410" i="1"/>
  <c r="O2410" i="1"/>
  <c r="Q2410" i="1"/>
  <c r="R2410" i="1"/>
  <c r="W2410" i="1"/>
  <c r="AA2410" i="1"/>
  <c r="AB2410" i="1"/>
  <c r="AE2410" i="1"/>
  <c r="AF2410" i="1"/>
  <c r="AM2410" i="1"/>
  <c r="AN2410" i="1"/>
  <c r="AO2410" i="1"/>
  <c r="AQ2410" i="1"/>
  <c r="AX2410" i="1"/>
  <c r="BD2410" i="1"/>
  <c r="B2411" i="1"/>
  <c r="C2411" i="1"/>
  <c r="D2411" i="1"/>
  <c r="E2411" i="1"/>
  <c r="F2411" i="1"/>
  <c r="G2411" i="1"/>
  <c r="H2411" i="1"/>
  <c r="I2411" i="1"/>
  <c r="J2411" i="1"/>
  <c r="K2411" i="1"/>
  <c r="M2411" i="1"/>
  <c r="O2411" i="1"/>
  <c r="Q2411" i="1"/>
  <c r="R2411" i="1"/>
  <c r="W2411" i="1"/>
  <c r="AA2411" i="1"/>
  <c r="AB2411" i="1"/>
  <c r="AE2411" i="1"/>
  <c r="AF2411" i="1"/>
  <c r="AM2411" i="1"/>
  <c r="AN2411" i="1"/>
  <c r="AO2411" i="1"/>
  <c r="AQ2411" i="1"/>
  <c r="AX2411" i="1"/>
  <c r="BD2411" i="1"/>
  <c r="B2412" i="1"/>
  <c r="C2412" i="1"/>
  <c r="D2412" i="1"/>
  <c r="E2412" i="1"/>
  <c r="F2412" i="1"/>
  <c r="G2412" i="1"/>
  <c r="H2412" i="1"/>
  <c r="I2412" i="1"/>
  <c r="J2412" i="1"/>
  <c r="K2412" i="1"/>
  <c r="M2412" i="1"/>
  <c r="O2412" i="1"/>
  <c r="Q2412" i="1"/>
  <c r="R2412" i="1"/>
  <c r="W2412" i="1"/>
  <c r="AA2412" i="1"/>
  <c r="AB2412" i="1"/>
  <c r="AE2412" i="1"/>
  <c r="AF2412" i="1"/>
  <c r="AM2412" i="1"/>
  <c r="AN2412" i="1"/>
  <c r="AO2412" i="1"/>
  <c r="AQ2412" i="1"/>
  <c r="AX2412" i="1"/>
  <c r="BD2412" i="1"/>
  <c r="B2413" i="1"/>
  <c r="C2413" i="1"/>
  <c r="D2413" i="1"/>
  <c r="E2413" i="1"/>
  <c r="F2413" i="1"/>
  <c r="G2413" i="1"/>
  <c r="H2413" i="1"/>
  <c r="I2413" i="1"/>
  <c r="J2413" i="1"/>
  <c r="K2413" i="1"/>
  <c r="M2413" i="1"/>
  <c r="O2413" i="1"/>
  <c r="Q2413" i="1"/>
  <c r="R2413" i="1"/>
  <c r="W2413" i="1"/>
  <c r="AA2413" i="1"/>
  <c r="AB2413" i="1"/>
  <c r="AE2413" i="1"/>
  <c r="AF2413" i="1"/>
  <c r="AM2413" i="1"/>
  <c r="AN2413" i="1"/>
  <c r="AO2413" i="1"/>
  <c r="AQ2413" i="1"/>
  <c r="AX2413" i="1"/>
  <c r="BD2413" i="1"/>
  <c r="B2414" i="1"/>
  <c r="C2414" i="1"/>
  <c r="D2414" i="1"/>
  <c r="E2414" i="1"/>
  <c r="F2414" i="1"/>
  <c r="G2414" i="1"/>
  <c r="H2414" i="1"/>
  <c r="I2414" i="1"/>
  <c r="J2414" i="1"/>
  <c r="K2414" i="1"/>
  <c r="M2414" i="1"/>
  <c r="O2414" i="1"/>
  <c r="Q2414" i="1"/>
  <c r="R2414" i="1"/>
  <c r="W2414" i="1"/>
  <c r="AA2414" i="1"/>
  <c r="AB2414" i="1"/>
  <c r="AE2414" i="1"/>
  <c r="AF2414" i="1"/>
  <c r="AM2414" i="1"/>
  <c r="AN2414" i="1"/>
  <c r="AO2414" i="1"/>
  <c r="AQ2414" i="1"/>
  <c r="AX2414" i="1"/>
  <c r="BD2414" i="1"/>
  <c r="B2415" i="1"/>
  <c r="C2415" i="1"/>
  <c r="D2415" i="1"/>
  <c r="E2415" i="1"/>
  <c r="F2415" i="1"/>
  <c r="G2415" i="1"/>
  <c r="H2415" i="1"/>
  <c r="I2415" i="1"/>
  <c r="J2415" i="1"/>
  <c r="K2415" i="1"/>
  <c r="M2415" i="1"/>
  <c r="O2415" i="1"/>
  <c r="Q2415" i="1"/>
  <c r="R2415" i="1"/>
  <c r="W2415" i="1"/>
  <c r="AA2415" i="1"/>
  <c r="AB2415" i="1"/>
  <c r="AE2415" i="1"/>
  <c r="AF2415" i="1"/>
  <c r="AM2415" i="1"/>
  <c r="AN2415" i="1"/>
  <c r="AO2415" i="1"/>
  <c r="AQ2415" i="1"/>
  <c r="AX2415" i="1"/>
  <c r="BD2415" i="1"/>
  <c r="B2416" i="1"/>
  <c r="C2416" i="1"/>
  <c r="D2416" i="1"/>
  <c r="E2416" i="1"/>
  <c r="F2416" i="1"/>
  <c r="G2416" i="1"/>
  <c r="H2416" i="1"/>
  <c r="I2416" i="1"/>
  <c r="J2416" i="1"/>
  <c r="K2416" i="1"/>
  <c r="M2416" i="1"/>
  <c r="O2416" i="1"/>
  <c r="Q2416" i="1"/>
  <c r="R2416" i="1"/>
  <c r="W2416" i="1"/>
  <c r="AA2416" i="1"/>
  <c r="AB2416" i="1"/>
  <c r="AE2416" i="1"/>
  <c r="AF2416" i="1"/>
  <c r="AM2416" i="1"/>
  <c r="AN2416" i="1"/>
  <c r="AO2416" i="1"/>
  <c r="AQ2416" i="1"/>
  <c r="AX2416" i="1"/>
  <c r="BD2416" i="1"/>
  <c r="B2417" i="1"/>
  <c r="C2417" i="1"/>
  <c r="D2417" i="1"/>
  <c r="E2417" i="1"/>
  <c r="F2417" i="1"/>
  <c r="G2417" i="1"/>
  <c r="H2417" i="1"/>
  <c r="I2417" i="1"/>
  <c r="J2417" i="1"/>
  <c r="K2417" i="1"/>
  <c r="M2417" i="1"/>
  <c r="O2417" i="1"/>
  <c r="Q2417" i="1"/>
  <c r="R2417" i="1"/>
  <c r="W2417" i="1"/>
  <c r="AA2417" i="1"/>
  <c r="AB2417" i="1"/>
  <c r="AE2417" i="1"/>
  <c r="AF2417" i="1"/>
  <c r="AM2417" i="1"/>
  <c r="AN2417" i="1"/>
  <c r="AO2417" i="1"/>
  <c r="AQ2417" i="1"/>
  <c r="AX2417" i="1"/>
  <c r="BD2417" i="1"/>
  <c r="B2418" i="1"/>
  <c r="C2418" i="1"/>
  <c r="D2418" i="1"/>
  <c r="E2418" i="1"/>
  <c r="F2418" i="1"/>
  <c r="G2418" i="1"/>
  <c r="H2418" i="1"/>
  <c r="I2418" i="1"/>
  <c r="J2418" i="1"/>
  <c r="K2418" i="1"/>
  <c r="M2418" i="1"/>
  <c r="O2418" i="1"/>
  <c r="Q2418" i="1"/>
  <c r="R2418" i="1"/>
  <c r="W2418" i="1"/>
  <c r="AA2418" i="1"/>
  <c r="AB2418" i="1"/>
  <c r="AE2418" i="1"/>
  <c r="AF2418" i="1"/>
  <c r="AM2418" i="1"/>
  <c r="AN2418" i="1"/>
  <c r="AO2418" i="1"/>
  <c r="AQ2418" i="1"/>
  <c r="AX2418" i="1"/>
  <c r="BD2418" i="1"/>
  <c r="B2419" i="1"/>
  <c r="C2419" i="1"/>
  <c r="D2419" i="1"/>
  <c r="E2419" i="1"/>
  <c r="F2419" i="1"/>
  <c r="G2419" i="1"/>
  <c r="H2419" i="1"/>
  <c r="I2419" i="1"/>
  <c r="J2419" i="1"/>
  <c r="K2419" i="1"/>
  <c r="M2419" i="1"/>
  <c r="O2419" i="1"/>
  <c r="Q2419" i="1"/>
  <c r="R2419" i="1"/>
  <c r="W2419" i="1"/>
  <c r="AA2419" i="1"/>
  <c r="AB2419" i="1"/>
  <c r="AE2419" i="1"/>
  <c r="AF2419" i="1"/>
  <c r="AM2419" i="1"/>
  <c r="AN2419" i="1"/>
  <c r="AO2419" i="1"/>
  <c r="AQ2419" i="1"/>
  <c r="AX2419" i="1"/>
  <c r="BD2419" i="1"/>
  <c r="B2420" i="1"/>
  <c r="C2420" i="1"/>
  <c r="D2420" i="1"/>
  <c r="E2420" i="1"/>
  <c r="F2420" i="1"/>
  <c r="G2420" i="1"/>
  <c r="H2420" i="1"/>
  <c r="I2420" i="1"/>
  <c r="J2420" i="1"/>
  <c r="K2420" i="1"/>
  <c r="M2420" i="1"/>
  <c r="O2420" i="1"/>
  <c r="Q2420" i="1"/>
  <c r="R2420" i="1"/>
  <c r="W2420" i="1"/>
  <c r="AA2420" i="1"/>
  <c r="AB2420" i="1"/>
  <c r="AE2420" i="1"/>
  <c r="AF2420" i="1"/>
  <c r="AM2420" i="1"/>
  <c r="AN2420" i="1"/>
  <c r="AO2420" i="1"/>
  <c r="AQ2420" i="1"/>
  <c r="AX2420" i="1"/>
  <c r="BD2420" i="1"/>
  <c r="B2421" i="1"/>
  <c r="C2421" i="1"/>
  <c r="D2421" i="1"/>
  <c r="E2421" i="1"/>
  <c r="F2421" i="1"/>
  <c r="G2421" i="1"/>
  <c r="H2421" i="1"/>
  <c r="I2421" i="1"/>
  <c r="J2421" i="1"/>
  <c r="K2421" i="1"/>
  <c r="M2421" i="1"/>
  <c r="O2421" i="1"/>
  <c r="Q2421" i="1"/>
  <c r="R2421" i="1"/>
  <c r="W2421" i="1"/>
  <c r="AA2421" i="1"/>
  <c r="AB2421" i="1"/>
  <c r="AE2421" i="1"/>
  <c r="AF2421" i="1"/>
  <c r="AM2421" i="1"/>
  <c r="AN2421" i="1"/>
  <c r="AO2421" i="1"/>
  <c r="AQ2421" i="1"/>
  <c r="AX2421" i="1"/>
  <c r="BD2421" i="1"/>
  <c r="B2422" i="1"/>
  <c r="C2422" i="1"/>
  <c r="D2422" i="1"/>
  <c r="E2422" i="1"/>
  <c r="F2422" i="1"/>
  <c r="G2422" i="1"/>
  <c r="H2422" i="1"/>
  <c r="I2422" i="1"/>
  <c r="J2422" i="1"/>
  <c r="K2422" i="1"/>
  <c r="M2422" i="1"/>
  <c r="O2422" i="1"/>
  <c r="Q2422" i="1"/>
  <c r="R2422" i="1"/>
  <c r="W2422" i="1"/>
  <c r="AA2422" i="1"/>
  <c r="AB2422" i="1"/>
  <c r="AE2422" i="1"/>
  <c r="AF2422" i="1"/>
  <c r="AM2422" i="1"/>
  <c r="AN2422" i="1"/>
  <c r="AO2422" i="1"/>
  <c r="AQ2422" i="1"/>
  <c r="AX2422" i="1"/>
  <c r="BD2422" i="1"/>
  <c r="B2423" i="1"/>
  <c r="C2423" i="1"/>
  <c r="D2423" i="1"/>
  <c r="E2423" i="1"/>
  <c r="F2423" i="1"/>
  <c r="G2423" i="1"/>
  <c r="H2423" i="1"/>
  <c r="I2423" i="1"/>
  <c r="J2423" i="1"/>
  <c r="K2423" i="1"/>
  <c r="M2423" i="1"/>
  <c r="O2423" i="1"/>
  <c r="Q2423" i="1"/>
  <c r="R2423" i="1"/>
  <c r="W2423" i="1"/>
  <c r="AA2423" i="1"/>
  <c r="AB2423" i="1"/>
  <c r="AE2423" i="1"/>
  <c r="AF2423" i="1"/>
  <c r="AM2423" i="1"/>
  <c r="AN2423" i="1"/>
  <c r="AO2423" i="1"/>
  <c r="AQ2423" i="1"/>
  <c r="AX2423" i="1"/>
  <c r="BD2423" i="1"/>
  <c r="B2424" i="1"/>
  <c r="C2424" i="1"/>
  <c r="D2424" i="1"/>
  <c r="E2424" i="1"/>
  <c r="F2424" i="1"/>
  <c r="G2424" i="1"/>
  <c r="H2424" i="1"/>
  <c r="I2424" i="1"/>
  <c r="J2424" i="1"/>
  <c r="K2424" i="1"/>
  <c r="M2424" i="1"/>
  <c r="O2424" i="1"/>
  <c r="Q2424" i="1"/>
  <c r="R2424" i="1"/>
  <c r="W2424" i="1"/>
  <c r="AA2424" i="1"/>
  <c r="AB2424" i="1"/>
  <c r="AE2424" i="1"/>
  <c r="AF2424" i="1"/>
  <c r="AM2424" i="1"/>
  <c r="AN2424" i="1"/>
  <c r="AO2424" i="1"/>
  <c r="AQ2424" i="1"/>
  <c r="AX2424" i="1"/>
  <c r="BD2424" i="1"/>
  <c r="B2425" i="1"/>
  <c r="C2425" i="1"/>
  <c r="D2425" i="1"/>
  <c r="E2425" i="1"/>
  <c r="F2425" i="1"/>
  <c r="G2425" i="1"/>
  <c r="H2425" i="1"/>
  <c r="I2425" i="1"/>
  <c r="J2425" i="1"/>
  <c r="K2425" i="1"/>
  <c r="M2425" i="1"/>
  <c r="O2425" i="1"/>
  <c r="Q2425" i="1"/>
  <c r="R2425" i="1"/>
  <c r="W2425" i="1"/>
  <c r="AA2425" i="1"/>
  <c r="AB2425" i="1"/>
  <c r="AE2425" i="1"/>
  <c r="AF2425" i="1"/>
  <c r="AM2425" i="1"/>
  <c r="AN2425" i="1"/>
  <c r="AO2425" i="1"/>
  <c r="AQ2425" i="1"/>
  <c r="AX2425" i="1"/>
  <c r="BD2425" i="1"/>
  <c r="B2426" i="1"/>
  <c r="C2426" i="1"/>
  <c r="D2426" i="1"/>
  <c r="E2426" i="1"/>
  <c r="F2426" i="1"/>
  <c r="G2426" i="1"/>
  <c r="H2426" i="1"/>
  <c r="I2426" i="1"/>
  <c r="J2426" i="1"/>
  <c r="K2426" i="1"/>
  <c r="M2426" i="1"/>
  <c r="O2426" i="1"/>
  <c r="Q2426" i="1"/>
  <c r="R2426" i="1"/>
  <c r="W2426" i="1"/>
  <c r="AA2426" i="1"/>
  <c r="AB2426" i="1"/>
  <c r="AE2426" i="1"/>
  <c r="AF2426" i="1"/>
  <c r="AM2426" i="1"/>
  <c r="AN2426" i="1"/>
  <c r="AO2426" i="1"/>
  <c r="AQ2426" i="1"/>
  <c r="AX2426" i="1"/>
  <c r="BD2426" i="1"/>
  <c r="B2427" i="1"/>
  <c r="C2427" i="1"/>
  <c r="D2427" i="1"/>
  <c r="E2427" i="1"/>
  <c r="F2427" i="1"/>
  <c r="G2427" i="1"/>
  <c r="H2427" i="1"/>
  <c r="I2427" i="1"/>
  <c r="J2427" i="1"/>
  <c r="K2427" i="1"/>
  <c r="M2427" i="1"/>
  <c r="O2427" i="1"/>
  <c r="Q2427" i="1"/>
  <c r="R2427" i="1"/>
  <c r="W2427" i="1"/>
  <c r="AA2427" i="1"/>
  <c r="AB2427" i="1"/>
  <c r="AE2427" i="1"/>
  <c r="AF2427" i="1"/>
  <c r="AM2427" i="1"/>
  <c r="AN2427" i="1"/>
  <c r="AO2427" i="1"/>
  <c r="AQ2427" i="1"/>
  <c r="AX2427" i="1"/>
  <c r="BD2427" i="1"/>
  <c r="B2428" i="1"/>
  <c r="C2428" i="1"/>
  <c r="D2428" i="1"/>
  <c r="E2428" i="1"/>
  <c r="F2428" i="1"/>
  <c r="G2428" i="1"/>
  <c r="H2428" i="1"/>
  <c r="I2428" i="1"/>
  <c r="J2428" i="1"/>
  <c r="K2428" i="1"/>
  <c r="M2428" i="1"/>
  <c r="O2428" i="1"/>
  <c r="Q2428" i="1"/>
  <c r="R2428" i="1"/>
  <c r="W2428" i="1"/>
  <c r="AA2428" i="1"/>
  <c r="AB2428" i="1"/>
  <c r="AE2428" i="1"/>
  <c r="AF2428" i="1"/>
  <c r="AM2428" i="1"/>
  <c r="AN2428" i="1"/>
  <c r="AO2428" i="1"/>
  <c r="AQ2428" i="1"/>
  <c r="AX2428" i="1"/>
  <c r="BD2428" i="1"/>
  <c r="B2429" i="1"/>
  <c r="C2429" i="1"/>
  <c r="D2429" i="1"/>
  <c r="E2429" i="1"/>
  <c r="F2429" i="1"/>
  <c r="G2429" i="1"/>
  <c r="H2429" i="1"/>
  <c r="I2429" i="1"/>
  <c r="J2429" i="1"/>
  <c r="K2429" i="1"/>
  <c r="M2429" i="1"/>
  <c r="O2429" i="1"/>
  <c r="Q2429" i="1"/>
  <c r="R2429" i="1"/>
  <c r="W2429" i="1"/>
  <c r="AA2429" i="1"/>
  <c r="AB2429" i="1"/>
  <c r="AE2429" i="1"/>
  <c r="AF2429" i="1"/>
  <c r="AM2429" i="1"/>
  <c r="AN2429" i="1"/>
  <c r="AO2429" i="1"/>
  <c r="AQ2429" i="1"/>
  <c r="AX2429" i="1"/>
  <c r="BD2429" i="1"/>
  <c r="B2430" i="1"/>
  <c r="C2430" i="1"/>
  <c r="D2430" i="1"/>
  <c r="E2430" i="1"/>
  <c r="F2430" i="1"/>
  <c r="G2430" i="1"/>
  <c r="H2430" i="1"/>
  <c r="I2430" i="1"/>
  <c r="J2430" i="1"/>
  <c r="K2430" i="1"/>
  <c r="M2430" i="1"/>
  <c r="O2430" i="1"/>
  <c r="Q2430" i="1"/>
  <c r="R2430" i="1"/>
  <c r="W2430" i="1"/>
  <c r="AA2430" i="1"/>
  <c r="AB2430" i="1"/>
  <c r="AE2430" i="1"/>
  <c r="AF2430" i="1"/>
  <c r="AM2430" i="1"/>
  <c r="AN2430" i="1"/>
  <c r="AO2430" i="1"/>
  <c r="AQ2430" i="1"/>
  <c r="AX2430" i="1"/>
  <c r="BD2430" i="1"/>
  <c r="B2431" i="1"/>
  <c r="C2431" i="1"/>
  <c r="D2431" i="1"/>
  <c r="E2431" i="1"/>
  <c r="F2431" i="1"/>
  <c r="G2431" i="1"/>
  <c r="H2431" i="1"/>
  <c r="I2431" i="1"/>
  <c r="J2431" i="1"/>
  <c r="K2431" i="1"/>
  <c r="M2431" i="1"/>
  <c r="O2431" i="1"/>
  <c r="Q2431" i="1"/>
  <c r="R2431" i="1"/>
  <c r="W2431" i="1"/>
  <c r="AA2431" i="1"/>
  <c r="AB2431" i="1"/>
  <c r="AE2431" i="1"/>
  <c r="AF2431" i="1"/>
  <c r="AM2431" i="1"/>
  <c r="AN2431" i="1"/>
  <c r="AO2431" i="1"/>
  <c r="AQ2431" i="1"/>
  <c r="AX2431" i="1"/>
  <c r="BD2431" i="1"/>
  <c r="B2432" i="1"/>
  <c r="C2432" i="1"/>
  <c r="D2432" i="1"/>
  <c r="E2432" i="1"/>
  <c r="F2432" i="1"/>
  <c r="G2432" i="1"/>
  <c r="H2432" i="1"/>
  <c r="I2432" i="1"/>
  <c r="J2432" i="1"/>
  <c r="K2432" i="1"/>
  <c r="M2432" i="1"/>
  <c r="O2432" i="1"/>
  <c r="Q2432" i="1"/>
  <c r="R2432" i="1"/>
  <c r="W2432" i="1"/>
  <c r="AA2432" i="1"/>
  <c r="AB2432" i="1"/>
  <c r="AE2432" i="1"/>
  <c r="AF2432" i="1"/>
  <c r="AM2432" i="1"/>
  <c r="AN2432" i="1"/>
  <c r="AO2432" i="1"/>
  <c r="AQ2432" i="1"/>
  <c r="AX2432" i="1"/>
  <c r="BD2432" i="1"/>
  <c r="B2433" i="1"/>
  <c r="C2433" i="1"/>
  <c r="D2433" i="1"/>
  <c r="E2433" i="1"/>
  <c r="F2433" i="1"/>
  <c r="G2433" i="1"/>
  <c r="H2433" i="1"/>
  <c r="I2433" i="1"/>
  <c r="J2433" i="1"/>
  <c r="K2433" i="1"/>
  <c r="M2433" i="1"/>
  <c r="O2433" i="1"/>
  <c r="Q2433" i="1"/>
  <c r="R2433" i="1"/>
  <c r="W2433" i="1"/>
  <c r="AA2433" i="1"/>
  <c r="AB2433" i="1"/>
  <c r="AE2433" i="1"/>
  <c r="AF2433" i="1"/>
  <c r="AM2433" i="1"/>
  <c r="AN2433" i="1"/>
  <c r="AO2433" i="1"/>
  <c r="AQ2433" i="1"/>
  <c r="AX2433" i="1"/>
  <c r="BD2433" i="1"/>
  <c r="B2434" i="1"/>
  <c r="C2434" i="1"/>
  <c r="D2434" i="1"/>
  <c r="E2434" i="1"/>
  <c r="F2434" i="1"/>
  <c r="G2434" i="1"/>
  <c r="H2434" i="1"/>
  <c r="I2434" i="1"/>
  <c r="J2434" i="1"/>
  <c r="K2434" i="1"/>
  <c r="M2434" i="1"/>
  <c r="O2434" i="1"/>
  <c r="Q2434" i="1"/>
  <c r="R2434" i="1"/>
  <c r="W2434" i="1"/>
  <c r="AA2434" i="1"/>
  <c r="AB2434" i="1"/>
  <c r="AE2434" i="1"/>
  <c r="AF2434" i="1"/>
  <c r="AM2434" i="1"/>
  <c r="AN2434" i="1"/>
  <c r="AO2434" i="1"/>
  <c r="AQ2434" i="1"/>
  <c r="AX2434" i="1"/>
  <c r="BD2434" i="1"/>
  <c r="B2435" i="1"/>
  <c r="C2435" i="1"/>
  <c r="D2435" i="1"/>
  <c r="E2435" i="1"/>
  <c r="F2435" i="1"/>
  <c r="G2435" i="1"/>
  <c r="H2435" i="1"/>
  <c r="I2435" i="1"/>
  <c r="J2435" i="1"/>
  <c r="K2435" i="1"/>
  <c r="M2435" i="1"/>
  <c r="O2435" i="1"/>
  <c r="Q2435" i="1"/>
  <c r="R2435" i="1"/>
  <c r="W2435" i="1"/>
  <c r="AA2435" i="1"/>
  <c r="AB2435" i="1"/>
  <c r="AE2435" i="1"/>
  <c r="AF2435" i="1"/>
  <c r="AM2435" i="1"/>
  <c r="AN2435" i="1"/>
  <c r="AO2435" i="1"/>
  <c r="AQ2435" i="1"/>
  <c r="AX2435" i="1"/>
  <c r="BD2435" i="1"/>
  <c r="B2436" i="1"/>
  <c r="C2436" i="1"/>
  <c r="D2436" i="1"/>
  <c r="E2436" i="1"/>
  <c r="F2436" i="1"/>
  <c r="G2436" i="1"/>
  <c r="H2436" i="1"/>
  <c r="I2436" i="1"/>
  <c r="J2436" i="1"/>
  <c r="K2436" i="1"/>
  <c r="M2436" i="1"/>
  <c r="O2436" i="1"/>
  <c r="Q2436" i="1"/>
  <c r="R2436" i="1"/>
  <c r="W2436" i="1"/>
  <c r="AA2436" i="1"/>
  <c r="AB2436" i="1"/>
  <c r="AE2436" i="1"/>
  <c r="AF2436" i="1"/>
  <c r="AM2436" i="1"/>
  <c r="AN2436" i="1"/>
  <c r="AO2436" i="1"/>
  <c r="AQ2436" i="1"/>
  <c r="AX2436" i="1"/>
  <c r="BD2436" i="1"/>
  <c r="B2437" i="1"/>
  <c r="C2437" i="1"/>
  <c r="D2437" i="1"/>
  <c r="E2437" i="1"/>
  <c r="F2437" i="1"/>
  <c r="G2437" i="1"/>
  <c r="H2437" i="1"/>
  <c r="I2437" i="1"/>
  <c r="J2437" i="1"/>
  <c r="K2437" i="1"/>
  <c r="M2437" i="1"/>
  <c r="O2437" i="1"/>
  <c r="Q2437" i="1"/>
  <c r="R2437" i="1"/>
  <c r="W2437" i="1"/>
  <c r="AA2437" i="1"/>
  <c r="AB2437" i="1"/>
  <c r="AE2437" i="1"/>
  <c r="AF2437" i="1"/>
  <c r="AM2437" i="1"/>
  <c r="AN2437" i="1"/>
  <c r="AO2437" i="1"/>
  <c r="AQ2437" i="1"/>
  <c r="AX2437" i="1"/>
  <c r="BD2437" i="1"/>
  <c r="B2438" i="1"/>
  <c r="C2438" i="1"/>
  <c r="D2438" i="1"/>
  <c r="E2438" i="1"/>
  <c r="F2438" i="1"/>
  <c r="G2438" i="1"/>
  <c r="H2438" i="1"/>
  <c r="I2438" i="1"/>
  <c r="J2438" i="1"/>
  <c r="K2438" i="1"/>
  <c r="M2438" i="1"/>
  <c r="O2438" i="1"/>
  <c r="Q2438" i="1"/>
  <c r="R2438" i="1"/>
  <c r="W2438" i="1"/>
  <c r="AA2438" i="1"/>
  <c r="AB2438" i="1"/>
  <c r="AM2438" i="1"/>
  <c r="AN2438" i="1"/>
  <c r="AO2438" i="1"/>
  <c r="AQ2438" i="1"/>
  <c r="AX2438" i="1"/>
  <c r="BD2438" i="1"/>
  <c r="B2439" i="1"/>
  <c r="C2439" i="1"/>
  <c r="D2439" i="1"/>
  <c r="E2439" i="1"/>
  <c r="F2439" i="1"/>
  <c r="G2439" i="1"/>
  <c r="H2439" i="1"/>
  <c r="I2439" i="1"/>
  <c r="J2439" i="1"/>
  <c r="K2439" i="1"/>
  <c r="M2439" i="1"/>
  <c r="O2439" i="1"/>
  <c r="Q2439" i="1"/>
  <c r="R2439" i="1"/>
  <c r="W2439" i="1"/>
  <c r="AA2439" i="1"/>
  <c r="AB2439" i="1"/>
  <c r="AE2439" i="1"/>
  <c r="AF2439" i="1"/>
  <c r="AM2439" i="1"/>
  <c r="AN2439" i="1"/>
  <c r="AO2439" i="1"/>
  <c r="AQ2439" i="1"/>
  <c r="AX2439" i="1"/>
  <c r="BD2439" i="1"/>
  <c r="B2440" i="1"/>
  <c r="C2440" i="1"/>
  <c r="E2440" i="1"/>
  <c r="F2440" i="1"/>
  <c r="G2440" i="1"/>
  <c r="H2440" i="1"/>
  <c r="I2440" i="1"/>
  <c r="J2440" i="1"/>
  <c r="K2440" i="1"/>
  <c r="M2440" i="1"/>
  <c r="O2440" i="1"/>
  <c r="Q2440" i="1"/>
  <c r="R2440" i="1"/>
  <c r="W2440" i="1"/>
  <c r="AA2440" i="1"/>
  <c r="AM2440" i="1"/>
  <c r="AN2440" i="1"/>
  <c r="AO2440" i="1"/>
  <c r="AQ2440" i="1"/>
  <c r="BB2440" i="1"/>
  <c r="BD2440" i="1"/>
  <c r="B2441" i="1"/>
  <c r="C2441" i="1"/>
  <c r="E2441" i="1"/>
  <c r="F2441" i="1"/>
  <c r="G2441" i="1"/>
  <c r="H2441" i="1"/>
  <c r="I2441" i="1"/>
  <c r="J2441" i="1"/>
  <c r="K2441" i="1"/>
  <c r="M2441" i="1"/>
  <c r="O2441" i="1"/>
  <c r="Q2441" i="1"/>
  <c r="R2441" i="1"/>
  <c r="W2441" i="1"/>
  <c r="AA2441" i="1"/>
  <c r="AM2441" i="1"/>
  <c r="AN2441" i="1"/>
  <c r="AO2441" i="1"/>
  <c r="AQ2441" i="1"/>
  <c r="BB2441" i="1"/>
  <c r="BD2441" i="1"/>
  <c r="B2442" i="1"/>
  <c r="C2442" i="1"/>
  <c r="E2442" i="1"/>
  <c r="F2442" i="1"/>
  <c r="G2442" i="1"/>
  <c r="H2442" i="1"/>
  <c r="I2442" i="1"/>
  <c r="J2442" i="1"/>
  <c r="K2442" i="1"/>
  <c r="M2442" i="1"/>
  <c r="O2442" i="1"/>
  <c r="Q2442" i="1"/>
  <c r="R2442" i="1"/>
  <c r="W2442" i="1"/>
  <c r="AA2442" i="1"/>
  <c r="AM2442" i="1"/>
  <c r="AN2442" i="1"/>
  <c r="AO2442" i="1"/>
  <c r="AQ2442" i="1"/>
  <c r="BB2442" i="1"/>
  <c r="BD2442" i="1"/>
  <c r="B2443" i="1"/>
  <c r="C2443" i="1"/>
  <c r="E2443" i="1"/>
  <c r="F2443" i="1"/>
  <c r="G2443" i="1"/>
  <c r="H2443" i="1"/>
  <c r="I2443" i="1"/>
  <c r="J2443" i="1"/>
  <c r="K2443" i="1"/>
  <c r="M2443" i="1"/>
  <c r="O2443" i="1"/>
  <c r="Q2443" i="1"/>
  <c r="R2443" i="1"/>
  <c r="W2443" i="1"/>
  <c r="AA2443" i="1"/>
  <c r="AM2443" i="1"/>
  <c r="AN2443" i="1"/>
  <c r="AO2443" i="1"/>
  <c r="AQ2443" i="1"/>
  <c r="BB2443" i="1"/>
  <c r="BD2443" i="1"/>
  <c r="B2444" i="1"/>
  <c r="C2444" i="1"/>
  <c r="E2444" i="1"/>
  <c r="F2444" i="1"/>
  <c r="G2444" i="1"/>
  <c r="H2444" i="1"/>
  <c r="I2444" i="1"/>
  <c r="J2444" i="1"/>
  <c r="K2444" i="1"/>
  <c r="M2444" i="1"/>
  <c r="O2444" i="1"/>
  <c r="Q2444" i="1"/>
  <c r="R2444" i="1"/>
  <c r="W2444" i="1"/>
  <c r="AA2444" i="1"/>
  <c r="AM2444" i="1"/>
  <c r="AN2444" i="1"/>
  <c r="AO2444" i="1"/>
  <c r="AQ2444" i="1"/>
  <c r="BB2444" i="1"/>
  <c r="BD2444" i="1"/>
  <c r="B2445" i="1"/>
  <c r="C2445" i="1"/>
  <c r="E2445" i="1"/>
  <c r="F2445" i="1"/>
  <c r="G2445" i="1"/>
  <c r="H2445" i="1"/>
  <c r="I2445" i="1"/>
  <c r="J2445" i="1"/>
  <c r="K2445" i="1"/>
  <c r="M2445" i="1"/>
  <c r="O2445" i="1"/>
  <c r="Q2445" i="1"/>
  <c r="R2445" i="1"/>
  <c r="W2445" i="1"/>
  <c r="AA2445" i="1"/>
  <c r="AM2445" i="1"/>
  <c r="AN2445" i="1"/>
  <c r="AO2445" i="1"/>
  <c r="AQ2445" i="1"/>
  <c r="BB2445" i="1"/>
  <c r="BD2445" i="1"/>
  <c r="B2446" i="1"/>
  <c r="C2446" i="1"/>
  <c r="E2446" i="1"/>
  <c r="F2446" i="1"/>
  <c r="G2446" i="1"/>
  <c r="H2446" i="1"/>
  <c r="I2446" i="1"/>
  <c r="J2446" i="1"/>
  <c r="K2446" i="1"/>
  <c r="M2446" i="1"/>
  <c r="O2446" i="1"/>
  <c r="Q2446" i="1"/>
  <c r="R2446" i="1"/>
  <c r="W2446" i="1"/>
  <c r="AA2446" i="1"/>
  <c r="AM2446" i="1"/>
  <c r="AN2446" i="1"/>
  <c r="AO2446" i="1"/>
  <c r="AQ2446" i="1"/>
  <c r="BB2446" i="1"/>
  <c r="BD2446" i="1"/>
  <c r="B2447" i="1"/>
  <c r="C2447" i="1"/>
  <c r="E2447" i="1"/>
  <c r="F2447" i="1"/>
  <c r="G2447" i="1"/>
  <c r="H2447" i="1"/>
  <c r="I2447" i="1"/>
  <c r="J2447" i="1"/>
  <c r="K2447" i="1"/>
  <c r="M2447" i="1"/>
  <c r="O2447" i="1"/>
  <c r="Q2447" i="1"/>
  <c r="R2447" i="1"/>
  <c r="W2447" i="1"/>
  <c r="AA2447" i="1"/>
  <c r="AM2447" i="1"/>
  <c r="AN2447" i="1"/>
  <c r="AO2447" i="1"/>
  <c r="AQ2447" i="1"/>
  <c r="BB2447" i="1"/>
  <c r="BD2447" i="1"/>
  <c r="B2448" i="1"/>
  <c r="C2448" i="1"/>
  <c r="E2448" i="1"/>
  <c r="F2448" i="1"/>
  <c r="G2448" i="1"/>
  <c r="H2448" i="1"/>
  <c r="I2448" i="1"/>
  <c r="J2448" i="1"/>
  <c r="K2448" i="1"/>
  <c r="M2448" i="1"/>
  <c r="O2448" i="1"/>
  <c r="Q2448" i="1"/>
  <c r="R2448" i="1"/>
  <c r="W2448" i="1"/>
  <c r="AA2448" i="1"/>
  <c r="AM2448" i="1"/>
  <c r="AN2448" i="1"/>
  <c r="AO2448" i="1"/>
  <c r="AQ2448" i="1"/>
  <c r="BB2448" i="1"/>
  <c r="BD2448" i="1"/>
  <c r="B2449" i="1"/>
  <c r="C2449" i="1"/>
  <c r="E2449" i="1"/>
  <c r="F2449" i="1"/>
  <c r="G2449" i="1"/>
  <c r="H2449" i="1"/>
  <c r="I2449" i="1"/>
  <c r="J2449" i="1"/>
  <c r="K2449" i="1"/>
  <c r="M2449" i="1"/>
  <c r="O2449" i="1"/>
  <c r="Q2449" i="1"/>
  <c r="R2449" i="1"/>
  <c r="W2449" i="1"/>
  <c r="AA2449" i="1"/>
  <c r="AM2449" i="1"/>
  <c r="AN2449" i="1"/>
  <c r="AO2449" i="1"/>
  <c r="AQ2449" i="1"/>
  <c r="BB2449" i="1"/>
  <c r="BD2449" i="1"/>
  <c r="B2450" i="1"/>
  <c r="C2450" i="1"/>
  <c r="E2450" i="1"/>
  <c r="F2450" i="1"/>
  <c r="G2450" i="1"/>
  <c r="H2450" i="1"/>
  <c r="I2450" i="1"/>
  <c r="J2450" i="1"/>
  <c r="K2450" i="1"/>
  <c r="M2450" i="1"/>
  <c r="O2450" i="1"/>
  <c r="Q2450" i="1"/>
  <c r="R2450" i="1"/>
  <c r="W2450" i="1"/>
  <c r="AA2450" i="1"/>
  <c r="AM2450" i="1"/>
  <c r="AN2450" i="1"/>
  <c r="AO2450" i="1"/>
  <c r="AQ2450" i="1"/>
  <c r="BB2450" i="1"/>
  <c r="BD2450" i="1"/>
  <c r="B2451" i="1"/>
  <c r="C2451" i="1"/>
  <c r="E2451" i="1"/>
  <c r="F2451" i="1"/>
  <c r="G2451" i="1"/>
  <c r="H2451" i="1"/>
  <c r="I2451" i="1"/>
  <c r="J2451" i="1"/>
  <c r="K2451" i="1"/>
  <c r="M2451" i="1"/>
  <c r="O2451" i="1"/>
  <c r="Q2451" i="1"/>
  <c r="R2451" i="1"/>
  <c r="W2451" i="1"/>
  <c r="AA2451" i="1"/>
  <c r="AM2451" i="1"/>
  <c r="AN2451" i="1"/>
  <c r="AO2451" i="1"/>
  <c r="AQ2451" i="1"/>
  <c r="BB2451" i="1"/>
  <c r="BD2451" i="1"/>
  <c r="B2452" i="1"/>
  <c r="C2452" i="1"/>
  <c r="E2452" i="1"/>
  <c r="F2452" i="1"/>
  <c r="G2452" i="1"/>
  <c r="H2452" i="1"/>
  <c r="I2452" i="1"/>
  <c r="J2452" i="1"/>
  <c r="K2452" i="1"/>
  <c r="M2452" i="1"/>
  <c r="O2452" i="1"/>
  <c r="Q2452" i="1"/>
  <c r="R2452" i="1"/>
  <c r="W2452" i="1"/>
  <c r="AA2452" i="1"/>
  <c r="AM2452" i="1"/>
  <c r="AN2452" i="1"/>
  <c r="AO2452" i="1"/>
  <c r="AQ2452" i="1"/>
  <c r="BB2452" i="1"/>
  <c r="BD2452" i="1"/>
  <c r="B2453" i="1"/>
  <c r="C2453" i="1"/>
  <c r="E2453" i="1"/>
  <c r="F2453" i="1"/>
  <c r="G2453" i="1"/>
  <c r="H2453" i="1"/>
  <c r="I2453" i="1"/>
  <c r="J2453" i="1"/>
  <c r="K2453" i="1"/>
  <c r="M2453" i="1"/>
  <c r="O2453" i="1"/>
  <c r="Q2453" i="1"/>
  <c r="R2453" i="1"/>
  <c r="W2453" i="1"/>
  <c r="AA2453" i="1"/>
  <c r="AM2453" i="1"/>
  <c r="AN2453" i="1"/>
  <c r="AO2453" i="1"/>
  <c r="AQ2453" i="1"/>
  <c r="BB2453" i="1"/>
  <c r="BD2453" i="1"/>
  <c r="B2454" i="1"/>
  <c r="C2454" i="1"/>
  <c r="E2454" i="1"/>
  <c r="F2454" i="1"/>
  <c r="G2454" i="1"/>
  <c r="H2454" i="1"/>
  <c r="I2454" i="1"/>
  <c r="J2454" i="1"/>
  <c r="K2454" i="1"/>
  <c r="M2454" i="1"/>
  <c r="O2454" i="1"/>
  <c r="Q2454" i="1"/>
  <c r="R2454" i="1"/>
  <c r="W2454" i="1"/>
  <c r="AA2454" i="1"/>
  <c r="AM2454" i="1"/>
  <c r="AN2454" i="1"/>
  <c r="AO2454" i="1"/>
  <c r="AQ2454" i="1"/>
  <c r="BB2454" i="1"/>
  <c r="BD2454" i="1"/>
  <c r="B2455" i="1"/>
  <c r="C2455" i="1"/>
  <c r="E2455" i="1"/>
  <c r="F2455" i="1"/>
  <c r="G2455" i="1"/>
  <c r="H2455" i="1"/>
  <c r="I2455" i="1"/>
  <c r="J2455" i="1"/>
  <c r="K2455" i="1"/>
  <c r="M2455" i="1"/>
  <c r="O2455" i="1"/>
  <c r="Q2455" i="1"/>
  <c r="R2455" i="1"/>
  <c r="W2455" i="1"/>
  <c r="AA2455" i="1"/>
  <c r="AM2455" i="1"/>
  <c r="AN2455" i="1"/>
  <c r="AO2455" i="1"/>
  <c r="AQ2455" i="1"/>
  <c r="BB2455" i="1"/>
  <c r="BD2455" i="1"/>
  <c r="B2456" i="1"/>
  <c r="C2456" i="1"/>
  <c r="E2456" i="1"/>
  <c r="F2456" i="1"/>
  <c r="G2456" i="1"/>
  <c r="H2456" i="1"/>
  <c r="I2456" i="1"/>
  <c r="J2456" i="1"/>
  <c r="K2456" i="1"/>
  <c r="M2456" i="1"/>
  <c r="O2456" i="1"/>
  <c r="Q2456" i="1"/>
  <c r="R2456" i="1"/>
  <c r="W2456" i="1"/>
  <c r="AA2456" i="1"/>
  <c r="AM2456" i="1"/>
  <c r="AN2456" i="1"/>
  <c r="AO2456" i="1"/>
  <c r="AQ2456" i="1"/>
  <c r="BB2456" i="1"/>
  <c r="BD2456" i="1"/>
  <c r="B2457" i="1"/>
  <c r="C2457" i="1"/>
  <c r="E2457" i="1"/>
  <c r="F2457" i="1"/>
  <c r="G2457" i="1"/>
  <c r="H2457" i="1"/>
  <c r="I2457" i="1"/>
  <c r="J2457" i="1"/>
  <c r="K2457" i="1"/>
  <c r="M2457" i="1"/>
  <c r="O2457" i="1"/>
  <c r="Q2457" i="1"/>
  <c r="R2457" i="1"/>
  <c r="W2457" i="1"/>
  <c r="AA2457" i="1"/>
  <c r="AM2457" i="1"/>
  <c r="AN2457" i="1"/>
  <c r="AO2457" i="1"/>
  <c r="AQ2457" i="1"/>
  <c r="BB2457" i="1"/>
  <c r="BD2457" i="1"/>
  <c r="B2458" i="1"/>
  <c r="C2458" i="1"/>
  <c r="E2458" i="1"/>
  <c r="F2458" i="1"/>
  <c r="G2458" i="1"/>
  <c r="H2458" i="1"/>
  <c r="I2458" i="1"/>
  <c r="J2458" i="1"/>
  <c r="K2458" i="1"/>
  <c r="M2458" i="1"/>
  <c r="O2458" i="1"/>
  <c r="Q2458" i="1"/>
  <c r="R2458" i="1"/>
  <c r="W2458" i="1"/>
  <c r="AA2458" i="1"/>
  <c r="AM2458" i="1"/>
  <c r="AN2458" i="1"/>
  <c r="AO2458" i="1"/>
  <c r="AQ2458" i="1"/>
  <c r="BB2458" i="1"/>
  <c r="BD2458" i="1"/>
  <c r="B2459" i="1"/>
  <c r="C2459" i="1"/>
  <c r="E2459" i="1"/>
  <c r="F2459" i="1"/>
  <c r="G2459" i="1"/>
  <c r="H2459" i="1"/>
  <c r="I2459" i="1"/>
  <c r="J2459" i="1"/>
  <c r="K2459" i="1"/>
  <c r="M2459" i="1"/>
  <c r="O2459" i="1"/>
  <c r="Q2459" i="1"/>
  <c r="R2459" i="1"/>
  <c r="W2459" i="1"/>
  <c r="AA2459" i="1"/>
  <c r="AM2459" i="1"/>
  <c r="AN2459" i="1"/>
  <c r="AO2459" i="1"/>
  <c r="AQ2459" i="1"/>
  <c r="BB2459" i="1"/>
  <c r="BD2459" i="1"/>
  <c r="B2460" i="1"/>
  <c r="C2460" i="1"/>
  <c r="E2460" i="1"/>
  <c r="F2460" i="1"/>
  <c r="G2460" i="1"/>
  <c r="H2460" i="1"/>
  <c r="I2460" i="1"/>
  <c r="J2460" i="1"/>
  <c r="K2460" i="1"/>
  <c r="M2460" i="1"/>
  <c r="O2460" i="1"/>
  <c r="Q2460" i="1"/>
  <c r="R2460" i="1"/>
  <c r="W2460" i="1"/>
  <c r="AA2460" i="1"/>
  <c r="AM2460" i="1"/>
  <c r="AN2460" i="1"/>
  <c r="AO2460" i="1"/>
  <c r="AQ2460" i="1"/>
  <c r="BB2460" i="1"/>
  <c r="BD2460" i="1"/>
  <c r="B2461" i="1"/>
  <c r="C2461" i="1"/>
  <c r="E2461" i="1"/>
  <c r="F2461" i="1"/>
  <c r="G2461" i="1"/>
  <c r="H2461" i="1"/>
  <c r="I2461" i="1"/>
  <c r="J2461" i="1"/>
  <c r="K2461" i="1"/>
  <c r="M2461" i="1"/>
  <c r="O2461" i="1"/>
  <c r="Q2461" i="1"/>
  <c r="R2461" i="1"/>
  <c r="W2461" i="1"/>
  <c r="AA2461" i="1"/>
  <c r="AM2461" i="1"/>
  <c r="AN2461" i="1"/>
  <c r="AO2461" i="1"/>
  <c r="AQ2461" i="1"/>
  <c r="BB2461" i="1"/>
  <c r="BD2461" i="1"/>
  <c r="B2462" i="1"/>
  <c r="C2462" i="1"/>
  <c r="E2462" i="1"/>
  <c r="F2462" i="1"/>
  <c r="G2462" i="1"/>
  <c r="H2462" i="1"/>
  <c r="I2462" i="1"/>
  <c r="J2462" i="1"/>
  <c r="K2462" i="1"/>
  <c r="M2462" i="1"/>
  <c r="O2462" i="1"/>
  <c r="Q2462" i="1"/>
  <c r="R2462" i="1"/>
  <c r="W2462" i="1"/>
  <c r="AA2462" i="1"/>
  <c r="AM2462" i="1"/>
  <c r="AN2462" i="1"/>
  <c r="AO2462" i="1"/>
  <c r="AQ2462" i="1"/>
  <c r="BB2462" i="1"/>
  <c r="BD2462" i="1"/>
  <c r="B2463" i="1"/>
  <c r="C2463" i="1"/>
  <c r="E2463" i="1"/>
  <c r="F2463" i="1"/>
  <c r="G2463" i="1"/>
  <c r="H2463" i="1"/>
  <c r="I2463" i="1"/>
  <c r="J2463" i="1"/>
  <c r="K2463" i="1"/>
  <c r="M2463" i="1"/>
  <c r="O2463" i="1"/>
  <c r="Q2463" i="1"/>
  <c r="R2463" i="1"/>
  <c r="W2463" i="1"/>
  <c r="AA2463" i="1"/>
  <c r="AM2463" i="1"/>
  <c r="AN2463" i="1"/>
  <c r="AO2463" i="1"/>
  <c r="AQ2463" i="1"/>
  <c r="BB2463" i="1"/>
  <c r="BD2463" i="1"/>
  <c r="B2464" i="1"/>
  <c r="C2464" i="1"/>
  <c r="E2464" i="1"/>
  <c r="F2464" i="1"/>
  <c r="G2464" i="1"/>
  <c r="H2464" i="1"/>
  <c r="I2464" i="1"/>
  <c r="J2464" i="1"/>
  <c r="K2464" i="1"/>
  <c r="M2464" i="1"/>
  <c r="O2464" i="1"/>
  <c r="Q2464" i="1"/>
  <c r="R2464" i="1"/>
  <c r="W2464" i="1"/>
  <c r="AA2464" i="1"/>
  <c r="AM2464" i="1"/>
  <c r="AN2464" i="1"/>
  <c r="AO2464" i="1"/>
  <c r="AQ2464" i="1"/>
  <c r="BB2464" i="1"/>
  <c r="BD2464" i="1"/>
  <c r="B2465" i="1"/>
  <c r="C2465" i="1"/>
  <c r="E2465" i="1"/>
  <c r="F2465" i="1"/>
  <c r="G2465" i="1"/>
  <c r="H2465" i="1"/>
  <c r="I2465" i="1"/>
  <c r="J2465" i="1"/>
  <c r="K2465" i="1"/>
  <c r="M2465" i="1"/>
  <c r="O2465" i="1"/>
  <c r="Q2465" i="1"/>
  <c r="R2465" i="1"/>
  <c r="W2465" i="1"/>
  <c r="AA2465" i="1"/>
  <c r="AM2465" i="1"/>
  <c r="AN2465" i="1"/>
  <c r="AO2465" i="1"/>
  <c r="AQ2465" i="1"/>
  <c r="BB2465" i="1"/>
  <c r="BD2465" i="1"/>
  <c r="B2466" i="1"/>
  <c r="C2466" i="1"/>
  <c r="E2466" i="1"/>
  <c r="F2466" i="1"/>
  <c r="G2466" i="1"/>
  <c r="H2466" i="1"/>
  <c r="I2466" i="1"/>
  <c r="J2466" i="1"/>
  <c r="K2466" i="1"/>
  <c r="M2466" i="1"/>
  <c r="O2466" i="1"/>
  <c r="Q2466" i="1"/>
  <c r="R2466" i="1"/>
  <c r="W2466" i="1"/>
  <c r="AA2466" i="1"/>
  <c r="AM2466" i="1"/>
  <c r="AN2466" i="1"/>
  <c r="AO2466" i="1"/>
  <c r="AQ2466" i="1"/>
  <c r="BB2466" i="1"/>
  <c r="BD2466" i="1"/>
  <c r="B2467" i="1"/>
  <c r="C2467" i="1"/>
  <c r="E2467" i="1"/>
  <c r="F2467" i="1"/>
  <c r="G2467" i="1"/>
  <c r="H2467" i="1"/>
  <c r="I2467" i="1"/>
  <c r="J2467" i="1"/>
  <c r="K2467" i="1"/>
  <c r="M2467" i="1"/>
  <c r="O2467" i="1"/>
  <c r="Q2467" i="1"/>
  <c r="R2467" i="1"/>
  <c r="W2467" i="1"/>
  <c r="AA2467" i="1"/>
  <c r="AM2467" i="1"/>
  <c r="AN2467" i="1"/>
  <c r="AO2467" i="1"/>
  <c r="AQ2467" i="1"/>
  <c r="BB2467" i="1"/>
  <c r="BD2467" i="1"/>
  <c r="B2468" i="1"/>
  <c r="C2468" i="1"/>
  <c r="E2468" i="1"/>
  <c r="F2468" i="1"/>
  <c r="G2468" i="1"/>
  <c r="H2468" i="1"/>
  <c r="I2468" i="1"/>
  <c r="J2468" i="1"/>
  <c r="K2468" i="1"/>
  <c r="M2468" i="1"/>
  <c r="O2468" i="1"/>
  <c r="Q2468" i="1"/>
  <c r="R2468" i="1"/>
  <c r="W2468" i="1"/>
  <c r="AA2468" i="1"/>
  <c r="AM2468" i="1"/>
  <c r="AN2468" i="1"/>
  <c r="AO2468" i="1"/>
  <c r="AQ2468" i="1"/>
  <c r="BB2468" i="1"/>
  <c r="BD2468" i="1"/>
  <c r="B2469" i="1"/>
  <c r="C2469" i="1"/>
  <c r="D2469" i="1"/>
  <c r="E2469" i="1"/>
  <c r="F2469" i="1"/>
  <c r="G2469" i="1"/>
  <c r="H2469" i="1"/>
  <c r="I2469" i="1"/>
  <c r="J2469" i="1"/>
  <c r="K2469" i="1"/>
  <c r="M2469" i="1"/>
  <c r="O2469" i="1"/>
  <c r="Q2469" i="1"/>
  <c r="R2469" i="1"/>
  <c r="W2469" i="1"/>
  <c r="AA2469" i="1"/>
  <c r="AB2469" i="1"/>
  <c r="AE2469" i="1"/>
  <c r="AF2469" i="1"/>
  <c r="AM2469" i="1"/>
  <c r="AN2469" i="1"/>
  <c r="AO2469" i="1"/>
  <c r="AQ2469" i="1"/>
  <c r="AX2469" i="1"/>
  <c r="BD2469" i="1"/>
  <c r="B2470" i="1"/>
  <c r="C2470" i="1"/>
  <c r="D2470" i="1"/>
  <c r="E2470" i="1"/>
  <c r="F2470" i="1"/>
  <c r="G2470" i="1"/>
  <c r="H2470" i="1"/>
  <c r="I2470" i="1"/>
  <c r="J2470" i="1"/>
  <c r="K2470" i="1"/>
  <c r="M2470" i="1"/>
  <c r="O2470" i="1"/>
  <c r="Q2470" i="1"/>
  <c r="R2470" i="1"/>
  <c r="W2470" i="1"/>
  <c r="AA2470" i="1"/>
  <c r="AB2470" i="1"/>
  <c r="AE2470" i="1"/>
  <c r="AF2470" i="1"/>
  <c r="AM2470" i="1"/>
  <c r="AN2470" i="1"/>
  <c r="AO2470" i="1"/>
  <c r="AQ2470" i="1"/>
  <c r="AX2470" i="1"/>
  <c r="BD2470" i="1"/>
  <c r="B2471" i="1"/>
  <c r="C2471" i="1"/>
  <c r="E2471" i="1"/>
  <c r="F2471" i="1"/>
  <c r="G2471" i="1"/>
  <c r="H2471" i="1"/>
  <c r="I2471" i="1"/>
  <c r="J2471" i="1"/>
  <c r="K2471" i="1"/>
  <c r="M2471" i="1"/>
  <c r="O2471" i="1"/>
  <c r="Q2471" i="1"/>
  <c r="R2471" i="1"/>
  <c r="W2471" i="1"/>
  <c r="AA2471" i="1"/>
  <c r="AM2471" i="1"/>
  <c r="AN2471" i="1"/>
  <c r="AO2471" i="1"/>
  <c r="AQ2471" i="1"/>
  <c r="BB2471" i="1"/>
  <c r="BD2471" i="1"/>
  <c r="B2472" i="1"/>
  <c r="C2472" i="1"/>
  <c r="E2472" i="1"/>
  <c r="F2472" i="1"/>
  <c r="G2472" i="1"/>
  <c r="H2472" i="1"/>
  <c r="I2472" i="1"/>
  <c r="J2472" i="1"/>
  <c r="K2472" i="1"/>
  <c r="M2472" i="1"/>
  <c r="O2472" i="1"/>
  <c r="Q2472" i="1"/>
  <c r="R2472" i="1"/>
  <c r="W2472" i="1"/>
  <c r="AA2472" i="1"/>
  <c r="AM2472" i="1"/>
  <c r="AN2472" i="1"/>
  <c r="AO2472" i="1"/>
  <c r="AQ2472" i="1"/>
  <c r="BB2472" i="1"/>
  <c r="BD2472" i="1"/>
  <c r="B2473" i="1"/>
  <c r="C2473" i="1"/>
  <c r="E2473" i="1"/>
  <c r="F2473" i="1"/>
  <c r="G2473" i="1"/>
  <c r="H2473" i="1"/>
  <c r="I2473" i="1"/>
  <c r="J2473" i="1"/>
  <c r="K2473" i="1"/>
  <c r="M2473" i="1"/>
  <c r="O2473" i="1"/>
  <c r="Q2473" i="1"/>
  <c r="W2473" i="1"/>
  <c r="AA2473" i="1"/>
  <c r="AM2473" i="1"/>
  <c r="AN2473" i="1"/>
  <c r="AO2473" i="1"/>
  <c r="AQ2473" i="1"/>
  <c r="BB2473" i="1"/>
  <c r="BD2473" i="1"/>
  <c r="B2474" i="1"/>
  <c r="C2474" i="1"/>
  <c r="E2474" i="1"/>
  <c r="F2474" i="1"/>
  <c r="G2474" i="1"/>
  <c r="H2474" i="1"/>
  <c r="I2474" i="1"/>
  <c r="J2474" i="1"/>
  <c r="K2474" i="1"/>
  <c r="M2474" i="1"/>
  <c r="O2474" i="1"/>
  <c r="Q2474" i="1"/>
  <c r="W2474" i="1"/>
  <c r="AA2474" i="1"/>
  <c r="AM2474" i="1"/>
  <c r="AN2474" i="1"/>
  <c r="AO2474" i="1"/>
  <c r="AQ2474" i="1"/>
  <c r="BB2474" i="1"/>
  <c r="BD2474" i="1"/>
  <c r="B2475" i="1"/>
  <c r="C2475" i="1"/>
  <c r="E2475" i="1"/>
  <c r="F2475" i="1"/>
  <c r="G2475" i="1"/>
  <c r="H2475" i="1"/>
  <c r="I2475" i="1"/>
  <c r="J2475" i="1"/>
  <c r="K2475" i="1"/>
  <c r="M2475" i="1"/>
  <c r="O2475" i="1"/>
  <c r="Q2475" i="1"/>
  <c r="R2475" i="1"/>
  <c r="W2475" i="1"/>
  <c r="AA2475" i="1"/>
  <c r="AM2475" i="1"/>
  <c r="AN2475" i="1"/>
  <c r="AO2475" i="1"/>
  <c r="AQ2475" i="1"/>
  <c r="BB2475" i="1"/>
  <c r="BD2475" i="1"/>
  <c r="B2476" i="1"/>
  <c r="C2476" i="1"/>
  <c r="E2476" i="1"/>
  <c r="F2476" i="1"/>
  <c r="G2476" i="1"/>
  <c r="H2476" i="1"/>
  <c r="I2476" i="1"/>
  <c r="J2476" i="1"/>
  <c r="K2476" i="1"/>
  <c r="M2476" i="1"/>
  <c r="O2476" i="1"/>
  <c r="Q2476" i="1"/>
  <c r="R2476" i="1"/>
  <c r="W2476" i="1"/>
  <c r="AA2476" i="1"/>
  <c r="AM2476" i="1"/>
  <c r="AN2476" i="1"/>
  <c r="AO2476" i="1"/>
  <c r="AQ2476" i="1"/>
  <c r="BB2476" i="1"/>
  <c r="BD2476" i="1"/>
  <c r="B2477" i="1"/>
  <c r="C2477" i="1"/>
  <c r="E2477" i="1"/>
  <c r="F2477" i="1"/>
  <c r="G2477" i="1"/>
  <c r="H2477" i="1"/>
  <c r="I2477" i="1"/>
  <c r="J2477" i="1"/>
  <c r="K2477" i="1"/>
  <c r="M2477" i="1"/>
  <c r="O2477" i="1"/>
  <c r="Q2477" i="1"/>
  <c r="W2477" i="1"/>
  <c r="AA2477" i="1"/>
  <c r="AM2477" i="1"/>
  <c r="AN2477" i="1"/>
  <c r="AO2477" i="1"/>
  <c r="AQ2477" i="1"/>
  <c r="BB2477" i="1"/>
  <c r="BD2477" i="1"/>
  <c r="B2478" i="1"/>
  <c r="C2478" i="1"/>
  <c r="E2478" i="1"/>
  <c r="F2478" i="1"/>
  <c r="G2478" i="1"/>
  <c r="H2478" i="1"/>
  <c r="I2478" i="1"/>
  <c r="J2478" i="1"/>
  <c r="K2478" i="1"/>
  <c r="M2478" i="1"/>
  <c r="O2478" i="1"/>
  <c r="Q2478" i="1"/>
  <c r="W2478" i="1"/>
  <c r="AA2478" i="1"/>
  <c r="AM2478" i="1"/>
  <c r="AN2478" i="1"/>
  <c r="AO2478" i="1"/>
  <c r="AQ2478" i="1"/>
  <c r="BB2478" i="1"/>
  <c r="BD2478" i="1"/>
  <c r="B2479" i="1"/>
  <c r="C2479" i="1"/>
  <c r="D2479" i="1"/>
  <c r="E2479" i="1"/>
  <c r="F2479" i="1"/>
  <c r="G2479" i="1"/>
  <c r="H2479" i="1"/>
  <c r="I2479" i="1"/>
  <c r="J2479" i="1"/>
  <c r="K2479" i="1"/>
  <c r="M2479" i="1"/>
  <c r="O2479" i="1"/>
  <c r="Q2479" i="1"/>
  <c r="R2479" i="1"/>
  <c r="W2479" i="1"/>
  <c r="AA2479" i="1"/>
  <c r="AB2479" i="1"/>
  <c r="AE2479" i="1"/>
  <c r="AF2479" i="1"/>
  <c r="AM2479" i="1"/>
  <c r="AN2479" i="1"/>
  <c r="AO2479" i="1"/>
  <c r="AQ2479" i="1"/>
  <c r="AX2479" i="1"/>
  <c r="BD2479" i="1"/>
  <c r="B2480" i="1"/>
  <c r="C2480" i="1"/>
  <c r="D2480" i="1"/>
  <c r="E2480" i="1"/>
  <c r="F2480" i="1"/>
  <c r="G2480" i="1"/>
  <c r="H2480" i="1"/>
  <c r="I2480" i="1"/>
  <c r="J2480" i="1"/>
  <c r="K2480" i="1"/>
  <c r="M2480" i="1"/>
  <c r="O2480" i="1"/>
  <c r="Q2480" i="1"/>
  <c r="R2480" i="1"/>
  <c r="W2480" i="1"/>
  <c r="AA2480" i="1"/>
  <c r="AB2480" i="1"/>
  <c r="AE2480" i="1"/>
  <c r="AF2480" i="1"/>
  <c r="AM2480" i="1"/>
  <c r="AN2480" i="1"/>
  <c r="AO2480" i="1"/>
  <c r="AQ2480" i="1"/>
  <c r="AX2480" i="1"/>
  <c r="BD2480" i="1"/>
  <c r="B2481" i="1"/>
  <c r="C2481" i="1"/>
  <c r="D2481" i="1"/>
  <c r="E2481" i="1"/>
  <c r="F2481" i="1"/>
  <c r="G2481" i="1"/>
  <c r="H2481" i="1"/>
  <c r="I2481" i="1"/>
  <c r="J2481" i="1"/>
  <c r="K2481" i="1"/>
  <c r="M2481" i="1"/>
  <c r="O2481" i="1"/>
  <c r="Q2481" i="1"/>
  <c r="R2481" i="1"/>
  <c r="W2481" i="1"/>
  <c r="AA2481" i="1"/>
  <c r="AB2481" i="1"/>
  <c r="AE2481" i="1"/>
  <c r="AF2481" i="1"/>
  <c r="AM2481" i="1"/>
  <c r="AN2481" i="1"/>
  <c r="AO2481" i="1"/>
  <c r="AQ2481" i="1"/>
  <c r="AX2481" i="1"/>
  <c r="BD2481" i="1"/>
  <c r="B2482" i="1"/>
  <c r="C2482" i="1"/>
  <c r="E2482" i="1"/>
  <c r="F2482" i="1"/>
  <c r="G2482" i="1"/>
  <c r="H2482" i="1"/>
  <c r="I2482" i="1"/>
  <c r="J2482" i="1"/>
  <c r="K2482" i="1"/>
  <c r="M2482" i="1"/>
  <c r="O2482" i="1"/>
  <c r="Q2482" i="1"/>
  <c r="R2482" i="1"/>
  <c r="W2482" i="1"/>
  <c r="AA2482" i="1"/>
  <c r="AB2482" i="1"/>
  <c r="AE2482" i="1"/>
  <c r="AF2482" i="1"/>
  <c r="AM2482" i="1"/>
  <c r="AN2482" i="1"/>
  <c r="AO2482" i="1"/>
  <c r="AQ2482" i="1"/>
  <c r="AX2482" i="1"/>
  <c r="BD2482" i="1"/>
  <c r="B2483" i="1"/>
  <c r="C2483" i="1"/>
  <c r="E2483" i="1"/>
  <c r="F2483" i="1"/>
  <c r="G2483" i="1"/>
  <c r="H2483" i="1"/>
  <c r="I2483" i="1"/>
  <c r="J2483" i="1"/>
  <c r="K2483" i="1"/>
  <c r="M2483" i="1"/>
  <c r="O2483" i="1"/>
  <c r="Q2483" i="1"/>
  <c r="R2483" i="1"/>
  <c r="W2483" i="1"/>
  <c r="AA2483" i="1"/>
  <c r="AB2483" i="1"/>
  <c r="AE2483" i="1"/>
  <c r="AF2483" i="1"/>
  <c r="AM2483" i="1"/>
  <c r="AN2483" i="1"/>
  <c r="AO2483" i="1"/>
  <c r="AQ2483" i="1"/>
  <c r="AX2483" i="1"/>
  <c r="BD2483" i="1"/>
  <c r="B2484" i="1"/>
  <c r="C2484" i="1"/>
  <c r="E2484" i="1"/>
  <c r="F2484" i="1"/>
  <c r="G2484" i="1"/>
  <c r="H2484" i="1"/>
  <c r="I2484" i="1"/>
  <c r="J2484" i="1"/>
  <c r="K2484" i="1"/>
  <c r="M2484" i="1"/>
  <c r="O2484" i="1"/>
  <c r="Q2484" i="1"/>
  <c r="R2484" i="1"/>
  <c r="W2484" i="1"/>
  <c r="AA2484" i="1"/>
  <c r="AB2484" i="1"/>
  <c r="AE2484" i="1"/>
  <c r="AF2484" i="1"/>
  <c r="AM2484" i="1"/>
  <c r="AN2484" i="1"/>
  <c r="AO2484" i="1"/>
  <c r="AQ2484" i="1"/>
  <c r="AX2484" i="1"/>
  <c r="BD2484" i="1"/>
  <c r="B2485" i="1"/>
  <c r="C2485" i="1"/>
  <c r="E2485" i="1"/>
  <c r="F2485" i="1"/>
  <c r="G2485" i="1"/>
  <c r="H2485" i="1"/>
  <c r="I2485" i="1"/>
  <c r="J2485" i="1"/>
  <c r="K2485" i="1"/>
  <c r="M2485" i="1"/>
  <c r="O2485" i="1"/>
  <c r="Q2485" i="1"/>
  <c r="R2485" i="1"/>
  <c r="W2485" i="1"/>
  <c r="AA2485" i="1"/>
  <c r="AB2485" i="1"/>
  <c r="AE2485" i="1"/>
  <c r="AF2485" i="1"/>
  <c r="AM2485" i="1"/>
  <c r="AN2485" i="1"/>
  <c r="AO2485" i="1"/>
  <c r="AQ2485" i="1"/>
  <c r="AX2485" i="1"/>
  <c r="BD2485" i="1"/>
  <c r="B2486" i="1"/>
  <c r="C2486" i="1"/>
  <c r="D2486" i="1"/>
  <c r="E2486" i="1"/>
  <c r="F2486" i="1"/>
  <c r="G2486" i="1"/>
  <c r="H2486" i="1"/>
  <c r="I2486" i="1"/>
  <c r="J2486" i="1"/>
  <c r="K2486" i="1"/>
  <c r="M2486" i="1"/>
  <c r="O2486" i="1"/>
  <c r="Q2486" i="1"/>
  <c r="R2486" i="1"/>
  <c r="W2486" i="1"/>
  <c r="AA2486" i="1"/>
  <c r="AB2486" i="1"/>
  <c r="AE2486" i="1"/>
  <c r="AF2486" i="1"/>
  <c r="AM2486" i="1"/>
  <c r="AN2486" i="1"/>
  <c r="AO2486" i="1"/>
  <c r="AQ2486" i="1"/>
  <c r="AX2486" i="1"/>
  <c r="BD2486" i="1"/>
  <c r="B2487" i="1"/>
  <c r="C2487" i="1"/>
  <c r="E2487" i="1"/>
  <c r="F2487" i="1"/>
  <c r="G2487" i="1"/>
  <c r="H2487" i="1"/>
  <c r="I2487" i="1"/>
  <c r="J2487" i="1"/>
  <c r="K2487" i="1"/>
  <c r="M2487" i="1"/>
  <c r="O2487" i="1"/>
  <c r="Q2487" i="1"/>
  <c r="R2487" i="1"/>
  <c r="W2487" i="1"/>
  <c r="AA2487" i="1"/>
  <c r="AB2487" i="1"/>
  <c r="AE2487" i="1"/>
  <c r="AF2487" i="1"/>
  <c r="AM2487" i="1"/>
  <c r="AN2487" i="1"/>
  <c r="AO2487" i="1"/>
  <c r="AQ2487" i="1"/>
  <c r="AX2487" i="1"/>
  <c r="BD2487" i="1"/>
  <c r="B2488" i="1"/>
  <c r="C2488" i="1"/>
  <c r="E2488" i="1"/>
  <c r="F2488" i="1"/>
  <c r="G2488" i="1"/>
  <c r="H2488" i="1"/>
  <c r="I2488" i="1"/>
  <c r="J2488" i="1"/>
  <c r="K2488" i="1"/>
  <c r="M2488" i="1"/>
  <c r="O2488" i="1"/>
  <c r="Q2488" i="1"/>
  <c r="R2488" i="1"/>
  <c r="W2488" i="1"/>
  <c r="AA2488" i="1"/>
  <c r="AM2488" i="1"/>
  <c r="AN2488" i="1"/>
  <c r="AO2488" i="1"/>
  <c r="AQ2488" i="1"/>
  <c r="BB2488" i="1"/>
  <c r="BD2488" i="1"/>
  <c r="B2489" i="1"/>
  <c r="C2489" i="1"/>
  <c r="E2489" i="1"/>
  <c r="F2489" i="1"/>
  <c r="G2489" i="1"/>
  <c r="H2489" i="1"/>
  <c r="I2489" i="1"/>
  <c r="J2489" i="1"/>
  <c r="K2489" i="1"/>
  <c r="M2489" i="1"/>
  <c r="O2489" i="1"/>
  <c r="Q2489" i="1"/>
  <c r="R2489" i="1"/>
  <c r="W2489" i="1"/>
  <c r="AA2489" i="1"/>
  <c r="AM2489" i="1"/>
  <c r="AN2489" i="1"/>
  <c r="AO2489" i="1"/>
  <c r="AQ2489" i="1"/>
  <c r="BB2489" i="1"/>
  <c r="BD2489" i="1"/>
  <c r="B2490" i="1"/>
  <c r="C2490" i="1"/>
  <c r="E2490" i="1"/>
  <c r="F2490" i="1"/>
  <c r="G2490" i="1"/>
  <c r="H2490" i="1"/>
  <c r="I2490" i="1"/>
  <c r="J2490" i="1"/>
  <c r="K2490" i="1"/>
  <c r="M2490" i="1"/>
  <c r="O2490" i="1"/>
  <c r="Q2490" i="1"/>
  <c r="R2490" i="1"/>
  <c r="W2490" i="1"/>
  <c r="AA2490" i="1"/>
  <c r="AM2490" i="1"/>
  <c r="AN2490" i="1"/>
  <c r="AO2490" i="1"/>
  <c r="AQ2490" i="1"/>
  <c r="BB2490" i="1"/>
  <c r="BD2490" i="1"/>
  <c r="B2491" i="1"/>
  <c r="C2491" i="1"/>
  <c r="E2491" i="1"/>
  <c r="F2491" i="1"/>
  <c r="G2491" i="1"/>
  <c r="H2491" i="1"/>
  <c r="I2491" i="1"/>
  <c r="J2491" i="1"/>
  <c r="K2491" i="1"/>
  <c r="M2491" i="1"/>
  <c r="O2491" i="1"/>
  <c r="Q2491" i="1"/>
  <c r="R2491" i="1"/>
  <c r="W2491" i="1"/>
  <c r="AA2491" i="1"/>
  <c r="AM2491" i="1"/>
  <c r="AN2491" i="1"/>
  <c r="AO2491" i="1"/>
  <c r="AQ2491" i="1"/>
  <c r="BB2491" i="1"/>
  <c r="BD2491" i="1"/>
  <c r="B2492" i="1"/>
  <c r="C2492" i="1"/>
  <c r="E2492" i="1"/>
  <c r="F2492" i="1"/>
  <c r="G2492" i="1"/>
  <c r="H2492" i="1"/>
  <c r="I2492" i="1"/>
  <c r="J2492" i="1"/>
  <c r="K2492" i="1"/>
  <c r="M2492" i="1"/>
  <c r="O2492" i="1"/>
  <c r="Q2492" i="1"/>
  <c r="R2492" i="1"/>
  <c r="W2492" i="1"/>
  <c r="AA2492" i="1"/>
  <c r="AM2492" i="1"/>
  <c r="AN2492" i="1"/>
  <c r="AO2492" i="1"/>
  <c r="AQ2492" i="1"/>
  <c r="BB2492" i="1"/>
  <c r="BD2492" i="1"/>
  <c r="B2493" i="1"/>
  <c r="C2493" i="1"/>
  <c r="E2493" i="1"/>
  <c r="F2493" i="1"/>
  <c r="G2493" i="1"/>
  <c r="H2493" i="1"/>
  <c r="I2493" i="1"/>
  <c r="J2493" i="1"/>
  <c r="K2493" i="1"/>
  <c r="M2493" i="1"/>
  <c r="O2493" i="1"/>
  <c r="Q2493" i="1"/>
  <c r="R2493" i="1"/>
  <c r="W2493" i="1"/>
  <c r="AA2493" i="1"/>
  <c r="AM2493" i="1"/>
  <c r="AN2493" i="1"/>
  <c r="AO2493" i="1"/>
  <c r="AQ2493" i="1"/>
  <c r="BB2493" i="1"/>
  <c r="BD2493" i="1"/>
  <c r="B2494" i="1"/>
  <c r="C2494" i="1"/>
  <c r="E2494" i="1"/>
  <c r="F2494" i="1"/>
  <c r="G2494" i="1"/>
  <c r="H2494" i="1"/>
  <c r="I2494" i="1"/>
  <c r="J2494" i="1"/>
  <c r="K2494" i="1"/>
  <c r="M2494" i="1"/>
  <c r="O2494" i="1"/>
  <c r="Q2494" i="1"/>
  <c r="R2494" i="1"/>
  <c r="W2494" i="1"/>
  <c r="AA2494" i="1"/>
  <c r="AM2494" i="1"/>
  <c r="AN2494" i="1"/>
  <c r="AO2494" i="1"/>
  <c r="AQ2494" i="1"/>
  <c r="BB2494" i="1"/>
  <c r="BD2494" i="1"/>
  <c r="B2495" i="1"/>
  <c r="C2495" i="1"/>
  <c r="E2495" i="1"/>
  <c r="F2495" i="1"/>
  <c r="G2495" i="1"/>
  <c r="H2495" i="1"/>
  <c r="I2495" i="1"/>
  <c r="J2495" i="1"/>
  <c r="K2495" i="1"/>
  <c r="M2495" i="1"/>
  <c r="O2495" i="1"/>
  <c r="Q2495" i="1"/>
  <c r="R2495" i="1"/>
  <c r="W2495" i="1"/>
  <c r="AA2495" i="1"/>
  <c r="AM2495" i="1"/>
  <c r="AN2495" i="1"/>
  <c r="AO2495" i="1"/>
  <c r="AQ2495" i="1"/>
  <c r="BB2495" i="1"/>
  <c r="BD2495" i="1"/>
  <c r="B2496" i="1"/>
  <c r="C2496" i="1"/>
  <c r="E2496" i="1"/>
  <c r="F2496" i="1"/>
  <c r="G2496" i="1"/>
  <c r="H2496" i="1"/>
  <c r="I2496" i="1"/>
  <c r="J2496" i="1"/>
  <c r="K2496" i="1"/>
  <c r="M2496" i="1"/>
  <c r="O2496" i="1"/>
  <c r="Q2496" i="1"/>
  <c r="R2496" i="1"/>
  <c r="W2496" i="1"/>
  <c r="AA2496" i="1"/>
  <c r="AM2496" i="1"/>
  <c r="AN2496" i="1"/>
  <c r="AO2496" i="1"/>
  <c r="AQ2496" i="1"/>
  <c r="BB2496" i="1"/>
  <c r="BD2496" i="1"/>
  <c r="B2497" i="1"/>
  <c r="C2497" i="1"/>
  <c r="E2497" i="1"/>
  <c r="F2497" i="1"/>
  <c r="G2497" i="1"/>
  <c r="H2497" i="1"/>
  <c r="I2497" i="1"/>
  <c r="J2497" i="1"/>
  <c r="K2497" i="1"/>
  <c r="M2497" i="1"/>
  <c r="O2497" i="1"/>
  <c r="Q2497" i="1"/>
  <c r="R2497" i="1"/>
  <c r="W2497" i="1"/>
  <c r="AA2497" i="1"/>
  <c r="AM2497" i="1"/>
  <c r="AN2497" i="1"/>
  <c r="AO2497" i="1"/>
  <c r="AQ2497" i="1"/>
  <c r="BB2497" i="1"/>
  <c r="BD2497" i="1"/>
  <c r="B2498" i="1"/>
  <c r="C2498" i="1"/>
  <c r="E2498" i="1"/>
  <c r="F2498" i="1"/>
  <c r="G2498" i="1"/>
  <c r="H2498" i="1"/>
  <c r="I2498" i="1"/>
  <c r="J2498" i="1"/>
  <c r="K2498" i="1"/>
  <c r="M2498" i="1"/>
  <c r="O2498" i="1"/>
  <c r="Q2498" i="1"/>
  <c r="R2498" i="1"/>
  <c r="W2498" i="1"/>
  <c r="AA2498" i="1"/>
  <c r="AM2498" i="1"/>
  <c r="AN2498" i="1"/>
  <c r="AO2498" i="1"/>
  <c r="AQ2498" i="1"/>
  <c r="BB2498" i="1"/>
  <c r="BD2498" i="1"/>
  <c r="B2499" i="1"/>
  <c r="C2499" i="1"/>
  <c r="E2499" i="1"/>
  <c r="F2499" i="1"/>
  <c r="G2499" i="1"/>
  <c r="H2499" i="1"/>
  <c r="I2499" i="1"/>
  <c r="J2499" i="1"/>
  <c r="K2499" i="1"/>
  <c r="M2499" i="1"/>
  <c r="O2499" i="1"/>
  <c r="Q2499" i="1"/>
  <c r="R2499" i="1"/>
  <c r="W2499" i="1"/>
  <c r="AA2499" i="1"/>
  <c r="AM2499" i="1"/>
  <c r="AN2499" i="1"/>
  <c r="AO2499" i="1"/>
  <c r="AQ2499" i="1"/>
  <c r="BB2499" i="1"/>
  <c r="BD2499" i="1"/>
  <c r="B2500" i="1"/>
  <c r="C2500" i="1"/>
  <c r="E2500" i="1"/>
  <c r="F2500" i="1"/>
  <c r="G2500" i="1"/>
  <c r="H2500" i="1"/>
  <c r="I2500" i="1"/>
  <c r="J2500" i="1"/>
  <c r="K2500" i="1"/>
  <c r="M2500" i="1"/>
  <c r="O2500" i="1"/>
  <c r="Q2500" i="1"/>
  <c r="R2500" i="1"/>
  <c r="W2500" i="1"/>
  <c r="AA2500" i="1"/>
  <c r="AM2500" i="1"/>
  <c r="AN2500" i="1"/>
  <c r="AO2500" i="1"/>
  <c r="AQ2500" i="1"/>
  <c r="BB2500" i="1"/>
  <c r="BD2500" i="1"/>
  <c r="B2501" i="1"/>
  <c r="C2501" i="1"/>
  <c r="E2501" i="1"/>
  <c r="F2501" i="1"/>
  <c r="G2501" i="1"/>
  <c r="H2501" i="1"/>
  <c r="I2501" i="1"/>
  <c r="J2501" i="1"/>
  <c r="K2501" i="1"/>
  <c r="M2501" i="1"/>
  <c r="O2501" i="1"/>
  <c r="Q2501" i="1"/>
  <c r="R2501" i="1"/>
  <c r="W2501" i="1"/>
  <c r="AA2501" i="1"/>
  <c r="AM2501" i="1"/>
  <c r="AN2501" i="1"/>
  <c r="AO2501" i="1"/>
  <c r="AQ2501" i="1"/>
  <c r="BB2501" i="1"/>
  <c r="BD2501" i="1"/>
  <c r="B2502" i="1"/>
  <c r="C2502" i="1"/>
  <c r="E2502" i="1"/>
  <c r="F2502" i="1"/>
  <c r="G2502" i="1"/>
  <c r="H2502" i="1"/>
  <c r="I2502" i="1"/>
  <c r="J2502" i="1"/>
  <c r="K2502" i="1"/>
  <c r="M2502" i="1"/>
  <c r="O2502" i="1"/>
  <c r="Q2502" i="1"/>
  <c r="R2502" i="1"/>
  <c r="W2502" i="1"/>
  <c r="AA2502" i="1"/>
  <c r="AM2502" i="1"/>
  <c r="AN2502" i="1"/>
  <c r="AO2502" i="1"/>
  <c r="AQ2502" i="1"/>
  <c r="BB2502" i="1"/>
  <c r="BD2502" i="1"/>
  <c r="B2503" i="1"/>
  <c r="C2503" i="1"/>
  <c r="E2503" i="1"/>
  <c r="F2503" i="1"/>
  <c r="G2503" i="1"/>
  <c r="H2503" i="1"/>
  <c r="I2503" i="1"/>
  <c r="J2503" i="1"/>
  <c r="K2503" i="1"/>
  <c r="M2503" i="1"/>
  <c r="O2503" i="1"/>
  <c r="Q2503" i="1"/>
  <c r="R2503" i="1"/>
  <c r="W2503" i="1"/>
  <c r="AA2503" i="1"/>
  <c r="AM2503" i="1"/>
  <c r="AN2503" i="1"/>
  <c r="AO2503" i="1"/>
  <c r="AQ2503" i="1"/>
  <c r="BB2503" i="1"/>
  <c r="BD2503" i="1"/>
  <c r="B2504" i="1"/>
  <c r="C2504" i="1"/>
  <c r="E2504" i="1"/>
  <c r="F2504" i="1"/>
  <c r="G2504" i="1"/>
  <c r="H2504" i="1"/>
  <c r="I2504" i="1"/>
  <c r="J2504" i="1"/>
  <c r="K2504" i="1"/>
  <c r="M2504" i="1"/>
  <c r="O2504" i="1"/>
  <c r="Q2504" i="1"/>
  <c r="R2504" i="1"/>
  <c r="W2504" i="1"/>
  <c r="AA2504" i="1"/>
  <c r="AM2504" i="1"/>
  <c r="AN2504" i="1"/>
  <c r="AO2504" i="1"/>
  <c r="AQ2504" i="1"/>
  <c r="BB2504" i="1"/>
  <c r="BD2504" i="1"/>
  <c r="B2505" i="1"/>
  <c r="C2505" i="1"/>
  <c r="E2505" i="1"/>
  <c r="F2505" i="1"/>
  <c r="G2505" i="1"/>
  <c r="H2505" i="1"/>
  <c r="I2505" i="1"/>
  <c r="J2505" i="1"/>
  <c r="K2505" i="1"/>
  <c r="M2505" i="1"/>
  <c r="O2505" i="1"/>
  <c r="Q2505" i="1"/>
  <c r="R2505" i="1"/>
  <c r="W2505" i="1"/>
  <c r="AA2505" i="1"/>
  <c r="AM2505" i="1"/>
  <c r="AN2505" i="1"/>
  <c r="AO2505" i="1"/>
  <c r="AQ2505" i="1"/>
  <c r="BB2505" i="1"/>
  <c r="BD2505" i="1"/>
  <c r="B2506" i="1"/>
  <c r="C2506" i="1"/>
  <c r="E2506" i="1"/>
  <c r="F2506" i="1"/>
  <c r="G2506" i="1"/>
  <c r="H2506" i="1"/>
  <c r="I2506" i="1"/>
  <c r="J2506" i="1"/>
  <c r="K2506" i="1"/>
  <c r="M2506" i="1"/>
  <c r="O2506" i="1"/>
  <c r="Q2506" i="1"/>
  <c r="R2506" i="1"/>
  <c r="W2506" i="1"/>
  <c r="AA2506" i="1"/>
  <c r="AM2506" i="1"/>
  <c r="AN2506" i="1"/>
  <c r="AO2506" i="1"/>
  <c r="AQ2506" i="1"/>
  <c r="BB2506" i="1"/>
  <c r="BD2506" i="1"/>
  <c r="B2507" i="1"/>
  <c r="C2507" i="1"/>
  <c r="E2507" i="1"/>
  <c r="F2507" i="1"/>
  <c r="G2507" i="1"/>
  <c r="H2507" i="1"/>
  <c r="I2507" i="1"/>
  <c r="J2507" i="1"/>
  <c r="K2507" i="1"/>
  <c r="M2507" i="1"/>
  <c r="O2507" i="1"/>
  <c r="Q2507" i="1"/>
  <c r="R2507" i="1"/>
  <c r="W2507" i="1"/>
  <c r="AA2507" i="1"/>
  <c r="AM2507" i="1"/>
  <c r="AN2507" i="1"/>
  <c r="AO2507" i="1"/>
  <c r="AQ2507" i="1"/>
  <c r="BB2507" i="1"/>
  <c r="BD2507" i="1"/>
  <c r="B2508" i="1"/>
  <c r="C2508" i="1"/>
  <c r="E2508" i="1"/>
  <c r="F2508" i="1"/>
  <c r="G2508" i="1"/>
  <c r="H2508" i="1"/>
  <c r="I2508" i="1"/>
  <c r="J2508" i="1"/>
  <c r="K2508" i="1"/>
  <c r="M2508" i="1"/>
  <c r="O2508" i="1"/>
  <c r="Q2508" i="1"/>
  <c r="R2508" i="1"/>
  <c r="W2508" i="1"/>
  <c r="AA2508" i="1"/>
  <c r="AM2508" i="1"/>
  <c r="AN2508" i="1"/>
  <c r="AO2508" i="1"/>
  <c r="AQ2508" i="1"/>
  <c r="BB2508" i="1"/>
  <c r="BD2508" i="1"/>
  <c r="B2509" i="1"/>
  <c r="C2509" i="1"/>
  <c r="E2509" i="1"/>
  <c r="F2509" i="1"/>
  <c r="G2509" i="1"/>
  <c r="H2509" i="1"/>
  <c r="I2509" i="1"/>
  <c r="J2509" i="1"/>
  <c r="K2509" i="1"/>
  <c r="M2509" i="1"/>
  <c r="O2509" i="1"/>
  <c r="Q2509" i="1"/>
  <c r="R2509" i="1"/>
  <c r="W2509" i="1"/>
  <c r="AA2509" i="1"/>
  <c r="AM2509" i="1"/>
  <c r="AN2509" i="1"/>
  <c r="AO2509" i="1"/>
  <c r="AQ2509" i="1"/>
  <c r="BB2509" i="1"/>
  <c r="BD2509" i="1"/>
  <c r="B2510" i="1"/>
  <c r="C2510" i="1"/>
  <c r="E2510" i="1"/>
  <c r="F2510" i="1"/>
  <c r="G2510" i="1"/>
  <c r="H2510" i="1"/>
  <c r="I2510" i="1"/>
  <c r="J2510" i="1"/>
  <c r="K2510" i="1"/>
  <c r="M2510" i="1"/>
  <c r="O2510" i="1"/>
  <c r="Q2510" i="1"/>
  <c r="R2510" i="1"/>
  <c r="W2510" i="1"/>
  <c r="AA2510" i="1"/>
  <c r="AM2510" i="1"/>
  <c r="AN2510" i="1"/>
  <c r="AO2510" i="1"/>
  <c r="AQ2510" i="1"/>
  <c r="BB2510" i="1"/>
  <c r="BD2510" i="1"/>
  <c r="B2511" i="1"/>
  <c r="C2511" i="1"/>
  <c r="E2511" i="1"/>
  <c r="F2511" i="1"/>
  <c r="G2511" i="1"/>
  <c r="H2511" i="1"/>
  <c r="I2511" i="1"/>
  <c r="J2511" i="1"/>
  <c r="K2511" i="1"/>
  <c r="M2511" i="1"/>
  <c r="O2511" i="1"/>
  <c r="Q2511" i="1"/>
  <c r="R2511" i="1"/>
  <c r="W2511" i="1"/>
  <c r="AA2511" i="1"/>
  <c r="AM2511" i="1"/>
  <c r="AN2511" i="1"/>
  <c r="AO2511" i="1"/>
  <c r="AQ2511" i="1"/>
  <c r="BB2511" i="1"/>
  <c r="BD2511" i="1"/>
  <c r="B2512" i="1"/>
  <c r="C2512" i="1"/>
  <c r="E2512" i="1"/>
  <c r="F2512" i="1"/>
  <c r="G2512" i="1"/>
  <c r="H2512" i="1"/>
  <c r="I2512" i="1"/>
  <c r="J2512" i="1"/>
  <c r="K2512" i="1"/>
  <c r="M2512" i="1"/>
  <c r="O2512" i="1"/>
  <c r="Q2512" i="1"/>
  <c r="R2512" i="1"/>
  <c r="W2512" i="1"/>
  <c r="AA2512" i="1"/>
  <c r="AM2512" i="1"/>
  <c r="AN2512" i="1"/>
  <c r="AO2512" i="1"/>
  <c r="AQ2512" i="1"/>
  <c r="BB2512" i="1"/>
  <c r="BD2512" i="1"/>
  <c r="B2513" i="1"/>
  <c r="C2513" i="1"/>
  <c r="E2513" i="1"/>
  <c r="F2513" i="1"/>
  <c r="G2513" i="1"/>
  <c r="H2513" i="1"/>
  <c r="I2513" i="1"/>
  <c r="J2513" i="1"/>
  <c r="K2513" i="1"/>
  <c r="M2513" i="1"/>
  <c r="O2513" i="1"/>
  <c r="Q2513" i="1"/>
  <c r="R2513" i="1"/>
  <c r="W2513" i="1"/>
  <c r="AA2513" i="1"/>
  <c r="AM2513" i="1"/>
  <c r="AN2513" i="1"/>
  <c r="AO2513" i="1"/>
  <c r="AQ2513" i="1"/>
  <c r="BB2513" i="1"/>
  <c r="BD2513" i="1"/>
  <c r="B2514" i="1"/>
  <c r="C2514" i="1"/>
  <c r="E2514" i="1"/>
  <c r="F2514" i="1"/>
  <c r="G2514" i="1"/>
  <c r="H2514" i="1"/>
  <c r="I2514" i="1"/>
  <c r="J2514" i="1"/>
  <c r="K2514" i="1"/>
  <c r="M2514" i="1"/>
  <c r="O2514" i="1"/>
  <c r="Q2514" i="1"/>
  <c r="R2514" i="1"/>
  <c r="W2514" i="1"/>
  <c r="AA2514" i="1"/>
  <c r="AM2514" i="1"/>
  <c r="AN2514" i="1"/>
  <c r="AO2514" i="1"/>
  <c r="AQ2514" i="1"/>
  <c r="BB2514" i="1"/>
  <c r="BD2514" i="1"/>
  <c r="B2515" i="1"/>
  <c r="C2515" i="1"/>
  <c r="E2515" i="1"/>
  <c r="F2515" i="1"/>
  <c r="G2515" i="1"/>
  <c r="H2515" i="1"/>
  <c r="I2515" i="1"/>
  <c r="J2515" i="1"/>
  <c r="K2515" i="1"/>
  <c r="M2515" i="1"/>
  <c r="O2515" i="1"/>
  <c r="Q2515" i="1"/>
  <c r="R2515" i="1"/>
  <c r="W2515" i="1"/>
  <c r="AA2515" i="1"/>
  <c r="AM2515" i="1"/>
  <c r="AN2515" i="1"/>
  <c r="AO2515" i="1"/>
  <c r="AQ2515" i="1"/>
  <c r="BB2515" i="1"/>
  <c r="BD2515" i="1"/>
  <c r="B2516" i="1"/>
  <c r="C2516" i="1"/>
  <c r="E2516" i="1"/>
  <c r="F2516" i="1"/>
  <c r="G2516" i="1"/>
  <c r="H2516" i="1"/>
  <c r="I2516" i="1"/>
  <c r="J2516" i="1"/>
  <c r="K2516" i="1"/>
  <c r="M2516" i="1"/>
  <c r="O2516" i="1"/>
  <c r="Q2516" i="1"/>
  <c r="R2516" i="1"/>
  <c r="W2516" i="1"/>
  <c r="AA2516" i="1"/>
  <c r="AM2516" i="1"/>
  <c r="AN2516" i="1"/>
  <c r="AO2516" i="1"/>
  <c r="AQ2516" i="1"/>
  <c r="BB2516" i="1"/>
  <c r="BD2516" i="1"/>
  <c r="B2517" i="1"/>
  <c r="C2517" i="1"/>
  <c r="D2517" i="1"/>
  <c r="E2517" i="1"/>
  <c r="F2517" i="1"/>
  <c r="G2517" i="1"/>
  <c r="H2517" i="1"/>
  <c r="I2517" i="1"/>
  <c r="J2517" i="1"/>
  <c r="K2517" i="1"/>
  <c r="M2517" i="1"/>
  <c r="O2517" i="1"/>
  <c r="Q2517" i="1"/>
  <c r="R2517" i="1"/>
  <c r="W2517" i="1"/>
  <c r="AA2517" i="1"/>
  <c r="AB2517" i="1"/>
  <c r="AE2517" i="1"/>
  <c r="AF2517" i="1"/>
  <c r="AM2517" i="1"/>
  <c r="AN2517" i="1"/>
  <c r="AO2517" i="1"/>
  <c r="AQ2517" i="1"/>
  <c r="AX2517" i="1"/>
  <c r="BD2517" i="1"/>
  <c r="B2518" i="1"/>
  <c r="C2518" i="1"/>
  <c r="D2518" i="1"/>
  <c r="E2518" i="1"/>
  <c r="F2518" i="1"/>
  <c r="G2518" i="1"/>
  <c r="H2518" i="1"/>
  <c r="I2518" i="1"/>
  <c r="J2518" i="1"/>
  <c r="K2518" i="1"/>
  <c r="M2518" i="1"/>
  <c r="O2518" i="1"/>
  <c r="Q2518" i="1"/>
  <c r="R2518" i="1"/>
  <c r="W2518" i="1"/>
  <c r="AA2518" i="1"/>
  <c r="AB2518" i="1"/>
  <c r="AE2518" i="1"/>
  <c r="AF2518" i="1"/>
  <c r="AM2518" i="1"/>
  <c r="AN2518" i="1"/>
  <c r="AO2518" i="1"/>
  <c r="AQ2518" i="1"/>
  <c r="AX2518" i="1"/>
  <c r="BD2518" i="1"/>
  <c r="B2519" i="1"/>
  <c r="C2519" i="1"/>
  <c r="D2519" i="1"/>
  <c r="E2519" i="1"/>
  <c r="F2519" i="1"/>
  <c r="G2519" i="1"/>
  <c r="H2519" i="1"/>
  <c r="I2519" i="1"/>
  <c r="J2519" i="1"/>
  <c r="K2519" i="1"/>
  <c r="M2519" i="1"/>
  <c r="O2519" i="1"/>
  <c r="Q2519" i="1"/>
  <c r="R2519" i="1"/>
  <c r="W2519" i="1"/>
  <c r="AA2519" i="1"/>
  <c r="AB2519" i="1"/>
  <c r="AE2519" i="1"/>
  <c r="AF2519" i="1"/>
  <c r="AM2519" i="1"/>
  <c r="AN2519" i="1"/>
  <c r="AO2519" i="1"/>
  <c r="AQ2519" i="1"/>
  <c r="AX2519" i="1"/>
  <c r="BD2519" i="1"/>
  <c r="B2520" i="1"/>
  <c r="C2520" i="1"/>
  <c r="E2520" i="1"/>
  <c r="F2520" i="1"/>
  <c r="G2520" i="1"/>
  <c r="H2520" i="1"/>
  <c r="I2520" i="1"/>
  <c r="J2520" i="1"/>
  <c r="K2520" i="1"/>
  <c r="M2520" i="1"/>
  <c r="O2520" i="1"/>
  <c r="Q2520" i="1"/>
  <c r="R2520" i="1"/>
  <c r="W2520" i="1"/>
  <c r="AA2520" i="1"/>
  <c r="AB2520" i="1"/>
  <c r="AE2520" i="1"/>
  <c r="AF2520" i="1"/>
  <c r="AM2520" i="1"/>
  <c r="AN2520" i="1"/>
  <c r="AO2520" i="1"/>
  <c r="AQ2520" i="1"/>
  <c r="AX2520" i="1"/>
  <c r="BD2520" i="1"/>
  <c r="B2521" i="1"/>
  <c r="C2521" i="1"/>
  <c r="E2521" i="1"/>
  <c r="F2521" i="1"/>
  <c r="G2521" i="1"/>
  <c r="H2521" i="1"/>
  <c r="I2521" i="1"/>
  <c r="J2521" i="1"/>
  <c r="K2521" i="1"/>
  <c r="M2521" i="1"/>
  <c r="O2521" i="1"/>
  <c r="Q2521" i="1"/>
  <c r="R2521" i="1"/>
  <c r="W2521" i="1"/>
  <c r="AA2521" i="1"/>
  <c r="AB2521" i="1"/>
  <c r="AE2521" i="1"/>
  <c r="AF2521" i="1"/>
  <c r="AM2521" i="1"/>
  <c r="AN2521" i="1"/>
  <c r="AO2521" i="1"/>
  <c r="AQ2521" i="1"/>
  <c r="AX2521" i="1"/>
  <c r="BD2521" i="1"/>
  <c r="B2522" i="1"/>
  <c r="C2522" i="1"/>
  <c r="E2522" i="1"/>
  <c r="F2522" i="1"/>
  <c r="G2522" i="1"/>
  <c r="H2522" i="1"/>
  <c r="I2522" i="1"/>
  <c r="J2522" i="1"/>
  <c r="K2522" i="1"/>
  <c r="M2522" i="1"/>
  <c r="O2522" i="1"/>
  <c r="Q2522" i="1"/>
  <c r="R2522" i="1"/>
  <c r="W2522" i="1"/>
  <c r="AA2522" i="1"/>
  <c r="AB2522" i="1"/>
  <c r="AE2522" i="1"/>
  <c r="AF2522" i="1"/>
  <c r="AM2522" i="1"/>
  <c r="AN2522" i="1"/>
  <c r="AO2522" i="1"/>
  <c r="AQ2522" i="1"/>
  <c r="AX2522" i="1"/>
  <c r="BD2522" i="1"/>
  <c r="B2523" i="1"/>
  <c r="C2523" i="1"/>
  <c r="E2523" i="1"/>
  <c r="F2523" i="1"/>
  <c r="G2523" i="1"/>
  <c r="H2523" i="1"/>
  <c r="I2523" i="1"/>
  <c r="J2523" i="1"/>
  <c r="K2523" i="1"/>
  <c r="M2523" i="1"/>
  <c r="O2523" i="1"/>
  <c r="Q2523" i="1"/>
  <c r="R2523" i="1"/>
  <c r="W2523" i="1"/>
  <c r="AA2523" i="1"/>
  <c r="AB2523" i="1"/>
  <c r="AE2523" i="1"/>
  <c r="AF2523" i="1"/>
  <c r="AM2523" i="1"/>
  <c r="AN2523" i="1"/>
  <c r="AO2523" i="1"/>
  <c r="AQ2523" i="1"/>
  <c r="AX2523" i="1"/>
  <c r="BD2523" i="1"/>
  <c r="B2524" i="1"/>
  <c r="C2524" i="1"/>
  <c r="E2524" i="1"/>
  <c r="F2524" i="1"/>
  <c r="G2524" i="1"/>
  <c r="H2524" i="1"/>
  <c r="I2524" i="1"/>
  <c r="J2524" i="1"/>
  <c r="K2524" i="1"/>
  <c r="M2524" i="1"/>
  <c r="O2524" i="1"/>
  <c r="Q2524" i="1"/>
  <c r="R2524" i="1"/>
  <c r="W2524" i="1"/>
  <c r="AA2524" i="1"/>
  <c r="AB2524" i="1"/>
  <c r="AE2524" i="1"/>
  <c r="AF2524" i="1"/>
  <c r="AM2524" i="1"/>
  <c r="AN2524" i="1"/>
  <c r="AO2524" i="1"/>
  <c r="AQ2524" i="1"/>
  <c r="AX2524" i="1"/>
  <c r="BD2524" i="1"/>
  <c r="B2525" i="1"/>
  <c r="C2525" i="1"/>
  <c r="D2525" i="1"/>
  <c r="E2525" i="1"/>
  <c r="F2525" i="1"/>
  <c r="G2525" i="1"/>
  <c r="H2525" i="1"/>
  <c r="I2525" i="1"/>
  <c r="J2525" i="1"/>
  <c r="K2525" i="1"/>
  <c r="M2525" i="1"/>
  <c r="O2525" i="1"/>
  <c r="Q2525" i="1"/>
  <c r="R2525" i="1"/>
  <c r="W2525" i="1"/>
  <c r="AA2525" i="1"/>
  <c r="AB2525" i="1"/>
  <c r="AE2525" i="1"/>
  <c r="AF2525" i="1"/>
  <c r="AM2525" i="1"/>
  <c r="AN2525" i="1"/>
  <c r="AO2525" i="1"/>
  <c r="AQ2525" i="1"/>
  <c r="AX2525" i="1"/>
  <c r="BD2525" i="1"/>
  <c r="B2526" i="1"/>
  <c r="C2526" i="1"/>
  <c r="D2526" i="1"/>
  <c r="E2526" i="1"/>
  <c r="F2526" i="1"/>
  <c r="G2526" i="1"/>
  <c r="H2526" i="1"/>
  <c r="I2526" i="1"/>
  <c r="J2526" i="1"/>
  <c r="K2526" i="1"/>
  <c r="M2526" i="1"/>
  <c r="O2526" i="1"/>
  <c r="Q2526" i="1"/>
  <c r="R2526" i="1"/>
  <c r="W2526" i="1"/>
  <c r="AA2526" i="1"/>
  <c r="AB2526" i="1"/>
  <c r="AE2526" i="1"/>
  <c r="AF2526" i="1"/>
  <c r="AM2526" i="1"/>
  <c r="AN2526" i="1"/>
  <c r="AO2526" i="1"/>
  <c r="AQ2526" i="1"/>
  <c r="AX2526" i="1"/>
  <c r="BD2526" i="1"/>
  <c r="B2527" i="1"/>
  <c r="C2527" i="1"/>
  <c r="D2527" i="1"/>
  <c r="E2527" i="1"/>
  <c r="F2527" i="1"/>
  <c r="G2527" i="1"/>
  <c r="H2527" i="1"/>
  <c r="I2527" i="1"/>
  <c r="J2527" i="1"/>
  <c r="K2527" i="1"/>
  <c r="M2527" i="1"/>
  <c r="O2527" i="1"/>
  <c r="Q2527" i="1"/>
  <c r="R2527" i="1"/>
  <c r="W2527" i="1"/>
  <c r="AA2527" i="1"/>
  <c r="AB2527" i="1"/>
  <c r="AE2527" i="1"/>
  <c r="AF2527" i="1"/>
  <c r="AM2527" i="1"/>
  <c r="AN2527" i="1"/>
  <c r="AO2527" i="1"/>
  <c r="AQ2527" i="1"/>
  <c r="AX2527" i="1"/>
  <c r="BD2527" i="1"/>
  <c r="B2528" i="1"/>
  <c r="C2528" i="1"/>
  <c r="E2528" i="1"/>
  <c r="F2528" i="1"/>
  <c r="G2528" i="1"/>
  <c r="H2528" i="1"/>
  <c r="I2528" i="1"/>
  <c r="J2528" i="1"/>
  <c r="K2528" i="1"/>
  <c r="M2528" i="1"/>
  <c r="O2528" i="1"/>
  <c r="Q2528" i="1"/>
  <c r="R2528" i="1"/>
  <c r="W2528" i="1"/>
  <c r="AA2528" i="1"/>
  <c r="AB2528" i="1"/>
  <c r="AE2528" i="1"/>
  <c r="AF2528" i="1"/>
  <c r="AM2528" i="1"/>
  <c r="AN2528" i="1"/>
  <c r="AO2528" i="1"/>
  <c r="AQ2528" i="1"/>
  <c r="AX2528" i="1"/>
  <c r="BD2528" i="1"/>
  <c r="B2529" i="1"/>
  <c r="C2529" i="1"/>
  <c r="E2529" i="1"/>
  <c r="F2529" i="1"/>
  <c r="G2529" i="1"/>
  <c r="H2529" i="1"/>
  <c r="I2529" i="1"/>
  <c r="J2529" i="1"/>
  <c r="K2529" i="1"/>
  <c r="M2529" i="1"/>
  <c r="O2529" i="1"/>
  <c r="Q2529" i="1"/>
  <c r="R2529" i="1"/>
  <c r="W2529" i="1"/>
  <c r="AA2529" i="1"/>
  <c r="AB2529" i="1"/>
  <c r="AE2529" i="1"/>
  <c r="AF2529" i="1"/>
  <c r="AM2529" i="1"/>
  <c r="AN2529" i="1"/>
  <c r="AO2529" i="1"/>
  <c r="AQ2529" i="1"/>
  <c r="AX2529" i="1"/>
  <c r="BD2529" i="1"/>
  <c r="B2530" i="1"/>
  <c r="C2530" i="1"/>
  <c r="E2530" i="1"/>
  <c r="F2530" i="1"/>
  <c r="G2530" i="1"/>
  <c r="H2530" i="1"/>
  <c r="I2530" i="1"/>
  <c r="J2530" i="1"/>
  <c r="K2530" i="1"/>
  <c r="M2530" i="1"/>
  <c r="O2530" i="1"/>
  <c r="Q2530" i="1"/>
  <c r="R2530" i="1"/>
  <c r="W2530" i="1"/>
  <c r="AA2530" i="1"/>
  <c r="AB2530" i="1"/>
  <c r="AE2530" i="1"/>
  <c r="AF2530" i="1"/>
  <c r="AM2530" i="1"/>
  <c r="AN2530" i="1"/>
  <c r="AO2530" i="1"/>
  <c r="AQ2530" i="1"/>
  <c r="AX2530" i="1"/>
  <c r="BD2530" i="1"/>
  <c r="B2531" i="1"/>
  <c r="C2531" i="1"/>
  <c r="D2531" i="1"/>
  <c r="E2531" i="1"/>
  <c r="F2531" i="1"/>
  <c r="G2531" i="1"/>
  <c r="H2531" i="1"/>
  <c r="I2531" i="1"/>
  <c r="J2531" i="1"/>
  <c r="K2531" i="1"/>
  <c r="M2531" i="1"/>
  <c r="O2531" i="1"/>
  <c r="Q2531" i="1"/>
  <c r="R2531" i="1"/>
  <c r="W2531" i="1"/>
  <c r="AA2531" i="1"/>
  <c r="AB2531" i="1"/>
  <c r="AE2531" i="1"/>
  <c r="AF2531" i="1"/>
  <c r="AM2531" i="1"/>
  <c r="AN2531" i="1"/>
  <c r="AO2531" i="1"/>
  <c r="AQ2531" i="1"/>
  <c r="AX2531" i="1"/>
  <c r="BD2531" i="1"/>
  <c r="B2532" i="1"/>
  <c r="C2532" i="1"/>
  <c r="E2532" i="1"/>
  <c r="F2532" i="1"/>
  <c r="G2532" i="1"/>
  <c r="H2532" i="1"/>
  <c r="I2532" i="1"/>
  <c r="J2532" i="1"/>
  <c r="K2532" i="1"/>
  <c r="M2532" i="1"/>
  <c r="O2532" i="1"/>
  <c r="Q2532" i="1"/>
  <c r="R2532" i="1"/>
  <c r="W2532" i="1"/>
  <c r="AA2532" i="1"/>
  <c r="AB2532" i="1"/>
  <c r="AE2532" i="1"/>
  <c r="AF2532" i="1"/>
  <c r="AM2532" i="1"/>
  <c r="AN2532" i="1"/>
  <c r="AO2532" i="1"/>
  <c r="AQ2532" i="1"/>
  <c r="AX2532" i="1"/>
  <c r="BD2532" i="1"/>
  <c r="B2533" i="1"/>
  <c r="C2533" i="1"/>
  <c r="E2533" i="1"/>
  <c r="F2533" i="1"/>
  <c r="G2533" i="1"/>
  <c r="H2533" i="1"/>
  <c r="I2533" i="1"/>
  <c r="J2533" i="1"/>
  <c r="K2533" i="1"/>
  <c r="M2533" i="1"/>
  <c r="O2533" i="1"/>
  <c r="Q2533" i="1"/>
  <c r="R2533" i="1"/>
  <c r="W2533" i="1"/>
  <c r="AA2533" i="1"/>
  <c r="AB2533" i="1"/>
  <c r="AE2533" i="1"/>
  <c r="AF2533" i="1"/>
  <c r="AM2533" i="1"/>
  <c r="AN2533" i="1"/>
  <c r="AO2533" i="1"/>
  <c r="AQ2533" i="1"/>
  <c r="AX2533" i="1"/>
  <c r="BD2533" i="1"/>
  <c r="B2534" i="1"/>
  <c r="C2534" i="1"/>
  <c r="D2534" i="1"/>
  <c r="E2534" i="1"/>
  <c r="F2534" i="1"/>
  <c r="G2534" i="1"/>
  <c r="H2534" i="1"/>
  <c r="I2534" i="1"/>
  <c r="J2534" i="1"/>
  <c r="K2534" i="1"/>
  <c r="M2534" i="1"/>
  <c r="O2534" i="1"/>
  <c r="Q2534" i="1"/>
  <c r="R2534" i="1"/>
  <c r="W2534" i="1"/>
  <c r="AA2534" i="1"/>
  <c r="AB2534" i="1"/>
  <c r="AE2534" i="1"/>
  <c r="AF2534" i="1"/>
  <c r="AM2534" i="1"/>
  <c r="AN2534" i="1"/>
  <c r="AO2534" i="1"/>
  <c r="AQ2534" i="1"/>
  <c r="AX2534" i="1"/>
  <c r="BD2534" i="1"/>
  <c r="B2535" i="1"/>
  <c r="C2535" i="1"/>
  <c r="D2535" i="1"/>
  <c r="E2535" i="1"/>
  <c r="F2535" i="1"/>
  <c r="G2535" i="1"/>
  <c r="H2535" i="1"/>
  <c r="I2535" i="1"/>
  <c r="J2535" i="1"/>
  <c r="K2535" i="1"/>
  <c r="M2535" i="1"/>
  <c r="O2535" i="1"/>
  <c r="Q2535" i="1"/>
  <c r="R2535" i="1"/>
  <c r="W2535" i="1"/>
  <c r="AA2535" i="1"/>
  <c r="AB2535" i="1"/>
  <c r="AE2535" i="1"/>
  <c r="AF2535" i="1"/>
  <c r="AM2535" i="1"/>
  <c r="AN2535" i="1"/>
  <c r="AO2535" i="1"/>
  <c r="AQ2535" i="1"/>
  <c r="AX2535" i="1"/>
  <c r="BD2535" i="1"/>
  <c r="B2536" i="1"/>
  <c r="C2536" i="1"/>
  <c r="D2536" i="1"/>
  <c r="E2536" i="1"/>
  <c r="F2536" i="1"/>
  <c r="G2536" i="1"/>
  <c r="H2536" i="1"/>
  <c r="I2536" i="1"/>
  <c r="J2536" i="1"/>
  <c r="K2536" i="1"/>
  <c r="M2536" i="1"/>
  <c r="O2536" i="1"/>
  <c r="Q2536" i="1"/>
  <c r="R2536" i="1"/>
  <c r="W2536" i="1"/>
  <c r="AA2536" i="1"/>
  <c r="AB2536" i="1"/>
  <c r="AE2536" i="1"/>
  <c r="AF2536" i="1"/>
  <c r="AM2536" i="1"/>
  <c r="AN2536" i="1"/>
  <c r="AO2536" i="1"/>
  <c r="AQ2536" i="1"/>
  <c r="AX2536" i="1"/>
  <c r="BD2536" i="1"/>
  <c r="B2537" i="1"/>
  <c r="C2537" i="1"/>
  <c r="D2537" i="1"/>
  <c r="E2537" i="1"/>
  <c r="F2537" i="1"/>
  <c r="G2537" i="1"/>
  <c r="H2537" i="1"/>
  <c r="I2537" i="1"/>
  <c r="J2537" i="1"/>
  <c r="K2537" i="1"/>
  <c r="M2537" i="1"/>
  <c r="O2537" i="1"/>
  <c r="Q2537" i="1"/>
  <c r="R2537" i="1"/>
  <c r="W2537" i="1"/>
  <c r="AA2537" i="1"/>
  <c r="AB2537" i="1"/>
  <c r="AE2537" i="1"/>
  <c r="AF2537" i="1"/>
  <c r="AM2537" i="1"/>
  <c r="AN2537" i="1"/>
  <c r="AO2537" i="1"/>
  <c r="AQ2537" i="1"/>
  <c r="AX2537" i="1"/>
  <c r="BD2537" i="1"/>
  <c r="B2538" i="1"/>
  <c r="C2538" i="1"/>
  <c r="D2538" i="1"/>
  <c r="E2538" i="1"/>
  <c r="F2538" i="1"/>
  <c r="G2538" i="1"/>
  <c r="H2538" i="1"/>
  <c r="I2538" i="1"/>
  <c r="J2538" i="1"/>
  <c r="K2538" i="1"/>
  <c r="M2538" i="1"/>
  <c r="O2538" i="1"/>
  <c r="Q2538" i="1"/>
  <c r="R2538" i="1"/>
  <c r="W2538" i="1"/>
  <c r="AA2538" i="1"/>
  <c r="AB2538" i="1"/>
  <c r="AE2538" i="1"/>
  <c r="AF2538" i="1"/>
  <c r="AM2538" i="1"/>
  <c r="AN2538" i="1"/>
  <c r="AO2538" i="1"/>
  <c r="AQ2538" i="1"/>
  <c r="AX2538" i="1"/>
  <c r="BD2538" i="1"/>
  <c r="B2539" i="1"/>
  <c r="C2539" i="1"/>
  <c r="E2539" i="1"/>
  <c r="F2539" i="1"/>
  <c r="G2539" i="1"/>
  <c r="H2539" i="1"/>
  <c r="I2539" i="1"/>
  <c r="J2539" i="1"/>
  <c r="K2539" i="1"/>
  <c r="M2539" i="1"/>
  <c r="O2539" i="1"/>
  <c r="Q2539" i="1"/>
  <c r="R2539" i="1"/>
  <c r="W2539" i="1"/>
  <c r="AA2539" i="1"/>
  <c r="AB2539" i="1"/>
  <c r="AE2539" i="1"/>
  <c r="AF2539" i="1"/>
  <c r="AM2539" i="1"/>
  <c r="AN2539" i="1"/>
  <c r="AO2539" i="1"/>
  <c r="AQ2539" i="1"/>
  <c r="AX2539" i="1"/>
  <c r="BD2539" i="1"/>
  <c r="B2540" i="1"/>
  <c r="C2540" i="1"/>
  <c r="D2540" i="1"/>
  <c r="E2540" i="1"/>
  <c r="F2540" i="1"/>
  <c r="G2540" i="1"/>
  <c r="H2540" i="1"/>
  <c r="I2540" i="1"/>
  <c r="J2540" i="1"/>
  <c r="K2540" i="1"/>
  <c r="M2540" i="1"/>
  <c r="O2540" i="1"/>
  <c r="Q2540" i="1"/>
  <c r="R2540" i="1"/>
  <c r="W2540" i="1"/>
  <c r="AA2540" i="1"/>
  <c r="AB2540" i="1"/>
  <c r="AE2540" i="1"/>
  <c r="AF2540" i="1"/>
  <c r="AM2540" i="1"/>
  <c r="AN2540" i="1"/>
  <c r="AO2540" i="1"/>
  <c r="AQ2540" i="1"/>
  <c r="AX2540" i="1"/>
  <c r="BD2540" i="1"/>
  <c r="B2541" i="1"/>
  <c r="C2541" i="1"/>
  <c r="E2541" i="1"/>
  <c r="F2541" i="1"/>
  <c r="G2541" i="1"/>
  <c r="H2541" i="1"/>
  <c r="I2541" i="1"/>
  <c r="J2541" i="1"/>
  <c r="K2541" i="1"/>
  <c r="M2541" i="1"/>
  <c r="O2541" i="1"/>
  <c r="Q2541" i="1"/>
  <c r="R2541" i="1"/>
  <c r="W2541" i="1"/>
  <c r="AA2541" i="1"/>
  <c r="AB2541" i="1"/>
  <c r="AE2541" i="1"/>
  <c r="AF2541" i="1"/>
  <c r="AM2541" i="1"/>
  <c r="AN2541" i="1"/>
  <c r="AO2541" i="1"/>
  <c r="AQ2541" i="1"/>
  <c r="AX2541" i="1"/>
  <c r="BD2541" i="1"/>
  <c r="B2542" i="1"/>
  <c r="C2542" i="1"/>
  <c r="E2542" i="1"/>
  <c r="F2542" i="1"/>
  <c r="G2542" i="1"/>
  <c r="H2542" i="1"/>
  <c r="I2542" i="1"/>
  <c r="J2542" i="1"/>
  <c r="K2542" i="1"/>
  <c r="M2542" i="1"/>
  <c r="O2542" i="1"/>
  <c r="Q2542" i="1"/>
  <c r="R2542" i="1"/>
  <c r="W2542" i="1"/>
  <c r="AA2542" i="1"/>
  <c r="AB2542" i="1"/>
  <c r="AE2542" i="1"/>
  <c r="AF2542" i="1"/>
  <c r="AM2542" i="1"/>
  <c r="AN2542" i="1"/>
  <c r="AO2542" i="1"/>
  <c r="AQ2542" i="1"/>
  <c r="AX2542" i="1"/>
  <c r="BD2542" i="1"/>
  <c r="B2543" i="1"/>
  <c r="C2543" i="1"/>
  <c r="E2543" i="1"/>
  <c r="F2543" i="1"/>
  <c r="G2543" i="1"/>
  <c r="H2543" i="1"/>
  <c r="I2543" i="1"/>
  <c r="J2543" i="1"/>
  <c r="K2543" i="1"/>
  <c r="M2543" i="1"/>
  <c r="O2543" i="1"/>
  <c r="Q2543" i="1"/>
  <c r="R2543" i="1"/>
  <c r="W2543" i="1"/>
  <c r="AA2543" i="1"/>
  <c r="AB2543" i="1"/>
  <c r="AE2543" i="1"/>
  <c r="AF2543" i="1"/>
  <c r="AM2543" i="1"/>
  <c r="AN2543" i="1"/>
  <c r="AO2543" i="1"/>
  <c r="AQ2543" i="1"/>
  <c r="AX2543" i="1"/>
  <c r="BD2543" i="1"/>
  <c r="B2544" i="1"/>
  <c r="C2544" i="1"/>
  <c r="E2544" i="1"/>
  <c r="F2544" i="1"/>
  <c r="G2544" i="1"/>
  <c r="H2544" i="1"/>
  <c r="I2544" i="1"/>
  <c r="J2544" i="1"/>
  <c r="K2544" i="1"/>
  <c r="M2544" i="1"/>
  <c r="O2544" i="1"/>
  <c r="Q2544" i="1"/>
  <c r="R2544" i="1"/>
  <c r="W2544" i="1"/>
  <c r="AA2544" i="1"/>
  <c r="AB2544" i="1"/>
  <c r="AE2544" i="1"/>
  <c r="AF2544" i="1"/>
  <c r="AM2544" i="1"/>
  <c r="AN2544" i="1"/>
  <c r="AO2544" i="1"/>
  <c r="AQ2544" i="1"/>
  <c r="AX2544" i="1"/>
  <c r="BD2544" i="1"/>
  <c r="B2545" i="1"/>
  <c r="C2545" i="1"/>
  <c r="D2545" i="1"/>
  <c r="E2545" i="1"/>
  <c r="F2545" i="1"/>
  <c r="G2545" i="1"/>
  <c r="H2545" i="1"/>
  <c r="I2545" i="1"/>
  <c r="J2545" i="1"/>
  <c r="K2545" i="1"/>
  <c r="M2545" i="1"/>
  <c r="O2545" i="1"/>
  <c r="Q2545" i="1"/>
  <c r="R2545" i="1"/>
  <c r="W2545" i="1"/>
  <c r="AA2545" i="1"/>
  <c r="AB2545" i="1"/>
  <c r="AE2545" i="1"/>
  <c r="AF2545" i="1"/>
  <c r="AM2545" i="1"/>
  <c r="AN2545" i="1"/>
  <c r="AO2545" i="1"/>
  <c r="AQ2545" i="1"/>
  <c r="AX2545" i="1"/>
  <c r="BD2545" i="1"/>
  <c r="B2546" i="1"/>
  <c r="C2546" i="1"/>
  <c r="D2546" i="1"/>
  <c r="E2546" i="1"/>
  <c r="F2546" i="1"/>
  <c r="G2546" i="1"/>
  <c r="H2546" i="1"/>
  <c r="I2546" i="1"/>
  <c r="J2546" i="1"/>
  <c r="K2546" i="1"/>
  <c r="M2546" i="1"/>
  <c r="O2546" i="1"/>
  <c r="Q2546" i="1"/>
  <c r="R2546" i="1"/>
  <c r="W2546" i="1"/>
  <c r="AA2546" i="1"/>
  <c r="AB2546" i="1"/>
  <c r="AE2546" i="1"/>
  <c r="AF2546" i="1"/>
  <c r="AM2546" i="1"/>
  <c r="AN2546" i="1"/>
  <c r="AO2546" i="1"/>
  <c r="AQ2546" i="1"/>
  <c r="AX2546" i="1"/>
  <c r="BD2546" i="1"/>
  <c r="B2547" i="1"/>
  <c r="C2547" i="1"/>
  <c r="E2547" i="1"/>
  <c r="F2547" i="1"/>
  <c r="G2547" i="1"/>
  <c r="H2547" i="1"/>
  <c r="I2547" i="1"/>
  <c r="J2547" i="1"/>
  <c r="K2547" i="1"/>
  <c r="M2547" i="1"/>
  <c r="O2547" i="1"/>
  <c r="Q2547" i="1"/>
  <c r="R2547" i="1"/>
  <c r="W2547" i="1"/>
  <c r="AA2547" i="1"/>
  <c r="AB2547" i="1"/>
  <c r="AE2547" i="1"/>
  <c r="AF2547" i="1"/>
  <c r="AM2547" i="1"/>
  <c r="AN2547" i="1"/>
  <c r="AO2547" i="1"/>
  <c r="AQ2547" i="1"/>
  <c r="AX2547" i="1"/>
  <c r="BD2547" i="1"/>
  <c r="B2548" i="1"/>
  <c r="E2548" i="1"/>
  <c r="F2548" i="1"/>
  <c r="G2548" i="1"/>
  <c r="H2548" i="1"/>
  <c r="I2548" i="1"/>
  <c r="J2548" i="1"/>
  <c r="K2548" i="1"/>
  <c r="M2548" i="1"/>
  <c r="O2548" i="1"/>
  <c r="Q2548" i="1"/>
  <c r="R2548" i="1"/>
  <c r="W2548" i="1"/>
  <c r="AA2548" i="1"/>
  <c r="AB2548" i="1"/>
  <c r="AM2548" i="1"/>
  <c r="AN2548" i="1"/>
  <c r="AO2548" i="1"/>
  <c r="AQ2548" i="1"/>
  <c r="AX2548" i="1"/>
  <c r="BD2548" i="1"/>
  <c r="B2549" i="1"/>
  <c r="C2549" i="1"/>
  <c r="E2549" i="1"/>
  <c r="F2549" i="1"/>
  <c r="G2549" i="1"/>
  <c r="H2549" i="1"/>
  <c r="I2549" i="1"/>
  <c r="J2549" i="1"/>
  <c r="K2549" i="1"/>
  <c r="M2549" i="1"/>
  <c r="O2549" i="1"/>
  <c r="Q2549" i="1"/>
  <c r="R2549" i="1"/>
  <c r="W2549" i="1"/>
  <c r="AA2549" i="1"/>
  <c r="AM2549" i="1"/>
  <c r="AN2549" i="1"/>
  <c r="AO2549" i="1"/>
  <c r="AQ2549" i="1"/>
  <c r="BB2549" i="1"/>
  <c r="BD2549" i="1"/>
  <c r="B2550" i="1"/>
  <c r="C2550" i="1"/>
  <c r="E2550" i="1"/>
  <c r="F2550" i="1"/>
  <c r="G2550" i="1"/>
  <c r="H2550" i="1"/>
  <c r="I2550" i="1"/>
  <c r="J2550" i="1"/>
  <c r="K2550" i="1"/>
  <c r="M2550" i="1"/>
  <c r="O2550" i="1"/>
  <c r="Q2550" i="1"/>
  <c r="R2550" i="1"/>
  <c r="W2550" i="1"/>
  <c r="AA2550" i="1"/>
  <c r="AM2550" i="1"/>
  <c r="AN2550" i="1"/>
  <c r="AO2550" i="1"/>
  <c r="AQ2550" i="1"/>
  <c r="BB2550" i="1"/>
  <c r="BD2550" i="1"/>
  <c r="B2551" i="1"/>
  <c r="C2551" i="1"/>
  <c r="E2551" i="1"/>
  <c r="F2551" i="1"/>
  <c r="G2551" i="1"/>
  <c r="H2551" i="1"/>
  <c r="I2551" i="1"/>
  <c r="J2551" i="1"/>
  <c r="K2551" i="1"/>
  <c r="M2551" i="1"/>
  <c r="O2551" i="1"/>
  <c r="Q2551" i="1"/>
  <c r="R2551" i="1"/>
  <c r="W2551" i="1"/>
  <c r="AA2551" i="1"/>
  <c r="AM2551" i="1"/>
  <c r="AN2551" i="1"/>
  <c r="AO2551" i="1"/>
  <c r="AQ2551" i="1"/>
  <c r="BB2551" i="1"/>
  <c r="BD2551" i="1"/>
  <c r="B2552" i="1"/>
  <c r="C2552" i="1"/>
  <c r="E2552" i="1"/>
  <c r="F2552" i="1"/>
  <c r="G2552" i="1"/>
  <c r="H2552" i="1"/>
  <c r="I2552" i="1"/>
  <c r="J2552" i="1"/>
  <c r="K2552" i="1"/>
  <c r="M2552" i="1"/>
  <c r="O2552" i="1"/>
  <c r="Q2552" i="1"/>
  <c r="R2552" i="1"/>
  <c r="W2552" i="1"/>
  <c r="AA2552" i="1"/>
  <c r="AM2552" i="1"/>
  <c r="AN2552" i="1"/>
  <c r="AO2552" i="1"/>
  <c r="AQ2552" i="1"/>
  <c r="BB2552" i="1"/>
  <c r="BD2552" i="1"/>
  <c r="B2553" i="1"/>
  <c r="C2553" i="1"/>
  <c r="E2553" i="1"/>
  <c r="F2553" i="1"/>
  <c r="G2553" i="1"/>
  <c r="H2553" i="1"/>
  <c r="I2553" i="1"/>
  <c r="J2553" i="1"/>
  <c r="K2553" i="1"/>
  <c r="M2553" i="1"/>
  <c r="O2553" i="1"/>
  <c r="Q2553" i="1"/>
  <c r="R2553" i="1"/>
  <c r="W2553" i="1"/>
  <c r="AA2553" i="1"/>
  <c r="AM2553" i="1"/>
  <c r="AN2553" i="1"/>
  <c r="AO2553" i="1"/>
  <c r="AQ2553" i="1"/>
  <c r="BB2553" i="1"/>
  <c r="BD2553" i="1"/>
  <c r="B2554" i="1"/>
  <c r="C2554" i="1"/>
  <c r="E2554" i="1"/>
  <c r="F2554" i="1"/>
  <c r="G2554" i="1"/>
  <c r="H2554" i="1"/>
  <c r="I2554" i="1"/>
  <c r="J2554" i="1"/>
  <c r="K2554" i="1"/>
  <c r="M2554" i="1"/>
  <c r="O2554" i="1"/>
  <c r="Q2554" i="1"/>
  <c r="R2554" i="1"/>
  <c r="W2554" i="1"/>
  <c r="AA2554" i="1"/>
  <c r="AM2554" i="1"/>
  <c r="AN2554" i="1"/>
  <c r="AO2554" i="1"/>
  <c r="AQ2554" i="1"/>
  <c r="BB2554" i="1"/>
  <c r="BD2554" i="1"/>
  <c r="B2555" i="1"/>
  <c r="C2555" i="1"/>
  <c r="E2555" i="1"/>
  <c r="F2555" i="1"/>
  <c r="G2555" i="1"/>
  <c r="H2555" i="1"/>
  <c r="I2555" i="1"/>
  <c r="J2555" i="1"/>
  <c r="K2555" i="1"/>
  <c r="M2555" i="1"/>
  <c r="O2555" i="1"/>
  <c r="Q2555" i="1"/>
  <c r="R2555" i="1"/>
  <c r="W2555" i="1"/>
  <c r="AA2555" i="1"/>
  <c r="AM2555" i="1"/>
  <c r="AN2555" i="1"/>
  <c r="AO2555" i="1"/>
  <c r="AQ2555" i="1"/>
  <c r="BB2555" i="1"/>
  <c r="BD2555" i="1"/>
  <c r="B2556" i="1"/>
  <c r="C2556" i="1"/>
  <c r="E2556" i="1"/>
  <c r="F2556" i="1"/>
  <c r="G2556" i="1"/>
  <c r="H2556" i="1"/>
  <c r="I2556" i="1"/>
  <c r="J2556" i="1"/>
  <c r="K2556" i="1"/>
  <c r="M2556" i="1"/>
  <c r="O2556" i="1"/>
  <c r="Q2556" i="1"/>
  <c r="R2556" i="1"/>
  <c r="W2556" i="1"/>
  <c r="AA2556" i="1"/>
  <c r="AM2556" i="1"/>
  <c r="AN2556" i="1"/>
  <c r="AO2556" i="1"/>
  <c r="AQ2556" i="1"/>
  <c r="BB2556" i="1"/>
  <c r="BD2556" i="1"/>
  <c r="B2557" i="1"/>
  <c r="C2557" i="1"/>
  <c r="E2557" i="1"/>
  <c r="F2557" i="1"/>
  <c r="G2557" i="1"/>
  <c r="H2557" i="1"/>
  <c r="I2557" i="1"/>
  <c r="J2557" i="1"/>
  <c r="K2557" i="1"/>
  <c r="M2557" i="1"/>
  <c r="O2557" i="1"/>
  <c r="Q2557" i="1"/>
  <c r="R2557" i="1"/>
  <c r="W2557" i="1"/>
  <c r="AA2557" i="1"/>
  <c r="AM2557" i="1"/>
  <c r="AN2557" i="1"/>
  <c r="AO2557" i="1"/>
  <c r="AQ2557" i="1"/>
  <c r="BB2557" i="1"/>
  <c r="BD2557" i="1"/>
  <c r="B2558" i="1"/>
  <c r="E2558" i="1"/>
  <c r="F2558" i="1"/>
  <c r="G2558" i="1"/>
  <c r="H2558" i="1"/>
  <c r="I2558" i="1"/>
  <c r="J2558" i="1"/>
  <c r="K2558" i="1"/>
  <c r="M2558" i="1"/>
  <c r="O2558" i="1"/>
  <c r="Q2558" i="1"/>
  <c r="R2558" i="1"/>
  <c r="W2558" i="1"/>
  <c r="AA2558" i="1"/>
  <c r="AM2558" i="1"/>
  <c r="AN2558" i="1"/>
  <c r="AO2558" i="1"/>
  <c r="AQ2558" i="1"/>
  <c r="BB2558" i="1"/>
  <c r="BD2558" i="1"/>
  <c r="B2559" i="1"/>
  <c r="C2559" i="1"/>
  <c r="E2559" i="1"/>
  <c r="F2559" i="1"/>
  <c r="G2559" i="1"/>
  <c r="H2559" i="1"/>
  <c r="I2559" i="1"/>
  <c r="J2559" i="1"/>
  <c r="K2559" i="1"/>
  <c r="M2559" i="1"/>
  <c r="O2559" i="1"/>
  <c r="Q2559" i="1"/>
  <c r="R2559" i="1"/>
  <c r="W2559" i="1"/>
  <c r="AA2559" i="1"/>
  <c r="AM2559" i="1"/>
  <c r="AN2559" i="1"/>
  <c r="AO2559" i="1"/>
  <c r="AQ2559" i="1"/>
  <c r="BB2559" i="1"/>
  <c r="BD2559" i="1"/>
  <c r="B2560" i="1"/>
  <c r="C2560" i="1"/>
  <c r="D2560" i="1"/>
  <c r="E2560" i="1"/>
  <c r="F2560" i="1"/>
  <c r="G2560" i="1"/>
  <c r="H2560" i="1"/>
  <c r="I2560" i="1"/>
  <c r="J2560" i="1"/>
  <c r="K2560" i="1"/>
  <c r="M2560" i="1"/>
  <c r="O2560" i="1"/>
  <c r="Q2560" i="1"/>
  <c r="R2560" i="1"/>
  <c r="W2560" i="1"/>
  <c r="AA2560" i="1"/>
  <c r="AB2560" i="1"/>
  <c r="AE2560" i="1"/>
  <c r="AF2560" i="1"/>
  <c r="AM2560" i="1"/>
  <c r="AN2560" i="1"/>
  <c r="AO2560" i="1"/>
  <c r="AQ2560" i="1"/>
  <c r="AX2560" i="1"/>
  <c r="BD2560" i="1"/>
  <c r="B2561" i="1"/>
  <c r="C2561" i="1"/>
  <c r="D2561" i="1"/>
  <c r="E2561" i="1"/>
  <c r="F2561" i="1"/>
  <c r="G2561" i="1"/>
  <c r="H2561" i="1"/>
  <c r="I2561" i="1"/>
  <c r="J2561" i="1"/>
  <c r="K2561" i="1"/>
  <c r="M2561" i="1"/>
  <c r="O2561" i="1"/>
  <c r="Q2561" i="1"/>
  <c r="R2561" i="1"/>
  <c r="W2561" i="1"/>
  <c r="AA2561" i="1"/>
  <c r="AB2561" i="1"/>
  <c r="AE2561" i="1"/>
  <c r="AF2561" i="1"/>
  <c r="AM2561" i="1"/>
  <c r="AN2561" i="1"/>
  <c r="AO2561" i="1"/>
  <c r="AQ2561" i="1"/>
  <c r="AX2561" i="1"/>
  <c r="BD2561" i="1"/>
  <c r="B2562" i="1"/>
  <c r="C2562" i="1"/>
  <c r="E2562" i="1"/>
  <c r="F2562" i="1"/>
  <c r="G2562" i="1"/>
  <c r="H2562" i="1"/>
  <c r="I2562" i="1"/>
  <c r="J2562" i="1"/>
  <c r="K2562" i="1"/>
  <c r="M2562" i="1"/>
  <c r="O2562" i="1"/>
  <c r="Q2562" i="1"/>
  <c r="R2562" i="1"/>
  <c r="W2562" i="1"/>
  <c r="AA2562" i="1"/>
  <c r="AM2562" i="1"/>
  <c r="AN2562" i="1"/>
  <c r="AO2562" i="1"/>
  <c r="AQ2562" i="1"/>
  <c r="BB2562" i="1"/>
  <c r="BD2562" i="1"/>
  <c r="B2563" i="1"/>
  <c r="C2563" i="1"/>
  <c r="E2563" i="1"/>
  <c r="F2563" i="1"/>
  <c r="G2563" i="1"/>
  <c r="H2563" i="1"/>
  <c r="I2563" i="1"/>
  <c r="J2563" i="1"/>
  <c r="K2563" i="1"/>
  <c r="M2563" i="1"/>
  <c r="O2563" i="1"/>
  <c r="Q2563" i="1"/>
  <c r="R2563" i="1"/>
  <c r="W2563" i="1"/>
  <c r="AA2563" i="1"/>
  <c r="AM2563" i="1"/>
  <c r="AN2563" i="1"/>
  <c r="AO2563" i="1"/>
  <c r="AQ2563" i="1"/>
  <c r="BB2563" i="1"/>
  <c r="BD2563" i="1"/>
  <c r="B2564" i="1"/>
  <c r="C2564" i="1"/>
  <c r="D2564" i="1"/>
  <c r="E2564" i="1"/>
  <c r="F2564" i="1"/>
  <c r="G2564" i="1"/>
  <c r="H2564" i="1"/>
  <c r="I2564" i="1"/>
  <c r="J2564" i="1"/>
  <c r="K2564" i="1"/>
  <c r="M2564" i="1"/>
  <c r="O2564" i="1"/>
  <c r="Q2564" i="1"/>
  <c r="R2564" i="1"/>
  <c r="W2564" i="1"/>
  <c r="AA2564" i="1"/>
  <c r="AB2564" i="1"/>
  <c r="AE2564" i="1"/>
  <c r="AF2564" i="1"/>
  <c r="AM2564" i="1"/>
  <c r="AN2564" i="1"/>
  <c r="AO2564" i="1"/>
  <c r="AQ2564" i="1"/>
  <c r="AX2564" i="1"/>
  <c r="BD2564" i="1"/>
  <c r="B2565" i="1"/>
  <c r="C2565" i="1"/>
  <c r="D2565" i="1"/>
  <c r="E2565" i="1"/>
  <c r="F2565" i="1"/>
  <c r="G2565" i="1"/>
  <c r="H2565" i="1"/>
  <c r="I2565" i="1"/>
  <c r="J2565" i="1"/>
  <c r="K2565" i="1"/>
  <c r="M2565" i="1"/>
  <c r="O2565" i="1"/>
  <c r="Q2565" i="1"/>
  <c r="R2565" i="1"/>
  <c r="W2565" i="1"/>
  <c r="AA2565" i="1"/>
  <c r="AB2565" i="1"/>
  <c r="AE2565" i="1"/>
  <c r="AF2565" i="1"/>
  <c r="AM2565" i="1"/>
  <c r="AN2565" i="1"/>
  <c r="AO2565" i="1"/>
  <c r="AQ2565" i="1"/>
  <c r="AX2565" i="1"/>
  <c r="BD2565" i="1"/>
  <c r="B2566" i="1"/>
  <c r="C2566" i="1"/>
  <c r="D2566" i="1"/>
  <c r="E2566" i="1"/>
  <c r="F2566" i="1"/>
  <c r="G2566" i="1"/>
  <c r="H2566" i="1"/>
  <c r="I2566" i="1"/>
  <c r="J2566" i="1"/>
  <c r="K2566" i="1"/>
  <c r="M2566" i="1"/>
  <c r="O2566" i="1"/>
  <c r="Q2566" i="1"/>
  <c r="R2566" i="1"/>
  <c r="W2566" i="1"/>
  <c r="AA2566" i="1"/>
  <c r="AB2566" i="1"/>
  <c r="AE2566" i="1"/>
  <c r="AF2566" i="1"/>
  <c r="AM2566" i="1"/>
  <c r="AN2566" i="1"/>
  <c r="AO2566" i="1"/>
  <c r="AQ2566" i="1"/>
  <c r="AX2566" i="1"/>
  <c r="BD2566" i="1"/>
  <c r="B2567" i="1"/>
  <c r="C2567" i="1"/>
  <c r="D2567" i="1"/>
  <c r="E2567" i="1"/>
  <c r="F2567" i="1"/>
  <c r="G2567" i="1"/>
  <c r="H2567" i="1"/>
  <c r="I2567" i="1"/>
  <c r="J2567" i="1"/>
  <c r="K2567" i="1"/>
  <c r="M2567" i="1"/>
  <c r="O2567" i="1"/>
  <c r="Q2567" i="1"/>
  <c r="R2567" i="1"/>
  <c r="W2567" i="1"/>
  <c r="AA2567" i="1"/>
  <c r="AB2567" i="1"/>
  <c r="AE2567" i="1"/>
  <c r="AF2567" i="1"/>
  <c r="AM2567" i="1"/>
  <c r="AN2567" i="1"/>
  <c r="AO2567" i="1"/>
  <c r="AQ2567" i="1"/>
  <c r="AX2567" i="1"/>
  <c r="BD2567" i="1"/>
  <c r="B2568" i="1"/>
  <c r="C2568" i="1"/>
  <c r="D2568" i="1"/>
  <c r="E2568" i="1"/>
  <c r="F2568" i="1"/>
  <c r="G2568" i="1"/>
  <c r="H2568" i="1"/>
  <c r="I2568" i="1"/>
  <c r="J2568" i="1"/>
  <c r="K2568" i="1"/>
  <c r="M2568" i="1"/>
  <c r="O2568" i="1"/>
  <c r="Q2568" i="1"/>
  <c r="R2568" i="1"/>
  <c r="W2568" i="1"/>
  <c r="AA2568" i="1"/>
  <c r="AB2568" i="1"/>
  <c r="AE2568" i="1"/>
  <c r="AF2568" i="1"/>
  <c r="AM2568" i="1"/>
  <c r="AN2568" i="1"/>
  <c r="AO2568" i="1"/>
  <c r="AQ2568" i="1"/>
  <c r="AX2568" i="1"/>
  <c r="BD2568" i="1"/>
  <c r="B2569" i="1"/>
  <c r="C2569" i="1"/>
  <c r="D2569" i="1"/>
  <c r="E2569" i="1"/>
  <c r="F2569" i="1"/>
  <c r="G2569" i="1"/>
  <c r="H2569" i="1"/>
  <c r="I2569" i="1"/>
  <c r="J2569" i="1"/>
  <c r="K2569" i="1"/>
  <c r="M2569" i="1"/>
  <c r="O2569" i="1"/>
  <c r="Q2569" i="1"/>
  <c r="R2569" i="1"/>
  <c r="W2569" i="1"/>
  <c r="AA2569" i="1"/>
  <c r="AB2569" i="1"/>
  <c r="AE2569" i="1"/>
  <c r="AF2569" i="1"/>
  <c r="AM2569" i="1"/>
  <c r="AN2569" i="1"/>
  <c r="AO2569" i="1"/>
  <c r="AQ2569" i="1"/>
  <c r="AX2569" i="1"/>
  <c r="BD2569" i="1"/>
  <c r="B2570" i="1"/>
  <c r="C2570" i="1"/>
  <c r="D2570" i="1"/>
  <c r="E2570" i="1"/>
  <c r="F2570" i="1"/>
  <c r="G2570" i="1"/>
  <c r="H2570" i="1"/>
  <c r="I2570" i="1"/>
  <c r="J2570" i="1"/>
  <c r="K2570" i="1"/>
  <c r="M2570" i="1"/>
  <c r="O2570" i="1"/>
  <c r="Q2570" i="1"/>
  <c r="R2570" i="1"/>
  <c r="W2570" i="1"/>
  <c r="AA2570" i="1"/>
  <c r="AB2570" i="1"/>
  <c r="AE2570" i="1"/>
  <c r="AF2570" i="1"/>
  <c r="AM2570" i="1"/>
  <c r="AN2570" i="1"/>
  <c r="AO2570" i="1"/>
  <c r="AQ2570" i="1"/>
  <c r="AX2570" i="1"/>
  <c r="BD2570" i="1"/>
  <c r="B2571" i="1"/>
  <c r="C2571" i="1"/>
  <c r="D2571" i="1"/>
  <c r="E2571" i="1"/>
  <c r="F2571" i="1"/>
  <c r="G2571" i="1"/>
  <c r="H2571" i="1"/>
  <c r="I2571" i="1"/>
  <c r="J2571" i="1"/>
  <c r="K2571" i="1"/>
  <c r="M2571" i="1"/>
  <c r="O2571" i="1"/>
  <c r="Q2571" i="1"/>
  <c r="R2571" i="1"/>
  <c r="W2571" i="1"/>
  <c r="AA2571" i="1"/>
  <c r="AB2571" i="1"/>
  <c r="AE2571" i="1"/>
  <c r="AF2571" i="1"/>
  <c r="AM2571" i="1"/>
  <c r="AN2571" i="1"/>
  <c r="AO2571" i="1"/>
  <c r="AQ2571" i="1"/>
  <c r="AX2571" i="1"/>
  <c r="BD2571" i="1"/>
  <c r="B2572" i="1"/>
  <c r="C2572" i="1"/>
  <c r="D2572" i="1"/>
  <c r="E2572" i="1"/>
  <c r="F2572" i="1"/>
  <c r="G2572" i="1"/>
  <c r="H2572" i="1"/>
  <c r="I2572" i="1"/>
  <c r="J2572" i="1"/>
  <c r="K2572" i="1"/>
  <c r="M2572" i="1"/>
  <c r="O2572" i="1"/>
  <c r="Q2572" i="1"/>
  <c r="R2572" i="1"/>
  <c r="W2572" i="1"/>
  <c r="AA2572" i="1"/>
  <c r="AB2572" i="1"/>
  <c r="AE2572" i="1"/>
  <c r="AF2572" i="1"/>
  <c r="AM2572" i="1"/>
  <c r="AN2572" i="1"/>
  <c r="AO2572" i="1"/>
  <c r="AQ2572" i="1"/>
  <c r="AX2572" i="1"/>
  <c r="BD2572" i="1"/>
  <c r="B2573" i="1"/>
  <c r="C2573" i="1"/>
  <c r="D2573" i="1"/>
  <c r="E2573" i="1"/>
  <c r="F2573" i="1"/>
  <c r="G2573" i="1"/>
  <c r="H2573" i="1"/>
  <c r="I2573" i="1"/>
  <c r="J2573" i="1"/>
  <c r="K2573" i="1"/>
  <c r="M2573" i="1"/>
  <c r="O2573" i="1"/>
  <c r="Q2573" i="1"/>
  <c r="R2573" i="1"/>
  <c r="W2573" i="1"/>
  <c r="AA2573" i="1"/>
  <c r="AB2573" i="1"/>
  <c r="AE2573" i="1"/>
  <c r="AF2573" i="1"/>
  <c r="AM2573" i="1"/>
  <c r="AN2573" i="1"/>
  <c r="AO2573" i="1"/>
  <c r="AQ2573" i="1"/>
  <c r="AX2573" i="1"/>
  <c r="BD2573" i="1"/>
  <c r="B2574" i="1"/>
  <c r="C2574" i="1"/>
  <c r="D2574" i="1"/>
  <c r="E2574" i="1"/>
  <c r="F2574" i="1"/>
  <c r="G2574" i="1"/>
  <c r="H2574" i="1"/>
  <c r="I2574" i="1"/>
  <c r="J2574" i="1"/>
  <c r="K2574" i="1"/>
  <c r="M2574" i="1"/>
  <c r="O2574" i="1"/>
  <c r="Q2574" i="1"/>
  <c r="R2574" i="1"/>
  <c r="W2574" i="1"/>
  <c r="AA2574" i="1"/>
  <c r="AB2574" i="1"/>
  <c r="AE2574" i="1"/>
  <c r="AF2574" i="1"/>
  <c r="AM2574" i="1"/>
  <c r="AN2574" i="1"/>
  <c r="AO2574" i="1"/>
  <c r="AQ2574" i="1"/>
  <c r="AX2574" i="1"/>
  <c r="BD2574" i="1"/>
  <c r="B2575" i="1"/>
  <c r="C2575" i="1"/>
  <c r="D2575" i="1"/>
  <c r="E2575" i="1"/>
  <c r="F2575" i="1"/>
  <c r="G2575" i="1"/>
  <c r="H2575" i="1"/>
  <c r="I2575" i="1"/>
  <c r="J2575" i="1"/>
  <c r="K2575" i="1"/>
  <c r="M2575" i="1"/>
  <c r="O2575" i="1"/>
  <c r="Q2575" i="1"/>
  <c r="R2575" i="1"/>
  <c r="W2575" i="1"/>
  <c r="AA2575" i="1"/>
  <c r="AB2575" i="1"/>
  <c r="AE2575" i="1"/>
  <c r="AF2575" i="1"/>
  <c r="AM2575" i="1"/>
  <c r="AN2575" i="1"/>
  <c r="AO2575" i="1"/>
  <c r="AQ2575" i="1"/>
  <c r="AX2575" i="1"/>
  <c r="BD2575" i="1"/>
  <c r="B2576" i="1"/>
  <c r="C2576" i="1"/>
  <c r="D2576" i="1"/>
  <c r="E2576" i="1"/>
  <c r="F2576" i="1"/>
  <c r="G2576" i="1"/>
  <c r="H2576" i="1"/>
  <c r="I2576" i="1"/>
  <c r="J2576" i="1"/>
  <c r="K2576" i="1"/>
  <c r="M2576" i="1"/>
  <c r="O2576" i="1"/>
  <c r="Q2576" i="1"/>
  <c r="R2576" i="1"/>
  <c r="W2576" i="1"/>
  <c r="AA2576" i="1"/>
  <c r="AB2576" i="1"/>
  <c r="AE2576" i="1"/>
  <c r="AF2576" i="1"/>
  <c r="AM2576" i="1"/>
  <c r="AN2576" i="1"/>
  <c r="AO2576" i="1"/>
  <c r="AQ2576" i="1"/>
  <c r="AX2576" i="1"/>
  <c r="BD2576" i="1"/>
  <c r="B2577" i="1"/>
  <c r="C2577" i="1"/>
  <c r="D2577" i="1"/>
  <c r="E2577" i="1"/>
  <c r="F2577" i="1"/>
  <c r="G2577" i="1"/>
  <c r="H2577" i="1"/>
  <c r="I2577" i="1"/>
  <c r="J2577" i="1"/>
  <c r="K2577" i="1"/>
  <c r="M2577" i="1"/>
  <c r="O2577" i="1"/>
  <c r="Q2577" i="1"/>
  <c r="R2577" i="1"/>
  <c r="W2577" i="1"/>
  <c r="AA2577" i="1"/>
  <c r="AB2577" i="1"/>
  <c r="AE2577" i="1"/>
  <c r="AF2577" i="1"/>
  <c r="AM2577" i="1"/>
  <c r="AN2577" i="1"/>
  <c r="AO2577" i="1"/>
  <c r="AQ2577" i="1"/>
  <c r="AX2577" i="1"/>
  <c r="BD2577" i="1"/>
  <c r="B2578" i="1"/>
  <c r="C2578" i="1"/>
  <c r="D2578" i="1"/>
  <c r="E2578" i="1"/>
  <c r="F2578" i="1"/>
  <c r="G2578" i="1"/>
  <c r="H2578" i="1"/>
  <c r="I2578" i="1"/>
  <c r="J2578" i="1"/>
  <c r="K2578" i="1"/>
  <c r="M2578" i="1"/>
  <c r="O2578" i="1"/>
  <c r="Q2578" i="1"/>
  <c r="R2578" i="1"/>
  <c r="W2578" i="1"/>
  <c r="AA2578" i="1"/>
  <c r="AB2578" i="1"/>
  <c r="AE2578" i="1"/>
  <c r="AF2578" i="1"/>
  <c r="AM2578" i="1"/>
  <c r="AN2578" i="1"/>
  <c r="AO2578" i="1"/>
  <c r="AQ2578" i="1"/>
  <c r="AX2578" i="1"/>
  <c r="BD2578" i="1"/>
  <c r="B2579" i="1"/>
  <c r="C2579" i="1"/>
  <c r="D2579" i="1"/>
  <c r="E2579" i="1"/>
  <c r="F2579" i="1"/>
  <c r="G2579" i="1"/>
  <c r="H2579" i="1"/>
  <c r="I2579" i="1"/>
  <c r="J2579" i="1"/>
  <c r="K2579" i="1"/>
  <c r="M2579" i="1"/>
  <c r="O2579" i="1"/>
  <c r="Q2579" i="1"/>
  <c r="R2579" i="1"/>
  <c r="W2579" i="1"/>
  <c r="AA2579" i="1"/>
  <c r="AB2579" i="1"/>
  <c r="AE2579" i="1"/>
  <c r="AF2579" i="1"/>
  <c r="AM2579" i="1"/>
  <c r="AN2579" i="1"/>
  <c r="AO2579" i="1"/>
  <c r="AQ2579" i="1"/>
  <c r="AX2579" i="1"/>
  <c r="BD2579" i="1"/>
  <c r="B2580" i="1"/>
  <c r="C2580" i="1"/>
  <c r="D2580" i="1"/>
  <c r="E2580" i="1"/>
  <c r="F2580" i="1"/>
  <c r="G2580" i="1"/>
  <c r="H2580" i="1"/>
  <c r="I2580" i="1"/>
  <c r="J2580" i="1"/>
  <c r="K2580" i="1"/>
  <c r="M2580" i="1"/>
  <c r="O2580" i="1"/>
  <c r="Q2580" i="1"/>
  <c r="R2580" i="1"/>
  <c r="W2580" i="1"/>
  <c r="AA2580" i="1"/>
  <c r="AB2580" i="1"/>
  <c r="AE2580" i="1"/>
  <c r="AF2580" i="1"/>
  <c r="AM2580" i="1"/>
  <c r="AN2580" i="1"/>
  <c r="AO2580" i="1"/>
  <c r="AQ2580" i="1"/>
  <c r="AX2580" i="1"/>
  <c r="BD2580" i="1"/>
  <c r="B2581" i="1"/>
  <c r="C2581" i="1"/>
  <c r="D2581" i="1"/>
  <c r="E2581" i="1"/>
  <c r="F2581" i="1"/>
  <c r="G2581" i="1"/>
  <c r="H2581" i="1"/>
  <c r="I2581" i="1"/>
  <c r="J2581" i="1"/>
  <c r="K2581" i="1"/>
  <c r="M2581" i="1"/>
  <c r="O2581" i="1"/>
  <c r="Q2581" i="1"/>
  <c r="R2581" i="1"/>
  <c r="W2581" i="1"/>
  <c r="AA2581" i="1"/>
  <c r="AB2581" i="1"/>
  <c r="AE2581" i="1"/>
  <c r="AF2581" i="1"/>
  <c r="AM2581" i="1"/>
  <c r="AN2581" i="1"/>
  <c r="AO2581" i="1"/>
  <c r="AQ2581" i="1"/>
  <c r="AX2581" i="1"/>
  <c r="BD2581" i="1"/>
  <c r="B2582" i="1"/>
  <c r="C2582" i="1"/>
  <c r="D2582" i="1"/>
  <c r="E2582" i="1"/>
  <c r="F2582" i="1"/>
  <c r="G2582" i="1"/>
  <c r="H2582" i="1"/>
  <c r="I2582" i="1"/>
  <c r="J2582" i="1"/>
  <c r="K2582" i="1"/>
  <c r="M2582" i="1"/>
  <c r="O2582" i="1"/>
  <c r="Q2582" i="1"/>
  <c r="R2582" i="1"/>
  <c r="W2582" i="1"/>
  <c r="AA2582" i="1"/>
  <c r="AB2582" i="1"/>
  <c r="AE2582" i="1"/>
  <c r="AF2582" i="1"/>
  <c r="AM2582" i="1"/>
  <c r="AN2582" i="1"/>
  <c r="AO2582" i="1"/>
  <c r="AQ2582" i="1"/>
  <c r="AX2582" i="1"/>
  <c r="BD2582" i="1"/>
  <c r="B2583" i="1"/>
  <c r="C2583" i="1"/>
  <c r="D2583" i="1"/>
  <c r="E2583" i="1"/>
  <c r="F2583" i="1"/>
  <c r="G2583" i="1"/>
  <c r="H2583" i="1"/>
  <c r="I2583" i="1"/>
  <c r="J2583" i="1"/>
  <c r="K2583" i="1"/>
  <c r="M2583" i="1"/>
  <c r="O2583" i="1"/>
  <c r="Q2583" i="1"/>
  <c r="R2583" i="1"/>
  <c r="W2583" i="1"/>
  <c r="AA2583" i="1"/>
  <c r="AB2583" i="1"/>
  <c r="AE2583" i="1"/>
  <c r="AF2583" i="1"/>
  <c r="AM2583" i="1"/>
  <c r="AN2583" i="1"/>
  <c r="AO2583" i="1"/>
  <c r="AQ2583" i="1"/>
  <c r="AX2583" i="1"/>
  <c r="BD2583" i="1"/>
  <c r="B2584" i="1"/>
  <c r="C2584" i="1"/>
  <c r="E2584" i="1"/>
  <c r="F2584" i="1"/>
  <c r="G2584" i="1"/>
  <c r="H2584" i="1"/>
  <c r="I2584" i="1"/>
  <c r="J2584" i="1"/>
  <c r="K2584" i="1"/>
  <c r="M2584" i="1"/>
  <c r="O2584" i="1"/>
  <c r="Q2584" i="1"/>
  <c r="R2584" i="1"/>
  <c r="W2584" i="1"/>
  <c r="AA2584" i="1"/>
  <c r="AB2584" i="1"/>
  <c r="AE2584" i="1"/>
  <c r="AF2584" i="1"/>
  <c r="AM2584" i="1"/>
  <c r="AN2584" i="1"/>
  <c r="AO2584" i="1"/>
  <c r="AQ2584" i="1"/>
  <c r="AX2584" i="1"/>
  <c r="BD2584" i="1"/>
  <c r="B2585" i="1"/>
  <c r="C2585" i="1"/>
  <c r="E2585" i="1"/>
  <c r="F2585" i="1"/>
  <c r="G2585" i="1"/>
  <c r="H2585" i="1"/>
  <c r="I2585" i="1"/>
  <c r="J2585" i="1"/>
  <c r="K2585" i="1"/>
  <c r="M2585" i="1"/>
  <c r="O2585" i="1"/>
  <c r="Q2585" i="1"/>
  <c r="R2585" i="1"/>
  <c r="W2585" i="1"/>
  <c r="AA2585" i="1"/>
  <c r="AB2585" i="1"/>
  <c r="AE2585" i="1"/>
  <c r="AF2585" i="1"/>
  <c r="AM2585" i="1"/>
  <c r="AN2585" i="1"/>
  <c r="AO2585" i="1"/>
  <c r="AQ2585" i="1"/>
  <c r="AX2585" i="1"/>
  <c r="BD2585" i="1"/>
  <c r="B2586" i="1"/>
  <c r="C2586" i="1"/>
  <c r="D2586" i="1"/>
  <c r="E2586" i="1"/>
  <c r="F2586" i="1"/>
  <c r="G2586" i="1"/>
  <c r="H2586" i="1"/>
  <c r="I2586" i="1"/>
  <c r="J2586" i="1"/>
  <c r="K2586" i="1"/>
  <c r="M2586" i="1"/>
  <c r="O2586" i="1"/>
  <c r="Q2586" i="1"/>
  <c r="R2586" i="1"/>
  <c r="W2586" i="1"/>
  <c r="AA2586" i="1"/>
  <c r="AB2586" i="1"/>
  <c r="AE2586" i="1"/>
  <c r="AF2586" i="1"/>
  <c r="AM2586" i="1"/>
  <c r="AN2586" i="1"/>
  <c r="AO2586" i="1"/>
  <c r="AQ2586" i="1"/>
  <c r="AX2586" i="1"/>
  <c r="BD2586" i="1"/>
  <c r="B2587" i="1"/>
  <c r="C2587" i="1"/>
  <c r="D2587" i="1"/>
  <c r="E2587" i="1"/>
  <c r="F2587" i="1"/>
  <c r="G2587" i="1"/>
  <c r="H2587" i="1"/>
  <c r="I2587" i="1"/>
  <c r="J2587" i="1"/>
  <c r="K2587" i="1"/>
  <c r="M2587" i="1"/>
  <c r="O2587" i="1"/>
  <c r="Q2587" i="1"/>
  <c r="R2587" i="1"/>
  <c r="W2587" i="1"/>
  <c r="AA2587" i="1"/>
  <c r="AB2587" i="1"/>
  <c r="AE2587" i="1"/>
  <c r="AF2587" i="1"/>
  <c r="AM2587" i="1"/>
  <c r="AN2587" i="1"/>
  <c r="AO2587" i="1"/>
  <c r="AQ2587" i="1"/>
  <c r="AX2587" i="1"/>
  <c r="BD2587" i="1"/>
  <c r="B2588" i="1"/>
  <c r="C2588" i="1"/>
  <c r="D2588" i="1"/>
  <c r="E2588" i="1"/>
  <c r="F2588" i="1"/>
  <c r="G2588" i="1"/>
  <c r="H2588" i="1"/>
  <c r="I2588" i="1"/>
  <c r="J2588" i="1"/>
  <c r="K2588" i="1"/>
  <c r="M2588" i="1"/>
  <c r="O2588" i="1"/>
  <c r="Q2588" i="1"/>
  <c r="R2588" i="1"/>
  <c r="W2588" i="1"/>
  <c r="AA2588" i="1"/>
  <c r="AB2588" i="1"/>
  <c r="AE2588" i="1"/>
  <c r="AF2588" i="1"/>
  <c r="AM2588" i="1"/>
  <c r="AN2588" i="1"/>
  <c r="AO2588" i="1"/>
  <c r="AQ2588" i="1"/>
  <c r="AX2588" i="1"/>
  <c r="BD2588" i="1"/>
  <c r="B2589" i="1"/>
  <c r="C2589" i="1"/>
  <c r="E2589" i="1"/>
  <c r="F2589" i="1"/>
  <c r="G2589" i="1"/>
  <c r="H2589" i="1"/>
  <c r="I2589" i="1"/>
  <c r="J2589" i="1"/>
  <c r="K2589" i="1"/>
  <c r="M2589" i="1"/>
  <c r="O2589" i="1"/>
  <c r="Q2589" i="1"/>
  <c r="R2589" i="1"/>
  <c r="W2589" i="1"/>
  <c r="AA2589" i="1"/>
  <c r="AB2589" i="1"/>
  <c r="AE2589" i="1"/>
  <c r="AF2589" i="1"/>
  <c r="AM2589" i="1"/>
  <c r="AN2589" i="1"/>
  <c r="AO2589" i="1"/>
  <c r="AQ2589" i="1"/>
  <c r="AX2589" i="1"/>
  <c r="BD2589" i="1"/>
  <c r="B2590" i="1"/>
  <c r="C2590" i="1"/>
  <c r="E2590" i="1"/>
  <c r="F2590" i="1"/>
  <c r="G2590" i="1"/>
  <c r="H2590" i="1"/>
  <c r="I2590" i="1"/>
  <c r="J2590" i="1"/>
  <c r="K2590" i="1"/>
  <c r="M2590" i="1"/>
  <c r="O2590" i="1"/>
  <c r="Q2590" i="1"/>
  <c r="R2590" i="1"/>
  <c r="W2590" i="1"/>
  <c r="AA2590" i="1"/>
  <c r="AB2590" i="1"/>
  <c r="AE2590" i="1"/>
  <c r="AF2590" i="1"/>
  <c r="AM2590" i="1"/>
  <c r="AN2590" i="1"/>
  <c r="AO2590" i="1"/>
  <c r="AQ2590" i="1"/>
  <c r="AX2590" i="1"/>
  <c r="BD2590" i="1"/>
  <c r="B2591" i="1"/>
  <c r="C2591" i="1"/>
  <c r="E2591" i="1"/>
  <c r="F2591" i="1"/>
  <c r="G2591" i="1"/>
  <c r="H2591" i="1"/>
  <c r="I2591" i="1"/>
  <c r="J2591" i="1"/>
  <c r="K2591" i="1"/>
  <c r="M2591" i="1"/>
  <c r="O2591" i="1"/>
  <c r="Q2591" i="1"/>
  <c r="R2591" i="1"/>
  <c r="W2591" i="1"/>
  <c r="AA2591" i="1"/>
  <c r="AB2591" i="1"/>
  <c r="AE2591" i="1"/>
  <c r="AF2591" i="1"/>
  <c r="AM2591" i="1"/>
  <c r="AN2591" i="1"/>
  <c r="AO2591" i="1"/>
  <c r="AQ2591" i="1"/>
  <c r="AX2591" i="1"/>
  <c r="BD2591" i="1"/>
  <c r="B2592" i="1"/>
  <c r="C2592" i="1"/>
  <c r="D2592" i="1"/>
  <c r="E2592" i="1"/>
  <c r="F2592" i="1"/>
  <c r="G2592" i="1"/>
  <c r="H2592" i="1"/>
  <c r="I2592" i="1"/>
  <c r="J2592" i="1"/>
  <c r="K2592" i="1"/>
  <c r="M2592" i="1"/>
  <c r="O2592" i="1"/>
  <c r="Q2592" i="1"/>
  <c r="R2592" i="1"/>
  <c r="W2592" i="1"/>
  <c r="AA2592" i="1"/>
  <c r="AB2592" i="1"/>
  <c r="AE2592" i="1"/>
  <c r="AF2592" i="1"/>
  <c r="AM2592" i="1"/>
  <c r="AN2592" i="1"/>
  <c r="AO2592" i="1"/>
  <c r="AQ2592" i="1"/>
  <c r="AX2592" i="1"/>
  <c r="BD2592" i="1"/>
  <c r="B2593" i="1"/>
  <c r="C2593" i="1"/>
  <c r="E2593" i="1"/>
  <c r="F2593" i="1"/>
  <c r="G2593" i="1"/>
  <c r="H2593" i="1"/>
  <c r="I2593" i="1"/>
  <c r="J2593" i="1"/>
  <c r="K2593" i="1"/>
  <c r="M2593" i="1"/>
  <c r="O2593" i="1"/>
  <c r="Q2593" i="1"/>
  <c r="R2593" i="1"/>
  <c r="W2593" i="1"/>
  <c r="AA2593" i="1"/>
  <c r="AB2593" i="1"/>
  <c r="AE2593" i="1"/>
  <c r="AF2593" i="1"/>
  <c r="AM2593" i="1"/>
  <c r="AN2593" i="1"/>
  <c r="AO2593" i="1"/>
  <c r="AQ2593" i="1"/>
  <c r="AX2593" i="1"/>
  <c r="BD2593" i="1"/>
  <c r="B2594" i="1"/>
  <c r="C2594" i="1"/>
  <c r="D2594" i="1"/>
  <c r="E2594" i="1"/>
  <c r="F2594" i="1"/>
  <c r="G2594" i="1"/>
  <c r="H2594" i="1"/>
  <c r="I2594" i="1"/>
  <c r="J2594" i="1"/>
  <c r="K2594" i="1"/>
  <c r="M2594" i="1"/>
  <c r="O2594" i="1"/>
  <c r="Q2594" i="1"/>
  <c r="R2594" i="1"/>
  <c r="W2594" i="1"/>
  <c r="AA2594" i="1"/>
  <c r="AB2594" i="1"/>
  <c r="AE2594" i="1"/>
  <c r="AF2594" i="1"/>
  <c r="AM2594" i="1"/>
  <c r="AN2594" i="1"/>
  <c r="AO2594" i="1"/>
  <c r="AQ2594" i="1"/>
  <c r="AX2594" i="1"/>
  <c r="BD2594" i="1"/>
  <c r="B2595" i="1"/>
  <c r="C2595" i="1"/>
  <c r="D2595" i="1"/>
  <c r="E2595" i="1"/>
  <c r="F2595" i="1"/>
  <c r="G2595" i="1"/>
  <c r="H2595" i="1"/>
  <c r="I2595" i="1"/>
  <c r="J2595" i="1"/>
  <c r="K2595" i="1"/>
  <c r="M2595" i="1"/>
  <c r="O2595" i="1"/>
  <c r="Q2595" i="1"/>
  <c r="R2595" i="1"/>
  <c r="W2595" i="1"/>
  <c r="AA2595" i="1"/>
  <c r="AB2595" i="1"/>
  <c r="AE2595" i="1"/>
  <c r="AF2595" i="1"/>
  <c r="AM2595" i="1"/>
  <c r="AN2595" i="1"/>
  <c r="AO2595" i="1"/>
  <c r="AQ2595" i="1"/>
  <c r="AX2595" i="1"/>
  <c r="BD2595" i="1"/>
  <c r="B2596" i="1"/>
  <c r="C2596" i="1"/>
  <c r="D2596" i="1"/>
  <c r="E2596" i="1"/>
  <c r="F2596" i="1"/>
  <c r="G2596" i="1"/>
  <c r="H2596" i="1"/>
  <c r="I2596" i="1"/>
  <c r="J2596" i="1"/>
  <c r="K2596" i="1"/>
  <c r="M2596" i="1"/>
  <c r="O2596" i="1"/>
  <c r="Q2596" i="1"/>
  <c r="R2596" i="1"/>
  <c r="W2596" i="1"/>
  <c r="AA2596" i="1"/>
  <c r="AB2596" i="1"/>
  <c r="AE2596" i="1"/>
  <c r="AF2596" i="1"/>
  <c r="AM2596" i="1"/>
  <c r="AN2596" i="1"/>
  <c r="AO2596" i="1"/>
  <c r="AQ2596" i="1"/>
  <c r="AX2596" i="1"/>
  <c r="BD2596" i="1"/>
  <c r="B2597" i="1"/>
  <c r="C2597" i="1"/>
  <c r="D2597" i="1"/>
  <c r="E2597" i="1"/>
  <c r="F2597" i="1"/>
  <c r="G2597" i="1"/>
  <c r="H2597" i="1"/>
  <c r="I2597" i="1"/>
  <c r="J2597" i="1"/>
  <c r="K2597" i="1"/>
  <c r="M2597" i="1"/>
  <c r="O2597" i="1"/>
  <c r="Q2597" i="1"/>
  <c r="R2597" i="1"/>
  <c r="W2597" i="1"/>
  <c r="AA2597" i="1"/>
  <c r="AB2597" i="1"/>
  <c r="AE2597" i="1"/>
  <c r="AF2597" i="1"/>
  <c r="AM2597" i="1"/>
  <c r="AN2597" i="1"/>
  <c r="AO2597" i="1"/>
  <c r="AQ2597" i="1"/>
  <c r="AX2597" i="1"/>
  <c r="BD2597" i="1"/>
  <c r="B2598" i="1"/>
  <c r="C2598" i="1"/>
  <c r="E2598" i="1"/>
  <c r="F2598" i="1"/>
  <c r="G2598" i="1"/>
  <c r="H2598" i="1"/>
  <c r="I2598" i="1"/>
  <c r="J2598" i="1"/>
  <c r="K2598" i="1"/>
  <c r="M2598" i="1"/>
  <c r="O2598" i="1"/>
  <c r="Q2598" i="1"/>
  <c r="R2598" i="1"/>
  <c r="W2598" i="1"/>
  <c r="AA2598" i="1"/>
  <c r="AM2598" i="1"/>
  <c r="AN2598" i="1"/>
  <c r="AO2598" i="1"/>
  <c r="AQ2598" i="1"/>
  <c r="BB2598" i="1"/>
  <c r="BD2598" i="1"/>
  <c r="B2599" i="1"/>
  <c r="C2599" i="1"/>
  <c r="E2599" i="1"/>
  <c r="F2599" i="1"/>
  <c r="G2599" i="1"/>
  <c r="H2599" i="1"/>
  <c r="I2599" i="1"/>
  <c r="J2599" i="1"/>
  <c r="K2599" i="1"/>
  <c r="M2599" i="1"/>
  <c r="O2599" i="1"/>
  <c r="Q2599" i="1"/>
  <c r="R2599" i="1"/>
  <c r="W2599" i="1"/>
  <c r="AA2599" i="1"/>
  <c r="AM2599" i="1"/>
  <c r="AN2599" i="1"/>
  <c r="AO2599" i="1"/>
  <c r="AQ2599" i="1"/>
  <c r="BB2599" i="1"/>
  <c r="BD2599" i="1"/>
  <c r="B2600" i="1"/>
  <c r="C2600" i="1"/>
  <c r="E2600" i="1"/>
  <c r="F2600" i="1"/>
  <c r="G2600" i="1"/>
  <c r="H2600" i="1"/>
  <c r="I2600" i="1"/>
  <c r="J2600" i="1"/>
  <c r="K2600" i="1"/>
  <c r="M2600" i="1"/>
  <c r="O2600" i="1"/>
  <c r="Q2600" i="1"/>
  <c r="R2600" i="1"/>
  <c r="W2600" i="1"/>
  <c r="AA2600" i="1"/>
  <c r="AM2600" i="1"/>
  <c r="AN2600" i="1"/>
  <c r="AO2600" i="1"/>
  <c r="AQ2600" i="1"/>
  <c r="BB2600" i="1"/>
  <c r="BD2600" i="1"/>
  <c r="B2601" i="1"/>
  <c r="E2601" i="1"/>
  <c r="F2601" i="1"/>
  <c r="G2601" i="1"/>
  <c r="H2601" i="1"/>
  <c r="I2601" i="1"/>
  <c r="J2601" i="1"/>
  <c r="K2601" i="1"/>
  <c r="M2601" i="1"/>
  <c r="O2601" i="1"/>
  <c r="Q2601" i="1"/>
  <c r="R2601" i="1"/>
  <c r="W2601" i="1"/>
  <c r="AA2601" i="1"/>
  <c r="AM2601" i="1"/>
  <c r="AN2601" i="1"/>
  <c r="AO2601" i="1"/>
  <c r="AQ2601" i="1"/>
  <c r="BB2601" i="1"/>
  <c r="BD2601" i="1"/>
  <c r="B2602" i="1"/>
  <c r="C2602" i="1"/>
  <c r="E2602" i="1"/>
  <c r="F2602" i="1"/>
  <c r="G2602" i="1"/>
  <c r="H2602" i="1"/>
  <c r="I2602" i="1"/>
  <c r="J2602" i="1"/>
  <c r="K2602" i="1"/>
  <c r="M2602" i="1"/>
  <c r="O2602" i="1"/>
  <c r="Q2602" i="1"/>
  <c r="R2602" i="1"/>
  <c r="W2602" i="1"/>
  <c r="AA2602" i="1"/>
  <c r="AM2602" i="1"/>
  <c r="AN2602" i="1"/>
  <c r="AO2602" i="1"/>
  <c r="AQ2602" i="1"/>
  <c r="BB2602" i="1"/>
  <c r="BD2602" i="1"/>
  <c r="B2603" i="1"/>
  <c r="E2603" i="1"/>
  <c r="F2603" i="1"/>
  <c r="G2603" i="1"/>
  <c r="H2603" i="1"/>
  <c r="I2603" i="1"/>
  <c r="J2603" i="1"/>
  <c r="K2603" i="1"/>
  <c r="M2603" i="1"/>
  <c r="O2603" i="1"/>
  <c r="Q2603" i="1"/>
  <c r="R2603" i="1"/>
  <c r="W2603" i="1"/>
  <c r="AA2603" i="1"/>
  <c r="AM2603" i="1"/>
  <c r="AN2603" i="1"/>
  <c r="AO2603" i="1"/>
  <c r="AQ2603" i="1"/>
  <c r="BB2603" i="1"/>
  <c r="BD2603" i="1"/>
  <c r="B2604" i="1"/>
  <c r="E2604" i="1"/>
  <c r="F2604" i="1"/>
  <c r="G2604" i="1"/>
  <c r="H2604" i="1"/>
  <c r="I2604" i="1"/>
  <c r="J2604" i="1"/>
  <c r="K2604" i="1"/>
  <c r="M2604" i="1"/>
  <c r="O2604" i="1"/>
  <c r="Q2604" i="1"/>
  <c r="R2604" i="1"/>
  <c r="W2604" i="1"/>
  <c r="AA2604" i="1"/>
  <c r="AB2604" i="1"/>
  <c r="AM2604" i="1"/>
  <c r="AN2604" i="1"/>
  <c r="AO2604" i="1"/>
  <c r="AQ2604" i="1"/>
  <c r="AX2604" i="1"/>
  <c r="BD2604" i="1"/>
  <c r="B2605" i="1"/>
  <c r="E2605" i="1"/>
  <c r="F2605" i="1"/>
  <c r="G2605" i="1"/>
  <c r="H2605" i="1"/>
  <c r="I2605" i="1"/>
  <c r="J2605" i="1"/>
  <c r="K2605" i="1"/>
  <c r="M2605" i="1"/>
  <c r="O2605" i="1"/>
  <c r="Q2605" i="1"/>
  <c r="R2605" i="1"/>
  <c r="W2605" i="1"/>
  <c r="AA2605" i="1"/>
  <c r="AB2605" i="1"/>
  <c r="AM2605" i="1"/>
  <c r="AN2605" i="1"/>
  <c r="AO2605" i="1"/>
  <c r="AQ2605" i="1"/>
  <c r="AX2605" i="1"/>
  <c r="BD2605" i="1"/>
  <c r="B2606" i="1"/>
  <c r="C2606" i="1"/>
  <c r="E2606" i="1"/>
  <c r="F2606" i="1"/>
  <c r="G2606" i="1"/>
  <c r="H2606" i="1"/>
  <c r="I2606" i="1"/>
  <c r="J2606" i="1"/>
  <c r="K2606" i="1"/>
  <c r="M2606" i="1"/>
  <c r="O2606" i="1"/>
  <c r="Q2606" i="1"/>
  <c r="R2606" i="1"/>
  <c r="W2606" i="1"/>
  <c r="AA2606" i="1"/>
  <c r="AM2606" i="1"/>
  <c r="AN2606" i="1"/>
  <c r="AO2606" i="1"/>
  <c r="AQ2606" i="1"/>
  <c r="BB2606" i="1"/>
  <c r="BD2606" i="1"/>
  <c r="B2607" i="1"/>
  <c r="C2607" i="1"/>
  <c r="D2607" i="1"/>
  <c r="E2607" i="1"/>
  <c r="F2607" i="1"/>
  <c r="G2607" i="1"/>
  <c r="H2607" i="1"/>
  <c r="I2607" i="1"/>
  <c r="J2607" i="1"/>
  <c r="K2607" i="1"/>
  <c r="M2607" i="1"/>
  <c r="O2607" i="1"/>
  <c r="Q2607" i="1"/>
  <c r="R2607" i="1"/>
  <c r="W2607" i="1"/>
  <c r="AA2607" i="1"/>
  <c r="AB2607" i="1"/>
  <c r="AE2607" i="1"/>
  <c r="AF2607" i="1"/>
  <c r="AM2607" i="1"/>
  <c r="AN2607" i="1"/>
  <c r="AO2607" i="1"/>
  <c r="AQ2607" i="1"/>
  <c r="AX2607" i="1"/>
  <c r="BD2607" i="1"/>
  <c r="B2608" i="1"/>
  <c r="C2608" i="1"/>
  <c r="D2608" i="1"/>
  <c r="E2608" i="1"/>
  <c r="F2608" i="1"/>
  <c r="G2608" i="1"/>
  <c r="H2608" i="1"/>
  <c r="I2608" i="1"/>
  <c r="J2608" i="1"/>
  <c r="K2608" i="1"/>
  <c r="M2608" i="1"/>
  <c r="O2608" i="1"/>
  <c r="Q2608" i="1"/>
  <c r="R2608" i="1"/>
  <c r="W2608" i="1"/>
  <c r="AA2608" i="1"/>
  <c r="AB2608" i="1"/>
  <c r="AE2608" i="1"/>
  <c r="AF2608" i="1"/>
  <c r="AM2608" i="1"/>
  <c r="AN2608" i="1"/>
  <c r="AO2608" i="1"/>
  <c r="AQ2608" i="1"/>
  <c r="AX2608" i="1"/>
  <c r="BD2608" i="1"/>
  <c r="B2609" i="1"/>
  <c r="C2609" i="1"/>
  <c r="D2609" i="1"/>
  <c r="E2609" i="1"/>
  <c r="F2609" i="1"/>
  <c r="G2609" i="1"/>
  <c r="H2609" i="1"/>
  <c r="I2609" i="1"/>
  <c r="J2609" i="1"/>
  <c r="K2609" i="1"/>
  <c r="M2609" i="1"/>
  <c r="O2609" i="1"/>
  <c r="Q2609" i="1"/>
  <c r="R2609" i="1"/>
  <c r="W2609" i="1"/>
  <c r="AA2609" i="1"/>
  <c r="AB2609" i="1"/>
  <c r="AE2609" i="1"/>
  <c r="AF2609" i="1"/>
  <c r="AM2609" i="1"/>
  <c r="AN2609" i="1"/>
  <c r="AO2609" i="1"/>
  <c r="AQ2609" i="1"/>
  <c r="AX2609" i="1"/>
  <c r="BD2609" i="1"/>
  <c r="B2610" i="1"/>
  <c r="C2610" i="1"/>
  <c r="E2610" i="1"/>
  <c r="F2610" i="1"/>
  <c r="G2610" i="1"/>
  <c r="H2610" i="1"/>
  <c r="I2610" i="1"/>
  <c r="J2610" i="1"/>
  <c r="K2610" i="1"/>
  <c r="M2610" i="1"/>
  <c r="O2610" i="1"/>
  <c r="Q2610" i="1"/>
  <c r="R2610" i="1"/>
  <c r="W2610" i="1"/>
  <c r="AA2610" i="1"/>
  <c r="AM2610" i="1"/>
  <c r="AN2610" i="1"/>
  <c r="AO2610" i="1"/>
  <c r="AQ2610" i="1"/>
  <c r="BB2610" i="1"/>
  <c r="BD2610" i="1"/>
  <c r="B2611" i="1"/>
  <c r="C2611" i="1"/>
  <c r="E2611" i="1"/>
  <c r="F2611" i="1"/>
  <c r="G2611" i="1"/>
  <c r="H2611" i="1"/>
  <c r="I2611" i="1"/>
  <c r="J2611" i="1"/>
  <c r="K2611" i="1"/>
  <c r="M2611" i="1"/>
  <c r="O2611" i="1"/>
  <c r="Q2611" i="1"/>
  <c r="R2611" i="1"/>
  <c r="W2611" i="1"/>
  <c r="AA2611" i="1"/>
  <c r="AM2611" i="1"/>
  <c r="AN2611" i="1"/>
  <c r="AO2611" i="1"/>
  <c r="AQ2611" i="1"/>
  <c r="BB2611" i="1"/>
  <c r="BD2611" i="1"/>
  <c r="B2612" i="1"/>
  <c r="C2612" i="1"/>
  <c r="E2612" i="1"/>
  <c r="F2612" i="1"/>
  <c r="G2612" i="1"/>
  <c r="H2612" i="1"/>
  <c r="I2612" i="1"/>
  <c r="J2612" i="1"/>
  <c r="K2612" i="1"/>
  <c r="M2612" i="1"/>
  <c r="O2612" i="1"/>
  <c r="Q2612" i="1"/>
  <c r="R2612" i="1"/>
  <c r="W2612" i="1"/>
  <c r="AA2612" i="1"/>
  <c r="AM2612" i="1"/>
  <c r="AN2612" i="1"/>
  <c r="AO2612" i="1"/>
  <c r="AQ2612" i="1"/>
  <c r="BB2612" i="1"/>
  <c r="BD2612" i="1"/>
  <c r="B2613" i="1"/>
  <c r="C2613" i="1"/>
  <c r="E2613" i="1"/>
  <c r="F2613" i="1"/>
  <c r="G2613" i="1"/>
  <c r="H2613" i="1"/>
  <c r="I2613" i="1"/>
  <c r="J2613" i="1"/>
  <c r="K2613" i="1"/>
  <c r="M2613" i="1"/>
  <c r="O2613" i="1"/>
  <c r="Q2613" i="1"/>
  <c r="R2613" i="1"/>
  <c r="W2613" i="1"/>
  <c r="AA2613" i="1"/>
  <c r="AB2613" i="1"/>
  <c r="AE2613" i="1"/>
  <c r="AF2613" i="1"/>
  <c r="AM2613" i="1"/>
  <c r="AN2613" i="1"/>
  <c r="AO2613" i="1"/>
  <c r="AQ2613" i="1"/>
  <c r="AX2613" i="1"/>
  <c r="BD2613" i="1"/>
  <c r="B2614" i="1"/>
  <c r="C2614" i="1"/>
  <c r="E2614" i="1"/>
  <c r="F2614" i="1"/>
  <c r="G2614" i="1"/>
  <c r="H2614" i="1"/>
  <c r="I2614" i="1"/>
  <c r="J2614" i="1"/>
  <c r="K2614" i="1"/>
  <c r="M2614" i="1"/>
  <c r="O2614" i="1"/>
  <c r="Q2614" i="1"/>
  <c r="R2614" i="1"/>
  <c r="W2614" i="1"/>
  <c r="AA2614" i="1"/>
  <c r="AB2614" i="1"/>
  <c r="AE2614" i="1"/>
  <c r="AF2614" i="1"/>
  <c r="AM2614" i="1"/>
  <c r="AN2614" i="1"/>
  <c r="AO2614" i="1"/>
  <c r="AQ2614" i="1"/>
  <c r="AX2614" i="1"/>
  <c r="BD2614" i="1"/>
  <c r="B2615" i="1"/>
  <c r="C2615" i="1"/>
  <c r="E2615" i="1"/>
  <c r="F2615" i="1"/>
  <c r="G2615" i="1"/>
  <c r="H2615" i="1"/>
  <c r="I2615" i="1"/>
  <c r="J2615" i="1"/>
  <c r="K2615" i="1"/>
  <c r="M2615" i="1"/>
  <c r="O2615" i="1"/>
  <c r="Q2615" i="1"/>
  <c r="R2615" i="1"/>
  <c r="W2615" i="1"/>
  <c r="AA2615" i="1"/>
  <c r="AB2615" i="1"/>
  <c r="AE2615" i="1"/>
  <c r="AF2615" i="1"/>
  <c r="AM2615" i="1"/>
  <c r="AN2615" i="1"/>
  <c r="AO2615" i="1"/>
  <c r="AQ2615" i="1"/>
  <c r="AX2615" i="1"/>
  <c r="BD2615" i="1"/>
  <c r="B2616" i="1"/>
  <c r="C2616" i="1"/>
  <c r="E2616" i="1"/>
  <c r="F2616" i="1"/>
  <c r="G2616" i="1"/>
  <c r="H2616" i="1"/>
  <c r="I2616" i="1"/>
  <c r="J2616" i="1"/>
  <c r="K2616" i="1"/>
  <c r="M2616" i="1"/>
  <c r="O2616" i="1"/>
  <c r="Q2616" i="1"/>
  <c r="R2616" i="1"/>
  <c r="W2616" i="1"/>
  <c r="AA2616" i="1"/>
  <c r="AB2616" i="1"/>
  <c r="AE2616" i="1"/>
  <c r="AF2616" i="1"/>
  <c r="AM2616" i="1"/>
  <c r="AN2616" i="1"/>
  <c r="AO2616" i="1"/>
  <c r="AQ2616" i="1"/>
  <c r="AX2616" i="1"/>
  <c r="BD2616" i="1"/>
  <c r="B2617" i="1"/>
  <c r="C2617" i="1"/>
  <c r="E2617" i="1"/>
  <c r="F2617" i="1"/>
  <c r="G2617" i="1"/>
  <c r="H2617" i="1"/>
  <c r="I2617" i="1"/>
  <c r="J2617" i="1"/>
  <c r="K2617" i="1"/>
  <c r="M2617" i="1"/>
  <c r="O2617" i="1"/>
  <c r="Q2617" i="1"/>
  <c r="R2617" i="1"/>
  <c r="W2617" i="1"/>
  <c r="AA2617" i="1"/>
  <c r="AM2617" i="1"/>
  <c r="AN2617" i="1"/>
  <c r="AO2617" i="1"/>
  <c r="AQ2617" i="1"/>
  <c r="BB2617" i="1"/>
  <c r="BD2617" i="1"/>
  <c r="B2618" i="1"/>
  <c r="C2618" i="1"/>
  <c r="E2618" i="1"/>
  <c r="F2618" i="1"/>
  <c r="G2618" i="1"/>
  <c r="H2618" i="1"/>
  <c r="I2618" i="1"/>
  <c r="J2618" i="1"/>
  <c r="K2618" i="1"/>
  <c r="M2618" i="1"/>
  <c r="O2618" i="1"/>
  <c r="Q2618" i="1"/>
  <c r="R2618" i="1"/>
  <c r="W2618" i="1"/>
  <c r="AA2618" i="1"/>
  <c r="AM2618" i="1"/>
  <c r="AN2618" i="1"/>
  <c r="AO2618" i="1"/>
  <c r="AQ2618" i="1"/>
  <c r="BB2618" i="1"/>
  <c r="BD2618" i="1"/>
  <c r="B2619" i="1"/>
  <c r="C2619" i="1"/>
  <c r="E2619" i="1"/>
  <c r="F2619" i="1"/>
  <c r="G2619" i="1"/>
  <c r="H2619" i="1"/>
  <c r="I2619" i="1"/>
  <c r="J2619" i="1"/>
  <c r="K2619" i="1"/>
  <c r="M2619" i="1"/>
  <c r="O2619" i="1"/>
  <c r="Q2619" i="1"/>
  <c r="R2619" i="1"/>
  <c r="W2619" i="1"/>
  <c r="AA2619" i="1"/>
  <c r="AM2619" i="1"/>
  <c r="AN2619" i="1"/>
  <c r="AO2619" i="1"/>
  <c r="AQ2619" i="1"/>
  <c r="BB2619" i="1"/>
  <c r="BD2619" i="1"/>
  <c r="B2620" i="1"/>
  <c r="C2620" i="1"/>
  <c r="E2620" i="1"/>
  <c r="F2620" i="1"/>
  <c r="G2620" i="1"/>
  <c r="H2620" i="1"/>
  <c r="I2620" i="1"/>
  <c r="J2620" i="1"/>
  <c r="K2620" i="1"/>
  <c r="M2620" i="1"/>
  <c r="O2620" i="1"/>
  <c r="Q2620" i="1"/>
  <c r="R2620" i="1"/>
  <c r="W2620" i="1"/>
  <c r="AA2620" i="1"/>
  <c r="AB2620" i="1"/>
  <c r="AE2620" i="1"/>
  <c r="AF2620" i="1"/>
  <c r="AM2620" i="1"/>
  <c r="AN2620" i="1"/>
  <c r="AO2620" i="1"/>
  <c r="AQ2620" i="1"/>
  <c r="AX2620" i="1"/>
  <c r="BD2620" i="1"/>
  <c r="B2621" i="1"/>
  <c r="C2621" i="1"/>
  <c r="E2621" i="1"/>
  <c r="F2621" i="1"/>
  <c r="G2621" i="1"/>
  <c r="H2621" i="1"/>
  <c r="I2621" i="1"/>
  <c r="J2621" i="1"/>
  <c r="K2621" i="1"/>
  <c r="M2621" i="1"/>
  <c r="O2621" i="1"/>
  <c r="Q2621" i="1"/>
  <c r="R2621" i="1"/>
  <c r="W2621" i="1"/>
  <c r="AA2621" i="1"/>
  <c r="AB2621" i="1"/>
  <c r="AE2621" i="1"/>
  <c r="AF2621" i="1"/>
  <c r="AM2621" i="1"/>
  <c r="AN2621" i="1"/>
  <c r="AO2621" i="1"/>
  <c r="AQ2621" i="1"/>
  <c r="AX2621" i="1"/>
  <c r="BD2621" i="1"/>
  <c r="B2622" i="1"/>
  <c r="C2622" i="1"/>
  <c r="D2622" i="1"/>
  <c r="E2622" i="1"/>
  <c r="F2622" i="1"/>
  <c r="G2622" i="1"/>
  <c r="H2622" i="1"/>
  <c r="I2622" i="1"/>
  <c r="J2622" i="1"/>
  <c r="K2622" i="1"/>
  <c r="M2622" i="1"/>
  <c r="O2622" i="1"/>
  <c r="Q2622" i="1"/>
  <c r="R2622" i="1"/>
  <c r="W2622" i="1"/>
  <c r="AA2622" i="1"/>
  <c r="AB2622" i="1"/>
  <c r="AE2622" i="1"/>
  <c r="AF2622" i="1"/>
  <c r="AM2622" i="1"/>
  <c r="AN2622" i="1"/>
  <c r="AO2622" i="1"/>
  <c r="AQ2622" i="1"/>
  <c r="AX2622" i="1"/>
  <c r="BD2622" i="1"/>
  <c r="B2623" i="1"/>
  <c r="C2623" i="1"/>
  <c r="E2623" i="1"/>
  <c r="F2623" i="1"/>
  <c r="G2623" i="1"/>
  <c r="H2623" i="1"/>
  <c r="I2623" i="1"/>
  <c r="J2623" i="1"/>
  <c r="K2623" i="1"/>
  <c r="M2623" i="1"/>
  <c r="O2623" i="1"/>
  <c r="Q2623" i="1"/>
  <c r="R2623" i="1"/>
  <c r="W2623" i="1"/>
  <c r="AA2623" i="1"/>
  <c r="AB2623" i="1"/>
  <c r="AE2623" i="1"/>
  <c r="AF2623" i="1"/>
  <c r="AM2623" i="1"/>
  <c r="AN2623" i="1"/>
  <c r="AO2623" i="1"/>
  <c r="AQ2623" i="1"/>
  <c r="AX2623" i="1"/>
  <c r="BD2623" i="1"/>
  <c r="B2624" i="1"/>
  <c r="C2624" i="1"/>
  <c r="E2624" i="1"/>
  <c r="F2624" i="1"/>
  <c r="G2624" i="1"/>
  <c r="H2624" i="1"/>
  <c r="I2624" i="1"/>
  <c r="J2624" i="1"/>
  <c r="K2624" i="1"/>
  <c r="M2624" i="1"/>
  <c r="O2624" i="1"/>
  <c r="Q2624" i="1"/>
  <c r="R2624" i="1"/>
  <c r="W2624" i="1"/>
  <c r="AA2624" i="1"/>
  <c r="AB2624" i="1"/>
  <c r="AE2624" i="1"/>
  <c r="AF2624" i="1"/>
  <c r="AM2624" i="1"/>
  <c r="AN2624" i="1"/>
  <c r="AO2624" i="1"/>
  <c r="AQ2624" i="1"/>
  <c r="AX2624" i="1"/>
  <c r="BD2624" i="1"/>
  <c r="B2625" i="1"/>
  <c r="C2625" i="1"/>
  <c r="E2625" i="1"/>
  <c r="F2625" i="1"/>
  <c r="G2625" i="1"/>
  <c r="H2625" i="1"/>
  <c r="I2625" i="1"/>
  <c r="J2625" i="1"/>
  <c r="K2625" i="1"/>
  <c r="M2625" i="1"/>
  <c r="O2625" i="1"/>
  <c r="Q2625" i="1"/>
  <c r="R2625" i="1"/>
  <c r="W2625" i="1"/>
  <c r="AA2625" i="1"/>
  <c r="AB2625" i="1"/>
  <c r="AE2625" i="1"/>
  <c r="AF2625" i="1"/>
  <c r="AM2625" i="1"/>
  <c r="AN2625" i="1"/>
  <c r="AO2625" i="1"/>
  <c r="AQ2625" i="1"/>
  <c r="AX2625" i="1"/>
  <c r="BD2625" i="1"/>
  <c r="B2626" i="1"/>
  <c r="C2626" i="1"/>
  <c r="E2626" i="1"/>
  <c r="F2626" i="1"/>
  <c r="G2626" i="1"/>
  <c r="H2626" i="1"/>
  <c r="I2626" i="1"/>
  <c r="J2626" i="1"/>
  <c r="K2626" i="1"/>
  <c r="M2626" i="1"/>
  <c r="O2626" i="1"/>
  <c r="Q2626" i="1"/>
  <c r="R2626" i="1"/>
  <c r="W2626" i="1"/>
  <c r="AA2626" i="1"/>
  <c r="AB2626" i="1"/>
  <c r="AE2626" i="1"/>
  <c r="AF2626" i="1"/>
  <c r="AM2626" i="1"/>
  <c r="AN2626" i="1"/>
  <c r="AO2626" i="1"/>
  <c r="AQ2626" i="1"/>
  <c r="AX2626" i="1"/>
  <c r="BD2626" i="1"/>
  <c r="B2627" i="1"/>
  <c r="C2627" i="1"/>
  <c r="E2627" i="1"/>
  <c r="F2627" i="1"/>
  <c r="G2627" i="1"/>
  <c r="H2627" i="1"/>
  <c r="I2627" i="1"/>
  <c r="J2627" i="1"/>
  <c r="K2627" i="1"/>
  <c r="M2627" i="1"/>
  <c r="O2627" i="1"/>
  <c r="Q2627" i="1"/>
  <c r="R2627" i="1"/>
  <c r="W2627" i="1"/>
  <c r="AA2627" i="1"/>
  <c r="AB2627" i="1"/>
  <c r="AE2627" i="1"/>
  <c r="AF2627" i="1"/>
  <c r="AM2627" i="1"/>
  <c r="AN2627" i="1"/>
  <c r="AO2627" i="1"/>
  <c r="AQ2627" i="1"/>
  <c r="AX2627" i="1"/>
  <c r="BD2627" i="1"/>
  <c r="B2628" i="1"/>
  <c r="C2628" i="1"/>
  <c r="E2628" i="1"/>
  <c r="F2628" i="1"/>
  <c r="G2628" i="1"/>
  <c r="H2628" i="1"/>
  <c r="I2628" i="1"/>
  <c r="J2628" i="1"/>
  <c r="K2628" i="1"/>
  <c r="M2628" i="1"/>
  <c r="O2628" i="1"/>
  <c r="Q2628" i="1"/>
  <c r="R2628" i="1"/>
  <c r="W2628" i="1"/>
  <c r="AA2628" i="1"/>
  <c r="AB2628" i="1"/>
  <c r="AE2628" i="1"/>
  <c r="AF2628" i="1"/>
  <c r="AM2628" i="1"/>
  <c r="AN2628" i="1"/>
  <c r="AO2628" i="1"/>
  <c r="AQ2628" i="1"/>
  <c r="AX2628" i="1"/>
  <c r="BD2628" i="1"/>
  <c r="B2629" i="1"/>
  <c r="C2629" i="1"/>
  <c r="E2629" i="1"/>
  <c r="F2629" i="1"/>
  <c r="G2629" i="1"/>
  <c r="H2629" i="1"/>
  <c r="I2629" i="1"/>
  <c r="J2629" i="1"/>
  <c r="K2629" i="1"/>
  <c r="M2629" i="1"/>
  <c r="O2629" i="1"/>
  <c r="Q2629" i="1"/>
  <c r="R2629" i="1"/>
  <c r="W2629" i="1"/>
  <c r="AA2629" i="1"/>
  <c r="AM2629" i="1"/>
  <c r="AN2629" i="1"/>
  <c r="AO2629" i="1"/>
  <c r="AQ2629" i="1"/>
  <c r="BB2629" i="1"/>
  <c r="BD2629" i="1"/>
  <c r="B2630" i="1"/>
  <c r="C2630" i="1"/>
  <c r="E2630" i="1"/>
  <c r="F2630" i="1"/>
  <c r="G2630" i="1"/>
  <c r="H2630" i="1"/>
  <c r="I2630" i="1"/>
  <c r="J2630" i="1"/>
  <c r="K2630" i="1"/>
  <c r="M2630" i="1"/>
  <c r="O2630" i="1"/>
  <c r="Q2630" i="1"/>
  <c r="R2630" i="1"/>
  <c r="W2630" i="1"/>
  <c r="AA2630" i="1"/>
  <c r="AM2630" i="1"/>
  <c r="AN2630" i="1"/>
  <c r="AO2630" i="1"/>
  <c r="AQ2630" i="1"/>
  <c r="BB2630" i="1"/>
  <c r="BD2630" i="1"/>
  <c r="B2631" i="1"/>
  <c r="C2631" i="1"/>
  <c r="D2631" i="1"/>
  <c r="E2631" i="1"/>
  <c r="F2631" i="1"/>
  <c r="G2631" i="1"/>
  <c r="H2631" i="1"/>
  <c r="I2631" i="1"/>
  <c r="J2631" i="1"/>
  <c r="K2631" i="1"/>
  <c r="M2631" i="1"/>
  <c r="O2631" i="1"/>
  <c r="Q2631" i="1"/>
  <c r="R2631" i="1"/>
  <c r="W2631" i="1"/>
  <c r="AA2631" i="1"/>
  <c r="AB2631" i="1"/>
  <c r="AE2631" i="1"/>
  <c r="AF2631" i="1"/>
  <c r="AM2631" i="1"/>
  <c r="AN2631" i="1"/>
  <c r="AO2631" i="1"/>
  <c r="AQ2631" i="1"/>
  <c r="AX2631" i="1"/>
  <c r="BD2631" i="1"/>
  <c r="B2632" i="1"/>
  <c r="C2632" i="1"/>
  <c r="D2632" i="1"/>
  <c r="E2632" i="1"/>
  <c r="F2632" i="1"/>
  <c r="G2632" i="1"/>
  <c r="H2632" i="1"/>
  <c r="I2632" i="1"/>
  <c r="J2632" i="1"/>
  <c r="K2632" i="1"/>
  <c r="M2632" i="1"/>
  <c r="O2632" i="1"/>
  <c r="Q2632" i="1"/>
  <c r="R2632" i="1"/>
  <c r="W2632" i="1"/>
  <c r="AA2632" i="1"/>
  <c r="AB2632" i="1"/>
  <c r="AE2632" i="1"/>
  <c r="AF2632" i="1"/>
  <c r="AM2632" i="1"/>
  <c r="AN2632" i="1"/>
  <c r="AO2632" i="1"/>
  <c r="AQ2632" i="1"/>
  <c r="AX2632" i="1"/>
  <c r="BD2632" i="1"/>
  <c r="B2633" i="1"/>
  <c r="C2633" i="1"/>
  <c r="E2633" i="1"/>
  <c r="F2633" i="1"/>
  <c r="G2633" i="1"/>
  <c r="H2633" i="1"/>
  <c r="I2633" i="1"/>
  <c r="J2633" i="1"/>
  <c r="K2633" i="1"/>
  <c r="M2633" i="1"/>
  <c r="O2633" i="1"/>
  <c r="Q2633" i="1"/>
  <c r="R2633" i="1"/>
  <c r="W2633" i="1"/>
  <c r="AA2633" i="1"/>
  <c r="AB2633" i="1"/>
  <c r="AE2633" i="1"/>
  <c r="AF2633" i="1"/>
  <c r="AM2633" i="1"/>
  <c r="AN2633" i="1"/>
  <c r="AO2633" i="1"/>
  <c r="AQ2633" i="1"/>
  <c r="AX2633" i="1"/>
  <c r="BD2633" i="1"/>
  <c r="B2634" i="1"/>
  <c r="C2634" i="1"/>
  <c r="D2634" i="1"/>
  <c r="E2634" i="1"/>
  <c r="F2634" i="1"/>
  <c r="G2634" i="1"/>
  <c r="H2634" i="1"/>
  <c r="I2634" i="1"/>
  <c r="J2634" i="1"/>
  <c r="K2634" i="1"/>
  <c r="M2634" i="1"/>
  <c r="O2634" i="1"/>
  <c r="Q2634" i="1"/>
  <c r="R2634" i="1"/>
  <c r="W2634" i="1"/>
  <c r="AA2634" i="1"/>
  <c r="AB2634" i="1"/>
  <c r="AE2634" i="1"/>
  <c r="AF2634" i="1"/>
  <c r="AM2634" i="1"/>
  <c r="AN2634" i="1"/>
  <c r="AO2634" i="1"/>
  <c r="AQ2634" i="1"/>
  <c r="AX2634" i="1"/>
  <c r="BD2634" i="1"/>
  <c r="B2635" i="1"/>
  <c r="C2635" i="1"/>
  <c r="E2635" i="1"/>
  <c r="F2635" i="1"/>
  <c r="G2635" i="1"/>
  <c r="H2635" i="1"/>
  <c r="I2635" i="1"/>
  <c r="J2635" i="1"/>
  <c r="K2635" i="1"/>
  <c r="M2635" i="1"/>
  <c r="O2635" i="1"/>
  <c r="Q2635" i="1"/>
  <c r="R2635" i="1"/>
  <c r="W2635" i="1"/>
  <c r="AA2635" i="1"/>
  <c r="AB2635" i="1"/>
  <c r="AE2635" i="1"/>
  <c r="AF2635" i="1"/>
  <c r="AM2635" i="1"/>
  <c r="AN2635" i="1"/>
  <c r="AO2635" i="1"/>
  <c r="AQ2635" i="1"/>
  <c r="AX2635" i="1"/>
  <c r="BD2635" i="1"/>
  <c r="B2636" i="1"/>
  <c r="C2636" i="1"/>
  <c r="E2636" i="1"/>
  <c r="F2636" i="1"/>
  <c r="G2636" i="1"/>
  <c r="H2636" i="1"/>
  <c r="I2636" i="1"/>
  <c r="J2636" i="1"/>
  <c r="K2636" i="1"/>
  <c r="M2636" i="1"/>
  <c r="O2636" i="1"/>
  <c r="Q2636" i="1"/>
  <c r="R2636" i="1"/>
  <c r="W2636" i="1"/>
  <c r="AA2636" i="1"/>
  <c r="AB2636" i="1"/>
  <c r="AE2636" i="1"/>
  <c r="AF2636" i="1"/>
  <c r="AM2636" i="1"/>
  <c r="AN2636" i="1"/>
  <c r="AO2636" i="1"/>
  <c r="AQ2636" i="1"/>
  <c r="AX2636" i="1"/>
  <c r="BD2636" i="1"/>
  <c r="B2637" i="1"/>
  <c r="C2637" i="1"/>
  <c r="E2637" i="1"/>
  <c r="F2637" i="1"/>
  <c r="G2637" i="1"/>
  <c r="H2637" i="1"/>
  <c r="I2637" i="1"/>
  <c r="J2637" i="1"/>
  <c r="K2637" i="1"/>
  <c r="M2637" i="1"/>
  <c r="O2637" i="1"/>
  <c r="Q2637" i="1"/>
  <c r="R2637" i="1"/>
  <c r="W2637" i="1"/>
  <c r="AA2637" i="1"/>
  <c r="AB2637" i="1"/>
  <c r="AE2637" i="1"/>
  <c r="AF2637" i="1"/>
  <c r="AM2637" i="1"/>
  <c r="AN2637" i="1"/>
  <c r="AO2637" i="1"/>
  <c r="AQ2637" i="1"/>
  <c r="AX2637" i="1"/>
  <c r="BD2637" i="1"/>
  <c r="B2638" i="1"/>
  <c r="C2638" i="1"/>
  <c r="D2638" i="1"/>
  <c r="E2638" i="1"/>
  <c r="F2638" i="1"/>
  <c r="G2638" i="1"/>
  <c r="H2638" i="1"/>
  <c r="I2638" i="1"/>
  <c r="J2638" i="1"/>
  <c r="K2638" i="1"/>
  <c r="M2638" i="1"/>
  <c r="O2638" i="1"/>
  <c r="Q2638" i="1"/>
  <c r="R2638" i="1"/>
  <c r="W2638" i="1"/>
  <c r="AA2638" i="1"/>
  <c r="AB2638" i="1"/>
  <c r="AE2638" i="1"/>
  <c r="AF2638" i="1"/>
  <c r="AM2638" i="1"/>
  <c r="AN2638" i="1"/>
  <c r="AO2638" i="1"/>
  <c r="AQ2638" i="1"/>
  <c r="AX2638" i="1"/>
  <c r="BD2638" i="1"/>
  <c r="B2639" i="1"/>
  <c r="C2639" i="1"/>
  <c r="D2639" i="1"/>
  <c r="E2639" i="1"/>
  <c r="F2639" i="1"/>
  <c r="G2639" i="1"/>
  <c r="H2639" i="1"/>
  <c r="I2639" i="1"/>
  <c r="J2639" i="1"/>
  <c r="K2639" i="1"/>
  <c r="M2639" i="1"/>
  <c r="O2639" i="1"/>
  <c r="Q2639" i="1"/>
  <c r="R2639" i="1"/>
  <c r="W2639" i="1"/>
  <c r="AA2639" i="1"/>
  <c r="AB2639" i="1"/>
  <c r="AE2639" i="1"/>
  <c r="AF2639" i="1"/>
  <c r="AM2639" i="1"/>
  <c r="AN2639" i="1"/>
  <c r="AO2639" i="1"/>
  <c r="AQ2639" i="1"/>
  <c r="AX2639" i="1"/>
  <c r="BD2639" i="1"/>
  <c r="B2640" i="1"/>
  <c r="C2640" i="1"/>
  <c r="D2640" i="1"/>
  <c r="E2640" i="1"/>
  <c r="F2640" i="1"/>
  <c r="G2640" i="1"/>
  <c r="H2640" i="1"/>
  <c r="I2640" i="1"/>
  <c r="J2640" i="1"/>
  <c r="K2640" i="1"/>
  <c r="M2640" i="1"/>
  <c r="O2640" i="1"/>
  <c r="Q2640" i="1"/>
  <c r="R2640" i="1"/>
  <c r="W2640" i="1"/>
  <c r="AA2640" i="1"/>
  <c r="AB2640" i="1"/>
  <c r="AM2640" i="1"/>
  <c r="AN2640" i="1"/>
  <c r="AO2640" i="1"/>
  <c r="AQ2640" i="1"/>
  <c r="AX2640" i="1"/>
  <c r="BD2640" i="1"/>
  <c r="B2641" i="1"/>
  <c r="C2641" i="1"/>
  <c r="D2641" i="1"/>
  <c r="E2641" i="1"/>
  <c r="F2641" i="1"/>
  <c r="G2641" i="1"/>
  <c r="H2641" i="1"/>
  <c r="I2641" i="1"/>
  <c r="J2641" i="1"/>
  <c r="K2641" i="1"/>
  <c r="M2641" i="1"/>
  <c r="O2641" i="1"/>
  <c r="Q2641" i="1"/>
  <c r="R2641" i="1"/>
  <c r="W2641" i="1"/>
  <c r="AA2641" i="1"/>
  <c r="AB2641" i="1"/>
  <c r="AM2641" i="1"/>
  <c r="AN2641" i="1"/>
  <c r="AO2641" i="1"/>
  <c r="AQ2641" i="1"/>
  <c r="AX2641" i="1"/>
  <c r="BD2641" i="1"/>
  <c r="B2642" i="1"/>
  <c r="E2642" i="1"/>
  <c r="F2642" i="1"/>
  <c r="G2642" i="1"/>
  <c r="H2642" i="1"/>
  <c r="I2642" i="1"/>
  <c r="J2642" i="1"/>
  <c r="K2642" i="1"/>
  <c r="M2642" i="1"/>
  <c r="O2642" i="1"/>
  <c r="Q2642" i="1"/>
  <c r="R2642" i="1"/>
  <c r="W2642" i="1"/>
  <c r="AA2642" i="1"/>
  <c r="AB2642" i="1"/>
  <c r="AM2642" i="1"/>
  <c r="AN2642" i="1"/>
  <c r="AO2642" i="1"/>
  <c r="AQ2642" i="1"/>
  <c r="AX2642" i="1"/>
  <c r="BD2642" i="1"/>
  <c r="B2643" i="1"/>
  <c r="C2643" i="1"/>
  <c r="D2643" i="1"/>
  <c r="E2643" i="1"/>
  <c r="F2643" i="1"/>
  <c r="G2643" i="1"/>
  <c r="H2643" i="1"/>
  <c r="I2643" i="1"/>
  <c r="J2643" i="1"/>
  <c r="K2643" i="1"/>
  <c r="M2643" i="1"/>
  <c r="O2643" i="1"/>
  <c r="Q2643" i="1"/>
  <c r="R2643" i="1"/>
  <c r="W2643" i="1"/>
  <c r="AA2643" i="1"/>
  <c r="AB2643" i="1"/>
  <c r="AM2643" i="1"/>
  <c r="AN2643" i="1"/>
  <c r="AO2643" i="1"/>
  <c r="AQ2643" i="1"/>
  <c r="AX2643" i="1"/>
  <c r="BD2643" i="1"/>
  <c r="B2644" i="1"/>
  <c r="E2644" i="1"/>
  <c r="F2644" i="1"/>
  <c r="G2644" i="1"/>
  <c r="H2644" i="1"/>
  <c r="I2644" i="1"/>
  <c r="J2644" i="1"/>
  <c r="K2644" i="1"/>
  <c r="M2644" i="1"/>
  <c r="O2644" i="1"/>
  <c r="Q2644" i="1"/>
  <c r="R2644" i="1"/>
  <c r="W2644" i="1"/>
  <c r="AA2644" i="1"/>
  <c r="AB2644" i="1"/>
  <c r="AM2644" i="1"/>
  <c r="AN2644" i="1"/>
  <c r="AO2644" i="1"/>
  <c r="AQ2644" i="1"/>
  <c r="AX2644" i="1"/>
  <c r="BD2644" i="1"/>
  <c r="B2645" i="1"/>
  <c r="C2645" i="1"/>
  <c r="D2645" i="1"/>
  <c r="E2645" i="1"/>
  <c r="F2645" i="1"/>
  <c r="G2645" i="1"/>
  <c r="H2645" i="1"/>
  <c r="I2645" i="1"/>
  <c r="J2645" i="1"/>
  <c r="K2645" i="1"/>
  <c r="M2645" i="1"/>
  <c r="O2645" i="1"/>
  <c r="Q2645" i="1"/>
  <c r="R2645" i="1"/>
  <c r="W2645" i="1"/>
  <c r="AA2645" i="1"/>
  <c r="AB2645" i="1"/>
  <c r="AM2645" i="1"/>
  <c r="AN2645" i="1"/>
  <c r="AO2645" i="1"/>
  <c r="AQ2645" i="1"/>
  <c r="AX2645" i="1"/>
  <c r="BD2645" i="1"/>
  <c r="B2646" i="1"/>
  <c r="C2646" i="1"/>
  <c r="D2646" i="1"/>
  <c r="E2646" i="1"/>
  <c r="F2646" i="1"/>
  <c r="G2646" i="1"/>
  <c r="H2646" i="1"/>
  <c r="I2646" i="1"/>
  <c r="J2646" i="1"/>
  <c r="K2646" i="1"/>
  <c r="M2646" i="1"/>
  <c r="O2646" i="1"/>
  <c r="Q2646" i="1"/>
  <c r="R2646" i="1"/>
  <c r="W2646" i="1"/>
  <c r="AA2646" i="1"/>
  <c r="AB2646" i="1"/>
  <c r="AM2646" i="1"/>
  <c r="AN2646" i="1"/>
  <c r="AO2646" i="1"/>
  <c r="AQ2646" i="1"/>
  <c r="AX2646" i="1"/>
  <c r="BD2646" i="1"/>
  <c r="B2647" i="1"/>
  <c r="C2647" i="1"/>
  <c r="D2647" i="1"/>
  <c r="E2647" i="1"/>
  <c r="F2647" i="1"/>
  <c r="G2647" i="1"/>
  <c r="H2647" i="1"/>
  <c r="I2647" i="1"/>
  <c r="J2647" i="1"/>
  <c r="K2647" i="1"/>
  <c r="M2647" i="1"/>
  <c r="O2647" i="1"/>
  <c r="Q2647" i="1"/>
  <c r="R2647" i="1"/>
  <c r="W2647" i="1"/>
  <c r="AA2647" i="1"/>
  <c r="AB2647" i="1"/>
  <c r="AM2647" i="1"/>
  <c r="AN2647" i="1"/>
  <c r="AO2647" i="1"/>
  <c r="AQ2647" i="1"/>
  <c r="AX2647" i="1"/>
  <c r="BD2647" i="1"/>
  <c r="B2648" i="1"/>
  <c r="C2648" i="1"/>
  <c r="D2648" i="1"/>
  <c r="E2648" i="1"/>
  <c r="F2648" i="1"/>
  <c r="G2648" i="1"/>
  <c r="H2648" i="1"/>
  <c r="I2648" i="1"/>
  <c r="J2648" i="1"/>
  <c r="K2648" i="1"/>
  <c r="M2648" i="1"/>
  <c r="O2648" i="1"/>
  <c r="Q2648" i="1"/>
  <c r="R2648" i="1"/>
  <c r="W2648" i="1"/>
  <c r="AA2648" i="1"/>
  <c r="AB2648" i="1"/>
  <c r="AM2648" i="1"/>
  <c r="AN2648" i="1"/>
  <c r="AO2648" i="1"/>
  <c r="AQ2648" i="1"/>
  <c r="AX2648" i="1"/>
  <c r="BD2648" i="1"/>
  <c r="B2649" i="1"/>
  <c r="C2649" i="1"/>
  <c r="E2649" i="1"/>
  <c r="F2649" i="1"/>
  <c r="G2649" i="1"/>
  <c r="H2649" i="1"/>
  <c r="I2649" i="1"/>
  <c r="J2649" i="1"/>
  <c r="K2649" i="1"/>
  <c r="M2649" i="1"/>
  <c r="O2649" i="1"/>
  <c r="Q2649" i="1"/>
  <c r="R2649" i="1"/>
  <c r="W2649" i="1"/>
  <c r="AA2649" i="1"/>
  <c r="AM2649" i="1"/>
  <c r="AN2649" i="1"/>
  <c r="AO2649" i="1"/>
  <c r="AQ2649" i="1"/>
  <c r="BB2649" i="1"/>
  <c r="BD2649" i="1"/>
  <c r="B2650" i="1"/>
  <c r="C2650" i="1"/>
  <c r="E2650" i="1"/>
  <c r="F2650" i="1"/>
  <c r="G2650" i="1"/>
  <c r="H2650" i="1"/>
  <c r="I2650" i="1"/>
  <c r="J2650" i="1"/>
  <c r="K2650" i="1"/>
  <c r="M2650" i="1"/>
  <c r="O2650" i="1"/>
  <c r="Q2650" i="1"/>
  <c r="R2650" i="1"/>
  <c r="W2650" i="1"/>
  <c r="AA2650" i="1"/>
  <c r="AB2650" i="1"/>
  <c r="AE2650" i="1"/>
  <c r="AF2650" i="1"/>
  <c r="AM2650" i="1"/>
  <c r="AN2650" i="1"/>
  <c r="AO2650" i="1"/>
  <c r="AQ2650" i="1"/>
  <c r="AX2650" i="1"/>
  <c r="BD2650" i="1"/>
  <c r="B2651" i="1"/>
  <c r="C2651" i="1"/>
  <c r="D2651" i="1"/>
  <c r="E2651" i="1"/>
  <c r="F2651" i="1"/>
  <c r="G2651" i="1"/>
  <c r="H2651" i="1"/>
  <c r="I2651" i="1"/>
  <c r="J2651" i="1"/>
  <c r="K2651" i="1"/>
  <c r="M2651" i="1"/>
  <c r="O2651" i="1"/>
  <c r="Q2651" i="1"/>
  <c r="R2651" i="1"/>
  <c r="W2651" i="1"/>
  <c r="AA2651" i="1"/>
  <c r="AB2651" i="1"/>
  <c r="AE2651" i="1"/>
  <c r="AF2651" i="1"/>
  <c r="AM2651" i="1"/>
  <c r="AN2651" i="1"/>
  <c r="AO2651" i="1"/>
  <c r="AQ2651" i="1"/>
  <c r="AX2651" i="1"/>
  <c r="BD2651" i="1"/>
  <c r="B2652" i="1"/>
  <c r="C2652" i="1"/>
  <c r="D2652" i="1"/>
  <c r="E2652" i="1"/>
  <c r="F2652" i="1"/>
  <c r="G2652" i="1"/>
  <c r="H2652" i="1"/>
  <c r="I2652" i="1"/>
  <c r="J2652" i="1"/>
  <c r="K2652" i="1"/>
  <c r="M2652" i="1"/>
  <c r="O2652" i="1"/>
  <c r="Q2652" i="1"/>
  <c r="R2652" i="1"/>
  <c r="W2652" i="1"/>
  <c r="AA2652" i="1"/>
  <c r="AB2652" i="1"/>
  <c r="AE2652" i="1"/>
  <c r="AF2652" i="1"/>
  <c r="AM2652" i="1"/>
  <c r="AN2652" i="1"/>
  <c r="AO2652" i="1"/>
  <c r="AQ2652" i="1"/>
  <c r="AX2652" i="1"/>
  <c r="BD2652" i="1"/>
  <c r="B2653" i="1"/>
  <c r="C2653" i="1"/>
  <c r="D2653" i="1"/>
  <c r="E2653" i="1"/>
  <c r="F2653" i="1"/>
  <c r="G2653" i="1"/>
  <c r="H2653" i="1"/>
  <c r="I2653" i="1"/>
  <c r="J2653" i="1"/>
  <c r="K2653" i="1"/>
  <c r="M2653" i="1"/>
  <c r="O2653" i="1"/>
  <c r="Q2653" i="1"/>
  <c r="R2653" i="1"/>
  <c r="W2653" i="1"/>
  <c r="AA2653" i="1"/>
  <c r="AB2653" i="1"/>
  <c r="AE2653" i="1"/>
  <c r="AF2653" i="1"/>
  <c r="AM2653" i="1"/>
  <c r="AN2653" i="1"/>
  <c r="AO2653" i="1"/>
  <c r="AQ2653" i="1"/>
  <c r="AX2653" i="1"/>
  <c r="BD2653" i="1"/>
  <c r="B2654" i="1"/>
  <c r="C2654" i="1"/>
  <c r="D2654" i="1"/>
  <c r="E2654" i="1"/>
  <c r="F2654" i="1"/>
  <c r="G2654" i="1"/>
  <c r="H2654" i="1"/>
  <c r="I2654" i="1"/>
  <c r="J2654" i="1"/>
  <c r="K2654" i="1"/>
  <c r="M2654" i="1"/>
  <c r="O2654" i="1"/>
  <c r="Q2654" i="1"/>
  <c r="R2654" i="1"/>
  <c r="W2654" i="1"/>
  <c r="AA2654" i="1"/>
  <c r="AB2654" i="1"/>
  <c r="AE2654" i="1"/>
  <c r="AF2654" i="1"/>
  <c r="AM2654" i="1"/>
  <c r="AN2654" i="1"/>
  <c r="AO2654" i="1"/>
  <c r="AQ2654" i="1"/>
  <c r="AX2654" i="1"/>
  <c r="BD2654" i="1"/>
  <c r="B2655" i="1"/>
  <c r="C2655" i="1"/>
  <c r="D2655" i="1"/>
  <c r="E2655" i="1"/>
  <c r="F2655" i="1"/>
  <c r="G2655" i="1"/>
  <c r="H2655" i="1"/>
  <c r="I2655" i="1"/>
  <c r="J2655" i="1"/>
  <c r="K2655" i="1"/>
  <c r="M2655" i="1"/>
  <c r="O2655" i="1"/>
  <c r="Q2655" i="1"/>
  <c r="R2655" i="1"/>
  <c r="W2655" i="1"/>
  <c r="AA2655" i="1"/>
  <c r="AB2655" i="1"/>
  <c r="AE2655" i="1"/>
  <c r="AF2655" i="1"/>
  <c r="AM2655" i="1"/>
  <c r="AN2655" i="1"/>
  <c r="AO2655" i="1"/>
  <c r="AQ2655" i="1"/>
  <c r="AX2655" i="1"/>
  <c r="BD2655" i="1"/>
  <c r="B2656" i="1"/>
  <c r="C2656" i="1"/>
  <c r="D2656" i="1"/>
  <c r="E2656" i="1"/>
  <c r="F2656" i="1"/>
  <c r="G2656" i="1"/>
  <c r="H2656" i="1"/>
  <c r="I2656" i="1"/>
  <c r="J2656" i="1"/>
  <c r="K2656" i="1"/>
  <c r="M2656" i="1"/>
  <c r="O2656" i="1"/>
  <c r="Q2656" i="1"/>
  <c r="R2656" i="1"/>
  <c r="W2656" i="1"/>
  <c r="AA2656" i="1"/>
  <c r="AB2656" i="1"/>
  <c r="AE2656" i="1"/>
  <c r="AF2656" i="1"/>
  <c r="AM2656" i="1"/>
  <c r="AN2656" i="1"/>
  <c r="AO2656" i="1"/>
  <c r="AQ2656" i="1"/>
  <c r="AX2656" i="1"/>
  <c r="BD2656" i="1"/>
  <c r="B2657" i="1"/>
  <c r="C2657" i="1"/>
  <c r="D2657" i="1"/>
  <c r="E2657" i="1"/>
  <c r="F2657" i="1"/>
  <c r="G2657" i="1"/>
  <c r="H2657" i="1"/>
  <c r="I2657" i="1"/>
  <c r="J2657" i="1"/>
  <c r="K2657" i="1"/>
  <c r="M2657" i="1"/>
  <c r="O2657" i="1"/>
  <c r="Q2657" i="1"/>
  <c r="R2657" i="1"/>
  <c r="W2657" i="1"/>
  <c r="AA2657" i="1"/>
  <c r="AB2657" i="1"/>
  <c r="AE2657" i="1"/>
  <c r="AF2657" i="1"/>
  <c r="AM2657" i="1"/>
  <c r="AN2657" i="1"/>
  <c r="AO2657" i="1"/>
  <c r="AQ2657" i="1"/>
  <c r="AX2657" i="1"/>
  <c r="BD2657" i="1"/>
  <c r="B2658" i="1"/>
  <c r="E2658" i="1"/>
  <c r="F2658" i="1"/>
  <c r="G2658" i="1"/>
  <c r="H2658" i="1"/>
  <c r="I2658" i="1"/>
  <c r="J2658" i="1"/>
  <c r="K2658" i="1"/>
  <c r="M2658" i="1"/>
  <c r="O2658" i="1"/>
  <c r="Q2658" i="1"/>
  <c r="R2658" i="1"/>
  <c r="W2658" i="1"/>
  <c r="AA2658" i="1"/>
  <c r="AB2658" i="1"/>
  <c r="AM2658" i="1"/>
  <c r="AN2658" i="1"/>
  <c r="AO2658" i="1"/>
  <c r="AQ2658" i="1"/>
  <c r="AX2658" i="1"/>
  <c r="BD2658" i="1"/>
  <c r="B2659" i="1"/>
  <c r="E2659" i="1"/>
  <c r="F2659" i="1"/>
  <c r="G2659" i="1"/>
  <c r="H2659" i="1"/>
  <c r="I2659" i="1"/>
  <c r="J2659" i="1"/>
  <c r="K2659" i="1"/>
  <c r="M2659" i="1"/>
  <c r="O2659" i="1"/>
  <c r="Q2659" i="1"/>
  <c r="R2659" i="1"/>
  <c r="W2659" i="1"/>
  <c r="AM2659" i="1"/>
  <c r="AN2659" i="1"/>
  <c r="AO2659" i="1"/>
  <c r="AQ2659" i="1"/>
  <c r="BB2659" i="1"/>
  <c r="BD2659" i="1"/>
  <c r="B2660" i="1"/>
  <c r="E2660" i="1"/>
  <c r="F2660" i="1"/>
  <c r="G2660" i="1"/>
  <c r="H2660" i="1"/>
  <c r="I2660" i="1"/>
  <c r="J2660" i="1"/>
  <c r="K2660" i="1"/>
  <c r="M2660" i="1"/>
  <c r="O2660" i="1"/>
  <c r="Q2660" i="1"/>
  <c r="R2660" i="1"/>
  <c r="W2660" i="1"/>
  <c r="AM2660" i="1"/>
  <c r="AN2660" i="1"/>
  <c r="AO2660" i="1"/>
  <c r="AQ2660" i="1"/>
  <c r="BB2660" i="1"/>
  <c r="BD2660" i="1"/>
  <c r="B2661" i="1"/>
  <c r="C2661" i="1"/>
  <c r="D2661" i="1"/>
  <c r="E2661" i="1"/>
  <c r="F2661" i="1"/>
  <c r="G2661" i="1"/>
  <c r="H2661" i="1"/>
  <c r="I2661" i="1"/>
  <c r="J2661" i="1"/>
  <c r="K2661" i="1"/>
  <c r="M2661" i="1"/>
  <c r="O2661" i="1"/>
  <c r="Q2661" i="1"/>
  <c r="R2661" i="1"/>
  <c r="W2661" i="1"/>
  <c r="AA2661" i="1"/>
  <c r="AB2661" i="1"/>
  <c r="AE2661" i="1"/>
  <c r="AF2661" i="1"/>
  <c r="AM2661" i="1"/>
  <c r="AN2661" i="1"/>
  <c r="AO2661" i="1"/>
  <c r="AQ2661" i="1"/>
  <c r="AX2661" i="1"/>
  <c r="BD2661" i="1"/>
  <c r="B2662" i="1"/>
  <c r="C2662" i="1"/>
  <c r="E2662" i="1"/>
  <c r="F2662" i="1"/>
  <c r="G2662" i="1"/>
  <c r="H2662" i="1"/>
  <c r="I2662" i="1"/>
  <c r="J2662" i="1"/>
  <c r="K2662" i="1"/>
  <c r="M2662" i="1"/>
  <c r="O2662" i="1"/>
  <c r="Q2662" i="1"/>
  <c r="R2662" i="1"/>
  <c r="W2662" i="1"/>
  <c r="AA2662" i="1"/>
  <c r="AB2662" i="1"/>
  <c r="AE2662" i="1"/>
  <c r="AF2662" i="1"/>
  <c r="AM2662" i="1"/>
  <c r="AN2662" i="1"/>
  <c r="AO2662" i="1"/>
  <c r="AQ2662" i="1"/>
  <c r="AX2662" i="1"/>
  <c r="BD2662" i="1"/>
  <c r="B2663" i="1"/>
  <c r="C2663" i="1"/>
  <c r="E2663" i="1"/>
  <c r="F2663" i="1"/>
  <c r="G2663" i="1"/>
  <c r="H2663" i="1"/>
  <c r="I2663" i="1"/>
  <c r="J2663" i="1"/>
  <c r="K2663" i="1"/>
  <c r="M2663" i="1"/>
  <c r="O2663" i="1"/>
  <c r="Q2663" i="1"/>
  <c r="R2663" i="1"/>
  <c r="W2663" i="1"/>
  <c r="AA2663" i="1"/>
  <c r="AB2663" i="1"/>
  <c r="AE2663" i="1"/>
  <c r="AF2663" i="1"/>
  <c r="AM2663" i="1"/>
  <c r="AN2663" i="1"/>
  <c r="AO2663" i="1"/>
  <c r="AQ2663" i="1"/>
  <c r="AX2663" i="1"/>
  <c r="BD2663" i="1"/>
  <c r="B2664" i="1"/>
  <c r="C2664" i="1"/>
  <c r="D2664" i="1"/>
  <c r="E2664" i="1"/>
  <c r="F2664" i="1"/>
  <c r="G2664" i="1"/>
  <c r="H2664" i="1"/>
  <c r="I2664" i="1"/>
  <c r="J2664" i="1"/>
  <c r="K2664" i="1"/>
  <c r="M2664" i="1"/>
  <c r="O2664" i="1"/>
  <c r="Q2664" i="1"/>
  <c r="R2664" i="1"/>
  <c r="W2664" i="1"/>
  <c r="AA2664" i="1"/>
  <c r="AB2664" i="1"/>
  <c r="AE2664" i="1"/>
  <c r="AF2664" i="1"/>
  <c r="AM2664" i="1"/>
  <c r="AN2664" i="1"/>
  <c r="AO2664" i="1"/>
  <c r="AQ2664" i="1"/>
  <c r="AX2664" i="1"/>
  <c r="BD2664" i="1"/>
  <c r="B2665" i="1"/>
  <c r="C2665" i="1"/>
  <c r="D2665" i="1"/>
  <c r="E2665" i="1"/>
  <c r="F2665" i="1"/>
  <c r="G2665" i="1"/>
  <c r="H2665" i="1"/>
  <c r="I2665" i="1"/>
  <c r="J2665" i="1"/>
  <c r="K2665" i="1"/>
  <c r="M2665" i="1"/>
  <c r="O2665" i="1"/>
  <c r="Q2665" i="1"/>
  <c r="R2665" i="1"/>
  <c r="W2665" i="1"/>
  <c r="AA2665" i="1"/>
  <c r="AB2665" i="1"/>
  <c r="AE2665" i="1"/>
  <c r="AF2665" i="1"/>
  <c r="AM2665" i="1"/>
  <c r="AN2665" i="1"/>
  <c r="AO2665" i="1"/>
  <c r="AQ2665" i="1"/>
  <c r="AX2665" i="1"/>
  <c r="BD2665" i="1"/>
  <c r="B2666" i="1"/>
  <c r="C2666" i="1"/>
  <c r="E2666" i="1"/>
  <c r="F2666" i="1"/>
  <c r="G2666" i="1"/>
  <c r="H2666" i="1"/>
  <c r="I2666" i="1"/>
  <c r="J2666" i="1"/>
  <c r="K2666" i="1"/>
  <c r="M2666" i="1"/>
  <c r="O2666" i="1"/>
  <c r="Q2666" i="1"/>
  <c r="R2666" i="1"/>
  <c r="W2666" i="1"/>
  <c r="AA2666" i="1"/>
  <c r="AB2666" i="1"/>
  <c r="AE2666" i="1"/>
  <c r="AF2666" i="1"/>
  <c r="AM2666" i="1"/>
  <c r="AN2666" i="1"/>
  <c r="AO2666" i="1"/>
  <c r="AQ2666" i="1"/>
  <c r="AX2666" i="1"/>
  <c r="BD2666" i="1"/>
  <c r="B2667" i="1"/>
  <c r="C2667" i="1"/>
  <c r="D2667" i="1"/>
  <c r="E2667" i="1"/>
  <c r="F2667" i="1"/>
  <c r="G2667" i="1"/>
  <c r="H2667" i="1"/>
  <c r="I2667" i="1"/>
  <c r="J2667" i="1"/>
  <c r="K2667" i="1"/>
  <c r="M2667" i="1"/>
  <c r="O2667" i="1"/>
  <c r="Q2667" i="1"/>
  <c r="R2667" i="1"/>
  <c r="W2667" i="1"/>
  <c r="AA2667" i="1"/>
  <c r="AB2667" i="1"/>
  <c r="AE2667" i="1"/>
  <c r="AF2667" i="1"/>
  <c r="AM2667" i="1"/>
  <c r="AN2667" i="1"/>
  <c r="AO2667" i="1"/>
  <c r="AQ2667" i="1"/>
  <c r="AX2667" i="1"/>
  <c r="BD2667" i="1"/>
  <c r="B2668" i="1"/>
  <c r="C2668" i="1"/>
  <c r="D2668" i="1"/>
  <c r="E2668" i="1"/>
  <c r="F2668" i="1"/>
  <c r="G2668" i="1"/>
  <c r="H2668" i="1"/>
  <c r="I2668" i="1"/>
  <c r="J2668" i="1"/>
  <c r="K2668" i="1"/>
  <c r="M2668" i="1"/>
  <c r="O2668" i="1"/>
  <c r="Q2668" i="1"/>
  <c r="R2668" i="1"/>
  <c r="W2668" i="1"/>
  <c r="AA2668" i="1"/>
  <c r="AB2668" i="1"/>
  <c r="AE2668" i="1"/>
  <c r="AF2668" i="1"/>
  <c r="AM2668" i="1"/>
  <c r="AN2668" i="1"/>
  <c r="AO2668" i="1"/>
  <c r="AQ2668" i="1"/>
  <c r="AX2668" i="1"/>
  <c r="BD2668" i="1"/>
  <c r="B2669" i="1"/>
  <c r="C2669" i="1"/>
  <c r="D2669" i="1"/>
  <c r="E2669" i="1"/>
  <c r="F2669" i="1"/>
  <c r="G2669" i="1"/>
  <c r="H2669" i="1"/>
  <c r="I2669" i="1"/>
  <c r="J2669" i="1"/>
  <c r="K2669" i="1"/>
  <c r="M2669" i="1"/>
  <c r="O2669" i="1"/>
  <c r="Q2669" i="1"/>
  <c r="R2669" i="1"/>
  <c r="W2669" i="1"/>
  <c r="AA2669" i="1"/>
  <c r="AB2669" i="1"/>
  <c r="AE2669" i="1"/>
  <c r="AF2669" i="1"/>
  <c r="AM2669" i="1"/>
  <c r="AN2669" i="1"/>
  <c r="AO2669" i="1"/>
  <c r="AQ2669" i="1"/>
  <c r="AX2669" i="1"/>
  <c r="BD2669" i="1"/>
  <c r="B2670" i="1"/>
  <c r="C2670" i="1"/>
  <c r="D2670" i="1"/>
  <c r="E2670" i="1"/>
  <c r="F2670" i="1"/>
  <c r="G2670" i="1"/>
  <c r="H2670" i="1"/>
  <c r="I2670" i="1"/>
  <c r="J2670" i="1"/>
  <c r="K2670" i="1"/>
  <c r="M2670" i="1"/>
  <c r="O2670" i="1"/>
  <c r="Q2670" i="1"/>
  <c r="R2670" i="1"/>
  <c r="W2670" i="1"/>
  <c r="AA2670" i="1"/>
  <c r="AB2670" i="1"/>
  <c r="AE2670" i="1"/>
  <c r="AF2670" i="1"/>
  <c r="AM2670" i="1"/>
  <c r="AN2670" i="1"/>
  <c r="AO2670" i="1"/>
  <c r="AQ2670" i="1"/>
  <c r="AX2670" i="1"/>
  <c r="BD2670" i="1"/>
  <c r="B2671" i="1"/>
  <c r="C2671" i="1"/>
  <c r="D2671" i="1"/>
  <c r="E2671" i="1"/>
  <c r="F2671" i="1"/>
  <c r="G2671" i="1"/>
  <c r="H2671" i="1"/>
  <c r="I2671" i="1"/>
  <c r="J2671" i="1"/>
  <c r="K2671" i="1"/>
  <c r="M2671" i="1"/>
  <c r="O2671" i="1"/>
  <c r="Q2671" i="1"/>
  <c r="R2671" i="1"/>
  <c r="W2671" i="1"/>
  <c r="AA2671" i="1"/>
  <c r="AB2671" i="1"/>
  <c r="AE2671" i="1"/>
  <c r="AF2671" i="1"/>
  <c r="AM2671" i="1"/>
  <c r="AN2671" i="1"/>
  <c r="AO2671" i="1"/>
  <c r="AQ2671" i="1"/>
  <c r="AX2671" i="1"/>
  <c r="BD2671" i="1"/>
  <c r="B2672" i="1"/>
  <c r="C2672" i="1"/>
  <c r="D2672" i="1"/>
  <c r="E2672" i="1"/>
  <c r="F2672" i="1"/>
  <c r="G2672" i="1"/>
  <c r="H2672" i="1"/>
  <c r="I2672" i="1"/>
  <c r="J2672" i="1"/>
  <c r="K2672" i="1"/>
  <c r="M2672" i="1"/>
  <c r="O2672" i="1"/>
  <c r="Q2672" i="1"/>
  <c r="R2672" i="1"/>
  <c r="W2672" i="1"/>
  <c r="AA2672" i="1"/>
  <c r="AB2672" i="1"/>
  <c r="AE2672" i="1"/>
  <c r="AF2672" i="1"/>
  <c r="AM2672" i="1"/>
  <c r="AN2672" i="1"/>
  <c r="AO2672" i="1"/>
  <c r="AQ2672" i="1"/>
  <c r="AX2672" i="1"/>
  <c r="BD2672" i="1"/>
  <c r="B2673" i="1"/>
  <c r="C2673" i="1"/>
  <c r="D2673" i="1"/>
  <c r="E2673" i="1"/>
  <c r="F2673" i="1"/>
  <c r="G2673" i="1"/>
  <c r="H2673" i="1"/>
  <c r="I2673" i="1"/>
  <c r="J2673" i="1"/>
  <c r="K2673" i="1"/>
  <c r="M2673" i="1"/>
  <c r="O2673" i="1"/>
  <c r="Q2673" i="1"/>
  <c r="R2673" i="1"/>
  <c r="W2673" i="1"/>
  <c r="AA2673" i="1"/>
  <c r="AB2673" i="1"/>
  <c r="AE2673" i="1"/>
  <c r="AF2673" i="1"/>
  <c r="AM2673" i="1"/>
  <c r="AN2673" i="1"/>
  <c r="AO2673" i="1"/>
  <c r="AQ2673" i="1"/>
  <c r="AX2673" i="1"/>
  <c r="BD2673" i="1"/>
  <c r="B2674" i="1"/>
  <c r="C2674" i="1"/>
  <c r="E2674" i="1"/>
  <c r="F2674" i="1"/>
  <c r="G2674" i="1"/>
  <c r="H2674" i="1"/>
  <c r="I2674" i="1"/>
  <c r="J2674" i="1"/>
  <c r="K2674" i="1"/>
  <c r="M2674" i="1"/>
  <c r="O2674" i="1"/>
  <c r="Q2674" i="1"/>
  <c r="R2674" i="1"/>
  <c r="W2674" i="1"/>
  <c r="AA2674" i="1"/>
  <c r="AB2674" i="1"/>
  <c r="AE2674" i="1"/>
  <c r="AF2674" i="1"/>
  <c r="AM2674" i="1"/>
  <c r="AN2674" i="1"/>
  <c r="AO2674" i="1"/>
  <c r="AQ2674" i="1"/>
  <c r="AX2674" i="1"/>
  <c r="BD2674" i="1"/>
  <c r="B2675" i="1"/>
  <c r="C2675" i="1"/>
  <c r="E2675" i="1"/>
  <c r="F2675" i="1"/>
  <c r="G2675" i="1"/>
  <c r="H2675" i="1"/>
  <c r="I2675" i="1"/>
  <c r="J2675" i="1"/>
  <c r="K2675" i="1"/>
  <c r="M2675" i="1"/>
  <c r="O2675" i="1"/>
  <c r="Q2675" i="1"/>
  <c r="R2675" i="1"/>
  <c r="W2675" i="1"/>
  <c r="AA2675" i="1"/>
  <c r="AB2675" i="1"/>
  <c r="AE2675" i="1"/>
  <c r="AF2675" i="1"/>
  <c r="AM2675" i="1"/>
  <c r="AN2675" i="1"/>
  <c r="AO2675" i="1"/>
  <c r="AQ2675" i="1"/>
  <c r="AX2675" i="1"/>
  <c r="BD2675" i="1"/>
  <c r="B2676" i="1"/>
  <c r="E2676" i="1"/>
  <c r="F2676" i="1"/>
  <c r="G2676" i="1"/>
  <c r="H2676" i="1"/>
  <c r="I2676" i="1"/>
  <c r="J2676" i="1"/>
  <c r="K2676" i="1"/>
  <c r="M2676" i="1"/>
  <c r="O2676" i="1"/>
  <c r="Q2676" i="1"/>
  <c r="R2676" i="1"/>
  <c r="W2676" i="1"/>
  <c r="AA2676" i="1"/>
  <c r="AB2676" i="1"/>
  <c r="AE2676" i="1"/>
  <c r="AF2676" i="1"/>
  <c r="AM2676" i="1"/>
  <c r="AN2676" i="1"/>
  <c r="AO2676" i="1"/>
  <c r="AQ2676" i="1"/>
  <c r="AX2676" i="1"/>
  <c r="BD2676" i="1"/>
  <c r="B2677" i="1"/>
  <c r="E2677" i="1"/>
  <c r="F2677" i="1"/>
  <c r="G2677" i="1"/>
  <c r="H2677" i="1"/>
  <c r="I2677" i="1"/>
  <c r="J2677" i="1"/>
  <c r="K2677" i="1"/>
  <c r="M2677" i="1"/>
  <c r="O2677" i="1"/>
  <c r="Q2677" i="1"/>
  <c r="R2677" i="1"/>
  <c r="W2677" i="1"/>
  <c r="AA2677" i="1"/>
  <c r="AB2677" i="1"/>
  <c r="AE2677" i="1"/>
  <c r="AF2677" i="1"/>
  <c r="AM2677" i="1"/>
  <c r="AN2677" i="1"/>
  <c r="AO2677" i="1"/>
  <c r="AQ2677" i="1"/>
  <c r="AX2677" i="1"/>
  <c r="BD2677" i="1"/>
  <c r="B2678" i="1"/>
  <c r="C2678" i="1"/>
  <c r="D2678" i="1"/>
  <c r="E2678" i="1"/>
  <c r="F2678" i="1"/>
  <c r="G2678" i="1"/>
  <c r="H2678" i="1"/>
  <c r="I2678" i="1"/>
  <c r="J2678" i="1"/>
  <c r="K2678" i="1"/>
  <c r="M2678" i="1"/>
  <c r="O2678" i="1"/>
  <c r="Q2678" i="1"/>
  <c r="R2678" i="1"/>
  <c r="W2678" i="1"/>
  <c r="AA2678" i="1"/>
  <c r="AB2678" i="1"/>
  <c r="AE2678" i="1"/>
  <c r="AF2678" i="1"/>
  <c r="AM2678" i="1"/>
  <c r="AN2678" i="1"/>
  <c r="AO2678" i="1"/>
  <c r="AQ2678" i="1"/>
  <c r="AX2678" i="1"/>
  <c r="BD2678" i="1"/>
  <c r="B2679" i="1"/>
  <c r="C2679" i="1"/>
  <c r="D2679" i="1"/>
  <c r="E2679" i="1"/>
  <c r="F2679" i="1"/>
  <c r="G2679" i="1"/>
  <c r="H2679" i="1"/>
  <c r="I2679" i="1"/>
  <c r="J2679" i="1"/>
  <c r="K2679" i="1"/>
  <c r="M2679" i="1"/>
  <c r="O2679" i="1"/>
  <c r="Q2679" i="1"/>
  <c r="R2679" i="1"/>
  <c r="W2679" i="1"/>
  <c r="AA2679" i="1"/>
  <c r="AB2679" i="1"/>
  <c r="AE2679" i="1"/>
  <c r="AF2679" i="1"/>
  <c r="AM2679" i="1"/>
  <c r="AN2679" i="1"/>
  <c r="AO2679" i="1"/>
  <c r="AQ2679" i="1"/>
  <c r="AX2679" i="1"/>
  <c r="BD2679" i="1"/>
  <c r="B2680" i="1"/>
  <c r="C2680" i="1"/>
  <c r="E2680" i="1"/>
  <c r="F2680" i="1"/>
  <c r="G2680" i="1"/>
  <c r="H2680" i="1"/>
  <c r="I2680" i="1"/>
  <c r="J2680" i="1"/>
  <c r="K2680" i="1"/>
  <c r="M2680" i="1"/>
  <c r="O2680" i="1"/>
  <c r="Q2680" i="1"/>
  <c r="R2680" i="1"/>
  <c r="W2680" i="1"/>
  <c r="AA2680" i="1"/>
  <c r="AM2680" i="1"/>
  <c r="AN2680" i="1"/>
  <c r="AO2680" i="1"/>
  <c r="AQ2680" i="1"/>
  <c r="BB2680" i="1"/>
  <c r="BD2680" i="1"/>
  <c r="B2681" i="1"/>
  <c r="C2681" i="1"/>
  <c r="E2681" i="1"/>
  <c r="F2681" i="1"/>
  <c r="G2681" i="1"/>
  <c r="H2681" i="1"/>
  <c r="I2681" i="1"/>
  <c r="J2681" i="1"/>
  <c r="K2681" i="1"/>
  <c r="M2681" i="1"/>
  <c r="O2681" i="1"/>
  <c r="Q2681" i="1"/>
  <c r="R2681" i="1"/>
  <c r="W2681" i="1"/>
  <c r="AA2681" i="1"/>
  <c r="AM2681" i="1"/>
  <c r="AN2681" i="1"/>
  <c r="AO2681" i="1"/>
  <c r="AQ2681" i="1"/>
  <c r="BB2681" i="1"/>
  <c r="BD2681" i="1"/>
  <c r="B2682" i="1"/>
  <c r="C2682" i="1"/>
  <c r="E2682" i="1"/>
  <c r="F2682" i="1"/>
  <c r="G2682" i="1"/>
  <c r="H2682" i="1"/>
  <c r="I2682" i="1"/>
  <c r="J2682" i="1"/>
  <c r="K2682" i="1"/>
  <c r="M2682" i="1"/>
  <c r="O2682" i="1"/>
  <c r="Q2682" i="1"/>
  <c r="R2682" i="1"/>
  <c r="W2682" i="1"/>
  <c r="AA2682" i="1"/>
  <c r="AM2682" i="1"/>
  <c r="AN2682" i="1"/>
  <c r="AO2682" i="1"/>
  <c r="AQ2682" i="1"/>
  <c r="BB2682" i="1"/>
  <c r="BD2682" i="1"/>
  <c r="B2683" i="1"/>
  <c r="C2683" i="1"/>
  <c r="E2683" i="1"/>
  <c r="F2683" i="1"/>
  <c r="G2683" i="1"/>
  <c r="H2683" i="1"/>
  <c r="I2683" i="1"/>
  <c r="J2683" i="1"/>
  <c r="K2683" i="1"/>
  <c r="M2683" i="1"/>
  <c r="O2683" i="1"/>
  <c r="Q2683" i="1"/>
  <c r="R2683" i="1"/>
  <c r="W2683" i="1"/>
  <c r="AA2683" i="1"/>
  <c r="AM2683" i="1"/>
  <c r="AN2683" i="1"/>
  <c r="AO2683" i="1"/>
  <c r="AQ2683" i="1"/>
  <c r="BB2683" i="1"/>
  <c r="BD2683" i="1"/>
  <c r="B2684" i="1"/>
  <c r="C2684" i="1"/>
  <c r="D2684" i="1"/>
  <c r="E2684" i="1"/>
  <c r="F2684" i="1"/>
  <c r="G2684" i="1"/>
  <c r="H2684" i="1"/>
  <c r="I2684" i="1"/>
  <c r="J2684" i="1"/>
  <c r="K2684" i="1"/>
  <c r="M2684" i="1"/>
  <c r="O2684" i="1"/>
  <c r="Q2684" i="1"/>
  <c r="R2684" i="1"/>
  <c r="W2684" i="1"/>
  <c r="AA2684" i="1"/>
  <c r="AB2684" i="1"/>
  <c r="AM2684" i="1"/>
  <c r="AN2684" i="1"/>
  <c r="AO2684" i="1"/>
  <c r="AQ2684" i="1"/>
  <c r="AX2684" i="1"/>
  <c r="BD2684" i="1"/>
  <c r="B2685" i="1"/>
  <c r="E2685" i="1"/>
  <c r="F2685" i="1"/>
  <c r="G2685" i="1"/>
  <c r="H2685" i="1"/>
  <c r="I2685" i="1"/>
  <c r="J2685" i="1"/>
  <c r="K2685" i="1"/>
  <c r="M2685" i="1"/>
  <c r="O2685" i="1"/>
  <c r="Q2685" i="1"/>
  <c r="R2685" i="1"/>
  <c r="W2685" i="1"/>
  <c r="AA2685" i="1"/>
  <c r="AM2685" i="1"/>
  <c r="AN2685" i="1"/>
  <c r="AO2685" i="1"/>
  <c r="AQ2685" i="1"/>
  <c r="BB2685" i="1"/>
  <c r="BD2685" i="1"/>
  <c r="B2686" i="1"/>
  <c r="C2686" i="1"/>
  <c r="D2686" i="1"/>
  <c r="E2686" i="1"/>
  <c r="F2686" i="1"/>
  <c r="G2686" i="1"/>
  <c r="H2686" i="1"/>
  <c r="I2686" i="1"/>
  <c r="J2686" i="1"/>
  <c r="K2686" i="1"/>
  <c r="M2686" i="1"/>
  <c r="O2686" i="1"/>
  <c r="Q2686" i="1"/>
  <c r="R2686" i="1"/>
  <c r="W2686" i="1"/>
  <c r="AA2686" i="1"/>
  <c r="AB2686" i="1"/>
  <c r="AM2686" i="1"/>
  <c r="AN2686" i="1"/>
  <c r="AO2686" i="1"/>
  <c r="AQ2686" i="1"/>
  <c r="AX2686" i="1"/>
  <c r="BD2686" i="1"/>
  <c r="B2687" i="1"/>
  <c r="C2687" i="1"/>
  <c r="D2687" i="1"/>
  <c r="E2687" i="1"/>
  <c r="F2687" i="1"/>
  <c r="G2687" i="1"/>
  <c r="H2687" i="1"/>
  <c r="I2687" i="1"/>
  <c r="J2687" i="1"/>
  <c r="K2687" i="1"/>
  <c r="M2687" i="1"/>
  <c r="O2687" i="1"/>
  <c r="Q2687" i="1"/>
  <c r="R2687" i="1"/>
  <c r="W2687" i="1"/>
  <c r="AA2687" i="1"/>
  <c r="AB2687" i="1"/>
  <c r="AM2687" i="1"/>
  <c r="AN2687" i="1"/>
  <c r="AO2687" i="1"/>
  <c r="AQ2687" i="1"/>
  <c r="AX2687" i="1"/>
  <c r="BD2687" i="1"/>
  <c r="B2688" i="1"/>
  <c r="C2688" i="1"/>
  <c r="D2688" i="1"/>
  <c r="E2688" i="1"/>
  <c r="F2688" i="1"/>
  <c r="G2688" i="1"/>
  <c r="H2688" i="1"/>
  <c r="I2688" i="1"/>
  <c r="J2688" i="1"/>
  <c r="K2688" i="1"/>
  <c r="M2688" i="1"/>
  <c r="O2688" i="1"/>
  <c r="Q2688" i="1"/>
  <c r="R2688" i="1"/>
  <c r="W2688" i="1"/>
  <c r="AA2688" i="1"/>
  <c r="AB2688" i="1"/>
  <c r="AM2688" i="1"/>
  <c r="AN2688" i="1"/>
  <c r="AO2688" i="1"/>
  <c r="AQ2688" i="1"/>
  <c r="AX2688" i="1"/>
  <c r="BD2688" i="1"/>
  <c r="B2689" i="1"/>
  <c r="C2689" i="1"/>
  <c r="E2689" i="1"/>
  <c r="F2689" i="1"/>
  <c r="G2689" i="1"/>
  <c r="H2689" i="1"/>
  <c r="I2689" i="1"/>
  <c r="J2689" i="1"/>
  <c r="K2689" i="1"/>
  <c r="M2689" i="1"/>
  <c r="O2689" i="1"/>
  <c r="Q2689" i="1"/>
  <c r="R2689" i="1"/>
  <c r="W2689" i="1"/>
  <c r="AA2689" i="1"/>
  <c r="AM2689" i="1"/>
  <c r="AN2689" i="1"/>
  <c r="AO2689" i="1"/>
  <c r="AQ2689" i="1"/>
  <c r="BB2689" i="1"/>
  <c r="BD2689" i="1"/>
  <c r="B2690" i="1"/>
  <c r="C2690" i="1"/>
  <c r="E2690" i="1"/>
  <c r="F2690" i="1"/>
  <c r="G2690" i="1"/>
  <c r="H2690" i="1"/>
  <c r="I2690" i="1"/>
  <c r="J2690" i="1"/>
  <c r="K2690" i="1"/>
  <c r="M2690" i="1"/>
  <c r="O2690" i="1"/>
  <c r="Q2690" i="1"/>
  <c r="R2690" i="1"/>
  <c r="W2690" i="1"/>
  <c r="AA2690" i="1"/>
  <c r="AM2690" i="1"/>
  <c r="AN2690" i="1"/>
  <c r="AO2690" i="1"/>
  <c r="AQ2690" i="1"/>
  <c r="BB2690" i="1"/>
  <c r="BD2690" i="1"/>
  <c r="B2691" i="1"/>
  <c r="E2691" i="1"/>
  <c r="F2691" i="1"/>
  <c r="G2691" i="1"/>
  <c r="H2691" i="1"/>
  <c r="I2691" i="1"/>
  <c r="J2691" i="1"/>
  <c r="K2691" i="1"/>
  <c r="M2691" i="1"/>
  <c r="O2691" i="1"/>
  <c r="Q2691" i="1"/>
  <c r="R2691" i="1"/>
  <c r="W2691" i="1"/>
  <c r="AA2691" i="1"/>
  <c r="AM2691" i="1"/>
  <c r="AN2691" i="1"/>
  <c r="AO2691" i="1"/>
  <c r="AQ2691" i="1"/>
  <c r="BB2691" i="1"/>
  <c r="BD2691" i="1"/>
  <c r="B2692" i="1"/>
  <c r="C2692" i="1"/>
  <c r="E2692" i="1"/>
  <c r="F2692" i="1"/>
  <c r="G2692" i="1"/>
  <c r="H2692" i="1"/>
  <c r="I2692" i="1"/>
  <c r="J2692" i="1"/>
  <c r="K2692" i="1"/>
  <c r="M2692" i="1"/>
  <c r="O2692" i="1"/>
  <c r="Q2692" i="1"/>
  <c r="R2692" i="1"/>
  <c r="W2692" i="1"/>
  <c r="AA2692" i="1"/>
  <c r="AB2692" i="1"/>
  <c r="AE2692" i="1"/>
  <c r="AF2692" i="1"/>
  <c r="AM2692" i="1"/>
  <c r="AN2692" i="1"/>
  <c r="AO2692" i="1"/>
  <c r="AQ2692" i="1"/>
  <c r="AX2692" i="1"/>
  <c r="BD2692" i="1"/>
  <c r="B2693" i="1"/>
  <c r="C2693" i="1"/>
  <c r="D2693" i="1"/>
  <c r="E2693" i="1"/>
  <c r="F2693" i="1"/>
  <c r="G2693" i="1"/>
  <c r="H2693" i="1"/>
  <c r="I2693" i="1"/>
  <c r="J2693" i="1"/>
  <c r="K2693" i="1"/>
  <c r="M2693" i="1"/>
  <c r="O2693" i="1"/>
  <c r="Q2693" i="1"/>
  <c r="R2693" i="1"/>
  <c r="W2693" i="1"/>
  <c r="AA2693" i="1"/>
  <c r="AB2693" i="1"/>
  <c r="AE2693" i="1"/>
  <c r="AF2693" i="1"/>
  <c r="AM2693" i="1"/>
  <c r="AN2693" i="1"/>
  <c r="AO2693" i="1"/>
  <c r="AQ2693" i="1"/>
  <c r="AX2693" i="1"/>
  <c r="BD2693" i="1"/>
  <c r="B2694" i="1"/>
  <c r="C2694" i="1"/>
  <c r="D2694" i="1"/>
  <c r="E2694" i="1"/>
  <c r="F2694" i="1"/>
  <c r="G2694" i="1"/>
  <c r="H2694" i="1"/>
  <c r="I2694" i="1"/>
  <c r="J2694" i="1"/>
  <c r="K2694" i="1"/>
  <c r="M2694" i="1"/>
  <c r="O2694" i="1"/>
  <c r="Q2694" i="1"/>
  <c r="R2694" i="1"/>
  <c r="W2694" i="1"/>
  <c r="AA2694" i="1"/>
  <c r="AB2694" i="1"/>
  <c r="AE2694" i="1"/>
  <c r="AF2694" i="1"/>
  <c r="AM2694" i="1"/>
  <c r="AN2694" i="1"/>
  <c r="AO2694" i="1"/>
  <c r="AQ2694" i="1"/>
  <c r="AX2694" i="1"/>
  <c r="BD2694" i="1"/>
  <c r="B2695" i="1"/>
  <c r="C2695" i="1"/>
  <c r="D2695" i="1"/>
  <c r="E2695" i="1"/>
  <c r="F2695" i="1"/>
  <c r="G2695" i="1"/>
  <c r="H2695" i="1"/>
  <c r="I2695" i="1"/>
  <c r="J2695" i="1"/>
  <c r="K2695" i="1"/>
  <c r="M2695" i="1"/>
  <c r="O2695" i="1"/>
  <c r="Q2695" i="1"/>
  <c r="R2695" i="1"/>
  <c r="W2695" i="1"/>
  <c r="AA2695" i="1"/>
  <c r="AB2695" i="1"/>
  <c r="AE2695" i="1"/>
  <c r="AF2695" i="1"/>
  <c r="AM2695" i="1"/>
  <c r="AN2695" i="1"/>
  <c r="AO2695" i="1"/>
  <c r="AQ2695" i="1"/>
  <c r="AX2695" i="1"/>
  <c r="BD2695" i="1"/>
  <c r="B2696" i="1"/>
  <c r="C2696" i="1"/>
  <c r="E2696" i="1"/>
  <c r="F2696" i="1"/>
  <c r="G2696" i="1"/>
  <c r="H2696" i="1"/>
  <c r="I2696" i="1"/>
  <c r="J2696" i="1"/>
  <c r="K2696" i="1"/>
  <c r="M2696" i="1"/>
  <c r="O2696" i="1"/>
  <c r="Q2696" i="1"/>
  <c r="R2696" i="1"/>
  <c r="W2696" i="1"/>
  <c r="AA2696" i="1"/>
  <c r="AB2696" i="1"/>
  <c r="AE2696" i="1"/>
  <c r="AF2696" i="1"/>
  <c r="AM2696" i="1"/>
  <c r="AN2696" i="1"/>
  <c r="AO2696" i="1"/>
  <c r="AQ2696" i="1"/>
  <c r="AX2696" i="1"/>
  <c r="BD2696" i="1"/>
  <c r="B2697" i="1"/>
  <c r="C2697" i="1"/>
  <c r="D2697" i="1"/>
  <c r="E2697" i="1"/>
  <c r="F2697" i="1"/>
  <c r="G2697" i="1"/>
  <c r="H2697" i="1"/>
  <c r="I2697" i="1"/>
  <c r="J2697" i="1"/>
  <c r="K2697" i="1"/>
  <c r="M2697" i="1"/>
  <c r="O2697" i="1"/>
  <c r="Q2697" i="1"/>
  <c r="R2697" i="1"/>
  <c r="W2697" i="1"/>
  <c r="AA2697" i="1"/>
  <c r="AB2697" i="1"/>
  <c r="AE2697" i="1"/>
  <c r="AF2697" i="1"/>
  <c r="AM2697" i="1"/>
  <c r="AN2697" i="1"/>
  <c r="AO2697" i="1"/>
  <c r="AQ2697" i="1"/>
  <c r="AX2697" i="1"/>
  <c r="BD2697" i="1"/>
  <c r="B2698" i="1"/>
  <c r="C2698" i="1"/>
  <c r="E2698" i="1"/>
  <c r="F2698" i="1"/>
  <c r="G2698" i="1"/>
  <c r="H2698" i="1"/>
  <c r="I2698" i="1"/>
  <c r="J2698" i="1"/>
  <c r="K2698" i="1"/>
  <c r="M2698" i="1"/>
  <c r="O2698" i="1"/>
  <c r="Q2698" i="1"/>
  <c r="R2698" i="1"/>
  <c r="W2698" i="1"/>
  <c r="AA2698" i="1"/>
  <c r="AB2698" i="1"/>
  <c r="AE2698" i="1"/>
  <c r="AF2698" i="1"/>
  <c r="AM2698" i="1"/>
  <c r="AN2698" i="1"/>
  <c r="AO2698" i="1"/>
  <c r="AQ2698" i="1"/>
  <c r="AX2698" i="1"/>
  <c r="BD2698" i="1"/>
  <c r="B2699" i="1"/>
  <c r="C2699" i="1"/>
  <c r="E2699" i="1"/>
  <c r="F2699" i="1"/>
  <c r="G2699" i="1"/>
  <c r="H2699" i="1"/>
  <c r="I2699" i="1"/>
  <c r="J2699" i="1"/>
  <c r="K2699" i="1"/>
  <c r="M2699" i="1"/>
  <c r="O2699" i="1"/>
  <c r="Q2699" i="1"/>
  <c r="R2699" i="1"/>
  <c r="W2699" i="1"/>
  <c r="AA2699" i="1"/>
  <c r="AB2699" i="1"/>
  <c r="AE2699" i="1"/>
  <c r="AF2699" i="1"/>
  <c r="AM2699" i="1"/>
  <c r="AN2699" i="1"/>
  <c r="AO2699" i="1"/>
  <c r="AQ2699" i="1"/>
  <c r="AX2699" i="1"/>
  <c r="BD2699" i="1"/>
  <c r="B2700" i="1"/>
  <c r="C2700" i="1"/>
  <c r="E2700" i="1"/>
  <c r="F2700" i="1"/>
  <c r="G2700" i="1"/>
  <c r="H2700" i="1"/>
  <c r="I2700" i="1"/>
  <c r="J2700" i="1"/>
  <c r="K2700" i="1"/>
  <c r="M2700" i="1"/>
  <c r="O2700" i="1"/>
  <c r="Q2700" i="1"/>
  <c r="R2700" i="1"/>
  <c r="W2700" i="1"/>
  <c r="AA2700" i="1"/>
  <c r="AB2700" i="1"/>
  <c r="AE2700" i="1"/>
  <c r="AF2700" i="1"/>
  <c r="AM2700" i="1"/>
  <c r="AN2700" i="1"/>
  <c r="AO2700" i="1"/>
  <c r="AQ2700" i="1"/>
  <c r="AX2700" i="1"/>
  <c r="BD2700" i="1"/>
  <c r="B2701" i="1"/>
  <c r="C2701" i="1"/>
  <c r="E2701" i="1"/>
  <c r="F2701" i="1"/>
  <c r="G2701" i="1"/>
  <c r="H2701" i="1"/>
  <c r="I2701" i="1"/>
  <c r="J2701" i="1"/>
  <c r="K2701" i="1"/>
  <c r="M2701" i="1"/>
  <c r="O2701" i="1"/>
  <c r="Q2701" i="1"/>
  <c r="R2701" i="1"/>
  <c r="W2701" i="1"/>
  <c r="AA2701" i="1"/>
  <c r="AB2701" i="1"/>
  <c r="AE2701" i="1"/>
  <c r="AF2701" i="1"/>
  <c r="AM2701" i="1"/>
  <c r="AN2701" i="1"/>
  <c r="AO2701" i="1"/>
  <c r="AQ2701" i="1"/>
  <c r="AX2701" i="1"/>
  <c r="BD2701" i="1"/>
  <c r="B2702" i="1"/>
  <c r="C2702" i="1"/>
  <c r="D2702" i="1"/>
  <c r="E2702" i="1"/>
  <c r="F2702" i="1"/>
  <c r="G2702" i="1"/>
  <c r="H2702" i="1"/>
  <c r="I2702" i="1"/>
  <c r="J2702" i="1"/>
  <c r="K2702" i="1"/>
  <c r="M2702" i="1"/>
  <c r="O2702" i="1"/>
  <c r="Q2702" i="1"/>
  <c r="R2702" i="1"/>
  <c r="W2702" i="1"/>
  <c r="AA2702" i="1"/>
  <c r="AB2702" i="1"/>
  <c r="AE2702" i="1"/>
  <c r="AF2702" i="1"/>
  <c r="AM2702" i="1"/>
  <c r="AN2702" i="1"/>
  <c r="AO2702" i="1"/>
  <c r="AQ2702" i="1"/>
  <c r="AX2702" i="1"/>
  <c r="BD2702" i="1"/>
  <c r="B2703" i="1"/>
  <c r="C2703" i="1"/>
  <c r="D2703" i="1"/>
  <c r="E2703" i="1"/>
  <c r="F2703" i="1"/>
  <c r="G2703" i="1"/>
  <c r="H2703" i="1"/>
  <c r="I2703" i="1"/>
  <c r="J2703" i="1"/>
  <c r="K2703" i="1"/>
  <c r="M2703" i="1"/>
  <c r="O2703" i="1"/>
  <c r="Q2703" i="1"/>
  <c r="R2703" i="1"/>
  <c r="W2703" i="1"/>
  <c r="AA2703" i="1"/>
  <c r="AB2703" i="1"/>
  <c r="AE2703" i="1"/>
  <c r="AF2703" i="1"/>
  <c r="AM2703" i="1"/>
  <c r="AN2703" i="1"/>
  <c r="AO2703" i="1"/>
  <c r="AQ2703" i="1"/>
  <c r="AX2703" i="1"/>
  <c r="BD2703" i="1"/>
  <c r="B2704" i="1"/>
  <c r="C2704" i="1"/>
  <c r="D2704" i="1"/>
  <c r="E2704" i="1"/>
  <c r="F2704" i="1"/>
  <c r="G2704" i="1"/>
  <c r="H2704" i="1"/>
  <c r="I2704" i="1"/>
  <c r="J2704" i="1"/>
  <c r="K2704" i="1"/>
  <c r="M2704" i="1"/>
  <c r="O2704" i="1"/>
  <c r="Q2704" i="1"/>
  <c r="R2704" i="1"/>
  <c r="W2704" i="1"/>
  <c r="AA2704" i="1"/>
  <c r="AB2704" i="1"/>
  <c r="AE2704" i="1"/>
  <c r="AF2704" i="1"/>
  <c r="AM2704" i="1"/>
  <c r="AN2704" i="1"/>
  <c r="AO2704" i="1"/>
  <c r="AQ2704" i="1"/>
  <c r="AX2704" i="1"/>
  <c r="BD2704" i="1"/>
  <c r="B2705" i="1"/>
  <c r="E2705" i="1"/>
  <c r="F2705" i="1"/>
  <c r="G2705" i="1"/>
  <c r="H2705" i="1"/>
  <c r="I2705" i="1"/>
  <c r="J2705" i="1"/>
  <c r="K2705" i="1"/>
  <c r="M2705" i="1"/>
  <c r="O2705" i="1"/>
  <c r="Q2705" i="1"/>
  <c r="R2705" i="1"/>
  <c r="W2705" i="1"/>
  <c r="AA2705" i="1"/>
  <c r="AB2705" i="1"/>
  <c r="AM2705" i="1"/>
  <c r="AN2705" i="1"/>
  <c r="AO2705" i="1"/>
  <c r="AQ2705" i="1"/>
  <c r="AX2705" i="1"/>
  <c r="BD2705" i="1"/>
  <c r="B2706" i="1"/>
  <c r="C2706" i="1"/>
  <c r="D2706" i="1"/>
  <c r="E2706" i="1"/>
  <c r="F2706" i="1"/>
  <c r="G2706" i="1"/>
  <c r="H2706" i="1"/>
  <c r="I2706" i="1"/>
  <c r="J2706" i="1"/>
  <c r="K2706" i="1"/>
  <c r="M2706" i="1"/>
  <c r="O2706" i="1"/>
  <c r="Q2706" i="1"/>
  <c r="R2706" i="1"/>
  <c r="W2706" i="1"/>
  <c r="AA2706" i="1"/>
  <c r="AB2706" i="1"/>
  <c r="AE2706" i="1"/>
  <c r="AF2706" i="1"/>
  <c r="AM2706" i="1"/>
  <c r="AN2706" i="1"/>
  <c r="AO2706" i="1"/>
  <c r="AQ2706" i="1"/>
  <c r="AX2706" i="1"/>
  <c r="BD2706" i="1"/>
  <c r="B2707" i="1"/>
  <c r="C2707" i="1"/>
  <c r="D2707" i="1"/>
  <c r="E2707" i="1"/>
  <c r="F2707" i="1"/>
  <c r="G2707" i="1"/>
  <c r="H2707" i="1"/>
  <c r="I2707" i="1"/>
  <c r="J2707" i="1"/>
  <c r="K2707" i="1"/>
  <c r="M2707" i="1"/>
  <c r="O2707" i="1"/>
  <c r="Q2707" i="1"/>
  <c r="R2707" i="1"/>
  <c r="W2707" i="1"/>
  <c r="AA2707" i="1"/>
  <c r="AB2707" i="1"/>
  <c r="AE2707" i="1"/>
  <c r="AF2707" i="1"/>
  <c r="AM2707" i="1"/>
  <c r="AN2707" i="1"/>
  <c r="AO2707" i="1"/>
  <c r="AQ2707" i="1"/>
  <c r="AX2707" i="1"/>
  <c r="BD2707" i="1"/>
  <c r="B2708" i="1"/>
  <c r="C2708" i="1"/>
  <c r="D2708" i="1"/>
  <c r="E2708" i="1"/>
  <c r="F2708" i="1"/>
  <c r="G2708" i="1"/>
  <c r="H2708" i="1"/>
  <c r="I2708" i="1"/>
  <c r="J2708" i="1"/>
  <c r="K2708" i="1"/>
  <c r="M2708" i="1"/>
  <c r="O2708" i="1"/>
  <c r="Q2708" i="1"/>
  <c r="R2708" i="1"/>
  <c r="W2708" i="1"/>
  <c r="AA2708" i="1"/>
  <c r="AB2708" i="1"/>
  <c r="AE2708" i="1"/>
  <c r="AF2708" i="1"/>
  <c r="AM2708" i="1"/>
  <c r="AN2708" i="1"/>
  <c r="AO2708" i="1"/>
  <c r="AQ2708" i="1"/>
  <c r="AX2708" i="1"/>
  <c r="BD2708" i="1"/>
  <c r="B2709" i="1"/>
  <c r="C2709" i="1"/>
  <c r="D2709" i="1"/>
  <c r="E2709" i="1"/>
  <c r="F2709" i="1"/>
  <c r="G2709" i="1"/>
  <c r="H2709" i="1"/>
  <c r="I2709" i="1"/>
  <c r="J2709" i="1"/>
  <c r="K2709" i="1"/>
  <c r="M2709" i="1"/>
  <c r="O2709" i="1"/>
  <c r="Q2709" i="1"/>
  <c r="R2709" i="1"/>
  <c r="W2709" i="1"/>
  <c r="AA2709" i="1"/>
  <c r="AB2709" i="1"/>
  <c r="AE2709" i="1"/>
  <c r="AF2709" i="1"/>
  <c r="AM2709" i="1"/>
  <c r="AN2709" i="1"/>
  <c r="AO2709" i="1"/>
  <c r="AQ2709" i="1"/>
  <c r="AX2709" i="1"/>
  <c r="BD2709" i="1"/>
  <c r="B2710" i="1"/>
  <c r="C2710" i="1"/>
  <c r="D2710" i="1"/>
  <c r="E2710" i="1"/>
  <c r="F2710" i="1"/>
  <c r="G2710" i="1"/>
  <c r="H2710" i="1"/>
  <c r="I2710" i="1"/>
  <c r="J2710" i="1"/>
  <c r="K2710" i="1"/>
  <c r="M2710" i="1"/>
  <c r="O2710" i="1"/>
  <c r="Q2710" i="1"/>
  <c r="R2710" i="1"/>
  <c r="W2710" i="1"/>
  <c r="AA2710" i="1"/>
  <c r="AB2710" i="1"/>
  <c r="AE2710" i="1"/>
  <c r="AF2710" i="1"/>
  <c r="AM2710" i="1"/>
  <c r="AN2710" i="1"/>
  <c r="AO2710" i="1"/>
  <c r="AQ2710" i="1"/>
  <c r="AX2710" i="1"/>
  <c r="BD2710" i="1"/>
  <c r="B2711" i="1"/>
  <c r="C2711" i="1"/>
  <c r="D2711" i="1"/>
  <c r="E2711" i="1"/>
  <c r="F2711" i="1"/>
  <c r="G2711" i="1"/>
  <c r="H2711" i="1"/>
  <c r="I2711" i="1"/>
  <c r="J2711" i="1"/>
  <c r="K2711" i="1"/>
  <c r="M2711" i="1"/>
  <c r="O2711" i="1"/>
  <c r="Q2711" i="1"/>
  <c r="R2711" i="1"/>
  <c r="W2711" i="1"/>
  <c r="AA2711" i="1"/>
  <c r="AB2711" i="1"/>
  <c r="AE2711" i="1"/>
  <c r="AF2711" i="1"/>
  <c r="AM2711" i="1"/>
  <c r="AN2711" i="1"/>
  <c r="AO2711" i="1"/>
  <c r="AQ2711" i="1"/>
  <c r="AX2711" i="1"/>
  <c r="BD2711" i="1"/>
  <c r="B2712" i="1"/>
  <c r="C2712" i="1"/>
  <c r="D2712" i="1"/>
  <c r="E2712" i="1"/>
  <c r="F2712" i="1"/>
  <c r="G2712" i="1"/>
  <c r="H2712" i="1"/>
  <c r="I2712" i="1"/>
  <c r="J2712" i="1"/>
  <c r="K2712" i="1"/>
  <c r="M2712" i="1"/>
  <c r="O2712" i="1"/>
  <c r="Q2712" i="1"/>
  <c r="R2712" i="1"/>
  <c r="W2712" i="1"/>
  <c r="AA2712" i="1"/>
  <c r="AB2712" i="1"/>
  <c r="AE2712" i="1"/>
  <c r="AF2712" i="1"/>
  <c r="AM2712" i="1"/>
  <c r="AN2712" i="1"/>
  <c r="AO2712" i="1"/>
  <c r="AQ2712" i="1"/>
  <c r="AX2712" i="1"/>
  <c r="BD2712" i="1"/>
  <c r="B2713" i="1"/>
  <c r="C2713" i="1"/>
  <c r="D2713" i="1"/>
  <c r="E2713" i="1"/>
  <c r="F2713" i="1"/>
  <c r="G2713" i="1"/>
  <c r="H2713" i="1"/>
  <c r="I2713" i="1"/>
  <c r="J2713" i="1"/>
  <c r="K2713" i="1"/>
  <c r="M2713" i="1"/>
  <c r="O2713" i="1"/>
  <c r="Q2713" i="1"/>
  <c r="R2713" i="1"/>
  <c r="W2713" i="1"/>
  <c r="AA2713" i="1"/>
  <c r="AB2713" i="1"/>
  <c r="AE2713" i="1"/>
  <c r="AF2713" i="1"/>
  <c r="AM2713" i="1"/>
  <c r="AN2713" i="1"/>
  <c r="AO2713" i="1"/>
  <c r="AQ2713" i="1"/>
  <c r="AX2713" i="1"/>
  <c r="BD2713" i="1"/>
  <c r="B2714" i="1"/>
  <c r="C2714" i="1"/>
  <c r="D2714" i="1"/>
  <c r="E2714" i="1"/>
  <c r="F2714" i="1"/>
  <c r="G2714" i="1"/>
  <c r="H2714" i="1"/>
  <c r="I2714" i="1"/>
  <c r="J2714" i="1"/>
  <c r="K2714" i="1"/>
  <c r="M2714" i="1"/>
  <c r="O2714" i="1"/>
  <c r="Q2714" i="1"/>
  <c r="R2714" i="1"/>
  <c r="W2714" i="1"/>
  <c r="AA2714" i="1"/>
  <c r="AB2714" i="1"/>
  <c r="AE2714" i="1"/>
  <c r="AF2714" i="1"/>
  <c r="AM2714" i="1"/>
  <c r="AN2714" i="1"/>
  <c r="AO2714" i="1"/>
  <c r="AQ2714" i="1"/>
  <c r="AX2714" i="1"/>
  <c r="BD2714" i="1"/>
  <c r="B2715" i="1"/>
  <c r="C2715" i="1"/>
  <c r="E2715" i="1"/>
  <c r="F2715" i="1"/>
  <c r="G2715" i="1"/>
  <c r="H2715" i="1"/>
  <c r="I2715" i="1"/>
  <c r="J2715" i="1"/>
  <c r="K2715" i="1"/>
  <c r="M2715" i="1"/>
  <c r="O2715" i="1"/>
  <c r="Q2715" i="1"/>
  <c r="R2715" i="1"/>
  <c r="W2715" i="1"/>
  <c r="AA2715" i="1"/>
  <c r="AB2715" i="1"/>
  <c r="AE2715" i="1"/>
  <c r="AF2715" i="1"/>
  <c r="AM2715" i="1"/>
  <c r="AN2715" i="1"/>
  <c r="AO2715" i="1"/>
  <c r="AQ2715" i="1"/>
  <c r="AX2715" i="1"/>
  <c r="BD2715" i="1"/>
  <c r="B2716" i="1"/>
  <c r="C2716" i="1"/>
  <c r="E2716" i="1"/>
  <c r="F2716" i="1"/>
  <c r="G2716" i="1"/>
  <c r="H2716" i="1"/>
  <c r="I2716" i="1"/>
  <c r="J2716" i="1"/>
  <c r="K2716" i="1"/>
  <c r="M2716" i="1"/>
  <c r="O2716" i="1"/>
  <c r="Q2716" i="1"/>
  <c r="R2716" i="1"/>
  <c r="W2716" i="1"/>
  <c r="AA2716" i="1"/>
  <c r="AB2716" i="1"/>
  <c r="AE2716" i="1"/>
  <c r="AF2716" i="1"/>
  <c r="AM2716" i="1"/>
  <c r="AN2716" i="1"/>
  <c r="AO2716" i="1"/>
  <c r="AQ2716" i="1"/>
  <c r="AX2716" i="1"/>
  <c r="BD2716" i="1"/>
  <c r="B2717" i="1"/>
  <c r="C2717" i="1"/>
  <c r="E2717" i="1"/>
  <c r="F2717" i="1"/>
  <c r="G2717" i="1"/>
  <c r="H2717" i="1"/>
  <c r="I2717" i="1"/>
  <c r="J2717" i="1"/>
  <c r="K2717" i="1"/>
  <c r="M2717" i="1"/>
  <c r="O2717" i="1"/>
  <c r="Q2717" i="1"/>
  <c r="R2717" i="1"/>
  <c r="W2717" i="1"/>
  <c r="AA2717" i="1"/>
  <c r="AM2717" i="1"/>
  <c r="AN2717" i="1"/>
  <c r="AO2717" i="1"/>
  <c r="AQ2717" i="1"/>
  <c r="BB2717" i="1"/>
  <c r="BD2717" i="1"/>
  <c r="B2718" i="1"/>
  <c r="C2718" i="1"/>
  <c r="E2718" i="1"/>
  <c r="F2718" i="1"/>
  <c r="G2718" i="1"/>
  <c r="H2718" i="1"/>
  <c r="I2718" i="1"/>
  <c r="J2718" i="1"/>
  <c r="K2718" i="1"/>
  <c r="M2718" i="1"/>
  <c r="O2718" i="1"/>
  <c r="Q2718" i="1"/>
  <c r="R2718" i="1"/>
  <c r="W2718" i="1"/>
  <c r="AA2718" i="1"/>
  <c r="AB2718" i="1"/>
  <c r="AE2718" i="1"/>
  <c r="AF2718" i="1"/>
  <c r="AM2718" i="1"/>
  <c r="AN2718" i="1"/>
  <c r="AO2718" i="1"/>
  <c r="AQ2718" i="1"/>
  <c r="AX2718" i="1"/>
  <c r="BD2718" i="1"/>
  <c r="B2719" i="1"/>
  <c r="C2719" i="1"/>
  <c r="E2719" i="1"/>
  <c r="F2719" i="1"/>
  <c r="G2719" i="1"/>
  <c r="H2719" i="1"/>
  <c r="I2719" i="1"/>
  <c r="J2719" i="1"/>
  <c r="K2719" i="1"/>
  <c r="M2719" i="1"/>
  <c r="O2719" i="1"/>
  <c r="Q2719" i="1"/>
  <c r="R2719" i="1"/>
  <c r="W2719" i="1"/>
  <c r="AA2719" i="1"/>
  <c r="AB2719" i="1"/>
  <c r="AE2719" i="1"/>
  <c r="AF2719" i="1"/>
  <c r="AM2719" i="1"/>
  <c r="AN2719" i="1"/>
  <c r="AO2719" i="1"/>
  <c r="AQ2719" i="1"/>
  <c r="AX2719" i="1"/>
  <c r="BD2719" i="1"/>
  <c r="B2720" i="1"/>
  <c r="C2720" i="1"/>
  <c r="E2720" i="1"/>
  <c r="F2720" i="1"/>
  <c r="G2720" i="1"/>
  <c r="H2720" i="1"/>
  <c r="I2720" i="1"/>
  <c r="J2720" i="1"/>
  <c r="K2720" i="1"/>
  <c r="M2720" i="1"/>
  <c r="O2720" i="1"/>
  <c r="Q2720" i="1"/>
  <c r="R2720" i="1"/>
  <c r="W2720" i="1"/>
  <c r="AA2720" i="1"/>
  <c r="AB2720" i="1"/>
  <c r="AE2720" i="1"/>
  <c r="AF2720" i="1"/>
  <c r="AM2720" i="1"/>
  <c r="AN2720" i="1"/>
  <c r="AO2720" i="1"/>
  <c r="AQ2720" i="1"/>
  <c r="AX2720" i="1"/>
  <c r="BD2720" i="1"/>
  <c r="B2721" i="1"/>
  <c r="C2721" i="1"/>
  <c r="E2721" i="1"/>
  <c r="F2721" i="1"/>
  <c r="G2721" i="1"/>
  <c r="H2721" i="1"/>
  <c r="I2721" i="1"/>
  <c r="J2721" i="1"/>
  <c r="K2721" i="1"/>
  <c r="M2721" i="1"/>
  <c r="O2721" i="1"/>
  <c r="Q2721" i="1"/>
  <c r="R2721" i="1"/>
  <c r="W2721" i="1"/>
  <c r="AA2721" i="1"/>
  <c r="AB2721" i="1"/>
  <c r="AE2721" i="1"/>
  <c r="AF2721" i="1"/>
  <c r="AM2721" i="1"/>
  <c r="AN2721" i="1"/>
  <c r="AO2721" i="1"/>
  <c r="AQ2721" i="1"/>
  <c r="AX2721" i="1"/>
  <c r="BD2721" i="1"/>
  <c r="B2722" i="1"/>
  <c r="C2722" i="1"/>
  <c r="E2722" i="1"/>
  <c r="F2722" i="1"/>
  <c r="G2722" i="1"/>
  <c r="H2722" i="1"/>
  <c r="I2722" i="1"/>
  <c r="J2722" i="1"/>
  <c r="K2722" i="1"/>
  <c r="M2722" i="1"/>
  <c r="O2722" i="1"/>
  <c r="Q2722" i="1"/>
  <c r="R2722" i="1"/>
  <c r="W2722" i="1"/>
  <c r="AA2722" i="1"/>
  <c r="AB2722" i="1"/>
  <c r="AE2722" i="1"/>
  <c r="AF2722" i="1"/>
  <c r="AM2722" i="1"/>
  <c r="AN2722" i="1"/>
  <c r="AO2722" i="1"/>
  <c r="AQ2722" i="1"/>
  <c r="AX2722" i="1"/>
  <c r="BD2722" i="1"/>
  <c r="B2723" i="1"/>
  <c r="C2723" i="1"/>
  <c r="D2723" i="1"/>
  <c r="E2723" i="1"/>
  <c r="F2723" i="1"/>
  <c r="G2723" i="1"/>
  <c r="H2723" i="1"/>
  <c r="I2723" i="1"/>
  <c r="J2723" i="1"/>
  <c r="K2723" i="1"/>
  <c r="M2723" i="1"/>
  <c r="O2723" i="1"/>
  <c r="Q2723" i="1"/>
  <c r="R2723" i="1"/>
  <c r="W2723" i="1"/>
  <c r="AA2723" i="1"/>
  <c r="AB2723" i="1"/>
  <c r="AE2723" i="1"/>
  <c r="AF2723" i="1"/>
  <c r="AM2723" i="1"/>
  <c r="AN2723" i="1"/>
  <c r="AO2723" i="1"/>
  <c r="AQ2723" i="1"/>
  <c r="AX2723" i="1"/>
  <c r="BD2723" i="1"/>
  <c r="B2724" i="1"/>
  <c r="C2724" i="1"/>
  <c r="E2724" i="1"/>
  <c r="F2724" i="1"/>
  <c r="G2724" i="1"/>
  <c r="H2724" i="1"/>
  <c r="I2724" i="1"/>
  <c r="J2724" i="1"/>
  <c r="K2724" i="1"/>
  <c r="M2724" i="1"/>
  <c r="O2724" i="1"/>
  <c r="Q2724" i="1"/>
  <c r="R2724" i="1"/>
  <c r="W2724" i="1"/>
  <c r="AA2724" i="1"/>
  <c r="AB2724" i="1"/>
  <c r="AE2724" i="1"/>
  <c r="AF2724" i="1"/>
  <c r="AM2724" i="1"/>
  <c r="AN2724" i="1"/>
  <c r="AO2724" i="1"/>
  <c r="AQ2724" i="1"/>
  <c r="AX2724" i="1"/>
  <c r="BD2724" i="1"/>
  <c r="B2725" i="1"/>
  <c r="C2725" i="1"/>
  <c r="E2725" i="1"/>
  <c r="F2725" i="1"/>
  <c r="G2725" i="1"/>
  <c r="H2725" i="1"/>
  <c r="I2725" i="1"/>
  <c r="J2725" i="1"/>
  <c r="K2725" i="1"/>
  <c r="M2725" i="1"/>
  <c r="O2725" i="1"/>
  <c r="Q2725" i="1"/>
  <c r="R2725" i="1"/>
  <c r="W2725" i="1"/>
  <c r="AA2725" i="1"/>
  <c r="AM2725" i="1"/>
  <c r="AN2725" i="1"/>
  <c r="AO2725" i="1"/>
  <c r="AQ2725" i="1"/>
  <c r="BB2725" i="1"/>
  <c r="BD2725" i="1"/>
  <c r="B2726" i="1"/>
  <c r="C2726" i="1"/>
  <c r="E2726" i="1"/>
  <c r="F2726" i="1"/>
  <c r="G2726" i="1"/>
  <c r="H2726" i="1"/>
  <c r="I2726" i="1"/>
  <c r="J2726" i="1"/>
  <c r="K2726" i="1"/>
  <c r="M2726" i="1"/>
  <c r="O2726" i="1"/>
  <c r="Q2726" i="1"/>
  <c r="R2726" i="1"/>
  <c r="W2726" i="1"/>
  <c r="AA2726" i="1"/>
  <c r="AM2726" i="1"/>
  <c r="AN2726" i="1"/>
  <c r="AO2726" i="1"/>
  <c r="AQ2726" i="1"/>
  <c r="BB2726" i="1"/>
  <c r="BD2726" i="1"/>
  <c r="B2727" i="1"/>
  <c r="C2727" i="1"/>
  <c r="E2727" i="1"/>
  <c r="F2727" i="1"/>
  <c r="G2727" i="1"/>
  <c r="H2727" i="1"/>
  <c r="I2727" i="1"/>
  <c r="J2727" i="1"/>
  <c r="K2727" i="1"/>
  <c r="M2727" i="1"/>
  <c r="O2727" i="1"/>
  <c r="Q2727" i="1"/>
  <c r="R2727" i="1"/>
  <c r="W2727" i="1"/>
  <c r="AA2727" i="1"/>
  <c r="AM2727" i="1"/>
  <c r="AN2727" i="1"/>
  <c r="AO2727" i="1"/>
  <c r="AQ2727" i="1"/>
  <c r="BB2727" i="1"/>
  <c r="BD2727" i="1"/>
  <c r="B2728" i="1"/>
  <c r="C2728" i="1"/>
  <c r="E2728" i="1"/>
  <c r="F2728" i="1"/>
  <c r="G2728" i="1"/>
  <c r="H2728" i="1"/>
  <c r="I2728" i="1"/>
  <c r="J2728" i="1"/>
  <c r="K2728" i="1"/>
  <c r="M2728" i="1"/>
  <c r="O2728" i="1"/>
  <c r="Q2728" i="1"/>
  <c r="R2728" i="1"/>
  <c r="W2728" i="1"/>
  <c r="AA2728" i="1"/>
  <c r="AM2728" i="1"/>
  <c r="AN2728" i="1"/>
  <c r="AO2728" i="1"/>
  <c r="AQ2728" i="1"/>
  <c r="BB2728" i="1"/>
  <c r="BD2728" i="1"/>
  <c r="B2729" i="1"/>
  <c r="C2729" i="1"/>
  <c r="E2729" i="1"/>
  <c r="F2729" i="1"/>
  <c r="G2729" i="1"/>
  <c r="H2729" i="1"/>
  <c r="I2729" i="1"/>
  <c r="J2729" i="1"/>
  <c r="K2729" i="1"/>
  <c r="M2729" i="1"/>
  <c r="O2729" i="1"/>
  <c r="Q2729" i="1"/>
  <c r="R2729" i="1"/>
  <c r="W2729" i="1"/>
  <c r="AA2729" i="1"/>
  <c r="AM2729" i="1"/>
  <c r="AN2729" i="1"/>
  <c r="AO2729" i="1"/>
  <c r="AQ2729" i="1"/>
  <c r="BB2729" i="1"/>
  <c r="BD2729" i="1"/>
  <c r="B2730" i="1"/>
  <c r="C2730" i="1"/>
  <c r="E2730" i="1"/>
  <c r="F2730" i="1"/>
  <c r="G2730" i="1"/>
  <c r="H2730" i="1"/>
  <c r="I2730" i="1"/>
  <c r="J2730" i="1"/>
  <c r="K2730" i="1"/>
  <c r="M2730" i="1"/>
  <c r="O2730" i="1"/>
  <c r="Q2730" i="1"/>
  <c r="R2730" i="1"/>
  <c r="W2730" i="1"/>
  <c r="AA2730" i="1"/>
  <c r="AM2730" i="1"/>
  <c r="AN2730" i="1"/>
  <c r="AO2730" i="1"/>
  <c r="AQ2730" i="1"/>
  <c r="BB2730" i="1"/>
  <c r="BD2730" i="1"/>
  <c r="B2731" i="1"/>
  <c r="C2731" i="1"/>
  <c r="E2731" i="1"/>
  <c r="F2731" i="1"/>
  <c r="G2731" i="1"/>
  <c r="H2731" i="1"/>
  <c r="I2731" i="1"/>
  <c r="J2731" i="1"/>
  <c r="K2731" i="1"/>
  <c r="M2731" i="1"/>
  <c r="O2731" i="1"/>
  <c r="Q2731" i="1"/>
  <c r="R2731" i="1"/>
  <c r="W2731" i="1"/>
  <c r="AA2731" i="1"/>
  <c r="AM2731" i="1"/>
  <c r="AN2731" i="1"/>
  <c r="AO2731" i="1"/>
  <c r="AQ2731" i="1"/>
  <c r="BB2731" i="1"/>
  <c r="BD2731" i="1"/>
  <c r="B2732" i="1"/>
  <c r="C2732" i="1"/>
  <c r="E2732" i="1"/>
  <c r="F2732" i="1"/>
  <c r="G2732" i="1"/>
  <c r="H2732" i="1"/>
  <c r="I2732" i="1"/>
  <c r="J2732" i="1"/>
  <c r="K2732" i="1"/>
  <c r="M2732" i="1"/>
  <c r="O2732" i="1"/>
  <c r="Q2732" i="1"/>
  <c r="R2732" i="1"/>
  <c r="W2732" i="1"/>
  <c r="AA2732" i="1"/>
  <c r="AM2732" i="1"/>
  <c r="AN2732" i="1"/>
  <c r="AO2732" i="1"/>
  <c r="AQ2732" i="1"/>
  <c r="BB2732" i="1"/>
  <c r="BD2732" i="1"/>
  <c r="B2733" i="1"/>
  <c r="C2733" i="1"/>
  <c r="E2733" i="1"/>
  <c r="F2733" i="1"/>
  <c r="G2733" i="1"/>
  <c r="H2733" i="1"/>
  <c r="I2733" i="1"/>
  <c r="J2733" i="1"/>
  <c r="K2733" i="1"/>
  <c r="M2733" i="1"/>
  <c r="O2733" i="1"/>
  <c r="Q2733" i="1"/>
  <c r="R2733" i="1"/>
  <c r="W2733" i="1"/>
  <c r="AA2733" i="1"/>
  <c r="AM2733" i="1"/>
  <c r="AN2733" i="1"/>
  <c r="AO2733" i="1"/>
  <c r="AQ2733" i="1"/>
  <c r="BB2733" i="1"/>
  <c r="BD2733" i="1"/>
  <c r="B2734" i="1"/>
  <c r="C2734" i="1"/>
  <c r="E2734" i="1"/>
  <c r="F2734" i="1"/>
  <c r="G2734" i="1"/>
  <c r="H2734" i="1"/>
  <c r="I2734" i="1"/>
  <c r="J2734" i="1"/>
  <c r="K2734" i="1"/>
  <c r="M2734" i="1"/>
  <c r="O2734" i="1"/>
  <c r="Q2734" i="1"/>
  <c r="R2734" i="1"/>
  <c r="W2734" i="1"/>
  <c r="AA2734" i="1"/>
  <c r="AM2734" i="1"/>
  <c r="AN2734" i="1"/>
  <c r="AO2734" i="1"/>
  <c r="AQ2734" i="1"/>
  <c r="BB2734" i="1"/>
  <c r="BD2734" i="1"/>
  <c r="B2735" i="1"/>
  <c r="C2735" i="1"/>
  <c r="E2735" i="1"/>
  <c r="F2735" i="1"/>
  <c r="G2735" i="1"/>
  <c r="H2735" i="1"/>
  <c r="I2735" i="1"/>
  <c r="J2735" i="1"/>
  <c r="K2735" i="1"/>
  <c r="M2735" i="1"/>
  <c r="O2735" i="1"/>
  <c r="Q2735" i="1"/>
  <c r="R2735" i="1"/>
  <c r="W2735" i="1"/>
  <c r="AA2735" i="1"/>
  <c r="AM2735" i="1"/>
  <c r="AN2735" i="1"/>
  <c r="AO2735" i="1"/>
  <c r="AQ2735" i="1"/>
  <c r="BB2735" i="1"/>
  <c r="BD2735" i="1"/>
  <c r="B2736" i="1"/>
  <c r="C2736" i="1"/>
  <c r="E2736" i="1"/>
  <c r="F2736" i="1"/>
  <c r="G2736" i="1"/>
  <c r="H2736" i="1"/>
  <c r="I2736" i="1"/>
  <c r="J2736" i="1"/>
  <c r="K2736" i="1"/>
  <c r="M2736" i="1"/>
  <c r="O2736" i="1"/>
  <c r="Q2736" i="1"/>
  <c r="R2736" i="1"/>
  <c r="W2736" i="1"/>
  <c r="AA2736" i="1"/>
  <c r="AM2736" i="1"/>
  <c r="AN2736" i="1"/>
  <c r="AO2736" i="1"/>
  <c r="AQ2736" i="1"/>
  <c r="BB2736" i="1"/>
  <c r="BD2736" i="1"/>
  <c r="B2737" i="1"/>
  <c r="C2737" i="1"/>
  <c r="E2737" i="1"/>
  <c r="F2737" i="1"/>
  <c r="G2737" i="1"/>
  <c r="H2737" i="1"/>
  <c r="I2737" i="1"/>
  <c r="J2737" i="1"/>
  <c r="K2737" i="1"/>
  <c r="M2737" i="1"/>
  <c r="O2737" i="1"/>
  <c r="Q2737" i="1"/>
  <c r="R2737" i="1"/>
  <c r="W2737" i="1"/>
  <c r="AA2737" i="1"/>
  <c r="AB2737" i="1"/>
  <c r="AE2737" i="1"/>
  <c r="AF2737" i="1"/>
  <c r="AM2737" i="1"/>
  <c r="AN2737" i="1"/>
  <c r="AO2737" i="1"/>
  <c r="AQ2737" i="1"/>
  <c r="AX2737" i="1"/>
  <c r="BD2737" i="1"/>
  <c r="B2738" i="1"/>
  <c r="C2738" i="1"/>
  <c r="E2738" i="1"/>
  <c r="F2738" i="1"/>
  <c r="G2738" i="1"/>
  <c r="H2738" i="1"/>
  <c r="I2738" i="1"/>
  <c r="J2738" i="1"/>
  <c r="K2738" i="1"/>
  <c r="M2738" i="1"/>
  <c r="O2738" i="1"/>
  <c r="Q2738" i="1"/>
  <c r="R2738" i="1"/>
  <c r="W2738" i="1"/>
  <c r="AA2738" i="1"/>
  <c r="AM2738" i="1"/>
  <c r="AN2738" i="1"/>
  <c r="AO2738" i="1"/>
  <c r="AQ2738" i="1"/>
  <c r="BB2738" i="1"/>
  <c r="BD2738" i="1"/>
  <c r="B2739" i="1"/>
  <c r="C2739" i="1"/>
  <c r="E2739" i="1"/>
  <c r="F2739" i="1"/>
  <c r="G2739" i="1"/>
  <c r="H2739" i="1"/>
  <c r="I2739" i="1"/>
  <c r="J2739" i="1"/>
  <c r="K2739" i="1"/>
  <c r="M2739" i="1"/>
  <c r="O2739" i="1"/>
  <c r="Q2739" i="1"/>
  <c r="R2739" i="1"/>
  <c r="W2739" i="1"/>
  <c r="AA2739" i="1"/>
  <c r="AM2739" i="1"/>
  <c r="AN2739" i="1"/>
  <c r="AO2739" i="1"/>
  <c r="AQ2739" i="1"/>
  <c r="BB2739" i="1"/>
  <c r="BD2739" i="1"/>
  <c r="B2740" i="1"/>
  <c r="C2740" i="1"/>
  <c r="E2740" i="1"/>
  <c r="F2740" i="1"/>
  <c r="G2740" i="1"/>
  <c r="H2740" i="1"/>
  <c r="I2740" i="1"/>
  <c r="J2740" i="1"/>
  <c r="K2740" i="1"/>
  <c r="M2740" i="1"/>
  <c r="O2740" i="1"/>
  <c r="Q2740" i="1"/>
  <c r="R2740" i="1"/>
  <c r="W2740" i="1"/>
  <c r="AA2740" i="1"/>
  <c r="AB2740" i="1"/>
  <c r="AE2740" i="1"/>
  <c r="AF2740" i="1"/>
  <c r="AM2740" i="1"/>
  <c r="AN2740" i="1"/>
  <c r="AO2740" i="1"/>
  <c r="AQ2740" i="1"/>
  <c r="AX2740" i="1"/>
  <c r="BD2740" i="1"/>
  <c r="B2741" i="1"/>
  <c r="C2741" i="1"/>
  <c r="E2741" i="1"/>
  <c r="F2741" i="1"/>
  <c r="G2741" i="1"/>
  <c r="H2741" i="1"/>
  <c r="I2741" i="1"/>
  <c r="J2741" i="1"/>
  <c r="K2741" i="1"/>
  <c r="M2741" i="1"/>
  <c r="O2741" i="1"/>
  <c r="Q2741" i="1"/>
  <c r="R2741" i="1"/>
  <c r="W2741" i="1"/>
  <c r="AA2741" i="1"/>
  <c r="AB2741" i="1"/>
  <c r="AE2741" i="1"/>
  <c r="AF2741" i="1"/>
  <c r="AM2741" i="1"/>
  <c r="AN2741" i="1"/>
  <c r="AO2741" i="1"/>
  <c r="AQ2741" i="1"/>
  <c r="AX2741" i="1"/>
  <c r="BD2741" i="1"/>
  <c r="B2742" i="1"/>
  <c r="C2742" i="1"/>
  <c r="E2742" i="1"/>
  <c r="F2742" i="1"/>
  <c r="G2742" i="1"/>
  <c r="H2742" i="1"/>
  <c r="I2742" i="1"/>
  <c r="J2742" i="1"/>
  <c r="K2742" i="1"/>
  <c r="M2742" i="1"/>
  <c r="O2742" i="1"/>
  <c r="Q2742" i="1"/>
  <c r="R2742" i="1"/>
  <c r="W2742" i="1"/>
  <c r="AA2742" i="1"/>
  <c r="AB2742" i="1"/>
  <c r="AE2742" i="1"/>
  <c r="AF2742" i="1"/>
  <c r="AM2742" i="1"/>
  <c r="AN2742" i="1"/>
  <c r="AO2742" i="1"/>
  <c r="AQ2742" i="1"/>
  <c r="AX2742" i="1"/>
  <c r="BD2742" i="1"/>
  <c r="B2743" i="1"/>
  <c r="C2743" i="1"/>
  <c r="D2743" i="1"/>
  <c r="E2743" i="1"/>
  <c r="F2743" i="1"/>
  <c r="G2743" i="1"/>
  <c r="H2743" i="1"/>
  <c r="I2743" i="1"/>
  <c r="J2743" i="1"/>
  <c r="K2743" i="1"/>
  <c r="M2743" i="1"/>
  <c r="O2743" i="1"/>
  <c r="Q2743" i="1"/>
  <c r="R2743" i="1"/>
  <c r="W2743" i="1"/>
  <c r="AA2743" i="1"/>
  <c r="AB2743" i="1"/>
  <c r="AE2743" i="1"/>
  <c r="AF2743" i="1"/>
  <c r="AM2743" i="1"/>
  <c r="AN2743" i="1"/>
  <c r="AO2743" i="1"/>
  <c r="AQ2743" i="1"/>
  <c r="AX2743" i="1"/>
  <c r="BD2743" i="1"/>
  <c r="B2744" i="1"/>
  <c r="C2744" i="1"/>
  <c r="D2744" i="1"/>
  <c r="E2744" i="1"/>
  <c r="F2744" i="1"/>
  <c r="G2744" i="1"/>
  <c r="H2744" i="1"/>
  <c r="I2744" i="1"/>
  <c r="J2744" i="1"/>
  <c r="K2744" i="1"/>
  <c r="M2744" i="1"/>
  <c r="O2744" i="1"/>
  <c r="Q2744" i="1"/>
  <c r="R2744" i="1"/>
  <c r="W2744" i="1"/>
  <c r="AA2744" i="1"/>
  <c r="AB2744" i="1"/>
  <c r="AE2744" i="1"/>
  <c r="AF2744" i="1"/>
  <c r="AM2744" i="1"/>
  <c r="AN2744" i="1"/>
  <c r="AO2744" i="1"/>
  <c r="AQ2744" i="1"/>
  <c r="AX2744" i="1"/>
  <c r="BD2744" i="1"/>
  <c r="B2745" i="1"/>
  <c r="C2745" i="1"/>
  <c r="E2745" i="1"/>
  <c r="F2745" i="1"/>
  <c r="G2745" i="1"/>
  <c r="H2745" i="1"/>
  <c r="I2745" i="1"/>
  <c r="J2745" i="1"/>
  <c r="K2745" i="1"/>
  <c r="M2745" i="1"/>
  <c r="O2745" i="1"/>
  <c r="Q2745" i="1"/>
  <c r="R2745" i="1"/>
  <c r="W2745" i="1"/>
  <c r="AA2745" i="1"/>
  <c r="AB2745" i="1"/>
  <c r="AE2745" i="1"/>
  <c r="AF2745" i="1"/>
  <c r="AM2745" i="1"/>
  <c r="AN2745" i="1"/>
  <c r="AO2745" i="1"/>
  <c r="AQ2745" i="1"/>
  <c r="AX2745" i="1"/>
  <c r="BD2745" i="1"/>
  <c r="B2746" i="1"/>
  <c r="C2746" i="1"/>
  <c r="E2746" i="1"/>
  <c r="F2746" i="1"/>
  <c r="G2746" i="1"/>
  <c r="H2746" i="1"/>
  <c r="I2746" i="1"/>
  <c r="J2746" i="1"/>
  <c r="K2746" i="1"/>
  <c r="M2746" i="1"/>
  <c r="O2746" i="1"/>
  <c r="Q2746" i="1"/>
  <c r="R2746" i="1"/>
  <c r="W2746" i="1"/>
  <c r="AA2746" i="1"/>
  <c r="AB2746" i="1"/>
  <c r="AE2746" i="1"/>
  <c r="AF2746" i="1"/>
  <c r="AM2746" i="1"/>
  <c r="AN2746" i="1"/>
  <c r="AO2746" i="1"/>
  <c r="AQ2746" i="1"/>
  <c r="AX2746" i="1"/>
  <c r="BD2746" i="1"/>
  <c r="B2747" i="1"/>
  <c r="C2747" i="1"/>
  <c r="E2747" i="1"/>
  <c r="F2747" i="1"/>
  <c r="G2747" i="1"/>
  <c r="H2747" i="1"/>
  <c r="I2747" i="1"/>
  <c r="J2747" i="1"/>
  <c r="K2747" i="1"/>
  <c r="M2747" i="1"/>
  <c r="O2747" i="1"/>
  <c r="Q2747" i="1"/>
  <c r="R2747" i="1"/>
  <c r="W2747" i="1"/>
  <c r="AA2747" i="1"/>
  <c r="AB2747" i="1"/>
  <c r="AE2747" i="1"/>
  <c r="AF2747" i="1"/>
  <c r="AM2747" i="1"/>
  <c r="AN2747" i="1"/>
  <c r="AO2747" i="1"/>
  <c r="AQ2747" i="1"/>
  <c r="AX2747" i="1"/>
  <c r="BD2747" i="1"/>
  <c r="B2748" i="1"/>
  <c r="C2748" i="1"/>
  <c r="E2748" i="1"/>
  <c r="F2748" i="1"/>
  <c r="G2748" i="1"/>
  <c r="H2748" i="1"/>
  <c r="I2748" i="1"/>
  <c r="J2748" i="1"/>
  <c r="K2748" i="1"/>
  <c r="M2748" i="1"/>
  <c r="O2748" i="1"/>
  <c r="Q2748" i="1"/>
  <c r="R2748" i="1"/>
  <c r="W2748" i="1"/>
  <c r="AA2748" i="1"/>
  <c r="AB2748" i="1"/>
  <c r="AE2748" i="1"/>
  <c r="AF2748" i="1"/>
  <c r="AM2748" i="1"/>
  <c r="AN2748" i="1"/>
  <c r="AO2748" i="1"/>
  <c r="AQ2748" i="1"/>
  <c r="AX2748" i="1"/>
  <c r="BD2748" i="1"/>
  <c r="B2749" i="1"/>
  <c r="C2749" i="1"/>
  <c r="E2749" i="1"/>
  <c r="F2749" i="1"/>
  <c r="G2749" i="1"/>
  <c r="H2749" i="1"/>
  <c r="I2749" i="1"/>
  <c r="J2749" i="1"/>
  <c r="K2749" i="1"/>
  <c r="M2749" i="1"/>
  <c r="O2749" i="1"/>
  <c r="Q2749" i="1"/>
  <c r="R2749" i="1"/>
  <c r="W2749" i="1"/>
  <c r="AA2749" i="1"/>
  <c r="AB2749" i="1"/>
  <c r="AE2749" i="1"/>
  <c r="AF2749" i="1"/>
  <c r="AM2749" i="1"/>
  <c r="AN2749" i="1"/>
  <c r="AO2749" i="1"/>
  <c r="AQ2749" i="1"/>
  <c r="AX2749" i="1"/>
  <c r="BD2749" i="1"/>
  <c r="B2750" i="1"/>
  <c r="C2750" i="1"/>
  <c r="E2750" i="1"/>
  <c r="F2750" i="1"/>
  <c r="G2750" i="1"/>
  <c r="H2750" i="1"/>
  <c r="I2750" i="1"/>
  <c r="J2750" i="1"/>
  <c r="K2750" i="1"/>
  <c r="M2750" i="1"/>
  <c r="O2750" i="1"/>
  <c r="Q2750" i="1"/>
  <c r="R2750" i="1"/>
  <c r="W2750" i="1"/>
  <c r="AA2750" i="1"/>
  <c r="AB2750" i="1"/>
  <c r="AE2750" i="1"/>
  <c r="AF2750" i="1"/>
  <c r="AM2750" i="1"/>
  <c r="AN2750" i="1"/>
  <c r="AO2750" i="1"/>
  <c r="AQ2750" i="1"/>
  <c r="AX2750" i="1"/>
  <c r="BD2750" i="1"/>
  <c r="B2751" i="1"/>
  <c r="C2751" i="1"/>
  <c r="E2751" i="1"/>
  <c r="F2751" i="1"/>
  <c r="G2751" i="1"/>
  <c r="H2751" i="1"/>
  <c r="I2751" i="1"/>
  <c r="J2751" i="1"/>
  <c r="K2751" i="1"/>
  <c r="M2751" i="1"/>
  <c r="O2751" i="1"/>
  <c r="Q2751" i="1"/>
  <c r="R2751" i="1"/>
  <c r="W2751" i="1"/>
  <c r="AA2751" i="1"/>
  <c r="AB2751" i="1"/>
  <c r="AE2751" i="1"/>
  <c r="AF2751" i="1"/>
  <c r="AM2751" i="1"/>
  <c r="AN2751" i="1"/>
  <c r="AO2751" i="1"/>
  <c r="AQ2751" i="1"/>
  <c r="AX2751" i="1"/>
  <c r="BD2751" i="1"/>
  <c r="B2752" i="1"/>
  <c r="C2752" i="1"/>
  <c r="D2752" i="1"/>
  <c r="E2752" i="1"/>
  <c r="F2752" i="1"/>
  <c r="G2752" i="1"/>
  <c r="H2752" i="1"/>
  <c r="I2752" i="1"/>
  <c r="J2752" i="1"/>
  <c r="K2752" i="1"/>
  <c r="M2752" i="1"/>
  <c r="O2752" i="1"/>
  <c r="Q2752" i="1"/>
  <c r="R2752" i="1"/>
  <c r="W2752" i="1"/>
  <c r="AA2752" i="1"/>
  <c r="AB2752" i="1"/>
  <c r="AE2752" i="1"/>
  <c r="AF2752" i="1"/>
  <c r="AM2752" i="1"/>
  <c r="AN2752" i="1"/>
  <c r="AO2752" i="1"/>
  <c r="AQ2752" i="1"/>
  <c r="AX2752" i="1"/>
  <c r="BD2752" i="1"/>
  <c r="B2753" i="1"/>
  <c r="C2753" i="1"/>
  <c r="E2753" i="1"/>
  <c r="F2753" i="1"/>
  <c r="G2753" i="1"/>
  <c r="H2753" i="1"/>
  <c r="I2753" i="1"/>
  <c r="J2753" i="1"/>
  <c r="K2753" i="1"/>
  <c r="M2753" i="1"/>
  <c r="O2753" i="1"/>
  <c r="Q2753" i="1"/>
  <c r="R2753" i="1"/>
  <c r="W2753" i="1"/>
  <c r="AA2753" i="1"/>
  <c r="AB2753" i="1"/>
  <c r="AE2753" i="1"/>
  <c r="AF2753" i="1"/>
  <c r="AM2753" i="1"/>
  <c r="AN2753" i="1"/>
  <c r="AO2753" i="1"/>
  <c r="AQ2753" i="1"/>
  <c r="AX2753" i="1"/>
  <c r="BD2753" i="1"/>
  <c r="B2754" i="1"/>
  <c r="C2754" i="1"/>
  <c r="D2754" i="1"/>
  <c r="E2754" i="1"/>
  <c r="F2754" i="1"/>
  <c r="G2754" i="1"/>
  <c r="H2754" i="1"/>
  <c r="I2754" i="1"/>
  <c r="J2754" i="1"/>
  <c r="K2754" i="1"/>
  <c r="M2754" i="1"/>
  <c r="O2754" i="1"/>
  <c r="Q2754" i="1"/>
  <c r="R2754" i="1"/>
  <c r="W2754" i="1"/>
  <c r="AA2754" i="1"/>
  <c r="AB2754" i="1"/>
  <c r="AE2754" i="1"/>
  <c r="AF2754" i="1"/>
  <c r="AM2754" i="1"/>
  <c r="AN2754" i="1"/>
  <c r="AO2754" i="1"/>
  <c r="AQ2754" i="1"/>
  <c r="AX2754" i="1"/>
  <c r="BD2754" i="1"/>
  <c r="B2755" i="1"/>
  <c r="C2755" i="1"/>
  <c r="D2755" i="1"/>
  <c r="E2755" i="1"/>
  <c r="F2755" i="1"/>
  <c r="G2755" i="1"/>
  <c r="H2755" i="1"/>
  <c r="I2755" i="1"/>
  <c r="J2755" i="1"/>
  <c r="K2755" i="1"/>
  <c r="M2755" i="1"/>
  <c r="O2755" i="1"/>
  <c r="Q2755" i="1"/>
  <c r="R2755" i="1"/>
  <c r="W2755" i="1"/>
  <c r="AA2755" i="1"/>
  <c r="AB2755" i="1"/>
  <c r="AE2755" i="1"/>
  <c r="AF2755" i="1"/>
  <c r="AM2755" i="1"/>
  <c r="AN2755" i="1"/>
  <c r="AO2755" i="1"/>
  <c r="AQ2755" i="1"/>
  <c r="AX2755" i="1"/>
  <c r="BD2755" i="1"/>
  <c r="B2756" i="1"/>
  <c r="C2756" i="1"/>
  <c r="D2756" i="1"/>
  <c r="E2756" i="1"/>
  <c r="F2756" i="1"/>
  <c r="G2756" i="1"/>
  <c r="H2756" i="1"/>
  <c r="I2756" i="1"/>
  <c r="J2756" i="1"/>
  <c r="K2756" i="1"/>
  <c r="M2756" i="1"/>
  <c r="O2756" i="1"/>
  <c r="Q2756" i="1"/>
  <c r="R2756" i="1"/>
  <c r="W2756" i="1"/>
  <c r="AA2756" i="1"/>
  <c r="AB2756" i="1"/>
  <c r="AE2756" i="1"/>
  <c r="AF2756" i="1"/>
  <c r="AM2756" i="1"/>
  <c r="AN2756" i="1"/>
  <c r="AO2756" i="1"/>
  <c r="AQ2756" i="1"/>
  <c r="AX2756" i="1"/>
  <c r="BD2756" i="1"/>
  <c r="B2757" i="1"/>
  <c r="C2757" i="1"/>
  <c r="D2757" i="1"/>
  <c r="E2757" i="1"/>
  <c r="F2757" i="1"/>
  <c r="G2757" i="1"/>
  <c r="H2757" i="1"/>
  <c r="I2757" i="1"/>
  <c r="J2757" i="1"/>
  <c r="K2757" i="1"/>
  <c r="M2757" i="1"/>
  <c r="O2757" i="1"/>
  <c r="Q2757" i="1"/>
  <c r="R2757" i="1"/>
  <c r="W2757" i="1"/>
  <c r="AA2757" i="1"/>
  <c r="AB2757" i="1"/>
  <c r="AE2757" i="1"/>
  <c r="AF2757" i="1"/>
  <c r="AM2757" i="1"/>
  <c r="AN2757" i="1"/>
  <c r="AO2757" i="1"/>
  <c r="AQ2757" i="1"/>
  <c r="AX2757" i="1"/>
  <c r="BD2757" i="1"/>
  <c r="B2758" i="1"/>
  <c r="C2758" i="1"/>
  <c r="D2758" i="1"/>
  <c r="E2758" i="1"/>
  <c r="F2758" i="1"/>
  <c r="G2758" i="1"/>
  <c r="H2758" i="1"/>
  <c r="I2758" i="1"/>
  <c r="J2758" i="1"/>
  <c r="K2758" i="1"/>
  <c r="M2758" i="1"/>
  <c r="O2758" i="1"/>
  <c r="Q2758" i="1"/>
  <c r="R2758" i="1"/>
  <c r="W2758" i="1"/>
  <c r="AA2758" i="1"/>
  <c r="AB2758" i="1"/>
  <c r="AE2758" i="1"/>
  <c r="AF2758" i="1"/>
  <c r="AM2758" i="1"/>
  <c r="AN2758" i="1"/>
  <c r="AO2758" i="1"/>
  <c r="AQ2758" i="1"/>
  <c r="AX2758" i="1"/>
  <c r="BD2758" i="1"/>
  <c r="B2759" i="1"/>
  <c r="C2759" i="1"/>
  <c r="D2759" i="1"/>
  <c r="E2759" i="1"/>
  <c r="F2759" i="1"/>
  <c r="G2759" i="1"/>
  <c r="H2759" i="1"/>
  <c r="I2759" i="1"/>
  <c r="J2759" i="1"/>
  <c r="K2759" i="1"/>
  <c r="M2759" i="1"/>
  <c r="O2759" i="1"/>
  <c r="Q2759" i="1"/>
  <c r="R2759" i="1"/>
  <c r="W2759" i="1"/>
  <c r="AA2759" i="1"/>
  <c r="AB2759" i="1"/>
  <c r="AE2759" i="1"/>
  <c r="AF2759" i="1"/>
  <c r="AM2759" i="1"/>
  <c r="AN2759" i="1"/>
  <c r="AO2759" i="1"/>
  <c r="AQ2759" i="1"/>
  <c r="AX2759" i="1"/>
  <c r="BD2759" i="1"/>
  <c r="B2760" i="1"/>
  <c r="C2760" i="1"/>
  <c r="D2760" i="1"/>
  <c r="E2760" i="1"/>
  <c r="F2760" i="1"/>
  <c r="G2760" i="1"/>
  <c r="H2760" i="1"/>
  <c r="I2760" i="1"/>
  <c r="J2760" i="1"/>
  <c r="K2760" i="1"/>
  <c r="M2760" i="1"/>
  <c r="O2760" i="1"/>
  <c r="Q2760" i="1"/>
  <c r="R2760" i="1"/>
  <c r="W2760" i="1"/>
  <c r="AA2760" i="1"/>
  <c r="AB2760" i="1"/>
  <c r="AE2760" i="1"/>
  <c r="AF2760" i="1"/>
  <c r="AM2760" i="1"/>
  <c r="AN2760" i="1"/>
  <c r="AO2760" i="1"/>
  <c r="AQ2760" i="1"/>
  <c r="AX2760" i="1"/>
  <c r="BD2760" i="1"/>
  <c r="B2761" i="1"/>
  <c r="C2761" i="1"/>
  <c r="D2761" i="1"/>
  <c r="E2761" i="1"/>
  <c r="F2761" i="1"/>
  <c r="G2761" i="1"/>
  <c r="H2761" i="1"/>
  <c r="I2761" i="1"/>
  <c r="J2761" i="1"/>
  <c r="K2761" i="1"/>
  <c r="M2761" i="1"/>
  <c r="O2761" i="1"/>
  <c r="Q2761" i="1"/>
  <c r="R2761" i="1"/>
  <c r="W2761" i="1"/>
  <c r="AA2761" i="1"/>
  <c r="AB2761" i="1"/>
  <c r="AE2761" i="1"/>
  <c r="AF2761" i="1"/>
  <c r="AM2761" i="1"/>
  <c r="AN2761" i="1"/>
  <c r="AO2761" i="1"/>
  <c r="AQ2761" i="1"/>
  <c r="AX2761" i="1"/>
  <c r="BD2761" i="1"/>
  <c r="B2762" i="1"/>
  <c r="C2762" i="1"/>
  <c r="D2762" i="1"/>
  <c r="E2762" i="1"/>
  <c r="F2762" i="1"/>
  <c r="G2762" i="1"/>
  <c r="H2762" i="1"/>
  <c r="I2762" i="1"/>
  <c r="J2762" i="1"/>
  <c r="K2762" i="1"/>
  <c r="M2762" i="1"/>
  <c r="O2762" i="1"/>
  <c r="Q2762" i="1"/>
  <c r="R2762" i="1"/>
  <c r="W2762" i="1"/>
  <c r="AA2762" i="1"/>
  <c r="AB2762" i="1"/>
  <c r="AE2762" i="1"/>
  <c r="AF2762" i="1"/>
  <c r="AM2762" i="1"/>
  <c r="AN2762" i="1"/>
  <c r="AO2762" i="1"/>
  <c r="AQ2762" i="1"/>
  <c r="AX2762" i="1"/>
  <c r="BD2762" i="1"/>
  <c r="B2763" i="1"/>
  <c r="C2763" i="1"/>
  <c r="D2763" i="1"/>
  <c r="E2763" i="1"/>
  <c r="F2763" i="1"/>
  <c r="G2763" i="1"/>
  <c r="H2763" i="1"/>
  <c r="I2763" i="1"/>
  <c r="J2763" i="1"/>
  <c r="K2763" i="1"/>
  <c r="M2763" i="1"/>
  <c r="O2763" i="1"/>
  <c r="Q2763" i="1"/>
  <c r="R2763" i="1"/>
  <c r="W2763" i="1"/>
  <c r="AA2763" i="1"/>
  <c r="AB2763" i="1"/>
  <c r="AE2763" i="1"/>
  <c r="AF2763" i="1"/>
  <c r="AM2763" i="1"/>
  <c r="AN2763" i="1"/>
  <c r="AO2763" i="1"/>
  <c r="AQ2763" i="1"/>
  <c r="AX2763" i="1"/>
  <c r="BD2763" i="1"/>
  <c r="B2764" i="1"/>
  <c r="C2764" i="1"/>
  <c r="D2764" i="1"/>
  <c r="E2764" i="1"/>
  <c r="F2764" i="1"/>
  <c r="G2764" i="1"/>
  <c r="H2764" i="1"/>
  <c r="I2764" i="1"/>
  <c r="J2764" i="1"/>
  <c r="K2764" i="1"/>
  <c r="M2764" i="1"/>
  <c r="O2764" i="1"/>
  <c r="Q2764" i="1"/>
  <c r="R2764" i="1"/>
  <c r="W2764" i="1"/>
  <c r="AA2764" i="1"/>
  <c r="AB2764" i="1"/>
  <c r="AE2764" i="1"/>
  <c r="AF2764" i="1"/>
  <c r="AM2764" i="1"/>
  <c r="AN2764" i="1"/>
  <c r="AO2764" i="1"/>
  <c r="AQ2764" i="1"/>
  <c r="AX2764" i="1"/>
  <c r="BD2764" i="1"/>
  <c r="B2765" i="1"/>
  <c r="C2765" i="1"/>
  <c r="D2765" i="1"/>
  <c r="E2765" i="1"/>
  <c r="F2765" i="1"/>
  <c r="G2765" i="1"/>
  <c r="H2765" i="1"/>
  <c r="I2765" i="1"/>
  <c r="J2765" i="1"/>
  <c r="K2765" i="1"/>
  <c r="M2765" i="1"/>
  <c r="O2765" i="1"/>
  <c r="Q2765" i="1"/>
  <c r="R2765" i="1"/>
  <c r="W2765" i="1"/>
  <c r="AA2765" i="1"/>
  <c r="AB2765" i="1"/>
  <c r="AE2765" i="1"/>
  <c r="AF2765" i="1"/>
  <c r="AM2765" i="1"/>
  <c r="AN2765" i="1"/>
  <c r="AO2765" i="1"/>
  <c r="AQ2765" i="1"/>
  <c r="AX2765" i="1"/>
  <c r="BD2765" i="1"/>
  <c r="B2766" i="1"/>
  <c r="C2766" i="1"/>
  <c r="D2766" i="1"/>
  <c r="E2766" i="1"/>
  <c r="F2766" i="1"/>
  <c r="G2766" i="1"/>
  <c r="H2766" i="1"/>
  <c r="I2766" i="1"/>
  <c r="J2766" i="1"/>
  <c r="K2766" i="1"/>
  <c r="M2766" i="1"/>
  <c r="O2766" i="1"/>
  <c r="Q2766" i="1"/>
  <c r="R2766" i="1"/>
  <c r="W2766" i="1"/>
  <c r="AA2766" i="1"/>
  <c r="AB2766" i="1"/>
  <c r="AE2766" i="1"/>
  <c r="AF2766" i="1"/>
  <c r="AM2766" i="1"/>
  <c r="AN2766" i="1"/>
  <c r="AO2766" i="1"/>
  <c r="AQ2766" i="1"/>
  <c r="AX2766" i="1"/>
  <c r="BD2766" i="1"/>
  <c r="B2767" i="1"/>
  <c r="C2767" i="1"/>
  <c r="D2767" i="1"/>
  <c r="E2767" i="1"/>
  <c r="F2767" i="1"/>
  <c r="G2767" i="1"/>
  <c r="H2767" i="1"/>
  <c r="I2767" i="1"/>
  <c r="J2767" i="1"/>
  <c r="K2767" i="1"/>
  <c r="M2767" i="1"/>
  <c r="O2767" i="1"/>
  <c r="Q2767" i="1"/>
  <c r="R2767" i="1"/>
  <c r="W2767" i="1"/>
  <c r="AA2767" i="1"/>
  <c r="AB2767" i="1"/>
  <c r="AE2767" i="1"/>
  <c r="AF2767" i="1"/>
  <c r="AM2767" i="1"/>
  <c r="AN2767" i="1"/>
  <c r="AO2767" i="1"/>
  <c r="AQ2767" i="1"/>
  <c r="AX2767" i="1"/>
  <c r="BD2767" i="1"/>
  <c r="B2768" i="1"/>
  <c r="C2768" i="1"/>
  <c r="D2768" i="1"/>
  <c r="E2768" i="1"/>
  <c r="F2768" i="1"/>
  <c r="G2768" i="1"/>
  <c r="H2768" i="1"/>
  <c r="I2768" i="1"/>
  <c r="J2768" i="1"/>
  <c r="K2768" i="1"/>
  <c r="M2768" i="1"/>
  <c r="O2768" i="1"/>
  <c r="Q2768" i="1"/>
  <c r="R2768" i="1"/>
  <c r="W2768" i="1"/>
  <c r="AA2768" i="1"/>
  <c r="AB2768" i="1"/>
  <c r="AE2768" i="1"/>
  <c r="AF2768" i="1"/>
  <c r="AM2768" i="1"/>
  <c r="AN2768" i="1"/>
  <c r="AO2768" i="1"/>
  <c r="AQ2768" i="1"/>
  <c r="AX2768" i="1"/>
  <c r="BD2768" i="1"/>
  <c r="B2769" i="1"/>
  <c r="C2769" i="1"/>
  <c r="D2769" i="1"/>
  <c r="E2769" i="1"/>
  <c r="F2769" i="1"/>
  <c r="G2769" i="1"/>
  <c r="H2769" i="1"/>
  <c r="I2769" i="1"/>
  <c r="J2769" i="1"/>
  <c r="K2769" i="1"/>
  <c r="M2769" i="1"/>
  <c r="O2769" i="1"/>
  <c r="Q2769" i="1"/>
  <c r="R2769" i="1"/>
  <c r="W2769" i="1"/>
  <c r="AA2769" i="1"/>
  <c r="AB2769" i="1"/>
  <c r="AE2769" i="1"/>
  <c r="AF2769" i="1"/>
  <c r="AM2769" i="1"/>
  <c r="AN2769" i="1"/>
  <c r="AO2769" i="1"/>
  <c r="AQ2769" i="1"/>
  <c r="AX2769" i="1"/>
  <c r="BD2769" i="1"/>
  <c r="B2770" i="1"/>
  <c r="C2770" i="1"/>
  <c r="D2770" i="1"/>
  <c r="E2770" i="1"/>
  <c r="F2770" i="1"/>
  <c r="G2770" i="1"/>
  <c r="H2770" i="1"/>
  <c r="I2770" i="1"/>
  <c r="J2770" i="1"/>
  <c r="K2770" i="1"/>
  <c r="M2770" i="1"/>
  <c r="O2770" i="1"/>
  <c r="Q2770" i="1"/>
  <c r="R2770" i="1"/>
  <c r="W2770" i="1"/>
  <c r="AA2770" i="1"/>
  <c r="AB2770" i="1"/>
  <c r="AE2770" i="1"/>
  <c r="AF2770" i="1"/>
  <c r="AM2770" i="1"/>
  <c r="AN2770" i="1"/>
  <c r="AO2770" i="1"/>
  <c r="AQ2770" i="1"/>
  <c r="AX2770" i="1"/>
  <c r="BD2770" i="1"/>
  <c r="B2771" i="1"/>
  <c r="C2771" i="1"/>
  <c r="D2771" i="1"/>
  <c r="E2771" i="1"/>
  <c r="F2771" i="1"/>
  <c r="G2771" i="1"/>
  <c r="H2771" i="1"/>
  <c r="I2771" i="1"/>
  <c r="J2771" i="1"/>
  <c r="K2771" i="1"/>
  <c r="M2771" i="1"/>
  <c r="O2771" i="1"/>
  <c r="Q2771" i="1"/>
  <c r="R2771" i="1"/>
  <c r="W2771" i="1"/>
  <c r="AA2771" i="1"/>
  <c r="AB2771" i="1"/>
  <c r="AE2771" i="1"/>
  <c r="AF2771" i="1"/>
  <c r="AM2771" i="1"/>
  <c r="AN2771" i="1"/>
  <c r="AO2771" i="1"/>
  <c r="AQ2771" i="1"/>
  <c r="AX2771" i="1"/>
  <c r="BD2771" i="1"/>
  <c r="B2772" i="1"/>
  <c r="C2772" i="1"/>
  <c r="E2772" i="1"/>
  <c r="F2772" i="1"/>
  <c r="G2772" i="1"/>
  <c r="H2772" i="1"/>
  <c r="I2772" i="1"/>
  <c r="J2772" i="1"/>
  <c r="K2772" i="1"/>
  <c r="M2772" i="1"/>
  <c r="O2772" i="1"/>
  <c r="Q2772" i="1"/>
  <c r="R2772" i="1"/>
  <c r="W2772" i="1"/>
  <c r="AA2772" i="1"/>
  <c r="AM2772" i="1"/>
  <c r="AN2772" i="1"/>
  <c r="AO2772" i="1"/>
  <c r="AQ2772" i="1"/>
  <c r="BB2772" i="1"/>
  <c r="BD2772" i="1"/>
  <c r="B2773" i="1"/>
  <c r="C2773" i="1"/>
  <c r="E2773" i="1"/>
  <c r="F2773" i="1"/>
  <c r="G2773" i="1"/>
  <c r="H2773" i="1"/>
  <c r="I2773" i="1"/>
  <c r="J2773" i="1"/>
  <c r="K2773" i="1"/>
  <c r="M2773" i="1"/>
  <c r="O2773" i="1"/>
  <c r="Q2773" i="1"/>
  <c r="R2773" i="1"/>
  <c r="W2773" i="1"/>
  <c r="AA2773" i="1"/>
  <c r="AM2773" i="1"/>
  <c r="AN2773" i="1"/>
  <c r="AO2773" i="1"/>
  <c r="AQ2773" i="1"/>
  <c r="BB2773" i="1"/>
  <c r="BD2773" i="1"/>
  <c r="B2774" i="1"/>
  <c r="C2774" i="1"/>
  <c r="E2774" i="1"/>
  <c r="F2774" i="1"/>
  <c r="G2774" i="1"/>
  <c r="H2774" i="1"/>
  <c r="I2774" i="1"/>
  <c r="J2774" i="1"/>
  <c r="K2774" i="1"/>
  <c r="M2774" i="1"/>
  <c r="O2774" i="1"/>
  <c r="Q2774" i="1"/>
  <c r="R2774" i="1"/>
  <c r="W2774" i="1"/>
  <c r="AA2774" i="1"/>
  <c r="AM2774" i="1"/>
  <c r="AN2774" i="1"/>
  <c r="AO2774" i="1"/>
  <c r="AQ2774" i="1"/>
  <c r="BB2774" i="1"/>
  <c r="BD2774" i="1"/>
  <c r="B2775" i="1"/>
  <c r="C2775" i="1"/>
  <c r="E2775" i="1"/>
  <c r="F2775" i="1"/>
  <c r="G2775" i="1"/>
  <c r="H2775" i="1"/>
  <c r="I2775" i="1"/>
  <c r="J2775" i="1"/>
  <c r="K2775" i="1"/>
  <c r="M2775" i="1"/>
  <c r="O2775" i="1"/>
  <c r="Q2775" i="1"/>
  <c r="R2775" i="1"/>
  <c r="W2775" i="1"/>
  <c r="AA2775" i="1"/>
  <c r="AM2775" i="1"/>
  <c r="AN2775" i="1"/>
  <c r="AO2775" i="1"/>
  <c r="AQ2775" i="1"/>
  <c r="BB2775" i="1"/>
  <c r="BD2775" i="1"/>
  <c r="B2776" i="1"/>
  <c r="C2776" i="1"/>
  <c r="E2776" i="1"/>
  <c r="F2776" i="1"/>
  <c r="G2776" i="1"/>
  <c r="H2776" i="1"/>
  <c r="I2776" i="1"/>
  <c r="J2776" i="1"/>
  <c r="K2776" i="1"/>
  <c r="M2776" i="1"/>
  <c r="O2776" i="1"/>
  <c r="Q2776" i="1"/>
  <c r="R2776" i="1"/>
  <c r="W2776" i="1"/>
  <c r="AA2776" i="1"/>
  <c r="AM2776" i="1"/>
  <c r="AN2776" i="1"/>
  <c r="AO2776" i="1"/>
  <c r="AQ2776" i="1"/>
  <c r="BB2776" i="1"/>
  <c r="BD2776" i="1"/>
  <c r="B2777" i="1"/>
  <c r="C2777" i="1"/>
  <c r="E2777" i="1"/>
  <c r="F2777" i="1"/>
  <c r="G2777" i="1"/>
  <c r="H2777" i="1"/>
  <c r="I2777" i="1"/>
  <c r="J2777" i="1"/>
  <c r="K2777" i="1"/>
  <c r="M2777" i="1"/>
  <c r="O2777" i="1"/>
  <c r="Q2777" i="1"/>
  <c r="R2777" i="1"/>
  <c r="W2777" i="1"/>
  <c r="AA2777" i="1"/>
  <c r="AM2777" i="1"/>
  <c r="AN2777" i="1"/>
  <c r="AO2777" i="1"/>
  <c r="AQ2777" i="1"/>
  <c r="BB2777" i="1"/>
  <c r="BD2777" i="1"/>
  <c r="B2778" i="1"/>
  <c r="C2778" i="1"/>
  <c r="E2778" i="1"/>
  <c r="F2778" i="1"/>
  <c r="G2778" i="1"/>
  <c r="H2778" i="1"/>
  <c r="I2778" i="1"/>
  <c r="J2778" i="1"/>
  <c r="K2778" i="1"/>
  <c r="M2778" i="1"/>
  <c r="O2778" i="1"/>
  <c r="Q2778" i="1"/>
  <c r="R2778" i="1"/>
  <c r="W2778" i="1"/>
  <c r="AA2778" i="1"/>
  <c r="AM2778" i="1"/>
  <c r="AN2778" i="1"/>
  <c r="AO2778" i="1"/>
  <c r="AQ2778" i="1"/>
  <c r="BB2778" i="1"/>
  <c r="BD2778" i="1"/>
  <c r="B2779" i="1"/>
  <c r="C2779" i="1"/>
  <c r="E2779" i="1"/>
  <c r="F2779" i="1"/>
  <c r="G2779" i="1"/>
  <c r="H2779" i="1"/>
  <c r="I2779" i="1"/>
  <c r="J2779" i="1"/>
  <c r="K2779" i="1"/>
  <c r="M2779" i="1"/>
  <c r="O2779" i="1"/>
  <c r="Q2779" i="1"/>
  <c r="R2779" i="1"/>
  <c r="W2779" i="1"/>
  <c r="AA2779" i="1"/>
  <c r="AM2779" i="1"/>
  <c r="AN2779" i="1"/>
  <c r="AO2779" i="1"/>
  <c r="AQ2779" i="1"/>
  <c r="BB2779" i="1"/>
  <c r="BD2779" i="1"/>
  <c r="B2780" i="1"/>
  <c r="C2780" i="1"/>
  <c r="E2780" i="1"/>
  <c r="F2780" i="1"/>
  <c r="G2780" i="1"/>
  <c r="H2780" i="1"/>
  <c r="I2780" i="1"/>
  <c r="J2780" i="1"/>
  <c r="K2780" i="1"/>
  <c r="M2780" i="1"/>
  <c r="O2780" i="1"/>
  <c r="Q2780" i="1"/>
  <c r="R2780" i="1"/>
  <c r="W2780" i="1"/>
  <c r="AA2780" i="1"/>
  <c r="AM2780" i="1"/>
  <c r="AN2780" i="1"/>
  <c r="AO2780" i="1"/>
  <c r="AQ2780" i="1"/>
  <c r="BB2780" i="1"/>
  <c r="BD2780" i="1"/>
  <c r="B2781" i="1"/>
  <c r="C2781" i="1"/>
  <c r="E2781" i="1"/>
  <c r="F2781" i="1"/>
  <c r="G2781" i="1"/>
  <c r="H2781" i="1"/>
  <c r="I2781" i="1"/>
  <c r="J2781" i="1"/>
  <c r="K2781" i="1"/>
  <c r="M2781" i="1"/>
  <c r="O2781" i="1"/>
  <c r="Q2781" i="1"/>
  <c r="R2781" i="1"/>
  <c r="W2781" i="1"/>
  <c r="AA2781" i="1"/>
  <c r="AM2781" i="1"/>
  <c r="AN2781" i="1"/>
  <c r="AO2781" i="1"/>
  <c r="AQ2781" i="1"/>
  <c r="BB2781" i="1"/>
  <c r="BD2781" i="1"/>
  <c r="B2782" i="1"/>
  <c r="C2782" i="1"/>
  <c r="E2782" i="1"/>
  <c r="F2782" i="1"/>
  <c r="G2782" i="1"/>
  <c r="H2782" i="1"/>
  <c r="I2782" i="1"/>
  <c r="J2782" i="1"/>
  <c r="K2782" i="1"/>
  <c r="M2782" i="1"/>
  <c r="O2782" i="1"/>
  <c r="Q2782" i="1"/>
  <c r="R2782" i="1"/>
  <c r="W2782" i="1"/>
  <c r="AA2782" i="1"/>
  <c r="AM2782" i="1"/>
  <c r="AN2782" i="1"/>
  <c r="AO2782" i="1"/>
  <c r="AQ2782" i="1"/>
  <c r="BB2782" i="1"/>
  <c r="BD2782" i="1"/>
  <c r="B2783" i="1"/>
  <c r="C2783" i="1"/>
  <c r="E2783" i="1"/>
  <c r="F2783" i="1"/>
  <c r="G2783" i="1"/>
  <c r="H2783" i="1"/>
  <c r="I2783" i="1"/>
  <c r="J2783" i="1"/>
  <c r="K2783" i="1"/>
  <c r="M2783" i="1"/>
  <c r="O2783" i="1"/>
  <c r="Q2783" i="1"/>
  <c r="R2783" i="1"/>
  <c r="W2783" i="1"/>
  <c r="AA2783" i="1"/>
  <c r="AM2783" i="1"/>
  <c r="AN2783" i="1"/>
  <c r="AO2783" i="1"/>
  <c r="AQ2783" i="1"/>
  <c r="BB2783" i="1"/>
  <c r="BD2783" i="1"/>
  <c r="B2784" i="1"/>
  <c r="C2784" i="1"/>
  <c r="E2784" i="1"/>
  <c r="F2784" i="1"/>
  <c r="G2784" i="1"/>
  <c r="H2784" i="1"/>
  <c r="I2784" i="1"/>
  <c r="J2784" i="1"/>
  <c r="K2784" i="1"/>
  <c r="M2784" i="1"/>
  <c r="O2784" i="1"/>
  <c r="Q2784" i="1"/>
  <c r="R2784" i="1"/>
  <c r="W2784" i="1"/>
  <c r="AA2784" i="1"/>
  <c r="AM2784" i="1"/>
  <c r="AN2784" i="1"/>
  <c r="AO2784" i="1"/>
  <c r="AQ2784" i="1"/>
  <c r="BB2784" i="1"/>
  <c r="BD2784" i="1"/>
  <c r="B2785" i="1"/>
  <c r="C2785" i="1"/>
  <c r="E2785" i="1"/>
  <c r="F2785" i="1"/>
  <c r="G2785" i="1"/>
  <c r="H2785" i="1"/>
  <c r="I2785" i="1"/>
  <c r="J2785" i="1"/>
  <c r="K2785" i="1"/>
  <c r="M2785" i="1"/>
  <c r="O2785" i="1"/>
  <c r="Q2785" i="1"/>
  <c r="R2785" i="1"/>
  <c r="W2785" i="1"/>
  <c r="AA2785" i="1"/>
  <c r="AM2785" i="1"/>
  <c r="AN2785" i="1"/>
  <c r="AO2785" i="1"/>
  <c r="AQ2785" i="1"/>
  <c r="BB2785" i="1"/>
  <c r="BD2785" i="1"/>
  <c r="B2786" i="1"/>
  <c r="C2786" i="1"/>
  <c r="E2786" i="1"/>
  <c r="F2786" i="1"/>
  <c r="G2786" i="1"/>
  <c r="H2786" i="1"/>
  <c r="I2786" i="1"/>
  <c r="J2786" i="1"/>
  <c r="K2786" i="1"/>
  <c r="M2786" i="1"/>
  <c r="O2786" i="1"/>
  <c r="Q2786" i="1"/>
  <c r="R2786" i="1"/>
  <c r="W2786" i="1"/>
  <c r="AA2786" i="1"/>
  <c r="AM2786" i="1"/>
  <c r="AN2786" i="1"/>
  <c r="AO2786" i="1"/>
  <c r="AQ2786" i="1"/>
  <c r="BB2786" i="1"/>
  <c r="BD2786" i="1"/>
  <c r="B2787" i="1"/>
  <c r="C2787" i="1"/>
  <c r="E2787" i="1"/>
  <c r="F2787" i="1"/>
  <c r="G2787" i="1"/>
  <c r="H2787" i="1"/>
  <c r="I2787" i="1"/>
  <c r="J2787" i="1"/>
  <c r="K2787" i="1"/>
  <c r="M2787" i="1"/>
  <c r="O2787" i="1"/>
  <c r="Q2787" i="1"/>
  <c r="R2787" i="1"/>
  <c r="W2787" i="1"/>
  <c r="AA2787" i="1"/>
  <c r="AM2787" i="1"/>
  <c r="AN2787" i="1"/>
  <c r="AO2787" i="1"/>
  <c r="AQ2787" i="1"/>
  <c r="BB2787" i="1"/>
  <c r="BD2787" i="1"/>
  <c r="B2788" i="1"/>
  <c r="C2788" i="1"/>
  <c r="E2788" i="1"/>
  <c r="F2788" i="1"/>
  <c r="G2788" i="1"/>
  <c r="H2788" i="1"/>
  <c r="I2788" i="1"/>
  <c r="J2788" i="1"/>
  <c r="K2788" i="1"/>
  <c r="M2788" i="1"/>
  <c r="O2788" i="1"/>
  <c r="Q2788" i="1"/>
  <c r="R2788" i="1"/>
  <c r="W2788" i="1"/>
  <c r="AA2788" i="1"/>
  <c r="AM2788" i="1"/>
  <c r="AN2788" i="1"/>
  <c r="AO2788" i="1"/>
  <c r="AQ2788" i="1"/>
  <c r="BB2788" i="1"/>
  <c r="BD2788" i="1"/>
  <c r="B2789" i="1"/>
  <c r="C2789" i="1"/>
  <c r="E2789" i="1"/>
  <c r="F2789" i="1"/>
  <c r="G2789" i="1"/>
  <c r="H2789" i="1"/>
  <c r="I2789" i="1"/>
  <c r="J2789" i="1"/>
  <c r="K2789" i="1"/>
  <c r="M2789" i="1"/>
  <c r="O2789" i="1"/>
  <c r="Q2789" i="1"/>
  <c r="R2789" i="1"/>
  <c r="W2789" i="1"/>
  <c r="AA2789" i="1"/>
  <c r="AM2789" i="1"/>
  <c r="AN2789" i="1"/>
  <c r="AO2789" i="1"/>
  <c r="AQ2789" i="1"/>
  <c r="BB2789" i="1"/>
  <c r="BD2789" i="1"/>
  <c r="B2790" i="1"/>
  <c r="C2790" i="1"/>
  <c r="E2790" i="1"/>
  <c r="F2790" i="1"/>
  <c r="G2790" i="1"/>
  <c r="H2790" i="1"/>
  <c r="I2790" i="1"/>
  <c r="J2790" i="1"/>
  <c r="K2790" i="1"/>
  <c r="M2790" i="1"/>
  <c r="O2790" i="1"/>
  <c r="Q2790" i="1"/>
  <c r="R2790" i="1"/>
  <c r="W2790" i="1"/>
  <c r="AA2790" i="1"/>
  <c r="AM2790" i="1"/>
  <c r="AN2790" i="1"/>
  <c r="AO2790" i="1"/>
  <c r="AQ2790" i="1"/>
  <c r="BB2790" i="1"/>
  <c r="BD2790" i="1"/>
  <c r="B2791" i="1"/>
  <c r="C2791" i="1"/>
  <c r="E2791" i="1"/>
  <c r="F2791" i="1"/>
  <c r="G2791" i="1"/>
  <c r="H2791" i="1"/>
  <c r="I2791" i="1"/>
  <c r="J2791" i="1"/>
  <c r="K2791" i="1"/>
  <c r="M2791" i="1"/>
  <c r="O2791" i="1"/>
  <c r="Q2791" i="1"/>
  <c r="R2791" i="1"/>
  <c r="W2791" i="1"/>
  <c r="AA2791" i="1"/>
  <c r="AM2791" i="1"/>
  <c r="AN2791" i="1"/>
  <c r="AO2791" i="1"/>
  <c r="AQ2791" i="1"/>
  <c r="BB2791" i="1"/>
  <c r="BD2791" i="1"/>
  <c r="B2792" i="1"/>
  <c r="C2792" i="1"/>
  <c r="E2792" i="1"/>
  <c r="F2792" i="1"/>
  <c r="G2792" i="1"/>
  <c r="H2792" i="1"/>
  <c r="I2792" i="1"/>
  <c r="J2792" i="1"/>
  <c r="K2792" i="1"/>
  <c r="M2792" i="1"/>
  <c r="O2792" i="1"/>
  <c r="Q2792" i="1"/>
  <c r="R2792" i="1"/>
  <c r="W2792" i="1"/>
  <c r="AA2792" i="1"/>
  <c r="AM2792" i="1"/>
  <c r="AN2792" i="1"/>
  <c r="AO2792" i="1"/>
  <c r="AQ2792" i="1"/>
  <c r="BB2792" i="1"/>
  <c r="BD2792" i="1"/>
  <c r="B2793" i="1"/>
  <c r="C2793" i="1"/>
  <c r="E2793" i="1"/>
  <c r="F2793" i="1"/>
  <c r="G2793" i="1"/>
  <c r="H2793" i="1"/>
  <c r="I2793" i="1"/>
  <c r="J2793" i="1"/>
  <c r="K2793" i="1"/>
  <c r="M2793" i="1"/>
  <c r="O2793" i="1"/>
  <c r="Q2793" i="1"/>
  <c r="R2793" i="1"/>
  <c r="W2793" i="1"/>
  <c r="AA2793" i="1"/>
  <c r="AM2793" i="1"/>
  <c r="AN2793" i="1"/>
  <c r="AO2793" i="1"/>
  <c r="AQ2793" i="1"/>
  <c r="BB2793" i="1"/>
  <c r="BD2793" i="1"/>
  <c r="B2794" i="1"/>
  <c r="C2794" i="1"/>
  <c r="E2794" i="1"/>
  <c r="F2794" i="1"/>
  <c r="G2794" i="1"/>
  <c r="H2794" i="1"/>
  <c r="I2794" i="1"/>
  <c r="J2794" i="1"/>
  <c r="K2794" i="1"/>
  <c r="M2794" i="1"/>
  <c r="O2794" i="1"/>
  <c r="Q2794" i="1"/>
  <c r="R2794" i="1"/>
  <c r="W2794" i="1"/>
  <c r="AA2794" i="1"/>
  <c r="AM2794" i="1"/>
  <c r="AN2794" i="1"/>
  <c r="AO2794" i="1"/>
  <c r="AQ2794" i="1"/>
  <c r="BB2794" i="1"/>
  <c r="BD2794" i="1"/>
  <c r="B2795" i="1"/>
  <c r="C2795" i="1"/>
  <c r="E2795" i="1"/>
  <c r="F2795" i="1"/>
  <c r="G2795" i="1"/>
  <c r="H2795" i="1"/>
  <c r="I2795" i="1"/>
  <c r="J2795" i="1"/>
  <c r="K2795" i="1"/>
  <c r="M2795" i="1"/>
  <c r="O2795" i="1"/>
  <c r="Q2795" i="1"/>
  <c r="R2795" i="1"/>
  <c r="W2795" i="1"/>
  <c r="AA2795" i="1"/>
  <c r="AM2795" i="1"/>
  <c r="AN2795" i="1"/>
  <c r="AO2795" i="1"/>
  <c r="AQ2795" i="1"/>
  <c r="BB2795" i="1"/>
  <c r="BD2795" i="1"/>
  <c r="B2796" i="1"/>
  <c r="C2796" i="1"/>
  <c r="E2796" i="1"/>
  <c r="F2796" i="1"/>
  <c r="G2796" i="1"/>
  <c r="H2796" i="1"/>
  <c r="I2796" i="1"/>
  <c r="J2796" i="1"/>
  <c r="K2796" i="1"/>
  <c r="M2796" i="1"/>
  <c r="O2796" i="1"/>
  <c r="Q2796" i="1"/>
  <c r="R2796" i="1"/>
  <c r="W2796" i="1"/>
  <c r="AA2796" i="1"/>
  <c r="AM2796" i="1"/>
  <c r="AN2796" i="1"/>
  <c r="AO2796" i="1"/>
  <c r="AQ2796" i="1"/>
  <c r="BB2796" i="1"/>
  <c r="BD2796" i="1"/>
  <c r="B2797" i="1"/>
  <c r="C2797" i="1"/>
  <c r="E2797" i="1"/>
  <c r="F2797" i="1"/>
  <c r="G2797" i="1"/>
  <c r="H2797" i="1"/>
  <c r="I2797" i="1"/>
  <c r="J2797" i="1"/>
  <c r="K2797" i="1"/>
  <c r="M2797" i="1"/>
  <c r="O2797" i="1"/>
  <c r="Q2797" i="1"/>
  <c r="R2797" i="1"/>
  <c r="W2797" i="1"/>
  <c r="AA2797" i="1"/>
  <c r="AM2797" i="1"/>
  <c r="AN2797" i="1"/>
  <c r="AO2797" i="1"/>
  <c r="AQ2797" i="1"/>
  <c r="BB2797" i="1"/>
  <c r="BD2797" i="1"/>
  <c r="B2798" i="1"/>
  <c r="C2798" i="1"/>
  <c r="E2798" i="1"/>
  <c r="F2798" i="1"/>
  <c r="G2798" i="1"/>
  <c r="H2798" i="1"/>
  <c r="I2798" i="1"/>
  <c r="J2798" i="1"/>
  <c r="K2798" i="1"/>
  <c r="M2798" i="1"/>
  <c r="O2798" i="1"/>
  <c r="Q2798" i="1"/>
  <c r="R2798" i="1"/>
  <c r="W2798" i="1"/>
  <c r="AA2798" i="1"/>
  <c r="AM2798" i="1"/>
  <c r="AN2798" i="1"/>
  <c r="AO2798" i="1"/>
  <c r="AQ2798" i="1"/>
  <c r="BB2798" i="1"/>
  <c r="BD2798" i="1"/>
  <c r="B2799" i="1"/>
  <c r="C2799" i="1"/>
  <c r="E2799" i="1"/>
  <c r="F2799" i="1"/>
  <c r="G2799" i="1"/>
  <c r="H2799" i="1"/>
  <c r="I2799" i="1"/>
  <c r="J2799" i="1"/>
  <c r="K2799" i="1"/>
  <c r="M2799" i="1"/>
  <c r="O2799" i="1"/>
  <c r="Q2799" i="1"/>
  <c r="R2799" i="1"/>
  <c r="W2799" i="1"/>
  <c r="AA2799" i="1"/>
  <c r="AM2799" i="1"/>
  <c r="AN2799" i="1"/>
  <c r="AO2799" i="1"/>
  <c r="AQ2799" i="1"/>
  <c r="BB2799" i="1"/>
  <c r="BD2799" i="1"/>
  <c r="B2800" i="1"/>
  <c r="C2800" i="1"/>
  <c r="E2800" i="1"/>
  <c r="F2800" i="1"/>
  <c r="G2800" i="1"/>
  <c r="H2800" i="1"/>
  <c r="I2800" i="1"/>
  <c r="J2800" i="1"/>
  <c r="K2800" i="1"/>
  <c r="M2800" i="1"/>
  <c r="O2800" i="1"/>
  <c r="Q2800" i="1"/>
  <c r="R2800" i="1"/>
  <c r="W2800" i="1"/>
  <c r="AA2800" i="1"/>
  <c r="AM2800" i="1"/>
  <c r="AN2800" i="1"/>
  <c r="AO2800" i="1"/>
  <c r="AQ2800" i="1"/>
  <c r="BB2800" i="1"/>
  <c r="BD2800" i="1"/>
  <c r="B2801" i="1"/>
  <c r="C2801" i="1"/>
  <c r="E2801" i="1"/>
  <c r="F2801" i="1"/>
  <c r="G2801" i="1"/>
  <c r="H2801" i="1"/>
  <c r="I2801" i="1"/>
  <c r="J2801" i="1"/>
  <c r="K2801" i="1"/>
  <c r="M2801" i="1"/>
  <c r="O2801" i="1"/>
  <c r="Q2801" i="1"/>
  <c r="R2801" i="1"/>
  <c r="W2801" i="1"/>
  <c r="AA2801" i="1"/>
  <c r="AM2801" i="1"/>
  <c r="AN2801" i="1"/>
  <c r="AO2801" i="1"/>
  <c r="AQ2801" i="1"/>
  <c r="BB2801" i="1"/>
  <c r="BD2801" i="1"/>
  <c r="B2802" i="1"/>
  <c r="C2802" i="1"/>
  <c r="E2802" i="1"/>
  <c r="F2802" i="1"/>
  <c r="G2802" i="1"/>
  <c r="H2802" i="1"/>
  <c r="I2802" i="1"/>
  <c r="J2802" i="1"/>
  <c r="K2802" i="1"/>
  <c r="M2802" i="1"/>
  <c r="O2802" i="1"/>
  <c r="Q2802" i="1"/>
  <c r="R2802" i="1"/>
  <c r="W2802" i="1"/>
  <c r="AA2802" i="1"/>
  <c r="AM2802" i="1"/>
  <c r="AN2802" i="1"/>
  <c r="AO2802" i="1"/>
  <c r="AQ2802" i="1"/>
  <c r="BB2802" i="1"/>
  <c r="BD2802" i="1"/>
  <c r="B2803" i="1"/>
  <c r="C2803" i="1"/>
  <c r="E2803" i="1"/>
  <c r="F2803" i="1"/>
  <c r="G2803" i="1"/>
  <c r="H2803" i="1"/>
  <c r="I2803" i="1"/>
  <c r="J2803" i="1"/>
  <c r="K2803" i="1"/>
  <c r="M2803" i="1"/>
  <c r="O2803" i="1"/>
  <c r="Q2803" i="1"/>
  <c r="R2803" i="1"/>
  <c r="W2803" i="1"/>
  <c r="AA2803" i="1"/>
  <c r="AM2803" i="1"/>
  <c r="AN2803" i="1"/>
  <c r="AO2803" i="1"/>
  <c r="AQ2803" i="1"/>
  <c r="BB2803" i="1"/>
  <c r="BD2803" i="1"/>
  <c r="B2804" i="1"/>
  <c r="C2804" i="1"/>
  <c r="E2804" i="1"/>
  <c r="F2804" i="1"/>
  <c r="G2804" i="1"/>
  <c r="H2804" i="1"/>
  <c r="I2804" i="1"/>
  <c r="J2804" i="1"/>
  <c r="K2804" i="1"/>
  <c r="M2804" i="1"/>
  <c r="O2804" i="1"/>
  <c r="Q2804" i="1"/>
  <c r="R2804" i="1"/>
  <c r="W2804" i="1"/>
  <c r="AA2804" i="1"/>
  <c r="AM2804" i="1"/>
  <c r="AN2804" i="1"/>
  <c r="AO2804" i="1"/>
  <c r="AQ2804" i="1"/>
  <c r="BB2804" i="1"/>
  <c r="BD2804" i="1"/>
  <c r="B2805" i="1"/>
  <c r="C2805" i="1"/>
  <c r="E2805" i="1"/>
  <c r="F2805" i="1"/>
  <c r="G2805" i="1"/>
  <c r="H2805" i="1"/>
  <c r="I2805" i="1"/>
  <c r="J2805" i="1"/>
  <c r="K2805" i="1"/>
  <c r="M2805" i="1"/>
  <c r="O2805" i="1"/>
  <c r="Q2805" i="1"/>
  <c r="R2805" i="1"/>
  <c r="W2805" i="1"/>
  <c r="AA2805" i="1"/>
  <c r="AM2805" i="1"/>
  <c r="AN2805" i="1"/>
  <c r="AO2805" i="1"/>
  <c r="AQ2805" i="1"/>
  <c r="BB2805" i="1"/>
  <c r="BD2805" i="1"/>
  <c r="B2806" i="1"/>
  <c r="C2806" i="1"/>
  <c r="E2806" i="1"/>
  <c r="F2806" i="1"/>
  <c r="G2806" i="1"/>
  <c r="H2806" i="1"/>
  <c r="I2806" i="1"/>
  <c r="J2806" i="1"/>
  <c r="K2806" i="1"/>
  <c r="M2806" i="1"/>
  <c r="O2806" i="1"/>
  <c r="Q2806" i="1"/>
  <c r="R2806" i="1"/>
  <c r="W2806" i="1"/>
  <c r="AA2806" i="1"/>
  <c r="AM2806" i="1"/>
  <c r="AN2806" i="1"/>
  <c r="AO2806" i="1"/>
  <c r="AQ2806" i="1"/>
  <c r="BB2806" i="1"/>
  <c r="BD2806" i="1"/>
  <c r="B2807" i="1"/>
  <c r="C2807" i="1"/>
  <c r="E2807" i="1"/>
  <c r="F2807" i="1"/>
  <c r="G2807" i="1"/>
  <c r="H2807" i="1"/>
  <c r="I2807" i="1"/>
  <c r="J2807" i="1"/>
  <c r="K2807" i="1"/>
  <c r="M2807" i="1"/>
  <c r="O2807" i="1"/>
  <c r="Q2807" i="1"/>
  <c r="R2807" i="1"/>
  <c r="W2807" i="1"/>
  <c r="AA2807" i="1"/>
  <c r="AM2807" i="1"/>
  <c r="AN2807" i="1"/>
  <c r="AO2807" i="1"/>
  <c r="AQ2807" i="1"/>
  <c r="BB2807" i="1"/>
  <c r="BD2807" i="1"/>
  <c r="B2808" i="1"/>
  <c r="C2808" i="1"/>
  <c r="E2808" i="1"/>
  <c r="F2808" i="1"/>
  <c r="G2808" i="1"/>
  <c r="H2808" i="1"/>
  <c r="I2808" i="1"/>
  <c r="J2808" i="1"/>
  <c r="K2808" i="1"/>
  <c r="M2808" i="1"/>
  <c r="O2808" i="1"/>
  <c r="Q2808" i="1"/>
  <c r="R2808" i="1"/>
  <c r="W2808" i="1"/>
  <c r="AA2808" i="1"/>
  <c r="AM2808" i="1"/>
  <c r="AN2808" i="1"/>
  <c r="AO2808" i="1"/>
  <c r="AQ2808" i="1"/>
  <c r="BB2808" i="1"/>
  <c r="BD2808" i="1"/>
  <c r="B2809" i="1"/>
  <c r="C2809" i="1"/>
  <c r="D2809" i="1"/>
  <c r="E2809" i="1"/>
  <c r="F2809" i="1"/>
  <c r="G2809" i="1"/>
  <c r="H2809" i="1"/>
  <c r="I2809" i="1"/>
  <c r="J2809" i="1"/>
  <c r="K2809" i="1"/>
  <c r="M2809" i="1"/>
  <c r="O2809" i="1"/>
  <c r="Q2809" i="1"/>
  <c r="R2809" i="1"/>
  <c r="W2809" i="1"/>
  <c r="AA2809" i="1"/>
  <c r="AB2809" i="1"/>
  <c r="AE2809" i="1"/>
  <c r="AF2809" i="1"/>
  <c r="AM2809" i="1"/>
  <c r="AN2809" i="1"/>
  <c r="AO2809" i="1"/>
  <c r="AQ2809" i="1"/>
  <c r="AX2809" i="1"/>
  <c r="BD2809" i="1"/>
  <c r="B2810" i="1"/>
  <c r="E2810" i="1"/>
  <c r="F2810" i="1"/>
  <c r="G2810" i="1"/>
  <c r="H2810" i="1"/>
  <c r="I2810" i="1"/>
  <c r="J2810" i="1"/>
  <c r="K2810" i="1"/>
  <c r="M2810" i="1"/>
  <c r="O2810" i="1"/>
  <c r="Q2810" i="1"/>
  <c r="R2810" i="1"/>
  <c r="W2810" i="1"/>
  <c r="AA2810" i="1"/>
  <c r="AB2810" i="1"/>
  <c r="AE2810" i="1"/>
  <c r="AF2810" i="1"/>
  <c r="AM2810" i="1"/>
  <c r="AN2810" i="1"/>
  <c r="AO2810" i="1"/>
  <c r="AQ2810" i="1"/>
  <c r="AX2810" i="1"/>
  <c r="BD2810" i="1"/>
  <c r="B2811" i="1"/>
  <c r="C2811" i="1"/>
  <c r="E2811" i="1"/>
  <c r="F2811" i="1"/>
  <c r="G2811" i="1"/>
  <c r="H2811" i="1"/>
  <c r="I2811" i="1"/>
  <c r="J2811" i="1"/>
  <c r="K2811" i="1"/>
  <c r="M2811" i="1"/>
  <c r="O2811" i="1"/>
  <c r="Q2811" i="1"/>
  <c r="R2811" i="1"/>
  <c r="W2811" i="1"/>
  <c r="AA2811" i="1"/>
  <c r="AB2811" i="1"/>
  <c r="AE2811" i="1"/>
  <c r="AF2811" i="1"/>
  <c r="AM2811" i="1"/>
  <c r="AN2811" i="1"/>
  <c r="AO2811" i="1"/>
  <c r="AQ2811" i="1"/>
  <c r="AX2811" i="1"/>
  <c r="BD2811" i="1"/>
  <c r="B2812" i="1"/>
  <c r="C2812" i="1"/>
  <c r="D2812" i="1"/>
  <c r="E2812" i="1"/>
  <c r="F2812" i="1"/>
  <c r="G2812" i="1"/>
  <c r="H2812" i="1"/>
  <c r="I2812" i="1"/>
  <c r="J2812" i="1"/>
  <c r="K2812" i="1"/>
  <c r="M2812" i="1"/>
  <c r="O2812" i="1"/>
  <c r="Q2812" i="1"/>
  <c r="R2812" i="1"/>
  <c r="W2812" i="1"/>
  <c r="AA2812" i="1"/>
  <c r="AB2812" i="1"/>
  <c r="AE2812" i="1"/>
  <c r="AF2812" i="1"/>
  <c r="AM2812" i="1"/>
  <c r="AN2812" i="1"/>
  <c r="AO2812" i="1"/>
  <c r="AQ2812" i="1"/>
  <c r="AX2812" i="1"/>
  <c r="BD2812" i="1"/>
  <c r="B2813" i="1"/>
  <c r="C2813" i="1"/>
  <c r="E2813" i="1"/>
  <c r="F2813" i="1"/>
  <c r="G2813" i="1"/>
  <c r="H2813" i="1"/>
  <c r="I2813" i="1"/>
  <c r="J2813" i="1"/>
  <c r="K2813" i="1"/>
  <c r="M2813" i="1"/>
  <c r="O2813" i="1"/>
  <c r="Q2813" i="1"/>
  <c r="R2813" i="1"/>
  <c r="W2813" i="1"/>
  <c r="AA2813" i="1"/>
  <c r="AB2813" i="1"/>
  <c r="AE2813" i="1"/>
  <c r="AF2813" i="1"/>
  <c r="AM2813" i="1"/>
  <c r="AN2813" i="1"/>
  <c r="AO2813" i="1"/>
  <c r="AQ2813" i="1"/>
  <c r="AX2813" i="1"/>
  <c r="BD2813" i="1"/>
  <c r="B2814" i="1"/>
  <c r="C2814" i="1"/>
  <c r="D2814" i="1"/>
  <c r="E2814" i="1"/>
  <c r="F2814" i="1"/>
  <c r="G2814" i="1"/>
  <c r="H2814" i="1"/>
  <c r="I2814" i="1"/>
  <c r="J2814" i="1"/>
  <c r="K2814" i="1"/>
  <c r="M2814" i="1"/>
  <c r="O2814" i="1"/>
  <c r="Q2814" i="1"/>
  <c r="R2814" i="1"/>
  <c r="W2814" i="1"/>
  <c r="AA2814" i="1"/>
  <c r="AB2814" i="1"/>
  <c r="AE2814" i="1"/>
  <c r="AF2814" i="1"/>
  <c r="AM2814" i="1"/>
  <c r="AN2814" i="1"/>
  <c r="AO2814" i="1"/>
  <c r="AQ2814" i="1"/>
  <c r="AX2814" i="1"/>
  <c r="BD2814" i="1"/>
  <c r="B2815" i="1"/>
  <c r="C2815" i="1"/>
  <c r="E2815" i="1"/>
  <c r="F2815" i="1"/>
  <c r="G2815" i="1"/>
  <c r="H2815" i="1"/>
  <c r="I2815" i="1"/>
  <c r="J2815" i="1"/>
  <c r="K2815" i="1"/>
  <c r="M2815" i="1"/>
  <c r="O2815" i="1"/>
  <c r="Q2815" i="1"/>
  <c r="R2815" i="1"/>
  <c r="W2815" i="1"/>
  <c r="AA2815" i="1"/>
  <c r="AB2815" i="1"/>
  <c r="AE2815" i="1"/>
  <c r="AF2815" i="1"/>
  <c r="AM2815" i="1"/>
  <c r="AN2815" i="1"/>
  <c r="AO2815" i="1"/>
  <c r="AQ2815" i="1"/>
  <c r="AX2815" i="1"/>
  <c r="BD2815" i="1"/>
  <c r="B2816" i="1"/>
  <c r="C2816" i="1"/>
  <c r="D2816" i="1"/>
  <c r="E2816" i="1"/>
  <c r="F2816" i="1"/>
  <c r="G2816" i="1"/>
  <c r="H2816" i="1"/>
  <c r="I2816" i="1"/>
  <c r="J2816" i="1"/>
  <c r="K2816" i="1"/>
  <c r="M2816" i="1"/>
  <c r="O2816" i="1"/>
  <c r="Q2816" i="1"/>
  <c r="R2816" i="1"/>
  <c r="W2816" i="1"/>
  <c r="AA2816" i="1"/>
  <c r="AB2816" i="1"/>
  <c r="AE2816" i="1"/>
  <c r="AF2816" i="1"/>
  <c r="AM2816" i="1"/>
  <c r="AN2816" i="1"/>
  <c r="AO2816" i="1"/>
  <c r="AQ2816" i="1"/>
  <c r="AX2816" i="1"/>
  <c r="BD2816" i="1"/>
  <c r="B2817" i="1"/>
  <c r="C2817" i="1"/>
  <c r="D2817" i="1"/>
  <c r="E2817" i="1"/>
  <c r="F2817" i="1"/>
  <c r="G2817" i="1"/>
  <c r="H2817" i="1"/>
  <c r="I2817" i="1"/>
  <c r="J2817" i="1"/>
  <c r="K2817" i="1"/>
  <c r="M2817" i="1"/>
  <c r="O2817" i="1"/>
  <c r="Q2817" i="1"/>
  <c r="R2817" i="1"/>
  <c r="W2817" i="1"/>
  <c r="AA2817" i="1"/>
  <c r="AB2817" i="1"/>
  <c r="AE2817" i="1"/>
  <c r="AF2817" i="1"/>
  <c r="AM2817" i="1"/>
  <c r="AN2817" i="1"/>
  <c r="AO2817" i="1"/>
  <c r="AQ2817" i="1"/>
  <c r="AX2817" i="1"/>
  <c r="BD2817" i="1"/>
  <c r="B2818" i="1"/>
  <c r="C2818" i="1"/>
  <c r="D2818" i="1"/>
  <c r="E2818" i="1"/>
  <c r="F2818" i="1"/>
  <c r="G2818" i="1"/>
  <c r="H2818" i="1"/>
  <c r="I2818" i="1"/>
  <c r="J2818" i="1"/>
  <c r="K2818" i="1"/>
  <c r="M2818" i="1"/>
  <c r="O2818" i="1"/>
  <c r="Q2818" i="1"/>
  <c r="R2818" i="1"/>
  <c r="W2818" i="1"/>
  <c r="AA2818" i="1"/>
  <c r="AB2818" i="1"/>
  <c r="AE2818" i="1"/>
  <c r="AF2818" i="1"/>
  <c r="AM2818" i="1"/>
  <c r="AN2818" i="1"/>
  <c r="AO2818" i="1"/>
  <c r="AQ2818" i="1"/>
  <c r="AX2818" i="1"/>
  <c r="BD2818" i="1"/>
  <c r="B2819" i="1"/>
  <c r="C2819" i="1"/>
  <c r="D2819" i="1"/>
  <c r="E2819" i="1"/>
  <c r="F2819" i="1"/>
  <c r="G2819" i="1"/>
  <c r="H2819" i="1"/>
  <c r="I2819" i="1"/>
  <c r="J2819" i="1"/>
  <c r="K2819" i="1"/>
  <c r="M2819" i="1"/>
  <c r="O2819" i="1"/>
  <c r="Q2819" i="1"/>
  <c r="R2819" i="1"/>
  <c r="W2819" i="1"/>
  <c r="AA2819" i="1"/>
  <c r="AB2819" i="1"/>
  <c r="AE2819" i="1"/>
  <c r="AF2819" i="1"/>
  <c r="AM2819" i="1"/>
  <c r="AN2819" i="1"/>
  <c r="AO2819" i="1"/>
  <c r="AQ2819" i="1"/>
  <c r="AX2819" i="1"/>
  <c r="BD2819" i="1"/>
  <c r="B2820" i="1"/>
  <c r="C2820" i="1"/>
  <c r="D2820" i="1"/>
  <c r="E2820" i="1"/>
  <c r="F2820" i="1"/>
  <c r="G2820" i="1"/>
  <c r="H2820" i="1"/>
  <c r="I2820" i="1"/>
  <c r="J2820" i="1"/>
  <c r="K2820" i="1"/>
  <c r="M2820" i="1"/>
  <c r="O2820" i="1"/>
  <c r="Q2820" i="1"/>
  <c r="R2820" i="1"/>
  <c r="W2820" i="1"/>
  <c r="AA2820" i="1"/>
  <c r="AB2820" i="1"/>
  <c r="AE2820" i="1"/>
  <c r="AF2820" i="1"/>
  <c r="AM2820" i="1"/>
  <c r="AN2820" i="1"/>
  <c r="AO2820" i="1"/>
  <c r="AQ2820" i="1"/>
  <c r="AX2820" i="1"/>
  <c r="BD2820" i="1"/>
  <c r="B2821" i="1"/>
  <c r="C2821" i="1"/>
  <c r="D2821" i="1"/>
  <c r="E2821" i="1"/>
  <c r="F2821" i="1"/>
  <c r="G2821" i="1"/>
  <c r="H2821" i="1"/>
  <c r="I2821" i="1"/>
  <c r="J2821" i="1"/>
  <c r="K2821" i="1"/>
  <c r="M2821" i="1"/>
  <c r="O2821" i="1"/>
  <c r="Q2821" i="1"/>
  <c r="R2821" i="1"/>
  <c r="W2821" i="1"/>
  <c r="AA2821" i="1"/>
  <c r="AB2821" i="1"/>
  <c r="AE2821" i="1"/>
  <c r="AF2821" i="1"/>
  <c r="AM2821" i="1"/>
  <c r="AN2821" i="1"/>
  <c r="AO2821" i="1"/>
  <c r="AQ2821" i="1"/>
  <c r="AX2821" i="1"/>
  <c r="BD2821" i="1"/>
  <c r="B2822" i="1"/>
  <c r="C2822" i="1"/>
  <c r="D2822" i="1"/>
  <c r="E2822" i="1"/>
  <c r="F2822" i="1"/>
  <c r="G2822" i="1"/>
  <c r="H2822" i="1"/>
  <c r="I2822" i="1"/>
  <c r="J2822" i="1"/>
  <c r="K2822" i="1"/>
  <c r="M2822" i="1"/>
  <c r="O2822" i="1"/>
  <c r="Q2822" i="1"/>
  <c r="R2822" i="1"/>
  <c r="W2822" i="1"/>
  <c r="AA2822" i="1"/>
  <c r="AB2822" i="1"/>
  <c r="AE2822" i="1"/>
  <c r="AF2822" i="1"/>
  <c r="AM2822" i="1"/>
  <c r="AN2822" i="1"/>
  <c r="AO2822" i="1"/>
  <c r="AQ2822" i="1"/>
  <c r="AX2822" i="1"/>
  <c r="BD2822" i="1"/>
  <c r="B2823" i="1"/>
  <c r="C2823" i="1"/>
  <c r="D2823" i="1"/>
  <c r="E2823" i="1"/>
  <c r="F2823" i="1"/>
  <c r="G2823" i="1"/>
  <c r="H2823" i="1"/>
  <c r="I2823" i="1"/>
  <c r="J2823" i="1"/>
  <c r="K2823" i="1"/>
  <c r="M2823" i="1"/>
  <c r="O2823" i="1"/>
  <c r="Q2823" i="1"/>
  <c r="R2823" i="1"/>
  <c r="W2823" i="1"/>
  <c r="AA2823" i="1"/>
  <c r="AB2823" i="1"/>
  <c r="AE2823" i="1"/>
  <c r="AF2823" i="1"/>
  <c r="AM2823" i="1"/>
  <c r="AN2823" i="1"/>
  <c r="AO2823" i="1"/>
  <c r="AQ2823" i="1"/>
  <c r="AX2823" i="1"/>
  <c r="BD2823" i="1"/>
  <c r="B2824" i="1"/>
  <c r="C2824" i="1"/>
  <c r="D2824" i="1"/>
  <c r="E2824" i="1"/>
  <c r="F2824" i="1"/>
  <c r="G2824" i="1"/>
  <c r="H2824" i="1"/>
  <c r="I2824" i="1"/>
  <c r="J2824" i="1"/>
  <c r="K2824" i="1"/>
  <c r="M2824" i="1"/>
  <c r="O2824" i="1"/>
  <c r="Q2824" i="1"/>
  <c r="R2824" i="1"/>
  <c r="W2824" i="1"/>
  <c r="AA2824" i="1"/>
  <c r="AB2824" i="1"/>
  <c r="AE2824" i="1"/>
  <c r="AF2824" i="1"/>
  <c r="AM2824" i="1"/>
  <c r="AN2824" i="1"/>
  <c r="AO2824" i="1"/>
  <c r="AQ2824" i="1"/>
  <c r="AX2824" i="1"/>
  <c r="BD2824" i="1"/>
  <c r="B2825" i="1"/>
  <c r="C2825" i="1"/>
  <c r="E2825" i="1"/>
  <c r="F2825" i="1"/>
  <c r="G2825" i="1"/>
  <c r="H2825" i="1"/>
  <c r="I2825" i="1"/>
  <c r="J2825" i="1"/>
  <c r="K2825" i="1"/>
  <c r="M2825" i="1"/>
  <c r="O2825" i="1"/>
  <c r="Q2825" i="1"/>
  <c r="R2825" i="1"/>
  <c r="W2825" i="1"/>
  <c r="AA2825" i="1"/>
  <c r="AM2825" i="1"/>
  <c r="AN2825" i="1"/>
  <c r="AO2825" i="1"/>
  <c r="AQ2825" i="1"/>
  <c r="BB2825" i="1"/>
  <c r="BD2825" i="1"/>
  <c r="B2826" i="1"/>
  <c r="C2826" i="1"/>
  <c r="E2826" i="1"/>
  <c r="F2826" i="1"/>
  <c r="G2826" i="1"/>
  <c r="H2826" i="1"/>
  <c r="I2826" i="1"/>
  <c r="J2826" i="1"/>
  <c r="K2826" i="1"/>
  <c r="M2826" i="1"/>
  <c r="O2826" i="1"/>
  <c r="Q2826" i="1"/>
  <c r="R2826" i="1"/>
  <c r="W2826" i="1"/>
  <c r="AA2826" i="1"/>
  <c r="AM2826" i="1"/>
  <c r="AN2826" i="1"/>
  <c r="AO2826" i="1"/>
  <c r="AQ2826" i="1"/>
  <c r="BB2826" i="1"/>
  <c r="BD2826" i="1"/>
  <c r="B2827" i="1"/>
  <c r="C2827" i="1"/>
  <c r="E2827" i="1"/>
  <c r="F2827" i="1"/>
  <c r="G2827" i="1"/>
  <c r="H2827" i="1"/>
  <c r="I2827" i="1"/>
  <c r="J2827" i="1"/>
  <c r="K2827" i="1"/>
  <c r="M2827" i="1"/>
  <c r="O2827" i="1"/>
  <c r="Q2827" i="1"/>
  <c r="R2827" i="1"/>
  <c r="W2827" i="1"/>
  <c r="AA2827" i="1"/>
  <c r="AM2827" i="1"/>
  <c r="AN2827" i="1"/>
  <c r="AO2827" i="1"/>
  <c r="AQ2827" i="1"/>
  <c r="BB2827" i="1"/>
  <c r="BD2827" i="1"/>
  <c r="B2828" i="1"/>
  <c r="C2828" i="1"/>
  <c r="E2828" i="1"/>
  <c r="F2828" i="1"/>
  <c r="G2828" i="1"/>
  <c r="H2828" i="1"/>
  <c r="I2828" i="1"/>
  <c r="J2828" i="1"/>
  <c r="K2828" i="1"/>
  <c r="M2828" i="1"/>
  <c r="O2828" i="1"/>
  <c r="Q2828" i="1"/>
  <c r="R2828" i="1"/>
  <c r="W2828" i="1"/>
  <c r="AA2828" i="1"/>
  <c r="AM2828" i="1"/>
  <c r="AN2828" i="1"/>
  <c r="AO2828" i="1"/>
  <c r="AQ2828" i="1"/>
  <c r="BB2828" i="1"/>
  <c r="BD2828" i="1"/>
  <c r="B2829" i="1"/>
  <c r="C2829" i="1"/>
  <c r="E2829" i="1"/>
  <c r="F2829" i="1"/>
  <c r="G2829" i="1"/>
  <c r="H2829" i="1"/>
  <c r="I2829" i="1"/>
  <c r="J2829" i="1"/>
  <c r="K2829" i="1"/>
  <c r="M2829" i="1"/>
  <c r="O2829" i="1"/>
  <c r="Q2829" i="1"/>
  <c r="R2829" i="1"/>
  <c r="W2829" i="1"/>
  <c r="AA2829" i="1"/>
  <c r="AM2829" i="1"/>
  <c r="AN2829" i="1"/>
  <c r="AO2829" i="1"/>
  <c r="AQ2829" i="1"/>
  <c r="BB2829" i="1"/>
  <c r="BD2829" i="1"/>
  <c r="B2830" i="1"/>
  <c r="C2830" i="1"/>
  <c r="E2830" i="1"/>
  <c r="F2830" i="1"/>
  <c r="G2830" i="1"/>
  <c r="H2830" i="1"/>
  <c r="I2830" i="1"/>
  <c r="J2830" i="1"/>
  <c r="K2830" i="1"/>
  <c r="M2830" i="1"/>
  <c r="O2830" i="1"/>
  <c r="Q2830" i="1"/>
  <c r="R2830" i="1"/>
  <c r="W2830" i="1"/>
  <c r="AA2830" i="1"/>
  <c r="AM2830" i="1"/>
  <c r="AN2830" i="1"/>
  <c r="AO2830" i="1"/>
  <c r="AQ2830" i="1"/>
  <c r="BB2830" i="1"/>
  <c r="BD2830" i="1"/>
  <c r="B2831" i="1"/>
  <c r="C2831" i="1"/>
  <c r="D2831" i="1"/>
  <c r="E2831" i="1"/>
  <c r="F2831" i="1"/>
  <c r="G2831" i="1"/>
  <c r="H2831" i="1"/>
  <c r="I2831" i="1"/>
  <c r="J2831" i="1"/>
  <c r="K2831" i="1"/>
  <c r="M2831" i="1"/>
  <c r="O2831" i="1"/>
  <c r="Q2831" i="1"/>
  <c r="R2831" i="1"/>
  <c r="W2831" i="1"/>
  <c r="AA2831" i="1"/>
  <c r="AB2831" i="1"/>
  <c r="AE2831" i="1"/>
  <c r="AF2831" i="1"/>
  <c r="AM2831" i="1"/>
  <c r="AN2831" i="1"/>
  <c r="AO2831" i="1"/>
  <c r="AQ2831" i="1"/>
  <c r="AX2831" i="1"/>
  <c r="BD2831" i="1"/>
  <c r="B2832" i="1"/>
  <c r="C2832" i="1"/>
  <c r="D2832" i="1"/>
  <c r="E2832" i="1"/>
  <c r="F2832" i="1"/>
  <c r="G2832" i="1"/>
  <c r="H2832" i="1"/>
  <c r="I2832" i="1"/>
  <c r="J2832" i="1"/>
  <c r="K2832" i="1"/>
  <c r="M2832" i="1"/>
  <c r="O2832" i="1"/>
  <c r="Q2832" i="1"/>
  <c r="R2832" i="1"/>
  <c r="W2832" i="1"/>
  <c r="AA2832" i="1"/>
  <c r="AB2832" i="1"/>
  <c r="AE2832" i="1"/>
  <c r="AF2832" i="1"/>
  <c r="AM2832" i="1"/>
  <c r="AN2832" i="1"/>
  <c r="AO2832" i="1"/>
  <c r="AQ2832" i="1"/>
  <c r="AX2832" i="1"/>
  <c r="BD2832" i="1"/>
  <c r="B2833" i="1"/>
  <c r="C2833" i="1"/>
  <c r="D2833" i="1"/>
  <c r="E2833" i="1"/>
  <c r="F2833" i="1"/>
  <c r="G2833" i="1"/>
  <c r="H2833" i="1"/>
  <c r="I2833" i="1"/>
  <c r="J2833" i="1"/>
  <c r="K2833" i="1"/>
  <c r="M2833" i="1"/>
  <c r="O2833" i="1"/>
  <c r="Q2833" i="1"/>
  <c r="R2833" i="1"/>
  <c r="W2833" i="1"/>
  <c r="AA2833" i="1"/>
  <c r="AB2833" i="1"/>
  <c r="AE2833" i="1"/>
  <c r="AF2833" i="1"/>
  <c r="AM2833" i="1"/>
  <c r="AN2833" i="1"/>
  <c r="AO2833" i="1"/>
  <c r="AQ2833" i="1"/>
  <c r="AX2833" i="1"/>
  <c r="BD2833" i="1"/>
  <c r="B2834" i="1"/>
  <c r="C2834" i="1"/>
  <c r="D2834" i="1"/>
  <c r="E2834" i="1"/>
  <c r="F2834" i="1"/>
  <c r="G2834" i="1"/>
  <c r="H2834" i="1"/>
  <c r="I2834" i="1"/>
  <c r="J2834" i="1"/>
  <c r="K2834" i="1"/>
  <c r="M2834" i="1"/>
  <c r="O2834" i="1"/>
  <c r="Q2834" i="1"/>
  <c r="R2834" i="1"/>
  <c r="W2834" i="1"/>
  <c r="AA2834" i="1"/>
  <c r="AB2834" i="1"/>
  <c r="AE2834" i="1"/>
  <c r="AF2834" i="1"/>
  <c r="AM2834" i="1"/>
  <c r="AN2834" i="1"/>
  <c r="AO2834" i="1"/>
  <c r="AQ2834" i="1"/>
  <c r="AX2834" i="1"/>
  <c r="BD2834" i="1"/>
  <c r="B2835" i="1"/>
  <c r="C2835" i="1"/>
  <c r="D2835" i="1"/>
  <c r="E2835" i="1"/>
  <c r="F2835" i="1"/>
  <c r="G2835" i="1"/>
  <c r="H2835" i="1"/>
  <c r="I2835" i="1"/>
  <c r="J2835" i="1"/>
  <c r="K2835" i="1"/>
  <c r="M2835" i="1"/>
  <c r="O2835" i="1"/>
  <c r="Q2835" i="1"/>
  <c r="R2835" i="1"/>
  <c r="W2835" i="1"/>
  <c r="AA2835" i="1"/>
  <c r="AB2835" i="1"/>
  <c r="AE2835" i="1"/>
  <c r="AF2835" i="1"/>
  <c r="AM2835" i="1"/>
  <c r="AN2835" i="1"/>
  <c r="AO2835" i="1"/>
  <c r="AQ2835" i="1"/>
  <c r="AX2835" i="1"/>
  <c r="BD2835" i="1"/>
  <c r="B2836" i="1"/>
  <c r="C2836" i="1"/>
  <c r="E2836" i="1"/>
  <c r="F2836" i="1"/>
  <c r="G2836" i="1"/>
  <c r="H2836" i="1"/>
  <c r="I2836" i="1"/>
  <c r="J2836" i="1"/>
  <c r="K2836" i="1"/>
  <c r="M2836" i="1"/>
  <c r="O2836" i="1"/>
  <c r="Q2836" i="1"/>
  <c r="R2836" i="1"/>
  <c r="W2836" i="1"/>
  <c r="AA2836" i="1"/>
  <c r="AM2836" i="1"/>
  <c r="AN2836" i="1"/>
  <c r="AO2836" i="1"/>
  <c r="AQ2836" i="1"/>
  <c r="BB2836" i="1"/>
  <c r="BD2836" i="1"/>
  <c r="B2837" i="1"/>
  <c r="E2837" i="1"/>
  <c r="F2837" i="1"/>
  <c r="G2837" i="1"/>
  <c r="H2837" i="1"/>
  <c r="I2837" i="1"/>
  <c r="J2837" i="1"/>
  <c r="K2837" i="1"/>
  <c r="M2837" i="1"/>
  <c r="O2837" i="1"/>
  <c r="Q2837" i="1"/>
  <c r="R2837" i="1"/>
  <c r="W2837" i="1"/>
  <c r="AA2837" i="1"/>
  <c r="AM2837" i="1"/>
  <c r="AN2837" i="1"/>
  <c r="AO2837" i="1"/>
  <c r="AQ2837" i="1"/>
  <c r="BB2837" i="1"/>
  <c r="BD2837" i="1"/>
  <c r="B2838" i="1"/>
  <c r="C2838" i="1"/>
  <c r="E2838" i="1"/>
  <c r="F2838" i="1"/>
  <c r="G2838" i="1"/>
  <c r="H2838" i="1"/>
  <c r="I2838" i="1"/>
  <c r="J2838" i="1"/>
  <c r="K2838" i="1"/>
  <c r="M2838" i="1"/>
  <c r="O2838" i="1"/>
  <c r="Q2838" i="1"/>
  <c r="R2838" i="1"/>
  <c r="W2838" i="1"/>
  <c r="AA2838" i="1"/>
  <c r="AB2838" i="1"/>
  <c r="AE2838" i="1"/>
  <c r="AF2838" i="1"/>
  <c r="AM2838" i="1"/>
  <c r="AN2838" i="1"/>
  <c r="AO2838" i="1"/>
  <c r="AQ2838" i="1"/>
  <c r="AX2838" i="1"/>
  <c r="BD2838" i="1"/>
  <c r="B2839" i="1"/>
  <c r="C2839" i="1"/>
  <c r="E2839" i="1"/>
  <c r="F2839" i="1"/>
  <c r="G2839" i="1"/>
  <c r="H2839" i="1"/>
  <c r="I2839" i="1"/>
  <c r="J2839" i="1"/>
  <c r="K2839" i="1"/>
  <c r="M2839" i="1"/>
  <c r="O2839" i="1"/>
  <c r="Q2839" i="1"/>
  <c r="R2839" i="1"/>
  <c r="W2839" i="1"/>
  <c r="AA2839" i="1"/>
  <c r="AB2839" i="1"/>
  <c r="AE2839" i="1"/>
  <c r="AF2839" i="1"/>
  <c r="AM2839" i="1"/>
  <c r="AN2839" i="1"/>
  <c r="AO2839" i="1"/>
  <c r="AQ2839" i="1"/>
  <c r="AX2839" i="1"/>
  <c r="BD2839" i="1"/>
  <c r="B2840" i="1"/>
  <c r="C2840" i="1"/>
  <c r="D2840" i="1"/>
  <c r="E2840" i="1"/>
  <c r="F2840" i="1"/>
  <c r="G2840" i="1"/>
  <c r="H2840" i="1"/>
  <c r="I2840" i="1"/>
  <c r="J2840" i="1"/>
  <c r="K2840" i="1"/>
  <c r="M2840" i="1"/>
  <c r="O2840" i="1"/>
  <c r="Q2840" i="1"/>
  <c r="R2840" i="1"/>
  <c r="W2840" i="1"/>
  <c r="AA2840" i="1"/>
  <c r="AB2840" i="1"/>
  <c r="AE2840" i="1"/>
  <c r="AF2840" i="1"/>
  <c r="AM2840" i="1"/>
  <c r="AN2840" i="1"/>
  <c r="AO2840" i="1"/>
  <c r="AQ2840" i="1"/>
  <c r="AX2840" i="1"/>
  <c r="BD2840" i="1"/>
  <c r="B2841" i="1"/>
  <c r="C2841" i="1"/>
  <c r="D2841" i="1"/>
  <c r="E2841" i="1"/>
  <c r="F2841" i="1"/>
  <c r="G2841" i="1"/>
  <c r="H2841" i="1"/>
  <c r="I2841" i="1"/>
  <c r="J2841" i="1"/>
  <c r="K2841" i="1"/>
  <c r="M2841" i="1"/>
  <c r="O2841" i="1"/>
  <c r="Q2841" i="1"/>
  <c r="R2841" i="1"/>
  <c r="W2841" i="1"/>
  <c r="AA2841" i="1"/>
  <c r="AB2841" i="1"/>
  <c r="AE2841" i="1"/>
  <c r="AF2841" i="1"/>
  <c r="AM2841" i="1"/>
  <c r="AN2841" i="1"/>
  <c r="AO2841" i="1"/>
  <c r="AQ2841" i="1"/>
  <c r="AX2841" i="1"/>
  <c r="BD2841" i="1"/>
  <c r="B2842" i="1"/>
  <c r="C2842" i="1"/>
  <c r="D2842" i="1"/>
  <c r="E2842" i="1"/>
  <c r="F2842" i="1"/>
  <c r="G2842" i="1"/>
  <c r="H2842" i="1"/>
  <c r="I2842" i="1"/>
  <c r="J2842" i="1"/>
  <c r="K2842" i="1"/>
  <c r="M2842" i="1"/>
  <c r="O2842" i="1"/>
  <c r="Q2842" i="1"/>
  <c r="R2842" i="1"/>
  <c r="W2842" i="1"/>
  <c r="AA2842" i="1"/>
  <c r="AB2842" i="1"/>
  <c r="AE2842" i="1"/>
  <c r="AF2842" i="1"/>
  <c r="AM2842" i="1"/>
  <c r="AN2842" i="1"/>
  <c r="AO2842" i="1"/>
  <c r="AQ2842" i="1"/>
  <c r="AX2842" i="1"/>
  <c r="BD2842" i="1"/>
  <c r="B2843" i="1"/>
  <c r="C2843" i="1"/>
  <c r="D2843" i="1"/>
  <c r="E2843" i="1"/>
  <c r="F2843" i="1"/>
  <c r="G2843" i="1"/>
  <c r="H2843" i="1"/>
  <c r="I2843" i="1"/>
  <c r="J2843" i="1"/>
  <c r="K2843" i="1"/>
  <c r="M2843" i="1"/>
  <c r="O2843" i="1"/>
  <c r="Q2843" i="1"/>
  <c r="R2843" i="1"/>
  <c r="W2843" i="1"/>
  <c r="AA2843" i="1"/>
  <c r="AB2843" i="1"/>
  <c r="AE2843" i="1"/>
  <c r="AF2843" i="1"/>
  <c r="AM2843" i="1"/>
  <c r="AN2843" i="1"/>
  <c r="AO2843" i="1"/>
  <c r="AQ2843" i="1"/>
  <c r="AX2843" i="1"/>
  <c r="BD2843" i="1"/>
  <c r="B2844" i="1"/>
  <c r="C2844" i="1"/>
  <c r="D2844" i="1"/>
  <c r="E2844" i="1"/>
  <c r="F2844" i="1"/>
  <c r="G2844" i="1"/>
  <c r="H2844" i="1"/>
  <c r="I2844" i="1"/>
  <c r="J2844" i="1"/>
  <c r="K2844" i="1"/>
  <c r="M2844" i="1"/>
  <c r="O2844" i="1"/>
  <c r="Q2844" i="1"/>
  <c r="R2844" i="1"/>
  <c r="W2844" i="1"/>
  <c r="AA2844" i="1"/>
  <c r="AB2844" i="1"/>
  <c r="AE2844" i="1"/>
  <c r="AF2844" i="1"/>
  <c r="AM2844" i="1"/>
  <c r="AN2844" i="1"/>
  <c r="AO2844" i="1"/>
  <c r="AQ2844" i="1"/>
  <c r="AX2844" i="1"/>
  <c r="BD2844" i="1"/>
  <c r="B2845" i="1"/>
  <c r="C2845" i="1"/>
  <c r="D2845" i="1"/>
  <c r="E2845" i="1"/>
  <c r="F2845" i="1"/>
  <c r="G2845" i="1"/>
  <c r="H2845" i="1"/>
  <c r="I2845" i="1"/>
  <c r="J2845" i="1"/>
  <c r="K2845" i="1"/>
  <c r="M2845" i="1"/>
  <c r="O2845" i="1"/>
  <c r="Q2845" i="1"/>
  <c r="R2845" i="1"/>
  <c r="W2845" i="1"/>
  <c r="AA2845" i="1"/>
  <c r="AB2845" i="1"/>
  <c r="AE2845" i="1"/>
  <c r="AF2845" i="1"/>
  <c r="AM2845" i="1"/>
  <c r="AN2845" i="1"/>
  <c r="AO2845" i="1"/>
  <c r="AQ2845" i="1"/>
  <c r="AX2845" i="1"/>
  <c r="BD2845" i="1"/>
  <c r="B2846" i="1"/>
  <c r="C2846" i="1"/>
  <c r="D2846" i="1"/>
  <c r="E2846" i="1"/>
  <c r="F2846" i="1"/>
  <c r="G2846" i="1"/>
  <c r="H2846" i="1"/>
  <c r="I2846" i="1"/>
  <c r="J2846" i="1"/>
  <c r="K2846" i="1"/>
  <c r="M2846" i="1"/>
  <c r="O2846" i="1"/>
  <c r="Q2846" i="1"/>
  <c r="R2846" i="1"/>
  <c r="W2846" i="1"/>
  <c r="AA2846" i="1"/>
  <c r="AB2846" i="1"/>
  <c r="AE2846" i="1"/>
  <c r="AF2846" i="1"/>
  <c r="AM2846" i="1"/>
  <c r="AN2846" i="1"/>
  <c r="AO2846" i="1"/>
  <c r="AQ2846" i="1"/>
  <c r="AX2846" i="1"/>
  <c r="BD2846" i="1"/>
  <c r="B2847" i="1"/>
  <c r="C2847" i="1"/>
  <c r="D2847" i="1"/>
  <c r="E2847" i="1"/>
  <c r="F2847" i="1"/>
  <c r="G2847" i="1"/>
  <c r="H2847" i="1"/>
  <c r="I2847" i="1"/>
  <c r="J2847" i="1"/>
  <c r="K2847" i="1"/>
  <c r="M2847" i="1"/>
  <c r="O2847" i="1"/>
  <c r="Q2847" i="1"/>
  <c r="R2847" i="1"/>
  <c r="W2847" i="1"/>
  <c r="AA2847" i="1"/>
  <c r="AB2847" i="1"/>
  <c r="AE2847" i="1"/>
  <c r="AF2847" i="1"/>
  <c r="AM2847" i="1"/>
  <c r="AN2847" i="1"/>
  <c r="AO2847" i="1"/>
  <c r="AQ2847" i="1"/>
  <c r="AX2847" i="1"/>
  <c r="BD2847" i="1"/>
  <c r="B2848" i="1"/>
  <c r="C2848" i="1"/>
  <c r="D2848" i="1"/>
  <c r="E2848" i="1"/>
  <c r="F2848" i="1"/>
  <c r="G2848" i="1"/>
  <c r="H2848" i="1"/>
  <c r="I2848" i="1"/>
  <c r="J2848" i="1"/>
  <c r="K2848" i="1"/>
  <c r="M2848" i="1"/>
  <c r="O2848" i="1"/>
  <c r="Q2848" i="1"/>
  <c r="R2848" i="1"/>
  <c r="W2848" i="1"/>
  <c r="AA2848" i="1"/>
  <c r="AB2848" i="1"/>
  <c r="AE2848" i="1"/>
  <c r="AF2848" i="1"/>
  <c r="AM2848" i="1"/>
  <c r="AN2848" i="1"/>
  <c r="AO2848" i="1"/>
  <c r="AQ2848" i="1"/>
  <c r="AX2848" i="1"/>
  <c r="BD2848" i="1"/>
  <c r="B2849" i="1"/>
  <c r="C2849" i="1"/>
  <c r="D2849" i="1"/>
  <c r="E2849" i="1"/>
  <c r="F2849" i="1"/>
  <c r="G2849" i="1"/>
  <c r="H2849" i="1"/>
  <c r="I2849" i="1"/>
  <c r="J2849" i="1"/>
  <c r="K2849" i="1"/>
  <c r="M2849" i="1"/>
  <c r="O2849" i="1"/>
  <c r="Q2849" i="1"/>
  <c r="R2849" i="1"/>
  <c r="W2849" i="1"/>
  <c r="AA2849" i="1"/>
  <c r="AB2849" i="1"/>
  <c r="AE2849" i="1"/>
  <c r="AF2849" i="1"/>
  <c r="AM2849" i="1"/>
  <c r="AN2849" i="1"/>
  <c r="AO2849" i="1"/>
  <c r="AQ2849" i="1"/>
  <c r="AX2849" i="1"/>
  <c r="BD2849" i="1"/>
  <c r="B2850" i="1"/>
  <c r="C2850" i="1"/>
  <c r="D2850" i="1"/>
  <c r="E2850" i="1"/>
  <c r="F2850" i="1"/>
  <c r="G2850" i="1"/>
  <c r="H2850" i="1"/>
  <c r="I2850" i="1"/>
  <c r="J2850" i="1"/>
  <c r="K2850" i="1"/>
  <c r="M2850" i="1"/>
  <c r="O2850" i="1"/>
  <c r="Q2850" i="1"/>
  <c r="R2850" i="1"/>
  <c r="W2850" i="1"/>
  <c r="AA2850" i="1"/>
  <c r="AB2850" i="1"/>
  <c r="AE2850" i="1"/>
  <c r="AF2850" i="1"/>
  <c r="AM2850" i="1"/>
  <c r="AN2850" i="1"/>
  <c r="AO2850" i="1"/>
  <c r="AQ2850" i="1"/>
  <c r="AX2850" i="1"/>
  <c r="BD2850" i="1"/>
  <c r="B2851" i="1"/>
  <c r="C2851" i="1"/>
  <c r="D2851" i="1"/>
  <c r="E2851" i="1"/>
  <c r="F2851" i="1"/>
  <c r="G2851" i="1"/>
  <c r="H2851" i="1"/>
  <c r="I2851" i="1"/>
  <c r="J2851" i="1"/>
  <c r="K2851" i="1"/>
  <c r="M2851" i="1"/>
  <c r="O2851" i="1"/>
  <c r="Q2851" i="1"/>
  <c r="R2851" i="1"/>
  <c r="W2851" i="1"/>
  <c r="AA2851" i="1"/>
  <c r="AB2851" i="1"/>
  <c r="AE2851" i="1"/>
  <c r="AF2851" i="1"/>
  <c r="AM2851" i="1"/>
  <c r="AN2851" i="1"/>
  <c r="AO2851" i="1"/>
  <c r="AQ2851" i="1"/>
  <c r="AX2851" i="1"/>
  <c r="BD2851" i="1"/>
  <c r="B2852" i="1"/>
  <c r="C2852" i="1"/>
  <c r="D2852" i="1"/>
  <c r="E2852" i="1"/>
  <c r="F2852" i="1"/>
  <c r="G2852" i="1"/>
  <c r="H2852" i="1"/>
  <c r="I2852" i="1"/>
  <c r="J2852" i="1"/>
  <c r="K2852" i="1"/>
  <c r="M2852" i="1"/>
  <c r="O2852" i="1"/>
  <c r="Q2852" i="1"/>
  <c r="R2852" i="1"/>
  <c r="W2852" i="1"/>
  <c r="AA2852" i="1"/>
  <c r="AB2852" i="1"/>
  <c r="AE2852" i="1"/>
  <c r="AF2852" i="1"/>
  <c r="AM2852" i="1"/>
  <c r="AN2852" i="1"/>
  <c r="AO2852" i="1"/>
  <c r="AQ2852" i="1"/>
  <c r="AX2852" i="1"/>
  <c r="BD2852" i="1"/>
  <c r="B2853" i="1"/>
  <c r="C2853" i="1"/>
  <c r="D2853" i="1"/>
  <c r="E2853" i="1"/>
  <c r="F2853" i="1"/>
  <c r="G2853" i="1"/>
  <c r="H2853" i="1"/>
  <c r="I2853" i="1"/>
  <c r="J2853" i="1"/>
  <c r="K2853" i="1"/>
  <c r="M2853" i="1"/>
  <c r="O2853" i="1"/>
  <c r="Q2853" i="1"/>
  <c r="R2853" i="1"/>
  <c r="W2853" i="1"/>
  <c r="AA2853" i="1"/>
  <c r="AB2853" i="1"/>
  <c r="AE2853" i="1"/>
  <c r="AF2853" i="1"/>
  <c r="AM2853" i="1"/>
  <c r="AN2853" i="1"/>
  <c r="AO2853" i="1"/>
  <c r="AQ2853" i="1"/>
  <c r="AX2853" i="1"/>
  <c r="BD2853" i="1"/>
  <c r="B2854" i="1"/>
  <c r="C2854" i="1"/>
  <c r="D2854" i="1"/>
  <c r="E2854" i="1"/>
  <c r="F2854" i="1"/>
  <c r="G2854" i="1"/>
  <c r="H2854" i="1"/>
  <c r="I2854" i="1"/>
  <c r="J2854" i="1"/>
  <c r="K2854" i="1"/>
  <c r="M2854" i="1"/>
  <c r="O2854" i="1"/>
  <c r="Q2854" i="1"/>
  <c r="R2854" i="1"/>
  <c r="W2854" i="1"/>
  <c r="AA2854" i="1"/>
  <c r="AB2854" i="1"/>
  <c r="AE2854" i="1"/>
  <c r="AF2854" i="1"/>
  <c r="AM2854" i="1"/>
  <c r="AN2854" i="1"/>
  <c r="AO2854" i="1"/>
  <c r="AQ2854" i="1"/>
  <c r="AX2854" i="1"/>
  <c r="BD2854" i="1"/>
  <c r="B2855" i="1"/>
  <c r="C2855" i="1"/>
  <c r="D2855" i="1"/>
  <c r="E2855" i="1"/>
  <c r="F2855" i="1"/>
  <c r="G2855" i="1"/>
  <c r="H2855" i="1"/>
  <c r="I2855" i="1"/>
  <c r="J2855" i="1"/>
  <c r="K2855" i="1"/>
  <c r="M2855" i="1"/>
  <c r="O2855" i="1"/>
  <c r="Q2855" i="1"/>
  <c r="R2855" i="1"/>
  <c r="W2855" i="1"/>
  <c r="AA2855" i="1"/>
  <c r="AB2855" i="1"/>
  <c r="AE2855" i="1"/>
  <c r="AF2855" i="1"/>
  <c r="AM2855" i="1"/>
  <c r="AN2855" i="1"/>
  <c r="AO2855" i="1"/>
  <c r="AQ2855" i="1"/>
  <c r="AX2855" i="1"/>
  <c r="BD2855" i="1"/>
  <c r="B2856" i="1"/>
  <c r="C2856" i="1"/>
  <c r="D2856" i="1"/>
  <c r="E2856" i="1"/>
  <c r="F2856" i="1"/>
  <c r="G2856" i="1"/>
  <c r="H2856" i="1"/>
  <c r="I2856" i="1"/>
  <c r="J2856" i="1"/>
  <c r="K2856" i="1"/>
  <c r="M2856" i="1"/>
  <c r="O2856" i="1"/>
  <c r="Q2856" i="1"/>
  <c r="R2856" i="1"/>
  <c r="W2856" i="1"/>
  <c r="AA2856" i="1"/>
  <c r="AB2856" i="1"/>
  <c r="AE2856" i="1"/>
  <c r="AF2856" i="1"/>
  <c r="AM2856" i="1"/>
  <c r="AN2856" i="1"/>
  <c r="AO2856" i="1"/>
  <c r="AQ2856" i="1"/>
  <c r="AX2856" i="1"/>
  <c r="BD2856" i="1"/>
  <c r="B2857" i="1"/>
  <c r="C2857" i="1"/>
  <c r="D2857" i="1"/>
  <c r="E2857" i="1"/>
  <c r="F2857" i="1"/>
  <c r="G2857" i="1"/>
  <c r="H2857" i="1"/>
  <c r="I2857" i="1"/>
  <c r="J2857" i="1"/>
  <c r="K2857" i="1"/>
  <c r="M2857" i="1"/>
  <c r="O2857" i="1"/>
  <c r="Q2857" i="1"/>
  <c r="R2857" i="1"/>
  <c r="W2857" i="1"/>
  <c r="AA2857" i="1"/>
  <c r="AB2857" i="1"/>
  <c r="AE2857" i="1"/>
  <c r="AF2857" i="1"/>
  <c r="AM2857" i="1"/>
  <c r="AN2857" i="1"/>
  <c r="AO2857" i="1"/>
  <c r="AQ2857" i="1"/>
  <c r="AX2857" i="1"/>
  <c r="BD2857" i="1"/>
  <c r="B2858" i="1"/>
  <c r="C2858" i="1"/>
  <c r="D2858" i="1"/>
  <c r="E2858" i="1"/>
  <c r="F2858" i="1"/>
  <c r="G2858" i="1"/>
  <c r="H2858" i="1"/>
  <c r="I2858" i="1"/>
  <c r="J2858" i="1"/>
  <c r="K2858" i="1"/>
  <c r="M2858" i="1"/>
  <c r="O2858" i="1"/>
  <c r="Q2858" i="1"/>
  <c r="R2858" i="1"/>
  <c r="W2858" i="1"/>
  <c r="AA2858" i="1"/>
  <c r="AB2858" i="1"/>
  <c r="AE2858" i="1"/>
  <c r="AF2858" i="1"/>
  <c r="AM2858" i="1"/>
  <c r="AN2858" i="1"/>
  <c r="AO2858" i="1"/>
  <c r="AQ2858" i="1"/>
  <c r="AX2858" i="1"/>
  <c r="BD2858" i="1"/>
  <c r="B2859" i="1"/>
  <c r="C2859" i="1"/>
  <c r="D2859" i="1"/>
  <c r="E2859" i="1"/>
  <c r="F2859" i="1"/>
  <c r="G2859" i="1"/>
  <c r="H2859" i="1"/>
  <c r="I2859" i="1"/>
  <c r="J2859" i="1"/>
  <c r="K2859" i="1"/>
  <c r="M2859" i="1"/>
  <c r="O2859" i="1"/>
  <c r="Q2859" i="1"/>
  <c r="R2859" i="1"/>
  <c r="W2859" i="1"/>
  <c r="AA2859" i="1"/>
  <c r="AB2859" i="1"/>
  <c r="AE2859" i="1"/>
  <c r="AF2859" i="1"/>
  <c r="AM2859" i="1"/>
  <c r="AN2859" i="1"/>
  <c r="AO2859" i="1"/>
  <c r="AQ2859" i="1"/>
  <c r="AX2859" i="1"/>
  <c r="BD2859" i="1"/>
  <c r="B2860" i="1"/>
  <c r="C2860" i="1"/>
  <c r="D2860" i="1"/>
  <c r="E2860" i="1"/>
  <c r="F2860" i="1"/>
  <c r="G2860" i="1"/>
  <c r="H2860" i="1"/>
  <c r="I2860" i="1"/>
  <c r="J2860" i="1"/>
  <c r="K2860" i="1"/>
  <c r="M2860" i="1"/>
  <c r="O2860" i="1"/>
  <c r="Q2860" i="1"/>
  <c r="R2860" i="1"/>
  <c r="W2860" i="1"/>
  <c r="AA2860" i="1"/>
  <c r="AB2860" i="1"/>
  <c r="AE2860" i="1"/>
  <c r="AF2860" i="1"/>
  <c r="AM2860" i="1"/>
  <c r="AN2860" i="1"/>
  <c r="AO2860" i="1"/>
  <c r="AQ2860" i="1"/>
  <c r="AX2860" i="1"/>
  <c r="BD2860" i="1"/>
  <c r="B2861" i="1"/>
  <c r="C2861" i="1"/>
  <c r="D2861" i="1"/>
  <c r="E2861" i="1"/>
  <c r="F2861" i="1"/>
  <c r="G2861" i="1"/>
  <c r="H2861" i="1"/>
  <c r="I2861" i="1"/>
  <c r="J2861" i="1"/>
  <c r="K2861" i="1"/>
  <c r="M2861" i="1"/>
  <c r="O2861" i="1"/>
  <c r="Q2861" i="1"/>
  <c r="R2861" i="1"/>
  <c r="W2861" i="1"/>
  <c r="AA2861" i="1"/>
  <c r="AB2861" i="1"/>
  <c r="AE2861" i="1"/>
  <c r="AF2861" i="1"/>
  <c r="AM2861" i="1"/>
  <c r="AN2861" i="1"/>
  <c r="AO2861" i="1"/>
  <c r="AQ2861" i="1"/>
  <c r="AX2861" i="1"/>
  <c r="BD2861" i="1"/>
  <c r="B2862" i="1"/>
  <c r="C2862" i="1"/>
  <c r="D2862" i="1"/>
  <c r="E2862" i="1"/>
  <c r="F2862" i="1"/>
  <c r="G2862" i="1"/>
  <c r="H2862" i="1"/>
  <c r="I2862" i="1"/>
  <c r="J2862" i="1"/>
  <c r="K2862" i="1"/>
  <c r="M2862" i="1"/>
  <c r="O2862" i="1"/>
  <c r="Q2862" i="1"/>
  <c r="R2862" i="1"/>
  <c r="W2862" i="1"/>
  <c r="AA2862" i="1"/>
  <c r="AB2862" i="1"/>
  <c r="AE2862" i="1"/>
  <c r="AF2862" i="1"/>
  <c r="AM2862" i="1"/>
  <c r="AN2862" i="1"/>
  <c r="AO2862" i="1"/>
  <c r="AQ2862" i="1"/>
  <c r="AX2862" i="1"/>
  <c r="BD2862" i="1"/>
  <c r="B2863" i="1"/>
  <c r="C2863" i="1"/>
  <c r="D2863" i="1"/>
  <c r="E2863" i="1"/>
  <c r="F2863" i="1"/>
  <c r="G2863" i="1"/>
  <c r="H2863" i="1"/>
  <c r="I2863" i="1"/>
  <c r="J2863" i="1"/>
  <c r="K2863" i="1"/>
  <c r="M2863" i="1"/>
  <c r="O2863" i="1"/>
  <c r="Q2863" i="1"/>
  <c r="R2863" i="1"/>
  <c r="W2863" i="1"/>
  <c r="AA2863" i="1"/>
  <c r="AB2863" i="1"/>
  <c r="AE2863" i="1"/>
  <c r="AF2863" i="1"/>
  <c r="AM2863" i="1"/>
  <c r="AN2863" i="1"/>
  <c r="AO2863" i="1"/>
  <c r="AQ2863" i="1"/>
  <c r="AX2863" i="1"/>
  <c r="BD2863" i="1"/>
  <c r="B2864" i="1"/>
  <c r="C2864" i="1"/>
  <c r="D2864" i="1"/>
  <c r="E2864" i="1"/>
  <c r="F2864" i="1"/>
  <c r="G2864" i="1"/>
  <c r="H2864" i="1"/>
  <c r="I2864" i="1"/>
  <c r="J2864" i="1"/>
  <c r="K2864" i="1"/>
  <c r="M2864" i="1"/>
  <c r="O2864" i="1"/>
  <c r="Q2864" i="1"/>
  <c r="R2864" i="1"/>
  <c r="W2864" i="1"/>
  <c r="AA2864" i="1"/>
  <c r="AB2864" i="1"/>
  <c r="AE2864" i="1"/>
  <c r="AF2864" i="1"/>
  <c r="AM2864" i="1"/>
  <c r="AN2864" i="1"/>
  <c r="AO2864" i="1"/>
  <c r="AQ2864" i="1"/>
  <c r="AX2864" i="1"/>
  <c r="BD2864" i="1"/>
  <c r="B2865" i="1"/>
  <c r="C2865" i="1"/>
  <c r="D2865" i="1"/>
  <c r="E2865" i="1"/>
  <c r="F2865" i="1"/>
  <c r="G2865" i="1"/>
  <c r="H2865" i="1"/>
  <c r="I2865" i="1"/>
  <c r="J2865" i="1"/>
  <c r="K2865" i="1"/>
  <c r="M2865" i="1"/>
  <c r="O2865" i="1"/>
  <c r="Q2865" i="1"/>
  <c r="R2865" i="1"/>
  <c r="W2865" i="1"/>
  <c r="AA2865" i="1"/>
  <c r="AB2865" i="1"/>
  <c r="AE2865" i="1"/>
  <c r="AF2865" i="1"/>
  <c r="AM2865" i="1"/>
  <c r="AN2865" i="1"/>
  <c r="AO2865" i="1"/>
  <c r="AQ2865" i="1"/>
  <c r="AX2865" i="1"/>
  <c r="BD2865" i="1"/>
  <c r="B2866" i="1"/>
  <c r="C2866" i="1"/>
  <c r="D2866" i="1"/>
  <c r="E2866" i="1"/>
  <c r="F2866" i="1"/>
  <c r="G2866" i="1"/>
  <c r="H2866" i="1"/>
  <c r="I2866" i="1"/>
  <c r="J2866" i="1"/>
  <c r="K2866" i="1"/>
  <c r="M2866" i="1"/>
  <c r="O2866" i="1"/>
  <c r="Q2866" i="1"/>
  <c r="R2866" i="1"/>
  <c r="W2866" i="1"/>
  <c r="AA2866" i="1"/>
  <c r="AB2866" i="1"/>
  <c r="AE2866" i="1"/>
  <c r="AF2866" i="1"/>
  <c r="AM2866" i="1"/>
  <c r="AN2866" i="1"/>
  <c r="AO2866" i="1"/>
  <c r="AQ2866" i="1"/>
  <c r="AX2866" i="1"/>
  <c r="BD2866" i="1"/>
  <c r="B2867" i="1"/>
  <c r="C2867" i="1"/>
  <c r="D2867" i="1"/>
  <c r="E2867" i="1"/>
  <c r="F2867" i="1"/>
  <c r="G2867" i="1"/>
  <c r="H2867" i="1"/>
  <c r="I2867" i="1"/>
  <c r="J2867" i="1"/>
  <c r="K2867" i="1"/>
  <c r="M2867" i="1"/>
  <c r="O2867" i="1"/>
  <c r="Q2867" i="1"/>
  <c r="R2867" i="1"/>
  <c r="W2867" i="1"/>
  <c r="AA2867" i="1"/>
  <c r="AB2867" i="1"/>
  <c r="AE2867" i="1"/>
  <c r="AF2867" i="1"/>
  <c r="AM2867" i="1"/>
  <c r="AN2867" i="1"/>
  <c r="AO2867" i="1"/>
  <c r="AQ2867" i="1"/>
  <c r="AX2867" i="1"/>
  <c r="BD2867" i="1"/>
  <c r="B2868" i="1"/>
  <c r="C2868" i="1"/>
  <c r="D2868" i="1"/>
  <c r="E2868" i="1"/>
  <c r="F2868" i="1"/>
  <c r="G2868" i="1"/>
  <c r="H2868" i="1"/>
  <c r="I2868" i="1"/>
  <c r="J2868" i="1"/>
  <c r="K2868" i="1"/>
  <c r="M2868" i="1"/>
  <c r="O2868" i="1"/>
  <c r="Q2868" i="1"/>
  <c r="R2868" i="1"/>
  <c r="W2868" i="1"/>
  <c r="AA2868" i="1"/>
  <c r="AB2868" i="1"/>
  <c r="AE2868" i="1"/>
  <c r="AF2868" i="1"/>
  <c r="AM2868" i="1"/>
  <c r="AN2868" i="1"/>
  <c r="AO2868" i="1"/>
  <c r="AQ2868" i="1"/>
  <c r="AX2868" i="1"/>
  <c r="BD2868" i="1"/>
  <c r="B2869" i="1"/>
  <c r="C2869" i="1"/>
  <c r="E2869" i="1"/>
  <c r="F2869" i="1"/>
  <c r="G2869" i="1"/>
  <c r="H2869" i="1"/>
  <c r="I2869" i="1"/>
  <c r="J2869" i="1"/>
  <c r="K2869" i="1"/>
  <c r="M2869" i="1"/>
  <c r="O2869" i="1"/>
  <c r="Q2869" i="1"/>
  <c r="R2869" i="1"/>
  <c r="W2869" i="1"/>
  <c r="AA2869" i="1"/>
  <c r="AM2869" i="1"/>
  <c r="AN2869" i="1"/>
  <c r="AO2869" i="1"/>
  <c r="AQ2869" i="1"/>
  <c r="BB2869" i="1"/>
  <c r="BD2869" i="1"/>
  <c r="B2870" i="1"/>
  <c r="C2870" i="1"/>
  <c r="E2870" i="1"/>
  <c r="F2870" i="1"/>
  <c r="G2870" i="1"/>
  <c r="H2870" i="1"/>
  <c r="I2870" i="1"/>
  <c r="J2870" i="1"/>
  <c r="K2870" i="1"/>
  <c r="M2870" i="1"/>
  <c r="O2870" i="1"/>
  <c r="Q2870" i="1"/>
  <c r="R2870" i="1"/>
  <c r="W2870" i="1"/>
  <c r="AA2870" i="1"/>
  <c r="AM2870" i="1"/>
  <c r="AN2870" i="1"/>
  <c r="AO2870" i="1"/>
  <c r="AQ2870" i="1"/>
  <c r="BB2870" i="1"/>
  <c r="BD2870" i="1"/>
  <c r="B2871" i="1"/>
  <c r="C2871" i="1"/>
  <c r="E2871" i="1"/>
  <c r="F2871" i="1"/>
  <c r="G2871" i="1"/>
  <c r="H2871" i="1"/>
  <c r="I2871" i="1"/>
  <c r="J2871" i="1"/>
  <c r="K2871" i="1"/>
  <c r="M2871" i="1"/>
  <c r="O2871" i="1"/>
  <c r="Q2871" i="1"/>
  <c r="R2871" i="1"/>
  <c r="W2871" i="1"/>
  <c r="AA2871" i="1"/>
  <c r="AM2871" i="1"/>
  <c r="AN2871" i="1"/>
  <c r="AO2871" i="1"/>
  <c r="AQ2871" i="1"/>
  <c r="BB2871" i="1"/>
  <c r="BD2871" i="1"/>
  <c r="B2872" i="1"/>
  <c r="C2872" i="1"/>
  <c r="E2872" i="1"/>
  <c r="F2872" i="1"/>
  <c r="G2872" i="1"/>
  <c r="H2872" i="1"/>
  <c r="I2872" i="1"/>
  <c r="J2872" i="1"/>
  <c r="K2872" i="1"/>
  <c r="M2872" i="1"/>
  <c r="O2872" i="1"/>
  <c r="Q2872" i="1"/>
  <c r="R2872" i="1"/>
  <c r="W2872" i="1"/>
  <c r="AA2872" i="1"/>
  <c r="AM2872" i="1"/>
  <c r="AN2872" i="1"/>
  <c r="AO2872" i="1"/>
  <c r="AQ2872" i="1"/>
  <c r="BB2872" i="1"/>
  <c r="BD2872" i="1"/>
  <c r="B2873" i="1"/>
  <c r="C2873" i="1"/>
  <c r="E2873" i="1"/>
  <c r="F2873" i="1"/>
  <c r="G2873" i="1"/>
  <c r="H2873" i="1"/>
  <c r="I2873" i="1"/>
  <c r="J2873" i="1"/>
  <c r="K2873" i="1"/>
  <c r="M2873" i="1"/>
  <c r="O2873" i="1"/>
  <c r="Q2873" i="1"/>
  <c r="R2873" i="1"/>
  <c r="W2873" i="1"/>
  <c r="AA2873" i="1"/>
  <c r="AM2873" i="1"/>
  <c r="AN2873" i="1"/>
  <c r="AO2873" i="1"/>
  <c r="AQ2873" i="1"/>
  <c r="BB2873" i="1"/>
  <c r="BD2873" i="1"/>
  <c r="B2874" i="1"/>
  <c r="C2874" i="1"/>
  <c r="E2874" i="1"/>
  <c r="F2874" i="1"/>
  <c r="G2874" i="1"/>
  <c r="H2874" i="1"/>
  <c r="I2874" i="1"/>
  <c r="J2874" i="1"/>
  <c r="K2874" i="1"/>
  <c r="M2874" i="1"/>
  <c r="O2874" i="1"/>
  <c r="Q2874" i="1"/>
  <c r="R2874" i="1"/>
  <c r="W2874" i="1"/>
  <c r="AA2874" i="1"/>
  <c r="AM2874" i="1"/>
  <c r="AN2874" i="1"/>
  <c r="AO2874" i="1"/>
  <c r="AQ2874" i="1"/>
  <c r="BB2874" i="1"/>
  <c r="BD2874" i="1"/>
  <c r="B2875" i="1"/>
  <c r="C2875" i="1"/>
  <c r="E2875" i="1"/>
  <c r="F2875" i="1"/>
  <c r="G2875" i="1"/>
  <c r="H2875" i="1"/>
  <c r="I2875" i="1"/>
  <c r="J2875" i="1"/>
  <c r="K2875" i="1"/>
  <c r="M2875" i="1"/>
  <c r="O2875" i="1"/>
  <c r="Q2875" i="1"/>
  <c r="R2875" i="1"/>
  <c r="W2875" i="1"/>
  <c r="AA2875" i="1"/>
  <c r="AM2875" i="1"/>
  <c r="AN2875" i="1"/>
  <c r="AO2875" i="1"/>
  <c r="AQ2875" i="1"/>
  <c r="BB2875" i="1"/>
  <c r="BD2875" i="1"/>
  <c r="B2876" i="1"/>
  <c r="C2876" i="1"/>
  <c r="E2876" i="1"/>
  <c r="F2876" i="1"/>
  <c r="G2876" i="1"/>
  <c r="H2876" i="1"/>
  <c r="I2876" i="1"/>
  <c r="J2876" i="1"/>
  <c r="K2876" i="1"/>
  <c r="M2876" i="1"/>
  <c r="O2876" i="1"/>
  <c r="Q2876" i="1"/>
  <c r="R2876" i="1"/>
  <c r="W2876" i="1"/>
  <c r="AA2876" i="1"/>
  <c r="AM2876" i="1"/>
  <c r="AN2876" i="1"/>
  <c r="AO2876" i="1"/>
  <c r="AQ2876" i="1"/>
  <c r="BB2876" i="1"/>
  <c r="BD2876" i="1"/>
  <c r="B2877" i="1"/>
  <c r="C2877" i="1"/>
  <c r="E2877" i="1"/>
  <c r="F2877" i="1"/>
  <c r="G2877" i="1"/>
  <c r="H2877" i="1"/>
  <c r="I2877" i="1"/>
  <c r="J2877" i="1"/>
  <c r="K2877" i="1"/>
  <c r="M2877" i="1"/>
  <c r="O2877" i="1"/>
  <c r="Q2877" i="1"/>
  <c r="R2877" i="1"/>
  <c r="W2877" i="1"/>
  <c r="AA2877" i="1"/>
  <c r="AM2877" i="1"/>
  <c r="AN2877" i="1"/>
  <c r="AO2877" i="1"/>
  <c r="AQ2877" i="1"/>
  <c r="BB2877" i="1"/>
  <c r="BD2877" i="1"/>
  <c r="B2878" i="1"/>
  <c r="C2878" i="1"/>
  <c r="E2878" i="1"/>
  <c r="F2878" i="1"/>
  <c r="G2878" i="1"/>
  <c r="H2878" i="1"/>
  <c r="I2878" i="1"/>
  <c r="J2878" i="1"/>
  <c r="K2878" i="1"/>
  <c r="M2878" i="1"/>
  <c r="O2878" i="1"/>
  <c r="Q2878" i="1"/>
  <c r="R2878" i="1"/>
  <c r="W2878" i="1"/>
  <c r="AA2878" i="1"/>
  <c r="AM2878" i="1"/>
  <c r="AN2878" i="1"/>
  <c r="AO2878" i="1"/>
  <c r="AQ2878" i="1"/>
  <c r="BB2878" i="1"/>
  <c r="BD2878" i="1"/>
  <c r="B2879" i="1"/>
  <c r="C2879" i="1"/>
  <c r="E2879" i="1"/>
  <c r="F2879" i="1"/>
  <c r="G2879" i="1"/>
  <c r="H2879" i="1"/>
  <c r="I2879" i="1"/>
  <c r="J2879" i="1"/>
  <c r="K2879" i="1"/>
  <c r="M2879" i="1"/>
  <c r="O2879" i="1"/>
  <c r="Q2879" i="1"/>
  <c r="R2879" i="1"/>
  <c r="W2879" i="1"/>
  <c r="AA2879" i="1"/>
  <c r="AM2879" i="1"/>
  <c r="AN2879" i="1"/>
  <c r="AO2879" i="1"/>
  <c r="AQ2879" i="1"/>
  <c r="BB2879" i="1"/>
  <c r="BD2879" i="1"/>
  <c r="B2880" i="1"/>
  <c r="C2880" i="1"/>
  <c r="E2880" i="1"/>
  <c r="F2880" i="1"/>
  <c r="G2880" i="1"/>
  <c r="H2880" i="1"/>
  <c r="I2880" i="1"/>
  <c r="J2880" i="1"/>
  <c r="K2880" i="1"/>
  <c r="M2880" i="1"/>
  <c r="O2880" i="1"/>
  <c r="Q2880" i="1"/>
  <c r="R2880" i="1"/>
  <c r="W2880" i="1"/>
  <c r="AA2880" i="1"/>
  <c r="AM2880" i="1"/>
  <c r="AN2880" i="1"/>
  <c r="AO2880" i="1"/>
  <c r="AQ2880" i="1"/>
  <c r="BB2880" i="1"/>
  <c r="BD2880" i="1"/>
  <c r="B2881" i="1"/>
  <c r="C2881" i="1"/>
  <c r="E2881" i="1"/>
  <c r="F2881" i="1"/>
  <c r="G2881" i="1"/>
  <c r="H2881" i="1"/>
  <c r="I2881" i="1"/>
  <c r="J2881" i="1"/>
  <c r="K2881" i="1"/>
  <c r="M2881" i="1"/>
  <c r="O2881" i="1"/>
  <c r="Q2881" i="1"/>
  <c r="R2881" i="1"/>
  <c r="W2881" i="1"/>
  <c r="AA2881" i="1"/>
  <c r="AM2881" i="1"/>
  <c r="AN2881" i="1"/>
  <c r="AO2881" i="1"/>
  <c r="AQ2881" i="1"/>
  <c r="BB2881" i="1"/>
  <c r="BD2881" i="1"/>
  <c r="B2882" i="1"/>
  <c r="C2882" i="1"/>
  <c r="E2882" i="1"/>
  <c r="F2882" i="1"/>
  <c r="G2882" i="1"/>
  <c r="H2882" i="1"/>
  <c r="I2882" i="1"/>
  <c r="J2882" i="1"/>
  <c r="K2882" i="1"/>
  <c r="M2882" i="1"/>
  <c r="O2882" i="1"/>
  <c r="Q2882" i="1"/>
  <c r="R2882" i="1"/>
  <c r="W2882" i="1"/>
  <c r="AA2882" i="1"/>
  <c r="AM2882" i="1"/>
  <c r="AN2882" i="1"/>
  <c r="AO2882" i="1"/>
  <c r="AQ2882" i="1"/>
  <c r="BB2882" i="1"/>
  <c r="BD2882" i="1"/>
  <c r="B2883" i="1"/>
  <c r="C2883" i="1"/>
  <c r="E2883" i="1"/>
  <c r="F2883" i="1"/>
  <c r="G2883" i="1"/>
  <c r="H2883" i="1"/>
  <c r="I2883" i="1"/>
  <c r="J2883" i="1"/>
  <c r="K2883" i="1"/>
  <c r="M2883" i="1"/>
  <c r="O2883" i="1"/>
  <c r="Q2883" i="1"/>
  <c r="R2883" i="1"/>
  <c r="W2883" i="1"/>
  <c r="AA2883" i="1"/>
  <c r="AM2883" i="1"/>
  <c r="AN2883" i="1"/>
  <c r="AO2883" i="1"/>
  <c r="AQ2883" i="1"/>
  <c r="BB2883" i="1"/>
  <c r="BD2883" i="1"/>
  <c r="B2884" i="1"/>
  <c r="C2884" i="1"/>
  <c r="E2884" i="1"/>
  <c r="F2884" i="1"/>
  <c r="G2884" i="1"/>
  <c r="H2884" i="1"/>
  <c r="I2884" i="1"/>
  <c r="J2884" i="1"/>
  <c r="K2884" i="1"/>
  <c r="M2884" i="1"/>
  <c r="O2884" i="1"/>
  <c r="Q2884" i="1"/>
  <c r="R2884" i="1"/>
  <c r="W2884" i="1"/>
  <c r="AA2884" i="1"/>
  <c r="AM2884" i="1"/>
  <c r="AN2884" i="1"/>
  <c r="AO2884" i="1"/>
  <c r="AQ2884" i="1"/>
  <c r="BB2884" i="1"/>
  <c r="BD2884" i="1"/>
  <c r="B2885" i="1"/>
  <c r="C2885" i="1"/>
  <c r="E2885" i="1"/>
  <c r="F2885" i="1"/>
  <c r="G2885" i="1"/>
  <c r="H2885" i="1"/>
  <c r="I2885" i="1"/>
  <c r="J2885" i="1"/>
  <c r="K2885" i="1"/>
  <c r="M2885" i="1"/>
  <c r="O2885" i="1"/>
  <c r="Q2885" i="1"/>
  <c r="R2885" i="1"/>
  <c r="W2885" i="1"/>
  <c r="AA2885" i="1"/>
  <c r="AM2885" i="1"/>
  <c r="AN2885" i="1"/>
  <c r="AO2885" i="1"/>
  <c r="AQ2885" i="1"/>
  <c r="BB2885" i="1"/>
  <c r="BD2885" i="1"/>
  <c r="B2886" i="1"/>
  <c r="C2886" i="1"/>
  <c r="E2886" i="1"/>
  <c r="F2886" i="1"/>
  <c r="G2886" i="1"/>
  <c r="H2886" i="1"/>
  <c r="I2886" i="1"/>
  <c r="J2886" i="1"/>
  <c r="K2886" i="1"/>
  <c r="M2886" i="1"/>
  <c r="O2886" i="1"/>
  <c r="Q2886" i="1"/>
  <c r="R2886" i="1"/>
  <c r="W2886" i="1"/>
  <c r="AA2886" i="1"/>
  <c r="AM2886" i="1"/>
  <c r="AN2886" i="1"/>
  <c r="AO2886" i="1"/>
  <c r="AQ2886" i="1"/>
  <c r="BB2886" i="1"/>
  <c r="BD2886" i="1"/>
  <c r="B2887" i="1"/>
  <c r="C2887" i="1"/>
  <c r="E2887" i="1"/>
  <c r="F2887" i="1"/>
  <c r="G2887" i="1"/>
  <c r="H2887" i="1"/>
  <c r="I2887" i="1"/>
  <c r="J2887" i="1"/>
  <c r="K2887" i="1"/>
  <c r="M2887" i="1"/>
  <c r="O2887" i="1"/>
  <c r="Q2887" i="1"/>
  <c r="R2887" i="1"/>
  <c r="W2887" i="1"/>
  <c r="AA2887" i="1"/>
  <c r="AB2887" i="1"/>
  <c r="AE2887" i="1"/>
  <c r="AF2887" i="1"/>
  <c r="AM2887" i="1"/>
  <c r="AN2887" i="1"/>
  <c r="AO2887" i="1"/>
  <c r="AQ2887" i="1"/>
  <c r="AX2887" i="1"/>
  <c r="BD2887" i="1"/>
  <c r="B2888" i="1"/>
  <c r="C2888" i="1"/>
  <c r="D2888" i="1"/>
  <c r="E2888" i="1"/>
  <c r="F2888" i="1"/>
  <c r="G2888" i="1"/>
  <c r="H2888" i="1"/>
  <c r="I2888" i="1"/>
  <c r="J2888" i="1"/>
  <c r="K2888" i="1"/>
  <c r="M2888" i="1"/>
  <c r="O2888" i="1"/>
  <c r="Q2888" i="1"/>
  <c r="R2888" i="1"/>
  <c r="W2888" i="1"/>
  <c r="AA2888" i="1"/>
  <c r="AB2888" i="1"/>
  <c r="AE2888" i="1"/>
  <c r="AF2888" i="1"/>
  <c r="AM2888" i="1"/>
  <c r="AN2888" i="1"/>
  <c r="AO2888" i="1"/>
  <c r="AQ2888" i="1"/>
  <c r="AX2888" i="1"/>
  <c r="BD2888" i="1"/>
  <c r="B2889" i="1"/>
  <c r="C2889" i="1"/>
  <c r="D2889" i="1"/>
  <c r="E2889" i="1"/>
  <c r="F2889" i="1"/>
  <c r="G2889" i="1"/>
  <c r="H2889" i="1"/>
  <c r="I2889" i="1"/>
  <c r="J2889" i="1"/>
  <c r="K2889" i="1"/>
  <c r="M2889" i="1"/>
  <c r="O2889" i="1"/>
  <c r="Q2889" i="1"/>
  <c r="R2889" i="1"/>
  <c r="W2889" i="1"/>
  <c r="AA2889" i="1"/>
  <c r="AB2889" i="1"/>
  <c r="AE2889" i="1"/>
  <c r="AF2889" i="1"/>
  <c r="AM2889" i="1"/>
  <c r="AN2889" i="1"/>
  <c r="AO2889" i="1"/>
  <c r="AQ2889" i="1"/>
  <c r="AX2889" i="1"/>
  <c r="BD2889" i="1"/>
  <c r="B2890" i="1"/>
  <c r="C2890" i="1"/>
  <c r="D2890" i="1"/>
  <c r="E2890" i="1"/>
  <c r="F2890" i="1"/>
  <c r="G2890" i="1"/>
  <c r="H2890" i="1"/>
  <c r="I2890" i="1"/>
  <c r="J2890" i="1"/>
  <c r="K2890" i="1"/>
  <c r="M2890" i="1"/>
  <c r="O2890" i="1"/>
  <c r="Q2890" i="1"/>
  <c r="R2890" i="1"/>
  <c r="W2890" i="1"/>
  <c r="AA2890" i="1"/>
  <c r="AB2890" i="1"/>
  <c r="AE2890" i="1"/>
  <c r="AF2890" i="1"/>
  <c r="AM2890" i="1"/>
  <c r="AN2890" i="1"/>
  <c r="AO2890" i="1"/>
  <c r="AQ2890" i="1"/>
  <c r="AX2890" i="1"/>
  <c r="BD2890" i="1"/>
  <c r="B2891" i="1"/>
  <c r="C2891" i="1"/>
  <c r="D2891" i="1"/>
  <c r="E2891" i="1"/>
  <c r="F2891" i="1"/>
  <c r="G2891" i="1"/>
  <c r="H2891" i="1"/>
  <c r="I2891" i="1"/>
  <c r="J2891" i="1"/>
  <c r="K2891" i="1"/>
  <c r="M2891" i="1"/>
  <c r="O2891" i="1"/>
  <c r="Q2891" i="1"/>
  <c r="R2891" i="1"/>
  <c r="W2891" i="1"/>
  <c r="AA2891" i="1"/>
  <c r="AB2891" i="1"/>
  <c r="AE2891" i="1"/>
  <c r="AF2891" i="1"/>
  <c r="AM2891" i="1"/>
  <c r="AN2891" i="1"/>
  <c r="AO2891" i="1"/>
  <c r="AQ2891" i="1"/>
  <c r="AX2891" i="1"/>
  <c r="BD2891" i="1"/>
  <c r="B2892" i="1"/>
  <c r="C2892" i="1"/>
  <c r="D2892" i="1"/>
  <c r="E2892" i="1"/>
  <c r="F2892" i="1"/>
  <c r="G2892" i="1"/>
  <c r="H2892" i="1"/>
  <c r="I2892" i="1"/>
  <c r="J2892" i="1"/>
  <c r="K2892" i="1"/>
  <c r="M2892" i="1"/>
  <c r="O2892" i="1"/>
  <c r="Q2892" i="1"/>
  <c r="R2892" i="1"/>
  <c r="W2892" i="1"/>
  <c r="AA2892" i="1"/>
  <c r="AB2892" i="1"/>
  <c r="AE2892" i="1"/>
  <c r="AF2892" i="1"/>
  <c r="AM2892" i="1"/>
  <c r="AN2892" i="1"/>
  <c r="AO2892" i="1"/>
  <c r="AQ2892" i="1"/>
  <c r="AX2892" i="1"/>
  <c r="BD2892" i="1"/>
  <c r="B2893" i="1"/>
  <c r="C2893" i="1"/>
  <c r="D2893" i="1"/>
  <c r="E2893" i="1"/>
  <c r="F2893" i="1"/>
  <c r="G2893" i="1"/>
  <c r="H2893" i="1"/>
  <c r="I2893" i="1"/>
  <c r="J2893" i="1"/>
  <c r="K2893" i="1"/>
  <c r="M2893" i="1"/>
  <c r="O2893" i="1"/>
  <c r="Q2893" i="1"/>
  <c r="R2893" i="1"/>
  <c r="W2893" i="1"/>
  <c r="AA2893" i="1"/>
  <c r="AB2893" i="1"/>
  <c r="AE2893" i="1"/>
  <c r="AF2893" i="1"/>
  <c r="AM2893" i="1"/>
  <c r="AN2893" i="1"/>
  <c r="AO2893" i="1"/>
  <c r="AQ2893" i="1"/>
  <c r="AX2893" i="1"/>
  <c r="BD2893" i="1"/>
  <c r="B2894" i="1"/>
  <c r="C2894" i="1"/>
  <c r="D2894" i="1"/>
  <c r="E2894" i="1"/>
  <c r="F2894" i="1"/>
  <c r="G2894" i="1"/>
  <c r="H2894" i="1"/>
  <c r="I2894" i="1"/>
  <c r="J2894" i="1"/>
  <c r="K2894" i="1"/>
  <c r="M2894" i="1"/>
  <c r="O2894" i="1"/>
  <c r="Q2894" i="1"/>
  <c r="R2894" i="1"/>
  <c r="W2894" i="1"/>
  <c r="AA2894" i="1"/>
  <c r="AB2894" i="1"/>
  <c r="AE2894" i="1"/>
  <c r="AF2894" i="1"/>
  <c r="AM2894" i="1"/>
  <c r="AN2894" i="1"/>
  <c r="AO2894" i="1"/>
  <c r="AQ2894" i="1"/>
  <c r="AX2894" i="1"/>
  <c r="BD2894" i="1"/>
  <c r="B2895" i="1"/>
  <c r="C2895" i="1"/>
  <c r="D2895" i="1"/>
  <c r="E2895" i="1"/>
  <c r="F2895" i="1"/>
  <c r="G2895" i="1"/>
  <c r="H2895" i="1"/>
  <c r="I2895" i="1"/>
  <c r="J2895" i="1"/>
  <c r="K2895" i="1"/>
  <c r="M2895" i="1"/>
  <c r="O2895" i="1"/>
  <c r="Q2895" i="1"/>
  <c r="R2895" i="1"/>
  <c r="W2895" i="1"/>
  <c r="AA2895" i="1"/>
  <c r="AB2895" i="1"/>
  <c r="AE2895" i="1"/>
  <c r="AF2895" i="1"/>
  <c r="AM2895" i="1"/>
  <c r="AN2895" i="1"/>
  <c r="AO2895" i="1"/>
  <c r="AQ2895" i="1"/>
  <c r="AX2895" i="1"/>
  <c r="BD2895" i="1"/>
  <c r="B2896" i="1"/>
  <c r="C2896" i="1"/>
  <c r="D2896" i="1"/>
  <c r="E2896" i="1"/>
  <c r="F2896" i="1"/>
  <c r="G2896" i="1"/>
  <c r="H2896" i="1"/>
  <c r="I2896" i="1"/>
  <c r="J2896" i="1"/>
  <c r="K2896" i="1"/>
  <c r="M2896" i="1"/>
  <c r="O2896" i="1"/>
  <c r="Q2896" i="1"/>
  <c r="R2896" i="1"/>
  <c r="W2896" i="1"/>
  <c r="AA2896" i="1"/>
  <c r="AB2896" i="1"/>
  <c r="AE2896" i="1"/>
  <c r="AF2896" i="1"/>
  <c r="AM2896" i="1"/>
  <c r="AN2896" i="1"/>
  <c r="AO2896" i="1"/>
  <c r="AQ2896" i="1"/>
  <c r="AX2896" i="1"/>
  <c r="BD2896" i="1"/>
  <c r="B2897" i="1"/>
  <c r="C2897" i="1"/>
  <c r="D2897" i="1"/>
  <c r="E2897" i="1"/>
  <c r="F2897" i="1"/>
  <c r="G2897" i="1"/>
  <c r="H2897" i="1"/>
  <c r="I2897" i="1"/>
  <c r="J2897" i="1"/>
  <c r="K2897" i="1"/>
  <c r="M2897" i="1"/>
  <c r="O2897" i="1"/>
  <c r="Q2897" i="1"/>
  <c r="R2897" i="1"/>
  <c r="W2897" i="1"/>
  <c r="AA2897" i="1"/>
  <c r="AB2897" i="1"/>
  <c r="AE2897" i="1"/>
  <c r="AF2897" i="1"/>
  <c r="AM2897" i="1"/>
  <c r="AN2897" i="1"/>
  <c r="AO2897" i="1"/>
  <c r="AQ2897" i="1"/>
  <c r="AX2897" i="1"/>
  <c r="BD2897" i="1"/>
  <c r="B2898" i="1"/>
  <c r="C2898" i="1"/>
  <c r="D2898" i="1"/>
  <c r="E2898" i="1"/>
  <c r="F2898" i="1"/>
  <c r="G2898" i="1"/>
  <c r="H2898" i="1"/>
  <c r="I2898" i="1"/>
  <c r="J2898" i="1"/>
  <c r="K2898" i="1"/>
  <c r="M2898" i="1"/>
  <c r="O2898" i="1"/>
  <c r="Q2898" i="1"/>
  <c r="R2898" i="1"/>
  <c r="W2898" i="1"/>
  <c r="AA2898" i="1"/>
  <c r="AB2898" i="1"/>
  <c r="AE2898" i="1"/>
  <c r="AF2898" i="1"/>
  <c r="AM2898" i="1"/>
  <c r="AN2898" i="1"/>
  <c r="AO2898" i="1"/>
  <c r="AQ2898" i="1"/>
  <c r="AX2898" i="1"/>
  <c r="BD2898" i="1"/>
  <c r="B2899" i="1"/>
  <c r="C2899" i="1"/>
  <c r="E2899" i="1"/>
  <c r="F2899" i="1"/>
  <c r="G2899" i="1"/>
  <c r="H2899" i="1"/>
  <c r="I2899" i="1"/>
  <c r="J2899" i="1"/>
  <c r="K2899" i="1"/>
  <c r="M2899" i="1"/>
  <c r="O2899" i="1"/>
  <c r="Q2899" i="1"/>
  <c r="R2899" i="1"/>
  <c r="W2899" i="1"/>
  <c r="AA2899" i="1"/>
  <c r="AB2899" i="1"/>
  <c r="AE2899" i="1"/>
  <c r="AF2899" i="1"/>
  <c r="AM2899" i="1"/>
  <c r="AN2899" i="1"/>
  <c r="AO2899" i="1"/>
  <c r="AQ2899" i="1"/>
  <c r="AX2899" i="1"/>
  <c r="BD2899" i="1"/>
  <c r="B2900" i="1"/>
  <c r="C2900" i="1"/>
  <c r="E2900" i="1"/>
  <c r="F2900" i="1"/>
  <c r="G2900" i="1"/>
  <c r="H2900" i="1"/>
  <c r="I2900" i="1"/>
  <c r="J2900" i="1"/>
  <c r="K2900" i="1"/>
  <c r="M2900" i="1"/>
  <c r="O2900" i="1"/>
  <c r="Q2900" i="1"/>
  <c r="R2900" i="1"/>
  <c r="W2900" i="1"/>
  <c r="AA2900" i="1"/>
  <c r="AB2900" i="1"/>
  <c r="AE2900" i="1"/>
  <c r="AF2900" i="1"/>
  <c r="AM2900" i="1"/>
  <c r="AN2900" i="1"/>
  <c r="AO2900" i="1"/>
  <c r="AQ2900" i="1"/>
  <c r="AX2900" i="1"/>
  <c r="BD2900" i="1"/>
  <c r="B2901" i="1"/>
  <c r="C2901" i="1"/>
  <c r="D2901" i="1"/>
  <c r="E2901" i="1"/>
  <c r="F2901" i="1"/>
  <c r="G2901" i="1"/>
  <c r="H2901" i="1"/>
  <c r="I2901" i="1"/>
  <c r="J2901" i="1"/>
  <c r="K2901" i="1"/>
  <c r="M2901" i="1"/>
  <c r="O2901" i="1"/>
  <c r="Q2901" i="1"/>
  <c r="R2901" i="1"/>
  <c r="W2901" i="1"/>
  <c r="AA2901" i="1"/>
  <c r="AB2901" i="1"/>
  <c r="AE2901" i="1"/>
  <c r="AF2901" i="1"/>
  <c r="AM2901" i="1"/>
  <c r="AN2901" i="1"/>
  <c r="AO2901" i="1"/>
  <c r="AQ2901" i="1"/>
  <c r="AX2901" i="1"/>
  <c r="BD2901" i="1"/>
  <c r="B2902" i="1"/>
  <c r="C2902" i="1"/>
  <c r="D2902" i="1"/>
  <c r="E2902" i="1"/>
  <c r="F2902" i="1"/>
  <c r="G2902" i="1"/>
  <c r="H2902" i="1"/>
  <c r="I2902" i="1"/>
  <c r="J2902" i="1"/>
  <c r="K2902" i="1"/>
  <c r="M2902" i="1"/>
  <c r="O2902" i="1"/>
  <c r="Q2902" i="1"/>
  <c r="R2902" i="1"/>
  <c r="W2902" i="1"/>
  <c r="AA2902" i="1"/>
  <c r="AB2902" i="1"/>
  <c r="AE2902" i="1"/>
  <c r="AF2902" i="1"/>
  <c r="AM2902" i="1"/>
  <c r="AN2902" i="1"/>
  <c r="AO2902" i="1"/>
  <c r="AQ2902" i="1"/>
  <c r="AX2902" i="1"/>
  <c r="BD2902" i="1"/>
  <c r="B2903" i="1"/>
  <c r="C2903" i="1"/>
  <c r="E2903" i="1"/>
  <c r="F2903" i="1"/>
  <c r="G2903" i="1"/>
  <c r="H2903" i="1"/>
  <c r="I2903" i="1"/>
  <c r="J2903" i="1"/>
  <c r="K2903" i="1"/>
  <c r="M2903" i="1"/>
  <c r="O2903" i="1"/>
  <c r="Q2903" i="1"/>
  <c r="R2903" i="1"/>
  <c r="W2903" i="1"/>
  <c r="AA2903" i="1"/>
  <c r="AM2903" i="1"/>
  <c r="AN2903" i="1"/>
  <c r="AO2903" i="1"/>
  <c r="AQ2903" i="1"/>
  <c r="BB2903" i="1"/>
  <c r="BD2903" i="1"/>
  <c r="B2904" i="1"/>
  <c r="C2904" i="1"/>
  <c r="E2904" i="1"/>
  <c r="F2904" i="1"/>
  <c r="G2904" i="1"/>
  <c r="H2904" i="1"/>
  <c r="I2904" i="1"/>
  <c r="J2904" i="1"/>
  <c r="K2904" i="1"/>
  <c r="M2904" i="1"/>
  <c r="O2904" i="1"/>
  <c r="Q2904" i="1"/>
  <c r="R2904" i="1"/>
  <c r="W2904" i="1"/>
  <c r="AA2904" i="1"/>
  <c r="AM2904" i="1"/>
  <c r="AN2904" i="1"/>
  <c r="AO2904" i="1"/>
  <c r="AQ2904" i="1"/>
  <c r="BB2904" i="1"/>
  <c r="BD2904" i="1"/>
  <c r="B2905" i="1"/>
  <c r="C2905" i="1"/>
  <c r="E2905" i="1"/>
  <c r="F2905" i="1"/>
  <c r="G2905" i="1"/>
  <c r="H2905" i="1"/>
  <c r="I2905" i="1"/>
  <c r="J2905" i="1"/>
  <c r="K2905" i="1"/>
  <c r="M2905" i="1"/>
  <c r="O2905" i="1"/>
  <c r="Q2905" i="1"/>
  <c r="R2905" i="1"/>
  <c r="W2905" i="1"/>
  <c r="AA2905" i="1"/>
  <c r="AM2905" i="1"/>
  <c r="AN2905" i="1"/>
  <c r="AO2905" i="1"/>
  <c r="AQ2905" i="1"/>
  <c r="BB2905" i="1"/>
  <c r="BD2905" i="1"/>
  <c r="B2906" i="1"/>
  <c r="C2906" i="1"/>
  <c r="E2906" i="1"/>
  <c r="F2906" i="1"/>
  <c r="G2906" i="1"/>
  <c r="H2906" i="1"/>
  <c r="I2906" i="1"/>
  <c r="J2906" i="1"/>
  <c r="K2906" i="1"/>
  <c r="M2906" i="1"/>
  <c r="O2906" i="1"/>
  <c r="Q2906" i="1"/>
  <c r="R2906" i="1"/>
  <c r="W2906" i="1"/>
  <c r="AA2906" i="1"/>
  <c r="AM2906" i="1"/>
  <c r="AN2906" i="1"/>
  <c r="AO2906" i="1"/>
  <c r="AQ2906" i="1"/>
  <c r="BB2906" i="1"/>
  <c r="BD2906" i="1"/>
  <c r="B2907" i="1"/>
  <c r="C2907" i="1"/>
  <c r="E2907" i="1"/>
  <c r="F2907" i="1"/>
  <c r="G2907" i="1"/>
  <c r="H2907" i="1"/>
  <c r="I2907" i="1"/>
  <c r="J2907" i="1"/>
  <c r="K2907" i="1"/>
  <c r="M2907" i="1"/>
  <c r="O2907" i="1"/>
  <c r="Q2907" i="1"/>
  <c r="R2907" i="1"/>
  <c r="W2907" i="1"/>
  <c r="AA2907" i="1"/>
  <c r="AM2907" i="1"/>
  <c r="AN2907" i="1"/>
  <c r="AO2907" i="1"/>
  <c r="AQ2907" i="1"/>
  <c r="BB2907" i="1"/>
  <c r="BD2907" i="1"/>
  <c r="B2908" i="1"/>
  <c r="C2908" i="1"/>
  <c r="E2908" i="1"/>
  <c r="F2908" i="1"/>
  <c r="G2908" i="1"/>
  <c r="H2908" i="1"/>
  <c r="I2908" i="1"/>
  <c r="J2908" i="1"/>
  <c r="K2908" i="1"/>
  <c r="M2908" i="1"/>
  <c r="O2908" i="1"/>
  <c r="Q2908" i="1"/>
  <c r="R2908" i="1"/>
  <c r="W2908" i="1"/>
  <c r="AA2908" i="1"/>
  <c r="AM2908" i="1"/>
  <c r="AN2908" i="1"/>
  <c r="AO2908" i="1"/>
  <c r="AQ2908" i="1"/>
  <c r="BB2908" i="1"/>
  <c r="BD2908" i="1"/>
  <c r="B2909" i="1"/>
  <c r="C2909" i="1"/>
  <c r="E2909" i="1"/>
  <c r="F2909" i="1"/>
  <c r="G2909" i="1"/>
  <c r="H2909" i="1"/>
  <c r="I2909" i="1"/>
  <c r="J2909" i="1"/>
  <c r="K2909" i="1"/>
  <c r="M2909" i="1"/>
  <c r="O2909" i="1"/>
  <c r="Q2909" i="1"/>
  <c r="R2909" i="1"/>
  <c r="W2909" i="1"/>
  <c r="AA2909" i="1"/>
  <c r="AM2909" i="1"/>
  <c r="AN2909" i="1"/>
  <c r="AO2909" i="1"/>
  <c r="AQ2909" i="1"/>
  <c r="BB2909" i="1"/>
  <c r="BD2909" i="1"/>
  <c r="B2910" i="1"/>
  <c r="C2910" i="1"/>
  <c r="E2910" i="1"/>
  <c r="F2910" i="1"/>
  <c r="G2910" i="1"/>
  <c r="H2910" i="1"/>
  <c r="I2910" i="1"/>
  <c r="J2910" i="1"/>
  <c r="K2910" i="1"/>
  <c r="M2910" i="1"/>
  <c r="O2910" i="1"/>
  <c r="Q2910" i="1"/>
  <c r="R2910" i="1"/>
  <c r="W2910" i="1"/>
  <c r="AA2910" i="1"/>
  <c r="AM2910" i="1"/>
  <c r="AN2910" i="1"/>
  <c r="AO2910" i="1"/>
  <c r="AQ2910" i="1"/>
  <c r="BB2910" i="1"/>
  <c r="BD2910" i="1"/>
  <c r="B2911" i="1"/>
  <c r="C2911" i="1"/>
  <c r="E2911" i="1"/>
  <c r="F2911" i="1"/>
  <c r="G2911" i="1"/>
  <c r="H2911" i="1"/>
  <c r="I2911" i="1"/>
  <c r="J2911" i="1"/>
  <c r="K2911" i="1"/>
  <c r="M2911" i="1"/>
  <c r="O2911" i="1"/>
  <c r="Q2911" i="1"/>
  <c r="R2911" i="1"/>
  <c r="W2911" i="1"/>
  <c r="AA2911" i="1"/>
  <c r="AM2911" i="1"/>
  <c r="AN2911" i="1"/>
  <c r="AO2911" i="1"/>
  <c r="AQ2911" i="1"/>
  <c r="BB2911" i="1"/>
  <c r="BD2911" i="1"/>
  <c r="B2912" i="1"/>
  <c r="C2912" i="1"/>
  <c r="E2912" i="1"/>
  <c r="F2912" i="1"/>
  <c r="G2912" i="1"/>
  <c r="H2912" i="1"/>
  <c r="I2912" i="1"/>
  <c r="J2912" i="1"/>
  <c r="K2912" i="1"/>
  <c r="M2912" i="1"/>
  <c r="O2912" i="1"/>
  <c r="Q2912" i="1"/>
  <c r="R2912" i="1"/>
  <c r="W2912" i="1"/>
  <c r="AA2912" i="1"/>
  <c r="AM2912" i="1"/>
  <c r="AN2912" i="1"/>
  <c r="AO2912" i="1"/>
  <c r="AQ2912" i="1"/>
  <c r="BB2912" i="1"/>
  <c r="BD2912" i="1"/>
  <c r="B2913" i="1"/>
  <c r="C2913" i="1"/>
  <c r="E2913" i="1"/>
  <c r="F2913" i="1"/>
  <c r="G2913" i="1"/>
  <c r="H2913" i="1"/>
  <c r="I2913" i="1"/>
  <c r="J2913" i="1"/>
  <c r="K2913" i="1"/>
  <c r="M2913" i="1"/>
  <c r="O2913" i="1"/>
  <c r="Q2913" i="1"/>
  <c r="R2913" i="1"/>
  <c r="W2913" i="1"/>
  <c r="AA2913" i="1"/>
  <c r="AM2913" i="1"/>
  <c r="AN2913" i="1"/>
  <c r="AO2913" i="1"/>
  <c r="AQ2913" i="1"/>
  <c r="BB2913" i="1"/>
  <c r="BD2913" i="1"/>
  <c r="B2914" i="1"/>
  <c r="C2914" i="1"/>
  <c r="E2914" i="1"/>
  <c r="F2914" i="1"/>
  <c r="G2914" i="1"/>
  <c r="H2914" i="1"/>
  <c r="I2914" i="1"/>
  <c r="J2914" i="1"/>
  <c r="K2914" i="1"/>
  <c r="M2914" i="1"/>
  <c r="O2914" i="1"/>
  <c r="Q2914" i="1"/>
  <c r="R2914" i="1"/>
  <c r="W2914" i="1"/>
  <c r="AA2914" i="1"/>
  <c r="AM2914" i="1"/>
  <c r="AN2914" i="1"/>
  <c r="AO2914" i="1"/>
  <c r="AQ2914" i="1"/>
  <c r="BB2914" i="1"/>
  <c r="BD2914" i="1"/>
  <c r="B2915" i="1"/>
  <c r="C2915" i="1"/>
  <c r="E2915" i="1"/>
  <c r="F2915" i="1"/>
  <c r="G2915" i="1"/>
  <c r="H2915" i="1"/>
  <c r="I2915" i="1"/>
  <c r="J2915" i="1"/>
  <c r="K2915" i="1"/>
  <c r="M2915" i="1"/>
  <c r="O2915" i="1"/>
  <c r="Q2915" i="1"/>
  <c r="R2915" i="1"/>
  <c r="W2915" i="1"/>
  <c r="AA2915" i="1"/>
  <c r="AB2915" i="1"/>
  <c r="AE2915" i="1"/>
  <c r="AF2915" i="1"/>
  <c r="AM2915" i="1"/>
  <c r="AN2915" i="1"/>
  <c r="AO2915" i="1"/>
  <c r="AQ2915" i="1"/>
  <c r="AX2915" i="1"/>
  <c r="BD2915" i="1"/>
  <c r="B2916" i="1"/>
  <c r="C2916" i="1"/>
  <c r="E2916" i="1"/>
  <c r="F2916" i="1"/>
  <c r="G2916" i="1"/>
  <c r="H2916" i="1"/>
  <c r="I2916" i="1"/>
  <c r="J2916" i="1"/>
  <c r="K2916" i="1"/>
  <c r="M2916" i="1"/>
  <c r="O2916" i="1"/>
  <c r="Q2916" i="1"/>
  <c r="R2916" i="1"/>
  <c r="W2916" i="1"/>
  <c r="AA2916" i="1"/>
  <c r="AM2916" i="1"/>
  <c r="AN2916" i="1"/>
  <c r="AO2916" i="1"/>
  <c r="AQ2916" i="1"/>
  <c r="BB2916" i="1"/>
  <c r="BD2916" i="1"/>
  <c r="B2917" i="1"/>
  <c r="C2917" i="1"/>
  <c r="D2917" i="1"/>
  <c r="E2917" i="1"/>
  <c r="F2917" i="1"/>
  <c r="G2917" i="1"/>
  <c r="H2917" i="1"/>
  <c r="I2917" i="1"/>
  <c r="J2917" i="1"/>
  <c r="K2917" i="1"/>
  <c r="M2917" i="1"/>
  <c r="O2917" i="1"/>
  <c r="Q2917" i="1"/>
  <c r="R2917" i="1"/>
  <c r="W2917" i="1"/>
  <c r="AA2917" i="1"/>
  <c r="AB2917" i="1"/>
  <c r="AE2917" i="1"/>
  <c r="AF2917" i="1"/>
  <c r="AM2917" i="1"/>
  <c r="AN2917" i="1"/>
  <c r="AO2917" i="1"/>
  <c r="AQ2917" i="1"/>
  <c r="AX2917" i="1"/>
  <c r="BD2917" i="1"/>
  <c r="B2918" i="1"/>
  <c r="C2918" i="1"/>
  <c r="E2918" i="1"/>
  <c r="F2918" i="1"/>
  <c r="G2918" i="1"/>
  <c r="H2918" i="1"/>
  <c r="I2918" i="1"/>
  <c r="J2918" i="1"/>
  <c r="K2918" i="1"/>
  <c r="M2918" i="1"/>
  <c r="O2918" i="1"/>
  <c r="Q2918" i="1"/>
  <c r="R2918" i="1"/>
  <c r="W2918" i="1"/>
  <c r="AA2918" i="1"/>
  <c r="AM2918" i="1"/>
  <c r="AN2918" i="1"/>
  <c r="AO2918" i="1"/>
  <c r="AQ2918" i="1"/>
  <c r="BB2918" i="1"/>
  <c r="BD2918" i="1"/>
  <c r="B2919" i="1"/>
  <c r="C2919" i="1"/>
  <c r="D2919" i="1"/>
  <c r="E2919" i="1"/>
  <c r="F2919" i="1"/>
  <c r="G2919" i="1"/>
  <c r="H2919" i="1"/>
  <c r="I2919" i="1"/>
  <c r="J2919" i="1"/>
  <c r="K2919" i="1"/>
  <c r="M2919" i="1"/>
  <c r="O2919" i="1"/>
  <c r="Q2919" i="1"/>
  <c r="R2919" i="1"/>
  <c r="W2919" i="1"/>
  <c r="AA2919" i="1"/>
  <c r="AB2919" i="1"/>
  <c r="AE2919" i="1"/>
  <c r="AF2919" i="1"/>
  <c r="AM2919" i="1"/>
  <c r="AN2919" i="1"/>
  <c r="AO2919" i="1"/>
  <c r="AQ2919" i="1"/>
  <c r="AX2919" i="1"/>
  <c r="BD2919" i="1"/>
  <c r="B2920" i="1"/>
  <c r="C2920" i="1"/>
  <c r="D2920" i="1"/>
  <c r="E2920" i="1"/>
  <c r="F2920" i="1"/>
  <c r="G2920" i="1"/>
  <c r="H2920" i="1"/>
  <c r="I2920" i="1"/>
  <c r="J2920" i="1"/>
  <c r="K2920" i="1"/>
  <c r="M2920" i="1"/>
  <c r="O2920" i="1"/>
  <c r="Q2920" i="1"/>
  <c r="R2920" i="1"/>
  <c r="W2920" i="1"/>
  <c r="AA2920" i="1"/>
  <c r="AB2920" i="1"/>
  <c r="AE2920" i="1"/>
  <c r="AF2920" i="1"/>
  <c r="AM2920" i="1"/>
  <c r="AN2920" i="1"/>
  <c r="AO2920" i="1"/>
  <c r="AQ2920" i="1"/>
  <c r="AX2920" i="1"/>
  <c r="BD2920" i="1"/>
  <c r="B2921" i="1"/>
  <c r="C2921" i="1"/>
  <c r="D2921" i="1"/>
  <c r="E2921" i="1"/>
  <c r="F2921" i="1"/>
  <c r="G2921" i="1"/>
  <c r="H2921" i="1"/>
  <c r="I2921" i="1"/>
  <c r="J2921" i="1"/>
  <c r="K2921" i="1"/>
  <c r="M2921" i="1"/>
  <c r="O2921" i="1"/>
  <c r="Q2921" i="1"/>
  <c r="R2921" i="1"/>
  <c r="W2921" i="1"/>
  <c r="AA2921" i="1"/>
  <c r="AB2921" i="1"/>
  <c r="AE2921" i="1"/>
  <c r="AF2921" i="1"/>
  <c r="AM2921" i="1"/>
  <c r="AN2921" i="1"/>
  <c r="AO2921" i="1"/>
  <c r="AQ2921" i="1"/>
  <c r="AX2921" i="1"/>
  <c r="BD2921" i="1"/>
  <c r="B2922" i="1"/>
  <c r="C2922" i="1"/>
  <c r="D2922" i="1"/>
  <c r="E2922" i="1"/>
  <c r="F2922" i="1"/>
  <c r="G2922" i="1"/>
  <c r="H2922" i="1"/>
  <c r="I2922" i="1"/>
  <c r="J2922" i="1"/>
  <c r="K2922" i="1"/>
  <c r="M2922" i="1"/>
  <c r="O2922" i="1"/>
  <c r="Q2922" i="1"/>
  <c r="R2922" i="1"/>
  <c r="W2922" i="1"/>
  <c r="AA2922" i="1"/>
  <c r="AB2922" i="1"/>
  <c r="AE2922" i="1"/>
  <c r="AF2922" i="1"/>
  <c r="AM2922" i="1"/>
  <c r="AN2922" i="1"/>
  <c r="AO2922" i="1"/>
  <c r="AQ2922" i="1"/>
  <c r="AX2922" i="1"/>
  <c r="BD2922" i="1"/>
  <c r="B2923" i="1"/>
  <c r="C2923" i="1"/>
  <c r="D2923" i="1"/>
  <c r="E2923" i="1"/>
  <c r="F2923" i="1"/>
  <c r="G2923" i="1"/>
  <c r="H2923" i="1"/>
  <c r="I2923" i="1"/>
  <c r="J2923" i="1"/>
  <c r="K2923" i="1"/>
  <c r="M2923" i="1"/>
  <c r="O2923" i="1"/>
  <c r="Q2923" i="1"/>
  <c r="R2923" i="1"/>
  <c r="W2923" i="1"/>
  <c r="AA2923" i="1"/>
  <c r="AB2923" i="1"/>
  <c r="AE2923" i="1"/>
  <c r="AF2923" i="1"/>
  <c r="AM2923" i="1"/>
  <c r="AN2923" i="1"/>
  <c r="AO2923" i="1"/>
  <c r="AQ2923" i="1"/>
  <c r="AX2923" i="1"/>
  <c r="BD2923" i="1"/>
  <c r="B2924" i="1"/>
  <c r="C2924" i="1"/>
  <c r="E2924" i="1"/>
  <c r="F2924" i="1"/>
  <c r="G2924" i="1"/>
  <c r="H2924" i="1"/>
  <c r="I2924" i="1"/>
  <c r="J2924" i="1"/>
  <c r="K2924" i="1"/>
  <c r="M2924" i="1"/>
  <c r="O2924" i="1"/>
  <c r="Q2924" i="1"/>
  <c r="R2924" i="1"/>
  <c r="W2924" i="1"/>
  <c r="AA2924" i="1"/>
  <c r="AM2924" i="1"/>
  <c r="AN2924" i="1"/>
  <c r="AO2924" i="1"/>
  <c r="AQ2924" i="1"/>
  <c r="BB2924" i="1"/>
  <c r="BD2924" i="1"/>
  <c r="B2925" i="1"/>
  <c r="C2925" i="1"/>
  <c r="E2925" i="1"/>
  <c r="F2925" i="1"/>
  <c r="G2925" i="1"/>
  <c r="H2925" i="1"/>
  <c r="I2925" i="1"/>
  <c r="J2925" i="1"/>
  <c r="K2925" i="1"/>
  <c r="M2925" i="1"/>
  <c r="O2925" i="1"/>
  <c r="Q2925" i="1"/>
  <c r="R2925" i="1"/>
  <c r="W2925" i="1"/>
  <c r="AA2925" i="1"/>
  <c r="AM2925" i="1"/>
  <c r="AN2925" i="1"/>
  <c r="AO2925" i="1"/>
  <c r="AQ2925" i="1"/>
  <c r="BB2925" i="1"/>
  <c r="BD2925" i="1"/>
  <c r="B2926" i="1"/>
  <c r="C2926" i="1"/>
  <c r="E2926" i="1"/>
  <c r="F2926" i="1"/>
  <c r="G2926" i="1"/>
  <c r="H2926" i="1"/>
  <c r="I2926" i="1"/>
  <c r="J2926" i="1"/>
  <c r="K2926" i="1"/>
  <c r="M2926" i="1"/>
  <c r="O2926" i="1"/>
  <c r="Q2926" i="1"/>
  <c r="R2926" i="1"/>
  <c r="W2926" i="1"/>
  <c r="AA2926" i="1"/>
  <c r="AM2926" i="1"/>
  <c r="AN2926" i="1"/>
  <c r="AO2926" i="1"/>
  <c r="AQ2926" i="1"/>
  <c r="BB2926" i="1"/>
  <c r="BD2926" i="1"/>
  <c r="B2927" i="1"/>
  <c r="C2927" i="1"/>
  <c r="E2927" i="1"/>
  <c r="F2927" i="1"/>
  <c r="G2927" i="1"/>
  <c r="H2927" i="1"/>
  <c r="I2927" i="1"/>
  <c r="J2927" i="1"/>
  <c r="K2927" i="1"/>
  <c r="M2927" i="1"/>
  <c r="O2927" i="1"/>
  <c r="Q2927" i="1"/>
  <c r="R2927" i="1"/>
  <c r="W2927" i="1"/>
  <c r="AA2927" i="1"/>
  <c r="AM2927" i="1"/>
  <c r="AN2927" i="1"/>
  <c r="AO2927" i="1"/>
  <c r="AQ2927" i="1"/>
  <c r="BB2927" i="1"/>
  <c r="BD2927" i="1"/>
  <c r="B2928" i="1"/>
  <c r="C2928" i="1"/>
  <c r="E2928" i="1"/>
  <c r="F2928" i="1"/>
  <c r="G2928" i="1"/>
  <c r="H2928" i="1"/>
  <c r="I2928" i="1"/>
  <c r="J2928" i="1"/>
  <c r="K2928" i="1"/>
  <c r="M2928" i="1"/>
  <c r="O2928" i="1"/>
  <c r="Q2928" i="1"/>
  <c r="R2928" i="1"/>
  <c r="W2928" i="1"/>
  <c r="AA2928" i="1"/>
  <c r="AM2928" i="1"/>
  <c r="AN2928" i="1"/>
  <c r="AO2928" i="1"/>
  <c r="AQ2928" i="1"/>
  <c r="BB2928" i="1"/>
  <c r="BD2928" i="1"/>
  <c r="B2929" i="1"/>
  <c r="C2929" i="1"/>
  <c r="E2929" i="1"/>
  <c r="F2929" i="1"/>
  <c r="G2929" i="1"/>
  <c r="H2929" i="1"/>
  <c r="I2929" i="1"/>
  <c r="J2929" i="1"/>
  <c r="K2929" i="1"/>
  <c r="M2929" i="1"/>
  <c r="O2929" i="1"/>
  <c r="Q2929" i="1"/>
  <c r="R2929" i="1"/>
  <c r="W2929" i="1"/>
  <c r="AA2929" i="1"/>
  <c r="AM2929" i="1"/>
  <c r="AN2929" i="1"/>
  <c r="AO2929" i="1"/>
  <c r="AQ2929" i="1"/>
  <c r="BB2929" i="1"/>
  <c r="BD2929" i="1"/>
  <c r="B2930" i="1"/>
  <c r="C2930" i="1"/>
  <c r="E2930" i="1"/>
  <c r="F2930" i="1"/>
  <c r="G2930" i="1"/>
  <c r="H2930" i="1"/>
  <c r="I2930" i="1"/>
  <c r="J2930" i="1"/>
  <c r="K2930" i="1"/>
  <c r="M2930" i="1"/>
  <c r="O2930" i="1"/>
  <c r="Q2930" i="1"/>
  <c r="R2930" i="1"/>
  <c r="W2930" i="1"/>
  <c r="AA2930" i="1"/>
  <c r="AM2930" i="1"/>
  <c r="AN2930" i="1"/>
  <c r="AO2930" i="1"/>
  <c r="AQ2930" i="1"/>
  <c r="BB2930" i="1"/>
  <c r="BD2930" i="1"/>
  <c r="B2931" i="1"/>
  <c r="C2931" i="1"/>
  <c r="E2931" i="1"/>
  <c r="F2931" i="1"/>
  <c r="G2931" i="1"/>
  <c r="H2931" i="1"/>
  <c r="I2931" i="1"/>
  <c r="J2931" i="1"/>
  <c r="K2931" i="1"/>
  <c r="M2931" i="1"/>
  <c r="O2931" i="1"/>
  <c r="Q2931" i="1"/>
  <c r="R2931" i="1"/>
  <c r="W2931" i="1"/>
  <c r="AA2931" i="1"/>
  <c r="AM2931" i="1"/>
  <c r="AN2931" i="1"/>
  <c r="AO2931" i="1"/>
  <c r="AQ2931" i="1"/>
  <c r="BB2931" i="1"/>
  <c r="BD2931" i="1"/>
  <c r="B2932" i="1"/>
  <c r="C2932" i="1"/>
  <c r="E2932" i="1"/>
  <c r="F2932" i="1"/>
  <c r="G2932" i="1"/>
  <c r="H2932" i="1"/>
  <c r="I2932" i="1"/>
  <c r="J2932" i="1"/>
  <c r="K2932" i="1"/>
  <c r="M2932" i="1"/>
  <c r="O2932" i="1"/>
  <c r="Q2932" i="1"/>
  <c r="R2932" i="1"/>
  <c r="W2932" i="1"/>
  <c r="AA2932" i="1"/>
  <c r="AM2932" i="1"/>
  <c r="AN2932" i="1"/>
  <c r="AO2932" i="1"/>
  <c r="AQ2932" i="1"/>
  <c r="BB2932" i="1"/>
  <c r="BD2932" i="1"/>
  <c r="B2933" i="1"/>
  <c r="C2933" i="1"/>
  <c r="E2933" i="1"/>
  <c r="F2933" i="1"/>
  <c r="G2933" i="1"/>
  <c r="H2933" i="1"/>
  <c r="I2933" i="1"/>
  <c r="J2933" i="1"/>
  <c r="K2933" i="1"/>
  <c r="M2933" i="1"/>
  <c r="O2933" i="1"/>
  <c r="Q2933" i="1"/>
  <c r="R2933" i="1"/>
  <c r="W2933" i="1"/>
  <c r="AA2933" i="1"/>
  <c r="AM2933" i="1"/>
  <c r="AN2933" i="1"/>
  <c r="AO2933" i="1"/>
  <c r="AQ2933" i="1"/>
  <c r="BB2933" i="1"/>
  <c r="BD2933" i="1"/>
  <c r="B2934" i="1"/>
  <c r="C2934" i="1"/>
  <c r="E2934" i="1"/>
  <c r="F2934" i="1"/>
  <c r="G2934" i="1"/>
  <c r="H2934" i="1"/>
  <c r="I2934" i="1"/>
  <c r="J2934" i="1"/>
  <c r="K2934" i="1"/>
  <c r="M2934" i="1"/>
  <c r="O2934" i="1"/>
  <c r="Q2934" i="1"/>
  <c r="R2934" i="1"/>
  <c r="W2934" i="1"/>
  <c r="AA2934" i="1"/>
  <c r="AM2934" i="1"/>
  <c r="AN2934" i="1"/>
  <c r="AO2934" i="1"/>
  <c r="AQ2934" i="1"/>
  <c r="BB2934" i="1"/>
  <c r="BD2934" i="1"/>
  <c r="B2935" i="1"/>
  <c r="C2935" i="1"/>
  <c r="E2935" i="1"/>
  <c r="F2935" i="1"/>
  <c r="G2935" i="1"/>
  <c r="H2935" i="1"/>
  <c r="I2935" i="1"/>
  <c r="J2935" i="1"/>
  <c r="K2935" i="1"/>
  <c r="M2935" i="1"/>
  <c r="O2935" i="1"/>
  <c r="Q2935" i="1"/>
  <c r="R2935" i="1"/>
  <c r="W2935" i="1"/>
  <c r="AA2935" i="1"/>
  <c r="AM2935" i="1"/>
  <c r="AN2935" i="1"/>
  <c r="AO2935" i="1"/>
  <c r="AQ2935" i="1"/>
  <c r="BB2935" i="1"/>
  <c r="BD2935" i="1"/>
  <c r="B2936" i="1"/>
  <c r="C2936" i="1"/>
  <c r="E2936" i="1"/>
  <c r="F2936" i="1"/>
  <c r="G2936" i="1"/>
  <c r="H2936" i="1"/>
  <c r="I2936" i="1"/>
  <c r="J2936" i="1"/>
  <c r="K2936" i="1"/>
  <c r="M2936" i="1"/>
  <c r="O2936" i="1"/>
  <c r="Q2936" i="1"/>
  <c r="R2936" i="1"/>
  <c r="W2936" i="1"/>
  <c r="AA2936" i="1"/>
  <c r="AM2936" i="1"/>
  <c r="AN2936" i="1"/>
  <c r="AO2936" i="1"/>
  <c r="AQ2936" i="1"/>
  <c r="BB2936" i="1"/>
  <c r="BD2936" i="1"/>
  <c r="B2937" i="1"/>
  <c r="C2937" i="1"/>
  <c r="E2937" i="1"/>
  <c r="F2937" i="1"/>
  <c r="G2937" i="1"/>
  <c r="H2937" i="1"/>
  <c r="I2937" i="1"/>
  <c r="J2937" i="1"/>
  <c r="K2937" i="1"/>
  <c r="M2937" i="1"/>
  <c r="O2937" i="1"/>
  <c r="Q2937" i="1"/>
  <c r="R2937" i="1"/>
  <c r="W2937" i="1"/>
  <c r="AA2937" i="1"/>
  <c r="AM2937" i="1"/>
  <c r="AN2937" i="1"/>
  <c r="AO2937" i="1"/>
  <c r="AQ2937" i="1"/>
  <c r="BB2937" i="1"/>
  <c r="BD2937" i="1"/>
  <c r="B2938" i="1"/>
  <c r="C2938" i="1"/>
  <c r="E2938" i="1"/>
  <c r="F2938" i="1"/>
  <c r="G2938" i="1"/>
  <c r="H2938" i="1"/>
  <c r="I2938" i="1"/>
  <c r="J2938" i="1"/>
  <c r="K2938" i="1"/>
  <c r="M2938" i="1"/>
  <c r="O2938" i="1"/>
  <c r="Q2938" i="1"/>
  <c r="R2938" i="1"/>
  <c r="W2938" i="1"/>
  <c r="AA2938" i="1"/>
  <c r="AM2938" i="1"/>
  <c r="AN2938" i="1"/>
  <c r="AO2938" i="1"/>
  <c r="AQ2938" i="1"/>
  <c r="BB2938" i="1"/>
  <c r="BD2938" i="1"/>
  <c r="B2939" i="1"/>
  <c r="C2939" i="1"/>
  <c r="D2939" i="1"/>
  <c r="E2939" i="1"/>
  <c r="F2939" i="1"/>
  <c r="G2939" i="1"/>
  <c r="H2939" i="1"/>
  <c r="I2939" i="1"/>
  <c r="J2939" i="1"/>
  <c r="K2939" i="1"/>
  <c r="M2939" i="1"/>
  <c r="O2939" i="1"/>
  <c r="Q2939" i="1"/>
  <c r="R2939" i="1"/>
  <c r="W2939" i="1"/>
  <c r="AA2939" i="1"/>
  <c r="AB2939" i="1"/>
  <c r="AE2939" i="1"/>
  <c r="AF2939" i="1"/>
  <c r="AM2939" i="1"/>
  <c r="AN2939" i="1"/>
  <c r="AO2939" i="1"/>
  <c r="AQ2939" i="1"/>
  <c r="AX2939" i="1"/>
  <c r="BD2939" i="1"/>
  <c r="B2940" i="1"/>
  <c r="C2940" i="1"/>
  <c r="E2940" i="1"/>
  <c r="F2940" i="1"/>
  <c r="G2940" i="1"/>
  <c r="H2940" i="1"/>
  <c r="I2940" i="1"/>
  <c r="J2940" i="1"/>
  <c r="K2940" i="1"/>
  <c r="M2940" i="1"/>
  <c r="O2940" i="1"/>
  <c r="Q2940" i="1"/>
  <c r="R2940" i="1"/>
  <c r="W2940" i="1"/>
  <c r="AA2940" i="1"/>
  <c r="AM2940" i="1"/>
  <c r="AN2940" i="1"/>
  <c r="AO2940" i="1"/>
  <c r="AQ2940" i="1"/>
  <c r="BB2940" i="1"/>
  <c r="BD2940" i="1"/>
  <c r="B2941" i="1"/>
  <c r="C2941" i="1"/>
  <c r="E2941" i="1"/>
  <c r="F2941" i="1"/>
  <c r="G2941" i="1"/>
  <c r="H2941" i="1"/>
  <c r="I2941" i="1"/>
  <c r="J2941" i="1"/>
  <c r="K2941" i="1"/>
  <c r="M2941" i="1"/>
  <c r="O2941" i="1"/>
  <c r="Q2941" i="1"/>
  <c r="R2941" i="1"/>
  <c r="W2941" i="1"/>
  <c r="AA2941" i="1"/>
  <c r="AM2941" i="1"/>
  <c r="AN2941" i="1"/>
  <c r="AO2941" i="1"/>
  <c r="AQ2941" i="1"/>
  <c r="BB2941" i="1"/>
  <c r="BD2941" i="1"/>
  <c r="B2942" i="1"/>
  <c r="C2942" i="1"/>
  <c r="E2942" i="1"/>
  <c r="F2942" i="1"/>
  <c r="G2942" i="1"/>
  <c r="H2942" i="1"/>
  <c r="I2942" i="1"/>
  <c r="J2942" i="1"/>
  <c r="K2942" i="1"/>
  <c r="M2942" i="1"/>
  <c r="O2942" i="1"/>
  <c r="Q2942" i="1"/>
  <c r="R2942" i="1"/>
  <c r="W2942" i="1"/>
  <c r="AA2942" i="1"/>
  <c r="AM2942" i="1"/>
  <c r="AN2942" i="1"/>
  <c r="AO2942" i="1"/>
  <c r="AQ2942" i="1"/>
  <c r="BB2942" i="1"/>
  <c r="BD2942" i="1"/>
  <c r="B2943" i="1"/>
  <c r="C2943" i="1"/>
  <c r="E2943" i="1"/>
  <c r="F2943" i="1"/>
  <c r="G2943" i="1"/>
  <c r="H2943" i="1"/>
  <c r="I2943" i="1"/>
  <c r="J2943" i="1"/>
  <c r="K2943" i="1"/>
  <c r="M2943" i="1"/>
  <c r="O2943" i="1"/>
  <c r="Q2943" i="1"/>
  <c r="R2943" i="1"/>
  <c r="W2943" i="1"/>
  <c r="AA2943" i="1"/>
  <c r="AM2943" i="1"/>
  <c r="AN2943" i="1"/>
  <c r="AO2943" i="1"/>
  <c r="AQ2943" i="1"/>
  <c r="BB2943" i="1"/>
  <c r="BD2943" i="1"/>
  <c r="B2944" i="1"/>
  <c r="C2944" i="1"/>
  <c r="E2944" i="1"/>
  <c r="F2944" i="1"/>
  <c r="G2944" i="1"/>
  <c r="H2944" i="1"/>
  <c r="I2944" i="1"/>
  <c r="J2944" i="1"/>
  <c r="K2944" i="1"/>
  <c r="M2944" i="1"/>
  <c r="O2944" i="1"/>
  <c r="Q2944" i="1"/>
  <c r="R2944" i="1"/>
  <c r="W2944" i="1"/>
  <c r="AA2944" i="1"/>
  <c r="AM2944" i="1"/>
  <c r="AN2944" i="1"/>
  <c r="AO2944" i="1"/>
  <c r="AQ2944" i="1"/>
  <c r="BB2944" i="1"/>
  <c r="BD2944" i="1"/>
  <c r="B2945" i="1"/>
  <c r="C2945" i="1"/>
  <c r="E2945" i="1"/>
  <c r="F2945" i="1"/>
  <c r="G2945" i="1"/>
  <c r="H2945" i="1"/>
  <c r="I2945" i="1"/>
  <c r="J2945" i="1"/>
  <c r="K2945" i="1"/>
  <c r="M2945" i="1"/>
  <c r="O2945" i="1"/>
  <c r="Q2945" i="1"/>
  <c r="R2945" i="1"/>
  <c r="W2945" i="1"/>
  <c r="AA2945" i="1"/>
  <c r="AM2945" i="1"/>
  <c r="AN2945" i="1"/>
  <c r="AO2945" i="1"/>
  <c r="AQ2945" i="1"/>
  <c r="BB2945" i="1"/>
  <c r="BD2945" i="1"/>
  <c r="B2946" i="1"/>
  <c r="C2946" i="1"/>
  <c r="E2946" i="1"/>
  <c r="F2946" i="1"/>
  <c r="G2946" i="1"/>
  <c r="H2946" i="1"/>
  <c r="I2946" i="1"/>
  <c r="J2946" i="1"/>
  <c r="K2946" i="1"/>
  <c r="M2946" i="1"/>
  <c r="O2946" i="1"/>
  <c r="Q2946" i="1"/>
  <c r="R2946" i="1"/>
  <c r="W2946" i="1"/>
  <c r="AA2946" i="1"/>
  <c r="AM2946" i="1"/>
  <c r="AN2946" i="1"/>
  <c r="AO2946" i="1"/>
  <c r="AQ2946" i="1"/>
  <c r="BB2946" i="1"/>
  <c r="BD2946" i="1"/>
  <c r="B2947" i="1"/>
  <c r="C2947" i="1"/>
  <c r="E2947" i="1"/>
  <c r="F2947" i="1"/>
  <c r="G2947" i="1"/>
  <c r="H2947" i="1"/>
  <c r="I2947" i="1"/>
  <c r="J2947" i="1"/>
  <c r="K2947" i="1"/>
  <c r="M2947" i="1"/>
  <c r="O2947" i="1"/>
  <c r="Q2947" i="1"/>
  <c r="R2947" i="1"/>
  <c r="W2947" i="1"/>
  <c r="AA2947" i="1"/>
  <c r="AM2947" i="1"/>
  <c r="AN2947" i="1"/>
  <c r="AO2947" i="1"/>
  <c r="AQ2947" i="1"/>
  <c r="BB2947" i="1"/>
  <c r="BD2947" i="1"/>
  <c r="B2948" i="1"/>
  <c r="C2948" i="1"/>
  <c r="E2948" i="1"/>
  <c r="F2948" i="1"/>
  <c r="G2948" i="1"/>
  <c r="H2948" i="1"/>
  <c r="I2948" i="1"/>
  <c r="J2948" i="1"/>
  <c r="K2948" i="1"/>
  <c r="M2948" i="1"/>
  <c r="O2948" i="1"/>
  <c r="Q2948" i="1"/>
  <c r="R2948" i="1"/>
  <c r="W2948" i="1"/>
  <c r="AA2948" i="1"/>
  <c r="AM2948" i="1"/>
  <c r="AN2948" i="1"/>
  <c r="AO2948" i="1"/>
  <c r="AQ2948" i="1"/>
  <c r="BB2948" i="1"/>
  <c r="BD2948" i="1"/>
  <c r="B2949" i="1"/>
  <c r="C2949" i="1"/>
  <c r="E2949" i="1"/>
  <c r="F2949" i="1"/>
  <c r="G2949" i="1"/>
  <c r="H2949" i="1"/>
  <c r="I2949" i="1"/>
  <c r="J2949" i="1"/>
  <c r="K2949" i="1"/>
  <c r="M2949" i="1"/>
  <c r="O2949" i="1"/>
  <c r="Q2949" i="1"/>
  <c r="R2949" i="1"/>
  <c r="W2949" i="1"/>
  <c r="AA2949" i="1"/>
  <c r="AM2949" i="1"/>
  <c r="AN2949" i="1"/>
  <c r="AO2949" i="1"/>
  <c r="AQ2949" i="1"/>
  <c r="BB2949" i="1"/>
  <c r="BD2949" i="1"/>
  <c r="B2950" i="1"/>
  <c r="C2950" i="1"/>
  <c r="D2950" i="1"/>
  <c r="E2950" i="1"/>
  <c r="F2950" i="1"/>
  <c r="G2950" i="1"/>
  <c r="H2950" i="1"/>
  <c r="I2950" i="1"/>
  <c r="J2950" i="1"/>
  <c r="K2950" i="1"/>
  <c r="M2950" i="1"/>
  <c r="O2950" i="1"/>
  <c r="Q2950" i="1"/>
  <c r="R2950" i="1"/>
  <c r="W2950" i="1"/>
  <c r="AA2950" i="1"/>
  <c r="AB2950" i="1"/>
  <c r="AE2950" i="1"/>
  <c r="AF2950" i="1"/>
  <c r="AM2950" i="1"/>
  <c r="AN2950" i="1"/>
  <c r="AO2950" i="1"/>
  <c r="AQ2950" i="1"/>
  <c r="AX2950" i="1"/>
  <c r="BD2950" i="1"/>
  <c r="B2951" i="1"/>
  <c r="C2951" i="1"/>
  <c r="E2951" i="1"/>
  <c r="F2951" i="1"/>
  <c r="G2951" i="1"/>
  <c r="H2951" i="1"/>
  <c r="I2951" i="1"/>
  <c r="J2951" i="1"/>
  <c r="K2951" i="1"/>
  <c r="M2951" i="1"/>
  <c r="O2951" i="1"/>
  <c r="Q2951" i="1"/>
  <c r="R2951" i="1"/>
  <c r="W2951" i="1"/>
  <c r="AA2951" i="1"/>
  <c r="AB2951" i="1"/>
  <c r="AE2951" i="1"/>
  <c r="AF2951" i="1"/>
  <c r="AM2951" i="1"/>
  <c r="AN2951" i="1"/>
  <c r="AO2951" i="1"/>
  <c r="AQ2951" i="1"/>
  <c r="AX2951" i="1"/>
  <c r="BD2951" i="1"/>
  <c r="B2952" i="1"/>
  <c r="C2952" i="1"/>
  <c r="E2952" i="1"/>
  <c r="F2952" i="1"/>
  <c r="G2952" i="1"/>
  <c r="H2952" i="1"/>
  <c r="I2952" i="1"/>
  <c r="J2952" i="1"/>
  <c r="K2952" i="1"/>
  <c r="M2952" i="1"/>
  <c r="O2952" i="1"/>
  <c r="Q2952" i="1"/>
  <c r="R2952" i="1"/>
  <c r="W2952" i="1"/>
  <c r="AA2952" i="1"/>
  <c r="AB2952" i="1"/>
  <c r="AE2952" i="1"/>
  <c r="AF2952" i="1"/>
  <c r="AM2952" i="1"/>
  <c r="AN2952" i="1"/>
  <c r="AO2952" i="1"/>
  <c r="AQ2952" i="1"/>
  <c r="AX2952" i="1"/>
  <c r="BD2952" i="1"/>
  <c r="B2953" i="1"/>
  <c r="C2953" i="1"/>
  <c r="E2953" i="1"/>
  <c r="F2953" i="1"/>
  <c r="G2953" i="1"/>
  <c r="H2953" i="1"/>
  <c r="I2953" i="1"/>
  <c r="J2953" i="1"/>
  <c r="K2953" i="1"/>
  <c r="M2953" i="1"/>
  <c r="O2953" i="1"/>
  <c r="Q2953" i="1"/>
  <c r="R2953" i="1"/>
  <c r="W2953" i="1"/>
  <c r="AA2953" i="1"/>
  <c r="AB2953" i="1"/>
  <c r="AE2953" i="1"/>
  <c r="AF2953" i="1"/>
  <c r="AM2953" i="1"/>
  <c r="AN2953" i="1"/>
  <c r="AO2953" i="1"/>
  <c r="AQ2953" i="1"/>
  <c r="AX2953" i="1"/>
  <c r="BD2953" i="1"/>
  <c r="B2954" i="1"/>
  <c r="C2954" i="1"/>
  <c r="E2954" i="1"/>
  <c r="F2954" i="1"/>
  <c r="G2954" i="1"/>
  <c r="H2954" i="1"/>
  <c r="I2954" i="1"/>
  <c r="J2954" i="1"/>
  <c r="K2954" i="1"/>
  <c r="M2954" i="1"/>
  <c r="O2954" i="1"/>
  <c r="Q2954" i="1"/>
  <c r="R2954" i="1"/>
  <c r="W2954" i="1"/>
  <c r="AA2954" i="1"/>
  <c r="AM2954" i="1"/>
  <c r="AN2954" i="1"/>
  <c r="AO2954" i="1"/>
  <c r="AQ2954" i="1"/>
  <c r="BB2954" i="1"/>
  <c r="BD2954" i="1"/>
  <c r="B2955" i="1"/>
  <c r="C2955" i="1"/>
  <c r="E2955" i="1"/>
  <c r="F2955" i="1"/>
  <c r="G2955" i="1"/>
  <c r="H2955" i="1"/>
  <c r="I2955" i="1"/>
  <c r="J2955" i="1"/>
  <c r="K2955" i="1"/>
  <c r="M2955" i="1"/>
  <c r="O2955" i="1"/>
  <c r="Q2955" i="1"/>
  <c r="R2955" i="1"/>
  <c r="W2955" i="1"/>
  <c r="AA2955" i="1"/>
  <c r="AB2955" i="1"/>
  <c r="AE2955" i="1"/>
  <c r="AF2955" i="1"/>
  <c r="AM2955" i="1"/>
  <c r="AN2955" i="1"/>
  <c r="AO2955" i="1"/>
  <c r="AQ2955" i="1"/>
  <c r="AX2955" i="1"/>
  <c r="BD2955" i="1"/>
  <c r="B2956" i="1"/>
  <c r="C2956" i="1"/>
  <c r="E2956" i="1"/>
  <c r="F2956" i="1"/>
  <c r="G2956" i="1"/>
  <c r="H2956" i="1"/>
  <c r="I2956" i="1"/>
  <c r="J2956" i="1"/>
  <c r="K2956" i="1"/>
  <c r="M2956" i="1"/>
  <c r="O2956" i="1"/>
  <c r="Q2956" i="1"/>
  <c r="R2956" i="1"/>
  <c r="W2956" i="1"/>
  <c r="AA2956" i="1"/>
  <c r="AM2956" i="1"/>
  <c r="AN2956" i="1"/>
  <c r="AO2956" i="1"/>
  <c r="AQ2956" i="1"/>
  <c r="BB2956" i="1"/>
  <c r="BD2956" i="1"/>
  <c r="B2957" i="1"/>
  <c r="C2957" i="1"/>
  <c r="D2957" i="1"/>
  <c r="E2957" i="1"/>
  <c r="F2957" i="1"/>
  <c r="G2957" i="1"/>
  <c r="H2957" i="1"/>
  <c r="I2957" i="1"/>
  <c r="J2957" i="1"/>
  <c r="K2957" i="1"/>
  <c r="M2957" i="1"/>
  <c r="O2957" i="1"/>
  <c r="Q2957" i="1"/>
  <c r="R2957" i="1"/>
  <c r="W2957" i="1"/>
  <c r="AA2957" i="1"/>
  <c r="AB2957" i="1"/>
  <c r="AE2957" i="1"/>
  <c r="AF2957" i="1"/>
  <c r="AM2957" i="1"/>
  <c r="AN2957" i="1"/>
  <c r="AO2957" i="1"/>
  <c r="AQ2957" i="1"/>
  <c r="AX2957" i="1"/>
  <c r="BD2957" i="1"/>
  <c r="B2958" i="1"/>
  <c r="C2958" i="1"/>
  <c r="D2958" i="1"/>
  <c r="E2958" i="1"/>
  <c r="F2958" i="1"/>
  <c r="G2958" i="1"/>
  <c r="H2958" i="1"/>
  <c r="I2958" i="1"/>
  <c r="J2958" i="1"/>
  <c r="K2958" i="1"/>
  <c r="M2958" i="1"/>
  <c r="O2958" i="1"/>
  <c r="Q2958" i="1"/>
  <c r="R2958" i="1"/>
  <c r="W2958" i="1"/>
  <c r="AA2958" i="1"/>
  <c r="AB2958" i="1"/>
  <c r="AE2958" i="1"/>
  <c r="AF2958" i="1"/>
  <c r="AM2958" i="1"/>
  <c r="AN2958" i="1"/>
  <c r="AO2958" i="1"/>
  <c r="AQ2958" i="1"/>
  <c r="AX2958" i="1"/>
  <c r="BD2958" i="1"/>
  <c r="B2959" i="1"/>
  <c r="C2959" i="1"/>
  <c r="E2959" i="1"/>
  <c r="F2959" i="1"/>
  <c r="G2959" i="1"/>
  <c r="H2959" i="1"/>
  <c r="I2959" i="1"/>
  <c r="J2959" i="1"/>
  <c r="K2959" i="1"/>
  <c r="M2959" i="1"/>
  <c r="O2959" i="1"/>
  <c r="Q2959" i="1"/>
  <c r="R2959" i="1"/>
  <c r="W2959" i="1"/>
  <c r="AA2959" i="1"/>
  <c r="AM2959" i="1"/>
  <c r="AN2959" i="1"/>
  <c r="AO2959" i="1"/>
  <c r="AQ2959" i="1"/>
  <c r="BB2959" i="1"/>
  <c r="BD2959" i="1"/>
  <c r="B2960" i="1"/>
  <c r="C2960" i="1"/>
  <c r="E2960" i="1"/>
  <c r="F2960" i="1"/>
  <c r="G2960" i="1"/>
  <c r="H2960" i="1"/>
  <c r="I2960" i="1"/>
  <c r="J2960" i="1"/>
  <c r="K2960" i="1"/>
  <c r="M2960" i="1"/>
  <c r="O2960" i="1"/>
  <c r="Q2960" i="1"/>
  <c r="R2960" i="1"/>
  <c r="W2960" i="1"/>
  <c r="AA2960" i="1"/>
  <c r="AB2960" i="1"/>
  <c r="AE2960" i="1"/>
  <c r="AF2960" i="1"/>
  <c r="AM2960" i="1"/>
  <c r="AN2960" i="1"/>
  <c r="AO2960" i="1"/>
  <c r="AQ2960" i="1"/>
  <c r="AX2960" i="1"/>
  <c r="BD2960" i="1"/>
  <c r="B2961" i="1"/>
  <c r="C2961" i="1"/>
  <c r="E2961" i="1"/>
  <c r="F2961" i="1"/>
  <c r="G2961" i="1"/>
  <c r="H2961" i="1"/>
  <c r="I2961" i="1"/>
  <c r="J2961" i="1"/>
  <c r="K2961" i="1"/>
  <c r="M2961" i="1"/>
  <c r="O2961" i="1"/>
  <c r="Q2961" i="1"/>
  <c r="R2961" i="1"/>
  <c r="W2961" i="1"/>
  <c r="AA2961" i="1"/>
  <c r="AM2961" i="1"/>
  <c r="AN2961" i="1"/>
  <c r="AO2961" i="1"/>
  <c r="AQ2961" i="1"/>
  <c r="BB2961" i="1"/>
  <c r="BD2961" i="1"/>
  <c r="B2962" i="1"/>
  <c r="C2962" i="1"/>
  <c r="E2962" i="1"/>
  <c r="F2962" i="1"/>
  <c r="G2962" i="1"/>
  <c r="H2962" i="1"/>
  <c r="I2962" i="1"/>
  <c r="J2962" i="1"/>
  <c r="K2962" i="1"/>
  <c r="M2962" i="1"/>
  <c r="O2962" i="1"/>
  <c r="Q2962" i="1"/>
  <c r="R2962" i="1"/>
  <c r="W2962" i="1"/>
  <c r="AA2962" i="1"/>
  <c r="AB2962" i="1"/>
  <c r="AE2962" i="1"/>
  <c r="AF2962" i="1"/>
  <c r="AM2962" i="1"/>
  <c r="AN2962" i="1"/>
  <c r="AO2962" i="1"/>
  <c r="AQ2962" i="1"/>
  <c r="AX2962" i="1"/>
  <c r="BD2962" i="1"/>
  <c r="B2963" i="1"/>
  <c r="C2963" i="1"/>
  <c r="E2963" i="1"/>
  <c r="F2963" i="1"/>
  <c r="G2963" i="1"/>
  <c r="H2963" i="1"/>
  <c r="I2963" i="1"/>
  <c r="J2963" i="1"/>
  <c r="K2963" i="1"/>
  <c r="M2963" i="1"/>
  <c r="O2963" i="1"/>
  <c r="Q2963" i="1"/>
  <c r="R2963" i="1"/>
  <c r="W2963" i="1"/>
  <c r="AA2963" i="1"/>
  <c r="AB2963" i="1"/>
  <c r="AE2963" i="1"/>
  <c r="AF2963" i="1"/>
  <c r="AM2963" i="1"/>
  <c r="AN2963" i="1"/>
  <c r="AO2963" i="1"/>
  <c r="AQ2963" i="1"/>
  <c r="AX2963" i="1"/>
  <c r="BD2963" i="1"/>
  <c r="B2964" i="1"/>
  <c r="C2964" i="1"/>
  <c r="E2964" i="1"/>
  <c r="F2964" i="1"/>
  <c r="G2964" i="1"/>
  <c r="H2964" i="1"/>
  <c r="I2964" i="1"/>
  <c r="J2964" i="1"/>
  <c r="K2964" i="1"/>
  <c r="M2964" i="1"/>
  <c r="O2964" i="1"/>
  <c r="Q2964" i="1"/>
  <c r="R2964" i="1"/>
  <c r="W2964" i="1"/>
  <c r="AA2964" i="1"/>
  <c r="AB2964" i="1"/>
  <c r="AE2964" i="1"/>
  <c r="AF2964" i="1"/>
  <c r="AM2964" i="1"/>
  <c r="AN2964" i="1"/>
  <c r="AO2964" i="1"/>
  <c r="AQ2964" i="1"/>
  <c r="AX2964" i="1"/>
  <c r="BD2964" i="1"/>
  <c r="B2965" i="1"/>
  <c r="C2965" i="1"/>
  <c r="E2965" i="1"/>
  <c r="F2965" i="1"/>
  <c r="G2965" i="1"/>
  <c r="H2965" i="1"/>
  <c r="I2965" i="1"/>
  <c r="J2965" i="1"/>
  <c r="K2965" i="1"/>
  <c r="M2965" i="1"/>
  <c r="O2965" i="1"/>
  <c r="Q2965" i="1"/>
  <c r="R2965" i="1"/>
  <c r="W2965" i="1"/>
  <c r="AA2965" i="1"/>
  <c r="AB2965" i="1"/>
  <c r="AE2965" i="1"/>
  <c r="AF2965" i="1"/>
  <c r="AM2965" i="1"/>
  <c r="AN2965" i="1"/>
  <c r="AO2965" i="1"/>
  <c r="AQ2965" i="1"/>
  <c r="AX2965" i="1"/>
  <c r="BD2965" i="1"/>
  <c r="B2966" i="1"/>
  <c r="C2966" i="1"/>
  <c r="E2966" i="1"/>
  <c r="F2966" i="1"/>
  <c r="G2966" i="1"/>
  <c r="H2966" i="1"/>
  <c r="I2966" i="1"/>
  <c r="J2966" i="1"/>
  <c r="K2966" i="1"/>
  <c r="M2966" i="1"/>
  <c r="O2966" i="1"/>
  <c r="Q2966" i="1"/>
  <c r="R2966" i="1"/>
  <c r="W2966" i="1"/>
  <c r="AA2966" i="1"/>
  <c r="AM2966" i="1"/>
  <c r="AN2966" i="1"/>
  <c r="AO2966" i="1"/>
  <c r="AQ2966" i="1"/>
  <c r="BB2966" i="1"/>
  <c r="BD2966" i="1"/>
  <c r="B2967" i="1"/>
  <c r="C2967" i="1"/>
  <c r="E2967" i="1"/>
  <c r="F2967" i="1"/>
  <c r="G2967" i="1"/>
  <c r="H2967" i="1"/>
  <c r="I2967" i="1"/>
  <c r="J2967" i="1"/>
  <c r="K2967" i="1"/>
  <c r="M2967" i="1"/>
  <c r="O2967" i="1"/>
  <c r="Q2967" i="1"/>
  <c r="R2967" i="1"/>
  <c r="W2967" i="1"/>
  <c r="AA2967" i="1"/>
  <c r="AM2967" i="1"/>
  <c r="AN2967" i="1"/>
  <c r="AO2967" i="1"/>
  <c r="AQ2967" i="1"/>
  <c r="BB2967" i="1"/>
  <c r="BD2967" i="1"/>
  <c r="B2968" i="1"/>
  <c r="C2968" i="1"/>
  <c r="E2968" i="1"/>
  <c r="F2968" i="1"/>
  <c r="G2968" i="1"/>
  <c r="H2968" i="1"/>
  <c r="I2968" i="1"/>
  <c r="J2968" i="1"/>
  <c r="K2968" i="1"/>
  <c r="M2968" i="1"/>
  <c r="O2968" i="1"/>
  <c r="Q2968" i="1"/>
  <c r="R2968" i="1"/>
  <c r="W2968" i="1"/>
  <c r="AA2968" i="1"/>
  <c r="AM2968" i="1"/>
  <c r="AN2968" i="1"/>
  <c r="AO2968" i="1"/>
  <c r="AQ2968" i="1"/>
  <c r="BB2968" i="1"/>
  <c r="BD2968" i="1"/>
  <c r="B2969" i="1"/>
  <c r="C2969" i="1"/>
  <c r="E2969" i="1"/>
  <c r="F2969" i="1"/>
  <c r="G2969" i="1"/>
  <c r="H2969" i="1"/>
  <c r="I2969" i="1"/>
  <c r="J2969" i="1"/>
  <c r="K2969" i="1"/>
  <c r="M2969" i="1"/>
  <c r="O2969" i="1"/>
  <c r="Q2969" i="1"/>
  <c r="R2969" i="1"/>
  <c r="W2969" i="1"/>
  <c r="AA2969" i="1"/>
  <c r="AM2969" i="1"/>
  <c r="AN2969" i="1"/>
  <c r="AO2969" i="1"/>
  <c r="AQ2969" i="1"/>
  <c r="BB2969" i="1"/>
  <c r="BD2969" i="1"/>
  <c r="B2970" i="1"/>
  <c r="C2970" i="1"/>
  <c r="D2970" i="1"/>
  <c r="E2970" i="1"/>
  <c r="F2970" i="1"/>
  <c r="G2970" i="1"/>
  <c r="H2970" i="1"/>
  <c r="I2970" i="1"/>
  <c r="J2970" i="1"/>
  <c r="K2970" i="1"/>
  <c r="M2970" i="1"/>
  <c r="O2970" i="1"/>
  <c r="Q2970" i="1"/>
  <c r="R2970" i="1"/>
  <c r="W2970" i="1"/>
  <c r="AA2970" i="1"/>
  <c r="AB2970" i="1"/>
  <c r="AE2970" i="1"/>
  <c r="AF2970" i="1"/>
  <c r="AM2970" i="1"/>
  <c r="AN2970" i="1"/>
  <c r="AO2970" i="1"/>
  <c r="AQ2970" i="1"/>
  <c r="AX2970" i="1"/>
  <c r="BD2970" i="1"/>
  <c r="B2971" i="1"/>
  <c r="C2971" i="1"/>
  <c r="E2971" i="1"/>
  <c r="F2971" i="1"/>
  <c r="G2971" i="1"/>
  <c r="H2971" i="1"/>
  <c r="I2971" i="1"/>
  <c r="J2971" i="1"/>
  <c r="K2971" i="1"/>
  <c r="M2971" i="1"/>
  <c r="O2971" i="1"/>
  <c r="Q2971" i="1"/>
  <c r="R2971" i="1"/>
  <c r="W2971" i="1"/>
  <c r="AA2971" i="1"/>
  <c r="AM2971" i="1"/>
  <c r="AN2971" i="1"/>
  <c r="AO2971" i="1"/>
  <c r="AQ2971" i="1"/>
  <c r="BB2971" i="1"/>
  <c r="BD2971" i="1"/>
  <c r="B2972" i="1"/>
  <c r="C2972" i="1"/>
  <c r="E2972" i="1"/>
  <c r="F2972" i="1"/>
  <c r="G2972" i="1"/>
  <c r="H2972" i="1"/>
  <c r="I2972" i="1"/>
  <c r="J2972" i="1"/>
  <c r="K2972" i="1"/>
  <c r="M2972" i="1"/>
  <c r="O2972" i="1"/>
  <c r="Q2972" i="1"/>
  <c r="R2972" i="1"/>
  <c r="W2972" i="1"/>
  <c r="AA2972" i="1"/>
  <c r="AM2972" i="1"/>
  <c r="AN2972" i="1"/>
  <c r="AO2972" i="1"/>
  <c r="AQ2972" i="1"/>
  <c r="BB2972" i="1"/>
  <c r="BD2972" i="1"/>
  <c r="B2973" i="1"/>
  <c r="C2973" i="1"/>
  <c r="E2973" i="1"/>
  <c r="F2973" i="1"/>
  <c r="G2973" i="1"/>
  <c r="H2973" i="1"/>
  <c r="I2973" i="1"/>
  <c r="J2973" i="1"/>
  <c r="K2973" i="1"/>
  <c r="M2973" i="1"/>
  <c r="O2973" i="1"/>
  <c r="Q2973" i="1"/>
  <c r="R2973" i="1"/>
  <c r="W2973" i="1"/>
  <c r="AA2973" i="1"/>
  <c r="AM2973" i="1"/>
  <c r="AN2973" i="1"/>
  <c r="AO2973" i="1"/>
  <c r="AQ2973" i="1"/>
  <c r="BB2973" i="1"/>
  <c r="BD2973" i="1"/>
  <c r="B2974" i="1"/>
  <c r="C2974" i="1"/>
  <c r="E2974" i="1"/>
  <c r="F2974" i="1"/>
  <c r="G2974" i="1"/>
  <c r="H2974" i="1"/>
  <c r="I2974" i="1"/>
  <c r="J2974" i="1"/>
  <c r="K2974" i="1"/>
  <c r="M2974" i="1"/>
  <c r="O2974" i="1"/>
  <c r="Q2974" i="1"/>
  <c r="R2974" i="1"/>
  <c r="W2974" i="1"/>
  <c r="AA2974" i="1"/>
  <c r="AM2974" i="1"/>
  <c r="AN2974" i="1"/>
  <c r="AO2974" i="1"/>
  <c r="AQ2974" i="1"/>
  <c r="BB2974" i="1"/>
  <c r="BD2974" i="1"/>
  <c r="B2975" i="1"/>
  <c r="C2975" i="1"/>
  <c r="E2975" i="1"/>
  <c r="F2975" i="1"/>
  <c r="G2975" i="1"/>
  <c r="H2975" i="1"/>
  <c r="I2975" i="1"/>
  <c r="J2975" i="1"/>
  <c r="K2975" i="1"/>
  <c r="M2975" i="1"/>
  <c r="O2975" i="1"/>
  <c r="Q2975" i="1"/>
  <c r="R2975" i="1"/>
  <c r="W2975" i="1"/>
  <c r="AA2975" i="1"/>
  <c r="AB2975" i="1"/>
  <c r="AE2975" i="1"/>
  <c r="AF2975" i="1"/>
  <c r="AM2975" i="1"/>
  <c r="AN2975" i="1"/>
  <c r="AO2975" i="1"/>
  <c r="AQ2975" i="1"/>
  <c r="AX2975" i="1"/>
  <c r="BD2975" i="1"/>
  <c r="B2976" i="1"/>
  <c r="C2976" i="1"/>
  <c r="E2976" i="1"/>
  <c r="F2976" i="1"/>
  <c r="G2976" i="1"/>
  <c r="H2976" i="1"/>
  <c r="I2976" i="1"/>
  <c r="J2976" i="1"/>
  <c r="K2976" i="1"/>
  <c r="M2976" i="1"/>
  <c r="O2976" i="1"/>
  <c r="Q2976" i="1"/>
  <c r="R2976" i="1"/>
  <c r="W2976" i="1"/>
  <c r="AA2976" i="1"/>
  <c r="AB2976" i="1"/>
  <c r="AE2976" i="1"/>
  <c r="AF2976" i="1"/>
  <c r="AM2976" i="1"/>
  <c r="AN2976" i="1"/>
  <c r="AO2976" i="1"/>
  <c r="AQ2976" i="1"/>
  <c r="AX2976" i="1"/>
  <c r="BD2976" i="1"/>
  <c r="B2977" i="1"/>
  <c r="C2977" i="1"/>
  <c r="D2977" i="1"/>
  <c r="E2977" i="1"/>
  <c r="F2977" i="1"/>
  <c r="G2977" i="1"/>
  <c r="H2977" i="1"/>
  <c r="I2977" i="1"/>
  <c r="J2977" i="1"/>
  <c r="K2977" i="1"/>
  <c r="M2977" i="1"/>
  <c r="O2977" i="1"/>
  <c r="Q2977" i="1"/>
  <c r="R2977" i="1"/>
  <c r="W2977" i="1"/>
  <c r="AA2977" i="1"/>
  <c r="AB2977" i="1"/>
  <c r="AE2977" i="1"/>
  <c r="AF2977" i="1"/>
  <c r="AM2977" i="1"/>
  <c r="AN2977" i="1"/>
  <c r="AO2977" i="1"/>
  <c r="AQ2977" i="1"/>
  <c r="AX2977" i="1"/>
  <c r="BD2977" i="1"/>
  <c r="B2978" i="1"/>
  <c r="C2978" i="1"/>
  <c r="D2978" i="1"/>
  <c r="E2978" i="1"/>
  <c r="F2978" i="1"/>
  <c r="G2978" i="1"/>
  <c r="H2978" i="1"/>
  <c r="I2978" i="1"/>
  <c r="J2978" i="1"/>
  <c r="K2978" i="1"/>
  <c r="M2978" i="1"/>
  <c r="O2978" i="1"/>
  <c r="Q2978" i="1"/>
  <c r="R2978" i="1"/>
  <c r="W2978" i="1"/>
  <c r="AA2978" i="1"/>
  <c r="AB2978" i="1"/>
  <c r="AE2978" i="1"/>
  <c r="AF2978" i="1"/>
  <c r="AM2978" i="1"/>
  <c r="AN2978" i="1"/>
  <c r="AO2978" i="1"/>
  <c r="AQ2978" i="1"/>
  <c r="AX2978" i="1"/>
  <c r="BD2978" i="1"/>
  <c r="B2979" i="1"/>
  <c r="C2979" i="1"/>
  <c r="D2979" i="1"/>
  <c r="E2979" i="1"/>
  <c r="F2979" i="1"/>
  <c r="G2979" i="1"/>
  <c r="H2979" i="1"/>
  <c r="I2979" i="1"/>
  <c r="J2979" i="1"/>
  <c r="K2979" i="1"/>
  <c r="M2979" i="1"/>
  <c r="O2979" i="1"/>
  <c r="Q2979" i="1"/>
  <c r="R2979" i="1"/>
  <c r="W2979" i="1"/>
  <c r="AA2979" i="1"/>
  <c r="AB2979" i="1"/>
  <c r="AM2979" i="1"/>
  <c r="AN2979" i="1"/>
  <c r="AO2979" i="1"/>
  <c r="AQ2979" i="1"/>
  <c r="AX2979" i="1"/>
  <c r="BD2979" i="1"/>
  <c r="B2980" i="1"/>
  <c r="C2980" i="1"/>
  <c r="E2980" i="1"/>
  <c r="F2980" i="1"/>
  <c r="G2980" i="1"/>
  <c r="H2980" i="1"/>
  <c r="I2980" i="1"/>
  <c r="J2980" i="1"/>
  <c r="K2980" i="1"/>
  <c r="M2980" i="1"/>
  <c r="O2980" i="1"/>
  <c r="Q2980" i="1"/>
  <c r="R2980" i="1"/>
  <c r="W2980" i="1"/>
  <c r="AA2980" i="1"/>
  <c r="AM2980" i="1"/>
  <c r="AN2980" i="1"/>
  <c r="AO2980" i="1"/>
  <c r="AQ2980" i="1"/>
  <c r="BB2980" i="1"/>
  <c r="BD2980" i="1"/>
  <c r="B2981" i="1"/>
  <c r="C2981" i="1"/>
  <c r="E2981" i="1"/>
  <c r="F2981" i="1"/>
  <c r="G2981" i="1"/>
  <c r="H2981" i="1"/>
  <c r="I2981" i="1"/>
  <c r="J2981" i="1"/>
  <c r="K2981" i="1"/>
  <c r="M2981" i="1"/>
  <c r="O2981" i="1"/>
  <c r="Q2981" i="1"/>
  <c r="R2981" i="1"/>
  <c r="W2981" i="1"/>
  <c r="AA2981" i="1"/>
  <c r="AM2981" i="1"/>
  <c r="AN2981" i="1"/>
  <c r="AO2981" i="1"/>
  <c r="AQ2981" i="1"/>
  <c r="BB2981" i="1"/>
  <c r="BD2981" i="1"/>
  <c r="B2982" i="1"/>
  <c r="C2982" i="1"/>
  <c r="E2982" i="1"/>
  <c r="F2982" i="1"/>
  <c r="G2982" i="1"/>
  <c r="H2982" i="1"/>
  <c r="I2982" i="1"/>
  <c r="J2982" i="1"/>
  <c r="K2982" i="1"/>
  <c r="M2982" i="1"/>
  <c r="O2982" i="1"/>
  <c r="Q2982" i="1"/>
  <c r="R2982" i="1"/>
  <c r="W2982" i="1"/>
  <c r="AA2982" i="1"/>
  <c r="AM2982" i="1"/>
  <c r="AN2982" i="1"/>
  <c r="AO2982" i="1"/>
  <c r="AQ2982" i="1"/>
  <c r="BB2982" i="1"/>
  <c r="BD2982" i="1"/>
  <c r="B2983" i="1"/>
  <c r="C2983" i="1"/>
  <c r="D2983" i="1"/>
  <c r="E2983" i="1"/>
  <c r="F2983" i="1"/>
  <c r="G2983" i="1"/>
  <c r="H2983" i="1"/>
  <c r="I2983" i="1"/>
  <c r="J2983" i="1"/>
  <c r="K2983" i="1"/>
  <c r="M2983" i="1"/>
  <c r="O2983" i="1"/>
  <c r="Q2983" i="1"/>
  <c r="R2983" i="1"/>
  <c r="W2983" i="1"/>
  <c r="AA2983" i="1"/>
  <c r="AB2983" i="1"/>
  <c r="AE2983" i="1"/>
  <c r="AF2983" i="1"/>
  <c r="AM2983" i="1"/>
  <c r="AN2983" i="1"/>
  <c r="AO2983" i="1"/>
  <c r="AQ2983" i="1"/>
  <c r="AX2983" i="1"/>
  <c r="BD2983" i="1"/>
  <c r="B2984" i="1"/>
  <c r="C2984" i="1"/>
  <c r="E2984" i="1"/>
  <c r="F2984" i="1"/>
  <c r="G2984" i="1"/>
  <c r="H2984" i="1"/>
  <c r="I2984" i="1"/>
  <c r="J2984" i="1"/>
  <c r="K2984" i="1"/>
  <c r="M2984" i="1"/>
  <c r="O2984" i="1"/>
  <c r="Q2984" i="1"/>
  <c r="R2984" i="1"/>
  <c r="W2984" i="1"/>
  <c r="AA2984" i="1"/>
  <c r="AM2984" i="1"/>
  <c r="AN2984" i="1"/>
  <c r="AO2984" i="1"/>
  <c r="AQ2984" i="1"/>
  <c r="BB2984" i="1"/>
  <c r="BD2984" i="1"/>
  <c r="B2985" i="1"/>
  <c r="C2985" i="1"/>
  <c r="D2985" i="1"/>
  <c r="E2985" i="1"/>
  <c r="F2985" i="1"/>
  <c r="G2985" i="1"/>
  <c r="H2985" i="1"/>
  <c r="I2985" i="1"/>
  <c r="J2985" i="1"/>
  <c r="K2985" i="1"/>
  <c r="M2985" i="1"/>
  <c r="O2985" i="1"/>
  <c r="Q2985" i="1"/>
  <c r="R2985" i="1"/>
  <c r="W2985" i="1"/>
  <c r="AA2985" i="1"/>
  <c r="AB2985" i="1"/>
  <c r="AE2985" i="1"/>
  <c r="AF2985" i="1"/>
  <c r="AM2985" i="1"/>
  <c r="AN2985" i="1"/>
  <c r="AO2985" i="1"/>
  <c r="AQ2985" i="1"/>
  <c r="AX2985" i="1"/>
  <c r="BD2985" i="1"/>
  <c r="B2986" i="1"/>
  <c r="C2986" i="1"/>
  <c r="D2986" i="1"/>
  <c r="E2986" i="1"/>
  <c r="F2986" i="1"/>
  <c r="G2986" i="1"/>
  <c r="H2986" i="1"/>
  <c r="I2986" i="1"/>
  <c r="J2986" i="1"/>
  <c r="K2986" i="1"/>
  <c r="M2986" i="1"/>
  <c r="O2986" i="1"/>
  <c r="Q2986" i="1"/>
  <c r="R2986" i="1"/>
  <c r="W2986" i="1"/>
  <c r="AA2986" i="1"/>
  <c r="AB2986" i="1"/>
  <c r="AE2986" i="1"/>
  <c r="AF2986" i="1"/>
  <c r="AM2986" i="1"/>
  <c r="AN2986" i="1"/>
  <c r="AO2986" i="1"/>
  <c r="AQ2986" i="1"/>
  <c r="AX2986" i="1"/>
  <c r="BD2986" i="1"/>
  <c r="B2987" i="1"/>
  <c r="C2987" i="1"/>
  <c r="E2987" i="1"/>
  <c r="F2987" i="1"/>
  <c r="G2987" i="1"/>
  <c r="H2987" i="1"/>
  <c r="I2987" i="1"/>
  <c r="J2987" i="1"/>
  <c r="K2987" i="1"/>
  <c r="M2987" i="1"/>
  <c r="O2987" i="1"/>
  <c r="Q2987" i="1"/>
  <c r="R2987" i="1"/>
  <c r="W2987" i="1"/>
  <c r="AA2987" i="1"/>
  <c r="AM2987" i="1"/>
  <c r="AN2987" i="1"/>
  <c r="AO2987" i="1"/>
  <c r="AQ2987" i="1"/>
  <c r="BB2987" i="1"/>
  <c r="BD2987" i="1"/>
  <c r="B2988" i="1"/>
  <c r="C2988" i="1"/>
  <c r="E2988" i="1"/>
  <c r="F2988" i="1"/>
  <c r="G2988" i="1"/>
  <c r="H2988" i="1"/>
  <c r="I2988" i="1"/>
  <c r="J2988" i="1"/>
  <c r="K2988" i="1"/>
  <c r="M2988" i="1"/>
  <c r="O2988" i="1"/>
  <c r="Q2988" i="1"/>
  <c r="R2988" i="1"/>
  <c r="W2988" i="1"/>
  <c r="AA2988" i="1"/>
  <c r="AM2988" i="1"/>
  <c r="AN2988" i="1"/>
  <c r="AO2988" i="1"/>
  <c r="AQ2988" i="1"/>
  <c r="BB2988" i="1"/>
  <c r="BD2988" i="1"/>
  <c r="B2989" i="1"/>
  <c r="C2989" i="1"/>
  <c r="D2989" i="1"/>
  <c r="E2989" i="1"/>
  <c r="F2989" i="1"/>
  <c r="G2989" i="1"/>
  <c r="H2989" i="1"/>
  <c r="I2989" i="1"/>
  <c r="J2989" i="1"/>
  <c r="K2989" i="1"/>
  <c r="M2989" i="1"/>
  <c r="O2989" i="1"/>
  <c r="Q2989" i="1"/>
  <c r="R2989" i="1"/>
  <c r="W2989" i="1"/>
  <c r="AA2989" i="1"/>
  <c r="AB2989" i="1"/>
  <c r="AE2989" i="1"/>
  <c r="AF2989" i="1"/>
  <c r="AM2989" i="1"/>
  <c r="AN2989" i="1"/>
  <c r="AO2989" i="1"/>
  <c r="AQ2989" i="1"/>
  <c r="AX2989" i="1"/>
  <c r="BD2989" i="1"/>
  <c r="B2990" i="1"/>
  <c r="C2990" i="1"/>
  <c r="E2990" i="1"/>
  <c r="F2990" i="1"/>
  <c r="G2990" i="1"/>
  <c r="H2990" i="1"/>
  <c r="I2990" i="1"/>
  <c r="J2990" i="1"/>
  <c r="K2990" i="1"/>
  <c r="M2990" i="1"/>
  <c r="O2990" i="1"/>
  <c r="Q2990" i="1"/>
  <c r="R2990" i="1"/>
  <c r="W2990" i="1"/>
  <c r="AA2990" i="1"/>
  <c r="AM2990" i="1"/>
  <c r="AN2990" i="1"/>
  <c r="AO2990" i="1"/>
  <c r="AQ2990" i="1"/>
  <c r="BB2990" i="1"/>
  <c r="BD2990" i="1"/>
  <c r="B2991" i="1"/>
  <c r="C2991" i="1"/>
  <c r="D2991" i="1"/>
  <c r="E2991" i="1"/>
  <c r="F2991" i="1"/>
  <c r="G2991" i="1"/>
  <c r="H2991" i="1"/>
  <c r="I2991" i="1"/>
  <c r="J2991" i="1"/>
  <c r="K2991" i="1"/>
  <c r="M2991" i="1"/>
  <c r="O2991" i="1"/>
  <c r="Q2991" i="1"/>
  <c r="R2991" i="1"/>
  <c r="W2991" i="1"/>
  <c r="AA2991" i="1"/>
  <c r="AB2991" i="1"/>
  <c r="AE2991" i="1"/>
  <c r="AF2991" i="1"/>
  <c r="AM2991" i="1"/>
  <c r="AN2991" i="1"/>
  <c r="AO2991" i="1"/>
  <c r="AQ2991" i="1"/>
  <c r="AX2991" i="1"/>
  <c r="BD2991" i="1"/>
  <c r="B2992" i="1"/>
  <c r="C2992" i="1"/>
  <c r="D2992" i="1"/>
  <c r="E2992" i="1"/>
  <c r="F2992" i="1"/>
  <c r="G2992" i="1"/>
  <c r="H2992" i="1"/>
  <c r="I2992" i="1"/>
  <c r="J2992" i="1"/>
  <c r="K2992" i="1"/>
  <c r="M2992" i="1"/>
  <c r="O2992" i="1"/>
  <c r="Q2992" i="1"/>
  <c r="R2992" i="1"/>
  <c r="W2992" i="1"/>
  <c r="AA2992" i="1"/>
  <c r="AB2992" i="1"/>
  <c r="AE2992" i="1"/>
  <c r="AF2992" i="1"/>
  <c r="AM2992" i="1"/>
  <c r="AN2992" i="1"/>
  <c r="AO2992" i="1"/>
  <c r="AQ2992" i="1"/>
  <c r="AX2992" i="1"/>
  <c r="BD2992" i="1"/>
  <c r="B2993" i="1"/>
  <c r="C2993" i="1"/>
  <c r="D2993" i="1"/>
  <c r="E2993" i="1"/>
  <c r="F2993" i="1"/>
  <c r="G2993" i="1"/>
  <c r="H2993" i="1"/>
  <c r="I2993" i="1"/>
  <c r="J2993" i="1"/>
  <c r="K2993" i="1"/>
  <c r="M2993" i="1"/>
  <c r="O2993" i="1"/>
  <c r="Q2993" i="1"/>
  <c r="R2993" i="1"/>
  <c r="W2993" i="1"/>
  <c r="AA2993" i="1"/>
  <c r="AB2993" i="1"/>
  <c r="AE2993" i="1"/>
  <c r="AF2993" i="1"/>
  <c r="AM2993" i="1"/>
  <c r="AN2993" i="1"/>
  <c r="AO2993" i="1"/>
  <c r="AQ2993" i="1"/>
  <c r="AX2993" i="1"/>
  <c r="BD2993" i="1"/>
  <c r="B2994" i="1"/>
  <c r="C2994" i="1"/>
  <c r="D2994" i="1"/>
  <c r="E2994" i="1"/>
  <c r="F2994" i="1"/>
  <c r="G2994" i="1"/>
  <c r="H2994" i="1"/>
  <c r="I2994" i="1"/>
  <c r="J2994" i="1"/>
  <c r="K2994" i="1"/>
  <c r="M2994" i="1"/>
  <c r="O2994" i="1"/>
  <c r="Q2994" i="1"/>
  <c r="R2994" i="1"/>
  <c r="W2994" i="1"/>
  <c r="AA2994" i="1"/>
  <c r="AB2994" i="1"/>
  <c r="AE2994" i="1"/>
  <c r="AF2994" i="1"/>
  <c r="AM2994" i="1"/>
  <c r="AN2994" i="1"/>
  <c r="AO2994" i="1"/>
  <c r="AQ2994" i="1"/>
  <c r="AX2994" i="1"/>
  <c r="BD2994" i="1"/>
  <c r="B2995" i="1"/>
  <c r="C2995" i="1"/>
  <c r="D2995" i="1"/>
  <c r="E2995" i="1"/>
  <c r="F2995" i="1"/>
  <c r="G2995" i="1"/>
  <c r="H2995" i="1"/>
  <c r="I2995" i="1"/>
  <c r="J2995" i="1"/>
  <c r="K2995" i="1"/>
  <c r="M2995" i="1"/>
  <c r="O2995" i="1"/>
  <c r="Q2995" i="1"/>
  <c r="R2995" i="1"/>
  <c r="W2995" i="1"/>
  <c r="AA2995" i="1"/>
  <c r="AB2995" i="1"/>
  <c r="AE2995" i="1"/>
  <c r="AF2995" i="1"/>
  <c r="AM2995" i="1"/>
  <c r="AN2995" i="1"/>
  <c r="AO2995" i="1"/>
  <c r="AQ2995" i="1"/>
  <c r="AX2995" i="1"/>
  <c r="BD2995" i="1"/>
  <c r="B2996" i="1"/>
  <c r="C2996" i="1"/>
  <c r="D2996" i="1"/>
  <c r="E2996" i="1"/>
  <c r="F2996" i="1"/>
  <c r="G2996" i="1"/>
  <c r="H2996" i="1"/>
  <c r="I2996" i="1"/>
  <c r="J2996" i="1"/>
  <c r="K2996" i="1"/>
  <c r="M2996" i="1"/>
  <c r="O2996" i="1"/>
  <c r="Q2996" i="1"/>
  <c r="R2996" i="1"/>
  <c r="W2996" i="1"/>
  <c r="AA2996" i="1"/>
  <c r="AB2996" i="1"/>
  <c r="AE2996" i="1"/>
  <c r="AF2996" i="1"/>
  <c r="AM2996" i="1"/>
  <c r="AN2996" i="1"/>
  <c r="AO2996" i="1"/>
  <c r="AQ2996" i="1"/>
  <c r="AX2996" i="1"/>
  <c r="BD2996" i="1"/>
  <c r="B2997" i="1"/>
  <c r="C2997" i="1"/>
  <c r="D2997" i="1"/>
  <c r="E2997" i="1"/>
  <c r="F2997" i="1"/>
  <c r="G2997" i="1"/>
  <c r="H2997" i="1"/>
  <c r="I2997" i="1"/>
  <c r="J2997" i="1"/>
  <c r="K2997" i="1"/>
  <c r="M2997" i="1"/>
  <c r="O2997" i="1"/>
  <c r="Q2997" i="1"/>
  <c r="R2997" i="1"/>
  <c r="W2997" i="1"/>
  <c r="AA2997" i="1"/>
  <c r="AB2997" i="1"/>
  <c r="AE2997" i="1"/>
  <c r="AF2997" i="1"/>
  <c r="AM2997" i="1"/>
  <c r="AN2997" i="1"/>
  <c r="AO2997" i="1"/>
  <c r="AQ2997" i="1"/>
  <c r="AX2997" i="1"/>
  <c r="BD2997" i="1"/>
  <c r="B2998" i="1"/>
  <c r="C2998" i="1"/>
  <c r="D2998" i="1"/>
  <c r="E2998" i="1"/>
  <c r="F2998" i="1"/>
  <c r="G2998" i="1"/>
  <c r="H2998" i="1"/>
  <c r="I2998" i="1"/>
  <c r="J2998" i="1"/>
  <c r="K2998" i="1"/>
  <c r="M2998" i="1"/>
  <c r="O2998" i="1"/>
  <c r="Q2998" i="1"/>
  <c r="R2998" i="1"/>
  <c r="W2998" i="1"/>
  <c r="AA2998" i="1"/>
  <c r="AB2998" i="1"/>
  <c r="AE2998" i="1"/>
  <c r="AF2998" i="1"/>
  <c r="AM2998" i="1"/>
  <c r="AN2998" i="1"/>
  <c r="AO2998" i="1"/>
  <c r="AQ2998" i="1"/>
  <c r="AX2998" i="1"/>
  <c r="BD2998" i="1"/>
  <c r="B2999" i="1"/>
  <c r="C2999" i="1"/>
  <c r="D2999" i="1"/>
  <c r="E2999" i="1"/>
  <c r="F2999" i="1"/>
  <c r="G2999" i="1"/>
  <c r="H2999" i="1"/>
  <c r="I2999" i="1"/>
  <c r="J2999" i="1"/>
  <c r="K2999" i="1"/>
  <c r="M2999" i="1"/>
  <c r="O2999" i="1"/>
  <c r="Q2999" i="1"/>
  <c r="R2999" i="1"/>
  <c r="W2999" i="1"/>
  <c r="AA2999" i="1"/>
  <c r="AB2999" i="1"/>
  <c r="AE2999" i="1"/>
  <c r="AF2999" i="1"/>
  <c r="AM2999" i="1"/>
  <c r="AN2999" i="1"/>
  <c r="AO2999" i="1"/>
  <c r="AQ2999" i="1"/>
  <c r="AX2999" i="1"/>
  <c r="BD2999" i="1"/>
  <c r="B3000" i="1"/>
  <c r="C3000" i="1"/>
  <c r="D3000" i="1"/>
  <c r="E3000" i="1"/>
  <c r="F3000" i="1"/>
  <c r="G3000" i="1"/>
  <c r="H3000" i="1"/>
  <c r="I3000" i="1"/>
  <c r="J3000" i="1"/>
  <c r="K3000" i="1"/>
  <c r="M3000" i="1"/>
  <c r="O3000" i="1"/>
  <c r="Q3000" i="1"/>
  <c r="R3000" i="1"/>
  <c r="W3000" i="1"/>
  <c r="AA3000" i="1"/>
  <c r="AB3000" i="1"/>
  <c r="AE3000" i="1"/>
  <c r="AF3000" i="1"/>
  <c r="AM3000" i="1"/>
  <c r="AN3000" i="1"/>
  <c r="AO3000" i="1"/>
  <c r="AQ3000" i="1"/>
  <c r="AX3000" i="1"/>
  <c r="BD3000" i="1"/>
  <c r="B3001" i="1"/>
  <c r="C3001" i="1"/>
  <c r="E3001" i="1"/>
  <c r="F3001" i="1"/>
  <c r="G3001" i="1"/>
  <c r="H3001" i="1"/>
  <c r="I3001" i="1"/>
  <c r="J3001" i="1"/>
  <c r="K3001" i="1"/>
  <c r="M3001" i="1"/>
  <c r="O3001" i="1"/>
  <c r="Q3001" i="1"/>
  <c r="R3001" i="1"/>
  <c r="W3001" i="1"/>
  <c r="AA3001" i="1"/>
  <c r="AB3001" i="1"/>
  <c r="AE3001" i="1"/>
  <c r="AF3001" i="1"/>
  <c r="AM3001" i="1"/>
  <c r="AN3001" i="1"/>
  <c r="AO3001" i="1"/>
  <c r="AQ3001" i="1"/>
  <c r="AX3001" i="1"/>
  <c r="BD3001" i="1"/>
  <c r="B3002" i="1"/>
  <c r="C3002" i="1"/>
  <c r="D3002" i="1"/>
  <c r="E3002" i="1"/>
  <c r="F3002" i="1"/>
  <c r="G3002" i="1"/>
  <c r="H3002" i="1"/>
  <c r="I3002" i="1"/>
  <c r="J3002" i="1"/>
  <c r="K3002" i="1"/>
  <c r="M3002" i="1"/>
  <c r="O3002" i="1"/>
  <c r="Q3002" i="1"/>
  <c r="R3002" i="1"/>
  <c r="W3002" i="1"/>
  <c r="AA3002" i="1"/>
  <c r="AB3002" i="1"/>
  <c r="AE3002" i="1"/>
  <c r="AF3002" i="1"/>
  <c r="AM3002" i="1"/>
  <c r="AN3002" i="1"/>
  <c r="AO3002" i="1"/>
  <c r="AQ3002" i="1"/>
  <c r="AX3002" i="1"/>
  <c r="BD3002" i="1"/>
  <c r="B3003" i="1"/>
  <c r="C3003" i="1"/>
  <c r="D3003" i="1"/>
  <c r="E3003" i="1"/>
  <c r="F3003" i="1"/>
  <c r="G3003" i="1"/>
  <c r="H3003" i="1"/>
  <c r="I3003" i="1"/>
  <c r="J3003" i="1"/>
  <c r="K3003" i="1"/>
  <c r="M3003" i="1"/>
  <c r="O3003" i="1"/>
  <c r="Q3003" i="1"/>
  <c r="R3003" i="1"/>
  <c r="W3003" i="1"/>
  <c r="AA3003" i="1"/>
  <c r="AB3003" i="1"/>
  <c r="AE3003" i="1"/>
  <c r="AF3003" i="1"/>
  <c r="AM3003" i="1"/>
  <c r="AN3003" i="1"/>
  <c r="AO3003" i="1"/>
  <c r="AQ3003" i="1"/>
  <c r="AX3003" i="1"/>
  <c r="BD3003" i="1"/>
  <c r="B3004" i="1"/>
  <c r="C3004" i="1"/>
  <c r="D3004" i="1"/>
  <c r="E3004" i="1"/>
  <c r="F3004" i="1"/>
  <c r="G3004" i="1"/>
  <c r="H3004" i="1"/>
  <c r="I3004" i="1"/>
  <c r="J3004" i="1"/>
  <c r="K3004" i="1"/>
  <c r="M3004" i="1"/>
  <c r="O3004" i="1"/>
  <c r="Q3004" i="1"/>
  <c r="R3004" i="1"/>
  <c r="W3004" i="1"/>
  <c r="AA3004" i="1"/>
  <c r="AB3004" i="1"/>
  <c r="AE3004" i="1"/>
  <c r="AF3004" i="1"/>
  <c r="AM3004" i="1"/>
  <c r="AN3004" i="1"/>
  <c r="AO3004" i="1"/>
  <c r="AQ3004" i="1"/>
  <c r="AX3004" i="1"/>
  <c r="BD3004" i="1"/>
  <c r="B3005" i="1"/>
  <c r="C3005" i="1"/>
  <c r="D3005" i="1"/>
  <c r="E3005" i="1"/>
  <c r="F3005" i="1"/>
  <c r="G3005" i="1"/>
  <c r="H3005" i="1"/>
  <c r="I3005" i="1"/>
  <c r="J3005" i="1"/>
  <c r="K3005" i="1"/>
  <c r="M3005" i="1"/>
  <c r="O3005" i="1"/>
  <c r="Q3005" i="1"/>
  <c r="R3005" i="1"/>
  <c r="W3005" i="1"/>
  <c r="AA3005" i="1"/>
  <c r="AB3005" i="1"/>
  <c r="AE3005" i="1"/>
  <c r="AF3005" i="1"/>
  <c r="AM3005" i="1"/>
  <c r="AN3005" i="1"/>
  <c r="AO3005" i="1"/>
  <c r="AQ3005" i="1"/>
  <c r="AX3005" i="1"/>
  <c r="BD3005" i="1"/>
  <c r="B3006" i="1"/>
  <c r="C3006" i="1"/>
  <c r="D3006" i="1"/>
  <c r="E3006" i="1"/>
  <c r="F3006" i="1"/>
  <c r="G3006" i="1"/>
  <c r="H3006" i="1"/>
  <c r="I3006" i="1"/>
  <c r="J3006" i="1"/>
  <c r="K3006" i="1"/>
  <c r="M3006" i="1"/>
  <c r="O3006" i="1"/>
  <c r="Q3006" i="1"/>
  <c r="R3006" i="1"/>
  <c r="W3006" i="1"/>
  <c r="AA3006" i="1"/>
  <c r="AB3006" i="1"/>
  <c r="AE3006" i="1"/>
  <c r="AF3006" i="1"/>
  <c r="AM3006" i="1"/>
  <c r="AN3006" i="1"/>
  <c r="AO3006" i="1"/>
  <c r="AQ3006" i="1"/>
  <c r="AX3006" i="1"/>
  <c r="BD3006" i="1"/>
  <c r="B3007" i="1"/>
  <c r="C3007" i="1"/>
  <c r="E3007" i="1"/>
  <c r="F3007" i="1"/>
  <c r="G3007" i="1"/>
  <c r="H3007" i="1"/>
  <c r="I3007" i="1"/>
  <c r="J3007" i="1"/>
  <c r="K3007" i="1"/>
  <c r="M3007" i="1"/>
  <c r="O3007" i="1"/>
  <c r="Q3007" i="1"/>
  <c r="R3007" i="1"/>
  <c r="W3007" i="1"/>
  <c r="AA3007" i="1"/>
  <c r="AB3007" i="1"/>
  <c r="AE3007" i="1"/>
  <c r="AF3007" i="1"/>
  <c r="AM3007" i="1"/>
  <c r="AN3007" i="1"/>
  <c r="AO3007" i="1"/>
  <c r="AQ3007" i="1"/>
  <c r="AX3007" i="1"/>
  <c r="BD3007" i="1"/>
  <c r="B3008" i="1"/>
  <c r="C3008" i="1"/>
  <c r="D3008" i="1"/>
  <c r="E3008" i="1"/>
  <c r="F3008" i="1"/>
  <c r="G3008" i="1"/>
  <c r="H3008" i="1"/>
  <c r="I3008" i="1"/>
  <c r="J3008" i="1"/>
  <c r="K3008" i="1"/>
  <c r="M3008" i="1"/>
  <c r="O3008" i="1"/>
  <c r="Q3008" i="1"/>
  <c r="R3008" i="1"/>
  <c r="W3008" i="1"/>
  <c r="AA3008" i="1"/>
  <c r="AB3008" i="1"/>
  <c r="AM3008" i="1"/>
  <c r="AN3008" i="1"/>
  <c r="AO3008" i="1"/>
  <c r="AQ3008" i="1"/>
  <c r="AX3008" i="1"/>
  <c r="BD3008" i="1"/>
  <c r="B3009" i="1"/>
  <c r="E3009" i="1"/>
  <c r="F3009" i="1"/>
  <c r="G3009" i="1"/>
  <c r="H3009" i="1"/>
  <c r="I3009" i="1"/>
  <c r="J3009" i="1"/>
  <c r="K3009" i="1"/>
  <c r="M3009" i="1"/>
  <c r="O3009" i="1"/>
  <c r="Q3009" i="1"/>
  <c r="R3009" i="1"/>
  <c r="W3009" i="1"/>
  <c r="AA3009" i="1"/>
  <c r="AB3009" i="1"/>
  <c r="AM3009" i="1"/>
  <c r="AN3009" i="1"/>
  <c r="AO3009" i="1"/>
  <c r="AQ3009" i="1"/>
  <c r="AX3009" i="1"/>
  <c r="BD3009" i="1"/>
  <c r="B3010" i="1"/>
  <c r="C3010" i="1"/>
  <c r="E3010" i="1"/>
  <c r="F3010" i="1"/>
  <c r="G3010" i="1"/>
  <c r="H3010" i="1"/>
  <c r="I3010" i="1"/>
  <c r="J3010" i="1"/>
  <c r="K3010" i="1"/>
  <c r="M3010" i="1"/>
  <c r="O3010" i="1"/>
  <c r="Q3010" i="1"/>
  <c r="R3010" i="1"/>
  <c r="W3010" i="1"/>
  <c r="AA3010" i="1"/>
  <c r="AM3010" i="1"/>
  <c r="AN3010" i="1"/>
  <c r="AO3010" i="1"/>
  <c r="AQ3010" i="1"/>
  <c r="BB3010" i="1"/>
  <c r="BD3010" i="1"/>
  <c r="B3011" i="1"/>
  <c r="C3011" i="1"/>
  <c r="E3011" i="1"/>
  <c r="F3011" i="1"/>
  <c r="G3011" i="1"/>
  <c r="H3011" i="1"/>
  <c r="I3011" i="1"/>
  <c r="J3011" i="1"/>
  <c r="K3011" i="1"/>
  <c r="M3011" i="1"/>
  <c r="O3011" i="1"/>
  <c r="Q3011" i="1"/>
  <c r="R3011" i="1"/>
  <c r="W3011" i="1"/>
  <c r="AA3011" i="1"/>
  <c r="AM3011" i="1"/>
  <c r="AN3011" i="1"/>
  <c r="AO3011" i="1"/>
  <c r="AQ3011" i="1"/>
  <c r="BB3011" i="1"/>
  <c r="BD3011" i="1"/>
  <c r="B3012" i="1"/>
  <c r="C3012" i="1"/>
  <c r="D3012" i="1"/>
  <c r="E3012" i="1"/>
  <c r="F3012" i="1"/>
  <c r="G3012" i="1"/>
  <c r="H3012" i="1"/>
  <c r="I3012" i="1"/>
  <c r="J3012" i="1"/>
  <c r="K3012" i="1"/>
  <c r="M3012" i="1"/>
  <c r="O3012" i="1"/>
  <c r="Q3012" i="1"/>
  <c r="R3012" i="1"/>
  <c r="W3012" i="1"/>
  <c r="AA3012" i="1"/>
  <c r="AB3012" i="1"/>
  <c r="AM3012" i="1"/>
  <c r="AN3012" i="1"/>
  <c r="AO3012" i="1"/>
  <c r="AQ3012" i="1"/>
  <c r="AX3012" i="1"/>
  <c r="BD3012" i="1"/>
  <c r="B3013" i="1"/>
  <c r="C3013" i="1"/>
  <c r="D3013" i="1"/>
  <c r="E3013" i="1"/>
  <c r="F3013" i="1"/>
  <c r="G3013" i="1"/>
  <c r="H3013" i="1"/>
  <c r="I3013" i="1"/>
  <c r="J3013" i="1"/>
  <c r="K3013" i="1"/>
  <c r="M3013" i="1"/>
  <c r="O3013" i="1"/>
  <c r="Q3013" i="1"/>
  <c r="R3013" i="1"/>
  <c r="W3013" i="1"/>
  <c r="AA3013" i="1"/>
  <c r="AB3013" i="1"/>
  <c r="AM3013" i="1"/>
  <c r="AN3013" i="1"/>
  <c r="AO3013" i="1"/>
  <c r="AQ3013" i="1"/>
  <c r="AX3013" i="1"/>
  <c r="BD3013" i="1"/>
  <c r="B3014" i="1"/>
  <c r="C3014" i="1"/>
  <c r="E3014" i="1"/>
  <c r="F3014" i="1"/>
  <c r="G3014" i="1"/>
  <c r="H3014" i="1"/>
  <c r="I3014" i="1"/>
  <c r="J3014" i="1"/>
  <c r="K3014" i="1"/>
  <c r="M3014" i="1"/>
  <c r="O3014" i="1"/>
  <c r="Q3014" i="1"/>
  <c r="R3014" i="1"/>
  <c r="W3014" i="1"/>
  <c r="AA3014" i="1"/>
  <c r="AB3014" i="1"/>
  <c r="AE3014" i="1"/>
  <c r="AF3014" i="1"/>
  <c r="AM3014" i="1"/>
  <c r="AN3014" i="1"/>
  <c r="AO3014" i="1"/>
  <c r="AQ3014" i="1"/>
  <c r="AX3014" i="1"/>
  <c r="BD3014" i="1"/>
  <c r="B3015" i="1"/>
  <c r="C3015" i="1"/>
  <c r="E3015" i="1"/>
  <c r="F3015" i="1"/>
  <c r="G3015" i="1"/>
  <c r="H3015" i="1"/>
  <c r="I3015" i="1"/>
  <c r="J3015" i="1"/>
  <c r="K3015" i="1"/>
  <c r="M3015" i="1"/>
  <c r="O3015" i="1"/>
  <c r="Q3015" i="1"/>
  <c r="R3015" i="1"/>
  <c r="W3015" i="1"/>
  <c r="AA3015" i="1"/>
  <c r="AB3015" i="1"/>
  <c r="AE3015" i="1"/>
  <c r="AF3015" i="1"/>
  <c r="AM3015" i="1"/>
  <c r="AN3015" i="1"/>
  <c r="AO3015" i="1"/>
  <c r="AQ3015" i="1"/>
  <c r="AX3015" i="1"/>
  <c r="BD3015" i="1"/>
  <c r="B3016" i="1"/>
  <c r="C3016" i="1"/>
  <c r="E3016" i="1"/>
  <c r="F3016" i="1"/>
  <c r="G3016" i="1"/>
  <c r="H3016" i="1"/>
  <c r="I3016" i="1"/>
  <c r="J3016" i="1"/>
  <c r="K3016" i="1"/>
  <c r="M3016" i="1"/>
  <c r="O3016" i="1"/>
  <c r="Q3016" i="1"/>
  <c r="R3016" i="1"/>
  <c r="W3016" i="1"/>
  <c r="AA3016" i="1"/>
  <c r="AB3016" i="1"/>
  <c r="AE3016" i="1"/>
  <c r="AF3016" i="1"/>
  <c r="AM3016" i="1"/>
  <c r="AN3016" i="1"/>
  <c r="AO3016" i="1"/>
  <c r="AQ3016" i="1"/>
  <c r="AX3016" i="1"/>
  <c r="BD3016" i="1"/>
  <c r="B3017" i="1"/>
  <c r="C3017" i="1"/>
  <c r="E3017" i="1"/>
  <c r="F3017" i="1"/>
  <c r="G3017" i="1"/>
  <c r="H3017" i="1"/>
  <c r="I3017" i="1"/>
  <c r="J3017" i="1"/>
  <c r="K3017" i="1"/>
  <c r="M3017" i="1"/>
  <c r="O3017" i="1"/>
  <c r="Q3017" i="1"/>
  <c r="R3017" i="1"/>
  <c r="W3017" i="1"/>
  <c r="AA3017" i="1"/>
  <c r="AB3017" i="1"/>
  <c r="AE3017" i="1"/>
  <c r="AF3017" i="1"/>
  <c r="AM3017" i="1"/>
  <c r="AN3017" i="1"/>
  <c r="AO3017" i="1"/>
  <c r="AQ3017" i="1"/>
  <c r="AX3017" i="1"/>
  <c r="BD3017" i="1"/>
  <c r="B3018" i="1"/>
  <c r="C3018" i="1"/>
  <c r="E3018" i="1"/>
  <c r="F3018" i="1"/>
  <c r="G3018" i="1"/>
  <c r="H3018" i="1"/>
  <c r="I3018" i="1"/>
  <c r="J3018" i="1"/>
  <c r="K3018" i="1"/>
  <c r="M3018" i="1"/>
  <c r="O3018" i="1"/>
  <c r="Q3018" i="1"/>
  <c r="R3018" i="1"/>
  <c r="W3018" i="1"/>
  <c r="AA3018" i="1"/>
  <c r="AB3018" i="1"/>
  <c r="AE3018" i="1"/>
  <c r="AF3018" i="1"/>
  <c r="AM3018" i="1"/>
  <c r="AN3018" i="1"/>
  <c r="AO3018" i="1"/>
  <c r="AQ3018" i="1"/>
  <c r="AX3018" i="1"/>
  <c r="BD3018" i="1"/>
  <c r="B3019" i="1"/>
  <c r="C3019" i="1"/>
  <c r="D3019" i="1"/>
  <c r="E3019" i="1"/>
  <c r="F3019" i="1"/>
  <c r="G3019" i="1"/>
  <c r="H3019" i="1"/>
  <c r="I3019" i="1"/>
  <c r="J3019" i="1"/>
  <c r="K3019" i="1"/>
  <c r="M3019" i="1"/>
  <c r="O3019" i="1"/>
  <c r="Q3019" i="1"/>
  <c r="R3019" i="1"/>
  <c r="W3019" i="1"/>
  <c r="AA3019" i="1"/>
  <c r="AB3019" i="1"/>
  <c r="AE3019" i="1"/>
  <c r="AF3019" i="1"/>
  <c r="AM3019" i="1"/>
  <c r="AN3019" i="1"/>
  <c r="AO3019" i="1"/>
  <c r="AQ3019" i="1"/>
  <c r="AX3019" i="1"/>
  <c r="BD3019" i="1"/>
  <c r="B3020" i="1"/>
  <c r="C3020" i="1"/>
  <c r="D3020" i="1"/>
  <c r="E3020" i="1"/>
  <c r="F3020" i="1"/>
  <c r="G3020" i="1"/>
  <c r="H3020" i="1"/>
  <c r="I3020" i="1"/>
  <c r="J3020" i="1"/>
  <c r="K3020" i="1"/>
  <c r="M3020" i="1"/>
  <c r="O3020" i="1"/>
  <c r="Q3020" i="1"/>
  <c r="R3020" i="1"/>
  <c r="W3020" i="1"/>
  <c r="AA3020" i="1"/>
  <c r="AB3020" i="1"/>
  <c r="AE3020" i="1"/>
  <c r="AF3020" i="1"/>
  <c r="AM3020" i="1"/>
  <c r="AN3020" i="1"/>
  <c r="AO3020" i="1"/>
  <c r="AQ3020" i="1"/>
  <c r="AX3020" i="1"/>
  <c r="BD3020" i="1"/>
  <c r="B3021" i="1"/>
  <c r="C3021" i="1"/>
  <c r="D3021" i="1"/>
  <c r="E3021" i="1"/>
  <c r="F3021" i="1"/>
  <c r="G3021" i="1"/>
  <c r="H3021" i="1"/>
  <c r="I3021" i="1"/>
  <c r="J3021" i="1"/>
  <c r="K3021" i="1"/>
  <c r="M3021" i="1"/>
  <c r="O3021" i="1"/>
  <c r="Q3021" i="1"/>
  <c r="R3021" i="1"/>
  <c r="W3021" i="1"/>
  <c r="AA3021" i="1"/>
  <c r="AB3021" i="1"/>
  <c r="AE3021" i="1"/>
  <c r="AF3021" i="1"/>
  <c r="AM3021" i="1"/>
  <c r="AN3021" i="1"/>
  <c r="AO3021" i="1"/>
  <c r="AQ3021" i="1"/>
  <c r="AX3021" i="1"/>
  <c r="BD3021" i="1"/>
  <c r="B3022" i="1"/>
  <c r="C3022" i="1"/>
  <c r="D3022" i="1"/>
  <c r="E3022" i="1"/>
  <c r="F3022" i="1"/>
  <c r="G3022" i="1"/>
  <c r="H3022" i="1"/>
  <c r="I3022" i="1"/>
  <c r="J3022" i="1"/>
  <c r="K3022" i="1"/>
  <c r="M3022" i="1"/>
  <c r="O3022" i="1"/>
  <c r="Q3022" i="1"/>
  <c r="R3022" i="1"/>
  <c r="W3022" i="1"/>
  <c r="AA3022" i="1"/>
  <c r="AB3022" i="1"/>
  <c r="AE3022" i="1"/>
  <c r="AF3022" i="1"/>
  <c r="AM3022" i="1"/>
  <c r="AN3022" i="1"/>
  <c r="AO3022" i="1"/>
  <c r="AQ3022" i="1"/>
  <c r="AX3022" i="1"/>
  <c r="BD3022" i="1"/>
  <c r="B3023" i="1"/>
  <c r="C3023" i="1"/>
  <c r="D3023" i="1"/>
  <c r="E3023" i="1"/>
  <c r="F3023" i="1"/>
  <c r="G3023" i="1"/>
  <c r="H3023" i="1"/>
  <c r="I3023" i="1"/>
  <c r="J3023" i="1"/>
  <c r="K3023" i="1"/>
  <c r="M3023" i="1"/>
  <c r="O3023" i="1"/>
  <c r="Q3023" i="1"/>
  <c r="R3023" i="1"/>
  <c r="W3023" i="1"/>
  <c r="AA3023" i="1"/>
  <c r="AB3023" i="1"/>
  <c r="AE3023" i="1"/>
  <c r="AF3023" i="1"/>
  <c r="AM3023" i="1"/>
  <c r="AN3023" i="1"/>
  <c r="AO3023" i="1"/>
  <c r="AQ3023" i="1"/>
  <c r="AX3023" i="1"/>
  <c r="BD3023" i="1"/>
  <c r="B3024" i="1"/>
  <c r="C3024" i="1"/>
  <c r="E3024" i="1"/>
  <c r="F3024" i="1"/>
  <c r="G3024" i="1"/>
  <c r="H3024" i="1"/>
  <c r="I3024" i="1"/>
  <c r="J3024" i="1"/>
  <c r="K3024" i="1"/>
  <c r="M3024" i="1"/>
  <c r="O3024" i="1"/>
  <c r="Q3024" i="1"/>
  <c r="R3024" i="1"/>
  <c r="W3024" i="1"/>
  <c r="AA3024" i="1"/>
  <c r="AM3024" i="1"/>
  <c r="AN3024" i="1"/>
  <c r="AO3024" i="1"/>
  <c r="AQ3024" i="1"/>
  <c r="BB3024" i="1"/>
  <c r="BD3024" i="1"/>
  <c r="B3025" i="1"/>
  <c r="C3025" i="1"/>
  <c r="E3025" i="1"/>
  <c r="F3025" i="1"/>
  <c r="G3025" i="1"/>
  <c r="H3025" i="1"/>
  <c r="I3025" i="1"/>
  <c r="J3025" i="1"/>
  <c r="K3025" i="1"/>
  <c r="M3025" i="1"/>
  <c r="O3025" i="1"/>
  <c r="Q3025" i="1"/>
  <c r="R3025" i="1"/>
  <c r="W3025" i="1"/>
  <c r="AA3025" i="1"/>
  <c r="AB3025" i="1"/>
  <c r="AE3025" i="1"/>
  <c r="AF3025" i="1"/>
  <c r="AM3025" i="1"/>
  <c r="AN3025" i="1"/>
  <c r="AO3025" i="1"/>
  <c r="AQ3025" i="1"/>
  <c r="AX3025" i="1"/>
  <c r="BD3025" i="1"/>
  <c r="B3026" i="1"/>
  <c r="C3026" i="1"/>
  <c r="E3026" i="1"/>
  <c r="F3026" i="1"/>
  <c r="G3026" i="1"/>
  <c r="H3026" i="1"/>
  <c r="I3026" i="1"/>
  <c r="J3026" i="1"/>
  <c r="K3026" i="1"/>
  <c r="M3026" i="1"/>
  <c r="O3026" i="1"/>
  <c r="Q3026" i="1"/>
  <c r="R3026" i="1"/>
  <c r="W3026" i="1"/>
  <c r="AA3026" i="1"/>
  <c r="AM3026" i="1"/>
  <c r="AN3026" i="1"/>
  <c r="AO3026" i="1"/>
  <c r="AQ3026" i="1"/>
  <c r="BB3026" i="1"/>
  <c r="BD3026" i="1"/>
  <c r="B3027" i="1"/>
  <c r="C3027" i="1"/>
  <c r="D3027" i="1"/>
  <c r="E3027" i="1"/>
  <c r="F3027" i="1"/>
  <c r="G3027" i="1"/>
  <c r="H3027" i="1"/>
  <c r="I3027" i="1"/>
  <c r="J3027" i="1"/>
  <c r="K3027" i="1"/>
  <c r="M3027" i="1"/>
  <c r="O3027" i="1"/>
  <c r="Q3027" i="1"/>
  <c r="R3027" i="1"/>
  <c r="W3027" i="1"/>
  <c r="AA3027" i="1"/>
  <c r="AB3027" i="1"/>
  <c r="AE3027" i="1"/>
  <c r="AF3027" i="1"/>
  <c r="AM3027" i="1"/>
  <c r="AN3027" i="1"/>
  <c r="AO3027" i="1"/>
  <c r="AQ3027" i="1"/>
  <c r="AX3027" i="1"/>
  <c r="BD3027" i="1"/>
  <c r="B3028" i="1"/>
  <c r="C3028" i="1"/>
  <c r="D3028" i="1"/>
  <c r="E3028" i="1"/>
  <c r="F3028" i="1"/>
  <c r="G3028" i="1"/>
  <c r="H3028" i="1"/>
  <c r="I3028" i="1"/>
  <c r="J3028" i="1"/>
  <c r="K3028" i="1"/>
  <c r="M3028" i="1"/>
  <c r="O3028" i="1"/>
  <c r="Q3028" i="1"/>
  <c r="R3028" i="1"/>
  <c r="W3028" i="1"/>
  <c r="AA3028" i="1"/>
  <c r="AB3028" i="1"/>
  <c r="AE3028" i="1"/>
  <c r="AF3028" i="1"/>
  <c r="AM3028" i="1"/>
  <c r="AN3028" i="1"/>
  <c r="AO3028" i="1"/>
  <c r="AQ3028" i="1"/>
  <c r="AX3028" i="1"/>
  <c r="BD3028" i="1"/>
  <c r="B3029" i="1"/>
  <c r="C3029" i="1"/>
  <c r="D3029" i="1"/>
  <c r="E3029" i="1"/>
  <c r="F3029" i="1"/>
  <c r="G3029" i="1"/>
  <c r="H3029" i="1"/>
  <c r="I3029" i="1"/>
  <c r="J3029" i="1"/>
  <c r="K3029" i="1"/>
  <c r="M3029" i="1"/>
  <c r="O3029" i="1"/>
  <c r="Q3029" i="1"/>
  <c r="R3029" i="1"/>
  <c r="W3029" i="1"/>
  <c r="AA3029" i="1"/>
  <c r="AB3029" i="1"/>
  <c r="AE3029" i="1"/>
  <c r="AF3029" i="1"/>
  <c r="AM3029" i="1"/>
  <c r="AN3029" i="1"/>
  <c r="AO3029" i="1"/>
  <c r="AQ3029" i="1"/>
  <c r="AX3029" i="1"/>
  <c r="BD3029" i="1"/>
  <c r="B3030" i="1"/>
  <c r="C3030" i="1"/>
  <c r="E3030" i="1"/>
  <c r="F3030" i="1"/>
  <c r="G3030" i="1"/>
  <c r="H3030" i="1"/>
  <c r="I3030" i="1"/>
  <c r="J3030" i="1"/>
  <c r="K3030" i="1"/>
  <c r="M3030" i="1"/>
  <c r="O3030" i="1"/>
  <c r="Q3030" i="1"/>
  <c r="R3030" i="1"/>
  <c r="W3030" i="1"/>
  <c r="AA3030" i="1"/>
  <c r="AM3030" i="1"/>
  <c r="AN3030" i="1"/>
  <c r="AO3030" i="1"/>
  <c r="AQ3030" i="1"/>
  <c r="BB3030" i="1"/>
  <c r="BD3030" i="1"/>
  <c r="B3031" i="1"/>
  <c r="C3031" i="1"/>
  <c r="E3031" i="1"/>
  <c r="F3031" i="1"/>
  <c r="G3031" i="1"/>
  <c r="H3031" i="1"/>
  <c r="I3031" i="1"/>
  <c r="J3031" i="1"/>
  <c r="K3031" i="1"/>
  <c r="M3031" i="1"/>
  <c r="O3031" i="1"/>
  <c r="Q3031" i="1"/>
  <c r="R3031" i="1"/>
  <c r="W3031" i="1"/>
  <c r="AA3031" i="1"/>
  <c r="AM3031" i="1"/>
  <c r="AN3031" i="1"/>
  <c r="AO3031" i="1"/>
  <c r="AQ3031" i="1"/>
  <c r="BB3031" i="1"/>
  <c r="BD3031" i="1"/>
  <c r="B3032" i="1"/>
  <c r="C3032" i="1"/>
  <c r="D3032" i="1"/>
  <c r="E3032" i="1"/>
  <c r="F3032" i="1"/>
  <c r="G3032" i="1"/>
  <c r="H3032" i="1"/>
  <c r="I3032" i="1"/>
  <c r="J3032" i="1"/>
  <c r="K3032" i="1"/>
  <c r="M3032" i="1"/>
  <c r="O3032" i="1"/>
  <c r="Q3032" i="1"/>
  <c r="R3032" i="1"/>
  <c r="W3032" i="1"/>
  <c r="AA3032" i="1"/>
  <c r="AB3032" i="1"/>
  <c r="AE3032" i="1"/>
  <c r="AF3032" i="1"/>
  <c r="AM3032" i="1"/>
  <c r="AN3032" i="1"/>
  <c r="AO3032" i="1"/>
  <c r="AQ3032" i="1"/>
  <c r="AX3032" i="1"/>
  <c r="BD3032" i="1"/>
  <c r="B3033" i="1"/>
  <c r="C3033" i="1"/>
  <c r="D3033" i="1"/>
  <c r="E3033" i="1"/>
  <c r="F3033" i="1"/>
  <c r="G3033" i="1"/>
  <c r="H3033" i="1"/>
  <c r="I3033" i="1"/>
  <c r="J3033" i="1"/>
  <c r="K3033" i="1"/>
  <c r="M3033" i="1"/>
  <c r="O3033" i="1"/>
  <c r="Q3033" i="1"/>
  <c r="R3033" i="1"/>
  <c r="W3033" i="1"/>
  <c r="AA3033" i="1"/>
  <c r="AB3033" i="1"/>
  <c r="AE3033" i="1"/>
  <c r="AF3033" i="1"/>
  <c r="AM3033" i="1"/>
  <c r="AN3033" i="1"/>
  <c r="AO3033" i="1"/>
  <c r="AQ3033" i="1"/>
  <c r="AX3033" i="1"/>
  <c r="BD3033" i="1"/>
  <c r="B3034" i="1"/>
  <c r="C3034" i="1"/>
  <c r="D3034" i="1"/>
  <c r="E3034" i="1"/>
  <c r="F3034" i="1"/>
  <c r="G3034" i="1"/>
  <c r="H3034" i="1"/>
  <c r="I3034" i="1"/>
  <c r="J3034" i="1"/>
  <c r="K3034" i="1"/>
  <c r="M3034" i="1"/>
  <c r="O3034" i="1"/>
  <c r="Q3034" i="1"/>
  <c r="R3034" i="1"/>
  <c r="W3034" i="1"/>
  <c r="AA3034" i="1"/>
  <c r="AB3034" i="1"/>
  <c r="AE3034" i="1"/>
  <c r="AF3034" i="1"/>
  <c r="AM3034" i="1"/>
  <c r="AN3034" i="1"/>
  <c r="AO3034" i="1"/>
  <c r="AQ3034" i="1"/>
  <c r="AX3034" i="1"/>
  <c r="BD3034" i="1"/>
  <c r="B3035" i="1"/>
  <c r="C3035" i="1"/>
  <c r="D3035" i="1"/>
  <c r="E3035" i="1"/>
  <c r="F3035" i="1"/>
  <c r="G3035" i="1"/>
  <c r="H3035" i="1"/>
  <c r="I3035" i="1"/>
  <c r="J3035" i="1"/>
  <c r="K3035" i="1"/>
  <c r="M3035" i="1"/>
  <c r="O3035" i="1"/>
  <c r="Q3035" i="1"/>
  <c r="R3035" i="1"/>
  <c r="W3035" i="1"/>
  <c r="AA3035" i="1"/>
  <c r="AB3035" i="1"/>
  <c r="AE3035" i="1"/>
  <c r="AF3035" i="1"/>
  <c r="AM3035" i="1"/>
  <c r="AN3035" i="1"/>
  <c r="AO3035" i="1"/>
  <c r="AQ3035" i="1"/>
  <c r="AX3035" i="1"/>
  <c r="BD3035" i="1"/>
  <c r="B3036" i="1"/>
  <c r="C3036" i="1"/>
  <c r="D3036" i="1"/>
  <c r="E3036" i="1"/>
  <c r="F3036" i="1"/>
  <c r="G3036" i="1"/>
  <c r="H3036" i="1"/>
  <c r="I3036" i="1"/>
  <c r="J3036" i="1"/>
  <c r="K3036" i="1"/>
  <c r="M3036" i="1"/>
  <c r="O3036" i="1"/>
  <c r="Q3036" i="1"/>
  <c r="R3036" i="1"/>
  <c r="W3036" i="1"/>
  <c r="AA3036" i="1"/>
  <c r="AB3036" i="1"/>
  <c r="AE3036" i="1"/>
  <c r="AF3036" i="1"/>
  <c r="AM3036" i="1"/>
  <c r="AN3036" i="1"/>
  <c r="AO3036" i="1"/>
  <c r="AQ3036" i="1"/>
  <c r="AX3036" i="1"/>
  <c r="BD3036" i="1"/>
  <c r="B3037" i="1"/>
  <c r="C3037" i="1"/>
  <c r="D3037" i="1"/>
  <c r="E3037" i="1"/>
  <c r="F3037" i="1"/>
  <c r="G3037" i="1"/>
  <c r="H3037" i="1"/>
  <c r="I3037" i="1"/>
  <c r="J3037" i="1"/>
  <c r="K3037" i="1"/>
  <c r="M3037" i="1"/>
  <c r="O3037" i="1"/>
  <c r="Q3037" i="1"/>
  <c r="R3037" i="1"/>
  <c r="W3037" i="1"/>
  <c r="AA3037" i="1"/>
  <c r="AB3037" i="1"/>
  <c r="AE3037" i="1"/>
  <c r="AF3037" i="1"/>
  <c r="AM3037" i="1"/>
  <c r="AN3037" i="1"/>
  <c r="AO3037" i="1"/>
  <c r="AQ3037" i="1"/>
  <c r="AX3037" i="1"/>
  <c r="BD3037" i="1"/>
  <c r="B3038" i="1"/>
  <c r="C3038" i="1"/>
  <c r="D3038" i="1"/>
  <c r="E3038" i="1"/>
  <c r="F3038" i="1"/>
  <c r="G3038" i="1"/>
  <c r="H3038" i="1"/>
  <c r="I3038" i="1"/>
  <c r="J3038" i="1"/>
  <c r="K3038" i="1"/>
  <c r="M3038" i="1"/>
  <c r="O3038" i="1"/>
  <c r="Q3038" i="1"/>
  <c r="R3038" i="1"/>
  <c r="W3038" i="1"/>
  <c r="AA3038" i="1"/>
  <c r="AB3038" i="1"/>
  <c r="AE3038" i="1"/>
  <c r="AF3038" i="1"/>
  <c r="AM3038" i="1"/>
  <c r="AN3038" i="1"/>
  <c r="AO3038" i="1"/>
  <c r="AQ3038" i="1"/>
  <c r="AX3038" i="1"/>
  <c r="BD3038" i="1"/>
  <c r="B3039" i="1"/>
  <c r="C3039" i="1"/>
  <c r="D3039" i="1"/>
  <c r="E3039" i="1"/>
  <c r="F3039" i="1"/>
  <c r="G3039" i="1"/>
  <c r="H3039" i="1"/>
  <c r="I3039" i="1"/>
  <c r="J3039" i="1"/>
  <c r="K3039" i="1"/>
  <c r="M3039" i="1"/>
  <c r="O3039" i="1"/>
  <c r="Q3039" i="1"/>
  <c r="R3039" i="1"/>
  <c r="W3039" i="1"/>
  <c r="AA3039" i="1"/>
  <c r="AB3039" i="1"/>
  <c r="AE3039" i="1"/>
  <c r="AF3039" i="1"/>
  <c r="AM3039" i="1"/>
  <c r="AN3039" i="1"/>
  <c r="AO3039" i="1"/>
  <c r="AQ3039" i="1"/>
  <c r="AX3039" i="1"/>
  <c r="BD3039" i="1"/>
  <c r="B3040" i="1"/>
  <c r="C3040" i="1"/>
  <c r="D3040" i="1"/>
  <c r="E3040" i="1"/>
  <c r="F3040" i="1"/>
  <c r="G3040" i="1"/>
  <c r="H3040" i="1"/>
  <c r="I3040" i="1"/>
  <c r="J3040" i="1"/>
  <c r="K3040" i="1"/>
  <c r="M3040" i="1"/>
  <c r="O3040" i="1"/>
  <c r="Q3040" i="1"/>
  <c r="R3040" i="1"/>
  <c r="W3040" i="1"/>
  <c r="AA3040" i="1"/>
  <c r="AB3040" i="1"/>
  <c r="AM3040" i="1"/>
  <c r="AN3040" i="1"/>
  <c r="AO3040" i="1"/>
  <c r="AQ3040" i="1"/>
  <c r="AX3040" i="1"/>
  <c r="BD3040" i="1"/>
  <c r="B3041" i="1"/>
  <c r="C3041" i="1"/>
  <c r="D3041" i="1"/>
  <c r="E3041" i="1"/>
  <c r="F3041" i="1"/>
  <c r="G3041" i="1"/>
  <c r="H3041" i="1"/>
  <c r="I3041" i="1"/>
  <c r="J3041" i="1"/>
  <c r="K3041" i="1"/>
  <c r="M3041" i="1"/>
  <c r="O3041" i="1"/>
  <c r="Q3041" i="1"/>
  <c r="R3041" i="1"/>
  <c r="W3041" i="1"/>
  <c r="AA3041" i="1"/>
  <c r="AB3041" i="1"/>
  <c r="AM3041" i="1"/>
  <c r="AN3041" i="1"/>
  <c r="AO3041" i="1"/>
  <c r="AQ3041" i="1"/>
  <c r="AX3041" i="1"/>
  <c r="BD3041" i="1"/>
  <c r="B3042" i="1"/>
  <c r="C3042" i="1"/>
  <c r="E3042" i="1"/>
  <c r="F3042" i="1"/>
  <c r="G3042" i="1"/>
  <c r="H3042" i="1"/>
  <c r="I3042" i="1"/>
  <c r="J3042" i="1"/>
  <c r="K3042" i="1"/>
  <c r="M3042" i="1"/>
  <c r="O3042" i="1"/>
  <c r="Q3042" i="1"/>
  <c r="R3042" i="1"/>
  <c r="W3042" i="1"/>
  <c r="AA3042" i="1"/>
  <c r="AB3042" i="1"/>
  <c r="AE3042" i="1"/>
  <c r="AF3042" i="1"/>
  <c r="AM3042" i="1"/>
  <c r="AN3042" i="1"/>
  <c r="AO3042" i="1"/>
  <c r="AQ3042" i="1"/>
  <c r="AX3042" i="1"/>
  <c r="BD3042" i="1"/>
  <c r="B3043" i="1"/>
  <c r="C3043" i="1"/>
  <c r="D3043" i="1"/>
  <c r="E3043" i="1"/>
  <c r="F3043" i="1"/>
  <c r="G3043" i="1"/>
  <c r="H3043" i="1"/>
  <c r="I3043" i="1"/>
  <c r="J3043" i="1"/>
  <c r="K3043" i="1"/>
  <c r="M3043" i="1"/>
  <c r="O3043" i="1"/>
  <c r="Q3043" i="1"/>
  <c r="R3043" i="1"/>
  <c r="W3043" i="1"/>
  <c r="AA3043" i="1"/>
  <c r="AB3043" i="1"/>
  <c r="AE3043" i="1"/>
  <c r="AF3043" i="1"/>
  <c r="AM3043" i="1"/>
  <c r="AN3043" i="1"/>
  <c r="AO3043" i="1"/>
  <c r="AQ3043" i="1"/>
  <c r="AX3043" i="1"/>
  <c r="BD3043" i="1"/>
  <c r="B3044" i="1"/>
  <c r="C3044" i="1"/>
  <c r="E3044" i="1"/>
  <c r="F3044" i="1"/>
  <c r="G3044" i="1"/>
  <c r="H3044" i="1"/>
  <c r="I3044" i="1"/>
  <c r="J3044" i="1"/>
  <c r="K3044" i="1"/>
  <c r="M3044" i="1"/>
  <c r="O3044" i="1"/>
  <c r="Q3044" i="1"/>
  <c r="R3044" i="1"/>
  <c r="W3044" i="1"/>
  <c r="AA3044" i="1"/>
  <c r="AB3044" i="1"/>
  <c r="AE3044" i="1"/>
  <c r="AF3044" i="1"/>
  <c r="AM3044" i="1"/>
  <c r="AN3044" i="1"/>
  <c r="AO3044" i="1"/>
  <c r="AQ3044" i="1"/>
  <c r="AX3044" i="1"/>
  <c r="BD3044" i="1"/>
  <c r="B3045" i="1"/>
  <c r="C3045" i="1"/>
  <c r="E3045" i="1"/>
  <c r="F3045" i="1"/>
  <c r="G3045" i="1"/>
  <c r="H3045" i="1"/>
  <c r="I3045" i="1"/>
  <c r="J3045" i="1"/>
  <c r="K3045" i="1"/>
  <c r="M3045" i="1"/>
  <c r="O3045" i="1"/>
  <c r="Q3045" i="1"/>
  <c r="R3045" i="1"/>
  <c r="W3045" i="1"/>
  <c r="AA3045" i="1"/>
  <c r="AM3045" i="1"/>
  <c r="AN3045" i="1"/>
  <c r="AO3045" i="1"/>
  <c r="AQ3045" i="1"/>
  <c r="BB3045" i="1"/>
  <c r="BD3045" i="1"/>
  <c r="B3046" i="1"/>
  <c r="C3046" i="1"/>
  <c r="E3046" i="1"/>
  <c r="F3046" i="1"/>
  <c r="G3046" i="1"/>
  <c r="H3046" i="1"/>
  <c r="I3046" i="1"/>
  <c r="J3046" i="1"/>
  <c r="K3046" i="1"/>
  <c r="M3046" i="1"/>
  <c r="O3046" i="1"/>
  <c r="Q3046" i="1"/>
  <c r="R3046" i="1"/>
  <c r="W3046" i="1"/>
  <c r="AA3046" i="1"/>
  <c r="AB3046" i="1"/>
  <c r="AE3046" i="1"/>
  <c r="AF3046" i="1"/>
  <c r="AM3046" i="1"/>
  <c r="AN3046" i="1"/>
  <c r="AO3046" i="1"/>
  <c r="AQ3046" i="1"/>
  <c r="AX3046" i="1"/>
  <c r="BD3046" i="1"/>
  <c r="B3047" i="1"/>
  <c r="C3047" i="1"/>
  <c r="D3047" i="1"/>
  <c r="E3047" i="1"/>
  <c r="F3047" i="1"/>
  <c r="G3047" i="1"/>
  <c r="H3047" i="1"/>
  <c r="I3047" i="1"/>
  <c r="J3047" i="1"/>
  <c r="K3047" i="1"/>
  <c r="M3047" i="1"/>
  <c r="O3047" i="1"/>
  <c r="Q3047" i="1"/>
  <c r="R3047" i="1"/>
  <c r="W3047" i="1"/>
  <c r="AA3047" i="1"/>
  <c r="AB3047" i="1"/>
  <c r="AE3047" i="1"/>
  <c r="AF3047" i="1"/>
  <c r="AM3047" i="1"/>
  <c r="AN3047" i="1"/>
  <c r="AO3047" i="1"/>
  <c r="AQ3047" i="1"/>
  <c r="AX3047" i="1"/>
  <c r="BD3047" i="1"/>
  <c r="B3048" i="1"/>
  <c r="C3048" i="1"/>
  <c r="D3048" i="1"/>
  <c r="E3048" i="1"/>
  <c r="F3048" i="1"/>
  <c r="G3048" i="1"/>
  <c r="H3048" i="1"/>
  <c r="I3048" i="1"/>
  <c r="J3048" i="1"/>
  <c r="K3048" i="1"/>
  <c r="M3048" i="1"/>
  <c r="O3048" i="1"/>
  <c r="Q3048" i="1"/>
  <c r="R3048" i="1"/>
  <c r="W3048" i="1"/>
  <c r="AA3048" i="1"/>
  <c r="AB3048" i="1"/>
  <c r="AE3048" i="1"/>
  <c r="AF3048" i="1"/>
  <c r="AM3048" i="1"/>
  <c r="AN3048" i="1"/>
  <c r="AO3048" i="1"/>
  <c r="AQ3048" i="1"/>
  <c r="AX3048" i="1"/>
  <c r="BD3048" i="1"/>
  <c r="B3049" i="1"/>
  <c r="C3049" i="1"/>
  <c r="D3049" i="1"/>
  <c r="E3049" i="1"/>
  <c r="F3049" i="1"/>
  <c r="G3049" i="1"/>
  <c r="H3049" i="1"/>
  <c r="I3049" i="1"/>
  <c r="J3049" i="1"/>
  <c r="K3049" i="1"/>
  <c r="M3049" i="1"/>
  <c r="O3049" i="1"/>
  <c r="Q3049" i="1"/>
  <c r="R3049" i="1"/>
  <c r="W3049" i="1"/>
  <c r="AA3049" i="1"/>
  <c r="AB3049" i="1"/>
  <c r="AE3049" i="1"/>
  <c r="AF3049" i="1"/>
  <c r="AM3049" i="1"/>
  <c r="AN3049" i="1"/>
  <c r="AO3049" i="1"/>
  <c r="AQ3049" i="1"/>
  <c r="AX3049" i="1"/>
  <c r="BD3049" i="1"/>
  <c r="B3050" i="1"/>
  <c r="C3050" i="1"/>
  <c r="E3050" i="1"/>
  <c r="F3050" i="1"/>
  <c r="G3050" i="1"/>
  <c r="H3050" i="1"/>
  <c r="I3050" i="1"/>
  <c r="J3050" i="1"/>
  <c r="K3050" i="1"/>
  <c r="M3050" i="1"/>
  <c r="O3050" i="1"/>
  <c r="Q3050" i="1"/>
  <c r="R3050" i="1"/>
  <c r="W3050" i="1"/>
  <c r="AA3050" i="1"/>
  <c r="AB3050" i="1"/>
  <c r="AE3050" i="1"/>
  <c r="AF3050" i="1"/>
  <c r="AM3050" i="1"/>
  <c r="AN3050" i="1"/>
  <c r="AO3050" i="1"/>
  <c r="AQ3050" i="1"/>
  <c r="AX3050" i="1"/>
  <c r="BD3050" i="1"/>
  <c r="B3051" i="1"/>
  <c r="C3051" i="1"/>
  <c r="D3051" i="1"/>
  <c r="E3051" i="1"/>
  <c r="F3051" i="1"/>
  <c r="G3051" i="1"/>
  <c r="H3051" i="1"/>
  <c r="I3051" i="1"/>
  <c r="J3051" i="1"/>
  <c r="K3051" i="1"/>
  <c r="M3051" i="1"/>
  <c r="O3051" i="1"/>
  <c r="Q3051" i="1"/>
  <c r="R3051" i="1"/>
  <c r="W3051" i="1"/>
  <c r="AA3051" i="1"/>
  <c r="AB3051" i="1"/>
  <c r="AE3051" i="1"/>
  <c r="AF3051" i="1"/>
  <c r="AM3051" i="1"/>
  <c r="AN3051" i="1"/>
  <c r="AO3051" i="1"/>
  <c r="AQ3051" i="1"/>
  <c r="AX3051" i="1"/>
  <c r="BD3051" i="1"/>
  <c r="B3052" i="1"/>
  <c r="C3052" i="1"/>
  <c r="E3052" i="1"/>
  <c r="F3052" i="1"/>
  <c r="G3052" i="1"/>
  <c r="H3052" i="1"/>
  <c r="I3052" i="1"/>
  <c r="J3052" i="1"/>
  <c r="K3052" i="1"/>
  <c r="M3052" i="1"/>
  <c r="O3052" i="1"/>
  <c r="Q3052" i="1"/>
  <c r="R3052" i="1"/>
  <c r="W3052" i="1"/>
  <c r="AA3052" i="1"/>
  <c r="AB3052" i="1"/>
  <c r="AE3052" i="1"/>
  <c r="AF3052" i="1"/>
  <c r="AM3052" i="1"/>
  <c r="AN3052" i="1"/>
  <c r="AO3052" i="1"/>
  <c r="AQ3052" i="1"/>
  <c r="AX3052" i="1"/>
  <c r="BD3052" i="1"/>
  <c r="B3053" i="1"/>
  <c r="C3053" i="1"/>
  <c r="D3053" i="1"/>
  <c r="E3053" i="1"/>
  <c r="F3053" i="1"/>
  <c r="G3053" i="1"/>
  <c r="H3053" i="1"/>
  <c r="I3053" i="1"/>
  <c r="J3053" i="1"/>
  <c r="K3053" i="1"/>
  <c r="M3053" i="1"/>
  <c r="O3053" i="1"/>
  <c r="Q3053" i="1"/>
  <c r="R3053" i="1"/>
  <c r="W3053" i="1"/>
  <c r="AA3053" i="1"/>
  <c r="AB3053" i="1"/>
  <c r="AE3053" i="1"/>
  <c r="AF3053" i="1"/>
  <c r="AM3053" i="1"/>
  <c r="AN3053" i="1"/>
  <c r="AO3053" i="1"/>
  <c r="AQ3053" i="1"/>
  <c r="AX3053" i="1"/>
  <c r="BD3053" i="1"/>
  <c r="B3054" i="1"/>
  <c r="C3054" i="1"/>
  <c r="D3054" i="1"/>
  <c r="E3054" i="1"/>
  <c r="F3054" i="1"/>
  <c r="G3054" i="1"/>
  <c r="H3054" i="1"/>
  <c r="I3054" i="1"/>
  <c r="J3054" i="1"/>
  <c r="K3054" i="1"/>
  <c r="M3054" i="1"/>
  <c r="O3054" i="1"/>
  <c r="Q3054" i="1"/>
  <c r="R3054" i="1"/>
  <c r="W3054" i="1"/>
  <c r="AA3054" i="1"/>
  <c r="AB3054" i="1"/>
  <c r="AE3054" i="1"/>
  <c r="AF3054" i="1"/>
  <c r="AM3054" i="1"/>
  <c r="AN3054" i="1"/>
  <c r="AO3054" i="1"/>
  <c r="AQ3054" i="1"/>
  <c r="AX3054" i="1"/>
  <c r="BD3054" i="1"/>
  <c r="B3055" i="1"/>
  <c r="C3055" i="1"/>
  <c r="E3055" i="1"/>
  <c r="F3055" i="1"/>
  <c r="G3055" i="1"/>
  <c r="H3055" i="1"/>
  <c r="I3055" i="1"/>
  <c r="J3055" i="1"/>
  <c r="K3055" i="1"/>
  <c r="M3055" i="1"/>
  <c r="O3055" i="1"/>
  <c r="Q3055" i="1"/>
  <c r="R3055" i="1"/>
  <c r="W3055" i="1"/>
  <c r="AA3055" i="1"/>
  <c r="AM3055" i="1"/>
  <c r="AN3055" i="1"/>
  <c r="AO3055" i="1"/>
  <c r="AQ3055" i="1"/>
  <c r="BB3055" i="1"/>
  <c r="BD3055" i="1"/>
  <c r="B3056" i="1"/>
  <c r="C3056" i="1"/>
  <c r="E3056" i="1"/>
  <c r="F3056" i="1"/>
  <c r="G3056" i="1"/>
  <c r="H3056" i="1"/>
  <c r="I3056" i="1"/>
  <c r="J3056" i="1"/>
  <c r="K3056" i="1"/>
  <c r="M3056" i="1"/>
  <c r="O3056" i="1"/>
  <c r="Q3056" i="1"/>
  <c r="R3056" i="1"/>
  <c r="W3056" i="1"/>
  <c r="AA3056" i="1"/>
  <c r="AM3056" i="1"/>
  <c r="AN3056" i="1"/>
  <c r="AO3056" i="1"/>
  <c r="AQ3056" i="1"/>
  <c r="BB3056" i="1"/>
  <c r="BD3056" i="1"/>
  <c r="B3057" i="1"/>
  <c r="C3057" i="1"/>
  <c r="E3057" i="1"/>
  <c r="F3057" i="1"/>
  <c r="G3057" i="1"/>
  <c r="H3057" i="1"/>
  <c r="I3057" i="1"/>
  <c r="J3057" i="1"/>
  <c r="K3057" i="1"/>
  <c r="M3057" i="1"/>
  <c r="O3057" i="1"/>
  <c r="Q3057" i="1"/>
  <c r="R3057" i="1"/>
  <c r="W3057" i="1"/>
  <c r="AA3057" i="1"/>
  <c r="AM3057" i="1"/>
  <c r="AN3057" i="1"/>
  <c r="AO3057" i="1"/>
  <c r="AQ3057" i="1"/>
  <c r="BB3057" i="1"/>
  <c r="BD3057" i="1"/>
  <c r="B3058" i="1"/>
  <c r="C3058" i="1"/>
  <c r="D3058" i="1"/>
  <c r="E3058" i="1"/>
  <c r="F3058" i="1"/>
  <c r="G3058" i="1"/>
  <c r="H3058" i="1"/>
  <c r="I3058" i="1"/>
  <c r="J3058" i="1"/>
  <c r="K3058" i="1"/>
  <c r="M3058" i="1"/>
  <c r="O3058" i="1"/>
  <c r="Q3058" i="1"/>
  <c r="R3058" i="1"/>
  <c r="W3058" i="1"/>
  <c r="AA3058" i="1"/>
  <c r="AB3058" i="1"/>
  <c r="AE3058" i="1"/>
  <c r="AF3058" i="1"/>
  <c r="AM3058" i="1"/>
  <c r="AN3058" i="1"/>
  <c r="AO3058" i="1"/>
  <c r="AQ3058" i="1"/>
  <c r="AX3058" i="1"/>
  <c r="BD3058" i="1"/>
  <c r="B3059" i="1"/>
  <c r="C3059" i="1"/>
  <c r="D3059" i="1"/>
  <c r="E3059" i="1"/>
  <c r="F3059" i="1"/>
  <c r="G3059" i="1"/>
  <c r="H3059" i="1"/>
  <c r="I3059" i="1"/>
  <c r="J3059" i="1"/>
  <c r="K3059" i="1"/>
  <c r="M3059" i="1"/>
  <c r="O3059" i="1"/>
  <c r="Q3059" i="1"/>
  <c r="R3059" i="1"/>
  <c r="W3059" i="1"/>
  <c r="AA3059" i="1"/>
  <c r="AB3059" i="1"/>
  <c r="AE3059" i="1"/>
  <c r="AF3059" i="1"/>
  <c r="AM3059" i="1"/>
  <c r="AN3059" i="1"/>
  <c r="AO3059" i="1"/>
  <c r="AQ3059" i="1"/>
  <c r="AX3059" i="1"/>
  <c r="BD3059" i="1"/>
  <c r="B3060" i="1"/>
  <c r="C3060" i="1"/>
  <c r="D3060" i="1"/>
  <c r="E3060" i="1"/>
  <c r="F3060" i="1"/>
  <c r="G3060" i="1"/>
  <c r="H3060" i="1"/>
  <c r="I3060" i="1"/>
  <c r="J3060" i="1"/>
  <c r="K3060" i="1"/>
  <c r="M3060" i="1"/>
  <c r="O3060" i="1"/>
  <c r="Q3060" i="1"/>
  <c r="R3060" i="1"/>
  <c r="W3060" i="1"/>
  <c r="AA3060" i="1"/>
  <c r="AB3060" i="1"/>
  <c r="AE3060" i="1"/>
  <c r="AF3060" i="1"/>
  <c r="AM3060" i="1"/>
  <c r="AN3060" i="1"/>
  <c r="AO3060" i="1"/>
  <c r="AQ3060" i="1"/>
  <c r="AX3060" i="1"/>
  <c r="BD3060" i="1"/>
  <c r="B3061" i="1"/>
  <c r="C3061" i="1"/>
  <c r="D3061" i="1"/>
  <c r="E3061" i="1"/>
  <c r="F3061" i="1"/>
  <c r="G3061" i="1"/>
  <c r="H3061" i="1"/>
  <c r="I3061" i="1"/>
  <c r="J3061" i="1"/>
  <c r="K3061" i="1"/>
  <c r="M3061" i="1"/>
  <c r="O3061" i="1"/>
  <c r="Q3061" i="1"/>
  <c r="R3061" i="1"/>
  <c r="W3061" i="1"/>
  <c r="AA3061" i="1"/>
  <c r="AB3061" i="1"/>
  <c r="AE3061" i="1"/>
  <c r="AF3061" i="1"/>
  <c r="AM3061" i="1"/>
  <c r="AN3061" i="1"/>
  <c r="AO3061" i="1"/>
  <c r="AQ3061" i="1"/>
  <c r="AX3061" i="1"/>
  <c r="BD3061" i="1"/>
  <c r="B3062" i="1"/>
  <c r="C3062" i="1"/>
  <c r="D3062" i="1"/>
  <c r="E3062" i="1"/>
  <c r="F3062" i="1"/>
  <c r="G3062" i="1"/>
  <c r="H3062" i="1"/>
  <c r="I3062" i="1"/>
  <c r="J3062" i="1"/>
  <c r="K3062" i="1"/>
  <c r="M3062" i="1"/>
  <c r="O3062" i="1"/>
  <c r="Q3062" i="1"/>
  <c r="R3062" i="1"/>
  <c r="W3062" i="1"/>
  <c r="AA3062" i="1"/>
  <c r="AB3062" i="1"/>
  <c r="AE3062" i="1"/>
  <c r="AF3062" i="1"/>
  <c r="AM3062" i="1"/>
  <c r="AN3062" i="1"/>
  <c r="AO3062" i="1"/>
  <c r="AQ3062" i="1"/>
  <c r="AX3062" i="1"/>
  <c r="BD3062" i="1"/>
  <c r="B3063" i="1"/>
  <c r="E3063" i="1"/>
  <c r="F3063" i="1"/>
  <c r="G3063" i="1"/>
  <c r="H3063" i="1"/>
  <c r="I3063" i="1"/>
  <c r="J3063" i="1"/>
  <c r="K3063" i="1"/>
  <c r="M3063" i="1"/>
  <c r="O3063" i="1"/>
  <c r="Q3063" i="1"/>
  <c r="R3063" i="1"/>
  <c r="W3063" i="1"/>
  <c r="AA3063" i="1"/>
  <c r="AB3063" i="1"/>
  <c r="AM3063" i="1"/>
  <c r="AN3063" i="1"/>
  <c r="AO3063" i="1"/>
  <c r="AQ3063" i="1"/>
  <c r="AX3063" i="1"/>
  <c r="BD3063" i="1"/>
  <c r="B3064" i="1"/>
  <c r="C3064" i="1"/>
  <c r="E3064" i="1"/>
  <c r="F3064" i="1"/>
  <c r="G3064" i="1"/>
  <c r="H3064" i="1"/>
  <c r="I3064" i="1"/>
  <c r="J3064" i="1"/>
  <c r="K3064" i="1"/>
  <c r="M3064" i="1"/>
  <c r="O3064" i="1"/>
  <c r="Q3064" i="1"/>
  <c r="R3064" i="1"/>
  <c r="W3064" i="1"/>
  <c r="AA3064" i="1"/>
  <c r="AM3064" i="1"/>
  <c r="AN3064" i="1"/>
  <c r="AO3064" i="1"/>
  <c r="AQ3064" i="1"/>
  <c r="BB3064" i="1"/>
  <c r="BD3064" i="1"/>
  <c r="B3065" i="1"/>
  <c r="C3065" i="1"/>
  <c r="E3065" i="1"/>
  <c r="F3065" i="1"/>
  <c r="G3065" i="1"/>
  <c r="H3065" i="1"/>
  <c r="I3065" i="1"/>
  <c r="J3065" i="1"/>
  <c r="K3065" i="1"/>
  <c r="M3065" i="1"/>
  <c r="O3065" i="1"/>
  <c r="Q3065" i="1"/>
  <c r="R3065" i="1"/>
  <c r="W3065" i="1"/>
  <c r="AA3065" i="1"/>
  <c r="AM3065" i="1"/>
  <c r="AN3065" i="1"/>
  <c r="AO3065" i="1"/>
  <c r="AQ3065" i="1"/>
  <c r="BB3065" i="1"/>
  <c r="BD3065" i="1"/>
  <c r="B3066" i="1"/>
  <c r="C3066" i="1"/>
  <c r="E3066" i="1"/>
  <c r="F3066" i="1"/>
  <c r="G3066" i="1"/>
  <c r="H3066" i="1"/>
  <c r="I3066" i="1"/>
  <c r="J3066" i="1"/>
  <c r="K3066" i="1"/>
  <c r="M3066" i="1"/>
  <c r="O3066" i="1"/>
  <c r="Q3066" i="1"/>
  <c r="R3066" i="1"/>
  <c r="W3066" i="1"/>
  <c r="AA3066" i="1"/>
  <c r="AM3066" i="1"/>
  <c r="AN3066" i="1"/>
  <c r="AO3066" i="1"/>
  <c r="AQ3066" i="1"/>
  <c r="BB3066" i="1"/>
  <c r="BD3066" i="1"/>
  <c r="B3067" i="1"/>
  <c r="C3067" i="1"/>
  <c r="D3067" i="1"/>
  <c r="E3067" i="1"/>
  <c r="F3067" i="1"/>
  <c r="G3067" i="1"/>
  <c r="H3067" i="1"/>
  <c r="I3067" i="1"/>
  <c r="J3067" i="1"/>
  <c r="K3067" i="1"/>
  <c r="M3067" i="1"/>
  <c r="O3067" i="1"/>
  <c r="Q3067" i="1"/>
  <c r="R3067" i="1"/>
  <c r="W3067" i="1"/>
  <c r="AA3067" i="1"/>
  <c r="AB3067" i="1"/>
  <c r="AE3067" i="1"/>
  <c r="AF3067" i="1"/>
  <c r="AM3067" i="1"/>
  <c r="AN3067" i="1"/>
  <c r="AO3067" i="1"/>
  <c r="AQ3067" i="1"/>
  <c r="AX3067" i="1"/>
  <c r="BD3067" i="1"/>
  <c r="B3068" i="1"/>
  <c r="C3068" i="1"/>
  <c r="E3068" i="1"/>
  <c r="F3068" i="1"/>
  <c r="G3068" i="1"/>
  <c r="H3068" i="1"/>
  <c r="I3068" i="1"/>
  <c r="J3068" i="1"/>
  <c r="K3068" i="1"/>
  <c r="M3068" i="1"/>
  <c r="O3068" i="1"/>
  <c r="Q3068" i="1"/>
  <c r="R3068" i="1"/>
  <c r="W3068" i="1"/>
  <c r="AA3068" i="1"/>
  <c r="AM3068" i="1"/>
  <c r="AN3068" i="1"/>
  <c r="AO3068" i="1"/>
  <c r="AQ3068" i="1"/>
  <c r="BB3068" i="1"/>
  <c r="BD3068" i="1"/>
  <c r="B3069" i="1"/>
  <c r="C3069" i="1"/>
  <c r="E3069" i="1"/>
  <c r="F3069" i="1"/>
  <c r="G3069" i="1"/>
  <c r="H3069" i="1"/>
  <c r="I3069" i="1"/>
  <c r="J3069" i="1"/>
  <c r="K3069" i="1"/>
  <c r="M3069" i="1"/>
  <c r="O3069" i="1"/>
  <c r="Q3069" i="1"/>
  <c r="R3069" i="1"/>
  <c r="W3069" i="1"/>
  <c r="AA3069" i="1"/>
  <c r="AM3069" i="1"/>
  <c r="AN3069" i="1"/>
  <c r="AO3069" i="1"/>
  <c r="AQ3069" i="1"/>
  <c r="BB3069" i="1"/>
  <c r="BD3069" i="1"/>
  <c r="B3070" i="1"/>
  <c r="C3070" i="1"/>
  <c r="E3070" i="1"/>
  <c r="F3070" i="1"/>
  <c r="G3070" i="1"/>
  <c r="H3070" i="1"/>
  <c r="I3070" i="1"/>
  <c r="J3070" i="1"/>
  <c r="K3070" i="1"/>
  <c r="M3070" i="1"/>
  <c r="O3070" i="1"/>
  <c r="Q3070" i="1"/>
  <c r="R3070" i="1"/>
  <c r="W3070" i="1"/>
  <c r="AA3070" i="1"/>
  <c r="AM3070" i="1"/>
  <c r="AN3070" i="1"/>
  <c r="AO3070" i="1"/>
  <c r="AQ3070" i="1"/>
  <c r="BB3070" i="1"/>
  <c r="BD3070" i="1"/>
  <c r="B3071" i="1"/>
  <c r="C3071" i="1"/>
  <c r="D3071" i="1"/>
  <c r="E3071" i="1"/>
  <c r="F3071" i="1"/>
  <c r="G3071" i="1"/>
  <c r="H3071" i="1"/>
  <c r="I3071" i="1"/>
  <c r="J3071" i="1"/>
  <c r="K3071" i="1"/>
  <c r="M3071" i="1"/>
  <c r="O3071" i="1"/>
  <c r="Q3071" i="1"/>
  <c r="R3071" i="1"/>
  <c r="W3071" i="1"/>
  <c r="AA3071" i="1"/>
  <c r="AB3071" i="1"/>
  <c r="AE3071" i="1"/>
  <c r="AF3071" i="1"/>
  <c r="AM3071" i="1"/>
  <c r="AN3071" i="1"/>
  <c r="AO3071" i="1"/>
  <c r="AQ3071" i="1"/>
  <c r="AX3071" i="1"/>
  <c r="BD3071" i="1"/>
  <c r="B3072" i="1"/>
  <c r="C3072" i="1"/>
  <c r="D3072" i="1"/>
  <c r="E3072" i="1"/>
  <c r="F3072" i="1"/>
  <c r="G3072" i="1"/>
  <c r="H3072" i="1"/>
  <c r="I3072" i="1"/>
  <c r="J3072" i="1"/>
  <c r="K3072" i="1"/>
  <c r="M3072" i="1"/>
  <c r="O3072" i="1"/>
  <c r="Q3072" i="1"/>
  <c r="R3072" i="1"/>
  <c r="W3072" i="1"/>
  <c r="AA3072" i="1"/>
  <c r="AB3072" i="1"/>
  <c r="AE3072" i="1"/>
  <c r="AF3072" i="1"/>
  <c r="AM3072" i="1"/>
  <c r="AN3072" i="1"/>
  <c r="AO3072" i="1"/>
  <c r="AQ3072" i="1"/>
  <c r="AX3072" i="1"/>
  <c r="BD3072" i="1"/>
  <c r="B3073" i="1"/>
  <c r="C3073" i="1"/>
  <c r="D3073" i="1"/>
  <c r="E3073" i="1"/>
  <c r="F3073" i="1"/>
  <c r="G3073" i="1"/>
  <c r="H3073" i="1"/>
  <c r="I3073" i="1"/>
  <c r="J3073" i="1"/>
  <c r="K3073" i="1"/>
  <c r="M3073" i="1"/>
  <c r="O3073" i="1"/>
  <c r="Q3073" i="1"/>
  <c r="R3073" i="1"/>
  <c r="W3073" i="1"/>
  <c r="AA3073" i="1"/>
  <c r="AB3073" i="1"/>
  <c r="AE3073" i="1"/>
  <c r="AF3073" i="1"/>
  <c r="AM3073" i="1"/>
  <c r="AN3073" i="1"/>
  <c r="AO3073" i="1"/>
  <c r="AQ3073" i="1"/>
  <c r="AX3073" i="1"/>
  <c r="BD3073" i="1"/>
  <c r="B3074" i="1"/>
  <c r="C3074" i="1"/>
  <c r="E3074" i="1"/>
  <c r="F3074" i="1"/>
  <c r="G3074" i="1"/>
  <c r="H3074" i="1"/>
  <c r="I3074" i="1"/>
  <c r="J3074" i="1"/>
  <c r="K3074" i="1"/>
  <c r="M3074" i="1"/>
  <c r="O3074" i="1"/>
  <c r="Q3074" i="1"/>
  <c r="R3074" i="1"/>
  <c r="W3074" i="1"/>
  <c r="AA3074" i="1"/>
  <c r="AB3074" i="1"/>
  <c r="AE3074" i="1"/>
  <c r="AF3074" i="1"/>
  <c r="AM3074" i="1"/>
  <c r="AN3074" i="1"/>
  <c r="AO3074" i="1"/>
  <c r="AQ3074" i="1"/>
  <c r="AX3074" i="1"/>
  <c r="BD3074" i="1"/>
  <c r="B3075" i="1"/>
  <c r="C3075" i="1"/>
  <c r="E3075" i="1"/>
  <c r="F3075" i="1"/>
  <c r="G3075" i="1"/>
  <c r="H3075" i="1"/>
  <c r="I3075" i="1"/>
  <c r="J3075" i="1"/>
  <c r="K3075" i="1"/>
  <c r="M3075" i="1"/>
  <c r="O3075" i="1"/>
  <c r="Q3075" i="1"/>
  <c r="R3075" i="1"/>
  <c r="W3075" i="1"/>
  <c r="AA3075" i="1"/>
  <c r="AB3075" i="1"/>
  <c r="AE3075" i="1"/>
  <c r="AF3075" i="1"/>
  <c r="AM3075" i="1"/>
  <c r="AN3075" i="1"/>
  <c r="AO3075" i="1"/>
  <c r="AQ3075" i="1"/>
  <c r="AX3075" i="1"/>
  <c r="BD3075" i="1"/>
  <c r="B3076" i="1"/>
  <c r="C3076" i="1"/>
  <c r="D3076" i="1"/>
  <c r="E3076" i="1"/>
  <c r="F3076" i="1"/>
  <c r="G3076" i="1"/>
  <c r="H3076" i="1"/>
  <c r="I3076" i="1"/>
  <c r="J3076" i="1"/>
  <c r="K3076" i="1"/>
  <c r="M3076" i="1"/>
  <c r="O3076" i="1"/>
  <c r="Q3076" i="1"/>
  <c r="R3076" i="1"/>
  <c r="W3076" i="1"/>
  <c r="AA3076" i="1"/>
  <c r="AB3076" i="1"/>
  <c r="AE3076" i="1"/>
  <c r="AF3076" i="1"/>
  <c r="AM3076" i="1"/>
  <c r="AN3076" i="1"/>
  <c r="AO3076" i="1"/>
  <c r="AQ3076" i="1"/>
  <c r="AX3076" i="1"/>
  <c r="BD3076" i="1"/>
  <c r="B3077" i="1"/>
  <c r="C3077" i="1"/>
  <c r="E3077" i="1"/>
  <c r="F3077" i="1"/>
  <c r="G3077" i="1"/>
  <c r="H3077" i="1"/>
  <c r="I3077" i="1"/>
  <c r="J3077" i="1"/>
  <c r="K3077" i="1"/>
  <c r="M3077" i="1"/>
  <c r="O3077" i="1"/>
  <c r="Q3077" i="1"/>
  <c r="R3077" i="1"/>
  <c r="W3077" i="1"/>
  <c r="AA3077" i="1"/>
  <c r="AB3077" i="1"/>
  <c r="AE3077" i="1"/>
  <c r="AF3077" i="1"/>
  <c r="AM3077" i="1"/>
  <c r="AN3077" i="1"/>
  <c r="AO3077" i="1"/>
  <c r="AQ3077" i="1"/>
  <c r="AX3077" i="1"/>
  <c r="BD3077" i="1"/>
  <c r="B3078" i="1"/>
  <c r="C3078" i="1"/>
  <c r="E3078" i="1"/>
  <c r="F3078" i="1"/>
  <c r="G3078" i="1"/>
  <c r="H3078" i="1"/>
  <c r="I3078" i="1"/>
  <c r="J3078" i="1"/>
  <c r="K3078" i="1"/>
  <c r="M3078" i="1"/>
  <c r="O3078" i="1"/>
  <c r="Q3078" i="1"/>
  <c r="R3078" i="1"/>
  <c r="W3078" i="1"/>
  <c r="AA3078" i="1"/>
  <c r="AB3078" i="1"/>
  <c r="AE3078" i="1"/>
  <c r="AF3078" i="1"/>
  <c r="AM3078" i="1"/>
  <c r="AN3078" i="1"/>
  <c r="AO3078" i="1"/>
  <c r="AQ3078" i="1"/>
  <c r="AX3078" i="1"/>
  <c r="BD3078" i="1"/>
  <c r="B3079" i="1"/>
  <c r="C3079" i="1"/>
  <c r="E3079" i="1"/>
  <c r="F3079" i="1"/>
  <c r="G3079" i="1"/>
  <c r="H3079" i="1"/>
  <c r="I3079" i="1"/>
  <c r="J3079" i="1"/>
  <c r="K3079" i="1"/>
  <c r="M3079" i="1"/>
  <c r="O3079" i="1"/>
  <c r="Q3079" i="1"/>
  <c r="R3079" i="1"/>
  <c r="W3079" i="1"/>
  <c r="AA3079" i="1"/>
  <c r="AB3079" i="1"/>
  <c r="AE3079" i="1"/>
  <c r="AF3079" i="1"/>
  <c r="AM3079" i="1"/>
  <c r="AN3079" i="1"/>
  <c r="AO3079" i="1"/>
  <c r="AQ3079" i="1"/>
  <c r="AX3079" i="1"/>
  <c r="BD3079" i="1"/>
  <c r="B3080" i="1"/>
  <c r="C3080" i="1"/>
  <c r="E3080" i="1"/>
  <c r="F3080" i="1"/>
  <c r="G3080" i="1"/>
  <c r="H3080" i="1"/>
  <c r="I3080" i="1"/>
  <c r="J3080" i="1"/>
  <c r="K3080" i="1"/>
  <c r="M3080" i="1"/>
  <c r="O3080" i="1"/>
  <c r="Q3080" i="1"/>
  <c r="R3080" i="1"/>
  <c r="W3080" i="1"/>
  <c r="AA3080" i="1"/>
  <c r="AM3080" i="1"/>
  <c r="AN3080" i="1"/>
  <c r="AO3080" i="1"/>
  <c r="AQ3080" i="1"/>
  <c r="BB3080" i="1"/>
  <c r="BD3080" i="1"/>
  <c r="B3081" i="1"/>
  <c r="E3081" i="1"/>
  <c r="F3081" i="1"/>
  <c r="G3081" i="1"/>
  <c r="H3081" i="1"/>
  <c r="I3081" i="1"/>
  <c r="J3081" i="1"/>
  <c r="K3081" i="1"/>
  <c r="M3081" i="1"/>
  <c r="O3081" i="1"/>
  <c r="Q3081" i="1"/>
  <c r="R3081" i="1"/>
  <c r="W3081" i="1"/>
  <c r="AA3081" i="1"/>
  <c r="AB3081" i="1"/>
  <c r="AE3081" i="1"/>
  <c r="AF3081" i="1"/>
  <c r="AM3081" i="1"/>
  <c r="AN3081" i="1"/>
  <c r="AO3081" i="1"/>
  <c r="AQ3081" i="1"/>
  <c r="AX3081" i="1"/>
  <c r="BD3081" i="1"/>
  <c r="B3082" i="1"/>
  <c r="E3082" i="1"/>
  <c r="F3082" i="1"/>
  <c r="G3082" i="1"/>
  <c r="H3082" i="1"/>
  <c r="I3082" i="1"/>
  <c r="J3082" i="1"/>
  <c r="K3082" i="1"/>
  <c r="M3082" i="1"/>
  <c r="O3082" i="1"/>
  <c r="Q3082" i="1"/>
  <c r="R3082" i="1"/>
  <c r="W3082" i="1"/>
  <c r="AA3082" i="1"/>
  <c r="AB3082" i="1"/>
  <c r="AE3082" i="1"/>
  <c r="AF3082" i="1"/>
  <c r="AM3082" i="1"/>
  <c r="AN3082" i="1"/>
  <c r="AO3082" i="1"/>
  <c r="AQ3082" i="1"/>
  <c r="AX3082" i="1"/>
  <c r="BD3082" i="1"/>
  <c r="B3083" i="1"/>
  <c r="E3083" i="1"/>
  <c r="F3083" i="1"/>
  <c r="G3083" i="1"/>
  <c r="H3083" i="1"/>
  <c r="I3083" i="1"/>
  <c r="J3083" i="1"/>
  <c r="K3083" i="1"/>
  <c r="M3083" i="1"/>
  <c r="O3083" i="1"/>
  <c r="Q3083" i="1"/>
  <c r="R3083" i="1"/>
  <c r="W3083" i="1"/>
  <c r="AA3083" i="1"/>
  <c r="AB3083" i="1"/>
  <c r="AE3083" i="1"/>
  <c r="AF3083" i="1"/>
  <c r="AM3083" i="1"/>
  <c r="AN3083" i="1"/>
  <c r="AO3083" i="1"/>
  <c r="AQ3083" i="1"/>
  <c r="AX3083" i="1"/>
  <c r="BD3083" i="1"/>
  <c r="B3084" i="1"/>
  <c r="E3084" i="1"/>
  <c r="F3084" i="1"/>
  <c r="G3084" i="1"/>
  <c r="H3084" i="1"/>
  <c r="I3084" i="1"/>
  <c r="J3084" i="1"/>
  <c r="K3084" i="1"/>
  <c r="M3084" i="1"/>
  <c r="O3084" i="1"/>
  <c r="Q3084" i="1"/>
  <c r="R3084" i="1"/>
  <c r="W3084" i="1"/>
  <c r="AA3084" i="1"/>
  <c r="AB3084" i="1"/>
  <c r="AE3084" i="1"/>
  <c r="AF3084" i="1"/>
  <c r="AM3084" i="1"/>
  <c r="AN3084" i="1"/>
  <c r="AO3084" i="1"/>
  <c r="AQ3084" i="1"/>
  <c r="AX3084" i="1"/>
  <c r="BD3084" i="1"/>
  <c r="B3085" i="1"/>
  <c r="C3085" i="1"/>
  <c r="D3085" i="1"/>
  <c r="E3085" i="1"/>
  <c r="F3085" i="1"/>
  <c r="G3085" i="1"/>
  <c r="H3085" i="1"/>
  <c r="I3085" i="1"/>
  <c r="J3085" i="1"/>
  <c r="K3085" i="1"/>
  <c r="M3085" i="1"/>
  <c r="O3085" i="1"/>
  <c r="Q3085" i="1"/>
  <c r="R3085" i="1"/>
  <c r="W3085" i="1"/>
  <c r="AA3085" i="1"/>
  <c r="AB3085" i="1"/>
  <c r="AE3085" i="1"/>
  <c r="AF3085" i="1"/>
  <c r="AM3085" i="1"/>
  <c r="AN3085" i="1"/>
  <c r="AO3085" i="1"/>
  <c r="AQ3085" i="1"/>
  <c r="AX3085" i="1"/>
  <c r="BD3085" i="1"/>
  <c r="B3086" i="1"/>
  <c r="C3086" i="1"/>
  <c r="D3086" i="1"/>
  <c r="E3086" i="1"/>
  <c r="F3086" i="1"/>
  <c r="G3086" i="1"/>
  <c r="H3086" i="1"/>
  <c r="I3086" i="1"/>
  <c r="J3086" i="1"/>
  <c r="K3086" i="1"/>
  <c r="M3086" i="1"/>
  <c r="O3086" i="1"/>
  <c r="Q3086" i="1"/>
  <c r="R3086" i="1"/>
  <c r="W3086" i="1"/>
  <c r="AA3086" i="1"/>
  <c r="AB3086" i="1"/>
  <c r="AE3086" i="1"/>
  <c r="AF3086" i="1"/>
  <c r="AM3086" i="1"/>
  <c r="AN3086" i="1"/>
  <c r="AO3086" i="1"/>
  <c r="AQ3086" i="1"/>
  <c r="AX3086" i="1"/>
  <c r="BD3086" i="1"/>
  <c r="B3087" i="1"/>
  <c r="C3087" i="1"/>
  <c r="D3087" i="1"/>
  <c r="E3087" i="1"/>
  <c r="F3087" i="1"/>
  <c r="G3087" i="1"/>
  <c r="H3087" i="1"/>
  <c r="I3087" i="1"/>
  <c r="J3087" i="1"/>
  <c r="K3087" i="1"/>
  <c r="M3087" i="1"/>
  <c r="O3087" i="1"/>
  <c r="Q3087" i="1"/>
  <c r="R3087" i="1"/>
  <c r="W3087" i="1"/>
  <c r="AA3087" i="1"/>
  <c r="AB3087" i="1"/>
  <c r="AE3087" i="1"/>
  <c r="AF3087" i="1"/>
  <c r="AM3087" i="1"/>
  <c r="AN3087" i="1"/>
  <c r="AO3087" i="1"/>
  <c r="AQ3087" i="1"/>
  <c r="AX3087" i="1"/>
  <c r="BD3087" i="1"/>
  <c r="B3088" i="1"/>
  <c r="C3088" i="1"/>
  <c r="D3088" i="1"/>
  <c r="E3088" i="1"/>
  <c r="F3088" i="1"/>
  <c r="G3088" i="1"/>
  <c r="H3088" i="1"/>
  <c r="I3088" i="1"/>
  <c r="J3088" i="1"/>
  <c r="K3088" i="1"/>
  <c r="M3088" i="1"/>
  <c r="O3088" i="1"/>
  <c r="Q3088" i="1"/>
  <c r="R3088" i="1"/>
  <c r="W3088" i="1"/>
  <c r="AA3088" i="1"/>
  <c r="AB3088" i="1"/>
  <c r="AE3088" i="1"/>
  <c r="AF3088" i="1"/>
  <c r="AM3088" i="1"/>
  <c r="AN3088" i="1"/>
  <c r="AO3088" i="1"/>
  <c r="AQ3088" i="1"/>
  <c r="AX3088" i="1"/>
  <c r="BD3088" i="1"/>
  <c r="B3089" i="1"/>
  <c r="C3089" i="1"/>
  <c r="D3089" i="1"/>
  <c r="E3089" i="1"/>
  <c r="F3089" i="1"/>
  <c r="G3089" i="1"/>
  <c r="H3089" i="1"/>
  <c r="I3089" i="1"/>
  <c r="J3089" i="1"/>
  <c r="K3089" i="1"/>
  <c r="M3089" i="1"/>
  <c r="O3089" i="1"/>
  <c r="Q3089" i="1"/>
  <c r="R3089" i="1"/>
  <c r="W3089" i="1"/>
  <c r="AA3089" i="1"/>
  <c r="AB3089" i="1"/>
  <c r="AE3089" i="1"/>
  <c r="AF3089" i="1"/>
  <c r="AM3089" i="1"/>
  <c r="AN3089" i="1"/>
  <c r="AO3089" i="1"/>
  <c r="AQ3089" i="1"/>
  <c r="AX3089" i="1"/>
  <c r="BD3089" i="1"/>
  <c r="B3090" i="1"/>
  <c r="E3090" i="1"/>
  <c r="F3090" i="1"/>
  <c r="G3090" i="1"/>
  <c r="H3090" i="1"/>
  <c r="I3090" i="1"/>
  <c r="J3090" i="1"/>
  <c r="K3090" i="1"/>
  <c r="M3090" i="1"/>
  <c r="O3090" i="1"/>
  <c r="Q3090" i="1"/>
  <c r="R3090" i="1"/>
  <c r="W3090" i="1"/>
  <c r="AA3090" i="1"/>
  <c r="AB3090" i="1"/>
  <c r="AE3090" i="1"/>
  <c r="AF3090" i="1"/>
  <c r="AM3090" i="1"/>
  <c r="AN3090" i="1"/>
  <c r="AO3090" i="1"/>
  <c r="AQ3090" i="1"/>
  <c r="AX3090" i="1"/>
  <c r="BD3090" i="1"/>
  <c r="B3091" i="1"/>
  <c r="E3091" i="1"/>
  <c r="F3091" i="1"/>
  <c r="G3091" i="1"/>
  <c r="H3091" i="1"/>
  <c r="I3091" i="1"/>
  <c r="J3091" i="1"/>
  <c r="K3091" i="1"/>
  <c r="M3091" i="1"/>
  <c r="O3091" i="1"/>
  <c r="Q3091" i="1"/>
  <c r="R3091" i="1"/>
  <c r="W3091" i="1"/>
  <c r="AA3091" i="1"/>
  <c r="AB3091" i="1"/>
  <c r="AE3091" i="1"/>
  <c r="AF3091" i="1"/>
  <c r="AM3091" i="1"/>
  <c r="AN3091" i="1"/>
  <c r="AO3091" i="1"/>
  <c r="AQ3091" i="1"/>
  <c r="AX3091" i="1"/>
  <c r="BD3091" i="1"/>
  <c r="B3092" i="1"/>
  <c r="E3092" i="1"/>
  <c r="F3092" i="1"/>
  <c r="G3092" i="1"/>
  <c r="H3092" i="1"/>
  <c r="I3092" i="1"/>
  <c r="J3092" i="1"/>
  <c r="K3092" i="1"/>
  <c r="M3092" i="1"/>
  <c r="O3092" i="1"/>
  <c r="Q3092" i="1"/>
  <c r="R3092" i="1"/>
  <c r="W3092" i="1"/>
  <c r="AA3092" i="1"/>
  <c r="AB3092" i="1"/>
  <c r="AE3092" i="1"/>
  <c r="AF3092" i="1"/>
  <c r="AM3092" i="1"/>
  <c r="AN3092" i="1"/>
  <c r="AO3092" i="1"/>
  <c r="AQ3092" i="1"/>
  <c r="AX3092" i="1"/>
  <c r="BD3092" i="1"/>
  <c r="B3093" i="1"/>
  <c r="E3093" i="1"/>
  <c r="F3093" i="1"/>
  <c r="G3093" i="1"/>
  <c r="H3093" i="1"/>
  <c r="I3093" i="1"/>
  <c r="J3093" i="1"/>
  <c r="K3093" i="1"/>
  <c r="M3093" i="1"/>
  <c r="O3093" i="1"/>
  <c r="Q3093" i="1"/>
  <c r="R3093" i="1"/>
  <c r="W3093" i="1"/>
  <c r="AA3093" i="1"/>
  <c r="AB3093" i="1"/>
  <c r="AE3093" i="1"/>
  <c r="AF3093" i="1"/>
  <c r="AM3093" i="1"/>
  <c r="AN3093" i="1"/>
  <c r="AO3093" i="1"/>
  <c r="AQ3093" i="1"/>
  <c r="AX3093" i="1"/>
  <c r="BD3093" i="1"/>
  <c r="B3094" i="1"/>
  <c r="E3094" i="1"/>
  <c r="F3094" i="1"/>
  <c r="G3094" i="1"/>
  <c r="H3094" i="1"/>
  <c r="I3094" i="1"/>
  <c r="J3094" i="1"/>
  <c r="K3094" i="1"/>
  <c r="M3094" i="1"/>
  <c r="O3094" i="1"/>
  <c r="Q3094" i="1"/>
  <c r="R3094" i="1"/>
  <c r="W3094" i="1"/>
  <c r="AA3094" i="1"/>
  <c r="AB3094" i="1"/>
  <c r="AE3094" i="1"/>
  <c r="AF3094" i="1"/>
  <c r="AM3094" i="1"/>
  <c r="AN3094" i="1"/>
  <c r="AO3094" i="1"/>
  <c r="AQ3094" i="1"/>
  <c r="AX3094" i="1"/>
  <c r="BD3094" i="1"/>
  <c r="B3095" i="1"/>
  <c r="C3095" i="1"/>
  <c r="E3095" i="1"/>
  <c r="F3095" i="1"/>
  <c r="G3095" i="1"/>
  <c r="H3095" i="1"/>
  <c r="I3095" i="1"/>
  <c r="J3095" i="1"/>
  <c r="K3095" i="1"/>
  <c r="M3095" i="1"/>
  <c r="O3095" i="1"/>
  <c r="Q3095" i="1"/>
  <c r="R3095" i="1"/>
  <c r="W3095" i="1"/>
  <c r="AA3095" i="1"/>
  <c r="AB3095" i="1"/>
  <c r="AE3095" i="1"/>
  <c r="AF3095" i="1"/>
  <c r="AM3095" i="1"/>
  <c r="AN3095" i="1"/>
  <c r="AO3095" i="1"/>
  <c r="AQ3095" i="1"/>
  <c r="AX3095" i="1"/>
  <c r="BD3095" i="1"/>
  <c r="B3096" i="1"/>
  <c r="C3096" i="1"/>
  <c r="D3096" i="1"/>
  <c r="E3096" i="1"/>
  <c r="F3096" i="1"/>
  <c r="G3096" i="1"/>
  <c r="H3096" i="1"/>
  <c r="I3096" i="1"/>
  <c r="J3096" i="1"/>
  <c r="K3096" i="1"/>
  <c r="M3096" i="1"/>
  <c r="O3096" i="1"/>
  <c r="Q3096" i="1"/>
  <c r="R3096" i="1"/>
  <c r="W3096" i="1"/>
  <c r="AA3096" i="1"/>
  <c r="AB3096" i="1"/>
  <c r="AM3096" i="1"/>
  <c r="AN3096" i="1"/>
  <c r="AO3096" i="1"/>
  <c r="AQ3096" i="1"/>
  <c r="AX3096" i="1"/>
  <c r="BD3096" i="1"/>
  <c r="B3097" i="1"/>
  <c r="C3097" i="1"/>
  <c r="E3097" i="1"/>
  <c r="F3097" i="1"/>
  <c r="G3097" i="1"/>
  <c r="H3097" i="1"/>
  <c r="I3097" i="1"/>
  <c r="J3097" i="1"/>
  <c r="K3097" i="1"/>
  <c r="M3097" i="1"/>
  <c r="O3097" i="1"/>
  <c r="Q3097" i="1"/>
  <c r="R3097" i="1"/>
  <c r="W3097" i="1"/>
  <c r="AA3097" i="1"/>
  <c r="AM3097" i="1"/>
  <c r="AN3097" i="1"/>
  <c r="AO3097" i="1"/>
  <c r="AQ3097" i="1"/>
  <c r="BB3097" i="1"/>
  <c r="BD3097" i="1"/>
  <c r="B3098" i="1"/>
  <c r="C3098" i="1"/>
  <c r="E3098" i="1"/>
  <c r="F3098" i="1"/>
  <c r="G3098" i="1"/>
  <c r="H3098" i="1"/>
  <c r="I3098" i="1"/>
  <c r="J3098" i="1"/>
  <c r="K3098" i="1"/>
  <c r="M3098" i="1"/>
  <c r="O3098" i="1"/>
  <c r="Q3098" i="1"/>
  <c r="R3098" i="1"/>
  <c r="W3098" i="1"/>
  <c r="AA3098" i="1"/>
  <c r="AB3098" i="1"/>
  <c r="AE3098" i="1"/>
  <c r="AF3098" i="1"/>
  <c r="AM3098" i="1"/>
  <c r="AN3098" i="1"/>
  <c r="AO3098" i="1"/>
  <c r="AQ3098" i="1"/>
  <c r="AX3098" i="1"/>
  <c r="BD3098" i="1"/>
  <c r="B3099" i="1"/>
  <c r="C3099" i="1"/>
  <c r="E3099" i="1"/>
  <c r="F3099" i="1"/>
  <c r="G3099" i="1"/>
  <c r="H3099" i="1"/>
  <c r="I3099" i="1"/>
  <c r="J3099" i="1"/>
  <c r="K3099" i="1"/>
  <c r="M3099" i="1"/>
  <c r="O3099" i="1"/>
  <c r="Q3099" i="1"/>
  <c r="R3099" i="1"/>
  <c r="W3099" i="1"/>
  <c r="AA3099" i="1"/>
  <c r="AM3099" i="1"/>
  <c r="AN3099" i="1"/>
  <c r="AO3099" i="1"/>
  <c r="AQ3099" i="1"/>
  <c r="BB3099" i="1"/>
  <c r="BD3099" i="1"/>
  <c r="B3100" i="1"/>
  <c r="C3100" i="1"/>
  <c r="D3100" i="1"/>
  <c r="E3100" i="1"/>
  <c r="F3100" i="1"/>
  <c r="G3100" i="1"/>
  <c r="H3100" i="1"/>
  <c r="I3100" i="1"/>
  <c r="J3100" i="1"/>
  <c r="K3100" i="1"/>
  <c r="M3100" i="1"/>
  <c r="O3100" i="1"/>
  <c r="Q3100" i="1"/>
  <c r="R3100" i="1"/>
  <c r="W3100" i="1"/>
  <c r="AA3100" i="1"/>
  <c r="AB3100" i="1"/>
  <c r="AE3100" i="1"/>
  <c r="AF3100" i="1"/>
  <c r="AM3100" i="1"/>
  <c r="AN3100" i="1"/>
  <c r="AO3100" i="1"/>
  <c r="AQ3100" i="1"/>
  <c r="AX3100" i="1"/>
  <c r="BD3100" i="1"/>
  <c r="B3101" i="1"/>
  <c r="C3101" i="1"/>
  <c r="D3101" i="1"/>
  <c r="E3101" i="1"/>
  <c r="F3101" i="1"/>
  <c r="G3101" i="1"/>
  <c r="H3101" i="1"/>
  <c r="I3101" i="1"/>
  <c r="J3101" i="1"/>
  <c r="K3101" i="1"/>
  <c r="M3101" i="1"/>
  <c r="O3101" i="1"/>
  <c r="Q3101" i="1"/>
  <c r="R3101" i="1"/>
  <c r="W3101" i="1"/>
  <c r="AA3101" i="1"/>
  <c r="AB3101" i="1"/>
  <c r="AE3101" i="1"/>
  <c r="AF3101" i="1"/>
  <c r="AM3101" i="1"/>
  <c r="AN3101" i="1"/>
  <c r="AO3101" i="1"/>
  <c r="AQ3101" i="1"/>
  <c r="AX3101" i="1"/>
  <c r="BD3101" i="1"/>
  <c r="B3102" i="1"/>
  <c r="C3102" i="1"/>
  <c r="D3102" i="1"/>
  <c r="E3102" i="1"/>
  <c r="F3102" i="1"/>
  <c r="G3102" i="1"/>
  <c r="H3102" i="1"/>
  <c r="I3102" i="1"/>
  <c r="J3102" i="1"/>
  <c r="K3102" i="1"/>
  <c r="M3102" i="1"/>
  <c r="O3102" i="1"/>
  <c r="Q3102" i="1"/>
  <c r="R3102" i="1"/>
  <c r="W3102" i="1"/>
  <c r="AA3102" i="1"/>
  <c r="AB3102" i="1"/>
  <c r="AE3102" i="1"/>
  <c r="AF3102" i="1"/>
  <c r="AM3102" i="1"/>
  <c r="AN3102" i="1"/>
  <c r="AO3102" i="1"/>
  <c r="AQ3102" i="1"/>
  <c r="AX3102" i="1"/>
  <c r="BD3102" i="1"/>
  <c r="B3103" i="1"/>
  <c r="C3103" i="1"/>
  <c r="D3103" i="1"/>
  <c r="E3103" i="1"/>
  <c r="F3103" i="1"/>
  <c r="G3103" i="1"/>
  <c r="H3103" i="1"/>
  <c r="I3103" i="1"/>
  <c r="J3103" i="1"/>
  <c r="K3103" i="1"/>
  <c r="M3103" i="1"/>
  <c r="O3103" i="1"/>
  <c r="Q3103" i="1"/>
  <c r="R3103" i="1"/>
  <c r="W3103" i="1"/>
  <c r="AA3103" i="1"/>
  <c r="AB3103" i="1"/>
  <c r="AE3103" i="1"/>
  <c r="AF3103" i="1"/>
  <c r="AM3103" i="1"/>
  <c r="AN3103" i="1"/>
  <c r="AO3103" i="1"/>
  <c r="AQ3103" i="1"/>
  <c r="AX3103" i="1"/>
  <c r="BD3103" i="1"/>
  <c r="B3104" i="1"/>
  <c r="C3104" i="1"/>
  <c r="D3104" i="1"/>
  <c r="E3104" i="1"/>
  <c r="F3104" i="1"/>
  <c r="G3104" i="1"/>
  <c r="H3104" i="1"/>
  <c r="I3104" i="1"/>
  <c r="J3104" i="1"/>
  <c r="K3104" i="1"/>
  <c r="M3104" i="1"/>
  <c r="O3104" i="1"/>
  <c r="Q3104" i="1"/>
  <c r="R3104" i="1"/>
  <c r="W3104" i="1"/>
  <c r="AA3104" i="1"/>
  <c r="AB3104" i="1"/>
  <c r="AE3104" i="1"/>
  <c r="AF3104" i="1"/>
  <c r="AM3104" i="1"/>
  <c r="AN3104" i="1"/>
  <c r="AO3104" i="1"/>
  <c r="AQ3104" i="1"/>
  <c r="AX3104" i="1"/>
  <c r="BD3104" i="1"/>
  <c r="B3105" i="1"/>
  <c r="C3105" i="1"/>
  <c r="D3105" i="1"/>
  <c r="E3105" i="1"/>
  <c r="F3105" i="1"/>
  <c r="G3105" i="1"/>
  <c r="H3105" i="1"/>
  <c r="I3105" i="1"/>
  <c r="J3105" i="1"/>
  <c r="K3105" i="1"/>
  <c r="M3105" i="1"/>
  <c r="O3105" i="1"/>
  <c r="Q3105" i="1"/>
  <c r="R3105" i="1"/>
  <c r="W3105" i="1"/>
  <c r="AA3105" i="1"/>
  <c r="AB3105" i="1"/>
  <c r="AE3105" i="1"/>
  <c r="AF3105" i="1"/>
  <c r="AM3105" i="1"/>
  <c r="AN3105" i="1"/>
  <c r="AO3105" i="1"/>
  <c r="AQ3105" i="1"/>
  <c r="AX3105" i="1"/>
  <c r="BD3105" i="1"/>
  <c r="B3106" i="1"/>
  <c r="C3106" i="1"/>
  <c r="D3106" i="1"/>
  <c r="E3106" i="1"/>
  <c r="F3106" i="1"/>
  <c r="G3106" i="1"/>
  <c r="H3106" i="1"/>
  <c r="I3106" i="1"/>
  <c r="J3106" i="1"/>
  <c r="K3106" i="1"/>
  <c r="M3106" i="1"/>
  <c r="O3106" i="1"/>
  <c r="Q3106" i="1"/>
  <c r="R3106" i="1"/>
  <c r="W3106" i="1"/>
  <c r="AA3106" i="1"/>
  <c r="AB3106" i="1"/>
  <c r="AE3106" i="1"/>
  <c r="AF3106" i="1"/>
  <c r="AM3106" i="1"/>
  <c r="AN3106" i="1"/>
  <c r="AO3106" i="1"/>
  <c r="AQ3106" i="1"/>
  <c r="AX3106" i="1"/>
  <c r="BD3106" i="1"/>
  <c r="B3107" i="1"/>
  <c r="C3107" i="1"/>
  <c r="D3107" i="1"/>
  <c r="E3107" i="1"/>
  <c r="F3107" i="1"/>
  <c r="G3107" i="1"/>
  <c r="H3107" i="1"/>
  <c r="I3107" i="1"/>
  <c r="J3107" i="1"/>
  <c r="K3107" i="1"/>
  <c r="M3107" i="1"/>
  <c r="O3107" i="1"/>
  <c r="Q3107" i="1"/>
  <c r="R3107" i="1"/>
  <c r="W3107" i="1"/>
  <c r="AA3107" i="1"/>
  <c r="AB3107" i="1"/>
  <c r="AE3107" i="1"/>
  <c r="AF3107" i="1"/>
  <c r="AM3107" i="1"/>
  <c r="AN3107" i="1"/>
  <c r="AO3107" i="1"/>
  <c r="AQ3107" i="1"/>
  <c r="AX3107" i="1"/>
  <c r="BD3107" i="1"/>
  <c r="B3108" i="1"/>
  <c r="C3108" i="1"/>
  <c r="D3108" i="1"/>
  <c r="E3108" i="1"/>
  <c r="F3108" i="1"/>
  <c r="G3108" i="1"/>
  <c r="H3108" i="1"/>
  <c r="I3108" i="1"/>
  <c r="J3108" i="1"/>
  <c r="K3108" i="1"/>
  <c r="M3108" i="1"/>
  <c r="O3108" i="1"/>
  <c r="Q3108" i="1"/>
  <c r="R3108" i="1"/>
  <c r="W3108" i="1"/>
  <c r="AA3108" i="1"/>
  <c r="AB3108" i="1"/>
  <c r="AE3108" i="1"/>
  <c r="AF3108" i="1"/>
  <c r="AM3108" i="1"/>
  <c r="AN3108" i="1"/>
  <c r="AO3108" i="1"/>
  <c r="AQ3108" i="1"/>
  <c r="AX3108" i="1"/>
  <c r="BD3108" i="1"/>
  <c r="B3109" i="1"/>
  <c r="C3109" i="1"/>
  <c r="E3109" i="1"/>
  <c r="F3109" i="1"/>
  <c r="G3109" i="1"/>
  <c r="H3109" i="1"/>
  <c r="I3109" i="1"/>
  <c r="J3109" i="1"/>
  <c r="K3109" i="1"/>
  <c r="M3109" i="1"/>
  <c r="O3109" i="1"/>
  <c r="Q3109" i="1"/>
  <c r="R3109" i="1"/>
  <c r="W3109" i="1"/>
  <c r="AA3109" i="1"/>
  <c r="AB3109" i="1"/>
  <c r="AE3109" i="1"/>
  <c r="AF3109" i="1"/>
  <c r="AM3109" i="1"/>
  <c r="AN3109" i="1"/>
  <c r="AO3109" i="1"/>
  <c r="AQ3109" i="1"/>
  <c r="AX3109" i="1"/>
  <c r="BD3109" i="1"/>
  <c r="B3110" i="1"/>
  <c r="C3110" i="1"/>
  <c r="E3110" i="1"/>
  <c r="F3110" i="1"/>
  <c r="G3110" i="1"/>
  <c r="H3110" i="1"/>
  <c r="I3110" i="1"/>
  <c r="J3110" i="1"/>
  <c r="K3110" i="1"/>
  <c r="M3110" i="1"/>
  <c r="O3110" i="1"/>
  <c r="Q3110" i="1"/>
  <c r="R3110" i="1"/>
  <c r="W3110" i="1"/>
  <c r="AA3110" i="1"/>
  <c r="AM3110" i="1"/>
  <c r="AN3110" i="1"/>
  <c r="AO3110" i="1"/>
  <c r="AQ3110" i="1"/>
  <c r="BB3110" i="1"/>
  <c r="BD3110" i="1"/>
  <c r="B3111" i="1"/>
  <c r="C3111" i="1"/>
  <c r="E3111" i="1"/>
  <c r="F3111" i="1"/>
  <c r="G3111" i="1"/>
  <c r="H3111" i="1"/>
  <c r="I3111" i="1"/>
  <c r="J3111" i="1"/>
  <c r="K3111" i="1"/>
  <c r="M3111" i="1"/>
  <c r="O3111" i="1"/>
  <c r="Q3111" i="1"/>
  <c r="R3111" i="1"/>
  <c r="W3111" i="1"/>
  <c r="AA3111" i="1"/>
  <c r="AM3111" i="1"/>
  <c r="AN3111" i="1"/>
  <c r="AO3111" i="1"/>
  <c r="AQ3111" i="1"/>
  <c r="BB3111" i="1"/>
  <c r="BD3111" i="1"/>
  <c r="B3112" i="1"/>
  <c r="C3112" i="1"/>
  <c r="E3112" i="1"/>
  <c r="F3112" i="1"/>
  <c r="G3112" i="1"/>
  <c r="H3112" i="1"/>
  <c r="I3112" i="1"/>
  <c r="J3112" i="1"/>
  <c r="K3112" i="1"/>
  <c r="M3112" i="1"/>
  <c r="O3112" i="1"/>
  <c r="Q3112" i="1"/>
  <c r="R3112" i="1"/>
  <c r="W3112" i="1"/>
  <c r="AA3112" i="1"/>
  <c r="AM3112" i="1"/>
  <c r="AN3112" i="1"/>
  <c r="AO3112" i="1"/>
  <c r="AQ3112" i="1"/>
  <c r="BB3112" i="1"/>
  <c r="BD3112" i="1"/>
  <c r="B3113" i="1"/>
  <c r="C3113" i="1"/>
  <c r="D3113" i="1"/>
  <c r="E3113" i="1"/>
  <c r="F3113" i="1"/>
  <c r="G3113" i="1"/>
  <c r="H3113" i="1"/>
  <c r="I3113" i="1"/>
  <c r="J3113" i="1"/>
  <c r="K3113" i="1"/>
  <c r="M3113" i="1"/>
  <c r="O3113" i="1"/>
  <c r="Q3113" i="1"/>
  <c r="R3113" i="1"/>
  <c r="W3113" i="1"/>
  <c r="AA3113" i="1"/>
  <c r="AB3113" i="1"/>
  <c r="AM3113" i="1"/>
  <c r="AN3113" i="1"/>
  <c r="AO3113" i="1"/>
  <c r="AQ3113" i="1"/>
  <c r="AX3113" i="1"/>
  <c r="BD3113" i="1"/>
  <c r="B3114" i="1"/>
  <c r="C3114" i="1"/>
  <c r="D3114" i="1"/>
  <c r="E3114" i="1"/>
  <c r="F3114" i="1"/>
  <c r="G3114" i="1"/>
  <c r="H3114" i="1"/>
  <c r="I3114" i="1"/>
  <c r="J3114" i="1"/>
  <c r="K3114" i="1"/>
  <c r="M3114" i="1"/>
  <c r="O3114" i="1"/>
  <c r="Q3114" i="1"/>
  <c r="R3114" i="1"/>
  <c r="W3114" i="1"/>
  <c r="AA3114" i="1"/>
  <c r="AB3114" i="1"/>
  <c r="AM3114" i="1"/>
  <c r="AN3114" i="1"/>
  <c r="AO3114" i="1"/>
  <c r="AQ3114" i="1"/>
  <c r="AX3114" i="1"/>
  <c r="BD3114" i="1"/>
  <c r="B3115" i="1"/>
  <c r="C3115" i="1"/>
  <c r="D3115" i="1"/>
  <c r="E3115" i="1"/>
  <c r="F3115" i="1"/>
  <c r="G3115" i="1"/>
  <c r="H3115" i="1"/>
  <c r="I3115" i="1"/>
  <c r="J3115" i="1"/>
  <c r="K3115" i="1"/>
  <c r="M3115" i="1"/>
  <c r="O3115" i="1"/>
  <c r="Q3115" i="1"/>
  <c r="R3115" i="1"/>
  <c r="W3115" i="1"/>
  <c r="AA3115" i="1"/>
  <c r="AB3115" i="1"/>
  <c r="AM3115" i="1"/>
  <c r="AN3115" i="1"/>
  <c r="AO3115" i="1"/>
  <c r="AQ3115" i="1"/>
  <c r="AX3115" i="1"/>
  <c r="BD3115" i="1"/>
  <c r="B3116" i="1"/>
  <c r="C3116" i="1"/>
  <c r="D3116" i="1"/>
  <c r="E3116" i="1"/>
  <c r="F3116" i="1"/>
  <c r="G3116" i="1"/>
  <c r="H3116" i="1"/>
  <c r="I3116" i="1"/>
  <c r="J3116" i="1"/>
  <c r="K3116" i="1"/>
  <c r="M3116" i="1"/>
  <c r="O3116" i="1"/>
  <c r="Q3116" i="1"/>
  <c r="R3116" i="1"/>
  <c r="W3116" i="1"/>
  <c r="AA3116" i="1"/>
  <c r="AB3116" i="1"/>
  <c r="AM3116" i="1"/>
  <c r="AN3116" i="1"/>
  <c r="AO3116" i="1"/>
  <c r="AQ3116" i="1"/>
  <c r="AX3116" i="1"/>
  <c r="BD3116" i="1"/>
  <c r="B3117" i="1"/>
  <c r="C3117" i="1"/>
  <c r="D3117" i="1"/>
  <c r="E3117" i="1"/>
  <c r="F3117" i="1"/>
  <c r="G3117" i="1"/>
  <c r="H3117" i="1"/>
  <c r="I3117" i="1"/>
  <c r="J3117" i="1"/>
  <c r="K3117" i="1"/>
  <c r="M3117" i="1"/>
  <c r="O3117" i="1"/>
  <c r="Q3117" i="1"/>
  <c r="R3117" i="1"/>
  <c r="W3117" i="1"/>
  <c r="AA3117" i="1"/>
  <c r="AB3117" i="1"/>
  <c r="AE3117" i="1"/>
  <c r="AF3117" i="1"/>
  <c r="AM3117" i="1"/>
  <c r="AN3117" i="1"/>
  <c r="AO3117" i="1"/>
  <c r="AQ3117" i="1"/>
  <c r="AX3117" i="1"/>
  <c r="BD3117" i="1"/>
  <c r="B3118" i="1"/>
  <c r="C3118" i="1"/>
  <c r="D3118" i="1"/>
  <c r="E3118" i="1"/>
  <c r="F3118" i="1"/>
  <c r="G3118" i="1"/>
  <c r="H3118" i="1"/>
  <c r="I3118" i="1"/>
  <c r="J3118" i="1"/>
  <c r="K3118" i="1"/>
  <c r="M3118" i="1"/>
  <c r="O3118" i="1"/>
  <c r="Q3118" i="1"/>
  <c r="R3118" i="1"/>
  <c r="W3118" i="1"/>
  <c r="AA3118" i="1"/>
  <c r="AB3118" i="1"/>
  <c r="AE3118" i="1"/>
  <c r="AF3118" i="1"/>
  <c r="AM3118" i="1"/>
  <c r="AN3118" i="1"/>
  <c r="AO3118" i="1"/>
  <c r="AQ3118" i="1"/>
  <c r="AX3118" i="1"/>
  <c r="BD3118" i="1"/>
  <c r="B3119" i="1"/>
  <c r="C3119" i="1"/>
  <c r="E3119" i="1"/>
  <c r="F3119" i="1"/>
  <c r="G3119" i="1"/>
  <c r="H3119" i="1"/>
  <c r="I3119" i="1"/>
  <c r="J3119" i="1"/>
  <c r="K3119" i="1"/>
  <c r="M3119" i="1"/>
  <c r="O3119" i="1"/>
  <c r="Q3119" i="1"/>
  <c r="R3119" i="1"/>
  <c r="W3119" i="1"/>
  <c r="AA3119" i="1"/>
  <c r="AB3119" i="1"/>
  <c r="AE3119" i="1"/>
  <c r="AF3119" i="1"/>
  <c r="AM3119" i="1"/>
  <c r="AN3119" i="1"/>
  <c r="AO3119" i="1"/>
  <c r="AQ3119" i="1"/>
  <c r="AX3119" i="1"/>
  <c r="BD3119" i="1"/>
  <c r="B3120" i="1"/>
  <c r="C3120" i="1"/>
  <c r="E3120" i="1"/>
  <c r="F3120" i="1"/>
  <c r="G3120" i="1"/>
  <c r="H3120" i="1"/>
  <c r="I3120" i="1"/>
  <c r="J3120" i="1"/>
  <c r="K3120" i="1"/>
  <c r="M3120" i="1"/>
  <c r="O3120" i="1"/>
  <c r="Q3120" i="1"/>
  <c r="R3120" i="1"/>
  <c r="W3120" i="1"/>
  <c r="AA3120" i="1"/>
  <c r="AB3120" i="1"/>
  <c r="AE3120" i="1"/>
  <c r="AF3120" i="1"/>
  <c r="AM3120" i="1"/>
  <c r="AN3120" i="1"/>
  <c r="AO3120" i="1"/>
  <c r="AQ3120" i="1"/>
  <c r="AX3120" i="1"/>
  <c r="BD3120" i="1"/>
  <c r="B3121" i="1"/>
  <c r="C3121" i="1"/>
  <c r="E3121" i="1"/>
  <c r="F3121" i="1"/>
  <c r="G3121" i="1"/>
  <c r="H3121" i="1"/>
  <c r="I3121" i="1"/>
  <c r="J3121" i="1"/>
  <c r="K3121" i="1"/>
  <c r="M3121" i="1"/>
  <c r="O3121" i="1"/>
  <c r="Q3121" i="1"/>
  <c r="R3121" i="1"/>
  <c r="W3121" i="1"/>
  <c r="AA3121" i="1"/>
  <c r="AB3121" i="1"/>
  <c r="AE3121" i="1"/>
  <c r="AF3121" i="1"/>
  <c r="AM3121" i="1"/>
  <c r="AN3121" i="1"/>
  <c r="AO3121" i="1"/>
  <c r="AQ3121" i="1"/>
  <c r="AX3121" i="1"/>
  <c r="BD3121" i="1"/>
  <c r="B3122" i="1"/>
  <c r="C3122" i="1"/>
  <c r="D3122" i="1"/>
  <c r="E3122" i="1"/>
  <c r="F3122" i="1"/>
  <c r="G3122" i="1"/>
  <c r="H3122" i="1"/>
  <c r="I3122" i="1"/>
  <c r="J3122" i="1"/>
  <c r="K3122" i="1"/>
  <c r="M3122" i="1"/>
  <c r="O3122" i="1"/>
  <c r="Q3122" i="1"/>
  <c r="R3122" i="1"/>
  <c r="W3122" i="1"/>
  <c r="AA3122" i="1"/>
  <c r="AB3122" i="1"/>
  <c r="AE3122" i="1"/>
  <c r="AF3122" i="1"/>
  <c r="AM3122" i="1"/>
  <c r="AN3122" i="1"/>
  <c r="AO3122" i="1"/>
  <c r="AQ3122" i="1"/>
  <c r="AX3122" i="1"/>
  <c r="BD3122" i="1"/>
  <c r="B3123" i="1"/>
  <c r="C3123" i="1"/>
  <c r="D3123" i="1"/>
  <c r="E3123" i="1"/>
  <c r="F3123" i="1"/>
  <c r="G3123" i="1"/>
  <c r="H3123" i="1"/>
  <c r="I3123" i="1"/>
  <c r="J3123" i="1"/>
  <c r="K3123" i="1"/>
  <c r="M3123" i="1"/>
  <c r="O3123" i="1"/>
  <c r="Q3123" i="1"/>
  <c r="R3123" i="1"/>
  <c r="W3123" i="1"/>
  <c r="AA3123" i="1"/>
  <c r="AB3123" i="1"/>
  <c r="AE3123" i="1"/>
  <c r="AF3123" i="1"/>
  <c r="AM3123" i="1"/>
  <c r="AN3123" i="1"/>
  <c r="AO3123" i="1"/>
  <c r="AQ3123" i="1"/>
  <c r="AX3123" i="1"/>
  <c r="BD3123" i="1"/>
  <c r="B3124" i="1"/>
  <c r="C3124" i="1"/>
  <c r="D3124" i="1"/>
  <c r="E3124" i="1"/>
  <c r="F3124" i="1"/>
  <c r="G3124" i="1"/>
  <c r="H3124" i="1"/>
  <c r="I3124" i="1"/>
  <c r="J3124" i="1"/>
  <c r="K3124" i="1"/>
  <c r="M3124" i="1"/>
  <c r="O3124" i="1"/>
  <c r="Q3124" i="1"/>
  <c r="R3124" i="1"/>
  <c r="W3124" i="1"/>
  <c r="AA3124" i="1"/>
  <c r="AB3124" i="1"/>
  <c r="AE3124" i="1"/>
  <c r="AF3124" i="1"/>
  <c r="AM3124" i="1"/>
  <c r="AN3124" i="1"/>
  <c r="AO3124" i="1"/>
  <c r="AQ3124" i="1"/>
  <c r="AX3124" i="1"/>
  <c r="BD3124" i="1"/>
  <c r="B3125" i="1"/>
  <c r="C3125" i="1"/>
  <c r="D3125" i="1"/>
  <c r="E3125" i="1"/>
  <c r="F3125" i="1"/>
  <c r="G3125" i="1"/>
  <c r="H3125" i="1"/>
  <c r="I3125" i="1"/>
  <c r="J3125" i="1"/>
  <c r="K3125" i="1"/>
  <c r="M3125" i="1"/>
  <c r="O3125" i="1"/>
  <c r="Q3125" i="1"/>
  <c r="R3125" i="1"/>
  <c r="W3125" i="1"/>
  <c r="AA3125" i="1"/>
  <c r="AB3125" i="1"/>
  <c r="AE3125" i="1"/>
  <c r="AF3125" i="1"/>
  <c r="AM3125" i="1"/>
  <c r="AN3125" i="1"/>
  <c r="AO3125" i="1"/>
  <c r="AQ3125" i="1"/>
  <c r="AX3125" i="1"/>
  <c r="BD3125" i="1"/>
  <c r="B3126" i="1"/>
  <c r="C3126" i="1"/>
  <c r="D3126" i="1"/>
  <c r="E3126" i="1"/>
  <c r="F3126" i="1"/>
  <c r="G3126" i="1"/>
  <c r="H3126" i="1"/>
  <c r="I3126" i="1"/>
  <c r="J3126" i="1"/>
  <c r="K3126" i="1"/>
  <c r="M3126" i="1"/>
  <c r="O3126" i="1"/>
  <c r="Q3126" i="1"/>
  <c r="R3126" i="1"/>
  <c r="W3126" i="1"/>
  <c r="AA3126" i="1"/>
  <c r="AB3126" i="1"/>
  <c r="AE3126" i="1"/>
  <c r="AF3126" i="1"/>
  <c r="AM3126" i="1"/>
  <c r="AN3126" i="1"/>
  <c r="AO3126" i="1"/>
  <c r="AQ3126" i="1"/>
  <c r="AX3126" i="1"/>
  <c r="BD3126" i="1"/>
  <c r="B3127" i="1"/>
  <c r="C3127" i="1"/>
  <c r="D3127" i="1"/>
  <c r="E3127" i="1"/>
  <c r="F3127" i="1"/>
  <c r="G3127" i="1"/>
  <c r="H3127" i="1"/>
  <c r="I3127" i="1"/>
  <c r="J3127" i="1"/>
  <c r="K3127" i="1"/>
  <c r="M3127" i="1"/>
  <c r="O3127" i="1"/>
  <c r="Q3127" i="1"/>
  <c r="R3127" i="1"/>
  <c r="W3127" i="1"/>
  <c r="AA3127" i="1"/>
  <c r="AB3127" i="1"/>
  <c r="AE3127" i="1"/>
  <c r="AF3127" i="1"/>
  <c r="AM3127" i="1"/>
  <c r="AN3127" i="1"/>
  <c r="AO3127" i="1"/>
  <c r="AQ3127" i="1"/>
  <c r="AX3127" i="1"/>
  <c r="BD3127" i="1"/>
  <c r="B3128" i="1"/>
  <c r="C3128" i="1"/>
  <c r="D3128" i="1"/>
  <c r="E3128" i="1"/>
  <c r="F3128" i="1"/>
  <c r="G3128" i="1"/>
  <c r="H3128" i="1"/>
  <c r="I3128" i="1"/>
  <c r="J3128" i="1"/>
  <c r="K3128" i="1"/>
  <c r="M3128" i="1"/>
  <c r="O3128" i="1"/>
  <c r="Q3128" i="1"/>
  <c r="R3128" i="1"/>
  <c r="W3128" i="1"/>
  <c r="AA3128" i="1"/>
  <c r="AB3128" i="1"/>
  <c r="AE3128" i="1"/>
  <c r="AF3128" i="1"/>
  <c r="AM3128" i="1"/>
  <c r="AN3128" i="1"/>
  <c r="AO3128" i="1"/>
  <c r="AQ3128" i="1"/>
  <c r="AX3128" i="1"/>
  <c r="BD3128" i="1"/>
  <c r="B3129" i="1"/>
  <c r="C3129" i="1"/>
  <c r="D3129" i="1"/>
  <c r="E3129" i="1"/>
  <c r="F3129" i="1"/>
  <c r="G3129" i="1"/>
  <c r="H3129" i="1"/>
  <c r="I3129" i="1"/>
  <c r="J3129" i="1"/>
  <c r="K3129" i="1"/>
  <c r="M3129" i="1"/>
  <c r="O3129" i="1"/>
  <c r="Q3129" i="1"/>
  <c r="R3129" i="1"/>
  <c r="W3129" i="1"/>
  <c r="AA3129" i="1"/>
  <c r="AB3129" i="1"/>
  <c r="AE3129" i="1"/>
  <c r="AF3129" i="1"/>
  <c r="AM3129" i="1"/>
  <c r="AN3129" i="1"/>
  <c r="AO3129" i="1"/>
  <c r="AQ3129" i="1"/>
  <c r="AX3129" i="1"/>
  <c r="BD3129" i="1"/>
  <c r="B3130" i="1"/>
  <c r="C3130" i="1"/>
  <c r="E3130" i="1"/>
  <c r="F3130" i="1"/>
  <c r="G3130" i="1"/>
  <c r="H3130" i="1"/>
  <c r="I3130" i="1"/>
  <c r="J3130" i="1"/>
  <c r="K3130" i="1"/>
  <c r="M3130" i="1"/>
  <c r="O3130" i="1"/>
  <c r="Q3130" i="1"/>
  <c r="R3130" i="1"/>
  <c r="W3130" i="1"/>
  <c r="AA3130" i="1"/>
  <c r="AB3130" i="1"/>
  <c r="AE3130" i="1"/>
  <c r="AF3130" i="1"/>
  <c r="AM3130" i="1"/>
  <c r="AN3130" i="1"/>
  <c r="AO3130" i="1"/>
  <c r="AQ3130" i="1"/>
  <c r="AX3130" i="1"/>
  <c r="BD3130" i="1"/>
  <c r="B3131" i="1"/>
  <c r="C3131" i="1"/>
  <c r="E3131" i="1"/>
  <c r="F3131" i="1"/>
  <c r="G3131" i="1"/>
  <c r="H3131" i="1"/>
  <c r="I3131" i="1"/>
  <c r="J3131" i="1"/>
  <c r="K3131" i="1"/>
  <c r="M3131" i="1"/>
  <c r="O3131" i="1"/>
  <c r="Q3131" i="1"/>
  <c r="R3131" i="1"/>
  <c r="W3131" i="1"/>
  <c r="AA3131" i="1"/>
  <c r="AB3131" i="1"/>
  <c r="AE3131" i="1"/>
  <c r="AF3131" i="1"/>
  <c r="AM3131" i="1"/>
  <c r="AN3131" i="1"/>
  <c r="AO3131" i="1"/>
  <c r="AQ3131" i="1"/>
  <c r="AX3131" i="1"/>
  <c r="BD3131" i="1"/>
  <c r="B3132" i="1"/>
  <c r="C3132" i="1"/>
  <c r="E3132" i="1"/>
  <c r="F3132" i="1"/>
  <c r="G3132" i="1"/>
  <c r="H3132" i="1"/>
  <c r="I3132" i="1"/>
  <c r="J3132" i="1"/>
  <c r="K3132" i="1"/>
  <c r="M3132" i="1"/>
  <c r="O3132" i="1"/>
  <c r="Q3132" i="1"/>
  <c r="R3132" i="1"/>
  <c r="W3132" i="1"/>
  <c r="AA3132" i="1"/>
  <c r="AB3132" i="1"/>
  <c r="AE3132" i="1"/>
  <c r="AF3132" i="1"/>
  <c r="AM3132" i="1"/>
  <c r="AN3132" i="1"/>
  <c r="AO3132" i="1"/>
  <c r="AQ3132" i="1"/>
  <c r="AX3132" i="1"/>
  <c r="BD3132" i="1"/>
  <c r="B3133" i="1"/>
  <c r="C3133" i="1"/>
  <c r="D3133" i="1"/>
  <c r="E3133" i="1"/>
  <c r="F3133" i="1"/>
  <c r="G3133" i="1"/>
  <c r="H3133" i="1"/>
  <c r="I3133" i="1"/>
  <c r="J3133" i="1"/>
  <c r="K3133" i="1"/>
  <c r="M3133" i="1"/>
  <c r="O3133" i="1"/>
  <c r="Q3133" i="1"/>
  <c r="R3133" i="1"/>
  <c r="W3133" i="1"/>
  <c r="AA3133" i="1"/>
  <c r="AB3133" i="1"/>
  <c r="AE3133" i="1"/>
  <c r="AF3133" i="1"/>
  <c r="AM3133" i="1"/>
  <c r="AN3133" i="1"/>
  <c r="AO3133" i="1"/>
  <c r="AQ3133" i="1"/>
  <c r="AX3133" i="1"/>
  <c r="BD3133" i="1"/>
  <c r="B3134" i="1"/>
  <c r="C3134" i="1"/>
  <c r="D3134" i="1"/>
  <c r="E3134" i="1"/>
  <c r="F3134" i="1"/>
  <c r="G3134" i="1"/>
  <c r="H3134" i="1"/>
  <c r="I3134" i="1"/>
  <c r="J3134" i="1"/>
  <c r="K3134" i="1"/>
  <c r="M3134" i="1"/>
  <c r="O3134" i="1"/>
  <c r="Q3134" i="1"/>
  <c r="R3134" i="1"/>
  <c r="W3134" i="1"/>
  <c r="AA3134" i="1"/>
  <c r="AB3134" i="1"/>
  <c r="AE3134" i="1"/>
  <c r="AF3134" i="1"/>
  <c r="AM3134" i="1"/>
  <c r="AN3134" i="1"/>
  <c r="AO3134" i="1"/>
  <c r="AQ3134" i="1"/>
  <c r="AX3134" i="1"/>
  <c r="BD3134" i="1"/>
  <c r="B3135" i="1"/>
  <c r="C3135" i="1"/>
  <c r="D3135" i="1"/>
  <c r="E3135" i="1"/>
  <c r="F3135" i="1"/>
  <c r="G3135" i="1"/>
  <c r="H3135" i="1"/>
  <c r="I3135" i="1"/>
  <c r="J3135" i="1"/>
  <c r="K3135" i="1"/>
  <c r="M3135" i="1"/>
  <c r="O3135" i="1"/>
  <c r="Q3135" i="1"/>
  <c r="R3135" i="1"/>
  <c r="W3135" i="1"/>
  <c r="AA3135" i="1"/>
  <c r="AB3135" i="1"/>
  <c r="AE3135" i="1"/>
  <c r="AF3135" i="1"/>
  <c r="AM3135" i="1"/>
  <c r="AN3135" i="1"/>
  <c r="AO3135" i="1"/>
  <c r="AQ3135" i="1"/>
  <c r="AX3135" i="1"/>
  <c r="BD3135" i="1"/>
  <c r="B3136" i="1"/>
  <c r="C3136" i="1"/>
  <c r="D3136" i="1"/>
  <c r="E3136" i="1"/>
  <c r="F3136" i="1"/>
  <c r="G3136" i="1"/>
  <c r="H3136" i="1"/>
  <c r="I3136" i="1"/>
  <c r="J3136" i="1"/>
  <c r="K3136" i="1"/>
  <c r="M3136" i="1"/>
  <c r="O3136" i="1"/>
  <c r="Q3136" i="1"/>
  <c r="R3136" i="1"/>
  <c r="W3136" i="1"/>
  <c r="AA3136" i="1"/>
  <c r="AB3136" i="1"/>
  <c r="AE3136" i="1"/>
  <c r="AF3136" i="1"/>
  <c r="AM3136" i="1"/>
  <c r="AN3136" i="1"/>
  <c r="AO3136" i="1"/>
  <c r="AQ3136" i="1"/>
  <c r="AX3136" i="1"/>
  <c r="BD3136" i="1"/>
  <c r="B3137" i="1"/>
  <c r="C3137" i="1"/>
  <c r="D3137" i="1"/>
  <c r="E3137" i="1"/>
  <c r="F3137" i="1"/>
  <c r="G3137" i="1"/>
  <c r="H3137" i="1"/>
  <c r="I3137" i="1"/>
  <c r="J3137" i="1"/>
  <c r="K3137" i="1"/>
  <c r="M3137" i="1"/>
  <c r="O3137" i="1"/>
  <c r="Q3137" i="1"/>
  <c r="R3137" i="1"/>
  <c r="W3137" i="1"/>
  <c r="AA3137" i="1"/>
  <c r="AB3137" i="1"/>
  <c r="AE3137" i="1"/>
  <c r="AF3137" i="1"/>
  <c r="AM3137" i="1"/>
  <c r="AN3137" i="1"/>
  <c r="AO3137" i="1"/>
  <c r="AQ3137" i="1"/>
  <c r="AX3137" i="1"/>
  <c r="BD3137" i="1"/>
  <c r="B3138" i="1"/>
  <c r="C3138" i="1"/>
  <c r="D3138" i="1"/>
  <c r="E3138" i="1"/>
  <c r="F3138" i="1"/>
  <c r="G3138" i="1"/>
  <c r="H3138" i="1"/>
  <c r="I3138" i="1"/>
  <c r="J3138" i="1"/>
  <c r="K3138" i="1"/>
  <c r="M3138" i="1"/>
  <c r="O3138" i="1"/>
  <c r="Q3138" i="1"/>
  <c r="R3138" i="1"/>
  <c r="W3138" i="1"/>
  <c r="AA3138" i="1"/>
  <c r="AB3138" i="1"/>
  <c r="AE3138" i="1"/>
  <c r="AF3138" i="1"/>
  <c r="AM3138" i="1"/>
  <c r="AN3138" i="1"/>
  <c r="AO3138" i="1"/>
  <c r="AQ3138" i="1"/>
  <c r="AX3138" i="1"/>
  <c r="BD3138" i="1"/>
  <c r="B3139" i="1"/>
  <c r="C3139" i="1"/>
  <c r="D3139" i="1"/>
  <c r="E3139" i="1"/>
  <c r="F3139" i="1"/>
  <c r="G3139" i="1"/>
  <c r="H3139" i="1"/>
  <c r="I3139" i="1"/>
  <c r="J3139" i="1"/>
  <c r="K3139" i="1"/>
  <c r="M3139" i="1"/>
  <c r="O3139" i="1"/>
  <c r="Q3139" i="1"/>
  <c r="R3139" i="1"/>
  <c r="W3139" i="1"/>
  <c r="AA3139" i="1"/>
  <c r="AB3139" i="1"/>
  <c r="AE3139" i="1"/>
  <c r="AF3139" i="1"/>
  <c r="AM3139" i="1"/>
  <c r="AN3139" i="1"/>
  <c r="AO3139" i="1"/>
  <c r="AQ3139" i="1"/>
  <c r="AX3139" i="1"/>
  <c r="BD3139" i="1"/>
  <c r="B3140" i="1"/>
  <c r="C3140" i="1"/>
  <c r="D3140" i="1"/>
  <c r="E3140" i="1"/>
  <c r="F3140" i="1"/>
  <c r="G3140" i="1"/>
  <c r="H3140" i="1"/>
  <c r="I3140" i="1"/>
  <c r="J3140" i="1"/>
  <c r="K3140" i="1"/>
  <c r="M3140" i="1"/>
  <c r="O3140" i="1"/>
  <c r="Q3140" i="1"/>
  <c r="R3140" i="1"/>
  <c r="W3140" i="1"/>
  <c r="AA3140" i="1"/>
  <c r="AB3140" i="1"/>
  <c r="AE3140" i="1"/>
  <c r="AF3140" i="1"/>
  <c r="AM3140" i="1"/>
  <c r="AN3140" i="1"/>
  <c r="AO3140" i="1"/>
  <c r="AQ3140" i="1"/>
  <c r="AX3140" i="1"/>
  <c r="BD3140" i="1"/>
  <c r="B3141" i="1"/>
  <c r="C3141" i="1"/>
  <c r="D3141" i="1"/>
  <c r="E3141" i="1"/>
  <c r="F3141" i="1"/>
  <c r="G3141" i="1"/>
  <c r="H3141" i="1"/>
  <c r="I3141" i="1"/>
  <c r="J3141" i="1"/>
  <c r="K3141" i="1"/>
  <c r="M3141" i="1"/>
  <c r="O3141" i="1"/>
  <c r="Q3141" i="1"/>
  <c r="R3141" i="1"/>
  <c r="W3141" i="1"/>
  <c r="AA3141" i="1"/>
  <c r="AB3141" i="1"/>
  <c r="AE3141" i="1"/>
  <c r="AF3141" i="1"/>
  <c r="AM3141" i="1"/>
  <c r="AN3141" i="1"/>
  <c r="AO3141" i="1"/>
  <c r="AQ3141" i="1"/>
  <c r="AX3141" i="1"/>
  <c r="BD3141" i="1"/>
  <c r="B3142" i="1"/>
  <c r="C3142" i="1"/>
  <c r="D3142" i="1"/>
  <c r="E3142" i="1"/>
  <c r="F3142" i="1"/>
  <c r="G3142" i="1"/>
  <c r="H3142" i="1"/>
  <c r="I3142" i="1"/>
  <c r="J3142" i="1"/>
  <c r="K3142" i="1"/>
  <c r="M3142" i="1"/>
  <c r="O3142" i="1"/>
  <c r="Q3142" i="1"/>
  <c r="R3142" i="1"/>
  <c r="W3142" i="1"/>
  <c r="AA3142" i="1"/>
  <c r="AB3142" i="1"/>
  <c r="AE3142" i="1"/>
  <c r="AF3142" i="1"/>
  <c r="AM3142" i="1"/>
  <c r="AN3142" i="1"/>
  <c r="AO3142" i="1"/>
  <c r="AQ3142" i="1"/>
  <c r="AX3142" i="1"/>
  <c r="BD3142" i="1"/>
  <c r="B3143" i="1"/>
  <c r="C3143" i="1"/>
  <c r="E3143" i="1"/>
  <c r="F3143" i="1"/>
  <c r="G3143" i="1"/>
  <c r="H3143" i="1"/>
  <c r="I3143" i="1"/>
  <c r="J3143" i="1"/>
  <c r="K3143" i="1"/>
  <c r="M3143" i="1"/>
  <c r="O3143" i="1"/>
  <c r="Q3143" i="1"/>
  <c r="R3143" i="1"/>
  <c r="W3143" i="1"/>
  <c r="AA3143" i="1"/>
  <c r="AB3143" i="1"/>
  <c r="AE3143" i="1"/>
  <c r="AF3143" i="1"/>
  <c r="AM3143" i="1"/>
  <c r="AN3143" i="1"/>
  <c r="AO3143" i="1"/>
  <c r="AQ3143" i="1"/>
  <c r="AX3143" i="1"/>
  <c r="BD3143" i="1"/>
  <c r="B3144" i="1"/>
  <c r="C3144" i="1"/>
  <c r="E3144" i="1"/>
  <c r="F3144" i="1"/>
  <c r="G3144" i="1"/>
  <c r="H3144" i="1"/>
  <c r="I3144" i="1"/>
  <c r="J3144" i="1"/>
  <c r="K3144" i="1"/>
  <c r="M3144" i="1"/>
  <c r="O3144" i="1"/>
  <c r="Q3144" i="1"/>
  <c r="R3144" i="1"/>
  <c r="W3144" i="1"/>
  <c r="AA3144" i="1"/>
  <c r="AB3144" i="1"/>
  <c r="AE3144" i="1"/>
  <c r="AF3144" i="1"/>
  <c r="AM3144" i="1"/>
  <c r="AN3144" i="1"/>
  <c r="AO3144" i="1"/>
  <c r="AQ3144" i="1"/>
  <c r="AX3144" i="1"/>
  <c r="BD3144" i="1"/>
  <c r="B3145" i="1"/>
  <c r="C3145" i="1"/>
  <c r="D3145" i="1"/>
  <c r="E3145" i="1"/>
  <c r="F3145" i="1"/>
  <c r="G3145" i="1"/>
  <c r="H3145" i="1"/>
  <c r="I3145" i="1"/>
  <c r="J3145" i="1"/>
  <c r="K3145" i="1"/>
  <c r="M3145" i="1"/>
  <c r="O3145" i="1"/>
  <c r="Q3145" i="1"/>
  <c r="R3145" i="1"/>
  <c r="W3145" i="1"/>
  <c r="AA3145" i="1"/>
  <c r="AB3145" i="1"/>
  <c r="AE3145" i="1"/>
  <c r="AF3145" i="1"/>
  <c r="AM3145" i="1"/>
  <c r="AN3145" i="1"/>
  <c r="AO3145" i="1"/>
  <c r="AQ3145" i="1"/>
  <c r="AX3145" i="1"/>
  <c r="BD3145" i="1"/>
  <c r="B3146" i="1"/>
  <c r="C3146" i="1"/>
  <c r="D3146" i="1"/>
  <c r="E3146" i="1"/>
  <c r="F3146" i="1"/>
  <c r="G3146" i="1"/>
  <c r="H3146" i="1"/>
  <c r="I3146" i="1"/>
  <c r="J3146" i="1"/>
  <c r="K3146" i="1"/>
  <c r="M3146" i="1"/>
  <c r="O3146" i="1"/>
  <c r="Q3146" i="1"/>
  <c r="R3146" i="1"/>
  <c r="W3146" i="1"/>
  <c r="AA3146" i="1"/>
  <c r="AB3146" i="1"/>
  <c r="AM3146" i="1"/>
  <c r="AN3146" i="1"/>
  <c r="AO3146" i="1"/>
  <c r="AQ3146" i="1"/>
  <c r="AX3146" i="1"/>
  <c r="BD3146" i="1"/>
  <c r="B3147" i="1"/>
  <c r="C3147" i="1"/>
  <c r="D3147" i="1"/>
  <c r="E3147" i="1"/>
  <c r="F3147" i="1"/>
  <c r="G3147" i="1"/>
  <c r="H3147" i="1"/>
  <c r="I3147" i="1"/>
  <c r="J3147" i="1"/>
  <c r="K3147" i="1"/>
  <c r="M3147" i="1"/>
  <c r="O3147" i="1"/>
  <c r="Q3147" i="1"/>
  <c r="R3147" i="1"/>
  <c r="W3147" i="1"/>
  <c r="AA3147" i="1"/>
  <c r="AB3147" i="1"/>
  <c r="AM3147" i="1"/>
  <c r="AN3147" i="1"/>
  <c r="AO3147" i="1"/>
  <c r="AQ3147" i="1"/>
  <c r="AX3147" i="1"/>
  <c r="BD3147" i="1"/>
  <c r="B3148" i="1"/>
  <c r="C3148" i="1"/>
  <c r="D3148" i="1"/>
  <c r="E3148" i="1"/>
  <c r="F3148" i="1"/>
  <c r="G3148" i="1"/>
  <c r="H3148" i="1"/>
  <c r="I3148" i="1"/>
  <c r="J3148" i="1"/>
  <c r="K3148" i="1"/>
  <c r="M3148" i="1"/>
  <c r="O3148" i="1"/>
  <c r="Q3148" i="1"/>
  <c r="R3148" i="1"/>
  <c r="W3148" i="1"/>
  <c r="AA3148" i="1"/>
  <c r="AB3148" i="1"/>
  <c r="AE3148" i="1"/>
  <c r="AF3148" i="1"/>
  <c r="AM3148" i="1"/>
  <c r="AN3148" i="1"/>
  <c r="AO3148" i="1"/>
  <c r="AQ3148" i="1"/>
  <c r="AX3148" i="1"/>
  <c r="BD3148" i="1"/>
  <c r="B3149" i="1"/>
  <c r="C3149" i="1"/>
  <c r="D3149" i="1"/>
  <c r="E3149" i="1"/>
  <c r="F3149" i="1"/>
  <c r="G3149" i="1"/>
  <c r="H3149" i="1"/>
  <c r="I3149" i="1"/>
  <c r="J3149" i="1"/>
  <c r="K3149" i="1"/>
  <c r="M3149" i="1"/>
  <c r="O3149" i="1"/>
  <c r="Q3149" i="1"/>
  <c r="R3149" i="1"/>
  <c r="W3149" i="1"/>
  <c r="AA3149" i="1"/>
  <c r="AB3149" i="1"/>
  <c r="AE3149" i="1"/>
  <c r="AF3149" i="1"/>
  <c r="AM3149" i="1"/>
  <c r="AN3149" i="1"/>
  <c r="AO3149" i="1"/>
  <c r="AQ3149" i="1"/>
  <c r="AX3149" i="1"/>
  <c r="BD3149" i="1"/>
  <c r="B3150" i="1"/>
  <c r="C3150" i="1"/>
  <c r="D3150" i="1"/>
  <c r="E3150" i="1"/>
  <c r="F3150" i="1"/>
  <c r="G3150" i="1"/>
  <c r="H3150" i="1"/>
  <c r="I3150" i="1"/>
  <c r="J3150" i="1"/>
  <c r="K3150" i="1"/>
  <c r="M3150" i="1"/>
  <c r="O3150" i="1"/>
  <c r="Q3150" i="1"/>
  <c r="R3150" i="1"/>
  <c r="W3150" i="1"/>
  <c r="AA3150" i="1"/>
  <c r="AB3150" i="1"/>
  <c r="AE3150" i="1"/>
  <c r="AF3150" i="1"/>
  <c r="AM3150" i="1"/>
  <c r="AN3150" i="1"/>
  <c r="AO3150" i="1"/>
  <c r="AQ3150" i="1"/>
  <c r="AX3150" i="1"/>
  <c r="BD3150" i="1"/>
  <c r="B3151" i="1"/>
  <c r="C3151" i="1"/>
  <c r="D3151" i="1"/>
  <c r="E3151" i="1"/>
  <c r="F3151" i="1"/>
  <c r="G3151" i="1"/>
  <c r="H3151" i="1"/>
  <c r="I3151" i="1"/>
  <c r="J3151" i="1"/>
  <c r="K3151" i="1"/>
  <c r="M3151" i="1"/>
  <c r="O3151" i="1"/>
  <c r="Q3151" i="1"/>
  <c r="R3151" i="1"/>
  <c r="W3151" i="1"/>
  <c r="AA3151" i="1"/>
  <c r="AB3151" i="1"/>
  <c r="AM3151" i="1"/>
  <c r="AN3151" i="1"/>
  <c r="AO3151" i="1"/>
  <c r="AQ3151" i="1"/>
  <c r="AX3151" i="1"/>
  <c r="BD3151" i="1"/>
  <c r="B3152" i="1"/>
  <c r="C3152" i="1"/>
  <c r="E3152" i="1"/>
  <c r="F3152" i="1"/>
  <c r="G3152" i="1"/>
  <c r="H3152" i="1"/>
  <c r="I3152" i="1"/>
  <c r="J3152" i="1"/>
  <c r="K3152" i="1"/>
  <c r="M3152" i="1"/>
  <c r="O3152" i="1"/>
  <c r="Q3152" i="1"/>
  <c r="R3152" i="1"/>
  <c r="W3152" i="1"/>
  <c r="AA3152" i="1"/>
  <c r="AB3152" i="1"/>
  <c r="AE3152" i="1"/>
  <c r="AF3152" i="1"/>
  <c r="AM3152" i="1"/>
  <c r="AN3152" i="1"/>
  <c r="AO3152" i="1"/>
  <c r="AQ3152" i="1"/>
  <c r="AX3152" i="1"/>
  <c r="BD3152" i="1"/>
  <c r="B3153" i="1"/>
  <c r="C3153" i="1"/>
  <c r="D3153" i="1"/>
  <c r="E3153" i="1"/>
  <c r="F3153" i="1"/>
  <c r="G3153" i="1"/>
  <c r="H3153" i="1"/>
  <c r="I3153" i="1"/>
  <c r="J3153" i="1"/>
  <c r="K3153" i="1"/>
  <c r="M3153" i="1"/>
  <c r="O3153" i="1"/>
  <c r="Q3153" i="1"/>
  <c r="R3153" i="1"/>
  <c r="W3153" i="1"/>
  <c r="AA3153" i="1"/>
  <c r="AB3153" i="1"/>
  <c r="AE3153" i="1"/>
  <c r="AF3153" i="1"/>
  <c r="AM3153" i="1"/>
  <c r="AN3153" i="1"/>
  <c r="AO3153" i="1"/>
  <c r="AQ3153" i="1"/>
  <c r="AX3153" i="1"/>
  <c r="BD3153" i="1"/>
  <c r="B3154" i="1"/>
  <c r="C3154" i="1"/>
  <c r="D3154" i="1"/>
  <c r="E3154" i="1"/>
  <c r="F3154" i="1"/>
  <c r="G3154" i="1"/>
  <c r="H3154" i="1"/>
  <c r="I3154" i="1"/>
  <c r="J3154" i="1"/>
  <c r="K3154" i="1"/>
  <c r="M3154" i="1"/>
  <c r="O3154" i="1"/>
  <c r="Q3154" i="1"/>
  <c r="R3154" i="1"/>
  <c r="W3154" i="1"/>
  <c r="AA3154" i="1"/>
  <c r="AB3154" i="1"/>
  <c r="AE3154" i="1"/>
  <c r="AF3154" i="1"/>
  <c r="AM3154" i="1"/>
  <c r="AN3154" i="1"/>
  <c r="AO3154" i="1"/>
  <c r="AQ3154" i="1"/>
  <c r="AX3154" i="1"/>
  <c r="BD3154" i="1"/>
  <c r="B3155" i="1"/>
  <c r="C3155" i="1"/>
  <c r="D3155" i="1"/>
  <c r="E3155" i="1"/>
  <c r="F3155" i="1"/>
  <c r="G3155" i="1"/>
  <c r="H3155" i="1"/>
  <c r="I3155" i="1"/>
  <c r="J3155" i="1"/>
  <c r="K3155" i="1"/>
  <c r="M3155" i="1"/>
  <c r="O3155" i="1"/>
  <c r="Q3155" i="1"/>
  <c r="R3155" i="1"/>
  <c r="W3155" i="1"/>
  <c r="AA3155" i="1"/>
  <c r="AB3155" i="1"/>
  <c r="AE3155" i="1"/>
  <c r="AF3155" i="1"/>
  <c r="AM3155" i="1"/>
  <c r="AN3155" i="1"/>
  <c r="AO3155" i="1"/>
  <c r="AQ3155" i="1"/>
  <c r="AX3155" i="1"/>
  <c r="BD3155" i="1"/>
  <c r="B3156" i="1"/>
  <c r="C3156" i="1"/>
  <c r="D3156" i="1"/>
  <c r="E3156" i="1"/>
  <c r="F3156" i="1"/>
  <c r="G3156" i="1"/>
  <c r="H3156" i="1"/>
  <c r="I3156" i="1"/>
  <c r="J3156" i="1"/>
  <c r="K3156" i="1"/>
  <c r="M3156" i="1"/>
  <c r="O3156" i="1"/>
  <c r="Q3156" i="1"/>
  <c r="R3156" i="1"/>
  <c r="W3156" i="1"/>
  <c r="AA3156" i="1"/>
  <c r="AB3156" i="1"/>
  <c r="AE3156" i="1"/>
  <c r="AF3156" i="1"/>
  <c r="AM3156" i="1"/>
  <c r="AN3156" i="1"/>
  <c r="AO3156" i="1"/>
  <c r="AQ3156" i="1"/>
  <c r="AX3156" i="1"/>
  <c r="BD3156" i="1"/>
  <c r="B3157" i="1"/>
  <c r="C3157" i="1"/>
  <c r="E3157" i="1"/>
  <c r="F3157" i="1"/>
  <c r="G3157" i="1"/>
  <c r="H3157" i="1"/>
  <c r="I3157" i="1"/>
  <c r="J3157" i="1"/>
  <c r="K3157" i="1"/>
  <c r="M3157" i="1"/>
  <c r="O3157" i="1"/>
  <c r="Q3157" i="1"/>
  <c r="R3157" i="1"/>
  <c r="W3157" i="1"/>
  <c r="AA3157" i="1"/>
  <c r="AB3157" i="1"/>
  <c r="AE3157" i="1"/>
  <c r="AF3157" i="1"/>
  <c r="AM3157" i="1"/>
  <c r="AN3157" i="1"/>
  <c r="AO3157" i="1"/>
  <c r="AQ3157" i="1"/>
  <c r="AX3157" i="1"/>
  <c r="BD3157" i="1"/>
  <c r="B3158" i="1"/>
  <c r="C3158" i="1"/>
  <c r="E3158" i="1"/>
  <c r="F3158" i="1"/>
  <c r="G3158" i="1"/>
  <c r="H3158" i="1"/>
  <c r="I3158" i="1"/>
  <c r="J3158" i="1"/>
  <c r="K3158" i="1"/>
  <c r="M3158" i="1"/>
  <c r="O3158" i="1"/>
  <c r="Q3158" i="1"/>
  <c r="R3158" i="1"/>
  <c r="W3158" i="1"/>
  <c r="AA3158" i="1"/>
  <c r="AB3158" i="1"/>
  <c r="AE3158" i="1"/>
  <c r="AF3158" i="1"/>
  <c r="AM3158" i="1"/>
  <c r="AN3158" i="1"/>
  <c r="AO3158" i="1"/>
  <c r="AQ3158" i="1"/>
  <c r="AX3158" i="1"/>
  <c r="BD3158" i="1"/>
  <c r="B3159" i="1"/>
  <c r="C3159" i="1"/>
  <c r="E3159" i="1"/>
  <c r="F3159" i="1"/>
  <c r="G3159" i="1"/>
  <c r="H3159" i="1"/>
  <c r="I3159" i="1"/>
  <c r="J3159" i="1"/>
  <c r="K3159" i="1"/>
  <c r="M3159" i="1"/>
  <c r="O3159" i="1"/>
  <c r="Q3159" i="1"/>
  <c r="R3159" i="1"/>
  <c r="W3159" i="1"/>
  <c r="AA3159" i="1"/>
  <c r="AB3159" i="1"/>
  <c r="AE3159" i="1"/>
  <c r="AF3159" i="1"/>
  <c r="AM3159" i="1"/>
  <c r="AN3159" i="1"/>
  <c r="AO3159" i="1"/>
  <c r="AQ3159" i="1"/>
  <c r="AX3159" i="1"/>
  <c r="BD3159" i="1"/>
  <c r="B3160" i="1"/>
  <c r="C3160" i="1"/>
  <c r="E3160" i="1"/>
  <c r="F3160" i="1"/>
  <c r="G3160" i="1"/>
  <c r="H3160" i="1"/>
  <c r="I3160" i="1"/>
  <c r="J3160" i="1"/>
  <c r="K3160" i="1"/>
  <c r="M3160" i="1"/>
  <c r="O3160" i="1"/>
  <c r="Q3160" i="1"/>
  <c r="R3160" i="1"/>
  <c r="W3160" i="1"/>
  <c r="AA3160" i="1"/>
  <c r="AB3160" i="1"/>
  <c r="AE3160" i="1"/>
  <c r="AF3160" i="1"/>
  <c r="AM3160" i="1"/>
  <c r="AN3160" i="1"/>
  <c r="AO3160" i="1"/>
  <c r="AQ3160" i="1"/>
  <c r="AX3160" i="1"/>
  <c r="BD3160" i="1"/>
  <c r="B3161" i="1"/>
  <c r="C3161" i="1"/>
  <c r="D3161" i="1"/>
  <c r="E3161" i="1"/>
  <c r="F3161" i="1"/>
  <c r="G3161" i="1"/>
  <c r="H3161" i="1"/>
  <c r="I3161" i="1"/>
  <c r="J3161" i="1"/>
  <c r="K3161" i="1"/>
  <c r="M3161" i="1"/>
  <c r="O3161" i="1"/>
  <c r="Q3161" i="1"/>
  <c r="R3161" i="1"/>
  <c r="W3161" i="1"/>
  <c r="AA3161" i="1"/>
  <c r="AB3161" i="1"/>
  <c r="AE3161" i="1"/>
  <c r="AF3161" i="1"/>
  <c r="AM3161" i="1"/>
  <c r="AN3161" i="1"/>
  <c r="AO3161" i="1"/>
  <c r="AQ3161" i="1"/>
  <c r="AX3161" i="1"/>
  <c r="BD3161" i="1"/>
  <c r="B3162" i="1"/>
  <c r="C3162" i="1"/>
  <c r="D3162" i="1"/>
  <c r="E3162" i="1"/>
  <c r="F3162" i="1"/>
  <c r="G3162" i="1"/>
  <c r="H3162" i="1"/>
  <c r="I3162" i="1"/>
  <c r="J3162" i="1"/>
  <c r="K3162" i="1"/>
  <c r="M3162" i="1"/>
  <c r="O3162" i="1"/>
  <c r="Q3162" i="1"/>
  <c r="R3162" i="1"/>
  <c r="W3162" i="1"/>
  <c r="AA3162" i="1"/>
  <c r="AB3162" i="1"/>
  <c r="AE3162" i="1"/>
  <c r="AF3162" i="1"/>
  <c r="AM3162" i="1"/>
  <c r="AN3162" i="1"/>
  <c r="AO3162" i="1"/>
  <c r="AQ3162" i="1"/>
  <c r="AX3162" i="1"/>
  <c r="BD3162" i="1"/>
  <c r="B3163" i="1"/>
  <c r="C3163" i="1"/>
  <c r="D3163" i="1"/>
  <c r="E3163" i="1"/>
  <c r="F3163" i="1"/>
  <c r="G3163" i="1"/>
  <c r="H3163" i="1"/>
  <c r="I3163" i="1"/>
  <c r="J3163" i="1"/>
  <c r="K3163" i="1"/>
  <c r="M3163" i="1"/>
  <c r="O3163" i="1"/>
  <c r="Q3163" i="1"/>
  <c r="R3163" i="1"/>
  <c r="W3163" i="1"/>
  <c r="AA3163" i="1"/>
  <c r="AB3163" i="1"/>
  <c r="AE3163" i="1"/>
  <c r="AF3163" i="1"/>
  <c r="AM3163" i="1"/>
  <c r="AN3163" i="1"/>
  <c r="AO3163" i="1"/>
  <c r="AQ3163" i="1"/>
  <c r="AX3163" i="1"/>
  <c r="BD3163" i="1"/>
  <c r="B3164" i="1"/>
  <c r="C3164" i="1"/>
  <c r="D3164" i="1"/>
  <c r="E3164" i="1"/>
  <c r="F3164" i="1"/>
  <c r="G3164" i="1"/>
  <c r="H3164" i="1"/>
  <c r="I3164" i="1"/>
  <c r="J3164" i="1"/>
  <c r="K3164" i="1"/>
  <c r="M3164" i="1"/>
  <c r="O3164" i="1"/>
  <c r="Q3164" i="1"/>
  <c r="R3164" i="1"/>
  <c r="W3164" i="1"/>
  <c r="AA3164" i="1"/>
  <c r="AB3164" i="1"/>
  <c r="AE3164" i="1"/>
  <c r="AF3164" i="1"/>
  <c r="AM3164" i="1"/>
  <c r="AN3164" i="1"/>
  <c r="AO3164" i="1"/>
  <c r="AQ3164" i="1"/>
  <c r="AX3164" i="1"/>
  <c r="BD3164" i="1"/>
  <c r="B3165" i="1"/>
  <c r="C3165" i="1"/>
  <c r="D3165" i="1"/>
  <c r="E3165" i="1"/>
  <c r="F3165" i="1"/>
  <c r="G3165" i="1"/>
  <c r="H3165" i="1"/>
  <c r="I3165" i="1"/>
  <c r="J3165" i="1"/>
  <c r="K3165" i="1"/>
  <c r="M3165" i="1"/>
  <c r="O3165" i="1"/>
  <c r="Q3165" i="1"/>
  <c r="R3165" i="1"/>
  <c r="W3165" i="1"/>
  <c r="AA3165" i="1"/>
  <c r="AB3165" i="1"/>
  <c r="AE3165" i="1"/>
  <c r="AF3165" i="1"/>
  <c r="AM3165" i="1"/>
  <c r="AN3165" i="1"/>
  <c r="AO3165" i="1"/>
  <c r="AQ3165" i="1"/>
  <c r="AX3165" i="1"/>
  <c r="BD3165" i="1"/>
  <c r="B3166" i="1"/>
  <c r="C3166" i="1"/>
  <c r="D3166" i="1"/>
  <c r="E3166" i="1"/>
  <c r="F3166" i="1"/>
  <c r="G3166" i="1"/>
  <c r="H3166" i="1"/>
  <c r="I3166" i="1"/>
  <c r="J3166" i="1"/>
  <c r="K3166" i="1"/>
  <c r="M3166" i="1"/>
  <c r="O3166" i="1"/>
  <c r="Q3166" i="1"/>
  <c r="R3166" i="1"/>
  <c r="W3166" i="1"/>
  <c r="AA3166" i="1"/>
  <c r="AB3166" i="1"/>
  <c r="AE3166" i="1"/>
  <c r="AF3166" i="1"/>
  <c r="AM3166" i="1"/>
  <c r="AN3166" i="1"/>
  <c r="AO3166" i="1"/>
  <c r="AQ3166" i="1"/>
  <c r="AX3166" i="1"/>
  <c r="BD3166" i="1"/>
  <c r="B3167" i="1"/>
  <c r="C3167" i="1"/>
  <c r="D3167" i="1"/>
  <c r="E3167" i="1"/>
  <c r="F3167" i="1"/>
  <c r="G3167" i="1"/>
  <c r="H3167" i="1"/>
  <c r="I3167" i="1"/>
  <c r="J3167" i="1"/>
  <c r="K3167" i="1"/>
  <c r="M3167" i="1"/>
  <c r="O3167" i="1"/>
  <c r="Q3167" i="1"/>
  <c r="R3167" i="1"/>
  <c r="W3167" i="1"/>
  <c r="AA3167" i="1"/>
  <c r="AB3167" i="1"/>
  <c r="AE3167" i="1"/>
  <c r="AF3167" i="1"/>
  <c r="AM3167" i="1"/>
  <c r="AN3167" i="1"/>
  <c r="AO3167" i="1"/>
  <c r="AQ3167" i="1"/>
  <c r="AX3167" i="1"/>
  <c r="BD3167" i="1"/>
  <c r="B3168" i="1"/>
  <c r="C3168" i="1"/>
  <c r="D3168" i="1"/>
  <c r="E3168" i="1"/>
  <c r="F3168" i="1"/>
  <c r="G3168" i="1"/>
  <c r="H3168" i="1"/>
  <c r="I3168" i="1"/>
  <c r="J3168" i="1"/>
  <c r="K3168" i="1"/>
  <c r="M3168" i="1"/>
  <c r="O3168" i="1"/>
  <c r="Q3168" i="1"/>
  <c r="R3168" i="1"/>
  <c r="W3168" i="1"/>
  <c r="AA3168" i="1"/>
  <c r="AB3168" i="1"/>
  <c r="AE3168" i="1"/>
  <c r="AF3168" i="1"/>
  <c r="AM3168" i="1"/>
  <c r="AN3168" i="1"/>
  <c r="AO3168" i="1"/>
  <c r="AQ3168" i="1"/>
  <c r="AX3168" i="1"/>
  <c r="BD3168" i="1"/>
  <c r="B3169" i="1"/>
  <c r="C3169" i="1"/>
  <c r="D3169" i="1"/>
  <c r="E3169" i="1"/>
  <c r="F3169" i="1"/>
  <c r="G3169" i="1"/>
  <c r="H3169" i="1"/>
  <c r="I3169" i="1"/>
  <c r="J3169" i="1"/>
  <c r="K3169" i="1"/>
  <c r="M3169" i="1"/>
  <c r="O3169" i="1"/>
  <c r="Q3169" i="1"/>
  <c r="R3169" i="1"/>
  <c r="W3169" i="1"/>
  <c r="AA3169" i="1"/>
  <c r="AB3169" i="1"/>
  <c r="AE3169" i="1"/>
  <c r="AF3169" i="1"/>
  <c r="AM3169" i="1"/>
  <c r="AN3169" i="1"/>
  <c r="AO3169" i="1"/>
  <c r="AQ3169" i="1"/>
  <c r="AX3169" i="1"/>
  <c r="BD3169" i="1"/>
  <c r="B3170" i="1"/>
  <c r="C3170" i="1"/>
  <c r="D3170" i="1"/>
  <c r="E3170" i="1"/>
  <c r="F3170" i="1"/>
  <c r="G3170" i="1"/>
  <c r="H3170" i="1"/>
  <c r="I3170" i="1"/>
  <c r="J3170" i="1"/>
  <c r="K3170" i="1"/>
  <c r="M3170" i="1"/>
  <c r="O3170" i="1"/>
  <c r="Q3170" i="1"/>
  <c r="R3170" i="1"/>
  <c r="W3170" i="1"/>
  <c r="AA3170" i="1"/>
  <c r="AB3170" i="1"/>
  <c r="AE3170" i="1"/>
  <c r="AF3170" i="1"/>
  <c r="AM3170" i="1"/>
  <c r="AN3170" i="1"/>
  <c r="AO3170" i="1"/>
  <c r="AQ3170" i="1"/>
  <c r="AX3170" i="1"/>
  <c r="BD3170" i="1"/>
  <c r="B3171" i="1"/>
  <c r="C3171" i="1"/>
  <c r="D3171" i="1"/>
  <c r="E3171" i="1"/>
  <c r="F3171" i="1"/>
  <c r="G3171" i="1"/>
  <c r="H3171" i="1"/>
  <c r="I3171" i="1"/>
  <c r="J3171" i="1"/>
  <c r="K3171" i="1"/>
  <c r="M3171" i="1"/>
  <c r="O3171" i="1"/>
  <c r="Q3171" i="1"/>
  <c r="R3171" i="1"/>
  <c r="W3171" i="1"/>
  <c r="AA3171" i="1"/>
  <c r="AB3171" i="1"/>
  <c r="AE3171" i="1"/>
  <c r="AF3171" i="1"/>
  <c r="AM3171" i="1"/>
  <c r="AN3171" i="1"/>
  <c r="AO3171" i="1"/>
  <c r="AQ3171" i="1"/>
  <c r="AX3171" i="1"/>
  <c r="BD3171" i="1"/>
  <c r="B3172" i="1"/>
  <c r="C3172" i="1"/>
  <c r="D3172" i="1"/>
  <c r="E3172" i="1"/>
  <c r="F3172" i="1"/>
  <c r="G3172" i="1"/>
  <c r="H3172" i="1"/>
  <c r="I3172" i="1"/>
  <c r="J3172" i="1"/>
  <c r="K3172" i="1"/>
  <c r="M3172" i="1"/>
  <c r="O3172" i="1"/>
  <c r="Q3172" i="1"/>
  <c r="R3172" i="1"/>
  <c r="W3172" i="1"/>
  <c r="AA3172" i="1"/>
  <c r="AB3172" i="1"/>
  <c r="AM3172" i="1"/>
  <c r="AN3172" i="1"/>
  <c r="AO3172" i="1"/>
  <c r="AQ3172" i="1"/>
  <c r="AX3172" i="1"/>
  <c r="BD3172" i="1"/>
  <c r="B3173" i="1"/>
  <c r="C3173" i="1"/>
  <c r="E3173" i="1"/>
  <c r="F3173" i="1"/>
  <c r="G3173" i="1"/>
  <c r="H3173" i="1"/>
  <c r="I3173" i="1"/>
  <c r="J3173" i="1"/>
  <c r="K3173" i="1"/>
  <c r="M3173" i="1"/>
  <c r="O3173" i="1"/>
  <c r="Q3173" i="1"/>
  <c r="R3173" i="1"/>
  <c r="W3173" i="1"/>
  <c r="AA3173" i="1"/>
  <c r="AB3173" i="1"/>
  <c r="AE3173" i="1"/>
  <c r="AF3173" i="1"/>
  <c r="AM3173" i="1"/>
  <c r="AN3173" i="1"/>
  <c r="AO3173" i="1"/>
  <c r="AQ3173" i="1"/>
  <c r="AX3173" i="1"/>
  <c r="BD3173" i="1"/>
  <c r="B3174" i="1"/>
  <c r="C3174" i="1"/>
  <c r="D3174" i="1"/>
  <c r="E3174" i="1"/>
  <c r="F3174" i="1"/>
  <c r="G3174" i="1"/>
  <c r="H3174" i="1"/>
  <c r="I3174" i="1"/>
  <c r="J3174" i="1"/>
  <c r="K3174" i="1"/>
  <c r="M3174" i="1"/>
  <c r="O3174" i="1"/>
  <c r="Q3174" i="1"/>
  <c r="R3174" i="1"/>
  <c r="W3174" i="1"/>
  <c r="AA3174" i="1"/>
  <c r="AB3174" i="1"/>
  <c r="AE3174" i="1"/>
  <c r="AF3174" i="1"/>
  <c r="AM3174" i="1"/>
  <c r="AN3174" i="1"/>
  <c r="AO3174" i="1"/>
  <c r="AQ3174" i="1"/>
  <c r="AX3174" i="1"/>
  <c r="BD3174" i="1"/>
  <c r="B3175" i="1"/>
  <c r="C3175" i="1"/>
  <c r="D3175" i="1"/>
  <c r="E3175" i="1"/>
  <c r="F3175" i="1"/>
  <c r="G3175" i="1"/>
  <c r="H3175" i="1"/>
  <c r="I3175" i="1"/>
  <c r="J3175" i="1"/>
  <c r="K3175" i="1"/>
  <c r="M3175" i="1"/>
  <c r="O3175" i="1"/>
  <c r="Q3175" i="1"/>
  <c r="R3175" i="1"/>
  <c r="W3175" i="1"/>
  <c r="AA3175" i="1"/>
  <c r="AB3175" i="1"/>
  <c r="AE3175" i="1"/>
  <c r="AF3175" i="1"/>
  <c r="AM3175" i="1"/>
  <c r="AN3175" i="1"/>
  <c r="AO3175" i="1"/>
  <c r="AQ3175" i="1"/>
  <c r="AX3175" i="1"/>
  <c r="BD3175" i="1"/>
  <c r="B3176" i="1"/>
  <c r="C3176" i="1"/>
  <c r="D3176" i="1"/>
  <c r="E3176" i="1"/>
  <c r="F3176" i="1"/>
  <c r="G3176" i="1"/>
  <c r="H3176" i="1"/>
  <c r="I3176" i="1"/>
  <c r="J3176" i="1"/>
  <c r="K3176" i="1"/>
  <c r="M3176" i="1"/>
  <c r="O3176" i="1"/>
  <c r="Q3176" i="1"/>
  <c r="R3176" i="1"/>
  <c r="W3176" i="1"/>
  <c r="AA3176" i="1"/>
  <c r="AB3176" i="1"/>
  <c r="AE3176" i="1"/>
  <c r="AF3176" i="1"/>
  <c r="AM3176" i="1"/>
  <c r="AN3176" i="1"/>
  <c r="AO3176" i="1"/>
  <c r="AQ3176" i="1"/>
  <c r="AX3176" i="1"/>
  <c r="BD3176" i="1"/>
  <c r="B3177" i="1"/>
  <c r="C3177" i="1"/>
  <c r="D3177" i="1"/>
  <c r="E3177" i="1"/>
  <c r="F3177" i="1"/>
  <c r="G3177" i="1"/>
  <c r="H3177" i="1"/>
  <c r="I3177" i="1"/>
  <c r="J3177" i="1"/>
  <c r="K3177" i="1"/>
  <c r="M3177" i="1"/>
  <c r="O3177" i="1"/>
  <c r="Q3177" i="1"/>
  <c r="R3177" i="1"/>
  <c r="W3177" i="1"/>
  <c r="AA3177" i="1"/>
  <c r="AB3177" i="1"/>
  <c r="AE3177" i="1"/>
  <c r="AF3177" i="1"/>
  <c r="AM3177" i="1"/>
  <c r="AN3177" i="1"/>
  <c r="AO3177" i="1"/>
  <c r="AQ3177" i="1"/>
  <c r="AX3177" i="1"/>
  <c r="BD3177" i="1"/>
  <c r="B3178" i="1"/>
  <c r="C3178" i="1"/>
  <c r="D3178" i="1"/>
  <c r="E3178" i="1"/>
  <c r="F3178" i="1"/>
  <c r="G3178" i="1"/>
  <c r="H3178" i="1"/>
  <c r="I3178" i="1"/>
  <c r="J3178" i="1"/>
  <c r="K3178" i="1"/>
  <c r="M3178" i="1"/>
  <c r="O3178" i="1"/>
  <c r="Q3178" i="1"/>
  <c r="R3178" i="1"/>
  <c r="W3178" i="1"/>
  <c r="AA3178" i="1"/>
  <c r="AB3178" i="1"/>
  <c r="AE3178" i="1"/>
  <c r="AF3178" i="1"/>
  <c r="AM3178" i="1"/>
  <c r="AN3178" i="1"/>
  <c r="AO3178" i="1"/>
  <c r="AQ3178" i="1"/>
  <c r="AX3178" i="1"/>
  <c r="BD3178" i="1"/>
  <c r="B3179" i="1"/>
  <c r="C3179" i="1"/>
  <c r="D3179" i="1"/>
  <c r="E3179" i="1"/>
  <c r="F3179" i="1"/>
  <c r="G3179" i="1"/>
  <c r="H3179" i="1"/>
  <c r="I3179" i="1"/>
  <c r="J3179" i="1"/>
  <c r="K3179" i="1"/>
  <c r="M3179" i="1"/>
  <c r="O3179" i="1"/>
  <c r="Q3179" i="1"/>
  <c r="R3179" i="1"/>
  <c r="W3179" i="1"/>
  <c r="AA3179" i="1"/>
  <c r="AB3179" i="1"/>
  <c r="AM3179" i="1"/>
  <c r="AN3179" i="1"/>
  <c r="AO3179" i="1"/>
  <c r="AQ3179" i="1"/>
  <c r="AX3179" i="1"/>
  <c r="BD3179" i="1"/>
  <c r="B3180" i="1"/>
  <c r="C3180" i="1"/>
  <c r="D3180" i="1"/>
  <c r="E3180" i="1"/>
  <c r="F3180" i="1"/>
  <c r="G3180" i="1"/>
  <c r="H3180" i="1"/>
  <c r="I3180" i="1"/>
  <c r="J3180" i="1"/>
  <c r="K3180" i="1"/>
  <c r="M3180" i="1"/>
  <c r="O3180" i="1"/>
  <c r="Q3180" i="1"/>
  <c r="R3180" i="1"/>
  <c r="W3180" i="1"/>
  <c r="AA3180" i="1"/>
  <c r="AB3180" i="1"/>
  <c r="AM3180" i="1"/>
  <c r="AN3180" i="1"/>
  <c r="AO3180" i="1"/>
  <c r="AQ3180" i="1"/>
  <c r="AX3180" i="1"/>
  <c r="BD3180" i="1"/>
  <c r="B3181" i="1"/>
  <c r="C3181" i="1"/>
  <c r="D3181" i="1"/>
  <c r="E3181" i="1"/>
  <c r="F3181" i="1"/>
  <c r="G3181" i="1"/>
  <c r="H3181" i="1"/>
  <c r="I3181" i="1"/>
  <c r="J3181" i="1"/>
  <c r="K3181" i="1"/>
  <c r="M3181" i="1"/>
  <c r="O3181" i="1"/>
  <c r="Q3181" i="1"/>
  <c r="R3181" i="1"/>
  <c r="W3181" i="1"/>
  <c r="AA3181" i="1"/>
  <c r="AB3181" i="1"/>
  <c r="AE3181" i="1"/>
  <c r="AF3181" i="1"/>
  <c r="AM3181" i="1"/>
  <c r="AN3181" i="1"/>
  <c r="AO3181" i="1"/>
  <c r="AQ3181" i="1"/>
  <c r="AX3181" i="1"/>
  <c r="BD3181" i="1"/>
  <c r="B3182" i="1"/>
  <c r="C3182" i="1"/>
  <c r="D3182" i="1"/>
  <c r="E3182" i="1"/>
  <c r="F3182" i="1"/>
  <c r="G3182" i="1"/>
  <c r="H3182" i="1"/>
  <c r="I3182" i="1"/>
  <c r="J3182" i="1"/>
  <c r="K3182" i="1"/>
  <c r="M3182" i="1"/>
  <c r="O3182" i="1"/>
  <c r="Q3182" i="1"/>
  <c r="R3182" i="1"/>
  <c r="W3182" i="1"/>
  <c r="AA3182" i="1"/>
  <c r="AB3182" i="1"/>
  <c r="AE3182" i="1"/>
  <c r="AF3182" i="1"/>
  <c r="AM3182" i="1"/>
  <c r="AN3182" i="1"/>
  <c r="AO3182" i="1"/>
  <c r="AQ3182" i="1"/>
  <c r="AX3182" i="1"/>
  <c r="BD3182" i="1"/>
  <c r="B3183" i="1"/>
  <c r="C3183" i="1"/>
  <c r="D3183" i="1"/>
  <c r="E3183" i="1"/>
  <c r="F3183" i="1"/>
  <c r="G3183" i="1"/>
  <c r="H3183" i="1"/>
  <c r="I3183" i="1"/>
  <c r="J3183" i="1"/>
  <c r="K3183" i="1"/>
  <c r="M3183" i="1"/>
  <c r="O3183" i="1"/>
  <c r="Q3183" i="1"/>
  <c r="R3183" i="1"/>
  <c r="W3183" i="1"/>
  <c r="AA3183" i="1"/>
  <c r="AB3183" i="1"/>
  <c r="AE3183" i="1"/>
  <c r="AF3183" i="1"/>
  <c r="AM3183" i="1"/>
  <c r="AN3183" i="1"/>
  <c r="AO3183" i="1"/>
  <c r="AQ3183" i="1"/>
  <c r="AX3183" i="1"/>
  <c r="BD3183" i="1"/>
  <c r="B3184" i="1"/>
  <c r="C3184" i="1"/>
  <c r="D3184" i="1"/>
  <c r="E3184" i="1"/>
  <c r="F3184" i="1"/>
  <c r="G3184" i="1"/>
  <c r="H3184" i="1"/>
  <c r="I3184" i="1"/>
  <c r="J3184" i="1"/>
  <c r="K3184" i="1"/>
  <c r="M3184" i="1"/>
  <c r="O3184" i="1"/>
  <c r="Q3184" i="1"/>
  <c r="R3184" i="1"/>
  <c r="W3184" i="1"/>
  <c r="AA3184" i="1"/>
  <c r="AB3184" i="1"/>
  <c r="AE3184" i="1"/>
  <c r="AF3184" i="1"/>
  <c r="AM3184" i="1"/>
  <c r="AN3184" i="1"/>
  <c r="AO3184" i="1"/>
  <c r="AQ3184" i="1"/>
  <c r="AX3184" i="1"/>
  <c r="BD3184" i="1"/>
  <c r="B3185" i="1"/>
  <c r="C3185" i="1"/>
  <c r="D3185" i="1"/>
  <c r="E3185" i="1"/>
  <c r="F3185" i="1"/>
  <c r="G3185" i="1"/>
  <c r="H3185" i="1"/>
  <c r="I3185" i="1"/>
  <c r="J3185" i="1"/>
  <c r="K3185" i="1"/>
  <c r="M3185" i="1"/>
  <c r="O3185" i="1"/>
  <c r="Q3185" i="1"/>
  <c r="R3185" i="1"/>
  <c r="W3185" i="1"/>
  <c r="AA3185" i="1"/>
  <c r="AB3185" i="1"/>
  <c r="AE3185" i="1"/>
  <c r="AF3185" i="1"/>
  <c r="AM3185" i="1"/>
  <c r="AN3185" i="1"/>
  <c r="AO3185" i="1"/>
  <c r="AQ3185" i="1"/>
  <c r="AX3185" i="1"/>
  <c r="BD3185" i="1"/>
  <c r="B3186" i="1"/>
  <c r="C3186" i="1"/>
  <c r="D3186" i="1"/>
  <c r="E3186" i="1"/>
  <c r="F3186" i="1"/>
  <c r="G3186" i="1"/>
  <c r="H3186" i="1"/>
  <c r="I3186" i="1"/>
  <c r="J3186" i="1"/>
  <c r="K3186" i="1"/>
  <c r="M3186" i="1"/>
  <c r="O3186" i="1"/>
  <c r="Q3186" i="1"/>
  <c r="R3186" i="1"/>
  <c r="W3186" i="1"/>
  <c r="AA3186" i="1"/>
  <c r="AB3186" i="1"/>
  <c r="AE3186" i="1"/>
  <c r="AF3186" i="1"/>
  <c r="AM3186" i="1"/>
  <c r="AN3186" i="1"/>
  <c r="AO3186" i="1"/>
  <c r="AQ3186" i="1"/>
  <c r="AX3186" i="1"/>
  <c r="BD3186" i="1"/>
  <c r="B3187" i="1"/>
  <c r="C3187" i="1"/>
  <c r="E3187" i="1"/>
  <c r="F3187" i="1"/>
  <c r="G3187" i="1"/>
  <c r="H3187" i="1"/>
  <c r="I3187" i="1"/>
  <c r="J3187" i="1"/>
  <c r="K3187" i="1"/>
  <c r="M3187" i="1"/>
  <c r="O3187" i="1"/>
  <c r="Q3187" i="1"/>
  <c r="R3187" i="1"/>
  <c r="W3187" i="1"/>
  <c r="AA3187" i="1"/>
  <c r="AB3187" i="1"/>
  <c r="AE3187" i="1"/>
  <c r="AF3187" i="1"/>
  <c r="AM3187" i="1"/>
  <c r="AN3187" i="1"/>
  <c r="AO3187" i="1"/>
  <c r="AQ3187" i="1"/>
  <c r="AX3187" i="1"/>
  <c r="BD3187" i="1"/>
  <c r="B3188" i="1"/>
  <c r="C3188" i="1"/>
  <c r="D3188" i="1"/>
  <c r="E3188" i="1"/>
  <c r="F3188" i="1"/>
  <c r="G3188" i="1"/>
  <c r="H3188" i="1"/>
  <c r="I3188" i="1"/>
  <c r="J3188" i="1"/>
  <c r="K3188" i="1"/>
  <c r="M3188" i="1"/>
  <c r="O3188" i="1"/>
  <c r="Q3188" i="1"/>
  <c r="R3188" i="1"/>
  <c r="W3188" i="1"/>
  <c r="AA3188" i="1"/>
  <c r="AB3188" i="1"/>
  <c r="AE3188" i="1"/>
  <c r="AF3188" i="1"/>
  <c r="AM3188" i="1"/>
  <c r="AN3188" i="1"/>
  <c r="AO3188" i="1"/>
  <c r="AQ3188" i="1"/>
  <c r="AX3188" i="1"/>
  <c r="BD3188" i="1"/>
  <c r="B3189" i="1"/>
  <c r="C3189" i="1"/>
  <c r="D3189" i="1"/>
  <c r="E3189" i="1"/>
  <c r="F3189" i="1"/>
  <c r="G3189" i="1"/>
  <c r="H3189" i="1"/>
  <c r="I3189" i="1"/>
  <c r="J3189" i="1"/>
  <c r="K3189" i="1"/>
  <c r="M3189" i="1"/>
  <c r="O3189" i="1"/>
  <c r="Q3189" i="1"/>
  <c r="R3189" i="1"/>
  <c r="W3189" i="1"/>
  <c r="AA3189" i="1"/>
  <c r="AB3189" i="1"/>
  <c r="AE3189" i="1"/>
  <c r="AF3189" i="1"/>
  <c r="AM3189" i="1"/>
  <c r="AN3189" i="1"/>
  <c r="AO3189" i="1"/>
  <c r="AQ3189" i="1"/>
  <c r="AX3189" i="1"/>
  <c r="BD3189" i="1"/>
  <c r="B3190" i="1"/>
  <c r="C3190" i="1"/>
  <c r="D3190" i="1"/>
  <c r="E3190" i="1"/>
  <c r="F3190" i="1"/>
  <c r="G3190" i="1"/>
  <c r="H3190" i="1"/>
  <c r="I3190" i="1"/>
  <c r="J3190" i="1"/>
  <c r="K3190" i="1"/>
  <c r="M3190" i="1"/>
  <c r="O3190" i="1"/>
  <c r="Q3190" i="1"/>
  <c r="R3190" i="1"/>
  <c r="W3190" i="1"/>
  <c r="AA3190" i="1"/>
  <c r="AB3190" i="1"/>
  <c r="AE3190" i="1"/>
  <c r="AF3190" i="1"/>
  <c r="AM3190" i="1"/>
  <c r="AN3190" i="1"/>
  <c r="AO3190" i="1"/>
  <c r="AQ3190" i="1"/>
  <c r="AX3190" i="1"/>
  <c r="BD3190" i="1"/>
  <c r="B3191" i="1"/>
  <c r="C3191" i="1"/>
  <c r="D3191" i="1"/>
  <c r="E3191" i="1"/>
  <c r="F3191" i="1"/>
  <c r="G3191" i="1"/>
  <c r="H3191" i="1"/>
  <c r="I3191" i="1"/>
  <c r="J3191" i="1"/>
  <c r="K3191" i="1"/>
  <c r="M3191" i="1"/>
  <c r="O3191" i="1"/>
  <c r="Q3191" i="1"/>
  <c r="R3191" i="1"/>
  <c r="W3191" i="1"/>
  <c r="AA3191" i="1"/>
  <c r="AB3191" i="1"/>
  <c r="AE3191" i="1"/>
  <c r="AF3191" i="1"/>
  <c r="AM3191" i="1"/>
  <c r="AN3191" i="1"/>
  <c r="AO3191" i="1"/>
  <c r="AQ3191" i="1"/>
  <c r="AX3191" i="1"/>
  <c r="BD3191" i="1"/>
  <c r="B3192" i="1"/>
  <c r="C3192" i="1"/>
  <c r="D3192" i="1"/>
  <c r="E3192" i="1"/>
  <c r="F3192" i="1"/>
  <c r="G3192" i="1"/>
  <c r="H3192" i="1"/>
  <c r="I3192" i="1"/>
  <c r="J3192" i="1"/>
  <c r="K3192" i="1"/>
  <c r="M3192" i="1"/>
  <c r="O3192" i="1"/>
  <c r="Q3192" i="1"/>
  <c r="R3192" i="1"/>
  <c r="W3192" i="1"/>
  <c r="AA3192" i="1"/>
  <c r="AB3192" i="1"/>
  <c r="AE3192" i="1"/>
  <c r="AF3192" i="1"/>
  <c r="AM3192" i="1"/>
  <c r="AN3192" i="1"/>
  <c r="AO3192" i="1"/>
  <c r="AQ3192" i="1"/>
  <c r="AX3192" i="1"/>
  <c r="BD3192" i="1"/>
  <c r="B3193" i="1"/>
  <c r="C3193" i="1"/>
  <c r="D3193" i="1"/>
  <c r="E3193" i="1"/>
  <c r="F3193" i="1"/>
  <c r="G3193" i="1"/>
  <c r="H3193" i="1"/>
  <c r="I3193" i="1"/>
  <c r="J3193" i="1"/>
  <c r="K3193" i="1"/>
  <c r="M3193" i="1"/>
  <c r="O3193" i="1"/>
  <c r="Q3193" i="1"/>
  <c r="R3193" i="1"/>
  <c r="W3193" i="1"/>
  <c r="AA3193" i="1"/>
  <c r="AB3193" i="1"/>
  <c r="AE3193" i="1"/>
  <c r="AF3193" i="1"/>
  <c r="AM3193" i="1"/>
  <c r="AN3193" i="1"/>
  <c r="AO3193" i="1"/>
  <c r="AQ3193" i="1"/>
  <c r="AX3193" i="1"/>
  <c r="BD3193" i="1"/>
  <c r="B3194" i="1"/>
  <c r="C3194" i="1"/>
  <c r="D3194" i="1"/>
  <c r="E3194" i="1"/>
  <c r="F3194" i="1"/>
  <c r="G3194" i="1"/>
  <c r="H3194" i="1"/>
  <c r="I3194" i="1"/>
  <c r="J3194" i="1"/>
  <c r="K3194" i="1"/>
  <c r="M3194" i="1"/>
  <c r="O3194" i="1"/>
  <c r="Q3194" i="1"/>
  <c r="R3194" i="1"/>
  <c r="W3194" i="1"/>
  <c r="AA3194" i="1"/>
  <c r="AB3194" i="1"/>
  <c r="AE3194" i="1"/>
  <c r="AF3194" i="1"/>
  <c r="AM3194" i="1"/>
  <c r="AN3194" i="1"/>
  <c r="AO3194" i="1"/>
  <c r="AQ3194" i="1"/>
  <c r="AX3194" i="1"/>
  <c r="BD3194" i="1"/>
  <c r="B3195" i="1"/>
  <c r="C3195" i="1"/>
  <c r="D3195" i="1"/>
  <c r="E3195" i="1"/>
  <c r="F3195" i="1"/>
  <c r="G3195" i="1"/>
  <c r="H3195" i="1"/>
  <c r="I3195" i="1"/>
  <c r="J3195" i="1"/>
  <c r="K3195" i="1"/>
  <c r="M3195" i="1"/>
  <c r="O3195" i="1"/>
  <c r="Q3195" i="1"/>
  <c r="R3195" i="1"/>
  <c r="W3195" i="1"/>
  <c r="AA3195" i="1"/>
  <c r="AB3195" i="1"/>
  <c r="AE3195" i="1"/>
  <c r="AF3195" i="1"/>
  <c r="AM3195" i="1"/>
  <c r="AN3195" i="1"/>
  <c r="AO3195" i="1"/>
  <c r="AQ3195" i="1"/>
  <c r="AX3195" i="1"/>
  <c r="BD3195" i="1"/>
  <c r="B3196" i="1"/>
  <c r="C3196" i="1"/>
  <c r="D3196" i="1"/>
  <c r="E3196" i="1"/>
  <c r="F3196" i="1"/>
  <c r="G3196" i="1"/>
  <c r="H3196" i="1"/>
  <c r="I3196" i="1"/>
  <c r="J3196" i="1"/>
  <c r="K3196" i="1"/>
  <c r="M3196" i="1"/>
  <c r="O3196" i="1"/>
  <c r="Q3196" i="1"/>
  <c r="R3196" i="1"/>
  <c r="W3196" i="1"/>
  <c r="AA3196" i="1"/>
  <c r="AB3196" i="1"/>
  <c r="AE3196" i="1"/>
  <c r="AF3196" i="1"/>
  <c r="AM3196" i="1"/>
  <c r="AN3196" i="1"/>
  <c r="AO3196" i="1"/>
  <c r="AQ3196" i="1"/>
  <c r="AX3196" i="1"/>
  <c r="BD3196" i="1"/>
  <c r="B3197" i="1"/>
  <c r="C3197" i="1"/>
  <c r="D3197" i="1"/>
  <c r="E3197" i="1"/>
  <c r="F3197" i="1"/>
  <c r="G3197" i="1"/>
  <c r="H3197" i="1"/>
  <c r="I3197" i="1"/>
  <c r="J3197" i="1"/>
  <c r="K3197" i="1"/>
  <c r="M3197" i="1"/>
  <c r="O3197" i="1"/>
  <c r="Q3197" i="1"/>
  <c r="R3197" i="1"/>
  <c r="W3197" i="1"/>
  <c r="AA3197" i="1"/>
  <c r="AB3197" i="1"/>
  <c r="AE3197" i="1"/>
  <c r="AF3197" i="1"/>
  <c r="AM3197" i="1"/>
  <c r="AN3197" i="1"/>
  <c r="AO3197" i="1"/>
  <c r="AQ3197" i="1"/>
  <c r="AX3197" i="1"/>
  <c r="BD3197" i="1"/>
  <c r="B3198" i="1"/>
  <c r="C3198" i="1"/>
  <c r="E3198" i="1"/>
  <c r="F3198" i="1"/>
  <c r="G3198" i="1"/>
  <c r="H3198" i="1"/>
  <c r="I3198" i="1"/>
  <c r="J3198" i="1"/>
  <c r="K3198" i="1"/>
  <c r="M3198" i="1"/>
  <c r="O3198" i="1"/>
  <c r="Q3198" i="1"/>
  <c r="R3198" i="1"/>
  <c r="W3198" i="1"/>
  <c r="AA3198" i="1"/>
  <c r="AB3198" i="1"/>
  <c r="AE3198" i="1"/>
  <c r="AF3198" i="1"/>
  <c r="AM3198" i="1"/>
  <c r="AN3198" i="1"/>
  <c r="AO3198" i="1"/>
  <c r="AQ3198" i="1"/>
  <c r="AX3198" i="1"/>
  <c r="BD3198" i="1"/>
  <c r="B3199" i="1"/>
  <c r="C3199" i="1"/>
  <c r="D3199" i="1"/>
  <c r="E3199" i="1"/>
  <c r="F3199" i="1"/>
  <c r="G3199" i="1"/>
  <c r="H3199" i="1"/>
  <c r="I3199" i="1"/>
  <c r="J3199" i="1"/>
  <c r="K3199" i="1"/>
  <c r="M3199" i="1"/>
  <c r="O3199" i="1"/>
  <c r="Q3199" i="1"/>
  <c r="R3199" i="1"/>
  <c r="W3199" i="1"/>
  <c r="AA3199" i="1"/>
  <c r="AB3199" i="1"/>
  <c r="AE3199" i="1"/>
  <c r="AF3199" i="1"/>
  <c r="AM3199" i="1"/>
  <c r="AN3199" i="1"/>
  <c r="AO3199" i="1"/>
  <c r="AQ3199" i="1"/>
  <c r="AX3199" i="1"/>
  <c r="BD3199" i="1"/>
  <c r="B3200" i="1"/>
  <c r="C3200" i="1"/>
  <c r="D3200" i="1"/>
  <c r="E3200" i="1"/>
  <c r="F3200" i="1"/>
  <c r="G3200" i="1"/>
  <c r="H3200" i="1"/>
  <c r="I3200" i="1"/>
  <c r="J3200" i="1"/>
  <c r="K3200" i="1"/>
  <c r="M3200" i="1"/>
  <c r="O3200" i="1"/>
  <c r="Q3200" i="1"/>
  <c r="R3200" i="1"/>
  <c r="W3200" i="1"/>
  <c r="AA3200" i="1"/>
  <c r="AB3200" i="1"/>
  <c r="AE3200" i="1"/>
  <c r="AF3200" i="1"/>
  <c r="AM3200" i="1"/>
  <c r="AN3200" i="1"/>
  <c r="AO3200" i="1"/>
  <c r="AQ3200" i="1"/>
  <c r="AX3200" i="1"/>
  <c r="BD3200" i="1"/>
  <c r="B3201" i="1"/>
  <c r="C3201" i="1"/>
  <c r="D3201" i="1"/>
  <c r="E3201" i="1"/>
  <c r="F3201" i="1"/>
  <c r="G3201" i="1"/>
  <c r="H3201" i="1"/>
  <c r="I3201" i="1"/>
  <c r="J3201" i="1"/>
  <c r="K3201" i="1"/>
  <c r="M3201" i="1"/>
  <c r="O3201" i="1"/>
  <c r="Q3201" i="1"/>
  <c r="R3201" i="1"/>
  <c r="W3201" i="1"/>
  <c r="AA3201" i="1"/>
  <c r="AB3201" i="1"/>
  <c r="AE3201" i="1"/>
  <c r="AF3201" i="1"/>
  <c r="AM3201" i="1"/>
  <c r="AN3201" i="1"/>
  <c r="AO3201" i="1"/>
  <c r="AQ3201" i="1"/>
  <c r="AX3201" i="1"/>
  <c r="BD3201" i="1"/>
  <c r="B3202" i="1"/>
  <c r="C3202" i="1"/>
  <c r="D3202" i="1"/>
  <c r="E3202" i="1"/>
  <c r="F3202" i="1"/>
  <c r="G3202" i="1"/>
  <c r="H3202" i="1"/>
  <c r="I3202" i="1"/>
  <c r="J3202" i="1"/>
  <c r="K3202" i="1"/>
  <c r="M3202" i="1"/>
  <c r="O3202" i="1"/>
  <c r="Q3202" i="1"/>
  <c r="R3202" i="1"/>
  <c r="W3202" i="1"/>
  <c r="AA3202" i="1"/>
  <c r="AB3202" i="1"/>
  <c r="AE3202" i="1"/>
  <c r="AF3202" i="1"/>
  <c r="AM3202" i="1"/>
  <c r="AN3202" i="1"/>
  <c r="AO3202" i="1"/>
  <c r="AQ3202" i="1"/>
  <c r="AX3202" i="1"/>
  <c r="BD3202" i="1"/>
  <c r="B3203" i="1"/>
  <c r="C3203" i="1"/>
  <c r="D3203" i="1"/>
  <c r="E3203" i="1"/>
  <c r="F3203" i="1"/>
  <c r="G3203" i="1"/>
  <c r="H3203" i="1"/>
  <c r="I3203" i="1"/>
  <c r="J3203" i="1"/>
  <c r="K3203" i="1"/>
  <c r="M3203" i="1"/>
  <c r="O3203" i="1"/>
  <c r="Q3203" i="1"/>
  <c r="R3203" i="1"/>
  <c r="W3203" i="1"/>
  <c r="AA3203" i="1"/>
  <c r="AB3203" i="1"/>
  <c r="AM3203" i="1"/>
  <c r="AN3203" i="1"/>
  <c r="AO3203" i="1"/>
  <c r="AQ3203" i="1"/>
  <c r="AX3203" i="1"/>
  <c r="BD3203" i="1"/>
  <c r="B3204" i="1"/>
  <c r="C3204" i="1"/>
  <c r="D3204" i="1"/>
  <c r="E3204" i="1"/>
  <c r="F3204" i="1"/>
  <c r="G3204" i="1"/>
  <c r="H3204" i="1"/>
  <c r="I3204" i="1"/>
  <c r="J3204" i="1"/>
  <c r="K3204" i="1"/>
  <c r="M3204" i="1"/>
  <c r="O3204" i="1"/>
  <c r="Q3204" i="1"/>
  <c r="R3204" i="1"/>
  <c r="W3204" i="1"/>
  <c r="AA3204" i="1"/>
  <c r="AB3204" i="1"/>
  <c r="AM3204" i="1"/>
  <c r="AN3204" i="1"/>
  <c r="AO3204" i="1"/>
  <c r="AQ3204" i="1"/>
  <c r="AX3204" i="1"/>
  <c r="BD3204" i="1"/>
  <c r="B3205" i="1"/>
  <c r="E3205" i="1"/>
  <c r="F3205" i="1"/>
  <c r="G3205" i="1"/>
  <c r="H3205" i="1"/>
  <c r="I3205" i="1"/>
  <c r="J3205" i="1"/>
  <c r="K3205" i="1"/>
  <c r="M3205" i="1"/>
  <c r="O3205" i="1"/>
  <c r="Q3205" i="1"/>
  <c r="R3205" i="1"/>
  <c r="W3205" i="1"/>
  <c r="AA3205" i="1"/>
  <c r="AB3205" i="1"/>
  <c r="AM3205" i="1"/>
  <c r="AN3205" i="1"/>
  <c r="AO3205" i="1"/>
  <c r="AQ3205" i="1"/>
  <c r="AX3205" i="1"/>
  <c r="BD3205" i="1"/>
  <c r="B3206" i="1"/>
  <c r="C3206" i="1"/>
  <c r="E3206" i="1"/>
  <c r="F3206" i="1"/>
  <c r="G3206" i="1"/>
  <c r="H3206" i="1"/>
  <c r="I3206" i="1"/>
  <c r="J3206" i="1"/>
  <c r="K3206" i="1"/>
  <c r="M3206" i="1"/>
  <c r="O3206" i="1"/>
  <c r="Q3206" i="1"/>
  <c r="R3206" i="1"/>
  <c r="W3206" i="1"/>
  <c r="AA3206" i="1"/>
  <c r="AB3206" i="1"/>
  <c r="AE3206" i="1"/>
  <c r="AF3206" i="1"/>
  <c r="AM3206" i="1"/>
  <c r="AN3206" i="1"/>
  <c r="AO3206" i="1"/>
  <c r="AQ3206" i="1"/>
  <c r="AX3206" i="1"/>
  <c r="BD3206" i="1"/>
  <c r="B3207" i="1"/>
  <c r="C3207" i="1"/>
  <c r="E3207" i="1"/>
  <c r="F3207" i="1"/>
  <c r="G3207" i="1"/>
  <c r="H3207" i="1"/>
  <c r="I3207" i="1"/>
  <c r="J3207" i="1"/>
  <c r="K3207" i="1"/>
  <c r="M3207" i="1"/>
  <c r="O3207" i="1"/>
  <c r="Q3207" i="1"/>
  <c r="R3207" i="1"/>
  <c r="W3207" i="1"/>
  <c r="AA3207" i="1"/>
  <c r="AB3207" i="1"/>
  <c r="AE3207" i="1"/>
  <c r="AF3207" i="1"/>
  <c r="AM3207" i="1"/>
  <c r="AN3207" i="1"/>
  <c r="AO3207" i="1"/>
  <c r="AQ3207" i="1"/>
  <c r="AX3207" i="1"/>
  <c r="BD3207" i="1"/>
  <c r="B3208" i="1"/>
  <c r="C3208" i="1"/>
  <c r="E3208" i="1"/>
  <c r="F3208" i="1"/>
  <c r="G3208" i="1"/>
  <c r="H3208" i="1"/>
  <c r="I3208" i="1"/>
  <c r="J3208" i="1"/>
  <c r="K3208" i="1"/>
  <c r="M3208" i="1"/>
  <c r="O3208" i="1"/>
  <c r="Q3208" i="1"/>
  <c r="R3208" i="1"/>
  <c r="W3208" i="1"/>
  <c r="AA3208" i="1"/>
  <c r="AB3208" i="1"/>
  <c r="AE3208" i="1"/>
  <c r="AF3208" i="1"/>
  <c r="AM3208" i="1"/>
  <c r="AN3208" i="1"/>
  <c r="AO3208" i="1"/>
  <c r="AQ3208" i="1"/>
  <c r="AX3208" i="1"/>
  <c r="BD3208" i="1"/>
  <c r="B3209" i="1"/>
  <c r="C3209" i="1"/>
  <c r="D3209" i="1"/>
  <c r="E3209" i="1"/>
  <c r="F3209" i="1"/>
  <c r="G3209" i="1"/>
  <c r="H3209" i="1"/>
  <c r="I3209" i="1"/>
  <c r="J3209" i="1"/>
  <c r="K3209" i="1"/>
  <c r="M3209" i="1"/>
  <c r="O3209" i="1"/>
  <c r="Q3209" i="1"/>
  <c r="R3209" i="1"/>
  <c r="W3209" i="1"/>
  <c r="AA3209" i="1"/>
  <c r="AB3209" i="1"/>
  <c r="AE3209" i="1"/>
  <c r="AF3209" i="1"/>
  <c r="AM3209" i="1"/>
  <c r="AN3209" i="1"/>
  <c r="AO3209" i="1"/>
  <c r="AQ3209" i="1"/>
  <c r="AX3209" i="1"/>
  <c r="BD3209" i="1"/>
  <c r="B3210" i="1"/>
  <c r="C3210" i="1"/>
  <c r="E3210" i="1"/>
  <c r="F3210" i="1"/>
  <c r="G3210" i="1"/>
  <c r="H3210" i="1"/>
  <c r="I3210" i="1"/>
  <c r="J3210" i="1"/>
  <c r="K3210" i="1"/>
  <c r="M3210" i="1"/>
  <c r="O3210" i="1"/>
  <c r="Q3210" i="1"/>
  <c r="R3210" i="1"/>
  <c r="W3210" i="1"/>
  <c r="AA3210" i="1"/>
  <c r="AB3210" i="1"/>
  <c r="AE3210" i="1"/>
  <c r="AF3210" i="1"/>
  <c r="AM3210" i="1"/>
  <c r="AN3210" i="1"/>
  <c r="AO3210" i="1"/>
  <c r="AQ3210" i="1"/>
  <c r="AX3210" i="1"/>
  <c r="BD3210" i="1"/>
  <c r="B3211" i="1"/>
  <c r="C3211" i="1"/>
  <c r="E3211" i="1"/>
  <c r="F3211" i="1"/>
  <c r="G3211" i="1"/>
  <c r="H3211" i="1"/>
  <c r="I3211" i="1"/>
  <c r="J3211" i="1"/>
  <c r="K3211" i="1"/>
  <c r="M3211" i="1"/>
  <c r="O3211" i="1"/>
  <c r="Q3211" i="1"/>
  <c r="R3211" i="1"/>
  <c r="W3211" i="1"/>
  <c r="AA3211" i="1"/>
  <c r="AB3211" i="1"/>
  <c r="AE3211" i="1"/>
  <c r="AF3211" i="1"/>
  <c r="AM3211" i="1"/>
  <c r="AN3211" i="1"/>
  <c r="AO3211" i="1"/>
  <c r="AQ3211" i="1"/>
  <c r="AX3211" i="1"/>
  <c r="BD3211" i="1"/>
  <c r="B3212" i="1"/>
  <c r="C3212" i="1"/>
  <c r="E3212" i="1"/>
  <c r="F3212" i="1"/>
  <c r="G3212" i="1"/>
  <c r="H3212" i="1"/>
  <c r="I3212" i="1"/>
  <c r="J3212" i="1"/>
  <c r="K3212" i="1"/>
  <c r="M3212" i="1"/>
  <c r="O3212" i="1"/>
  <c r="Q3212" i="1"/>
  <c r="R3212" i="1"/>
  <c r="W3212" i="1"/>
  <c r="AA3212" i="1"/>
  <c r="AB3212" i="1"/>
  <c r="AE3212" i="1"/>
  <c r="AF3212" i="1"/>
  <c r="AM3212" i="1"/>
  <c r="AN3212" i="1"/>
  <c r="AO3212" i="1"/>
  <c r="AQ3212" i="1"/>
  <c r="AX3212" i="1"/>
  <c r="BD3212" i="1"/>
  <c r="B3213" i="1"/>
  <c r="C3213" i="1"/>
  <c r="E3213" i="1"/>
  <c r="F3213" i="1"/>
  <c r="G3213" i="1"/>
  <c r="H3213" i="1"/>
  <c r="I3213" i="1"/>
  <c r="J3213" i="1"/>
  <c r="K3213" i="1"/>
  <c r="M3213" i="1"/>
  <c r="O3213" i="1"/>
  <c r="Q3213" i="1"/>
  <c r="R3213" i="1"/>
  <c r="W3213" i="1"/>
  <c r="AA3213" i="1"/>
  <c r="AB3213" i="1"/>
  <c r="AE3213" i="1"/>
  <c r="AF3213" i="1"/>
  <c r="AM3213" i="1"/>
  <c r="AN3213" i="1"/>
  <c r="AO3213" i="1"/>
  <c r="AQ3213" i="1"/>
  <c r="AX3213" i="1"/>
  <c r="BD3213" i="1"/>
  <c r="B3214" i="1"/>
  <c r="C3214" i="1"/>
  <c r="E3214" i="1"/>
  <c r="F3214" i="1"/>
  <c r="G3214" i="1"/>
  <c r="H3214" i="1"/>
  <c r="I3214" i="1"/>
  <c r="J3214" i="1"/>
  <c r="K3214" i="1"/>
  <c r="M3214" i="1"/>
  <c r="O3214" i="1"/>
  <c r="Q3214" i="1"/>
  <c r="R3214" i="1"/>
  <c r="W3214" i="1"/>
  <c r="AA3214" i="1"/>
  <c r="AB3214" i="1"/>
  <c r="AE3214" i="1"/>
  <c r="AF3214" i="1"/>
  <c r="AM3214" i="1"/>
  <c r="AN3214" i="1"/>
  <c r="AO3214" i="1"/>
  <c r="AQ3214" i="1"/>
  <c r="AX3214" i="1"/>
  <c r="BD3214" i="1"/>
  <c r="B3215" i="1"/>
  <c r="C3215" i="1"/>
  <c r="E3215" i="1"/>
  <c r="F3215" i="1"/>
  <c r="G3215" i="1"/>
  <c r="H3215" i="1"/>
  <c r="I3215" i="1"/>
  <c r="J3215" i="1"/>
  <c r="K3215" i="1"/>
  <c r="M3215" i="1"/>
  <c r="O3215" i="1"/>
  <c r="Q3215" i="1"/>
  <c r="R3215" i="1"/>
  <c r="W3215" i="1"/>
  <c r="AA3215" i="1"/>
  <c r="AB3215" i="1"/>
  <c r="AE3215" i="1"/>
  <c r="AF3215" i="1"/>
  <c r="AM3215" i="1"/>
  <c r="AN3215" i="1"/>
  <c r="AO3215" i="1"/>
  <c r="AQ3215" i="1"/>
  <c r="AX3215" i="1"/>
  <c r="BD3215" i="1"/>
  <c r="B3216" i="1"/>
  <c r="C3216" i="1"/>
  <c r="D3216" i="1"/>
  <c r="E3216" i="1"/>
  <c r="F3216" i="1"/>
  <c r="G3216" i="1"/>
  <c r="H3216" i="1"/>
  <c r="I3216" i="1"/>
  <c r="J3216" i="1"/>
  <c r="K3216" i="1"/>
  <c r="M3216" i="1"/>
  <c r="O3216" i="1"/>
  <c r="Q3216" i="1"/>
  <c r="R3216" i="1"/>
  <c r="W3216" i="1"/>
  <c r="AA3216" i="1"/>
  <c r="AB3216" i="1"/>
  <c r="AE3216" i="1"/>
  <c r="AF3216" i="1"/>
  <c r="AM3216" i="1"/>
  <c r="AN3216" i="1"/>
  <c r="AO3216" i="1"/>
  <c r="AQ3216" i="1"/>
  <c r="AX3216" i="1"/>
  <c r="BD3216" i="1"/>
  <c r="B3217" i="1"/>
  <c r="C3217" i="1"/>
  <c r="D3217" i="1"/>
  <c r="E3217" i="1"/>
  <c r="F3217" i="1"/>
  <c r="G3217" i="1"/>
  <c r="H3217" i="1"/>
  <c r="I3217" i="1"/>
  <c r="J3217" i="1"/>
  <c r="K3217" i="1"/>
  <c r="M3217" i="1"/>
  <c r="O3217" i="1"/>
  <c r="Q3217" i="1"/>
  <c r="R3217" i="1"/>
  <c r="W3217" i="1"/>
  <c r="AA3217" i="1"/>
  <c r="AB3217" i="1"/>
  <c r="AE3217" i="1"/>
  <c r="AF3217" i="1"/>
  <c r="AM3217" i="1"/>
  <c r="AN3217" i="1"/>
  <c r="AO3217" i="1"/>
  <c r="AQ3217" i="1"/>
  <c r="AX3217" i="1"/>
  <c r="BD3217" i="1"/>
  <c r="B3218" i="1"/>
  <c r="C3218" i="1"/>
  <c r="E3218" i="1"/>
  <c r="F3218" i="1"/>
  <c r="G3218" i="1"/>
  <c r="H3218" i="1"/>
  <c r="I3218" i="1"/>
  <c r="J3218" i="1"/>
  <c r="K3218" i="1"/>
  <c r="M3218" i="1"/>
  <c r="O3218" i="1"/>
  <c r="Q3218" i="1"/>
  <c r="R3218" i="1"/>
  <c r="W3218" i="1"/>
  <c r="AA3218" i="1"/>
  <c r="AB3218" i="1"/>
  <c r="AE3218" i="1"/>
  <c r="AF3218" i="1"/>
  <c r="AM3218" i="1"/>
  <c r="AN3218" i="1"/>
  <c r="AO3218" i="1"/>
  <c r="AQ3218" i="1"/>
  <c r="AX3218" i="1"/>
  <c r="BD3218" i="1"/>
  <c r="B3219" i="1"/>
  <c r="C3219" i="1"/>
  <c r="D3219" i="1"/>
  <c r="E3219" i="1"/>
  <c r="F3219" i="1"/>
  <c r="G3219" i="1"/>
  <c r="H3219" i="1"/>
  <c r="I3219" i="1"/>
  <c r="J3219" i="1"/>
  <c r="K3219" i="1"/>
  <c r="M3219" i="1"/>
  <c r="O3219" i="1"/>
  <c r="Q3219" i="1"/>
  <c r="R3219" i="1"/>
  <c r="W3219" i="1"/>
  <c r="AA3219" i="1"/>
  <c r="AB3219" i="1"/>
  <c r="AE3219" i="1"/>
  <c r="AF3219" i="1"/>
  <c r="AM3219" i="1"/>
  <c r="AN3219" i="1"/>
  <c r="AO3219" i="1"/>
  <c r="AQ3219" i="1"/>
  <c r="AX3219" i="1"/>
  <c r="BD3219" i="1"/>
  <c r="B3220" i="1"/>
  <c r="C3220" i="1"/>
  <c r="D3220" i="1"/>
  <c r="E3220" i="1"/>
  <c r="F3220" i="1"/>
  <c r="G3220" i="1"/>
  <c r="H3220" i="1"/>
  <c r="I3220" i="1"/>
  <c r="J3220" i="1"/>
  <c r="K3220" i="1"/>
  <c r="M3220" i="1"/>
  <c r="O3220" i="1"/>
  <c r="Q3220" i="1"/>
  <c r="R3220" i="1"/>
  <c r="W3220" i="1"/>
  <c r="AA3220" i="1"/>
  <c r="AB3220" i="1"/>
  <c r="AE3220" i="1"/>
  <c r="AF3220" i="1"/>
  <c r="AM3220" i="1"/>
  <c r="AN3220" i="1"/>
  <c r="AO3220" i="1"/>
  <c r="AQ3220" i="1"/>
  <c r="AX3220" i="1"/>
  <c r="BD3220" i="1"/>
  <c r="B3221" i="1"/>
  <c r="C3221" i="1"/>
  <c r="D3221" i="1"/>
  <c r="E3221" i="1"/>
  <c r="F3221" i="1"/>
  <c r="G3221" i="1"/>
  <c r="H3221" i="1"/>
  <c r="I3221" i="1"/>
  <c r="J3221" i="1"/>
  <c r="K3221" i="1"/>
  <c r="M3221" i="1"/>
  <c r="O3221" i="1"/>
  <c r="Q3221" i="1"/>
  <c r="R3221" i="1"/>
  <c r="W3221" i="1"/>
  <c r="AA3221" i="1"/>
  <c r="AB3221" i="1"/>
  <c r="AE3221" i="1"/>
  <c r="AF3221" i="1"/>
  <c r="AM3221" i="1"/>
  <c r="AN3221" i="1"/>
  <c r="AO3221" i="1"/>
  <c r="AQ3221" i="1"/>
  <c r="AX3221" i="1"/>
  <c r="BD3221" i="1"/>
  <c r="B3222" i="1"/>
  <c r="C3222" i="1"/>
  <c r="E3222" i="1"/>
  <c r="F3222" i="1"/>
  <c r="G3222" i="1"/>
  <c r="H3222" i="1"/>
  <c r="I3222" i="1"/>
  <c r="J3222" i="1"/>
  <c r="K3222" i="1"/>
  <c r="M3222" i="1"/>
  <c r="O3222" i="1"/>
  <c r="Q3222" i="1"/>
  <c r="R3222" i="1"/>
  <c r="W3222" i="1"/>
  <c r="AA3222" i="1"/>
  <c r="AB3222" i="1"/>
  <c r="AE3222" i="1"/>
  <c r="AF3222" i="1"/>
  <c r="AM3222" i="1"/>
  <c r="AN3222" i="1"/>
  <c r="AO3222" i="1"/>
  <c r="AQ3222" i="1"/>
  <c r="AX3222" i="1"/>
  <c r="BD3222" i="1"/>
  <c r="B3223" i="1"/>
  <c r="C3223" i="1"/>
  <c r="E3223" i="1"/>
  <c r="F3223" i="1"/>
  <c r="G3223" i="1"/>
  <c r="H3223" i="1"/>
  <c r="I3223" i="1"/>
  <c r="J3223" i="1"/>
  <c r="K3223" i="1"/>
  <c r="M3223" i="1"/>
  <c r="O3223" i="1"/>
  <c r="Q3223" i="1"/>
  <c r="R3223" i="1"/>
  <c r="W3223" i="1"/>
  <c r="AA3223" i="1"/>
  <c r="AB3223" i="1"/>
  <c r="AE3223" i="1"/>
  <c r="AF3223" i="1"/>
  <c r="AM3223" i="1"/>
  <c r="AN3223" i="1"/>
  <c r="AO3223" i="1"/>
  <c r="AQ3223" i="1"/>
  <c r="AX3223" i="1"/>
  <c r="BD3223" i="1"/>
  <c r="B3224" i="1"/>
  <c r="C3224" i="1"/>
  <c r="D3224" i="1"/>
  <c r="E3224" i="1"/>
  <c r="F3224" i="1"/>
  <c r="G3224" i="1"/>
  <c r="H3224" i="1"/>
  <c r="I3224" i="1"/>
  <c r="J3224" i="1"/>
  <c r="K3224" i="1"/>
  <c r="M3224" i="1"/>
  <c r="O3224" i="1"/>
  <c r="Q3224" i="1"/>
  <c r="R3224" i="1"/>
  <c r="W3224" i="1"/>
  <c r="AA3224" i="1"/>
  <c r="AB3224" i="1"/>
  <c r="AE3224" i="1"/>
  <c r="AF3224" i="1"/>
  <c r="AM3224" i="1"/>
  <c r="AN3224" i="1"/>
  <c r="AO3224" i="1"/>
  <c r="AQ3224" i="1"/>
  <c r="AX3224" i="1"/>
  <c r="BD3224" i="1"/>
  <c r="B3225" i="1"/>
  <c r="C3225" i="1"/>
  <c r="E3225" i="1"/>
  <c r="F3225" i="1"/>
  <c r="G3225" i="1"/>
  <c r="H3225" i="1"/>
  <c r="I3225" i="1"/>
  <c r="J3225" i="1"/>
  <c r="K3225" i="1"/>
  <c r="M3225" i="1"/>
  <c r="O3225" i="1"/>
  <c r="Q3225" i="1"/>
  <c r="R3225" i="1"/>
  <c r="W3225" i="1"/>
  <c r="AA3225" i="1"/>
  <c r="AB3225" i="1"/>
  <c r="AE3225" i="1"/>
  <c r="AF3225" i="1"/>
  <c r="AM3225" i="1"/>
  <c r="AN3225" i="1"/>
  <c r="AO3225" i="1"/>
  <c r="AQ3225" i="1"/>
  <c r="AX3225" i="1"/>
  <c r="BD3225" i="1"/>
  <c r="B3226" i="1"/>
  <c r="C3226" i="1"/>
  <c r="D3226" i="1"/>
  <c r="E3226" i="1"/>
  <c r="F3226" i="1"/>
  <c r="G3226" i="1"/>
  <c r="H3226" i="1"/>
  <c r="I3226" i="1"/>
  <c r="J3226" i="1"/>
  <c r="K3226" i="1"/>
  <c r="M3226" i="1"/>
  <c r="O3226" i="1"/>
  <c r="Q3226" i="1"/>
  <c r="R3226" i="1"/>
  <c r="W3226" i="1"/>
  <c r="AA3226" i="1"/>
  <c r="AB3226" i="1"/>
  <c r="AE3226" i="1"/>
  <c r="AF3226" i="1"/>
  <c r="AM3226" i="1"/>
  <c r="AN3226" i="1"/>
  <c r="AO3226" i="1"/>
  <c r="AQ3226" i="1"/>
  <c r="AX3226" i="1"/>
  <c r="BD3226" i="1"/>
  <c r="B3227" i="1"/>
  <c r="C3227" i="1"/>
  <c r="D3227" i="1"/>
  <c r="E3227" i="1"/>
  <c r="F3227" i="1"/>
  <c r="G3227" i="1"/>
  <c r="H3227" i="1"/>
  <c r="I3227" i="1"/>
  <c r="J3227" i="1"/>
  <c r="K3227" i="1"/>
  <c r="M3227" i="1"/>
  <c r="O3227" i="1"/>
  <c r="Q3227" i="1"/>
  <c r="R3227" i="1"/>
  <c r="W3227" i="1"/>
  <c r="AA3227" i="1"/>
  <c r="AB3227" i="1"/>
  <c r="AE3227" i="1"/>
  <c r="AF3227" i="1"/>
  <c r="AM3227" i="1"/>
  <c r="AN3227" i="1"/>
  <c r="AO3227" i="1"/>
  <c r="AQ3227" i="1"/>
  <c r="AX3227" i="1"/>
  <c r="BD3227" i="1"/>
  <c r="B3228" i="1"/>
  <c r="C3228" i="1"/>
  <c r="D3228" i="1"/>
  <c r="E3228" i="1"/>
  <c r="F3228" i="1"/>
  <c r="G3228" i="1"/>
  <c r="H3228" i="1"/>
  <c r="I3228" i="1"/>
  <c r="J3228" i="1"/>
  <c r="K3228" i="1"/>
  <c r="M3228" i="1"/>
  <c r="O3228" i="1"/>
  <c r="Q3228" i="1"/>
  <c r="R3228" i="1"/>
  <c r="W3228" i="1"/>
  <c r="AA3228" i="1"/>
  <c r="AB3228" i="1"/>
  <c r="AE3228" i="1"/>
  <c r="AF3228" i="1"/>
  <c r="AM3228" i="1"/>
  <c r="AN3228" i="1"/>
  <c r="AO3228" i="1"/>
  <c r="AQ3228" i="1"/>
  <c r="AX3228" i="1"/>
  <c r="BD3228" i="1"/>
  <c r="B3229" i="1"/>
  <c r="C3229" i="1"/>
  <c r="D3229" i="1"/>
  <c r="E3229" i="1"/>
  <c r="F3229" i="1"/>
  <c r="G3229" i="1"/>
  <c r="H3229" i="1"/>
  <c r="I3229" i="1"/>
  <c r="J3229" i="1"/>
  <c r="K3229" i="1"/>
  <c r="M3229" i="1"/>
  <c r="O3229" i="1"/>
  <c r="Q3229" i="1"/>
  <c r="R3229" i="1"/>
  <c r="W3229" i="1"/>
  <c r="AA3229" i="1"/>
  <c r="AB3229" i="1"/>
  <c r="AE3229" i="1"/>
  <c r="AF3229" i="1"/>
  <c r="AM3229" i="1"/>
  <c r="AN3229" i="1"/>
  <c r="AO3229" i="1"/>
  <c r="AQ3229" i="1"/>
  <c r="AX3229" i="1"/>
  <c r="BD3229" i="1"/>
  <c r="B3230" i="1"/>
  <c r="C3230" i="1"/>
  <c r="E3230" i="1"/>
  <c r="F3230" i="1"/>
  <c r="G3230" i="1"/>
  <c r="H3230" i="1"/>
  <c r="I3230" i="1"/>
  <c r="J3230" i="1"/>
  <c r="K3230" i="1"/>
  <c r="M3230" i="1"/>
  <c r="O3230" i="1"/>
  <c r="Q3230" i="1"/>
  <c r="R3230" i="1"/>
  <c r="W3230" i="1"/>
  <c r="AA3230" i="1"/>
  <c r="AB3230" i="1"/>
  <c r="AE3230" i="1"/>
  <c r="AF3230" i="1"/>
  <c r="AM3230" i="1"/>
  <c r="AN3230" i="1"/>
  <c r="AO3230" i="1"/>
  <c r="AQ3230" i="1"/>
  <c r="AX3230" i="1"/>
  <c r="BD3230" i="1"/>
  <c r="B3231" i="1"/>
  <c r="C3231" i="1"/>
  <c r="D3231" i="1"/>
  <c r="E3231" i="1"/>
  <c r="F3231" i="1"/>
  <c r="G3231" i="1"/>
  <c r="H3231" i="1"/>
  <c r="I3231" i="1"/>
  <c r="J3231" i="1"/>
  <c r="K3231" i="1"/>
  <c r="M3231" i="1"/>
  <c r="O3231" i="1"/>
  <c r="Q3231" i="1"/>
  <c r="R3231" i="1"/>
  <c r="W3231" i="1"/>
  <c r="AA3231" i="1"/>
  <c r="AB3231" i="1"/>
  <c r="AE3231" i="1"/>
  <c r="AF3231" i="1"/>
  <c r="AM3231" i="1"/>
  <c r="AN3231" i="1"/>
  <c r="AO3231" i="1"/>
  <c r="AQ3231" i="1"/>
  <c r="AX3231" i="1"/>
  <c r="BD3231" i="1"/>
  <c r="B3232" i="1"/>
  <c r="C3232" i="1"/>
  <c r="D3232" i="1"/>
  <c r="E3232" i="1"/>
  <c r="F3232" i="1"/>
  <c r="G3232" i="1"/>
  <c r="H3232" i="1"/>
  <c r="I3232" i="1"/>
  <c r="J3232" i="1"/>
  <c r="K3232" i="1"/>
  <c r="M3232" i="1"/>
  <c r="O3232" i="1"/>
  <c r="Q3232" i="1"/>
  <c r="R3232" i="1"/>
  <c r="W3232" i="1"/>
  <c r="AA3232" i="1"/>
  <c r="AB3232" i="1"/>
  <c r="AM3232" i="1"/>
  <c r="AN3232" i="1"/>
  <c r="AO3232" i="1"/>
  <c r="AQ3232" i="1"/>
  <c r="AX3232" i="1"/>
  <c r="BD3232" i="1"/>
  <c r="B3233" i="1"/>
  <c r="C3233" i="1"/>
  <c r="D3233" i="1"/>
  <c r="E3233" i="1"/>
  <c r="F3233" i="1"/>
  <c r="G3233" i="1"/>
  <c r="H3233" i="1"/>
  <c r="I3233" i="1"/>
  <c r="J3233" i="1"/>
  <c r="K3233" i="1"/>
  <c r="M3233" i="1"/>
  <c r="O3233" i="1"/>
  <c r="Q3233" i="1"/>
  <c r="R3233" i="1"/>
  <c r="W3233" i="1"/>
  <c r="AA3233" i="1"/>
  <c r="AB3233" i="1"/>
  <c r="AE3233" i="1"/>
  <c r="AF3233" i="1"/>
  <c r="AM3233" i="1"/>
  <c r="AN3233" i="1"/>
  <c r="AO3233" i="1"/>
  <c r="AQ3233" i="1"/>
  <c r="AX3233" i="1"/>
  <c r="BD3233" i="1"/>
  <c r="B3234" i="1"/>
  <c r="C3234" i="1"/>
  <c r="D3234" i="1"/>
  <c r="E3234" i="1"/>
  <c r="F3234" i="1"/>
  <c r="G3234" i="1"/>
  <c r="H3234" i="1"/>
  <c r="I3234" i="1"/>
  <c r="J3234" i="1"/>
  <c r="K3234" i="1"/>
  <c r="M3234" i="1"/>
  <c r="O3234" i="1"/>
  <c r="Q3234" i="1"/>
  <c r="R3234" i="1"/>
  <c r="W3234" i="1"/>
  <c r="AA3234" i="1"/>
  <c r="AB3234" i="1"/>
  <c r="AE3234" i="1"/>
  <c r="AF3234" i="1"/>
  <c r="AM3234" i="1"/>
  <c r="AN3234" i="1"/>
  <c r="AO3234" i="1"/>
  <c r="AQ3234" i="1"/>
  <c r="AX3234" i="1"/>
  <c r="BD3234" i="1"/>
  <c r="B3235" i="1"/>
  <c r="C3235" i="1"/>
  <c r="D3235" i="1"/>
  <c r="E3235" i="1"/>
  <c r="F3235" i="1"/>
  <c r="G3235" i="1"/>
  <c r="H3235" i="1"/>
  <c r="I3235" i="1"/>
  <c r="J3235" i="1"/>
  <c r="K3235" i="1"/>
  <c r="M3235" i="1"/>
  <c r="O3235" i="1"/>
  <c r="Q3235" i="1"/>
  <c r="R3235" i="1"/>
  <c r="W3235" i="1"/>
  <c r="AA3235" i="1"/>
  <c r="AB3235" i="1"/>
  <c r="AE3235" i="1"/>
  <c r="AF3235" i="1"/>
  <c r="AM3235" i="1"/>
  <c r="AN3235" i="1"/>
  <c r="AO3235" i="1"/>
  <c r="AQ3235" i="1"/>
  <c r="AX3235" i="1"/>
  <c r="BD3235" i="1"/>
  <c r="B3236" i="1"/>
  <c r="C3236" i="1"/>
  <c r="D3236" i="1"/>
  <c r="E3236" i="1"/>
  <c r="F3236" i="1"/>
  <c r="G3236" i="1"/>
  <c r="H3236" i="1"/>
  <c r="I3236" i="1"/>
  <c r="J3236" i="1"/>
  <c r="K3236" i="1"/>
  <c r="M3236" i="1"/>
  <c r="O3236" i="1"/>
  <c r="Q3236" i="1"/>
  <c r="R3236" i="1"/>
  <c r="W3236" i="1"/>
  <c r="AA3236" i="1"/>
  <c r="AB3236" i="1"/>
  <c r="AE3236" i="1"/>
  <c r="AF3236" i="1"/>
  <c r="AM3236" i="1"/>
  <c r="AN3236" i="1"/>
  <c r="AO3236" i="1"/>
  <c r="AQ3236" i="1"/>
  <c r="AX3236" i="1"/>
  <c r="BD3236" i="1"/>
  <c r="B3237" i="1"/>
  <c r="C3237" i="1"/>
  <c r="D3237" i="1"/>
  <c r="E3237" i="1"/>
  <c r="F3237" i="1"/>
  <c r="G3237" i="1"/>
  <c r="H3237" i="1"/>
  <c r="I3237" i="1"/>
  <c r="J3237" i="1"/>
  <c r="K3237" i="1"/>
  <c r="M3237" i="1"/>
  <c r="O3237" i="1"/>
  <c r="Q3237" i="1"/>
  <c r="R3237" i="1"/>
  <c r="W3237" i="1"/>
  <c r="AA3237" i="1"/>
  <c r="AB3237" i="1"/>
  <c r="AE3237" i="1"/>
  <c r="AF3237" i="1"/>
  <c r="AM3237" i="1"/>
  <c r="AN3237" i="1"/>
  <c r="AO3237" i="1"/>
  <c r="AQ3237" i="1"/>
  <c r="AX3237" i="1"/>
  <c r="BD3237" i="1"/>
  <c r="B3238" i="1"/>
  <c r="C3238" i="1"/>
  <c r="D3238" i="1"/>
  <c r="E3238" i="1"/>
  <c r="F3238" i="1"/>
  <c r="G3238" i="1"/>
  <c r="H3238" i="1"/>
  <c r="I3238" i="1"/>
  <c r="J3238" i="1"/>
  <c r="K3238" i="1"/>
  <c r="M3238" i="1"/>
  <c r="O3238" i="1"/>
  <c r="Q3238" i="1"/>
  <c r="R3238" i="1"/>
  <c r="W3238" i="1"/>
  <c r="AA3238" i="1"/>
  <c r="AB3238" i="1"/>
  <c r="AE3238" i="1"/>
  <c r="AF3238" i="1"/>
  <c r="AM3238" i="1"/>
  <c r="AN3238" i="1"/>
  <c r="AO3238" i="1"/>
  <c r="AQ3238" i="1"/>
  <c r="AX3238" i="1"/>
  <c r="BD3238" i="1"/>
  <c r="B3239" i="1"/>
  <c r="C3239" i="1"/>
  <c r="D3239" i="1"/>
  <c r="E3239" i="1"/>
  <c r="F3239" i="1"/>
  <c r="G3239" i="1"/>
  <c r="H3239" i="1"/>
  <c r="I3239" i="1"/>
  <c r="J3239" i="1"/>
  <c r="K3239" i="1"/>
  <c r="M3239" i="1"/>
  <c r="O3239" i="1"/>
  <c r="Q3239" i="1"/>
  <c r="R3239" i="1"/>
  <c r="W3239" i="1"/>
  <c r="AA3239" i="1"/>
  <c r="AB3239" i="1"/>
  <c r="AE3239" i="1"/>
  <c r="AF3239" i="1"/>
  <c r="AM3239" i="1"/>
  <c r="AN3239" i="1"/>
  <c r="AO3239" i="1"/>
  <c r="AQ3239" i="1"/>
  <c r="AX3239" i="1"/>
  <c r="BD3239" i="1"/>
  <c r="B3240" i="1"/>
  <c r="C3240" i="1"/>
  <c r="D3240" i="1"/>
  <c r="E3240" i="1"/>
  <c r="F3240" i="1"/>
  <c r="G3240" i="1"/>
  <c r="H3240" i="1"/>
  <c r="I3240" i="1"/>
  <c r="J3240" i="1"/>
  <c r="K3240" i="1"/>
  <c r="M3240" i="1"/>
  <c r="O3240" i="1"/>
  <c r="Q3240" i="1"/>
  <c r="R3240" i="1"/>
  <c r="W3240" i="1"/>
  <c r="AA3240" i="1"/>
  <c r="AB3240" i="1"/>
  <c r="AE3240" i="1"/>
  <c r="AF3240" i="1"/>
  <c r="AM3240" i="1"/>
  <c r="AN3240" i="1"/>
  <c r="AO3240" i="1"/>
  <c r="AQ3240" i="1"/>
  <c r="AX3240" i="1"/>
  <c r="BD3240" i="1"/>
  <c r="B3241" i="1"/>
  <c r="C3241" i="1"/>
  <c r="D3241" i="1"/>
  <c r="E3241" i="1"/>
  <c r="F3241" i="1"/>
  <c r="G3241" i="1"/>
  <c r="H3241" i="1"/>
  <c r="I3241" i="1"/>
  <c r="J3241" i="1"/>
  <c r="K3241" i="1"/>
  <c r="M3241" i="1"/>
  <c r="O3241" i="1"/>
  <c r="Q3241" i="1"/>
  <c r="R3241" i="1"/>
  <c r="W3241" i="1"/>
  <c r="AA3241" i="1"/>
  <c r="AB3241" i="1"/>
  <c r="AE3241" i="1"/>
  <c r="AF3241" i="1"/>
  <c r="AM3241" i="1"/>
  <c r="AN3241" i="1"/>
  <c r="AO3241" i="1"/>
  <c r="AQ3241" i="1"/>
  <c r="AX3241" i="1"/>
  <c r="BD3241" i="1"/>
  <c r="B3242" i="1"/>
  <c r="C3242" i="1"/>
  <c r="E3242" i="1"/>
  <c r="F3242" i="1"/>
  <c r="G3242" i="1"/>
  <c r="H3242" i="1"/>
  <c r="I3242" i="1"/>
  <c r="J3242" i="1"/>
  <c r="K3242" i="1"/>
  <c r="M3242" i="1"/>
  <c r="O3242" i="1"/>
  <c r="Q3242" i="1"/>
  <c r="R3242" i="1"/>
  <c r="W3242" i="1"/>
  <c r="AA3242" i="1"/>
  <c r="AB3242" i="1"/>
  <c r="AE3242" i="1"/>
  <c r="AF3242" i="1"/>
  <c r="AM3242" i="1"/>
  <c r="AN3242" i="1"/>
  <c r="AO3242" i="1"/>
  <c r="AQ3242" i="1"/>
  <c r="AX3242" i="1"/>
  <c r="BD3242" i="1"/>
  <c r="B3243" i="1"/>
  <c r="C3243" i="1"/>
  <c r="E3243" i="1"/>
  <c r="F3243" i="1"/>
  <c r="G3243" i="1"/>
  <c r="H3243" i="1"/>
  <c r="I3243" i="1"/>
  <c r="J3243" i="1"/>
  <c r="K3243" i="1"/>
  <c r="M3243" i="1"/>
  <c r="O3243" i="1"/>
  <c r="Q3243" i="1"/>
  <c r="R3243" i="1"/>
  <c r="W3243" i="1"/>
  <c r="AA3243" i="1"/>
  <c r="AB3243" i="1"/>
  <c r="AE3243" i="1"/>
  <c r="AF3243" i="1"/>
  <c r="AM3243" i="1"/>
  <c r="AN3243" i="1"/>
  <c r="AO3243" i="1"/>
  <c r="AQ3243" i="1"/>
  <c r="AX3243" i="1"/>
  <c r="BD3243" i="1"/>
  <c r="B3244" i="1"/>
  <c r="C3244" i="1"/>
  <c r="E3244" i="1"/>
  <c r="F3244" i="1"/>
  <c r="G3244" i="1"/>
  <c r="H3244" i="1"/>
  <c r="I3244" i="1"/>
  <c r="J3244" i="1"/>
  <c r="K3244" i="1"/>
  <c r="M3244" i="1"/>
  <c r="O3244" i="1"/>
  <c r="Q3244" i="1"/>
  <c r="R3244" i="1"/>
  <c r="W3244" i="1"/>
  <c r="AA3244" i="1"/>
  <c r="AB3244" i="1"/>
  <c r="AE3244" i="1"/>
  <c r="AF3244" i="1"/>
  <c r="AM3244" i="1"/>
  <c r="AN3244" i="1"/>
  <c r="AO3244" i="1"/>
  <c r="AQ3244" i="1"/>
  <c r="AX3244" i="1"/>
  <c r="BD3244" i="1"/>
  <c r="B3245" i="1"/>
  <c r="C3245" i="1"/>
  <c r="E3245" i="1"/>
  <c r="F3245" i="1"/>
  <c r="G3245" i="1"/>
  <c r="H3245" i="1"/>
  <c r="I3245" i="1"/>
  <c r="J3245" i="1"/>
  <c r="K3245" i="1"/>
  <c r="M3245" i="1"/>
  <c r="O3245" i="1"/>
  <c r="Q3245" i="1"/>
  <c r="R3245" i="1"/>
  <c r="W3245" i="1"/>
  <c r="AA3245" i="1"/>
  <c r="AB3245" i="1"/>
  <c r="AE3245" i="1"/>
  <c r="AF3245" i="1"/>
  <c r="AM3245" i="1"/>
  <c r="AN3245" i="1"/>
  <c r="AO3245" i="1"/>
  <c r="AQ3245" i="1"/>
  <c r="AX3245" i="1"/>
  <c r="BD3245" i="1"/>
  <c r="B3246" i="1"/>
  <c r="C3246" i="1"/>
  <c r="D3246" i="1"/>
  <c r="E3246" i="1"/>
  <c r="F3246" i="1"/>
  <c r="G3246" i="1"/>
  <c r="H3246" i="1"/>
  <c r="I3246" i="1"/>
  <c r="J3246" i="1"/>
  <c r="K3246" i="1"/>
  <c r="M3246" i="1"/>
  <c r="O3246" i="1"/>
  <c r="Q3246" i="1"/>
  <c r="R3246" i="1"/>
  <c r="W3246" i="1"/>
  <c r="AA3246" i="1"/>
  <c r="AB3246" i="1"/>
  <c r="AE3246" i="1"/>
  <c r="AF3246" i="1"/>
  <c r="AM3246" i="1"/>
  <c r="AN3246" i="1"/>
  <c r="AO3246" i="1"/>
  <c r="AQ3246" i="1"/>
  <c r="AX3246" i="1"/>
  <c r="BD3246" i="1"/>
  <c r="B3247" i="1"/>
  <c r="C3247" i="1"/>
  <c r="E3247" i="1"/>
  <c r="F3247" i="1"/>
  <c r="G3247" i="1"/>
  <c r="H3247" i="1"/>
  <c r="I3247" i="1"/>
  <c r="J3247" i="1"/>
  <c r="K3247" i="1"/>
  <c r="M3247" i="1"/>
  <c r="O3247" i="1"/>
  <c r="Q3247" i="1"/>
  <c r="R3247" i="1"/>
  <c r="W3247" i="1"/>
  <c r="AA3247" i="1"/>
  <c r="AB3247" i="1"/>
  <c r="AE3247" i="1"/>
  <c r="AF3247" i="1"/>
  <c r="AM3247" i="1"/>
  <c r="AN3247" i="1"/>
  <c r="AO3247" i="1"/>
  <c r="AQ3247" i="1"/>
  <c r="AX3247" i="1"/>
  <c r="BD3247" i="1"/>
  <c r="B3248" i="1"/>
  <c r="C3248" i="1"/>
  <c r="D3248" i="1"/>
  <c r="E3248" i="1"/>
  <c r="F3248" i="1"/>
  <c r="G3248" i="1"/>
  <c r="H3248" i="1"/>
  <c r="I3248" i="1"/>
  <c r="J3248" i="1"/>
  <c r="K3248" i="1"/>
  <c r="M3248" i="1"/>
  <c r="O3248" i="1"/>
  <c r="Q3248" i="1"/>
  <c r="R3248" i="1"/>
  <c r="W3248" i="1"/>
  <c r="AA3248" i="1"/>
  <c r="AB3248" i="1"/>
  <c r="AE3248" i="1"/>
  <c r="AF3248" i="1"/>
  <c r="AM3248" i="1"/>
  <c r="AN3248" i="1"/>
  <c r="AO3248" i="1"/>
  <c r="AQ3248" i="1"/>
  <c r="AX3248" i="1"/>
  <c r="BD3248" i="1"/>
  <c r="B3249" i="1"/>
  <c r="C3249" i="1"/>
  <c r="D3249" i="1"/>
  <c r="E3249" i="1"/>
  <c r="F3249" i="1"/>
  <c r="G3249" i="1"/>
  <c r="H3249" i="1"/>
  <c r="I3249" i="1"/>
  <c r="J3249" i="1"/>
  <c r="K3249" i="1"/>
  <c r="M3249" i="1"/>
  <c r="O3249" i="1"/>
  <c r="Q3249" i="1"/>
  <c r="R3249" i="1"/>
  <c r="W3249" i="1"/>
  <c r="AA3249" i="1"/>
  <c r="AB3249" i="1"/>
  <c r="AE3249" i="1"/>
  <c r="AF3249" i="1"/>
  <c r="AM3249" i="1"/>
  <c r="AN3249" i="1"/>
  <c r="AO3249" i="1"/>
  <c r="AQ3249" i="1"/>
  <c r="AX3249" i="1"/>
  <c r="BD3249" i="1"/>
  <c r="B3250" i="1"/>
  <c r="C3250" i="1"/>
  <c r="D3250" i="1"/>
  <c r="E3250" i="1"/>
  <c r="F3250" i="1"/>
  <c r="G3250" i="1"/>
  <c r="H3250" i="1"/>
  <c r="I3250" i="1"/>
  <c r="J3250" i="1"/>
  <c r="K3250" i="1"/>
  <c r="M3250" i="1"/>
  <c r="O3250" i="1"/>
  <c r="Q3250" i="1"/>
  <c r="R3250" i="1"/>
  <c r="W3250" i="1"/>
  <c r="AA3250" i="1"/>
  <c r="AB3250" i="1"/>
  <c r="AM3250" i="1"/>
  <c r="AN3250" i="1"/>
  <c r="AO3250" i="1"/>
  <c r="AQ3250" i="1"/>
  <c r="AX3250" i="1"/>
  <c r="BD3250" i="1"/>
  <c r="B3251" i="1"/>
  <c r="E3251" i="1"/>
  <c r="F3251" i="1"/>
  <c r="G3251" i="1"/>
  <c r="H3251" i="1"/>
  <c r="I3251" i="1"/>
  <c r="J3251" i="1"/>
  <c r="K3251" i="1"/>
  <c r="M3251" i="1"/>
  <c r="O3251" i="1"/>
  <c r="Q3251" i="1"/>
  <c r="R3251" i="1"/>
  <c r="W3251" i="1"/>
  <c r="AA3251" i="1"/>
  <c r="AB3251" i="1"/>
  <c r="AM3251" i="1"/>
  <c r="AN3251" i="1"/>
  <c r="AO3251" i="1"/>
  <c r="AQ3251" i="1"/>
  <c r="AX3251" i="1"/>
  <c r="BD3251" i="1"/>
  <c r="B3252" i="1"/>
  <c r="C3252" i="1"/>
  <c r="D3252" i="1"/>
  <c r="E3252" i="1"/>
  <c r="F3252" i="1"/>
  <c r="G3252" i="1"/>
  <c r="H3252" i="1"/>
  <c r="I3252" i="1"/>
  <c r="J3252" i="1"/>
  <c r="K3252" i="1"/>
  <c r="M3252" i="1"/>
  <c r="O3252" i="1"/>
  <c r="Q3252" i="1"/>
  <c r="R3252" i="1"/>
  <c r="W3252" i="1"/>
  <c r="AA3252" i="1"/>
  <c r="AB3252" i="1"/>
  <c r="AM3252" i="1"/>
  <c r="AN3252" i="1"/>
  <c r="AO3252" i="1"/>
  <c r="AQ3252" i="1"/>
  <c r="AX3252" i="1"/>
  <c r="BD3252" i="1"/>
  <c r="B3253" i="1"/>
  <c r="C3253" i="1"/>
  <c r="D3253" i="1"/>
  <c r="E3253" i="1"/>
  <c r="F3253" i="1"/>
  <c r="G3253" i="1"/>
  <c r="H3253" i="1"/>
  <c r="I3253" i="1"/>
  <c r="J3253" i="1"/>
  <c r="K3253" i="1"/>
  <c r="M3253" i="1"/>
  <c r="O3253" i="1"/>
  <c r="Q3253" i="1"/>
  <c r="R3253" i="1"/>
  <c r="W3253" i="1"/>
  <c r="AA3253" i="1"/>
  <c r="AB3253" i="1"/>
  <c r="AM3253" i="1"/>
  <c r="AN3253" i="1"/>
  <c r="AO3253" i="1"/>
  <c r="AQ3253" i="1"/>
  <c r="AX3253" i="1"/>
  <c r="BD3253" i="1"/>
  <c r="B3254" i="1"/>
  <c r="C3254" i="1"/>
  <c r="D3254" i="1"/>
  <c r="E3254" i="1"/>
  <c r="F3254" i="1"/>
  <c r="G3254" i="1"/>
  <c r="H3254" i="1"/>
  <c r="I3254" i="1"/>
  <c r="J3254" i="1"/>
  <c r="K3254" i="1"/>
  <c r="M3254" i="1"/>
  <c r="O3254" i="1"/>
  <c r="Q3254" i="1"/>
  <c r="R3254" i="1"/>
  <c r="W3254" i="1"/>
  <c r="AA3254" i="1"/>
  <c r="AB3254" i="1"/>
  <c r="AM3254" i="1"/>
  <c r="AN3254" i="1"/>
  <c r="AO3254" i="1"/>
  <c r="AQ3254" i="1"/>
  <c r="AX3254" i="1"/>
  <c r="BD3254" i="1"/>
  <c r="B3255" i="1"/>
  <c r="E3255" i="1"/>
  <c r="F3255" i="1"/>
  <c r="G3255" i="1"/>
  <c r="H3255" i="1"/>
  <c r="I3255" i="1"/>
  <c r="J3255" i="1"/>
  <c r="K3255" i="1"/>
  <c r="M3255" i="1"/>
  <c r="O3255" i="1"/>
  <c r="Q3255" i="1"/>
  <c r="R3255" i="1"/>
  <c r="W3255" i="1"/>
  <c r="AA3255" i="1"/>
  <c r="AB3255" i="1"/>
  <c r="AM3255" i="1"/>
  <c r="AN3255" i="1"/>
  <c r="AO3255" i="1"/>
  <c r="AQ3255" i="1"/>
  <c r="AX3255" i="1"/>
  <c r="BD3255" i="1"/>
  <c r="B3256" i="1"/>
  <c r="E3256" i="1"/>
  <c r="F3256" i="1"/>
  <c r="G3256" i="1"/>
  <c r="H3256" i="1"/>
  <c r="I3256" i="1"/>
  <c r="J3256" i="1"/>
  <c r="K3256" i="1"/>
  <c r="M3256" i="1"/>
  <c r="O3256" i="1"/>
  <c r="Q3256" i="1"/>
  <c r="R3256" i="1"/>
  <c r="W3256" i="1"/>
  <c r="AA3256" i="1"/>
  <c r="AB3256" i="1"/>
  <c r="AM3256" i="1"/>
  <c r="AN3256" i="1"/>
  <c r="AO3256" i="1"/>
  <c r="AQ3256" i="1"/>
  <c r="AX3256" i="1"/>
  <c r="BD3256" i="1"/>
  <c r="B3257" i="1"/>
  <c r="E3257" i="1"/>
  <c r="F3257" i="1"/>
  <c r="G3257" i="1"/>
  <c r="H3257" i="1"/>
  <c r="I3257" i="1"/>
  <c r="J3257" i="1"/>
  <c r="K3257" i="1"/>
  <c r="M3257" i="1"/>
  <c r="O3257" i="1"/>
  <c r="Q3257" i="1"/>
  <c r="R3257" i="1"/>
  <c r="W3257" i="1"/>
  <c r="AA3257" i="1"/>
  <c r="AB3257" i="1"/>
  <c r="AM3257" i="1"/>
  <c r="AN3257" i="1"/>
  <c r="AO3257" i="1"/>
  <c r="AQ3257" i="1"/>
  <c r="AX3257" i="1"/>
  <c r="BD3257" i="1"/>
  <c r="B3258" i="1"/>
  <c r="E3258" i="1"/>
  <c r="F3258" i="1"/>
  <c r="G3258" i="1"/>
  <c r="H3258" i="1"/>
  <c r="I3258" i="1"/>
  <c r="J3258" i="1"/>
  <c r="K3258" i="1"/>
  <c r="M3258" i="1"/>
  <c r="O3258" i="1"/>
  <c r="Q3258" i="1"/>
  <c r="R3258" i="1"/>
  <c r="W3258" i="1"/>
  <c r="AA3258" i="1"/>
  <c r="AB3258" i="1"/>
  <c r="AM3258" i="1"/>
  <c r="AN3258" i="1"/>
  <c r="AO3258" i="1"/>
  <c r="AQ3258" i="1"/>
  <c r="AX3258" i="1"/>
  <c r="BD3258" i="1"/>
  <c r="B3259" i="1"/>
  <c r="E3259" i="1"/>
  <c r="F3259" i="1"/>
  <c r="G3259" i="1"/>
  <c r="H3259" i="1"/>
  <c r="I3259" i="1"/>
  <c r="J3259" i="1"/>
  <c r="K3259" i="1"/>
  <c r="M3259" i="1"/>
  <c r="O3259" i="1"/>
  <c r="Q3259" i="1"/>
  <c r="R3259" i="1"/>
  <c r="W3259" i="1"/>
  <c r="AA3259" i="1"/>
  <c r="AB3259" i="1"/>
  <c r="AM3259" i="1"/>
  <c r="AN3259" i="1"/>
  <c r="AO3259" i="1"/>
  <c r="AQ3259" i="1"/>
  <c r="AX3259" i="1"/>
  <c r="BD3259" i="1"/>
  <c r="B3260" i="1"/>
  <c r="E3260" i="1"/>
  <c r="F3260" i="1"/>
  <c r="G3260" i="1"/>
  <c r="H3260" i="1"/>
  <c r="I3260" i="1"/>
  <c r="J3260" i="1"/>
  <c r="K3260" i="1"/>
  <c r="M3260" i="1"/>
  <c r="O3260" i="1"/>
  <c r="Q3260" i="1"/>
  <c r="R3260" i="1"/>
  <c r="W3260" i="1"/>
  <c r="AA3260" i="1"/>
  <c r="AB3260" i="1"/>
  <c r="AM3260" i="1"/>
  <c r="AN3260" i="1"/>
  <c r="AO3260" i="1"/>
  <c r="AQ3260" i="1"/>
  <c r="AX3260" i="1"/>
  <c r="BD3260" i="1"/>
  <c r="B3261" i="1"/>
  <c r="E3261" i="1"/>
  <c r="F3261" i="1"/>
  <c r="G3261" i="1"/>
  <c r="H3261" i="1"/>
  <c r="I3261" i="1"/>
  <c r="J3261" i="1"/>
  <c r="K3261" i="1"/>
  <c r="M3261" i="1"/>
  <c r="O3261" i="1"/>
  <c r="Q3261" i="1"/>
  <c r="R3261" i="1"/>
  <c r="W3261" i="1"/>
  <c r="AA3261" i="1"/>
  <c r="AB3261" i="1"/>
  <c r="AM3261" i="1"/>
  <c r="AN3261" i="1"/>
  <c r="AO3261" i="1"/>
  <c r="AQ3261" i="1"/>
  <c r="AX3261" i="1"/>
  <c r="BD3261" i="1"/>
  <c r="B3262" i="1"/>
  <c r="E3262" i="1"/>
  <c r="F3262" i="1"/>
  <c r="G3262" i="1"/>
  <c r="H3262" i="1"/>
  <c r="I3262" i="1"/>
  <c r="J3262" i="1"/>
  <c r="K3262" i="1"/>
  <c r="M3262" i="1"/>
  <c r="O3262" i="1"/>
  <c r="Q3262" i="1"/>
  <c r="R3262" i="1"/>
  <c r="W3262" i="1"/>
  <c r="AA3262" i="1"/>
  <c r="AB3262" i="1"/>
  <c r="AM3262" i="1"/>
  <c r="AN3262" i="1"/>
  <c r="AO3262" i="1"/>
  <c r="AQ3262" i="1"/>
  <c r="AX3262" i="1"/>
  <c r="BD3262" i="1"/>
  <c r="B3263" i="1"/>
  <c r="E3263" i="1"/>
  <c r="F3263" i="1"/>
  <c r="G3263" i="1"/>
  <c r="H3263" i="1"/>
  <c r="I3263" i="1"/>
  <c r="J3263" i="1"/>
  <c r="K3263" i="1"/>
  <c r="M3263" i="1"/>
  <c r="O3263" i="1"/>
  <c r="Q3263" i="1"/>
  <c r="R3263" i="1"/>
  <c r="W3263" i="1"/>
  <c r="AA3263" i="1"/>
  <c r="AB3263" i="1"/>
  <c r="AM3263" i="1"/>
  <c r="AN3263" i="1"/>
  <c r="AO3263" i="1"/>
  <c r="AQ3263" i="1"/>
  <c r="AX3263" i="1"/>
  <c r="BD3263" i="1"/>
  <c r="B3264" i="1"/>
  <c r="E3264" i="1"/>
  <c r="F3264" i="1"/>
  <c r="G3264" i="1"/>
  <c r="H3264" i="1"/>
  <c r="I3264" i="1"/>
  <c r="J3264" i="1"/>
  <c r="K3264" i="1"/>
  <c r="M3264" i="1"/>
  <c r="O3264" i="1"/>
  <c r="Q3264" i="1"/>
  <c r="R3264" i="1"/>
  <c r="W3264" i="1"/>
  <c r="AA3264" i="1"/>
  <c r="AB3264" i="1"/>
  <c r="AM3264" i="1"/>
  <c r="AN3264" i="1"/>
  <c r="AO3264" i="1"/>
  <c r="AQ3264" i="1"/>
  <c r="AX3264" i="1"/>
  <c r="BD3264" i="1"/>
  <c r="B3265" i="1"/>
  <c r="E3265" i="1"/>
  <c r="F3265" i="1"/>
  <c r="G3265" i="1"/>
  <c r="H3265" i="1"/>
  <c r="I3265" i="1"/>
  <c r="J3265" i="1"/>
  <c r="K3265" i="1"/>
  <c r="M3265" i="1"/>
  <c r="O3265" i="1"/>
  <c r="Q3265" i="1"/>
  <c r="R3265" i="1"/>
  <c r="W3265" i="1"/>
  <c r="AA3265" i="1"/>
  <c r="AB3265" i="1"/>
  <c r="AM3265" i="1"/>
  <c r="AN3265" i="1"/>
  <c r="AO3265" i="1"/>
  <c r="AQ3265" i="1"/>
  <c r="AX3265" i="1"/>
  <c r="BD3265" i="1"/>
  <c r="B3266" i="1"/>
  <c r="E3266" i="1"/>
  <c r="F3266" i="1"/>
  <c r="G3266" i="1"/>
  <c r="H3266" i="1"/>
  <c r="I3266" i="1"/>
  <c r="J3266" i="1"/>
  <c r="K3266" i="1"/>
  <c r="M3266" i="1"/>
  <c r="O3266" i="1"/>
  <c r="Q3266" i="1"/>
  <c r="R3266" i="1"/>
  <c r="W3266" i="1"/>
  <c r="AA3266" i="1"/>
  <c r="AB3266" i="1"/>
  <c r="AM3266" i="1"/>
  <c r="AN3266" i="1"/>
  <c r="AO3266" i="1"/>
  <c r="AQ3266" i="1"/>
  <c r="AX3266" i="1"/>
  <c r="BD3266" i="1"/>
  <c r="B3267" i="1"/>
  <c r="C3267" i="1"/>
  <c r="D3267" i="1"/>
  <c r="E3267" i="1"/>
  <c r="F3267" i="1"/>
  <c r="G3267" i="1"/>
  <c r="H3267" i="1"/>
  <c r="I3267" i="1"/>
  <c r="J3267" i="1"/>
  <c r="K3267" i="1"/>
  <c r="M3267" i="1"/>
  <c r="O3267" i="1"/>
  <c r="Q3267" i="1"/>
  <c r="R3267" i="1"/>
  <c r="W3267" i="1"/>
  <c r="AA3267" i="1"/>
  <c r="AB3267" i="1"/>
  <c r="AM3267" i="1"/>
  <c r="AN3267" i="1"/>
  <c r="AO3267" i="1"/>
  <c r="AQ3267" i="1"/>
  <c r="AX3267" i="1"/>
  <c r="BD3267" i="1"/>
  <c r="B3268" i="1"/>
  <c r="E3268" i="1"/>
  <c r="F3268" i="1"/>
  <c r="G3268" i="1"/>
  <c r="H3268" i="1"/>
  <c r="I3268" i="1"/>
  <c r="J3268" i="1"/>
  <c r="K3268" i="1"/>
  <c r="M3268" i="1"/>
  <c r="O3268" i="1"/>
  <c r="Q3268" i="1"/>
  <c r="R3268" i="1"/>
  <c r="W3268" i="1"/>
  <c r="AA3268" i="1"/>
  <c r="AB3268" i="1"/>
  <c r="AM3268" i="1"/>
  <c r="AN3268" i="1"/>
  <c r="AO3268" i="1"/>
  <c r="AQ3268" i="1"/>
  <c r="AX3268" i="1"/>
  <c r="BD3268" i="1"/>
  <c r="B3269" i="1"/>
  <c r="E3269" i="1"/>
  <c r="F3269" i="1"/>
  <c r="G3269" i="1"/>
  <c r="H3269" i="1"/>
  <c r="I3269" i="1"/>
  <c r="J3269" i="1"/>
  <c r="K3269" i="1"/>
  <c r="M3269" i="1"/>
  <c r="O3269" i="1"/>
  <c r="Q3269" i="1"/>
  <c r="R3269" i="1"/>
  <c r="W3269" i="1"/>
  <c r="AA3269" i="1"/>
  <c r="AB3269" i="1"/>
  <c r="AM3269" i="1"/>
  <c r="AN3269" i="1"/>
  <c r="AO3269" i="1"/>
  <c r="AQ3269" i="1"/>
  <c r="AX3269" i="1"/>
  <c r="BD3269" i="1"/>
  <c r="B3270" i="1"/>
  <c r="C3270" i="1"/>
  <c r="D3270" i="1"/>
  <c r="E3270" i="1"/>
  <c r="F3270" i="1"/>
  <c r="G3270" i="1"/>
  <c r="H3270" i="1"/>
  <c r="I3270" i="1"/>
  <c r="J3270" i="1"/>
  <c r="K3270" i="1"/>
  <c r="M3270" i="1"/>
  <c r="O3270" i="1"/>
  <c r="Q3270" i="1"/>
  <c r="R3270" i="1"/>
  <c r="W3270" i="1"/>
  <c r="AA3270" i="1"/>
  <c r="AB3270" i="1"/>
  <c r="AM3270" i="1"/>
  <c r="AN3270" i="1"/>
  <c r="AO3270" i="1"/>
  <c r="AQ3270" i="1"/>
  <c r="AX3270" i="1"/>
  <c r="BD3270" i="1"/>
  <c r="B3271" i="1"/>
  <c r="C3271" i="1"/>
  <c r="D3271" i="1"/>
  <c r="E3271" i="1"/>
  <c r="F3271" i="1"/>
  <c r="G3271" i="1"/>
  <c r="H3271" i="1"/>
  <c r="I3271" i="1"/>
  <c r="J3271" i="1"/>
  <c r="K3271" i="1"/>
  <c r="M3271" i="1"/>
  <c r="O3271" i="1"/>
  <c r="Q3271" i="1"/>
  <c r="R3271" i="1"/>
  <c r="W3271" i="1"/>
  <c r="AA3271" i="1"/>
  <c r="AB3271" i="1"/>
  <c r="AM3271" i="1"/>
  <c r="AN3271" i="1"/>
  <c r="AO3271" i="1"/>
  <c r="AQ3271" i="1"/>
  <c r="AX3271" i="1"/>
  <c r="BD3271" i="1"/>
  <c r="B3272" i="1"/>
  <c r="E3272" i="1"/>
  <c r="F3272" i="1"/>
  <c r="G3272" i="1"/>
  <c r="H3272" i="1"/>
  <c r="I3272" i="1"/>
  <c r="J3272" i="1"/>
  <c r="K3272" i="1"/>
  <c r="M3272" i="1"/>
  <c r="O3272" i="1"/>
  <c r="Q3272" i="1"/>
  <c r="R3272" i="1"/>
  <c r="W3272" i="1"/>
  <c r="AA3272" i="1"/>
  <c r="AB3272" i="1"/>
  <c r="AM3272" i="1"/>
  <c r="AN3272" i="1"/>
  <c r="AO3272" i="1"/>
  <c r="AQ3272" i="1"/>
  <c r="AX3272" i="1"/>
  <c r="BD3272" i="1"/>
  <c r="B3273" i="1"/>
  <c r="E3273" i="1"/>
  <c r="F3273" i="1"/>
  <c r="G3273" i="1"/>
  <c r="H3273" i="1"/>
  <c r="I3273" i="1"/>
  <c r="J3273" i="1"/>
  <c r="K3273" i="1"/>
  <c r="M3273" i="1"/>
  <c r="O3273" i="1"/>
  <c r="Q3273" i="1"/>
  <c r="R3273" i="1"/>
  <c r="W3273" i="1"/>
  <c r="AA3273" i="1"/>
  <c r="AB3273" i="1"/>
  <c r="AM3273" i="1"/>
  <c r="AN3273" i="1"/>
  <c r="AO3273" i="1"/>
  <c r="AQ3273" i="1"/>
  <c r="AX3273" i="1"/>
  <c r="BD3273" i="1"/>
  <c r="B3274" i="1"/>
  <c r="C3274" i="1"/>
  <c r="D3274" i="1"/>
  <c r="E3274" i="1"/>
  <c r="F3274" i="1"/>
  <c r="G3274" i="1"/>
  <c r="H3274" i="1"/>
  <c r="I3274" i="1"/>
  <c r="J3274" i="1"/>
  <c r="K3274" i="1"/>
  <c r="M3274" i="1"/>
  <c r="O3274" i="1"/>
  <c r="Q3274" i="1"/>
  <c r="R3274" i="1"/>
  <c r="W3274" i="1"/>
  <c r="AA3274" i="1"/>
  <c r="AB3274" i="1"/>
  <c r="AM3274" i="1"/>
  <c r="AN3274" i="1"/>
  <c r="AO3274" i="1"/>
  <c r="AQ3274" i="1"/>
  <c r="AX3274" i="1"/>
  <c r="BD3274" i="1"/>
  <c r="B3275" i="1"/>
  <c r="E3275" i="1"/>
  <c r="F3275" i="1"/>
  <c r="G3275" i="1"/>
  <c r="H3275" i="1"/>
  <c r="I3275" i="1"/>
  <c r="J3275" i="1"/>
  <c r="K3275" i="1"/>
  <c r="M3275" i="1"/>
  <c r="O3275" i="1"/>
  <c r="Q3275" i="1"/>
  <c r="R3275" i="1"/>
  <c r="W3275" i="1"/>
  <c r="AA3275" i="1"/>
  <c r="AB3275" i="1"/>
  <c r="AM3275" i="1"/>
  <c r="AN3275" i="1"/>
  <c r="AO3275" i="1"/>
  <c r="AQ3275" i="1"/>
  <c r="AX3275" i="1"/>
  <c r="BD3275" i="1"/>
  <c r="B3276" i="1"/>
  <c r="E3276" i="1"/>
  <c r="F3276" i="1"/>
  <c r="G3276" i="1"/>
  <c r="H3276" i="1"/>
  <c r="I3276" i="1"/>
  <c r="J3276" i="1"/>
  <c r="K3276" i="1"/>
  <c r="M3276" i="1"/>
  <c r="O3276" i="1"/>
  <c r="Q3276" i="1"/>
  <c r="R3276" i="1"/>
  <c r="W3276" i="1"/>
  <c r="AA3276" i="1"/>
  <c r="AB3276" i="1"/>
  <c r="AM3276" i="1"/>
  <c r="AN3276" i="1"/>
  <c r="AO3276" i="1"/>
  <c r="AQ3276" i="1"/>
  <c r="AX3276" i="1"/>
  <c r="BD3276" i="1"/>
  <c r="B3277" i="1"/>
  <c r="C3277" i="1"/>
  <c r="D3277" i="1"/>
  <c r="E3277" i="1"/>
  <c r="F3277" i="1"/>
  <c r="G3277" i="1"/>
  <c r="H3277" i="1"/>
  <c r="I3277" i="1"/>
  <c r="J3277" i="1"/>
  <c r="K3277" i="1"/>
  <c r="M3277" i="1"/>
  <c r="O3277" i="1"/>
  <c r="Q3277" i="1"/>
  <c r="R3277" i="1"/>
  <c r="W3277" i="1"/>
  <c r="AA3277" i="1"/>
  <c r="AB3277" i="1"/>
  <c r="AM3277" i="1"/>
  <c r="AN3277" i="1"/>
  <c r="AO3277" i="1"/>
  <c r="AQ3277" i="1"/>
  <c r="AX3277" i="1"/>
  <c r="BD3277" i="1"/>
  <c r="B3278" i="1"/>
  <c r="E3278" i="1"/>
  <c r="F3278" i="1"/>
  <c r="G3278" i="1"/>
  <c r="H3278" i="1"/>
  <c r="I3278" i="1"/>
  <c r="J3278" i="1"/>
  <c r="K3278" i="1"/>
  <c r="M3278" i="1"/>
  <c r="O3278" i="1"/>
  <c r="Q3278" i="1"/>
  <c r="R3278" i="1"/>
  <c r="W3278" i="1"/>
  <c r="AA3278" i="1"/>
  <c r="AB3278" i="1"/>
  <c r="AM3278" i="1"/>
  <c r="AN3278" i="1"/>
  <c r="AO3278" i="1"/>
  <c r="AQ3278" i="1"/>
  <c r="AX3278" i="1"/>
  <c r="BD3278" i="1"/>
  <c r="B3279" i="1"/>
  <c r="E3279" i="1"/>
  <c r="F3279" i="1"/>
  <c r="G3279" i="1"/>
  <c r="H3279" i="1"/>
  <c r="I3279" i="1"/>
  <c r="J3279" i="1"/>
  <c r="K3279" i="1"/>
  <c r="M3279" i="1"/>
  <c r="O3279" i="1"/>
  <c r="Q3279" i="1"/>
  <c r="R3279" i="1"/>
  <c r="W3279" i="1"/>
  <c r="AA3279" i="1"/>
  <c r="AM3279" i="1"/>
  <c r="AN3279" i="1"/>
  <c r="AO3279" i="1"/>
  <c r="AQ3279" i="1"/>
  <c r="BB3279" i="1"/>
  <c r="BD3279" i="1"/>
  <c r="B3280" i="1"/>
  <c r="C3280" i="1"/>
  <c r="E3280" i="1"/>
  <c r="F3280" i="1"/>
  <c r="G3280" i="1"/>
  <c r="H3280" i="1"/>
  <c r="I3280" i="1"/>
  <c r="J3280" i="1"/>
  <c r="K3280" i="1"/>
  <c r="M3280" i="1"/>
  <c r="O3280" i="1"/>
  <c r="Q3280" i="1"/>
  <c r="R3280" i="1"/>
  <c r="W3280" i="1"/>
  <c r="AA3280" i="1"/>
  <c r="AM3280" i="1"/>
  <c r="AN3280" i="1"/>
  <c r="AO3280" i="1"/>
  <c r="AQ3280" i="1"/>
  <c r="BB3280" i="1"/>
  <c r="BD3280" i="1"/>
  <c r="B3281" i="1"/>
  <c r="C3281" i="1"/>
  <c r="E3281" i="1"/>
  <c r="F3281" i="1"/>
  <c r="G3281" i="1"/>
  <c r="H3281" i="1"/>
  <c r="I3281" i="1"/>
  <c r="J3281" i="1"/>
  <c r="K3281" i="1"/>
  <c r="M3281" i="1"/>
  <c r="O3281" i="1"/>
  <c r="Q3281" i="1"/>
  <c r="R3281" i="1"/>
  <c r="W3281" i="1"/>
  <c r="AA3281" i="1"/>
  <c r="AM3281" i="1"/>
  <c r="AN3281" i="1"/>
  <c r="AO3281" i="1"/>
  <c r="AQ3281" i="1"/>
  <c r="BB3281" i="1"/>
  <c r="BD3281" i="1"/>
  <c r="B3282" i="1"/>
  <c r="C3282" i="1"/>
  <c r="E3282" i="1"/>
  <c r="F3282" i="1"/>
  <c r="G3282" i="1"/>
  <c r="H3282" i="1"/>
  <c r="I3282" i="1"/>
  <c r="J3282" i="1"/>
  <c r="K3282" i="1"/>
  <c r="M3282" i="1"/>
  <c r="O3282" i="1"/>
  <c r="Q3282" i="1"/>
  <c r="R3282" i="1"/>
  <c r="W3282" i="1"/>
  <c r="AA3282" i="1"/>
  <c r="AM3282" i="1"/>
  <c r="AN3282" i="1"/>
  <c r="AO3282" i="1"/>
  <c r="AQ3282" i="1"/>
  <c r="BB3282" i="1"/>
  <c r="BD3282" i="1"/>
  <c r="B3283" i="1"/>
  <c r="E3283" i="1"/>
  <c r="F3283" i="1"/>
  <c r="G3283" i="1"/>
  <c r="H3283" i="1"/>
  <c r="I3283" i="1"/>
  <c r="J3283" i="1"/>
  <c r="K3283" i="1"/>
  <c r="M3283" i="1"/>
  <c r="O3283" i="1"/>
  <c r="Q3283" i="1"/>
  <c r="R3283" i="1"/>
  <c r="W3283" i="1"/>
  <c r="AA3283" i="1"/>
  <c r="AM3283" i="1"/>
  <c r="AN3283" i="1"/>
  <c r="AO3283" i="1"/>
  <c r="AQ3283" i="1"/>
  <c r="BB3283" i="1"/>
  <c r="BD3283" i="1"/>
  <c r="B3284" i="1"/>
  <c r="E3284" i="1"/>
  <c r="F3284" i="1"/>
  <c r="G3284" i="1"/>
  <c r="H3284" i="1"/>
  <c r="I3284" i="1"/>
  <c r="J3284" i="1"/>
  <c r="K3284" i="1"/>
  <c r="M3284" i="1"/>
  <c r="O3284" i="1"/>
  <c r="Q3284" i="1"/>
  <c r="R3284" i="1"/>
  <c r="W3284" i="1"/>
  <c r="AA3284" i="1"/>
  <c r="AM3284" i="1"/>
  <c r="AN3284" i="1"/>
  <c r="AO3284" i="1"/>
  <c r="AQ3284" i="1"/>
  <c r="BB3284" i="1"/>
  <c r="BD3284" i="1"/>
  <c r="B3285" i="1"/>
  <c r="E3285" i="1"/>
  <c r="F3285" i="1"/>
  <c r="G3285" i="1"/>
  <c r="H3285" i="1"/>
  <c r="I3285" i="1"/>
  <c r="J3285" i="1"/>
  <c r="K3285" i="1"/>
  <c r="M3285" i="1"/>
  <c r="O3285" i="1"/>
  <c r="Q3285" i="1"/>
  <c r="R3285" i="1"/>
  <c r="W3285" i="1"/>
  <c r="AA3285" i="1"/>
  <c r="AM3285" i="1"/>
  <c r="AN3285" i="1"/>
  <c r="AO3285" i="1"/>
  <c r="AQ3285" i="1"/>
  <c r="BB3285" i="1"/>
  <c r="BD3285" i="1"/>
  <c r="B3286" i="1"/>
  <c r="E3286" i="1"/>
  <c r="F3286" i="1"/>
  <c r="G3286" i="1"/>
  <c r="H3286" i="1"/>
  <c r="I3286" i="1"/>
  <c r="J3286" i="1"/>
  <c r="K3286" i="1"/>
  <c r="M3286" i="1"/>
  <c r="O3286" i="1"/>
  <c r="Q3286" i="1"/>
  <c r="R3286" i="1"/>
  <c r="W3286" i="1"/>
  <c r="AA3286" i="1"/>
  <c r="AM3286" i="1"/>
  <c r="AN3286" i="1"/>
  <c r="AO3286" i="1"/>
  <c r="AQ3286" i="1"/>
  <c r="BB3286" i="1"/>
  <c r="BD3286" i="1"/>
  <c r="B3287" i="1"/>
  <c r="E3287" i="1"/>
  <c r="F3287" i="1"/>
  <c r="G3287" i="1"/>
  <c r="H3287" i="1"/>
  <c r="I3287" i="1"/>
  <c r="J3287" i="1"/>
  <c r="K3287" i="1"/>
  <c r="M3287" i="1"/>
  <c r="O3287" i="1"/>
  <c r="Q3287" i="1"/>
  <c r="R3287" i="1"/>
  <c r="W3287" i="1"/>
  <c r="AA3287" i="1"/>
  <c r="AM3287" i="1"/>
  <c r="AN3287" i="1"/>
  <c r="AO3287" i="1"/>
  <c r="AQ3287" i="1"/>
  <c r="BB3287" i="1"/>
  <c r="BD3287" i="1"/>
  <c r="B3288" i="1"/>
  <c r="E3288" i="1"/>
  <c r="F3288" i="1"/>
  <c r="G3288" i="1"/>
  <c r="H3288" i="1"/>
  <c r="I3288" i="1"/>
  <c r="J3288" i="1"/>
  <c r="K3288" i="1"/>
  <c r="M3288" i="1"/>
  <c r="O3288" i="1"/>
  <c r="Q3288" i="1"/>
  <c r="R3288" i="1"/>
  <c r="W3288" i="1"/>
  <c r="AA3288" i="1"/>
  <c r="AM3288" i="1"/>
  <c r="AN3288" i="1"/>
  <c r="AO3288" i="1"/>
  <c r="AQ3288" i="1"/>
  <c r="BB3288" i="1"/>
  <c r="BD3288" i="1"/>
  <c r="B3289" i="1"/>
  <c r="E3289" i="1"/>
  <c r="F3289" i="1"/>
  <c r="G3289" i="1"/>
  <c r="H3289" i="1"/>
  <c r="I3289" i="1"/>
  <c r="J3289" i="1"/>
  <c r="K3289" i="1"/>
  <c r="M3289" i="1"/>
  <c r="O3289" i="1"/>
  <c r="Q3289" i="1"/>
  <c r="R3289" i="1"/>
  <c r="W3289" i="1"/>
  <c r="AA3289" i="1"/>
  <c r="AM3289" i="1"/>
  <c r="AN3289" i="1"/>
  <c r="AO3289" i="1"/>
  <c r="AQ3289" i="1"/>
  <c r="BB3289" i="1"/>
  <c r="BD3289" i="1"/>
  <c r="B3290" i="1"/>
  <c r="E3290" i="1"/>
  <c r="F3290" i="1"/>
  <c r="G3290" i="1"/>
  <c r="H3290" i="1"/>
  <c r="I3290" i="1"/>
  <c r="J3290" i="1"/>
  <c r="K3290" i="1"/>
  <c r="M3290" i="1"/>
  <c r="O3290" i="1"/>
  <c r="Q3290" i="1"/>
  <c r="R3290" i="1"/>
  <c r="W3290" i="1"/>
  <c r="AA3290" i="1"/>
  <c r="AM3290" i="1"/>
  <c r="AN3290" i="1"/>
  <c r="AO3290" i="1"/>
  <c r="AQ3290" i="1"/>
  <c r="BB3290" i="1"/>
  <c r="BD3290" i="1"/>
  <c r="B3291" i="1"/>
  <c r="E3291" i="1"/>
  <c r="F3291" i="1"/>
  <c r="G3291" i="1"/>
  <c r="H3291" i="1"/>
  <c r="I3291" i="1"/>
  <c r="J3291" i="1"/>
  <c r="K3291" i="1"/>
  <c r="M3291" i="1"/>
  <c r="O3291" i="1"/>
  <c r="Q3291" i="1"/>
  <c r="R3291" i="1"/>
  <c r="W3291" i="1"/>
  <c r="AA3291" i="1"/>
  <c r="AM3291" i="1"/>
  <c r="AN3291" i="1"/>
  <c r="AO3291" i="1"/>
  <c r="AQ3291" i="1"/>
  <c r="BB3291" i="1"/>
  <c r="BD3291" i="1"/>
  <c r="B3292" i="1"/>
  <c r="E3292" i="1"/>
  <c r="F3292" i="1"/>
  <c r="G3292" i="1"/>
  <c r="H3292" i="1"/>
  <c r="I3292" i="1"/>
  <c r="J3292" i="1"/>
  <c r="K3292" i="1"/>
  <c r="M3292" i="1"/>
  <c r="O3292" i="1"/>
  <c r="Q3292" i="1"/>
  <c r="R3292" i="1"/>
  <c r="W3292" i="1"/>
  <c r="AA3292" i="1"/>
  <c r="AM3292" i="1"/>
  <c r="AN3292" i="1"/>
  <c r="AO3292" i="1"/>
  <c r="AQ3292" i="1"/>
  <c r="BB3292" i="1"/>
  <c r="BD3292" i="1"/>
  <c r="B3293" i="1"/>
  <c r="E3293" i="1"/>
  <c r="F3293" i="1"/>
  <c r="G3293" i="1"/>
  <c r="H3293" i="1"/>
  <c r="I3293" i="1"/>
  <c r="J3293" i="1"/>
  <c r="K3293" i="1"/>
  <c r="M3293" i="1"/>
  <c r="O3293" i="1"/>
  <c r="Q3293" i="1"/>
  <c r="R3293" i="1"/>
  <c r="W3293" i="1"/>
  <c r="AA3293" i="1"/>
  <c r="AM3293" i="1"/>
  <c r="AN3293" i="1"/>
  <c r="AO3293" i="1"/>
  <c r="AQ3293" i="1"/>
  <c r="BB3293" i="1"/>
  <c r="BD3293" i="1"/>
  <c r="B3294" i="1"/>
  <c r="E3294" i="1"/>
  <c r="F3294" i="1"/>
  <c r="G3294" i="1"/>
  <c r="H3294" i="1"/>
  <c r="I3294" i="1"/>
  <c r="J3294" i="1"/>
  <c r="K3294" i="1"/>
  <c r="M3294" i="1"/>
  <c r="O3294" i="1"/>
  <c r="Q3294" i="1"/>
  <c r="R3294" i="1"/>
  <c r="W3294" i="1"/>
  <c r="AA3294" i="1"/>
  <c r="AM3294" i="1"/>
  <c r="AN3294" i="1"/>
  <c r="AO3294" i="1"/>
  <c r="AQ3294" i="1"/>
  <c r="BB3294" i="1"/>
  <c r="BD3294" i="1"/>
  <c r="B3295" i="1"/>
  <c r="C3295" i="1"/>
  <c r="E3295" i="1"/>
  <c r="F3295" i="1"/>
  <c r="G3295" i="1"/>
  <c r="H3295" i="1"/>
  <c r="I3295" i="1"/>
  <c r="J3295" i="1"/>
  <c r="K3295" i="1"/>
  <c r="M3295" i="1"/>
  <c r="O3295" i="1"/>
  <c r="Q3295" i="1"/>
  <c r="R3295" i="1"/>
  <c r="W3295" i="1"/>
  <c r="AA3295" i="1"/>
  <c r="AM3295" i="1"/>
  <c r="AN3295" i="1"/>
  <c r="AO3295" i="1"/>
  <c r="AQ3295" i="1"/>
  <c r="BB3295" i="1"/>
  <c r="BD3295" i="1"/>
  <c r="B3296" i="1"/>
  <c r="E3296" i="1"/>
  <c r="F3296" i="1"/>
  <c r="G3296" i="1"/>
  <c r="H3296" i="1"/>
  <c r="I3296" i="1"/>
  <c r="J3296" i="1"/>
  <c r="K3296" i="1"/>
  <c r="M3296" i="1"/>
  <c r="O3296" i="1"/>
  <c r="Q3296" i="1"/>
  <c r="R3296" i="1"/>
  <c r="W3296" i="1"/>
  <c r="AA3296" i="1"/>
  <c r="AM3296" i="1"/>
  <c r="AN3296" i="1"/>
  <c r="AO3296" i="1"/>
  <c r="AQ3296" i="1"/>
  <c r="BB3296" i="1"/>
  <c r="BD3296" i="1"/>
  <c r="B3297" i="1"/>
  <c r="E3297" i="1"/>
  <c r="F3297" i="1"/>
  <c r="G3297" i="1"/>
  <c r="H3297" i="1"/>
  <c r="I3297" i="1"/>
  <c r="J3297" i="1"/>
  <c r="K3297" i="1"/>
  <c r="M3297" i="1"/>
  <c r="O3297" i="1"/>
  <c r="Q3297" i="1"/>
  <c r="R3297" i="1"/>
  <c r="W3297" i="1"/>
  <c r="AA3297" i="1"/>
  <c r="AM3297" i="1"/>
  <c r="AN3297" i="1"/>
  <c r="AO3297" i="1"/>
  <c r="AQ3297" i="1"/>
  <c r="BB3297" i="1"/>
  <c r="BD3297" i="1"/>
  <c r="B3298" i="1"/>
  <c r="C3298" i="1"/>
  <c r="E3298" i="1"/>
  <c r="F3298" i="1"/>
  <c r="G3298" i="1"/>
  <c r="H3298" i="1"/>
  <c r="I3298" i="1"/>
  <c r="J3298" i="1"/>
  <c r="K3298" i="1"/>
  <c r="M3298" i="1"/>
  <c r="O3298" i="1"/>
  <c r="Q3298" i="1"/>
  <c r="R3298" i="1"/>
  <c r="W3298" i="1"/>
  <c r="AA3298" i="1"/>
  <c r="AM3298" i="1"/>
  <c r="AN3298" i="1"/>
  <c r="AO3298" i="1"/>
  <c r="AQ3298" i="1"/>
  <c r="BB3298" i="1"/>
  <c r="BD3298" i="1"/>
  <c r="B3299" i="1"/>
  <c r="C3299" i="1"/>
  <c r="E3299" i="1"/>
  <c r="F3299" i="1"/>
  <c r="G3299" i="1"/>
  <c r="H3299" i="1"/>
  <c r="I3299" i="1"/>
  <c r="J3299" i="1"/>
  <c r="K3299" i="1"/>
  <c r="M3299" i="1"/>
  <c r="O3299" i="1"/>
  <c r="Q3299" i="1"/>
  <c r="R3299" i="1"/>
  <c r="W3299" i="1"/>
  <c r="AA3299" i="1"/>
  <c r="AM3299" i="1"/>
  <c r="AN3299" i="1"/>
  <c r="AO3299" i="1"/>
  <c r="AQ3299" i="1"/>
  <c r="BB3299" i="1"/>
  <c r="BD3299" i="1"/>
  <c r="B3300" i="1"/>
  <c r="E3300" i="1"/>
  <c r="F3300" i="1"/>
  <c r="G3300" i="1"/>
  <c r="H3300" i="1"/>
  <c r="I3300" i="1"/>
  <c r="J3300" i="1"/>
  <c r="K3300" i="1"/>
  <c r="M3300" i="1"/>
  <c r="O3300" i="1"/>
  <c r="Q3300" i="1"/>
  <c r="R3300" i="1"/>
  <c r="W3300" i="1"/>
  <c r="AA3300" i="1"/>
  <c r="AM3300" i="1"/>
  <c r="AN3300" i="1"/>
  <c r="AO3300" i="1"/>
  <c r="AQ3300" i="1"/>
  <c r="BB3300" i="1"/>
  <c r="BD3300" i="1"/>
  <c r="B3301" i="1"/>
  <c r="E3301" i="1"/>
  <c r="F3301" i="1"/>
  <c r="G3301" i="1"/>
  <c r="H3301" i="1"/>
  <c r="I3301" i="1"/>
  <c r="J3301" i="1"/>
  <c r="K3301" i="1"/>
  <c r="M3301" i="1"/>
  <c r="O3301" i="1"/>
  <c r="Q3301" i="1"/>
  <c r="R3301" i="1"/>
  <c r="W3301" i="1"/>
  <c r="AA3301" i="1"/>
  <c r="AM3301" i="1"/>
  <c r="AN3301" i="1"/>
  <c r="AO3301" i="1"/>
  <c r="AQ3301" i="1"/>
  <c r="BB3301" i="1"/>
  <c r="BD3301" i="1"/>
  <c r="B3302" i="1"/>
  <c r="C3302" i="1"/>
  <c r="E3302" i="1"/>
  <c r="F3302" i="1"/>
  <c r="G3302" i="1"/>
  <c r="H3302" i="1"/>
  <c r="I3302" i="1"/>
  <c r="J3302" i="1"/>
  <c r="K3302" i="1"/>
  <c r="M3302" i="1"/>
  <c r="O3302" i="1"/>
  <c r="Q3302" i="1"/>
  <c r="R3302" i="1"/>
  <c r="W3302" i="1"/>
  <c r="AA3302" i="1"/>
  <c r="AM3302" i="1"/>
  <c r="AN3302" i="1"/>
  <c r="AO3302" i="1"/>
  <c r="AQ3302" i="1"/>
  <c r="BB3302" i="1"/>
  <c r="BD3302" i="1"/>
  <c r="B3303" i="1"/>
  <c r="E3303" i="1"/>
  <c r="F3303" i="1"/>
  <c r="G3303" i="1"/>
  <c r="H3303" i="1"/>
  <c r="I3303" i="1"/>
  <c r="J3303" i="1"/>
  <c r="K3303" i="1"/>
  <c r="M3303" i="1"/>
  <c r="O3303" i="1"/>
  <c r="Q3303" i="1"/>
  <c r="R3303" i="1"/>
  <c r="W3303" i="1"/>
  <c r="AA3303" i="1"/>
  <c r="AM3303" i="1"/>
  <c r="AN3303" i="1"/>
  <c r="AO3303" i="1"/>
  <c r="AQ3303" i="1"/>
  <c r="BB3303" i="1"/>
  <c r="BD3303" i="1"/>
  <c r="B3304" i="1"/>
  <c r="E3304" i="1"/>
  <c r="F3304" i="1"/>
  <c r="G3304" i="1"/>
  <c r="H3304" i="1"/>
  <c r="I3304" i="1"/>
  <c r="J3304" i="1"/>
  <c r="K3304" i="1"/>
  <c r="M3304" i="1"/>
  <c r="O3304" i="1"/>
  <c r="Q3304" i="1"/>
  <c r="R3304" i="1"/>
  <c r="W3304" i="1"/>
  <c r="AA3304" i="1"/>
  <c r="AM3304" i="1"/>
  <c r="AN3304" i="1"/>
  <c r="AO3304" i="1"/>
  <c r="AQ3304" i="1"/>
  <c r="BB3304" i="1"/>
  <c r="BD3304" i="1"/>
  <c r="B3305" i="1"/>
  <c r="C3305" i="1"/>
  <c r="E3305" i="1"/>
  <c r="F3305" i="1"/>
  <c r="G3305" i="1"/>
  <c r="H3305" i="1"/>
  <c r="I3305" i="1"/>
  <c r="J3305" i="1"/>
  <c r="K3305" i="1"/>
  <c r="M3305" i="1"/>
  <c r="O3305" i="1"/>
  <c r="Q3305" i="1"/>
  <c r="R3305" i="1"/>
  <c r="W3305" i="1"/>
  <c r="AA3305" i="1"/>
  <c r="AM3305" i="1"/>
  <c r="AN3305" i="1"/>
  <c r="AO3305" i="1"/>
  <c r="AQ3305" i="1"/>
  <c r="BB3305" i="1"/>
  <c r="BD3305" i="1"/>
  <c r="B3306" i="1"/>
  <c r="E3306" i="1"/>
  <c r="F3306" i="1"/>
  <c r="G3306" i="1"/>
  <c r="H3306" i="1"/>
  <c r="I3306" i="1"/>
  <c r="J3306" i="1"/>
  <c r="K3306" i="1"/>
  <c r="M3306" i="1"/>
  <c r="O3306" i="1"/>
  <c r="Q3306" i="1"/>
  <c r="R3306" i="1"/>
  <c r="W3306" i="1"/>
  <c r="AA3306" i="1"/>
  <c r="AM3306" i="1"/>
  <c r="AN3306" i="1"/>
  <c r="AO3306" i="1"/>
  <c r="AQ3306" i="1"/>
  <c r="BB3306" i="1"/>
  <c r="BD3306" i="1"/>
  <c r="B3307" i="1"/>
  <c r="E3307" i="1"/>
  <c r="F3307" i="1"/>
  <c r="G3307" i="1"/>
  <c r="H3307" i="1"/>
  <c r="I3307" i="1"/>
  <c r="J3307" i="1"/>
  <c r="K3307" i="1"/>
  <c r="M3307" i="1"/>
  <c r="O3307" i="1"/>
  <c r="Q3307" i="1"/>
  <c r="R3307" i="1"/>
  <c r="W3307" i="1"/>
  <c r="AA3307" i="1"/>
  <c r="AM3307" i="1"/>
  <c r="AN3307" i="1"/>
  <c r="AO3307" i="1"/>
  <c r="AQ3307" i="1"/>
  <c r="BB3307" i="1"/>
  <c r="BD3307" i="1"/>
  <c r="B3308" i="1"/>
  <c r="E3308" i="1"/>
  <c r="F3308" i="1"/>
  <c r="G3308" i="1"/>
  <c r="H3308" i="1"/>
  <c r="I3308" i="1"/>
  <c r="J3308" i="1"/>
  <c r="K3308" i="1"/>
  <c r="M3308" i="1"/>
  <c r="O3308" i="1"/>
  <c r="Q3308" i="1"/>
  <c r="R3308" i="1"/>
  <c r="W3308" i="1"/>
  <c r="AA3308" i="1"/>
  <c r="AM3308" i="1"/>
  <c r="AN3308" i="1"/>
  <c r="AO3308" i="1"/>
  <c r="AQ3308" i="1"/>
  <c r="BB3308" i="1"/>
  <c r="BD3308" i="1"/>
  <c r="B3309" i="1"/>
  <c r="E3309" i="1"/>
  <c r="F3309" i="1"/>
  <c r="G3309" i="1"/>
  <c r="H3309" i="1"/>
  <c r="I3309" i="1"/>
  <c r="J3309" i="1"/>
  <c r="K3309" i="1"/>
  <c r="M3309" i="1"/>
  <c r="O3309" i="1"/>
  <c r="Q3309" i="1"/>
  <c r="R3309" i="1"/>
  <c r="W3309" i="1"/>
  <c r="AA3309" i="1"/>
  <c r="AM3309" i="1"/>
  <c r="AN3309" i="1"/>
  <c r="AO3309" i="1"/>
  <c r="AQ3309" i="1"/>
  <c r="BB3309" i="1"/>
  <c r="BD3309" i="1"/>
  <c r="B3310" i="1"/>
  <c r="E3310" i="1"/>
  <c r="F3310" i="1"/>
  <c r="G3310" i="1"/>
  <c r="H3310" i="1"/>
  <c r="I3310" i="1"/>
  <c r="J3310" i="1"/>
  <c r="K3310" i="1"/>
  <c r="M3310" i="1"/>
  <c r="O3310" i="1"/>
  <c r="Q3310" i="1"/>
  <c r="R3310" i="1"/>
  <c r="W3310" i="1"/>
  <c r="AA3310" i="1"/>
  <c r="AM3310" i="1"/>
  <c r="AN3310" i="1"/>
  <c r="AO3310" i="1"/>
  <c r="AQ3310" i="1"/>
  <c r="BB3310" i="1"/>
  <c r="BD3310" i="1"/>
  <c r="B3311" i="1"/>
  <c r="E3311" i="1"/>
  <c r="F3311" i="1"/>
  <c r="G3311" i="1"/>
  <c r="H3311" i="1"/>
  <c r="I3311" i="1"/>
  <c r="J3311" i="1"/>
  <c r="K3311" i="1"/>
  <c r="M3311" i="1"/>
  <c r="O3311" i="1"/>
  <c r="Q3311" i="1"/>
  <c r="R3311" i="1"/>
  <c r="W3311" i="1"/>
  <c r="AA3311" i="1"/>
  <c r="AM3311" i="1"/>
  <c r="AN3311" i="1"/>
  <c r="AO3311" i="1"/>
  <c r="AQ3311" i="1"/>
  <c r="BB3311" i="1"/>
  <c r="BD3311" i="1"/>
  <c r="B3312" i="1"/>
  <c r="C3312" i="1"/>
  <c r="E3312" i="1"/>
  <c r="F3312" i="1"/>
  <c r="G3312" i="1"/>
  <c r="H3312" i="1"/>
  <c r="I3312" i="1"/>
  <c r="J3312" i="1"/>
  <c r="K3312" i="1"/>
  <c r="M3312" i="1"/>
  <c r="O3312" i="1"/>
  <c r="Q3312" i="1"/>
  <c r="R3312" i="1"/>
  <c r="W3312" i="1"/>
  <c r="AA3312" i="1"/>
  <c r="AM3312" i="1"/>
  <c r="AN3312" i="1"/>
  <c r="AO3312" i="1"/>
  <c r="AQ3312" i="1"/>
  <c r="BB3312" i="1"/>
  <c r="BD3312" i="1"/>
  <c r="B3313" i="1"/>
  <c r="E3313" i="1"/>
  <c r="F3313" i="1"/>
  <c r="G3313" i="1"/>
  <c r="H3313" i="1"/>
  <c r="I3313" i="1"/>
  <c r="J3313" i="1"/>
  <c r="K3313" i="1"/>
  <c r="M3313" i="1"/>
  <c r="O3313" i="1"/>
  <c r="Q3313" i="1"/>
  <c r="R3313" i="1"/>
  <c r="W3313" i="1"/>
  <c r="AA3313" i="1"/>
  <c r="AM3313" i="1"/>
  <c r="AN3313" i="1"/>
  <c r="AO3313" i="1"/>
  <c r="AQ3313" i="1"/>
  <c r="BB3313" i="1"/>
  <c r="BD3313" i="1"/>
  <c r="B3314" i="1"/>
  <c r="C3314" i="1"/>
  <c r="E3314" i="1"/>
  <c r="F3314" i="1"/>
  <c r="G3314" i="1"/>
  <c r="H3314" i="1"/>
  <c r="I3314" i="1"/>
  <c r="J3314" i="1"/>
  <c r="K3314" i="1"/>
  <c r="M3314" i="1"/>
  <c r="O3314" i="1"/>
  <c r="Q3314" i="1"/>
  <c r="R3314" i="1"/>
  <c r="W3314" i="1"/>
  <c r="AA3314" i="1"/>
  <c r="AM3314" i="1"/>
  <c r="AN3314" i="1"/>
  <c r="AO3314" i="1"/>
  <c r="AQ3314" i="1"/>
  <c r="BB3314" i="1"/>
  <c r="BD3314" i="1"/>
  <c r="B3315" i="1"/>
  <c r="E3315" i="1"/>
  <c r="F3315" i="1"/>
  <c r="G3315" i="1"/>
  <c r="H3315" i="1"/>
  <c r="I3315" i="1"/>
  <c r="J3315" i="1"/>
  <c r="K3315" i="1"/>
  <c r="M3315" i="1"/>
  <c r="O3315" i="1"/>
  <c r="Q3315" i="1"/>
  <c r="R3315" i="1"/>
  <c r="W3315" i="1"/>
  <c r="AA3315" i="1"/>
  <c r="AM3315" i="1"/>
  <c r="AN3315" i="1"/>
  <c r="AO3315" i="1"/>
  <c r="AQ3315" i="1"/>
  <c r="BB3315" i="1"/>
  <c r="BD3315" i="1"/>
  <c r="B3316" i="1"/>
  <c r="E3316" i="1"/>
  <c r="F3316" i="1"/>
  <c r="G3316" i="1"/>
  <c r="H3316" i="1"/>
  <c r="I3316" i="1"/>
  <c r="J3316" i="1"/>
  <c r="K3316" i="1"/>
  <c r="M3316" i="1"/>
  <c r="O3316" i="1"/>
  <c r="Q3316" i="1"/>
  <c r="R3316" i="1"/>
  <c r="W3316" i="1"/>
  <c r="AA3316" i="1"/>
  <c r="AM3316" i="1"/>
  <c r="AN3316" i="1"/>
  <c r="AO3316" i="1"/>
  <c r="AQ3316" i="1"/>
  <c r="BB3316" i="1"/>
  <c r="BD3316" i="1"/>
  <c r="B3317" i="1"/>
  <c r="C3317" i="1"/>
  <c r="E3317" i="1"/>
  <c r="F3317" i="1"/>
  <c r="G3317" i="1"/>
  <c r="H3317" i="1"/>
  <c r="I3317" i="1"/>
  <c r="J3317" i="1"/>
  <c r="K3317" i="1"/>
  <c r="M3317" i="1"/>
  <c r="O3317" i="1"/>
  <c r="Q3317" i="1"/>
  <c r="R3317" i="1"/>
  <c r="W3317" i="1"/>
  <c r="AA3317" i="1"/>
  <c r="AM3317" i="1"/>
  <c r="AN3317" i="1"/>
  <c r="AO3317" i="1"/>
  <c r="AQ3317" i="1"/>
  <c r="BB3317" i="1"/>
  <c r="BD3317" i="1"/>
  <c r="B3318" i="1"/>
  <c r="C3318" i="1"/>
  <c r="E3318" i="1"/>
  <c r="F3318" i="1"/>
  <c r="G3318" i="1"/>
  <c r="H3318" i="1"/>
  <c r="I3318" i="1"/>
  <c r="J3318" i="1"/>
  <c r="K3318" i="1"/>
  <c r="M3318" i="1"/>
  <c r="O3318" i="1"/>
  <c r="Q3318" i="1"/>
  <c r="R3318" i="1"/>
  <c r="W3318" i="1"/>
  <c r="AA3318" i="1"/>
  <c r="AM3318" i="1"/>
  <c r="AN3318" i="1"/>
  <c r="AO3318" i="1"/>
  <c r="AQ3318" i="1"/>
  <c r="BB3318" i="1"/>
  <c r="BD3318" i="1"/>
  <c r="B3319" i="1"/>
  <c r="E3319" i="1"/>
  <c r="F3319" i="1"/>
  <c r="G3319" i="1"/>
  <c r="H3319" i="1"/>
  <c r="I3319" i="1"/>
  <c r="J3319" i="1"/>
  <c r="K3319" i="1"/>
  <c r="M3319" i="1"/>
  <c r="O3319" i="1"/>
  <c r="Q3319" i="1"/>
  <c r="R3319" i="1"/>
  <c r="W3319" i="1"/>
  <c r="AA3319" i="1"/>
  <c r="AM3319" i="1"/>
  <c r="AN3319" i="1"/>
  <c r="AO3319" i="1"/>
  <c r="AQ3319" i="1"/>
  <c r="BB3319" i="1"/>
  <c r="BD3319" i="1"/>
  <c r="B3320" i="1"/>
  <c r="E3320" i="1"/>
  <c r="F3320" i="1"/>
  <c r="G3320" i="1"/>
  <c r="H3320" i="1"/>
  <c r="I3320" i="1"/>
  <c r="J3320" i="1"/>
  <c r="K3320" i="1"/>
  <c r="M3320" i="1"/>
  <c r="O3320" i="1"/>
  <c r="Q3320" i="1"/>
  <c r="R3320" i="1"/>
  <c r="W3320" i="1"/>
  <c r="AA3320" i="1"/>
  <c r="AM3320" i="1"/>
  <c r="AN3320" i="1"/>
  <c r="AO3320" i="1"/>
  <c r="AQ3320" i="1"/>
  <c r="BB3320" i="1"/>
  <c r="BD3320" i="1"/>
  <c r="B3321" i="1"/>
  <c r="C3321" i="1"/>
  <c r="E3321" i="1"/>
  <c r="F3321" i="1"/>
  <c r="G3321" i="1"/>
  <c r="H3321" i="1"/>
  <c r="I3321" i="1"/>
  <c r="J3321" i="1"/>
  <c r="K3321" i="1"/>
  <c r="M3321" i="1"/>
  <c r="O3321" i="1"/>
  <c r="Q3321" i="1"/>
  <c r="R3321" i="1"/>
  <c r="W3321" i="1"/>
  <c r="AA3321" i="1"/>
  <c r="AM3321" i="1"/>
  <c r="AN3321" i="1"/>
  <c r="AO3321" i="1"/>
  <c r="AQ3321" i="1"/>
  <c r="BB3321" i="1"/>
  <c r="BD3321" i="1"/>
  <c r="B3322" i="1"/>
  <c r="C3322" i="1"/>
  <c r="E3322" i="1"/>
  <c r="F3322" i="1"/>
  <c r="G3322" i="1"/>
  <c r="H3322" i="1"/>
  <c r="I3322" i="1"/>
  <c r="J3322" i="1"/>
  <c r="K3322" i="1"/>
  <c r="M3322" i="1"/>
  <c r="O3322" i="1"/>
  <c r="Q3322" i="1"/>
  <c r="R3322" i="1"/>
  <c r="W3322" i="1"/>
  <c r="AA3322" i="1"/>
  <c r="AM3322" i="1"/>
  <c r="AN3322" i="1"/>
  <c r="AO3322" i="1"/>
  <c r="AQ3322" i="1"/>
  <c r="BB3322" i="1"/>
  <c r="BD3322" i="1"/>
  <c r="B3323" i="1"/>
  <c r="E3323" i="1"/>
  <c r="F3323" i="1"/>
  <c r="G3323" i="1"/>
  <c r="H3323" i="1"/>
  <c r="I3323" i="1"/>
  <c r="J3323" i="1"/>
  <c r="K3323" i="1"/>
  <c r="M3323" i="1"/>
  <c r="O3323" i="1"/>
  <c r="Q3323" i="1"/>
  <c r="R3323" i="1"/>
  <c r="W3323" i="1"/>
  <c r="AA3323" i="1"/>
  <c r="AM3323" i="1"/>
  <c r="AN3323" i="1"/>
  <c r="AO3323" i="1"/>
  <c r="AQ3323" i="1"/>
  <c r="BB3323" i="1"/>
  <c r="BD3323" i="1"/>
  <c r="B3324" i="1"/>
  <c r="E3324" i="1"/>
  <c r="F3324" i="1"/>
  <c r="G3324" i="1"/>
  <c r="H3324" i="1"/>
  <c r="I3324" i="1"/>
  <c r="J3324" i="1"/>
  <c r="K3324" i="1"/>
  <c r="M3324" i="1"/>
  <c r="O3324" i="1"/>
  <c r="Q3324" i="1"/>
  <c r="R3324" i="1"/>
  <c r="W3324" i="1"/>
  <c r="AA3324" i="1"/>
  <c r="AM3324" i="1"/>
  <c r="AN3324" i="1"/>
  <c r="AO3324" i="1"/>
  <c r="AQ3324" i="1"/>
  <c r="BB3324" i="1"/>
  <c r="BD3324" i="1"/>
  <c r="B3325" i="1"/>
  <c r="E3325" i="1"/>
  <c r="F3325" i="1"/>
  <c r="G3325" i="1"/>
  <c r="H3325" i="1"/>
  <c r="I3325" i="1"/>
  <c r="J3325" i="1"/>
  <c r="K3325" i="1"/>
  <c r="M3325" i="1"/>
  <c r="O3325" i="1"/>
  <c r="Q3325" i="1"/>
  <c r="R3325" i="1"/>
  <c r="W3325" i="1"/>
  <c r="AA3325" i="1"/>
  <c r="AM3325" i="1"/>
  <c r="AN3325" i="1"/>
  <c r="AO3325" i="1"/>
  <c r="AQ3325" i="1"/>
  <c r="BB3325" i="1"/>
  <c r="BD3325" i="1"/>
  <c r="B3326" i="1"/>
  <c r="E3326" i="1"/>
  <c r="F3326" i="1"/>
  <c r="G3326" i="1"/>
  <c r="H3326" i="1"/>
  <c r="I3326" i="1"/>
  <c r="J3326" i="1"/>
  <c r="K3326" i="1"/>
  <c r="M3326" i="1"/>
  <c r="O3326" i="1"/>
  <c r="Q3326" i="1"/>
  <c r="R3326" i="1"/>
  <c r="W3326" i="1"/>
  <c r="AA3326" i="1"/>
  <c r="AM3326" i="1"/>
  <c r="AN3326" i="1"/>
  <c r="AO3326" i="1"/>
  <c r="AQ3326" i="1"/>
  <c r="BB3326" i="1"/>
  <c r="BD3326" i="1"/>
  <c r="B3327" i="1"/>
  <c r="E3327" i="1"/>
  <c r="F3327" i="1"/>
  <c r="G3327" i="1"/>
  <c r="H3327" i="1"/>
  <c r="I3327" i="1"/>
  <c r="J3327" i="1"/>
  <c r="K3327" i="1"/>
  <c r="M3327" i="1"/>
  <c r="O3327" i="1"/>
  <c r="Q3327" i="1"/>
  <c r="R3327" i="1"/>
  <c r="W3327" i="1"/>
  <c r="AA3327" i="1"/>
  <c r="AM3327" i="1"/>
  <c r="AN3327" i="1"/>
  <c r="AO3327" i="1"/>
  <c r="AQ3327" i="1"/>
  <c r="BB3327" i="1"/>
  <c r="BD3327" i="1"/>
  <c r="B3328" i="1"/>
  <c r="E3328" i="1"/>
  <c r="F3328" i="1"/>
  <c r="G3328" i="1"/>
  <c r="H3328" i="1"/>
  <c r="I3328" i="1"/>
  <c r="J3328" i="1"/>
  <c r="K3328" i="1"/>
  <c r="M3328" i="1"/>
  <c r="O3328" i="1"/>
  <c r="Q3328" i="1"/>
  <c r="R3328" i="1"/>
  <c r="W3328" i="1"/>
  <c r="AA3328" i="1"/>
  <c r="AM3328" i="1"/>
  <c r="AN3328" i="1"/>
  <c r="AO3328" i="1"/>
  <c r="AQ3328" i="1"/>
  <c r="BB3328" i="1"/>
  <c r="BD3328" i="1"/>
  <c r="B3329" i="1"/>
  <c r="E3329" i="1"/>
  <c r="F3329" i="1"/>
  <c r="G3329" i="1"/>
  <c r="H3329" i="1"/>
  <c r="I3329" i="1"/>
  <c r="J3329" i="1"/>
  <c r="K3329" i="1"/>
  <c r="M3329" i="1"/>
  <c r="O3329" i="1"/>
  <c r="Q3329" i="1"/>
  <c r="R3329" i="1"/>
  <c r="W3329" i="1"/>
  <c r="AA3329" i="1"/>
  <c r="AM3329" i="1"/>
  <c r="AN3329" i="1"/>
  <c r="AO3329" i="1"/>
  <c r="AQ3329" i="1"/>
  <c r="BB3329" i="1"/>
  <c r="BD3329" i="1"/>
  <c r="B3330" i="1"/>
  <c r="C3330" i="1"/>
  <c r="E3330" i="1"/>
  <c r="F3330" i="1"/>
  <c r="G3330" i="1"/>
  <c r="H3330" i="1"/>
  <c r="I3330" i="1"/>
  <c r="J3330" i="1"/>
  <c r="K3330" i="1"/>
  <c r="M3330" i="1"/>
  <c r="O3330" i="1"/>
  <c r="Q3330" i="1"/>
  <c r="R3330" i="1"/>
  <c r="W3330" i="1"/>
  <c r="AA3330" i="1"/>
  <c r="AM3330" i="1"/>
  <c r="AN3330" i="1"/>
  <c r="AO3330" i="1"/>
  <c r="AQ3330" i="1"/>
  <c r="BB3330" i="1"/>
  <c r="BD3330" i="1"/>
  <c r="B3331" i="1"/>
  <c r="E3331" i="1"/>
  <c r="F3331" i="1"/>
  <c r="G3331" i="1"/>
  <c r="H3331" i="1"/>
  <c r="I3331" i="1"/>
  <c r="J3331" i="1"/>
  <c r="K3331" i="1"/>
  <c r="M3331" i="1"/>
  <c r="O3331" i="1"/>
  <c r="Q3331" i="1"/>
  <c r="R3331" i="1"/>
  <c r="W3331" i="1"/>
  <c r="AA3331" i="1"/>
  <c r="AM3331" i="1"/>
  <c r="AN3331" i="1"/>
  <c r="AO3331" i="1"/>
  <c r="AQ3331" i="1"/>
  <c r="BB3331" i="1"/>
  <c r="BD3331" i="1"/>
  <c r="B3332" i="1"/>
  <c r="E3332" i="1"/>
  <c r="F3332" i="1"/>
  <c r="G3332" i="1"/>
  <c r="H3332" i="1"/>
  <c r="I3332" i="1"/>
  <c r="J3332" i="1"/>
  <c r="K3332" i="1"/>
  <c r="M3332" i="1"/>
  <c r="O3332" i="1"/>
  <c r="Q3332" i="1"/>
  <c r="R3332" i="1"/>
  <c r="W3332" i="1"/>
  <c r="AA3332" i="1"/>
  <c r="AM3332" i="1"/>
  <c r="AN3332" i="1"/>
  <c r="AO3332" i="1"/>
  <c r="AQ3332" i="1"/>
  <c r="BB3332" i="1"/>
  <c r="BD3332" i="1"/>
  <c r="B3333" i="1"/>
  <c r="E3333" i="1"/>
  <c r="F3333" i="1"/>
  <c r="G3333" i="1"/>
  <c r="H3333" i="1"/>
  <c r="I3333" i="1"/>
  <c r="J3333" i="1"/>
  <c r="K3333" i="1"/>
  <c r="M3333" i="1"/>
  <c r="O3333" i="1"/>
  <c r="Q3333" i="1"/>
  <c r="R3333" i="1"/>
  <c r="W3333" i="1"/>
  <c r="AA3333" i="1"/>
  <c r="AM3333" i="1"/>
  <c r="AN3333" i="1"/>
  <c r="AO3333" i="1"/>
  <c r="AQ3333" i="1"/>
  <c r="BB3333" i="1"/>
  <c r="BD3333" i="1"/>
  <c r="B3334" i="1"/>
  <c r="E3334" i="1"/>
  <c r="F3334" i="1"/>
  <c r="G3334" i="1"/>
  <c r="H3334" i="1"/>
  <c r="I3334" i="1"/>
  <c r="J3334" i="1"/>
  <c r="K3334" i="1"/>
  <c r="M3334" i="1"/>
  <c r="O3334" i="1"/>
  <c r="Q3334" i="1"/>
  <c r="R3334" i="1"/>
  <c r="W3334" i="1"/>
  <c r="AA3334" i="1"/>
  <c r="AM3334" i="1"/>
  <c r="AN3334" i="1"/>
  <c r="AO3334" i="1"/>
  <c r="AQ3334" i="1"/>
  <c r="BB3334" i="1"/>
  <c r="BD3334" i="1"/>
  <c r="B3335" i="1"/>
  <c r="E3335" i="1"/>
  <c r="F3335" i="1"/>
  <c r="G3335" i="1"/>
  <c r="H3335" i="1"/>
  <c r="I3335" i="1"/>
  <c r="J3335" i="1"/>
  <c r="K3335" i="1"/>
  <c r="M3335" i="1"/>
  <c r="O3335" i="1"/>
  <c r="Q3335" i="1"/>
  <c r="R3335" i="1"/>
  <c r="W3335" i="1"/>
  <c r="AA3335" i="1"/>
  <c r="AM3335" i="1"/>
  <c r="AN3335" i="1"/>
  <c r="AO3335" i="1"/>
  <c r="AQ3335" i="1"/>
  <c r="BB3335" i="1"/>
  <c r="BD3335" i="1"/>
  <c r="B3336" i="1"/>
  <c r="E3336" i="1"/>
  <c r="F3336" i="1"/>
  <c r="G3336" i="1"/>
  <c r="H3336" i="1"/>
  <c r="I3336" i="1"/>
  <c r="J3336" i="1"/>
  <c r="K3336" i="1"/>
  <c r="M3336" i="1"/>
  <c r="O3336" i="1"/>
  <c r="Q3336" i="1"/>
  <c r="R3336" i="1"/>
  <c r="W3336" i="1"/>
  <c r="AA3336" i="1"/>
  <c r="AM3336" i="1"/>
  <c r="AN3336" i="1"/>
  <c r="AO3336" i="1"/>
  <c r="AQ3336" i="1"/>
  <c r="BB3336" i="1"/>
  <c r="BD3336" i="1"/>
  <c r="B3337" i="1"/>
  <c r="E3337" i="1"/>
  <c r="F3337" i="1"/>
  <c r="G3337" i="1"/>
  <c r="H3337" i="1"/>
  <c r="I3337" i="1"/>
  <c r="J3337" i="1"/>
  <c r="K3337" i="1"/>
  <c r="M3337" i="1"/>
  <c r="O3337" i="1"/>
  <c r="Q3337" i="1"/>
  <c r="R3337" i="1"/>
  <c r="W3337" i="1"/>
  <c r="AA3337" i="1"/>
  <c r="AM3337" i="1"/>
  <c r="AN3337" i="1"/>
  <c r="AO3337" i="1"/>
  <c r="AQ3337" i="1"/>
  <c r="BB3337" i="1"/>
  <c r="BD3337" i="1"/>
  <c r="B3338" i="1"/>
  <c r="E3338" i="1"/>
  <c r="F3338" i="1"/>
  <c r="G3338" i="1"/>
  <c r="H3338" i="1"/>
  <c r="I3338" i="1"/>
  <c r="J3338" i="1"/>
  <c r="K3338" i="1"/>
  <c r="M3338" i="1"/>
  <c r="O3338" i="1"/>
  <c r="Q3338" i="1"/>
  <c r="R3338" i="1"/>
  <c r="W3338" i="1"/>
  <c r="AA3338" i="1"/>
  <c r="AM3338" i="1"/>
  <c r="AN3338" i="1"/>
  <c r="AO3338" i="1"/>
  <c r="AQ3338" i="1"/>
  <c r="BB3338" i="1"/>
  <c r="BD3338" i="1"/>
  <c r="B3339" i="1"/>
  <c r="E3339" i="1"/>
  <c r="F3339" i="1"/>
  <c r="G3339" i="1"/>
  <c r="H3339" i="1"/>
  <c r="I3339" i="1"/>
  <c r="J3339" i="1"/>
  <c r="K3339" i="1"/>
  <c r="M3339" i="1"/>
  <c r="O3339" i="1"/>
  <c r="Q3339" i="1"/>
  <c r="R3339" i="1"/>
  <c r="W3339" i="1"/>
  <c r="AA3339" i="1"/>
  <c r="AM3339" i="1"/>
  <c r="AN3339" i="1"/>
  <c r="AO3339" i="1"/>
  <c r="AQ3339" i="1"/>
  <c r="BB3339" i="1"/>
  <c r="BD3339" i="1"/>
  <c r="B3340" i="1"/>
  <c r="E3340" i="1"/>
  <c r="F3340" i="1"/>
  <c r="G3340" i="1"/>
  <c r="H3340" i="1"/>
  <c r="I3340" i="1"/>
  <c r="J3340" i="1"/>
  <c r="K3340" i="1"/>
  <c r="M3340" i="1"/>
  <c r="O3340" i="1"/>
  <c r="Q3340" i="1"/>
  <c r="R3340" i="1"/>
  <c r="W3340" i="1"/>
  <c r="AA3340" i="1"/>
  <c r="AM3340" i="1"/>
  <c r="AN3340" i="1"/>
  <c r="AO3340" i="1"/>
  <c r="AQ3340" i="1"/>
  <c r="BB3340" i="1"/>
  <c r="BD3340" i="1"/>
  <c r="B3341" i="1"/>
  <c r="E3341" i="1"/>
  <c r="F3341" i="1"/>
  <c r="G3341" i="1"/>
  <c r="H3341" i="1"/>
  <c r="I3341" i="1"/>
  <c r="J3341" i="1"/>
  <c r="K3341" i="1"/>
  <c r="M3341" i="1"/>
  <c r="O3341" i="1"/>
  <c r="Q3341" i="1"/>
  <c r="R3341" i="1"/>
  <c r="W3341" i="1"/>
  <c r="AA3341" i="1"/>
  <c r="AM3341" i="1"/>
  <c r="AN3341" i="1"/>
  <c r="AO3341" i="1"/>
  <c r="AQ3341" i="1"/>
  <c r="BB3341" i="1"/>
  <c r="BD3341" i="1"/>
  <c r="B3342" i="1"/>
  <c r="E3342" i="1"/>
  <c r="F3342" i="1"/>
  <c r="G3342" i="1"/>
  <c r="H3342" i="1"/>
  <c r="I3342" i="1"/>
  <c r="J3342" i="1"/>
  <c r="K3342" i="1"/>
  <c r="M3342" i="1"/>
  <c r="O3342" i="1"/>
  <c r="Q3342" i="1"/>
  <c r="R3342" i="1"/>
  <c r="W3342" i="1"/>
  <c r="AA3342" i="1"/>
  <c r="AM3342" i="1"/>
  <c r="AN3342" i="1"/>
  <c r="AO3342" i="1"/>
  <c r="AQ3342" i="1"/>
  <c r="BB3342" i="1"/>
  <c r="BD3342" i="1"/>
  <c r="B3343" i="1"/>
  <c r="C3343" i="1"/>
  <c r="E3343" i="1"/>
  <c r="F3343" i="1"/>
  <c r="G3343" i="1"/>
  <c r="H3343" i="1"/>
  <c r="I3343" i="1"/>
  <c r="J3343" i="1"/>
  <c r="K3343" i="1"/>
  <c r="M3343" i="1"/>
  <c r="O3343" i="1"/>
  <c r="Q3343" i="1"/>
  <c r="R3343" i="1"/>
  <c r="W3343" i="1"/>
  <c r="AA3343" i="1"/>
  <c r="AM3343" i="1"/>
  <c r="AN3343" i="1"/>
  <c r="AO3343" i="1"/>
  <c r="AQ3343" i="1"/>
  <c r="BB3343" i="1"/>
  <c r="BD3343" i="1"/>
  <c r="B3344" i="1"/>
  <c r="C3344" i="1"/>
  <c r="E3344" i="1"/>
  <c r="F3344" i="1"/>
  <c r="G3344" i="1"/>
  <c r="H3344" i="1"/>
  <c r="I3344" i="1"/>
  <c r="J3344" i="1"/>
  <c r="K3344" i="1"/>
  <c r="M3344" i="1"/>
  <c r="O3344" i="1"/>
  <c r="Q3344" i="1"/>
  <c r="R3344" i="1"/>
  <c r="W3344" i="1"/>
  <c r="AA3344" i="1"/>
  <c r="AM3344" i="1"/>
  <c r="AN3344" i="1"/>
  <c r="AO3344" i="1"/>
  <c r="AQ3344" i="1"/>
  <c r="BB3344" i="1"/>
  <c r="BD3344" i="1"/>
  <c r="B3345" i="1"/>
  <c r="C3345" i="1"/>
  <c r="E3345" i="1"/>
  <c r="F3345" i="1"/>
  <c r="G3345" i="1"/>
  <c r="H3345" i="1"/>
  <c r="I3345" i="1"/>
  <c r="J3345" i="1"/>
  <c r="K3345" i="1"/>
  <c r="M3345" i="1"/>
  <c r="O3345" i="1"/>
  <c r="Q3345" i="1"/>
  <c r="R3345" i="1"/>
  <c r="W3345" i="1"/>
  <c r="AA3345" i="1"/>
  <c r="AM3345" i="1"/>
  <c r="AN3345" i="1"/>
  <c r="AO3345" i="1"/>
  <c r="AQ3345" i="1"/>
  <c r="BB3345" i="1"/>
  <c r="BD3345" i="1"/>
  <c r="B3346" i="1"/>
  <c r="E3346" i="1"/>
  <c r="F3346" i="1"/>
  <c r="G3346" i="1"/>
  <c r="H3346" i="1"/>
  <c r="I3346" i="1"/>
  <c r="J3346" i="1"/>
  <c r="K3346" i="1"/>
  <c r="M3346" i="1"/>
  <c r="O3346" i="1"/>
  <c r="Q3346" i="1"/>
  <c r="R3346" i="1"/>
  <c r="W3346" i="1"/>
  <c r="AA3346" i="1"/>
  <c r="AM3346" i="1"/>
  <c r="AN3346" i="1"/>
  <c r="AO3346" i="1"/>
  <c r="AQ3346" i="1"/>
  <c r="BB3346" i="1"/>
  <c r="BD3346" i="1"/>
  <c r="B3347" i="1"/>
  <c r="C3347" i="1"/>
  <c r="D3347" i="1"/>
  <c r="E3347" i="1"/>
  <c r="F3347" i="1"/>
  <c r="G3347" i="1"/>
  <c r="H3347" i="1"/>
  <c r="I3347" i="1"/>
  <c r="J3347" i="1"/>
  <c r="K3347" i="1"/>
  <c r="M3347" i="1"/>
  <c r="O3347" i="1"/>
  <c r="Q3347" i="1"/>
  <c r="R3347" i="1"/>
  <c r="W3347" i="1"/>
  <c r="AA3347" i="1"/>
  <c r="AB3347" i="1"/>
  <c r="AM3347" i="1"/>
  <c r="AN3347" i="1"/>
  <c r="AO3347" i="1"/>
  <c r="AQ3347" i="1"/>
  <c r="AX3347" i="1"/>
  <c r="BD3347" i="1"/>
  <c r="B3348" i="1"/>
  <c r="C3348" i="1"/>
  <c r="E3348" i="1"/>
  <c r="F3348" i="1"/>
  <c r="G3348" i="1"/>
  <c r="H3348" i="1"/>
  <c r="I3348" i="1"/>
  <c r="J3348" i="1"/>
  <c r="K3348" i="1"/>
  <c r="M3348" i="1"/>
  <c r="O3348" i="1"/>
  <c r="Q3348" i="1"/>
  <c r="R3348" i="1"/>
  <c r="W3348" i="1"/>
  <c r="AA3348" i="1"/>
  <c r="AM3348" i="1"/>
  <c r="AN3348" i="1"/>
  <c r="AO3348" i="1"/>
  <c r="AQ3348" i="1"/>
  <c r="BB3348" i="1"/>
  <c r="BD3348" i="1"/>
  <c r="B3349" i="1"/>
  <c r="C3349" i="1"/>
  <c r="E3349" i="1"/>
  <c r="F3349" i="1"/>
  <c r="G3349" i="1"/>
  <c r="H3349" i="1"/>
  <c r="I3349" i="1"/>
  <c r="J3349" i="1"/>
  <c r="K3349" i="1"/>
  <c r="M3349" i="1"/>
  <c r="O3349" i="1"/>
  <c r="Q3349" i="1"/>
  <c r="R3349" i="1"/>
  <c r="W3349" i="1"/>
  <c r="AA3349" i="1"/>
  <c r="AM3349" i="1"/>
  <c r="AN3349" i="1"/>
  <c r="AO3349" i="1"/>
  <c r="AQ3349" i="1"/>
  <c r="BB3349" i="1"/>
  <c r="BD3349" i="1"/>
  <c r="B3350" i="1"/>
  <c r="E3350" i="1"/>
  <c r="F3350" i="1"/>
  <c r="G3350" i="1"/>
  <c r="H3350" i="1"/>
  <c r="I3350" i="1"/>
  <c r="J3350" i="1"/>
  <c r="K3350" i="1"/>
  <c r="M3350" i="1"/>
  <c r="O3350" i="1"/>
  <c r="Q3350" i="1"/>
  <c r="R3350" i="1"/>
  <c r="W3350" i="1"/>
  <c r="AA3350" i="1"/>
  <c r="AM3350" i="1"/>
  <c r="AN3350" i="1"/>
  <c r="AO3350" i="1"/>
  <c r="AP3350" i="1"/>
  <c r="AQ3350" i="1"/>
  <c r="BD3350" i="1"/>
  <c r="B3351" i="1"/>
  <c r="E3351" i="1"/>
  <c r="F3351" i="1"/>
  <c r="G3351" i="1"/>
  <c r="H3351" i="1"/>
  <c r="I3351" i="1"/>
  <c r="J3351" i="1"/>
  <c r="K3351" i="1"/>
  <c r="M3351" i="1"/>
  <c r="O3351" i="1"/>
  <c r="Q3351" i="1"/>
  <c r="R3351" i="1"/>
  <c r="W3351" i="1"/>
  <c r="AA3351" i="1"/>
  <c r="AM3351" i="1"/>
  <c r="AN3351" i="1"/>
  <c r="AO3351" i="1"/>
  <c r="AP3351" i="1"/>
  <c r="AQ3351" i="1"/>
  <c r="BD3351" i="1"/>
  <c r="B3352" i="1"/>
  <c r="E3352" i="1"/>
  <c r="F3352" i="1"/>
  <c r="G3352" i="1"/>
  <c r="H3352" i="1"/>
  <c r="I3352" i="1"/>
  <c r="J3352" i="1"/>
  <c r="K3352" i="1"/>
  <c r="M3352" i="1"/>
  <c r="O3352" i="1"/>
  <c r="Q3352" i="1"/>
  <c r="R3352" i="1"/>
  <c r="W3352" i="1"/>
  <c r="AA3352" i="1"/>
  <c r="AM3352" i="1"/>
  <c r="AN3352" i="1"/>
  <c r="AO3352" i="1"/>
  <c r="AP3352" i="1"/>
  <c r="AQ3352" i="1"/>
  <c r="BD3352" i="1"/>
  <c r="B3353" i="1"/>
  <c r="E3353" i="1"/>
  <c r="F3353" i="1"/>
  <c r="G3353" i="1"/>
  <c r="H3353" i="1"/>
  <c r="I3353" i="1"/>
  <c r="J3353" i="1"/>
  <c r="K3353" i="1"/>
  <c r="M3353" i="1"/>
  <c r="O3353" i="1"/>
  <c r="Q3353" i="1"/>
  <c r="R3353" i="1"/>
  <c r="W3353" i="1"/>
  <c r="AA3353" i="1"/>
  <c r="AM3353" i="1"/>
  <c r="AN3353" i="1"/>
  <c r="AO3353" i="1"/>
  <c r="AP3353" i="1"/>
  <c r="AQ3353" i="1"/>
  <c r="BD3353" i="1"/>
  <c r="B3354" i="1"/>
  <c r="E3354" i="1"/>
  <c r="F3354" i="1"/>
  <c r="G3354" i="1"/>
  <c r="H3354" i="1"/>
  <c r="I3354" i="1"/>
  <c r="J3354" i="1"/>
  <c r="K3354" i="1"/>
  <c r="M3354" i="1"/>
  <c r="O3354" i="1"/>
  <c r="Q3354" i="1"/>
  <c r="R3354" i="1"/>
  <c r="W3354" i="1"/>
  <c r="AA3354" i="1"/>
  <c r="AM3354" i="1"/>
  <c r="AN3354" i="1"/>
  <c r="AO3354" i="1"/>
  <c r="AP3354" i="1"/>
  <c r="AQ3354" i="1"/>
  <c r="BD3354" i="1"/>
  <c r="B3355" i="1"/>
  <c r="C3355" i="1"/>
  <c r="D3355" i="1"/>
  <c r="E3355" i="1"/>
  <c r="F3355" i="1"/>
  <c r="G3355" i="1"/>
  <c r="H3355" i="1"/>
  <c r="I3355" i="1"/>
  <c r="J3355" i="1"/>
  <c r="K3355" i="1"/>
  <c r="M3355" i="1"/>
  <c r="O3355" i="1"/>
  <c r="Q3355" i="1"/>
  <c r="R3355" i="1"/>
  <c r="W3355" i="1"/>
  <c r="AA3355" i="1"/>
  <c r="AB3355" i="1"/>
  <c r="AE3355" i="1"/>
  <c r="AF3355" i="1"/>
  <c r="AM3355" i="1"/>
  <c r="AN3355" i="1"/>
  <c r="AO3355" i="1"/>
  <c r="AQ3355" i="1"/>
  <c r="AX3355" i="1"/>
  <c r="BD3355" i="1"/>
  <c r="B3356" i="1"/>
  <c r="C3356" i="1"/>
  <c r="E3356" i="1"/>
  <c r="F3356" i="1"/>
  <c r="G3356" i="1"/>
  <c r="H3356" i="1"/>
  <c r="I3356" i="1"/>
  <c r="J3356" i="1"/>
  <c r="K3356" i="1"/>
  <c r="M3356" i="1"/>
  <c r="O3356" i="1"/>
  <c r="Q3356" i="1"/>
  <c r="R3356" i="1"/>
  <c r="W3356" i="1"/>
  <c r="AA3356" i="1"/>
  <c r="AB3356" i="1"/>
  <c r="AE3356" i="1"/>
  <c r="AF3356" i="1"/>
  <c r="AM3356" i="1"/>
  <c r="AN3356" i="1"/>
  <c r="AO3356" i="1"/>
  <c r="AQ3356" i="1"/>
  <c r="AX3356" i="1"/>
  <c r="BD3356" i="1"/>
  <c r="B3357" i="1"/>
  <c r="C3357" i="1"/>
  <c r="E3357" i="1"/>
  <c r="F3357" i="1"/>
  <c r="G3357" i="1"/>
  <c r="H3357" i="1"/>
  <c r="I3357" i="1"/>
  <c r="J3357" i="1"/>
  <c r="K3357" i="1"/>
  <c r="M3357" i="1"/>
  <c r="O3357" i="1"/>
  <c r="Q3357" i="1"/>
  <c r="R3357" i="1"/>
  <c r="W3357" i="1"/>
  <c r="AA3357" i="1"/>
  <c r="AB3357" i="1"/>
  <c r="AE3357" i="1"/>
  <c r="AF3357" i="1"/>
  <c r="AM3357" i="1"/>
  <c r="AN3357" i="1"/>
  <c r="AO3357" i="1"/>
  <c r="AQ3357" i="1"/>
  <c r="AX3357" i="1"/>
  <c r="BD3357" i="1"/>
  <c r="B3358" i="1"/>
  <c r="C3358" i="1"/>
  <c r="E3358" i="1"/>
  <c r="F3358" i="1"/>
  <c r="G3358" i="1"/>
  <c r="H3358" i="1"/>
  <c r="I3358" i="1"/>
  <c r="J3358" i="1"/>
  <c r="K3358" i="1"/>
  <c r="M3358" i="1"/>
  <c r="O3358" i="1"/>
  <c r="Q3358" i="1"/>
  <c r="R3358" i="1"/>
  <c r="W3358" i="1"/>
  <c r="AA3358" i="1"/>
  <c r="AB3358" i="1"/>
  <c r="AE3358" i="1"/>
  <c r="AF3358" i="1"/>
  <c r="AM3358" i="1"/>
  <c r="AN3358" i="1"/>
  <c r="AO3358" i="1"/>
  <c r="AQ3358" i="1"/>
  <c r="AX3358" i="1"/>
  <c r="BD3358" i="1"/>
  <c r="B3359" i="1"/>
  <c r="C3359" i="1"/>
  <c r="E3359" i="1"/>
  <c r="F3359" i="1"/>
  <c r="G3359" i="1"/>
  <c r="H3359" i="1"/>
  <c r="I3359" i="1"/>
  <c r="J3359" i="1"/>
  <c r="K3359" i="1"/>
  <c r="M3359" i="1"/>
  <c r="O3359" i="1"/>
  <c r="Q3359" i="1"/>
  <c r="R3359" i="1"/>
  <c r="W3359" i="1"/>
  <c r="AA3359" i="1"/>
  <c r="AB3359" i="1"/>
  <c r="AE3359" i="1"/>
  <c r="AF3359" i="1"/>
  <c r="AM3359" i="1"/>
  <c r="AN3359" i="1"/>
  <c r="AO3359" i="1"/>
  <c r="AQ3359" i="1"/>
  <c r="AX3359" i="1"/>
  <c r="BD3359" i="1"/>
  <c r="B3360" i="1"/>
  <c r="C3360" i="1"/>
  <c r="E3360" i="1"/>
  <c r="F3360" i="1"/>
  <c r="G3360" i="1"/>
  <c r="H3360" i="1"/>
  <c r="I3360" i="1"/>
  <c r="J3360" i="1"/>
  <c r="K3360" i="1"/>
  <c r="M3360" i="1"/>
  <c r="O3360" i="1"/>
  <c r="Q3360" i="1"/>
  <c r="R3360" i="1"/>
  <c r="W3360" i="1"/>
  <c r="AA3360" i="1"/>
  <c r="AB3360" i="1"/>
  <c r="AE3360" i="1"/>
  <c r="AF3360" i="1"/>
  <c r="AM3360" i="1"/>
  <c r="AN3360" i="1"/>
  <c r="AO3360" i="1"/>
  <c r="AQ3360" i="1"/>
  <c r="AX3360" i="1"/>
  <c r="BD3360" i="1"/>
  <c r="B3361" i="1"/>
  <c r="C3361" i="1"/>
  <c r="E3361" i="1"/>
  <c r="F3361" i="1"/>
  <c r="G3361" i="1"/>
  <c r="H3361" i="1"/>
  <c r="I3361" i="1"/>
  <c r="J3361" i="1"/>
  <c r="K3361" i="1"/>
  <c r="M3361" i="1"/>
  <c r="O3361" i="1"/>
  <c r="Q3361" i="1"/>
  <c r="R3361" i="1"/>
  <c r="W3361" i="1"/>
  <c r="AA3361" i="1"/>
  <c r="AB3361" i="1"/>
  <c r="AE3361" i="1"/>
  <c r="AF3361" i="1"/>
  <c r="AM3361" i="1"/>
  <c r="AN3361" i="1"/>
  <c r="AO3361" i="1"/>
  <c r="AQ3361" i="1"/>
  <c r="AX3361" i="1"/>
  <c r="BD3361" i="1"/>
  <c r="B3362" i="1"/>
  <c r="C3362" i="1"/>
  <c r="E3362" i="1"/>
  <c r="F3362" i="1"/>
  <c r="G3362" i="1"/>
  <c r="H3362" i="1"/>
  <c r="I3362" i="1"/>
  <c r="J3362" i="1"/>
  <c r="K3362" i="1"/>
  <c r="M3362" i="1"/>
  <c r="O3362" i="1"/>
  <c r="Q3362" i="1"/>
  <c r="R3362" i="1"/>
  <c r="W3362" i="1"/>
  <c r="AA3362" i="1"/>
  <c r="AB3362" i="1"/>
  <c r="AE3362" i="1"/>
  <c r="AF3362" i="1"/>
  <c r="AM3362" i="1"/>
  <c r="AN3362" i="1"/>
  <c r="AO3362" i="1"/>
  <c r="AQ3362" i="1"/>
  <c r="AX3362" i="1"/>
  <c r="BD3362" i="1"/>
  <c r="B3363" i="1"/>
  <c r="C3363" i="1"/>
  <c r="E3363" i="1"/>
  <c r="F3363" i="1"/>
  <c r="G3363" i="1"/>
  <c r="H3363" i="1"/>
  <c r="I3363" i="1"/>
  <c r="J3363" i="1"/>
  <c r="K3363" i="1"/>
  <c r="M3363" i="1"/>
  <c r="O3363" i="1"/>
  <c r="Q3363" i="1"/>
  <c r="R3363" i="1"/>
  <c r="W3363" i="1"/>
  <c r="AA3363" i="1"/>
  <c r="AB3363" i="1"/>
  <c r="AE3363" i="1"/>
  <c r="AF3363" i="1"/>
  <c r="AM3363" i="1"/>
  <c r="AN3363" i="1"/>
  <c r="AO3363" i="1"/>
  <c r="AQ3363" i="1"/>
  <c r="AX3363" i="1"/>
  <c r="BD3363" i="1"/>
  <c r="B3364" i="1"/>
  <c r="C3364" i="1"/>
  <c r="D3364" i="1"/>
  <c r="E3364" i="1"/>
  <c r="F3364" i="1"/>
  <c r="G3364" i="1"/>
  <c r="H3364" i="1"/>
  <c r="I3364" i="1"/>
  <c r="J3364" i="1"/>
  <c r="K3364" i="1"/>
  <c r="M3364" i="1"/>
  <c r="O3364" i="1"/>
  <c r="Q3364" i="1"/>
  <c r="R3364" i="1"/>
  <c r="W3364" i="1"/>
  <c r="AA3364" i="1"/>
  <c r="AB3364" i="1"/>
  <c r="AE3364" i="1"/>
  <c r="AF3364" i="1"/>
  <c r="AM3364" i="1"/>
  <c r="AN3364" i="1"/>
  <c r="AO3364" i="1"/>
  <c r="AQ3364" i="1"/>
  <c r="AX3364" i="1"/>
  <c r="BD3364" i="1"/>
  <c r="B3365" i="1"/>
  <c r="C3365" i="1"/>
  <c r="D3365" i="1"/>
  <c r="E3365" i="1"/>
  <c r="F3365" i="1"/>
  <c r="G3365" i="1"/>
  <c r="H3365" i="1"/>
  <c r="I3365" i="1"/>
  <c r="J3365" i="1"/>
  <c r="K3365" i="1"/>
  <c r="M3365" i="1"/>
  <c r="O3365" i="1"/>
  <c r="Q3365" i="1"/>
  <c r="R3365" i="1"/>
  <c r="W3365" i="1"/>
  <c r="AA3365" i="1"/>
  <c r="AB3365" i="1"/>
  <c r="AE3365" i="1"/>
  <c r="AF3365" i="1"/>
  <c r="AM3365" i="1"/>
  <c r="AN3365" i="1"/>
  <c r="AO3365" i="1"/>
  <c r="AQ3365" i="1"/>
  <c r="AX3365" i="1"/>
  <c r="BD3365" i="1"/>
  <c r="B3366" i="1"/>
  <c r="C3366" i="1"/>
  <c r="E3366" i="1"/>
  <c r="F3366" i="1"/>
  <c r="G3366" i="1"/>
  <c r="H3366" i="1"/>
  <c r="I3366" i="1"/>
  <c r="J3366" i="1"/>
  <c r="K3366" i="1"/>
  <c r="M3366" i="1"/>
  <c r="O3366" i="1"/>
  <c r="Q3366" i="1"/>
  <c r="R3366" i="1"/>
  <c r="W3366" i="1"/>
  <c r="AA3366" i="1"/>
  <c r="AB3366" i="1"/>
  <c r="AE3366" i="1"/>
  <c r="AF3366" i="1"/>
  <c r="AM3366" i="1"/>
  <c r="AN3366" i="1"/>
  <c r="AO3366" i="1"/>
  <c r="AQ3366" i="1"/>
  <c r="AX3366" i="1"/>
  <c r="BD3366" i="1"/>
  <c r="B3367" i="1"/>
  <c r="C3367" i="1"/>
  <c r="E3367" i="1"/>
  <c r="F3367" i="1"/>
  <c r="G3367" i="1"/>
  <c r="H3367" i="1"/>
  <c r="I3367" i="1"/>
  <c r="J3367" i="1"/>
  <c r="K3367" i="1"/>
  <c r="M3367" i="1"/>
  <c r="O3367" i="1"/>
  <c r="Q3367" i="1"/>
  <c r="R3367" i="1"/>
  <c r="W3367" i="1"/>
  <c r="AA3367" i="1"/>
  <c r="AB3367" i="1"/>
  <c r="AE3367" i="1"/>
  <c r="AF3367" i="1"/>
  <c r="AM3367" i="1"/>
  <c r="AN3367" i="1"/>
  <c r="AO3367" i="1"/>
  <c r="AQ3367" i="1"/>
  <c r="AX3367" i="1"/>
  <c r="BD3367" i="1"/>
  <c r="B3368" i="1"/>
  <c r="C3368" i="1"/>
  <c r="E3368" i="1"/>
  <c r="F3368" i="1"/>
  <c r="G3368" i="1"/>
  <c r="H3368" i="1"/>
  <c r="I3368" i="1"/>
  <c r="J3368" i="1"/>
  <c r="K3368" i="1"/>
  <c r="M3368" i="1"/>
  <c r="O3368" i="1"/>
  <c r="Q3368" i="1"/>
  <c r="R3368" i="1"/>
  <c r="W3368" i="1"/>
  <c r="AA3368" i="1"/>
  <c r="AB3368" i="1"/>
  <c r="AE3368" i="1"/>
  <c r="AF3368" i="1"/>
  <c r="AM3368" i="1"/>
  <c r="AN3368" i="1"/>
  <c r="AO3368" i="1"/>
  <c r="AQ3368" i="1"/>
  <c r="AX3368" i="1"/>
  <c r="BD3368" i="1"/>
  <c r="B3369" i="1"/>
  <c r="C3369" i="1"/>
  <c r="D3369" i="1"/>
  <c r="E3369" i="1"/>
  <c r="F3369" i="1"/>
  <c r="G3369" i="1"/>
  <c r="H3369" i="1"/>
  <c r="I3369" i="1"/>
  <c r="J3369" i="1"/>
  <c r="K3369" i="1"/>
  <c r="M3369" i="1"/>
  <c r="O3369" i="1"/>
  <c r="Q3369" i="1"/>
  <c r="R3369" i="1"/>
  <c r="W3369" i="1"/>
  <c r="AA3369" i="1"/>
  <c r="AB3369" i="1"/>
  <c r="AE3369" i="1"/>
  <c r="AF3369" i="1"/>
  <c r="AM3369" i="1"/>
  <c r="AN3369" i="1"/>
  <c r="AO3369" i="1"/>
  <c r="AQ3369" i="1"/>
  <c r="AX3369" i="1"/>
  <c r="BD3369" i="1"/>
  <c r="B3370" i="1"/>
  <c r="C3370" i="1"/>
  <c r="E3370" i="1"/>
  <c r="F3370" i="1"/>
  <c r="G3370" i="1"/>
  <c r="H3370" i="1"/>
  <c r="I3370" i="1"/>
  <c r="J3370" i="1"/>
  <c r="K3370" i="1"/>
  <c r="M3370" i="1"/>
  <c r="O3370" i="1"/>
  <c r="Q3370" i="1"/>
  <c r="R3370" i="1"/>
  <c r="W3370" i="1"/>
  <c r="AA3370" i="1"/>
  <c r="AB3370" i="1"/>
  <c r="AE3370" i="1"/>
  <c r="AF3370" i="1"/>
  <c r="AM3370" i="1"/>
  <c r="AN3370" i="1"/>
  <c r="AO3370" i="1"/>
  <c r="AQ3370" i="1"/>
  <c r="AX3370" i="1"/>
  <c r="BD3370" i="1"/>
  <c r="B3371" i="1"/>
  <c r="C3371" i="1"/>
  <c r="E3371" i="1"/>
  <c r="F3371" i="1"/>
  <c r="G3371" i="1"/>
  <c r="H3371" i="1"/>
  <c r="I3371" i="1"/>
  <c r="J3371" i="1"/>
  <c r="K3371" i="1"/>
  <c r="M3371" i="1"/>
  <c r="O3371" i="1"/>
  <c r="Q3371" i="1"/>
  <c r="R3371" i="1"/>
  <c r="W3371" i="1"/>
  <c r="AA3371" i="1"/>
  <c r="AB3371" i="1"/>
  <c r="AE3371" i="1"/>
  <c r="AF3371" i="1"/>
  <c r="AM3371" i="1"/>
  <c r="AN3371" i="1"/>
  <c r="AO3371" i="1"/>
  <c r="AQ3371" i="1"/>
  <c r="AX3371" i="1"/>
  <c r="BD3371" i="1"/>
  <c r="B3372" i="1"/>
  <c r="C3372" i="1"/>
  <c r="D3372" i="1"/>
  <c r="E3372" i="1"/>
  <c r="F3372" i="1"/>
  <c r="G3372" i="1"/>
  <c r="H3372" i="1"/>
  <c r="I3372" i="1"/>
  <c r="J3372" i="1"/>
  <c r="K3372" i="1"/>
  <c r="M3372" i="1"/>
  <c r="O3372" i="1"/>
  <c r="Q3372" i="1"/>
  <c r="R3372" i="1"/>
  <c r="W3372" i="1"/>
  <c r="AA3372" i="1"/>
  <c r="AB3372" i="1"/>
  <c r="AE3372" i="1"/>
  <c r="AF3372" i="1"/>
  <c r="AM3372" i="1"/>
  <c r="AN3372" i="1"/>
  <c r="AO3372" i="1"/>
  <c r="AQ3372" i="1"/>
  <c r="AX3372" i="1"/>
  <c r="BD3372" i="1"/>
  <c r="B3373" i="1"/>
  <c r="E3373" i="1"/>
  <c r="F3373" i="1"/>
  <c r="G3373" i="1"/>
  <c r="H3373" i="1"/>
  <c r="I3373" i="1"/>
  <c r="J3373" i="1"/>
  <c r="K3373" i="1"/>
  <c r="M3373" i="1"/>
  <c r="O3373" i="1"/>
  <c r="Q3373" i="1"/>
  <c r="R3373" i="1"/>
  <c r="W3373" i="1"/>
  <c r="AA3373" i="1"/>
  <c r="AB3373" i="1"/>
  <c r="AM3373" i="1"/>
  <c r="AN3373" i="1"/>
  <c r="AO3373" i="1"/>
  <c r="AQ3373" i="1"/>
  <c r="AX3373" i="1"/>
  <c r="BD3373" i="1"/>
  <c r="B3374" i="1"/>
  <c r="C3374" i="1"/>
  <c r="D3374" i="1"/>
  <c r="E3374" i="1"/>
  <c r="F3374" i="1"/>
  <c r="G3374" i="1"/>
  <c r="H3374" i="1"/>
  <c r="I3374" i="1"/>
  <c r="J3374" i="1"/>
  <c r="K3374" i="1"/>
  <c r="M3374" i="1"/>
  <c r="O3374" i="1"/>
  <c r="Q3374" i="1"/>
  <c r="R3374" i="1"/>
  <c r="W3374" i="1"/>
  <c r="AA3374" i="1"/>
  <c r="AB3374" i="1"/>
  <c r="AE3374" i="1"/>
  <c r="AF3374" i="1"/>
  <c r="AM3374" i="1"/>
  <c r="AN3374" i="1"/>
  <c r="AO3374" i="1"/>
  <c r="AQ3374" i="1"/>
  <c r="AX3374" i="1"/>
  <c r="BD3374" i="1"/>
  <c r="B3375" i="1"/>
  <c r="C3375" i="1"/>
  <c r="E3375" i="1"/>
  <c r="F3375" i="1"/>
  <c r="G3375" i="1"/>
  <c r="H3375" i="1"/>
  <c r="I3375" i="1"/>
  <c r="J3375" i="1"/>
  <c r="K3375" i="1"/>
  <c r="M3375" i="1"/>
  <c r="O3375" i="1"/>
  <c r="Q3375" i="1"/>
  <c r="R3375" i="1"/>
  <c r="W3375" i="1"/>
  <c r="AA3375" i="1"/>
  <c r="AM3375" i="1"/>
  <c r="AN3375" i="1"/>
  <c r="AO3375" i="1"/>
  <c r="AQ3375" i="1"/>
  <c r="BB3375" i="1"/>
  <c r="BD3375" i="1"/>
  <c r="B3376" i="1"/>
  <c r="C3376" i="1"/>
  <c r="E3376" i="1"/>
  <c r="F3376" i="1"/>
  <c r="G3376" i="1"/>
  <c r="H3376" i="1"/>
  <c r="I3376" i="1"/>
  <c r="J3376" i="1"/>
  <c r="K3376" i="1"/>
  <c r="M3376" i="1"/>
  <c r="O3376" i="1"/>
  <c r="Q3376" i="1"/>
  <c r="R3376" i="1"/>
  <c r="W3376" i="1"/>
  <c r="AA3376" i="1"/>
  <c r="AM3376" i="1"/>
  <c r="AN3376" i="1"/>
  <c r="AO3376" i="1"/>
  <c r="AQ3376" i="1"/>
  <c r="BB3376" i="1"/>
  <c r="BD3376" i="1"/>
  <c r="B3377" i="1"/>
  <c r="C3377" i="1"/>
  <c r="D3377" i="1"/>
  <c r="E3377" i="1"/>
  <c r="F3377" i="1"/>
  <c r="G3377" i="1"/>
  <c r="H3377" i="1"/>
  <c r="I3377" i="1"/>
  <c r="J3377" i="1"/>
  <c r="K3377" i="1"/>
  <c r="M3377" i="1"/>
  <c r="O3377" i="1"/>
  <c r="Q3377" i="1"/>
  <c r="R3377" i="1"/>
  <c r="W3377" i="1"/>
  <c r="AA3377" i="1"/>
  <c r="AB3377" i="1"/>
  <c r="AE3377" i="1"/>
  <c r="AF3377" i="1"/>
  <c r="AM3377" i="1"/>
  <c r="AN3377" i="1"/>
  <c r="AO3377" i="1"/>
  <c r="AQ3377" i="1"/>
  <c r="AX3377" i="1"/>
  <c r="BD3377" i="1"/>
  <c r="B3378" i="1"/>
  <c r="C3378" i="1"/>
  <c r="E3378" i="1"/>
  <c r="F3378" i="1"/>
  <c r="G3378" i="1"/>
  <c r="H3378" i="1"/>
  <c r="I3378" i="1"/>
  <c r="J3378" i="1"/>
  <c r="K3378" i="1"/>
  <c r="M3378" i="1"/>
  <c r="O3378" i="1"/>
  <c r="Q3378" i="1"/>
  <c r="R3378" i="1"/>
  <c r="W3378" i="1"/>
  <c r="AA3378" i="1"/>
  <c r="AB3378" i="1"/>
  <c r="AE3378" i="1"/>
  <c r="AF3378" i="1"/>
  <c r="AM3378" i="1"/>
  <c r="AN3378" i="1"/>
  <c r="AO3378" i="1"/>
  <c r="AQ3378" i="1"/>
  <c r="AX3378" i="1"/>
  <c r="BD3378" i="1"/>
  <c r="B3379" i="1"/>
  <c r="C3379" i="1"/>
  <c r="E3379" i="1"/>
  <c r="F3379" i="1"/>
  <c r="G3379" i="1"/>
  <c r="H3379" i="1"/>
  <c r="I3379" i="1"/>
  <c r="J3379" i="1"/>
  <c r="K3379" i="1"/>
  <c r="M3379" i="1"/>
  <c r="O3379" i="1"/>
  <c r="Q3379" i="1"/>
  <c r="R3379" i="1"/>
  <c r="W3379" i="1"/>
  <c r="AA3379" i="1"/>
  <c r="AB3379" i="1"/>
  <c r="AE3379" i="1"/>
  <c r="AF3379" i="1"/>
  <c r="AM3379" i="1"/>
  <c r="AN3379" i="1"/>
  <c r="AO3379" i="1"/>
  <c r="AQ3379" i="1"/>
  <c r="AX3379" i="1"/>
  <c r="BD3379" i="1"/>
  <c r="B3380" i="1"/>
  <c r="C3380" i="1"/>
  <c r="E3380" i="1"/>
  <c r="F3380" i="1"/>
  <c r="G3380" i="1"/>
  <c r="H3380" i="1"/>
  <c r="I3380" i="1"/>
  <c r="J3380" i="1"/>
  <c r="K3380" i="1"/>
  <c r="M3380" i="1"/>
  <c r="O3380" i="1"/>
  <c r="Q3380" i="1"/>
  <c r="R3380" i="1"/>
  <c r="W3380" i="1"/>
  <c r="AA3380" i="1"/>
  <c r="AB3380" i="1"/>
  <c r="AE3380" i="1"/>
  <c r="AF3380" i="1"/>
  <c r="AM3380" i="1"/>
  <c r="AN3380" i="1"/>
  <c r="AO3380" i="1"/>
  <c r="AQ3380" i="1"/>
  <c r="AX3380" i="1"/>
  <c r="BD3380" i="1"/>
  <c r="B3381" i="1"/>
  <c r="C3381" i="1"/>
  <c r="E3381" i="1"/>
  <c r="F3381" i="1"/>
  <c r="G3381" i="1"/>
  <c r="H3381" i="1"/>
  <c r="I3381" i="1"/>
  <c r="J3381" i="1"/>
  <c r="K3381" i="1"/>
  <c r="M3381" i="1"/>
  <c r="O3381" i="1"/>
  <c r="Q3381" i="1"/>
  <c r="R3381" i="1"/>
  <c r="W3381" i="1"/>
  <c r="AA3381" i="1"/>
  <c r="AB3381" i="1"/>
  <c r="AE3381" i="1"/>
  <c r="AF3381" i="1"/>
  <c r="AM3381" i="1"/>
  <c r="AN3381" i="1"/>
  <c r="AO3381" i="1"/>
  <c r="AQ3381" i="1"/>
  <c r="AX3381" i="1"/>
  <c r="BD3381" i="1"/>
  <c r="B3382" i="1"/>
  <c r="C3382" i="1"/>
  <c r="E3382" i="1"/>
  <c r="F3382" i="1"/>
  <c r="G3382" i="1"/>
  <c r="H3382" i="1"/>
  <c r="I3382" i="1"/>
  <c r="J3382" i="1"/>
  <c r="K3382" i="1"/>
  <c r="M3382" i="1"/>
  <c r="O3382" i="1"/>
  <c r="Q3382" i="1"/>
  <c r="R3382" i="1"/>
  <c r="W3382" i="1"/>
  <c r="AA3382" i="1"/>
  <c r="AB3382" i="1"/>
  <c r="AE3382" i="1"/>
  <c r="AF3382" i="1"/>
  <c r="AM3382" i="1"/>
  <c r="AN3382" i="1"/>
  <c r="AO3382" i="1"/>
  <c r="AQ3382" i="1"/>
  <c r="AX3382" i="1"/>
  <c r="BD3382" i="1"/>
  <c r="B3383" i="1"/>
  <c r="C3383" i="1"/>
  <c r="E3383" i="1"/>
  <c r="F3383" i="1"/>
  <c r="G3383" i="1"/>
  <c r="H3383" i="1"/>
  <c r="I3383" i="1"/>
  <c r="J3383" i="1"/>
  <c r="K3383" i="1"/>
  <c r="M3383" i="1"/>
  <c r="O3383" i="1"/>
  <c r="Q3383" i="1"/>
  <c r="R3383" i="1"/>
  <c r="W3383" i="1"/>
  <c r="AA3383" i="1"/>
  <c r="AB3383" i="1"/>
  <c r="AE3383" i="1"/>
  <c r="AF3383" i="1"/>
  <c r="AM3383" i="1"/>
  <c r="AN3383" i="1"/>
  <c r="AO3383" i="1"/>
  <c r="AQ3383" i="1"/>
  <c r="AX3383" i="1"/>
  <c r="BD3383" i="1"/>
  <c r="B3384" i="1"/>
  <c r="C3384" i="1"/>
  <c r="E3384" i="1"/>
  <c r="F3384" i="1"/>
  <c r="G3384" i="1"/>
  <c r="H3384" i="1"/>
  <c r="I3384" i="1"/>
  <c r="J3384" i="1"/>
  <c r="K3384" i="1"/>
  <c r="M3384" i="1"/>
  <c r="O3384" i="1"/>
  <c r="Q3384" i="1"/>
  <c r="R3384" i="1"/>
  <c r="W3384" i="1"/>
  <c r="AA3384" i="1"/>
  <c r="AB3384" i="1"/>
  <c r="AE3384" i="1"/>
  <c r="AF3384" i="1"/>
  <c r="AM3384" i="1"/>
  <c r="AN3384" i="1"/>
  <c r="AO3384" i="1"/>
  <c r="AQ3384" i="1"/>
  <c r="AX3384" i="1"/>
  <c r="BD3384" i="1"/>
  <c r="B3385" i="1"/>
  <c r="C3385" i="1"/>
  <c r="E3385" i="1"/>
  <c r="F3385" i="1"/>
  <c r="G3385" i="1"/>
  <c r="H3385" i="1"/>
  <c r="I3385" i="1"/>
  <c r="J3385" i="1"/>
  <c r="K3385" i="1"/>
  <c r="M3385" i="1"/>
  <c r="O3385" i="1"/>
  <c r="Q3385" i="1"/>
  <c r="R3385" i="1"/>
  <c r="W3385" i="1"/>
  <c r="AA3385" i="1"/>
  <c r="AB3385" i="1"/>
  <c r="AE3385" i="1"/>
  <c r="AF3385" i="1"/>
  <c r="AM3385" i="1"/>
  <c r="AN3385" i="1"/>
  <c r="AO3385" i="1"/>
  <c r="AQ3385" i="1"/>
  <c r="AX3385" i="1"/>
  <c r="BD3385" i="1"/>
  <c r="B3386" i="1"/>
  <c r="C3386" i="1"/>
  <c r="E3386" i="1"/>
  <c r="F3386" i="1"/>
  <c r="G3386" i="1"/>
  <c r="H3386" i="1"/>
  <c r="I3386" i="1"/>
  <c r="J3386" i="1"/>
  <c r="K3386" i="1"/>
  <c r="M3386" i="1"/>
  <c r="O3386" i="1"/>
  <c r="Q3386" i="1"/>
  <c r="R3386" i="1"/>
  <c r="W3386" i="1"/>
  <c r="AA3386" i="1"/>
  <c r="AB3386" i="1"/>
  <c r="AE3386" i="1"/>
  <c r="AF3386" i="1"/>
  <c r="AM3386" i="1"/>
  <c r="AN3386" i="1"/>
  <c r="AO3386" i="1"/>
  <c r="AQ3386" i="1"/>
  <c r="AX3386" i="1"/>
  <c r="BD3386" i="1"/>
  <c r="B3387" i="1"/>
  <c r="C3387" i="1"/>
  <c r="E3387" i="1"/>
  <c r="F3387" i="1"/>
  <c r="G3387" i="1"/>
  <c r="H3387" i="1"/>
  <c r="I3387" i="1"/>
  <c r="J3387" i="1"/>
  <c r="K3387" i="1"/>
  <c r="M3387" i="1"/>
  <c r="O3387" i="1"/>
  <c r="Q3387" i="1"/>
  <c r="R3387" i="1"/>
  <c r="W3387" i="1"/>
  <c r="AA3387" i="1"/>
  <c r="AB3387" i="1"/>
  <c r="AE3387" i="1"/>
  <c r="AF3387" i="1"/>
  <c r="AM3387" i="1"/>
  <c r="AN3387" i="1"/>
  <c r="AO3387" i="1"/>
  <c r="AQ3387" i="1"/>
  <c r="AX3387" i="1"/>
  <c r="BD3387" i="1"/>
  <c r="B3388" i="1"/>
  <c r="C3388" i="1"/>
  <c r="E3388" i="1"/>
  <c r="F3388" i="1"/>
  <c r="G3388" i="1"/>
  <c r="H3388" i="1"/>
  <c r="I3388" i="1"/>
  <c r="J3388" i="1"/>
  <c r="K3388" i="1"/>
  <c r="M3388" i="1"/>
  <c r="O3388" i="1"/>
  <c r="Q3388" i="1"/>
  <c r="R3388" i="1"/>
  <c r="W3388" i="1"/>
  <c r="AA3388" i="1"/>
  <c r="AB3388" i="1"/>
  <c r="AE3388" i="1"/>
  <c r="AF3388" i="1"/>
  <c r="AM3388" i="1"/>
  <c r="AN3388" i="1"/>
  <c r="AO3388" i="1"/>
  <c r="AQ3388" i="1"/>
  <c r="AX3388" i="1"/>
  <c r="BD3388" i="1"/>
  <c r="B3389" i="1"/>
  <c r="C3389" i="1"/>
  <c r="E3389" i="1"/>
  <c r="F3389" i="1"/>
  <c r="G3389" i="1"/>
  <c r="H3389" i="1"/>
  <c r="I3389" i="1"/>
  <c r="J3389" i="1"/>
  <c r="K3389" i="1"/>
  <c r="M3389" i="1"/>
  <c r="O3389" i="1"/>
  <c r="Q3389" i="1"/>
  <c r="R3389" i="1"/>
  <c r="W3389" i="1"/>
  <c r="AA3389" i="1"/>
  <c r="AB3389" i="1"/>
  <c r="AE3389" i="1"/>
  <c r="AF3389" i="1"/>
  <c r="AM3389" i="1"/>
  <c r="AN3389" i="1"/>
  <c r="AO3389" i="1"/>
  <c r="AQ3389" i="1"/>
  <c r="AX3389" i="1"/>
  <c r="BD3389" i="1"/>
  <c r="B3390" i="1"/>
  <c r="C3390" i="1"/>
  <c r="E3390" i="1"/>
  <c r="F3390" i="1"/>
  <c r="G3390" i="1"/>
  <c r="H3390" i="1"/>
  <c r="I3390" i="1"/>
  <c r="J3390" i="1"/>
  <c r="K3390" i="1"/>
  <c r="M3390" i="1"/>
  <c r="O3390" i="1"/>
  <c r="Q3390" i="1"/>
  <c r="R3390" i="1"/>
  <c r="W3390" i="1"/>
  <c r="AA3390" i="1"/>
  <c r="AB3390" i="1"/>
  <c r="AE3390" i="1"/>
  <c r="AF3390" i="1"/>
  <c r="AM3390" i="1"/>
  <c r="AN3390" i="1"/>
  <c r="AO3390" i="1"/>
  <c r="AQ3390" i="1"/>
  <c r="AX3390" i="1"/>
  <c r="BD3390" i="1"/>
  <c r="B3391" i="1"/>
  <c r="C3391" i="1"/>
  <c r="E3391" i="1"/>
  <c r="F3391" i="1"/>
  <c r="G3391" i="1"/>
  <c r="H3391" i="1"/>
  <c r="I3391" i="1"/>
  <c r="J3391" i="1"/>
  <c r="K3391" i="1"/>
  <c r="M3391" i="1"/>
  <c r="O3391" i="1"/>
  <c r="Q3391" i="1"/>
  <c r="R3391" i="1"/>
  <c r="W3391" i="1"/>
  <c r="AA3391" i="1"/>
  <c r="AB3391" i="1"/>
  <c r="AE3391" i="1"/>
  <c r="AF3391" i="1"/>
  <c r="AM3391" i="1"/>
  <c r="AN3391" i="1"/>
  <c r="AO3391" i="1"/>
  <c r="AQ3391" i="1"/>
  <c r="AX3391" i="1"/>
  <c r="BD3391" i="1"/>
  <c r="B3392" i="1"/>
  <c r="C3392" i="1"/>
  <c r="E3392" i="1"/>
  <c r="F3392" i="1"/>
  <c r="G3392" i="1"/>
  <c r="H3392" i="1"/>
  <c r="I3392" i="1"/>
  <c r="J3392" i="1"/>
  <c r="K3392" i="1"/>
  <c r="M3392" i="1"/>
  <c r="O3392" i="1"/>
  <c r="Q3392" i="1"/>
  <c r="R3392" i="1"/>
  <c r="W3392" i="1"/>
  <c r="AA3392" i="1"/>
  <c r="AB3392" i="1"/>
  <c r="AE3392" i="1"/>
  <c r="AF3392" i="1"/>
  <c r="AM3392" i="1"/>
  <c r="AN3392" i="1"/>
  <c r="AO3392" i="1"/>
  <c r="AQ3392" i="1"/>
  <c r="AX3392" i="1"/>
  <c r="BD3392" i="1"/>
  <c r="B3393" i="1"/>
  <c r="C3393" i="1"/>
  <c r="D3393" i="1"/>
  <c r="E3393" i="1"/>
  <c r="F3393" i="1"/>
  <c r="G3393" i="1"/>
  <c r="H3393" i="1"/>
  <c r="I3393" i="1"/>
  <c r="J3393" i="1"/>
  <c r="K3393" i="1"/>
  <c r="M3393" i="1"/>
  <c r="O3393" i="1"/>
  <c r="Q3393" i="1"/>
  <c r="R3393" i="1"/>
  <c r="W3393" i="1"/>
  <c r="AA3393" i="1"/>
  <c r="AB3393" i="1"/>
  <c r="AE3393" i="1"/>
  <c r="AF3393" i="1"/>
  <c r="AM3393" i="1"/>
  <c r="AN3393" i="1"/>
  <c r="AO3393" i="1"/>
  <c r="AQ3393" i="1"/>
  <c r="AX3393" i="1"/>
  <c r="BD3393" i="1"/>
  <c r="B3394" i="1"/>
  <c r="C3394" i="1"/>
  <c r="E3394" i="1"/>
  <c r="F3394" i="1"/>
  <c r="G3394" i="1"/>
  <c r="H3394" i="1"/>
  <c r="I3394" i="1"/>
  <c r="J3394" i="1"/>
  <c r="K3394" i="1"/>
  <c r="M3394" i="1"/>
  <c r="O3394" i="1"/>
  <c r="Q3394" i="1"/>
  <c r="R3394" i="1"/>
  <c r="W3394" i="1"/>
  <c r="AA3394" i="1"/>
  <c r="AM3394" i="1"/>
  <c r="AN3394" i="1"/>
  <c r="AO3394" i="1"/>
  <c r="AQ3394" i="1"/>
  <c r="BB3394" i="1"/>
  <c r="BD3394" i="1"/>
  <c r="B3395" i="1"/>
  <c r="C3395" i="1"/>
  <c r="E3395" i="1"/>
  <c r="F3395" i="1"/>
  <c r="G3395" i="1"/>
  <c r="H3395" i="1"/>
  <c r="I3395" i="1"/>
  <c r="J3395" i="1"/>
  <c r="K3395" i="1"/>
  <c r="M3395" i="1"/>
  <c r="O3395" i="1"/>
  <c r="Q3395" i="1"/>
  <c r="R3395" i="1"/>
  <c r="W3395" i="1"/>
  <c r="AA3395" i="1"/>
  <c r="AM3395" i="1"/>
  <c r="AN3395" i="1"/>
  <c r="AO3395" i="1"/>
  <c r="AQ3395" i="1"/>
  <c r="BB3395" i="1"/>
  <c r="BD3395" i="1"/>
  <c r="B3396" i="1"/>
  <c r="C3396" i="1"/>
  <c r="D3396" i="1"/>
  <c r="E3396" i="1"/>
  <c r="F3396" i="1"/>
  <c r="G3396" i="1"/>
  <c r="H3396" i="1"/>
  <c r="I3396" i="1"/>
  <c r="J3396" i="1"/>
  <c r="K3396" i="1"/>
  <c r="M3396" i="1"/>
  <c r="O3396" i="1"/>
  <c r="Q3396" i="1"/>
  <c r="R3396" i="1"/>
  <c r="W3396" i="1"/>
  <c r="AA3396" i="1"/>
  <c r="AB3396" i="1"/>
  <c r="AM3396" i="1"/>
  <c r="AN3396" i="1"/>
  <c r="AO3396" i="1"/>
  <c r="AQ3396" i="1"/>
  <c r="AX3396" i="1"/>
  <c r="BD3396" i="1"/>
  <c r="B3397" i="1"/>
  <c r="C3397" i="1"/>
  <c r="D3397" i="1"/>
  <c r="E3397" i="1"/>
  <c r="F3397" i="1"/>
  <c r="G3397" i="1"/>
  <c r="H3397" i="1"/>
  <c r="I3397" i="1"/>
  <c r="J3397" i="1"/>
  <c r="K3397" i="1"/>
  <c r="M3397" i="1"/>
  <c r="O3397" i="1"/>
  <c r="Q3397" i="1"/>
  <c r="R3397" i="1"/>
  <c r="W3397" i="1"/>
  <c r="AA3397" i="1"/>
  <c r="AB3397" i="1"/>
  <c r="AM3397" i="1"/>
  <c r="AN3397" i="1"/>
  <c r="AO3397" i="1"/>
  <c r="AQ3397" i="1"/>
  <c r="AX3397" i="1"/>
  <c r="BD3397" i="1"/>
  <c r="B3398" i="1"/>
  <c r="C3398" i="1"/>
  <c r="D3398" i="1"/>
  <c r="E3398" i="1"/>
  <c r="F3398" i="1"/>
  <c r="G3398" i="1"/>
  <c r="H3398" i="1"/>
  <c r="I3398" i="1"/>
  <c r="J3398" i="1"/>
  <c r="K3398" i="1"/>
  <c r="M3398" i="1"/>
  <c r="O3398" i="1"/>
  <c r="Q3398" i="1"/>
  <c r="R3398" i="1"/>
  <c r="W3398" i="1"/>
  <c r="AA3398" i="1"/>
  <c r="AB3398" i="1"/>
  <c r="AE3398" i="1"/>
  <c r="AF3398" i="1"/>
  <c r="AM3398" i="1"/>
  <c r="AN3398" i="1"/>
  <c r="AO3398" i="1"/>
  <c r="AQ3398" i="1"/>
  <c r="AX3398" i="1"/>
  <c r="BD3398" i="1"/>
  <c r="B3399" i="1"/>
  <c r="C3399" i="1"/>
  <c r="E3399" i="1"/>
  <c r="F3399" i="1"/>
  <c r="G3399" i="1"/>
  <c r="H3399" i="1"/>
  <c r="I3399" i="1"/>
  <c r="J3399" i="1"/>
  <c r="K3399" i="1"/>
  <c r="M3399" i="1"/>
  <c r="O3399" i="1"/>
  <c r="Q3399" i="1"/>
  <c r="R3399" i="1"/>
  <c r="W3399" i="1"/>
  <c r="AA3399" i="1"/>
  <c r="AM3399" i="1"/>
  <c r="AN3399" i="1"/>
  <c r="AO3399" i="1"/>
  <c r="AQ3399" i="1"/>
  <c r="BB3399" i="1"/>
  <c r="BD3399" i="1"/>
  <c r="B3400" i="1"/>
  <c r="C3400" i="1"/>
  <c r="D3400" i="1"/>
  <c r="E3400" i="1"/>
  <c r="F3400" i="1"/>
  <c r="G3400" i="1"/>
  <c r="H3400" i="1"/>
  <c r="I3400" i="1"/>
  <c r="J3400" i="1"/>
  <c r="K3400" i="1"/>
  <c r="M3400" i="1"/>
  <c r="O3400" i="1"/>
  <c r="Q3400" i="1"/>
  <c r="R3400" i="1"/>
  <c r="W3400" i="1"/>
  <c r="AA3400" i="1"/>
  <c r="AB3400" i="1"/>
  <c r="AE3400" i="1"/>
  <c r="AF3400" i="1"/>
  <c r="AM3400" i="1"/>
  <c r="AN3400" i="1"/>
  <c r="AO3400" i="1"/>
  <c r="AQ3400" i="1"/>
  <c r="AX3400" i="1"/>
  <c r="BD3400" i="1"/>
  <c r="B3401" i="1"/>
  <c r="C3401" i="1"/>
  <c r="E3401" i="1"/>
  <c r="F3401" i="1"/>
  <c r="G3401" i="1"/>
  <c r="H3401" i="1"/>
  <c r="I3401" i="1"/>
  <c r="J3401" i="1"/>
  <c r="K3401" i="1"/>
  <c r="M3401" i="1"/>
  <c r="O3401" i="1"/>
  <c r="Q3401" i="1"/>
  <c r="R3401" i="1"/>
  <c r="W3401" i="1"/>
  <c r="AA3401" i="1"/>
  <c r="AM3401" i="1"/>
  <c r="AN3401" i="1"/>
  <c r="AO3401" i="1"/>
  <c r="AQ3401" i="1"/>
  <c r="BB3401" i="1"/>
  <c r="BD3401" i="1"/>
  <c r="B3402" i="1"/>
  <c r="C3402" i="1"/>
  <c r="D3402" i="1"/>
  <c r="E3402" i="1"/>
  <c r="F3402" i="1"/>
  <c r="G3402" i="1"/>
  <c r="H3402" i="1"/>
  <c r="I3402" i="1"/>
  <c r="J3402" i="1"/>
  <c r="K3402" i="1"/>
  <c r="M3402" i="1"/>
  <c r="O3402" i="1"/>
  <c r="Q3402" i="1"/>
  <c r="R3402" i="1"/>
  <c r="W3402" i="1"/>
  <c r="AA3402" i="1"/>
  <c r="AB3402" i="1"/>
  <c r="AE3402" i="1"/>
  <c r="AF3402" i="1"/>
  <c r="AM3402" i="1"/>
  <c r="AN3402" i="1"/>
  <c r="AO3402" i="1"/>
  <c r="AQ3402" i="1"/>
  <c r="AX3402" i="1"/>
  <c r="BD3402" i="1"/>
  <c r="B3403" i="1"/>
  <c r="C3403" i="1"/>
  <c r="E3403" i="1"/>
  <c r="F3403" i="1"/>
  <c r="G3403" i="1"/>
  <c r="H3403" i="1"/>
  <c r="I3403" i="1"/>
  <c r="J3403" i="1"/>
  <c r="K3403" i="1"/>
  <c r="M3403" i="1"/>
  <c r="O3403" i="1"/>
  <c r="Q3403" i="1"/>
  <c r="R3403" i="1"/>
  <c r="W3403" i="1"/>
  <c r="AA3403" i="1"/>
  <c r="AM3403" i="1"/>
  <c r="AN3403" i="1"/>
  <c r="AO3403" i="1"/>
  <c r="AQ3403" i="1"/>
  <c r="BB3403" i="1"/>
  <c r="BD3403" i="1"/>
  <c r="B3404" i="1"/>
  <c r="E3404" i="1"/>
  <c r="F3404" i="1"/>
  <c r="G3404" i="1"/>
  <c r="H3404" i="1"/>
  <c r="I3404" i="1"/>
  <c r="J3404" i="1"/>
  <c r="K3404" i="1"/>
  <c r="M3404" i="1"/>
  <c r="O3404" i="1"/>
  <c r="Q3404" i="1"/>
  <c r="R3404" i="1"/>
  <c r="W3404" i="1"/>
  <c r="AA3404" i="1"/>
  <c r="AB3404" i="1"/>
  <c r="AM3404" i="1"/>
  <c r="AN3404" i="1"/>
  <c r="AO3404" i="1"/>
  <c r="AQ3404" i="1"/>
  <c r="AX3404" i="1"/>
  <c r="BD3404" i="1"/>
  <c r="B3405" i="1"/>
  <c r="C3405" i="1"/>
  <c r="D3405" i="1"/>
  <c r="E3405" i="1"/>
  <c r="F3405" i="1"/>
  <c r="G3405" i="1"/>
  <c r="H3405" i="1"/>
  <c r="I3405" i="1"/>
  <c r="J3405" i="1"/>
  <c r="K3405" i="1"/>
  <c r="M3405" i="1"/>
  <c r="O3405" i="1"/>
  <c r="Q3405" i="1"/>
  <c r="R3405" i="1"/>
  <c r="W3405" i="1"/>
  <c r="AA3405" i="1"/>
  <c r="AB3405" i="1"/>
  <c r="AE3405" i="1"/>
  <c r="AF3405" i="1"/>
  <c r="AM3405" i="1"/>
  <c r="AN3405" i="1"/>
  <c r="AO3405" i="1"/>
  <c r="AQ3405" i="1"/>
  <c r="AX3405" i="1"/>
  <c r="BD3405" i="1"/>
  <c r="B3406" i="1"/>
  <c r="C3406" i="1"/>
  <c r="D3406" i="1"/>
  <c r="E3406" i="1"/>
  <c r="F3406" i="1"/>
  <c r="G3406" i="1"/>
  <c r="H3406" i="1"/>
  <c r="I3406" i="1"/>
  <c r="J3406" i="1"/>
  <c r="K3406" i="1"/>
  <c r="M3406" i="1"/>
  <c r="O3406" i="1"/>
  <c r="Q3406" i="1"/>
  <c r="R3406" i="1"/>
  <c r="W3406" i="1"/>
  <c r="AA3406" i="1"/>
  <c r="AB3406" i="1"/>
  <c r="AE3406" i="1"/>
  <c r="AF3406" i="1"/>
  <c r="AM3406" i="1"/>
  <c r="AN3406" i="1"/>
  <c r="AO3406" i="1"/>
  <c r="AQ3406" i="1"/>
  <c r="AX3406" i="1"/>
  <c r="BD3406" i="1"/>
  <c r="B3407" i="1"/>
  <c r="E3407" i="1"/>
  <c r="F3407" i="1"/>
  <c r="G3407" i="1"/>
  <c r="H3407" i="1"/>
  <c r="I3407" i="1"/>
  <c r="J3407" i="1"/>
  <c r="K3407" i="1"/>
  <c r="M3407" i="1"/>
  <c r="O3407" i="1"/>
  <c r="Q3407" i="1"/>
  <c r="R3407" i="1"/>
  <c r="W3407" i="1"/>
  <c r="AA3407" i="1"/>
  <c r="AB3407" i="1"/>
  <c r="AM3407" i="1"/>
  <c r="AN3407" i="1"/>
  <c r="AO3407" i="1"/>
  <c r="AQ3407" i="1"/>
  <c r="AX3407" i="1"/>
  <c r="BD3407" i="1"/>
  <c r="B3408" i="1"/>
  <c r="E3408" i="1"/>
  <c r="F3408" i="1"/>
  <c r="G3408" i="1"/>
  <c r="H3408" i="1"/>
  <c r="I3408" i="1"/>
  <c r="J3408" i="1"/>
  <c r="K3408" i="1"/>
  <c r="M3408" i="1"/>
  <c r="O3408" i="1"/>
  <c r="Q3408" i="1"/>
  <c r="R3408" i="1"/>
  <c r="W3408" i="1"/>
  <c r="AA3408" i="1"/>
  <c r="AB3408" i="1"/>
  <c r="AM3408" i="1"/>
  <c r="AN3408" i="1"/>
  <c r="AO3408" i="1"/>
  <c r="AQ3408" i="1"/>
  <c r="AX3408" i="1"/>
  <c r="BD3408" i="1"/>
  <c r="B3409" i="1"/>
  <c r="E3409" i="1"/>
  <c r="F3409" i="1"/>
  <c r="G3409" i="1"/>
  <c r="H3409" i="1"/>
  <c r="I3409" i="1"/>
  <c r="J3409" i="1"/>
  <c r="K3409" i="1"/>
  <c r="M3409" i="1"/>
  <c r="O3409" i="1"/>
  <c r="Q3409" i="1"/>
  <c r="R3409" i="1"/>
  <c r="W3409" i="1"/>
  <c r="AA3409" i="1"/>
  <c r="AM3409" i="1"/>
  <c r="AN3409" i="1"/>
  <c r="AO3409" i="1"/>
  <c r="AQ3409" i="1"/>
  <c r="BB3409" i="1"/>
  <c r="BD3409" i="1"/>
  <c r="B3410" i="1"/>
  <c r="C3410" i="1"/>
  <c r="D3410" i="1"/>
  <c r="E3410" i="1"/>
  <c r="F3410" i="1"/>
  <c r="G3410" i="1"/>
  <c r="H3410" i="1"/>
  <c r="I3410" i="1"/>
  <c r="J3410" i="1"/>
  <c r="K3410" i="1"/>
  <c r="M3410" i="1"/>
  <c r="O3410" i="1"/>
  <c r="Q3410" i="1"/>
  <c r="R3410" i="1"/>
  <c r="W3410" i="1"/>
  <c r="AA3410" i="1"/>
  <c r="AB3410" i="1"/>
  <c r="AM3410" i="1"/>
  <c r="AN3410" i="1"/>
  <c r="AO3410" i="1"/>
  <c r="AQ3410" i="1"/>
  <c r="AX3410" i="1"/>
  <c r="BD3410" i="1"/>
  <c r="B3411" i="1"/>
  <c r="E3411" i="1"/>
  <c r="F3411" i="1"/>
  <c r="G3411" i="1"/>
  <c r="H3411" i="1"/>
  <c r="I3411" i="1"/>
  <c r="J3411" i="1"/>
  <c r="K3411" i="1"/>
  <c r="M3411" i="1"/>
  <c r="O3411" i="1"/>
  <c r="Q3411" i="1"/>
  <c r="R3411" i="1"/>
  <c r="W3411" i="1"/>
  <c r="AA3411" i="1"/>
  <c r="AB3411" i="1"/>
  <c r="AM3411" i="1"/>
  <c r="AN3411" i="1"/>
  <c r="AO3411" i="1"/>
  <c r="AQ3411" i="1"/>
  <c r="AX3411" i="1"/>
  <c r="BD3411" i="1"/>
  <c r="B3412" i="1"/>
  <c r="E3412" i="1"/>
  <c r="F3412" i="1"/>
  <c r="G3412" i="1"/>
  <c r="H3412" i="1"/>
  <c r="I3412" i="1"/>
  <c r="J3412" i="1"/>
  <c r="K3412" i="1"/>
  <c r="M3412" i="1"/>
  <c r="O3412" i="1"/>
  <c r="Q3412" i="1"/>
  <c r="R3412" i="1"/>
  <c r="W3412" i="1"/>
  <c r="AA3412" i="1"/>
  <c r="AB3412" i="1"/>
  <c r="AM3412" i="1"/>
  <c r="AN3412" i="1"/>
  <c r="AO3412" i="1"/>
  <c r="AQ3412" i="1"/>
  <c r="AX3412" i="1"/>
  <c r="BD3412" i="1"/>
  <c r="B3413" i="1"/>
  <c r="E3413" i="1"/>
  <c r="F3413" i="1"/>
  <c r="G3413" i="1"/>
  <c r="H3413" i="1"/>
  <c r="I3413" i="1"/>
  <c r="J3413" i="1"/>
  <c r="K3413" i="1"/>
  <c r="M3413" i="1"/>
  <c r="O3413" i="1"/>
  <c r="Q3413" i="1"/>
  <c r="R3413" i="1"/>
  <c r="W3413" i="1"/>
  <c r="AA3413" i="1"/>
  <c r="AB3413" i="1"/>
  <c r="AM3413" i="1"/>
  <c r="AN3413" i="1"/>
  <c r="AO3413" i="1"/>
  <c r="AQ3413" i="1"/>
  <c r="AX3413" i="1"/>
  <c r="BD3413" i="1"/>
  <c r="B3414" i="1"/>
  <c r="C3414" i="1"/>
  <c r="E3414" i="1"/>
  <c r="F3414" i="1"/>
  <c r="G3414" i="1"/>
  <c r="H3414" i="1"/>
  <c r="I3414" i="1"/>
  <c r="J3414" i="1"/>
  <c r="K3414" i="1"/>
  <c r="M3414" i="1"/>
  <c r="O3414" i="1"/>
  <c r="Q3414" i="1"/>
  <c r="R3414" i="1"/>
  <c r="W3414" i="1"/>
  <c r="AA3414" i="1"/>
  <c r="AB3414" i="1"/>
  <c r="AM3414" i="1"/>
  <c r="AN3414" i="1"/>
  <c r="AO3414" i="1"/>
  <c r="AQ3414" i="1"/>
  <c r="AX3414" i="1"/>
  <c r="BD3414" i="1"/>
  <c r="B3415" i="1"/>
  <c r="C3415" i="1"/>
  <c r="E3415" i="1"/>
  <c r="F3415" i="1"/>
  <c r="G3415" i="1"/>
  <c r="H3415" i="1"/>
  <c r="I3415" i="1"/>
  <c r="J3415" i="1"/>
  <c r="K3415" i="1"/>
  <c r="M3415" i="1"/>
  <c r="O3415" i="1"/>
  <c r="Q3415" i="1"/>
  <c r="R3415" i="1"/>
  <c r="W3415" i="1"/>
  <c r="AA3415" i="1"/>
  <c r="AB3415" i="1"/>
  <c r="AM3415" i="1"/>
  <c r="AN3415" i="1"/>
  <c r="AO3415" i="1"/>
  <c r="AQ3415" i="1"/>
  <c r="AX3415" i="1"/>
  <c r="BD3415" i="1"/>
  <c r="B3416" i="1"/>
  <c r="E3416" i="1"/>
  <c r="F3416" i="1"/>
  <c r="G3416" i="1"/>
  <c r="H3416" i="1"/>
  <c r="I3416" i="1"/>
  <c r="J3416" i="1"/>
  <c r="K3416" i="1"/>
  <c r="M3416" i="1"/>
  <c r="O3416" i="1"/>
  <c r="Q3416" i="1"/>
  <c r="R3416" i="1"/>
  <c r="W3416" i="1"/>
  <c r="AA3416" i="1"/>
  <c r="AB3416" i="1"/>
  <c r="AE3416" i="1"/>
  <c r="AF3416" i="1"/>
  <c r="AM3416" i="1"/>
  <c r="AN3416" i="1"/>
  <c r="AO3416" i="1"/>
  <c r="AQ3416" i="1"/>
  <c r="AX3416" i="1"/>
  <c r="BD3416" i="1"/>
  <c r="B3417" i="1"/>
  <c r="C3417" i="1"/>
  <c r="D3417" i="1"/>
  <c r="E3417" i="1"/>
  <c r="F3417" i="1"/>
  <c r="G3417" i="1"/>
  <c r="H3417" i="1"/>
  <c r="I3417" i="1"/>
  <c r="J3417" i="1"/>
  <c r="K3417" i="1"/>
  <c r="M3417" i="1"/>
  <c r="O3417" i="1"/>
  <c r="Q3417" i="1"/>
  <c r="R3417" i="1"/>
  <c r="W3417" i="1"/>
  <c r="AA3417" i="1"/>
  <c r="AB3417" i="1"/>
  <c r="AE3417" i="1"/>
  <c r="AF3417" i="1"/>
  <c r="AM3417" i="1"/>
  <c r="AN3417" i="1"/>
  <c r="AO3417" i="1"/>
  <c r="AQ3417" i="1"/>
  <c r="AX3417" i="1"/>
  <c r="BD3417" i="1"/>
  <c r="B3418" i="1"/>
  <c r="C3418" i="1"/>
  <c r="D3418" i="1"/>
  <c r="E3418" i="1"/>
  <c r="F3418" i="1"/>
  <c r="G3418" i="1"/>
  <c r="H3418" i="1"/>
  <c r="I3418" i="1"/>
  <c r="J3418" i="1"/>
  <c r="K3418" i="1"/>
  <c r="M3418" i="1"/>
  <c r="O3418" i="1"/>
  <c r="Q3418" i="1"/>
  <c r="R3418" i="1"/>
  <c r="W3418" i="1"/>
  <c r="AA3418" i="1"/>
  <c r="AB3418" i="1"/>
  <c r="AE3418" i="1"/>
  <c r="AF3418" i="1"/>
  <c r="AM3418" i="1"/>
  <c r="AN3418" i="1"/>
  <c r="AO3418" i="1"/>
  <c r="AQ3418" i="1"/>
  <c r="AX3418" i="1"/>
  <c r="BD3418" i="1"/>
  <c r="B3419" i="1"/>
  <c r="C3419" i="1"/>
  <c r="D3419" i="1"/>
  <c r="E3419" i="1"/>
  <c r="F3419" i="1"/>
  <c r="G3419" i="1"/>
  <c r="H3419" i="1"/>
  <c r="I3419" i="1"/>
  <c r="J3419" i="1"/>
  <c r="K3419" i="1"/>
  <c r="M3419" i="1"/>
  <c r="O3419" i="1"/>
  <c r="Q3419" i="1"/>
  <c r="R3419" i="1"/>
  <c r="W3419" i="1"/>
  <c r="AA3419" i="1"/>
  <c r="AB3419" i="1"/>
  <c r="AE3419" i="1"/>
  <c r="AF3419" i="1"/>
  <c r="AM3419" i="1"/>
  <c r="AN3419" i="1"/>
  <c r="AO3419" i="1"/>
  <c r="AQ3419" i="1"/>
  <c r="AX3419" i="1"/>
  <c r="BD3419" i="1"/>
  <c r="B3420" i="1"/>
  <c r="C3420" i="1"/>
  <c r="D3420" i="1"/>
  <c r="E3420" i="1"/>
  <c r="F3420" i="1"/>
  <c r="G3420" i="1"/>
  <c r="H3420" i="1"/>
  <c r="I3420" i="1"/>
  <c r="J3420" i="1"/>
  <c r="K3420" i="1"/>
  <c r="M3420" i="1"/>
  <c r="O3420" i="1"/>
  <c r="Q3420" i="1"/>
  <c r="R3420" i="1"/>
  <c r="W3420" i="1"/>
  <c r="AA3420" i="1"/>
  <c r="AB3420" i="1"/>
  <c r="AE3420" i="1"/>
  <c r="AF3420" i="1"/>
  <c r="AM3420" i="1"/>
  <c r="AN3420" i="1"/>
  <c r="AO3420" i="1"/>
  <c r="AQ3420" i="1"/>
  <c r="AX3420" i="1"/>
  <c r="BD3420" i="1"/>
  <c r="B3421" i="1"/>
  <c r="C3421" i="1"/>
  <c r="D3421" i="1"/>
  <c r="E3421" i="1"/>
  <c r="F3421" i="1"/>
  <c r="G3421" i="1"/>
  <c r="H3421" i="1"/>
  <c r="I3421" i="1"/>
  <c r="J3421" i="1"/>
  <c r="K3421" i="1"/>
  <c r="M3421" i="1"/>
  <c r="O3421" i="1"/>
  <c r="Q3421" i="1"/>
  <c r="R3421" i="1"/>
  <c r="W3421" i="1"/>
  <c r="AA3421" i="1"/>
  <c r="AB3421" i="1"/>
  <c r="AE3421" i="1"/>
  <c r="AF3421" i="1"/>
  <c r="AM3421" i="1"/>
  <c r="AN3421" i="1"/>
  <c r="AO3421" i="1"/>
  <c r="AQ3421" i="1"/>
  <c r="AX3421" i="1"/>
  <c r="BD3421" i="1"/>
  <c r="B3422" i="1"/>
  <c r="C3422" i="1"/>
  <c r="E3422" i="1"/>
  <c r="F3422" i="1"/>
  <c r="G3422" i="1"/>
  <c r="H3422" i="1"/>
  <c r="I3422" i="1"/>
  <c r="J3422" i="1"/>
  <c r="K3422" i="1"/>
  <c r="M3422" i="1"/>
  <c r="O3422" i="1"/>
  <c r="Q3422" i="1"/>
  <c r="R3422" i="1"/>
  <c r="W3422" i="1"/>
  <c r="AA3422" i="1"/>
  <c r="AB3422" i="1"/>
  <c r="AE3422" i="1"/>
  <c r="AF3422" i="1"/>
  <c r="AM3422" i="1"/>
  <c r="AN3422" i="1"/>
  <c r="AO3422" i="1"/>
  <c r="AQ3422" i="1"/>
  <c r="AX3422" i="1"/>
  <c r="BD3422" i="1"/>
  <c r="B3423" i="1"/>
  <c r="C3423" i="1"/>
  <c r="E3423" i="1"/>
  <c r="F3423" i="1"/>
  <c r="G3423" i="1"/>
  <c r="H3423" i="1"/>
  <c r="I3423" i="1"/>
  <c r="J3423" i="1"/>
  <c r="K3423" i="1"/>
  <c r="M3423" i="1"/>
  <c r="O3423" i="1"/>
  <c r="Q3423" i="1"/>
  <c r="R3423" i="1"/>
  <c r="W3423" i="1"/>
  <c r="AA3423" i="1"/>
  <c r="AB3423" i="1"/>
  <c r="AE3423" i="1"/>
  <c r="AF3423" i="1"/>
  <c r="AM3423" i="1"/>
  <c r="AN3423" i="1"/>
  <c r="AO3423" i="1"/>
  <c r="AQ3423" i="1"/>
  <c r="AX3423" i="1"/>
  <c r="BD3423" i="1"/>
  <c r="B3424" i="1"/>
  <c r="C3424" i="1"/>
  <c r="E3424" i="1"/>
  <c r="F3424" i="1"/>
  <c r="G3424" i="1"/>
  <c r="H3424" i="1"/>
  <c r="I3424" i="1"/>
  <c r="J3424" i="1"/>
  <c r="K3424" i="1"/>
  <c r="M3424" i="1"/>
  <c r="O3424" i="1"/>
  <c r="Q3424" i="1"/>
  <c r="R3424" i="1"/>
  <c r="W3424" i="1"/>
  <c r="AA3424" i="1"/>
  <c r="AB3424" i="1"/>
  <c r="AE3424" i="1"/>
  <c r="AF3424" i="1"/>
  <c r="AM3424" i="1"/>
  <c r="AN3424" i="1"/>
  <c r="AO3424" i="1"/>
  <c r="AQ3424" i="1"/>
  <c r="AX3424" i="1"/>
  <c r="BD3424" i="1"/>
  <c r="B3425" i="1"/>
  <c r="C3425" i="1"/>
  <c r="E3425" i="1"/>
  <c r="F3425" i="1"/>
  <c r="G3425" i="1"/>
  <c r="H3425" i="1"/>
  <c r="I3425" i="1"/>
  <c r="J3425" i="1"/>
  <c r="K3425" i="1"/>
  <c r="M3425" i="1"/>
  <c r="O3425" i="1"/>
  <c r="Q3425" i="1"/>
  <c r="R3425" i="1"/>
  <c r="W3425" i="1"/>
  <c r="AA3425" i="1"/>
  <c r="AB3425" i="1"/>
  <c r="AE3425" i="1"/>
  <c r="AF3425" i="1"/>
  <c r="AM3425" i="1"/>
  <c r="AN3425" i="1"/>
  <c r="AO3425" i="1"/>
  <c r="AQ3425" i="1"/>
  <c r="AX3425" i="1"/>
  <c r="BD3425" i="1"/>
  <c r="B3426" i="1"/>
  <c r="C3426" i="1"/>
  <c r="E3426" i="1"/>
  <c r="F3426" i="1"/>
  <c r="G3426" i="1"/>
  <c r="H3426" i="1"/>
  <c r="I3426" i="1"/>
  <c r="J3426" i="1"/>
  <c r="K3426" i="1"/>
  <c r="M3426" i="1"/>
  <c r="O3426" i="1"/>
  <c r="Q3426" i="1"/>
  <c r="R3426" i="1"/>
  <c r="W3426" i="1"/>
  <c r="AA3426" i="1"/>
  <c r="AB3426" i="1"/>
  <c r="AE3426" i="1"/>
  <c r="AF3426" i="1"/>
  <c r="AM3426" i="1"/>
  <c r="AN3426" i="1"/>
  <c r="AO3426" i="1"/>
  <c r="AQ3426" i="1"/>
  <c r="AX3426" i="1"/>
  <c r="BD3426" i="1"/>
  <c r="B3427" i="1"/>
  <c r="C3427" i="1"/>
  <c r="E3427" i="1"/>
  <c r="F3427" i="1"/>
  <c r="G3427" i="1"/>
  <c r="H3427" i="1"/>
  <c r="I3427" i="1"/>
  <c r="J3427" i="1"/>
  <c r="K3427" i="1"/>
  <c r="M3427" i="1"/>
  <c r="O3427" i="1"/>
  <c r="Q3427" i="1"/>
  <c r="R3427" i="1"/>
  <c r="W3427" i="1"/>
  <c r="AA3427" i="1"/>
  <c r="AB3427" i="1"/>
  <c r="AE3427" i="1"/>
  <c r="AF3427" i="1"/>
  <c r="AM3427" i="1"/>
  <c r="AN3427" i="1"/>
  <c r="AO3427" i="1"/>
  <c r="AQ3427" i="1"/>
  <c r="AX3427" i="1"/>
  <c r="BD3427" i="1"/>
  <c r="B3428" i="1"/>
  <c r="C3428" i="1"/>
  <c r="E3428" i="1"/>
  <c r="F3428" i="1"/>
  <c r="G3428" i="1"/>
  <c r="H3428" i="1"/>
  <c r="I3428" i="1"/>
  <c r="J3428" i="1"/>
  <c r="K3428" i="1"/>
  <c r="M3428" i="1"/>
  <c r="O3428" i="1"/>
  <c r="Q3428" i="1"/>
  <c r="R3428" i="1"/>
  <c r="W3428" i="1"/>
  <c r="AA3428" i="1"/>
  <c r="AB3428" i="1"/>
  <c r="AE3428" i="1"/>
  <c r="AF3428" i="1"/>
  <c r="AM3428" i="1"/>
  <c r="AN3428" i="1"/>
  <c r="AO3428" i="1"/>
  <c r="AQ3428" i="1"/>
  <c r="AX3428" i="1"/>
  <c r="BD3428" i="1"/>
  <c r="B3429" i="1"/>
  <c r="C3429" i="1"/>
  <c r="E3429" i="1"/>
  <c r="F3429" i="1"/>
  <c r="G3429" i="1"/>
  <c r="H3429" i="1"/>
  <c r="I3429" i="1"/>
  <c r="J3429" i="1"/>
  <c r="K3429" i="1"/>
  <c r="M3429" i="1"/>
  <c r="O3429" i="1"/>
  <c r="Q3429" i="1"/>
  <c r="R3429" i="1"/>
  <c r="W3429" i="1"/>
  <c r="AA3429" i="1"/>
  <c r="AB3429" i="1"/>
  <c r="AE3429" i="1"/>
  <c r="AF3429" i="1"/>
  <c r="AM3429" i="1"/>
  <c r="AN3429" i="1"/>
  <c r="AO3429" i="1"/>
  <c r="AQ3429" i="1"/>
  <c r="AX3429" i="1"/>
  <c r="BD3429" i="1"/>
  <c r="B3430" i="1"/>
  <c r="C3430" i="1"/>
  <c r="E3430" i="1"/>
  <c r="F3430" i="1"/>
  <c r="G3430" i="1"/>
  <c r="H3430" i="1"/>
  <c r="I3430" i="1"/>
  <c r="J3430" i="1"/>
  <c r="K3430" i="1"/>
  <c r="M3430" i="1"/>
  <c r="O3430" i="1"/>
  <c r="Q3430" i="1"/>
  <c r="R3430" i="1"/>
  <c r="W3430" i="1"/>
  <c r="AA3430" i="1"/>
  <c r="AB3430" i="1"/>
  <c r="AE3430" i="1"/>
  <c r="AF3430" i="1"/>
  <c r="AM3430" i="1"/>
  <c r="AN3430" i="1"/>
  <c r="AO3430" i="1"/>
  <c r="AQ3430" i="1"/>
  <c r="AX3430" i="1"/>
  <c r="BD3430" i="1"/>
  <c r="B3431" i="1"/>
  <c r="C3431" i="1"/>
  <c r="E3431" i="1"/>
  <c r="F3431" i="1"/>
  <c r="G3431" i="1"/>
  <c r="H3431" i="1"/>
  <c r="I3431" i="1"/>
  <c r="J3431" i="1"/>
  <c r="K3431" i="1"/>
  <c r="M3431" i="1"/>
  <c r="O3431" i="1"/>
  <c r="Q3431" i="1"/>
  <c r="R3431" i="1"/>
  <c r="W3431" i="1"/>
  <c r="AA3431" i="1"/>
  <c r="AB3431" i="1"/>
  <c r="AE3431" i="1"/>
  <c r="AF3431" i="1"/>
  <c r="AM3431" i="1"/>
  <c r="AN3431" i="1"/>
  <c r="AO3431" i="1"/>
  <c r="AQ3431" i="1"/>
  <c r="AX3431" i="1"/>
  <c r="BD3431" i="1"/>
  <c r="B3432" i="1"/>
  <c r="C3432" i="1"/>
  <c r="E3432" i="1"/>
  <c r="F3432" i="1"/>
  <c r="G3432" i="1"/>
  <c r="H3432" i="1"/>
  <c r="I3432" i="1"/>
  <c r="J3432" i="1"/>
  <c r="K3432" i="1"/>
  <c r="M3432" i="1"/>
  <c r="O3432" i="1"/>
  <c r="Q3432" i="1"/>
  <c r="R3432" i="1"/>
  <c r="W3432" i="1"/>
  <c r="AA3432" i="1"/>
  <c r="AB3432" i="1"/>
  <c r="AE3432" i="1"/>
  <c r="AF3432" i="1"/>
  <c r="AM3432" i="1"/>
  <c r="AN3432" i="1"/>
  <c r="AO3432" i="1"/>
  <c r="AQ3432" i="1"/>
  <c r="AX3432" i="1"/>
  <c r="BD3432" i="1"/>
  <c r="B3433" i="1"/>
  <c r="C3433" i="1"/>
  <c r="D3433" i="1"/>
  <c r="E3433" i="1"/>
  <c r="F3433" i="1"/>
  <c r="G3433" i="1"/>
  <c r="H3433" i="1"/>
  <c r="I3433" i="1"/>
  <c r="J3433" i="1"/>
  <c r="K3433" i="1"/>
  <c r="M3433" i="1"/>
  <c r="O3433" i="1"/>
  <c r="Q3433" i="1"/>
  <c r="R3433" i="1"/>
  <c r="W3433" i="1"/>
  <c r="AA3433" i="1"/>
  <c r="AB3433" i="1"/>
  <c r="AE3433" i="1"/>
  <c r="AF3433" i="1"/>
  <c r="AM3433" i="1"/>
  <c r="AN3433" i="1"/>
  <c r="AO3433" i="1"/>
  <c r="AQ3433" i="1"/>
  <c r="AX3433" i="1"/>
  <c r="BD3433" i="1"/>
  <c r="B3434" i="1"/>
  <c r="C3434" i="1"/>
  <c r="D3434" i="1"/>
  <c r="E3434" i="1"/>
  <c r="F3434" i="1"/>
  <c r="G3434" i="1"/>
  <c r="H3434" i="1"/>
  <c r="I3434" i="1"/>
  <c r="J3434" i="1"/>
  <c r="K3434" i="1"/>
  <c r="M3434" i="1"/>
  <c r="O3434" i="1"/>
  <c r="Q3434" i="1"/>
  <c r="R3434" i="1"/>
  <c r="W3434" i="1"/>
  <c r="AA3434" i="1"/>
  <c r="AB3434" i="1"/>
  <c r="AE3434" i="1"/>
  <c r="AF3434" i="1"/>
  <c r="AM3434" i="1"/>
  <c r="AN3434" i="1"/>
  <c r="AO3434" i="1"/>
  <c r="AQ3434" i="1"/>
  <c r="AX3434" i="1"/>
  <c r="BD3434" i="1"/>
  <c r="B3435" i="1"/>
  <c r="C3435" i="1"/>
  <c r="D3435" i="1"/>
  <c r="E3435" i="1"/>
  <c r="F3435" i="1"/>
  <c r="G3435" i="1"/>
  <c r="H3435" i="1"/>
  <c r="I3435" i="1"/>
  <c r="J3435" i="1"/>
  <c r="K3435" i="1"/>
  <c r="M3435" i="1"/>
  <c r="O3435" i="1"/>
  <c r="Q3435" i="1"/>
  <c r="R3435" i="1"/>
  <c r="W3435" i="1"/>
  <c r="AA3435" i="1"/>
  <c r="AB3435" i="1"/>
  <c r="AE3435" i="1"/>
  <c r="AF3435" i="1"/>
  <c r="AM3435" i="1"/>
  <c r="AN3435" i="1"/>
  <c r="AO3435" i="1"/>
  <c r="AQ3435" i="1"/>
  <c r="AX3435" i="1"/>
  <c r="BD3435" i="1"/>
  <c r="B3436" i="1"/>
  <c r="C3436" i="1"/>
  <c r="D3436" i="1"/>
  <c r="E3436" i="1"/>
  <c r="F3436" i="1"/>
  <c r="G3436" i="1"/>
  <c r="H3436" i="1"/>
  <c r="I3436" i="1"/>
  <c r="J3436" i="1"/>
  <c r="K3436" i="1"/>
  <c r="M3436" i="1"/>
  <c r="O3436" i="1"/>
  <c r="Q3436" i="1"/>
  <c r="R3436" i="1"/>
  <c r="W3436" i="1"/>
  <c r="AA3436" i="1"/>
  <c r="AB3436" i="1"/>
  <c r="AE3436" i="1"/>
  <c r="AF3436" i="1"/>
  <c r="AM3436" i="1"/>
  <c r="AN3436" i="1"/>
  <c r="AO3436" i="1"/>
  <c r="AQ3436" i="1"/>
  <c r="AX3436" i="1"/>
  <c r="BD3436" i="1"/>
  <c r="B3437" i="1"/>
  <c r="C3437" i="1"/>
  <c r="E3437" i="1"/>
  <c r="F3437" i="1"/>
  <c r="G3437" i="1"/>
  <c r="H3437" i="1"/>
  <c r="I3437" i="1"/>
  <c r="J3437" i="1"/>
  <c r="K3437" i="1"/>
  <c r="M3437" i="1"/>
  <c r="O3437" i="1"/>
  <c r="Q3437" i="1"/>
  <c r="R3437" i="1"/>
  <c r="W3437" i="1"/>
  <c r="AA3437" i="1"/>
  <c r="AB3437" i="1"/>
  <c r="AE3437" i="1"/>
  <c r="AF3437" i="1"/>
  <c r="AM3437" i="1"/>
  <c r="AN3437" i="1"/>
  <c r="AO3437" i="1"/>
  <c r="AQ3437" i="1"/>
  <c r="AX3437" i="1"/>
  <c r="BD3437" i="1"/>
  <c r="B3438" i="1"/>
  <c r="C3438" i="1"/>
  <c r="E3438" i="1"/>
  <c r="F3438" i="1"/>
  <c r="G3438" i="1"/>
  <c r="H3438" i="1"/>
  <c r="I3438" i="1"/>
  <c r="J3438" i="1"/>
  <c r="K3438" i="1"/>
  <c r="M3438" i="1"/>
  <c r="O3438" i="1"/>
  <c r="Q3438" i="1"/>
  <c r="R3438" i="1"/>
  <c r="W3438" i="1"/>
  <c r="AA3438" i="1"/>
  <c r="AB3438" i="1"/>
  <c r="AE3438" i="1"/>
  <c r="AF3438" i="1"/>
  <c r="AM3438" i="1"/>
  <c r="AN3438" i="1"/>
  <c r="AO3438" i="1"/>
  <c r="AQ3438" i="1"/>
  <c r="AX3438" i="1"/>
  <c r="BD3438" i="1"/>
  <c r="B3439" i="1"/>
  <c r="C3439" i="1"/>
  <c r="E3439" i="1"/>
  <c r="F3439" i="1"/>
  <c r="G3439" i="1"/>
  <c r="H3439" i="1"/>
  <c r="I3439" i="1"/>
  <c r="J3439" i="1"/>
  <c r="K3439" i="1"/>
  <c r="M3439" i="1"/>
  <c r="O3439" i="1"/>
  <c r="Q3439" i="1"/>
  <c r="R3439" i="1"/>
  <c r="W3439" i="1"/>
  <c r="AA3439" i="1"/>
  <c r="AB3439" i="1"/>
  <c r="AE3439" i="1"/>
  <c r="AF3439" i="1"/>
  <c r="AM3439" i="1"/>
  <c r="AN3439" i="1"/>
  <c r="AO3439" i="1"/>
  <c r="AQ3439" i="1"/>
  <c r="AX3439" i="1"/>
  <c r="BD3439" i="1"/>
  <c r="B3440" i="1"/>
  <c r="C3440" i="1"/>
  <c r="E3440" i="1"/>
  <c r="F3440" i="1"/>
  <c r="G3440" i="1"/>
  <c r="H3440" i="1"/>
  <c r="I3440" i="1"/>
  <c r="J3440" i="1"/>
  <c r="K3440" i="1"/>
  <c r="M3440" i="1"/>
  <c r="O3440" i="1"/>
  <c r="Q3440" i="1"/>
  <c r="R3440" i="1"/>
  <c r="W3440" i="1"/>
  <c r="AA3440" i="1"/>
  <c r="AB3440" i="1"/>
  <c r="AE3440" i="1"/>
  <c r="AF3440" i="1"/>
  <c r="AM3440" i="1"/>
  <c r="AN3440" i="1"/>
  <c r="AO3440" i="1"/>
  <c r="AQ3440" i="1"/>
  <c r="AX3440" i="1"/>
  <c r="BD3440" i="1"/>
  <c r="B3441" i="1"/>
  <c r="C3441" i="1"/>
  <c r="E3441" i="1"/>
  <c r="F3441" i="1"/>
  <c r="G3441" i="1"/>
  <c r="H3441" i="1"/>
  <c r="I3441" i="1"/>
  <c r="J3441" i="1"/>
  <c r="K3441" i="1"/>
  <c r="M3441" i="1"/>
  <c r="O3441" i="1"/>
  <c r="Q3441" i="1"/>
  <c r="R3441" i="1"/>
  <c r="W3441" i="1"/>
  <c r="AA3441" i="1"/>
  <c r="AM3441" i="1"/>
  <c r="AN3441" i="1"/>
  <c r="AO3441" i="1"/>
  <c r="AQ3441" i="1"/>
  <c r="BB3441" i="1"/>
  <c r="BD3441" i="1"/>
  <c r="B3442" i="1"/>
  <c r="C3442" i="1"/>
  <c r="E3442" i="1"/>
  <c r="F3442" i="1"/>
  <c r="G3442" i="1"/>
  <c r="H3442" i="1"/>
  <c r="I3442" i="1"/>
  <c r="J3442" i="1"/>
  <c r="K3442" i="1"/>
  <c r="M3442" i="1"/>
  <c r="O3442" i="1"/>
  <c r="Q3442" i="1"/>
  <c r="R3442" i="1"/>
  <c r="W3442" i="1"/>
  <c r="AA3442" i="1"/>
  <c r="AM3442" i="1"/>
  <c r="AN3442" i="1"/>
  <c r="AO3442" i="1"/>
  <c r="AQ3442" i="1"/>
  <c r="BB3442" i="1"/>
  <c r="BD3442" i="1"/>
  <c r="B3443" i="1"/>
  <c r="C3443" i="1"/>
  <c r="E3443" i="1"/>
  <c r="F3443" i="1"/>
  <c r="G3443" i="1"/>
  <c r="H3443" i="1"/>
  <c r="I3443" i="1"/>
  <c r="J3443" i="1"/>
  <c r="K3443" i="1"/>
  <c r="M3443" i="1"/>
  <c r="O3443" i="1"/>
  <c r="Q3443" i="1"/>
  <c r="R3443" i="1"/>
  <c r="W3443" i="1"/>
  <c r="AA3443" i="1"/>
  <c r="AM3443" i="1"/>
  <c r="AN3443" i="1"/>
  <c r="AO3443" i="1"/>
  <c r="AQ3443" i="1"/>
  <c r="BB3443" i="1"/>
  <c r="BD3443" i="1"/>
  <c r="B3444" i="1"/>
  <c r="C3444" i="1"/>
  <c r="E3444" i="1"/>
  <c r="F3444" i="1"/>
  <c r="G3444" i="1"/>
  <c r="H3444" i="1"/>
  <c r="I3444" i="1"/>
  <c r="J3444" i="1"/>
  <c r="K3444" i="1"/>
  <c r="M3444" i="1"/>
  <c r="O3444" i="1"/>
  <c r="Q3444" i="1"/>
  <c r="R3444" i="1"/>
  <c r="W3444" i="1"/>
  <c r="AA3444" i="1"/>
  <c r="AM3444" i="1"/>
  <c r="AN3444" i="1"/>
  <c r="AO3444" i="1"/>
  <c r="AQ3444" i="1"/>
  <c r="BB3444" i="1"/>
  <c r="BD3444" i="1"/>
  <c r="B3445" i="1"/>
  <c r="C3445" i="1"/>
  <c r="E3445" i="1"/>
  <c r="F3445" i="1"/>
  <c r="G3445" i="1"/>
  <c r="H3445" i="1"/>
  <c r="I3445" i="1"/>
  <c r="J3445" i="1"/>
  <c r="K3445" i="1"/>
  <c r="M3445" i="1"/>
  <c r="O3445" i="1"/>
  <c r="Q3445" i="1"/>
  <c r="R3445" i="1"/>
  <c r="W3445" i="1"/>
  <c r="AA3445" i="1"/>
  <c r="AM3445" i="1"/>
  <c r="AN3445" i="1"/>
  <c r="AO3445" i="1"/>
  <c r="AQ3445" i="1"/>
  <c r="BB3445" i="1"/>
  <c r="BD3445" i="1"/>
  <c r="B3446" i="1"/>
  <c r="C3446" i="1"/>
  <c r="E3446" i="1"/>
  <c r="F3446" i="1"/>
  <c r="G3446" i="1"/>
  <c r="H3446" i="1"/>
  <c r="I3446" i="1"/>
  <c r="J3446" i="1"/>
  <c r="K3446" i="1"/>
  <c r="M3446" i="1"/>
  <c r="O3446" i="1"/>
  <c r="Q3446" i="1"/>
  <c r="R3446" i="1"/>
  <c r="W3446" i="1"/>
  <c r="AA3446" i="1"/>
  <c r="AB3446" i="1"/>
  <c r="AE3446" i="1"/>
  <c r="AF3446" i="1"/>
  <c r="AM3446" i="1"/>
  <c r="AN3446" i="1"/>
  <c r="AO3446" i="1"/>
  <c r="AQ3446" i="1"/>
  <c r="AX3446" i="1"/>
  <c r="BD3446" i="1"/>
  <c r="B3447" i="1"/>
  <c r="C3447" i="1"/>
  <c r="E3447" i="1"/>
  <c r="F3447" i="1"/>
  <c r="G3447" i="1"/>
  <c r="H3447" i="1"/>
  <c r="I3447" i="1"/>
  <c r="J3447" i="1"/>
  <c r="K3447" i="1"/>
  <c r="M3447" i="1"/>
  <c r="O3447" i="1"/>
  <c r="Q3447" i="1"/>
  <c r="R3447" i="1"/>
  <c r="W3447" i="1"/>
  <c r="AA3447" i="1"/>
  <c r="AB3447" i="1"/>
  <c r="AE3447" i="1"/>
  <c r="AF3447" i="1"/>
  <c r="AM3447" i="1"/>
  <c r="AN3447" i="1"/>
  <c r="AO3447" i="1"/>
  <c r="AQ3447" i="1"/>
  <c r="AX3447" i="1"/>
  <c r="BD3447" i="1"/>
  <c r="B3448" i="1"/>
  <c r="C3448" i="1"/>
  <c r="E3448" i="1"/>
  <c r="F3448" i="1"/>
  <c r="G3448" i="1"/>
  <c r="H3448" i="1"/>
  <c r="I3448" i="1"/>
  <c r="J3448" i="1"/>
  <c r="K3448" i="1"/>
  <c r="M3448" i="1"/>
  <c r="O3448" i="1"/>
  <c r="Q3448" i="1"/>
  <c r="R3448" i="1"/>
  <c r="W3448" i="1"/>
  <c r="AA3448" i="1"/>
  <c r="AM3448" i="1"/>
  <c r="AN3448" i="1"/>
  <c r="AO3448" i="1"/>
  <c r="AQ3448" i="1"/>
  <c r="BB3448" i="1"/>
  <c r="BD3448" i="1"/>
  <c r="B3449" i="1"/>
  <c r="C3449" i="1"/>
  <c r="E3449" i="1"/>
  <c r="F3449" i="1"/>
  <c r="G3449" i="1"/>
  <c r="H3449" i="1"/>
  <c r="I3449" i="1"/>
  <c r="J3449" i="1"/>
  <c r="K3449" i="1"/>
  <c r="M3449" i="1"/>
  <c r="O3449" i="1"/>
  <c r="Q3449" i="1"/>
  <c r="R3449" i="1"/>
  <c r="W3449" i="1"/>
  <c r="AA3449" i="1"/>
  <c r="AM3449" i="1"/>
  <c r="AN3449" i="1"/>
  <c r="AO3449" i="1"/>
  <c r="AQ3449" i="1"/>
  <c r="BB3449" i="1"/>
  <c r="BD3449" i="1"/>
  <c r="B3450" i="1"/>
  <c r="C3450" i="1"/>
  <c r="E3450" i="1"/>
  <c r="F3450" i="1"/>
  <c r="G3450" i="1"/>
  <c r="H3450" i="1"/>
  <c r="I3450" i="1"/>
  <c r="J3450" i="1"/>
  <c r="K3450" i="1"/>
  <c r="M3450" i="1"/>
  <c r="O3450" i="1"/>
  <c r="Q3450" i="1"/>
  <c r="R3450" i="1"/>
  <c r="W3450" i="1"/>
  <c r="AA3450" i="1"/>
  <c r="AM3450" i="1"/>
  <c r="AN3450" i="1"/>
  <c r="AO3450" i="1"/>
  <c r="AQ3450" i="1"/>
  <c r="BB3450" i="1"/>
  <c r="BD3450" i="1"/>
  <c r="B3451" i="1"/>
  <c r="C3451" i="1"/>
  <c r="E3451" i="1"/>
  <c r="F3451" i="1"/>
  <c r="G3451" i="1"/>
  <c r="H3451" i="1"/>
  <c r="I3451" i="1"/>
  <c r="J3451" i="1"/>
  <c r="K3451" i="1"/>
  <c r="M3451" i="1"/>
  <c r="O3451" i="1"/>
  <c r="Q3451" i="1"/>
  <c r="R3451" i="1"/>
  <c r="W3451" i="1"/>
  <c r="AA3451" i="1"/>
  <c r="AM3451" i="1"/>
  <c r="AN3451" i="1"/>
  <c r="AO3451" i="1"/>
  <c r="AQ3451" i="1"/>
  <c r="BB3451" i="1"/>
  <c r="BD3451" i="1"/>
  <c r="B3452" i="1"/>
  <c r="C3452" i="1"/>
  <c r="E3452" i="1"/>
  <c r="F3452" i="1"/>
  <c r="G3452" i="1"/>
  <c r="H3452" i="1"/>
  <c r="I3452" i="1"/>
  <c r="J3452" i="1"/>
  <c r="K3452" i="1"/>
  <c r="M3452" i="1"/>
  <c r="O3452" i="1"/>
  <c r="Q3452" i="1"/>
  <c r="R3452" i="1"/>
  <c r="W3452" i="1"/>
  <c r="AA3452" i="1"/>
  <c r="AM3452" i="1"/>
  <c r="AN3452" i="1"/>
  <c r="AO3452" i="1"/>
  <c r="AQ3452" i="1"/>
  <c r="BB3452" i="1"/>
  <c r="BD3452" i="1"/>
  <c r="B3453" i="1"/>
  <c r="C3453" i="1"/>
  <c r="E3453" i="1"/>
  <c r="F3453" i="1"/>
  <c r="G3453" i="1"/>
  <c r="H3453" i="1"/>
  <c r="I3453" i="1"/>
  <c r="J3453" i="1"/>
  <c r="K3453" i="1"/>
  <c r="M3453" i="1"/>
  <c r="O3453" i="1"/>
  <c r="Q3453" i="1"/>
  <c r="R3453" i="1"/>
  <c r="W3453" i="1"/>
  <c r="AA3453" i="1"/>
  <c r="AB3453" i="1"/>
  <c r="AE3453" i="1"/>
  <c r="AF3453" i="1"/>
  <c r="AM3453" i="1"/>
  <c r="AN3453" i="1"/>
  <c r="AO3453" i="1"/>
  <c r="AQ3453" i="1"/>
  <c r="AX3453" i="1"/>
  <c r="BD3453" i="1"/>
  <c r="B3454" i="1"/>
  <c r="C3454" i="1"/>
  <c r="E3454" i="1"/>
  <c r="F3454" i="1"/>
  <c r="G3454" i="1"/>
  <c r="H3454" i="1"/>
  <c r="I3454" i="1"/>
  <c r="J3454" i="1"/>
  <c r="K3454" i="1"/>
  <c r="M3454" i="1"/>
  <c r="O3454" i="1"/>
  <c r="Q3454" i="1"/>
  <c r="R3454" i="1"/>
  <c r="W3454" i="1"/>
  <c r="AA3454" i="1"/>
  <c r="AB3454" i="1"/>
  <c r="AE3454" i="1"/>
  <c r="AF3454" i="1"/>
  <c r="AM3454" i="1"/>
  <c r="AN3454" i="1"/>
  <c r="AO3454" i="1"/>
  <c r="AQ3454" i="1"/>
  <c r="AX3454" i="1"/>
  <c r="BD3454" i="1"/>
  <c r="B3455" i="1"/>
  <c r="C3455" i="1"/>
  <c r="E3455" i="1"/>
  <c r="F3455" i="1"/>
  <c r="G3455" i="1"/>
  <c r="H3455" i="1"/>
  <c r="I3455" i="1"/>
  <c r="J3455" i="1"/>
  <c r="K3455" i="1"/>
  <c r="M3455" i="1"/>
  <c r="O3455" i="1"/>
  <c r="Q3455" i="1"/>
  <c r="R3455" i="1"/>
  <c r="W3455" i="1"/>
  <c r="AA3455" i="1"/>
  <c r="AB3455" i="1"/>
  <c r="AE3455" i="1"/>
  <c r="AF3455" i="1"/>
  <c r="AM3455" i="1"/>
  <c r="AN3455" i="1"/>
  <c r="AO3455" i="1"/>
  <c r="AQ3455" i="1"/>
  <c r="AX3455" i="1"/>
  <c r="BD3455" i="1"/>
  <c r="B3456" i="1"/>
  <c r="C3456" i="1"/>
  <c r="D3456" i="1"/>
  <c r="E3456" i="1"/>
  <c r="F3456" i="1"/>
  <c r="G3456" i="1"/>
  <c r="H3456" i="1"/>
  <c r="I3456" i="1"/>
  <c r="J3456" i="1"/>
  <c r="K3456" i="1"/>
  <c r="M3456" i="1"/>
  <c r="O3456" i="1"/>
  <c r="Q3456" i="1"/>
  <c r="R3456" i="1"/>
  <c r="W3456" i="1"/>
  <c r="AA3456" i="1"/>
  <c r="AB3456" i="1"/>
  <c r="AE3456" i="1"/>
  <c r="AF3456" i="1"/>
  <c r="AM3456" i="1"/>
  <c r="AN3456" i="1"/>
  <c r="AO3456" i="1"/>
  <c r="AQ3456" i="1"/>
  <c r="AX3456" i="1"/>
  <c r="BD3456" i="1"/>
  <c r="B3457" i="1"/>
  <c r="C3457" i="1"/>
  <c r="E3457" i="1"/>
  <c r="F3457" i="1"/>
  <c r="G3457" i="1"/>
  <c r="H3457" i="1"/>
  <c r="I3457" i="1"/>
  <c r="J3457" i="1"/>
  <c r="K3457" i="1"/>
  <c r="M3457" i="1"/>
  <c r="O3457" i="1"/>
  <c r="Q3457" i="1"/>
  <c r="R3457" i="1"/>
  <c r="W3457" i="1"/>
  <c r="AA3457" i="1"/>
  <c r="AB3457" i="1"/>
  <c r="AE3457" i="1"/>
  <c r="AF3457" i="1"/>
  <c r="AM3457" i="1"/>
  <c r="AN3457" i="1"/>
  <c r="AO3457" i="1"/>
  <c r="AQ3457" i="1"/>
  <c r="AX3457" i="1"/>
  <c r="BD3457" i="1"/>
  <c r="B3458" i="1"/>
  <c r="C3458" i="1"/>
  <c r="E3458" i="1"/>
  <c r="F3458" i="1"/>
  <c r="G3458" i="1"/>
  <c r="H3458" i="1"/>
  <c r="I3458" i="1"/>
  <c r="J3458" i="1"/>
  <c r="K3458" i="1"/>
  <c r="M3458" i="1"/>
  <c r="O3458" i="1"/>
  <c r="Q3458" i="1"/>
  <c r="R3458" i="1"/>
  <c r="W3458" i="1"/>
  <c r="AA3458" i="1"/>
  <c r="AB3458" i="1"/>
  <c r="AE3458" i="1"/>
  <c r="AF3458" i="1"/>
  <c r="AM3458" i="1"/>
  <c r="AN3458" i="1"/>
  <c r="AO3458" i="1"/>
  <c r="AQ3458" i="1"/>
  <c r="AX3458" i="1"/>
  <c r="BD3458" i="1"/>
  <c r="B3459" i="1"/>
  <c r="C3459" i="1"/>
  <c r="E3459" i="1"/>
  <c r="F3459" i="1"/>
  <c r="G3459" i="1"/>
  <c r="H3459" i="1"/>
  <c r="I3459" i="1"/>
  <c r="J3459" i="1"/>
  <c r="K3459" i="1"/>
  <c r="M3459" i="1"/>
  <c r="O3459" i="1"/>
  <c r="Q3459" i="1"/>
  <c r="R3459" i="1"/>
  <c r="W3459" i="1"/>
  <c r="AA3459" i="1"/>
  <c r="AB3459" i="1"/>
  <c r="AE3459" i="1"/>
  <c r="AF3459" i="1"/>
  <c r="AM3459" i="1"/>
  <c r="AN3459" i="1"/>
  <c r="AO3459" i="1"/>
  <c r="AQ3459" i="1"/>
  <c r="AX3459" i="1"/>
  <c r="BD3459" i="1"/>
  <c r="B3460" i="1"/>
  <c r="C3460" i="1"/>
  <c r="E3460" i="1"/>
  <c r="F3460" i="1"/>
  <c r="G3460" i="1"/>
  <c r="H3460" i="1"/>
  <c r="I3460" i="1"/>
  <c r="J3460" i="1"/>
  <c r="K3460" i="1"/>
  <c r="M3460" i="1"/>
  <c r="O3460" i="1"/>
  <c r="Q3460" i="1"/>
  <c r="R3460" i="1"/>
  <c r="W3460" i="1"/>
  <c r="AA3460" i="1"/>
  <c r="AB3460" i="1"/>
  <c r="AE3460" i="1"/>
  <c r="AF3460" i="1"/>
  <c r="AM3460" i="1"/>
  <c r="AN3460" i="1"/>
  <c r="AO3460" i="1"/>
  <c r="AQ3460" i="1"/>
  <c r="AX3460" i="1"/>
  <c r="BD3460" i="1"/>
  <c r="B3461" i="1"/>
  <c r="C3461" i="1"/>
  <c r="E3461" i="1"/>
  <c r="F3461" i="1"/>
  <c r="G3461" i="1"/>
  <c r="H3461" i="1"/>
  <c r="I3461" i="1"/>
  <c r="J3461" i="1"/>
  <c r="K3461" i="1"/>
  <c r="M3461" i="1"/>
  <c r="O3461" i="1"/>
  <c r="Q3461" i="1"/>
  <c r="R3461" i="1"/>
  <c r="W3461" i="1"/>
  <c r="AA3461" i="1"/>
  <c r="AB3461" i="1"/>
  <c r="AE3461" i="1"/>
  <c r="AF3461" i="1"/>
  <c r="AM3461" i="1"/>
  <c r="AN3461" i="1"/>
  <c r="AO3461" i="1"/>
  <c r="AQ3461" i="1"/>
  <c r="AX3461" i="1"/>
  <c r="BD3461" i="1"/>
  <c r="B3462" i="1"/>
  <c r="C3462" i="1"/>
  <c r="E3462" i="1"/>
  <c r="F3462" i="1"/>
  <c r="G3462" i="1"/>
  <c r="H3462" i="1"/>
  <c r="I3462" i="1"/>
  <c r="J3462" i="1"/>
  <c r="K3462" i="1"/>
  <c r="M3462" i="1"/>
  <c r="O3462" i="1"/>
  <c r="Q3462" i="1"/>
  <c r="R3462" i="1"/>
  <c r="W3462" i="1"/>
  <c r="AA3462" i="1"/>
  <c r="AB3462" i="1"/>
  <c r="AE3462" i="1"/>
  <c r="AF3462" i="1"/>
  <c r="AM3462" i="1"/>
  <c r="AN3462" i="1"/>
  <c r="AO3462" i="1"/>
  <c r="AQ3462" i="1"/>
  <c r="AX3462" i="1"/>
  <c r="BD3462" i="1"/>
  <c r="B3463" i="1"/>
  <c r="C3463" i="1"/>
  <c r="E3463" i="1"/>
  <c r="F3463" i="1"/>
  <c r="G3463" i="1"/>
  <c r="H3463" i="1"/>
  <c r="I3463" i="1"/>
  <c r="J3463" i="1"/>
  <c r="K3463" i="1"/>
  <c r="M3463" i="1"/>
  <c r="O3463" i="1"/>
  <c r="Q3463" i="1"/>
  <c r="R3463" i="1"/>
  <c r="W3463" i="1"/>
  <c r="AA3463" i="1"/>
  <c r="AB3463" i="1"/>
  <c r="AE3463" i="1"/>
  <c r="AF3463" i="1"/>
  <c r="AM3463" i="1"/>
  <c r="AN3463" i="1"/>
  <c r="AO3463" i="1"/>
  <c r="AQ3463" i="1"/>
  <c r="AX3463" i="1"/>
  <c r="BD3463" i="1"/>
  <c r="B3464" i="1"/>
  <c r="C3464" i="1"/>
  <c r="E3464" i="1"/>
  <c r="F3464" i="1"/>
  <c r="G3464" i="1"/>
  <c r="H3464" i="1"/>
  <c r="I3464" i="1"/>
  <c r="J3464" i="1"/>
  <c r="K3464" i="1"/>
  <c r="M3464" i="1"/>
  <c r="O3464" i="1"/>
  <c r="Q3464" i="1"/>
  <c r="R3464" i="1"/>
  <c r="W3464" i="1"/>
  <c r="AA3464" i="1"/>
  <c r="AB3464" i="1"/>
  <c r="AE3464" i="1"/>
  <c r="AF3464" i="1"/>
  <c r="AM3464" i="1"/>
  <c r="AN3464" i="1"/>
  <c r="AO3464" i="1"/>
  <c r="AQ3464" i="1"/>
  <c r="AX3464" i="1"/>
  <c r="BD3464" i="1"/>
  <c r="B3465" i="1"/>
  <c r="C3465" i="1"/>
  <c r="E3465" i="1"/>
  <c r="F3465" i="1"/>
  <c r="G3465" i="1"/>
  <c r="H3465" i="1"/>
  <c r="I3465" i="1"/>
  <c r="J3465" i="1"/>
  <c r="K3465" i="1"/>
  <c r="M3465" i="1"/>
  <c r="O3465" i="1"/>
  <c r="Q3465" i="1"/>
  <c r="R3465" i="1"/>
  <c r="W3465" i="1"/>
  <c r="AA3465" i="1"/>
  <c r="AB3465" i="1"/>
  <c r="AE3465" i="1"/>
  <c r="AF3465" i="1"/>
  <c r="AM3465" i="1"/>
  <c r="AN3465" i="1"/>
  <c r="AO3465" i="1"/>
  <c r="AQ3465" i="1"/>
  <c r="AX3465" i="1"/>
  <c r="BD3465" i="1"/>
  <c r="B3466" i="1"/>
  <c r="C3466" i="1"/>
  <c r="D3466" i="1"/>
  <c r="E3466" i="1"/>
  <c r="F3466" i="1"/>
  <c r="G3466" i="1"/>
  <c r="H3466" i="1"/>
  <c r="I3466" i="1"/>
  <c r="J3466" i="1"/>
  <c r="K3466" i="1"/>
  <c r="M3466" i="1"/>
  <c r="O3466" i="1"/>
  <c r="Q3466" i="1"/>
  <c r="R3466" i="1"/>
  <c r="W3466" i="1"/>
  <c r="AA3466" i="1"/>
  <c r="AB3466" i="1"/>
  <c r="AE3466" i="1"/>
  <c r="AF3466" i="1"/>
  <c r="AM3466" i="1"/>
  <c r="AN3466" i="1"/>
  <c r="AO3466" i="1"/>
  <c r="AQ3466" i="1"/>
  <c r="AX3466" i="1"/>
  <c r="BD3466" i="1"/>
  <c r="B3467" i="1"/>
  <c r="C3467" i="1"/>
  <c r="D3467" i="1"/>
  <c r="E3467" i="1"/>
  <c r="F3467" i="1"/>
  <c r="G3467" i="1"/>
  <c r="H3467" i="1"/>
  <c r="I3467" i="1"/>
  <c r="J3467" i="1"/>
  <c r="K3467" i="1"/>
  <c r="M3467" i="1"/>
  <c r="O3467" i="1"/>
  <c r="Q3467" i="1"/>
  <c r="R3467" i="1"/>
  <c r="W3467" i="1"/>
  <c r="AA3467" i="1"/>
  <c r="AB3467" i="1"/>
  <c r="AE3467" i="1"/>
  <c r="AF3467" i="1"/>
  <c r="AM3467" i="1"/>
  <c r="AN3467" i="1"/>
  <c r="AO3467" i="1"/>
  <c r="AQ3467" i="1"/>
  <c r="AX3467" i="1"/>
  <c r="BD3467" i="1"/>
  <c r="B3468" i="1"/>
  <c r="C3468" i="1"/>
  <c r="D3468" i="1"/>
  <c r="E3468" i="1"/>
  <c r="F3468" i="1"/>
  <c r="G3468" i="1"/>
  <c r="H3468" i="1"/>
  <c r="I3468" i="1"/>
  <c r="J3468" i="1"/>
  <c r="K3468" i="1"/>
  <c r="M3468" i="1"/>
  <c r="O3468" i="1"/>
  <c r="Q3468" i="1"/>
  <c r="R3468" i="1"/>
  <c r="W3468" i="1"/>
  <c r="AA3468" i="1"/>
  <c r="AB3468" i="1"/>
  <c r="AE3468" i="1"/>
  <c r="AF3468" i="1"/>
  <c r="AM3468" i="1"/>
  <c r="AN3468" i="1"/>
  <c r="AO3468" i="1"/>
  <c r="AQ3468" i="1"/>
  <c r="AX3468" i="1"/>
  <c r="BD3468" i="1"/>
  <c r="B3469" i="1"/>
  <c r="C3469" i="1"/>
  <c r="E3469" i="1"/>
  <c r="F3469" i="1"/>
  <c r="G3469" i="1"/>
  <c r="H3469" i="1"/>
  <c r="I3469" i="1"/>
  <c r="J3469" i="1"/>
  <c r="K3469" i="1"/>
  <c r="M3469" i="1"/>
  <c r="O3469" i="1"/>
  <c r="Q3469" i="1"/>
  <c r="R3469" i="1"/>
  <c r="W3469" i="1"/>
  <c r="AA3469" i="1"/>
  <c r="AB3469" i="1"/>
  <c r="AE3469" i="1"/>
  <c r="AF3469" i="1"/>
  <c r="AM3469" i="1"/>
  <c r="AN3469" i="1"/>
  <c r="AO3469" i="1"/>
  <c r="AQ3469" i="1"/>
  <c r="AX3469" i="1"/>
  <c r="BD3469" i="1"/>
  <c r="B3470" i="1"/>
  <c r="C3470" i="1"/>
  <c r="E3470" i="1"/>
  <c r="F3470" i="1"/>
  <c r="G3470" i="1"/>
  <c r="H3470" i="1"/>
  <c r="I3470" i="1"/>
  <c r="J3470" i="1"/>
  <c r="K3470" i="1"/>
  <c r="M3470" i="1"/>
  <c r="O3470" i="1"/>
  <c r="Q3470" i="1"/>
  <c r="R3470" i="1"/>
  <c r="W3470" i="1"/>
  <c r="AA3470" i="1"/>
  <c r="AB3470" i="1"/>
  <c r="AE3470" i="1"/>
  <c r="AF3470" i="1"/>
  <c r="AM3470" i="1"/>
  <c r="AN3470" i="1"/>
  <c r="AO3470" i="1"/>
  <c r="AQ3470" i="1"/>
  <c r="AX3470" i="1"/>
  <c r="BD3470" i="1"/>
  <c r="B3471" i="1"/>
  <c r="C3471" i="1"/>
  <c r="E3471" i="1"/>
  <c r="F3471" i="1"/>
  <c r="G3471" i="1"/>
  <c r="H3471" i="1"/>
  <c r="I3471" i="1"/>
  <c r="J3471" i="1"/>
  <c r="K3471" i="1"/>
  <c r="M3471" i="1"/>
  <c r="O3471" i="1"/>
  <c r="Q3471" i="1"/>
  <c r="R3471" i="1"/>
  <c r="W3471" i="1"/>
  <c r="AA3471" i="1"/>
  <c r="AB3471" i="1"/>
  <c r="AE3471" i="1"/>
  <c r="AF3471" i="1"/>
  <c r="AM3471" i="1"/>
  <c r="AN3471" i="1"/>
  <c r="AO3471" i="1"/>
  <c r="AQ3471" i="1"/>
  <c r="AX3471" i="1"/>
  <c r="BD3471" i="1"/>
  <c r="B3472" i="1"/>
  <c r="C3472" i="1"/>
  <c r="E3472" i="1"/>
  <c r="F3472" i="1"/>
  <c r="G3472" i="1"/>
  <c r="H3472" i="1"/>
  <c r="I3472" i="1"/>
  <c r="J3472" i="1"/>
  <c r="K3472" i="1"/>
  <c r="M3472" i="1"/>
  <c r="O3472" i="1"/>
  <c r="Q3472" i="1"/>
  <c r="R3472" i="1"/>
  <c r="W3472" i="1"/>
  <c r="AA3472" i="1"/>
  <c r="AB3472" i="1"/>
  <c r="AE3472" i="1"/>
  <c r="AF3472" i="1"/>
  <c r="AM3472" i="1"/>
  <c r="AN3472" i="1"/>
  <c r="AO3472" i="1"/>
  <c r="AQ3472" i="1"/>
  <c r="AX3472" i="1"/>
  <c r="BD3472" i="1"/>
  <c r="B3473" i="1"/>
  <c r="C3473" i="1"/>
  <c r="D3473" i="1"/>
  <c r="E3473" i="1"/>
  <c r="F3473" i="1"/>
  <c r="G3473" i="1"/>
  <c r="H3473" i="1"/>
  <c r="I3473" i="1"/>
  <c r="J3473" i="1"/>
  <c r="K3473" i="1"/>
  <c r="M3473" i="1"/>
  <c r="O3473" i="1"/>
  <c r="Q3473" i="1"/>
  <c r="R3473" i="1"/>
  <c r="W3473" i="1"/>
  <c r="AA3473" i="1"/>
  <c r="AB3473" i="1"/>
  <c r="AE3473" i="1"/>
  <c r="AF3473" i="1"/>
  <c r="AM3473" i="1"/>
  <c r="AN3473" i="1"/>
  <c r="AO3473" i="1"/>
  <c r="AQ3473" i="1"/>
  <c r="AX3473" i="1"/>
  <c r="BD3473" i="1"/>
  <c r="B3474" i="1"/>
  <c r="C3474" i="1"/>
  <c r="E3474" i="1"/>
  <c r="F3474" i="1"/>
  <c r="G3474" i="1"/>
  <c r="H3474" i="1"/>
  <c r="I3474" i="1"/>
  <c r="J3474" i="1"/>
  <c r="K3474" i="1"/>
  <c r="M3474" i="1"/>
  <c r="O3474" i="1"/>
  <c r="Q3474" i="1"/>
  <c r="R3474" i="1"/>
  <c r="W3474" i="1"/>
  <c r="AA3474" i="1"/>
  <c r="AB3474" i="1"/>
  <c r="AE3474" i="1"/>
  <c r="AF3474" i="1"/>
  <c r="AM3474" i="1"/>
  <c r="AN3474" i="1"/>
  <c r="AO3474" i="1"/>
  <c r="AQ3474" i="1"/>
  <c r="AX3474" i="1"/>
  <c r="BD3474" i="1"/>
  <c r="B3475" i="1"/>
  <c r="C3475" i="1"/>
  <c r="E3475" i="1"/>
  <c r="F3475" i="1"/>
  <c r="G3475" i="1"/>
  <c r="H3475" i="1"/>
  <c r="I3475" i="1"/>
  <c r="J3475" i="1"/>
  <c r="K3475" i="1"/>
  <c r="M3475" i="1"/>
  <c r="O3475" i="1"/>
  <c r="Q3475" i="1"/>
  <c r="R3475" i="1"/>
  <c r="W3475" i="1"/>
  <c r="AA3475" i="1"/>
  <c r="AB3475" i="1"/>
  <c r="AE3475" i="1"/>
  <c r="AF3475" i="1"/>
  <c r="AM3475" i="1"/>
  <c r="AN3475" i="1"/>
  <c r="AO3475" i="1"/>
  <c r="AQ3475" i="1"/>
  <c r="AX3475" i="1"/>
  <c r="BD3475" i="1"/>
  <c r="B3476" i="1"/>
  <c r="C3476" i="1"/>
  <c r="E3476" i="1"/>
  <c r="F3476" i="1"/>
  <c r="G3476" i="1"/>
  <c r="H3476" i="1"/>
  <c r="I3476" i="1"/>
  <c r="J3476" i="1"/>
  <c r="K3476" i="1"/>
  <c r="M3476" i="1"/>
  <c r="O3476" i="1"/>
  <c r="Q3476" i="1"/>
  <c r="R3476" i="1"/>
  <c r="W3476" i="1"/>
  <c r="AA3476" i="1"/>
  <c r="AB3476" i="1"/>
  <c r="AE3476" i="1"/>
  <c r="AF3476" i="1"/>
  <c r="AM3476" i="1"/>
  <c r="AN3476" i="1"/>
  <c r="AO3476" i="1"/>
  <c r="AQ3476" i="1"/>
  <c r="AX3476" i="1"/>
  <c r="BD3476" i="1"/>
  <c r="B3477" i="1"/>
  <c r="C3477" i="1"/>
  <c r="D3477" i="1"/>
  <c r="E3477" i="1"/>
  <c r="F3477" i="1"/>
  <c r="G3477" i="1"/>
  <c r="H3477" i="1"/>
  <c r="I3477" i="1"/>
  <c r="J3477" i="1"/>
  <c r="K3477" i="1"/>
  <c r="M3477" i="1"/>
  <c r="O3477" i="1"/>
  <c r="Q3477" i="1"/>
  <c r="R3477" i="1"/>
  <c r="W3477" i="1"/>
  <c r="AA3477" i="1"/>
  <c r="AB3477" i="1"/>
  <c r="AM3477" i="1"/>
  <c r="AN3477" i="1"/>
  <c r="AO3477" i="1"/>
  <c r="AQ3477" i="1"/>
  <c r="AX3477" i="1"/>
  <c r="BD3477" i="1"/>
  <c r="B3478" i="1"/>
  <c r="C3478" i="1"/>
  <c r="E3478" i="1"/>
  <c r="F3478" i="1"/>
  <c r="G3478" i="1"/>
  <c r="H3478" i="1"/>
  <c r="I3478" i="1"/>
  <c r="J3478" i="1"/>
  <c r="K3478" i="1"/>
  <c r="M3478" i="1"/>
  <c r="O3478" i="1"/>
  <c r="Q3478" i="1"/>
  <c r="R3478" i="1"/>
  <c r="W3478" i="1"/>
  <c r="AA3478" i="1"/>
  <c r="AB3478" i="1"/>
  <c r="AE3478" i="1"/>
  <c r="AF3478" i="1"/>
  <c r="AM3478" i="1"/>
  <c r="AN3478" i="1"/>
  <c r="AO3478" i="1"/>
  <c r="AQ3478" i="1"/>
  <c r="AX3478" i="1"/>
  <c r="BD3478" i="1"/>
  <c r="B3479" i="1"/>
  <c r="C3479" i="1"/>
  <c r="E3479" i="1"/>
  <c r="F3479" i="1"/>
  <c r="G3479" i="1"/>
  <c r="H3479" i="1"/>
  <c r="I3479" i="1"/>
  <c r="J3479" i="1"/>
  <c r="K3479" i="1"/>
  <c r="M3479" i="1"/>
  <c r="O3479" i="1"/>
  <c r="Q3479" i="1"/>
  <c r="R3479" i="1"/>
  <c r="W3479" i="1"/>
  <c r="AA3479" i="1"/>
  <c r="AB3479" i="1"/>
  <c r="AE3479" i="1"/>
  <c r="AF3479" i="1"/>
  <c r="AM3479" i="1"/>
  <c r="AN3479" i="1"/>
  <c r="AO3479" i="1"/>
  <c r="AQ3479" i="1"/>
  <c r="AX3479" i="1"/>
  <c r="BD3479" i="1"/>
  <c r="B3480" i="1"/>
  <c r="C3480" i="1"/>
  <c r="E3480" i="1"/>
  <c r="F3480" i="1"/>
  <c r="G3480" i="1"/>
  <c r="H3480" i="1"/>
  <c r="I3480" i="1"/>
  <c r="J3480" i="1"/>
  <c r="K3480" i="1"/>
  <c r="M3480" i="1"/>
  <c r="O3480" i="1"/>
  <c r="Q3480" i="1"/>
  <c r="R3480" i="1"/>
  <c r="W3480" i="1"/>
  <c r="AA3480" i="1"/>
  <c r="AB3480" i="1"/>
  <c r="AE3480" i="1"/>
  <c r="AF3480" i="1"/>
  <c r="AM3480" i="1"/>
  <c r="AN3480" i="1"/>
  <c r="AO3480" i="1"/>
  <c r="AQ3480" i="1"/>
  <c r="AX3480" i="1"/>
  <c r="BD3480" i="1"/>
  <c r="B3481" i="1"/>
  <c r="C3481" i="1"/>
  <c r="E3481" i="1"/>
  <c r="F3481" i="1"/>
  <c r="G3481" i="1"/>
  <c r="H3481" i="1"/>
  <c r="I3481" i="1"/>
  <c r="J3481" i="1"/>
  <c r="K3481" i="1"/>
  <c r="M3481" i="1"/>
  <c r="O3481" i="1"/>
  <c r="Q3481" i="1"/>
  <c r="R3481" i="1"/>
  <c r="W3481" i="1"/>
  <c r="AA3481" i="1"/>
  <c r="AB3481" i="1"/>
  <c r="AE3481" i="1"/>
  <c r="AF3481" i="1"/>
  <c r="AM3481" i="1"/>
  <c r="AN3481" i="1"/>
  <c r="AO3481" i="1"/>
  <c r="AQ3481" i="1"/>
  <c r="AX3481" i="1"/>
  <c r="BD3481" i="1"/>
  <c r="B3482" i="1"/>
  <c r="C3482" i="1"/>
  <c r="D3482" i="1"/>
  <c r="E3482" i="1"/>
  <c r="F3482" i="1"/>
  <c r="G3482" i="1"/>
  <c r="H3482" i="1"/>
  <c r="I3482" i="1"/>
  <c r="J3482" i="1"/>
  <c r="K3482" i="1"/>
  <c r="M3482" i="1"/>
  <c r="O3482" i="1"/>
  <c r="Q3482" i="1"/>
  <c r="R3482" i="1"/>
  <c r="W3482" i="1"/>
  <c r="AA3482" i="1"/>
  <c r="AB3482" i="1"/>
  <c r="AE3482" i="1"/>
  <c r="AF3482" i="1"/>
  <c r="AM3482" i="1"/>
  <c r="AN3482" i="1"/>
  <c r="AO3482" i="1"/>
  <c r="AQ3482" i="1"/>
  <c r="AX3482" i="1"/>
  <c r="BD3482" i="1"/>
  <c r="B3483" i="1"/>
  <c r="C3483" i="1"/>
  <c r="D3483" i="1"/>
  <c r="E3483" i="1"/>
  <c r="F3483" i="1"/>
  <c r="G3483" i="1"/>
  <c r="H3483" i="1"/>
  <c r="I3483" i="1"/>
  <c r="J3483" i="1"/>
  <c r="K3483" i="1"/>
  <c r="M3483" i="1"/>
  <c r="O3483" i="1"/>
  <c r="Q3483" i="1"/>
  <c r="R3483" i="1"/>
  <c r="W3483" i="1"/>
  <c r="AA3483" i="1"/>
  <c r="AB3483" i="1"/>
  <c r="AE3483" i="1"/>
  <c r="AF3483" i="1"/>
  <c r="AM3483" i="1"/>
  <c r="AN3483" i="1"/>
  <c r="AO3483" i="1"/>
  <c r="AQ3483" i="1"/>
  <c r="AX3483" i="1"/>
  <c r="BD3483" i="1"/>
  <c r="B3484" i="1"/>
  <c r="C3484" i="1"/>
  <c r="D3484" i="1"/>
  <c r="E3484" i="1"/>
  <c r="F3484" i="1"/>
  <c r="G3484" i="1"/>
  <c r="H3484" i="1"/>
  <c r="I3484" i="1"/>
  <c r="J3484" i="1"/>
  <c r="K3484" i="1"/>
  <c r="M3484" i="1"/>
  <c r="O3484" i="1"/>
  <c r="Q3484" i="1"/>
  <c r="R3484" i="1"/>
  <c r="W3484" i="1"/>
  <c r="AA3484" i="1"/>
  <c r="AB3484" i="1"/>
  <c r="AE3484" i="1"/>
  <c r="AF3484" i="1"/>
  <c r="AM3484" i="1"/>
  <c r="AN3484" i="1"/>
  <c r="AO3484" i="1"/>
  <c r="AQ3484" i="1"/>
  <c r="AX3484" i="1"/>
  <c r="BD3484" i="1"/>
  <c r="B3485" i="1"/>
  <c r="C3485" i="1"/>
  <c r="D3485" i="1"/>
  <c r="E3485" i="1"/>
  <c r="F3485" i="1"/>
  <c r="G3485" i="1"/>
  <c r="H3485" i="1"/>
  <c r="I3485" i="1"/>
  <c r="J3485" i="1"/>
  <c r="K3485" i="1"/>
  <c r="M3485" i="1"/>
  <c r="O3485" i="1"/>
  <c r="Q3485" i="1"/>
  <c r="R3485" i="1"/>
  <c r="W3485" i="1"/>
  <c r="AA3485" i="1"/>
  <c r="AB3485" i="1"/>
  <c r="AE3485" i="1"/>
  <c r="AF3485" i="1"/>
  <c r="AM3485" i="1"/>
  <c r="AN3485" i="1"/>
  <c r="AO3485" i="1"/>
  <c r="AQ3485" i="1"/>
  <c r="AX3485" i="1"/>
  <c r="BD3485" i="1"/>
  <c r="B3486" i="1"/>
  <c r="C3486" i="1"/>
  <c r="D3486" i="1"/>
  <c r="E3486" i="1"/>
  <c r="F3486" i="1"/>
  <c r="G3486" i="1"/>
  <c r="H3486" i="1"/>
  <c r="I3486" i="1"/>
  <c r="J3486" i="1"/>
  <c r="K3486" i="1"/>
  <c r="M3486" i="1"/>
  <c r="O3486" i="1"/>
  <c r="Q3486" i="1"/>
  <c r="R3486" i="1"/>
  <c r="W3486" i="1"/>
  <c r="AA3486" i="1"/>
  <c r="AB3486" i="1"/>
  <c r="AE3486" i="1"/>
  <c r="AF3486" i="1"/>
  <c r="AM3486" i="1"/>
  <c r="AN3486" i="1"/>
  <c r="AO3486" i="1"/>
  <c r="AQ3486" i="1"/>
  <c r="AX3486" i="1"/>
  <c r="BD3486" i="1"/>
  <c r="B3487" i="1"/>
  <c r="C3487" i="1"/>
  <c r="D3487" i="1"/>
  <c r="E3487" i="1"/>
  <c r="F3487" i="1"/>
  <c r="G3487" i="1"/>
  <c r="H3487" i="1"/>
  <c r="I3487" i="1"/>
  <c r="J3487" i="1"/>
  <c r="K3487" i="1"/>
  <c r="M3487" i="1"/>
  <c r="O3487" i="1"/>
  <c r="Q3487" i="1"/>
  <c r="R3487" i="1"/>
  <c r="W3487" i="1"/>
  <c r="AA3487" i="1"/>
  <c r="AB3487" i="1"/>
  <c r="AE3487" i="1"/>
  <c r="AF3487" i="1"/>
  <c r="AM3487" i="1"/>
  <c r="AN3487" i="1"/>
  <c r="AO3487" i="1"/>
  <c r="AQ3487" i="1"/>
  <c r="AX3487" i="1"/>
  <c r="BD3487" i="1"/>
  <c r="B3488" i="1"/>
  <c r="C3488" i="1"/>
  <c r="E3488" i="1"/>
  <c r="F3488" i="1"/>
  <c r="G3488" i="1"/>
  <c r="H3488" i="1"/>
  <c r="I3488" i="1"/>
  <c r="J3488" i="1"/>
  <c r="K3488" i="1"/>
  <c r="M3488" i="1"/>
  <c r="O3488" i="1"/>
  <c r="Q3488" i="1"/>
  <c r="R3488" i="1"/>
  <c r="W3488" i="1"/>
  <c r="AA3488" i="1"/>
  <c r="AM3488" i="1"/>
  <c r="AN3488" i="1"/>
  <c r="AO3488" i="1"/>
  <c r="AQ3488" i="1"/>
  <c r="BB3488" i="1"/>
  <c r="BD3488" i="1"/>
  <c r="B3489" i="1"/>
  <c r="C3489" i="1"/>
  <c r="E3489" i="1"/>
  <c r="F3489" i="1"/>
  <c r="G3489" i="1"/>
  <c r="H3489" i="1"/>
  <c r="I3489" i="1"/>
  <c r="J3489" i="1"/>
  <c r="K3489" i="1"/>
  <c r="M3489" i="1"/>
  <c r="O3489" i="1"/>
  <c r="Q3489" i="1"/>
  <c r="R3489" i="1"/>
  <c r="W3489" i="1"/>
  <c r="AA3489" i="1"/>
  <c r="AM3489" i="1"/>
  <c r="AN3489" i="1"/>
  <c r="AO3489" i="1"/>
  <c r="AQ3489" i="1"/>
  <c r="BB3489" i="1"/>
  <c r="BD3489" i="1"/>
  <c r="B3490" i="1"/>
  <c r="C3490" i="1"/>
  <c r="E3490" i="1"/>
  <c r="F3490" i="1"/>
  <c r="G3490" i="1"/>
  <c r="H3490" i="1"/>
  <c r="I3490" i="1"/>
  <c r="J3490" i="1"/>
  <c r="K3490" i="1"/>
  <c r="M3490" i="1"/>
  <c r="O3490" i="1"/>
  <c r="Q3490" i="1"/>
  <c r="R3490" i="1"/>
  <c r="W3490" i="1"/>
  <c r="AA3490" i="1"/>
  <c r="AM3490" i="1"/>
  <c r="AN3490" i="1"/>
  <c r="AO3490" i="1"/>
  <c r="AQ3490" i="1"/>
  <c r="BB3490" i="1"/>
  <c r="BD3490" i="1"/>
  <c r="B3491" i="1"/>
  <c r="C3491" i="1"/>
  <c r="E3491" i="1"/>
  <c r="F3491" i="1"/>
  <c r="G3491" i="1"/>
  <c r="H3491" i="1"/>
  <c r="I3491" i="1"/>
  <c r="J3491" i="1"/>
  <c r="K3491" i="1"/>
  <c r="M3491" i="1"/>
  <c r="O3491" i="1"/>
  <c r="Q3491" i="1"/>
  <c r="R3491" i="1"/>
  <c r="W3491" i="1"/>
  <c r="AA3491" i="1"/>
  <c r="AM3491" i="1"/>
  <c r="AN3491" i="1"/>
  <c r="AO3491" i="1"/>
  <c r="AQ3491" i="1"/>
  <c r="BB3491" i="1"/>
  <c r="BD3491" i="1"/>
  <c r="B3492" i="1"/>
  <c r="C3492" i="1"/>
  <c r="E3492" i="1"/>
  <c r="F3492" i="1"/>
  <c r="G3492" i="1"/>
  <c r="H3492" i="1"/>
  <c r="I3492" i="1"/>
  <c r="J3492" i="1"/>
  <c r="K3492" i="1"/>
  <c r="M3492" i="1"/>
  <c r="O3492" i="1"/>
  <c r="Q3492" i="1"/>
  <c r="R3492" i="1"/>
  <c r="W3492" i="1"/>
  <c r="AA3492" i="1"/>
  <c r="AM3492" i="1"/>
  <c r="AN3492" i="1"/>
  <c r="AO3492" i="1"/>
  <c r="AQ3492" i="1"/>
  <c r="BB3492" i="1"/>
  <c r="BD3492" i="1"/>
  <c r="B3493" i="1"/>
  <c r="C3493" i="1"/>
  <c r="E3493" i="1"/>
  <c r="F3493" i="1"/>
  <c r="G3493" i="1"/>
  <c r="H3493" i="1"/>
  <c r="I3493" i="1"/>
  <c r="J3493" i="1"/>
  <c r="K3493" i="1"/>
  <c r="M3493" i="1"/>
  <c r="O3493" i="1"/>
  <c r="Q3493" i="1"/>
  <c r="R3493" i="1"/>
  <c r="W3493" i="1"/>
  <c r="AA3493" i="1"/>
  <c r="AM3493" i="1"/>
  <c r="AN3493" i="1"/>
  <c r="AO3493" i="1"/>
  <c r="AQ3493" i="1"/>
  <c r="BB3493" i="1"/>
  <c r="BD3493" i="1"/>
  <c r="B3494" i="1"/>
  <c r="C3494" i="1"/>
  <c r="E3494" i="1"/>
  <c r="F3494" i="1"/>
  <c r="G3494" i="1"/>
  <c r="H3494" i="1"/>
  <c r="I3494" i="1"/>
  <c r="J3494" i="1"/>
  <c r="K3494" i="1"/>
  <c r="M3494" i="1"/>
  <c r="O3494" i="1"/>
  <c r="Q3494" i="1"/>
  <c r="R3494" i="1"/>
  <c r="W3494" i="1"/>
  <c r="AA3494" i="1"/>
  <c r="AB3494" i="1"/>
  <c r="AE3494" i="1"/>
  <c r="AF3494" i="1"/>
  <c r="AM3494" i="1"/>
  <c r="AN3494" i="1"/>
  <c r="AO3494" i="1"/>
  <c r="AQ3494" i="1"/>
  <c r="AX3494" i="1"/>
  <c r="BD3494" i="1"/>
  <c r="B3495" i="1"/>
  <c r="C3495" i="1"/>
  <c r="E3495" i="1"/>
  <c r="F3495" i="1"/>
  <c r="G3495" i="1"/>
  <c r="H3495" i="1"/>
  <c r="I3495" i="1"/>
  <c r="J3495" i="1"/>
  <c r="K3495" i="1"/>
  <c r="M3495" i="1"/>
  <c r="O3495" i="1"/>
  <c r="Q3495" i="1"/>
  <c r="R3495" i="1"/>
  <c r="W3495" i="1"/>
  <c r="AA3495" i="1"/>
  <c r="AB3495" i="1"/>
  <c r="AE3495" i="1"/>
  <c r="AF3495" i="1"/>
  <c r="AM3495" i="1"/>
  <c r="AN3495" i="1"/>
  <c r="AO3495" i="1"/>
  <c r="AQ3495" i="1"/>
  <c r="AX3495" i="1"/>
  <c r="BD3495" i="1"/>
  <c r="B3496" i="1"/>
  <c r="C3496" i="1"/>
  <c r="D3496" i="1"/>
  <c r="E3496" i="1"/>
  <c r="F3496" i="1"/>
  <c r="G3496" i="1"/>
  <c r="H3496" i="1"/>
  <c r="I3496" i="1"/>
  <c r="J3496" i="1"/>
  <c r="K3496" i="1"/>
  <c r="M3496" i="1"/>
  <c r="O3496" i="1"/>
  <c r="Q3496" i="1"/>
  <c r="R3496" i="1"/>
  <c r="W3496" i="1"/>
  <c r="AA3496" i="1"/>
  <c r="AB3496" i="1"/>
  <c r="AE3496" i="1"/>
  <c r="AF3496" i="1"/>
  <c r="AM3496" i="1"/>
  <c r="AN3496" i="1"/>
  <c r="AO3496" i="1"/>
  <c r="AQ3496" i="1"/>
  <c r="AX3496" i="1"/>
  <c r="BD3496" i="1"/>
  <c r="B3497" i="1"/>
  <c r="C3497" i="1"/>
  <c r="E3497" i="1"/>
  <c r="F3497" i="1"/>
  <c r="G3497" i="1"/>
  <c r="H3497" i="1"/>
  <c r="I3497" i="1"/>
  <c r="J3497" i="1"/>
  <c r="K3497" i="1"/>
  <c r="M3497" i="1"/>
  <c r="O3497" i="1"/>
  <c r="Q3497" i="1"/>
  <c r="R3497" i="1"/>
  <c r="W3497" i="1"/>
  <c r="AA3497" i="1"/>
  <c r="AM3497" i="1"/>
  <c r="AN3497" i="1"/>
  <c r="AO3497" i="1"/>
  <c r="AQ3497" i="1"/>
  <c r="BB3497" i="1"/>
  <c r="BD3497" i="1"/>
  <c r="B3498" i="1"/>
  <c r="C3498" i="1"/>
  <c r="E3498" i="1"/>
  <c r="F3498" i="1"/>
  <c r="G3498" i="1"/>
  <c r="H3498" i="1"/>
  <c r="I3498" i="1"/>
  <c r="J3498" i="1"/>
  <c r="K3498" i="1"/>
  <c r="M3498" i="1"/>
  <c r="O3498" i="1"/>
  <c r="Q3498" i="1"/>
  <c r="R3498" i="1"/>
  <c r="W3498" i="1"/>
  <c r="AA3498" i="1"/>
  <c r="AM3498" i="1"/>
  <c r="AN3498" i="1"/>
  <c r="AO3498" i="1"/>
  <c r="AQ3498" i="1"/>
  <c r="BB3498" i="1"/>
  <c r="BD3498" i="1"/>
  <c r="B3499" i="1"/>
  <c r="C3499" i="1"/>
  <c r="E3499" i="1"/>
  <c r="F3499" i="1"/>
  <c r="G3499" i="1"/>
  <c r="H3499" i="1"/>
  <c r="I3499" i="1"/>
  <c r="J3499" i="1"/>
  <c r="K3499" i="1"/>
  <c r="M3499" i="1"/>
  <c r="O3499" i="1"/>
  <c r="Q3499" i="1"/>
  <c r="R3499" i="1"/>
  <c r="W3499" i="1"/>
  <c r="AA3499" i="1"/>
  <c r="AM3499" i="1"/>
  <c r="AN3499" i="1"/>
  <c r="AO3499" i="1"/>
  <c r="AQ3499" i="1"/>
  <c r="BB3499" i="1"/>
  <c r="BD3499" i="1"/>
  <c r="B3500" i="1"/>
  <c r="C3500" i="1"/>
  <c r="E3500" i="1"/>
  <c r="F3500" i="1"/>
  <c r="G3500" i="1"/>
  <c r="H3500" i="1"/>
  <c r="I3500" i="1"/>
  <c r="J3500" i="1"/>
  <c r="K3500" i="1"/>
  <c r="M3500" i="1"/>
  <c r="O3500" i="1"/>
  <c r="Q3500" i="1"/>
  <c r="R3500" i="1"/>
  <c r="W3500" i="1"/>
  <c r="AA3500" i="1"/>
  <c r="AM3500" i="1"/>
  <c r="AN3500" i="1"/>
  <c r="AO3500" i="1"/>
  <c r="AQ3500" i="1"/>
  <c r="BB3500" i="1"/>
  <c r="BD3500" i="1"/>
  <c r="B3501" i="1"/>
  <c r="C3501" i="1"/>
  <c r="E3501" i="1"/>
  <c r="F3501" i="1"/>
  <c r="G3501" i="1"/>
  <c r="H3501" i="1"/>
  <c r="I3501" i="1"/>
  <c r="J3501" i="1"/>
  <c r="K3501" i="1"/>
  <c r="M3501" i="1"/>
  <c r="O3501" i="1"/>
  <c r="Q3501" i="1"/>
  <c r="R3501" i="1"/>
  <c r="W3501" i="1"/>
  <c r="AA3501" i="1"/>
  <c r="AM3501" i="1"/>
  <c r="AN3501" i="1"/>
  <c r="AO3501" i="1"/>
  <c r="AQ3501" i="1"/>
  <c r="BB3501" i="1"/>
  <c r="BD3501" i="1"/>
  <c r="B3502" i="1"/>
  <c r="C3502" i="1"/>
  <c r="E3502" i="1"/>
  <c r="F3502" i="1"/>
  <c r="G3502" i="1"/>
  <c r="H3502" i="1"/>
  <c r="I3502" i="1"/>
  <c r="J3502" i="1"/>
  <c r="K3502" i="1"/>
  <c r="M3502" i="1"/>
  <c r="O3502" i="1"/>
  <c r="Q3502" i="1"/>
  <c r="R3502" i="1"/>
  <c r="W3502" i="1"/>
  <c r="AA3502" i="1"/>
  <c r="AM3502" i="1"/>
  <c r="AN3502" i="1"/>
  <c r="AO3502" i="1"/>
  <c r="AQ3502" i="1"/>
  <c r="BB3502" i="1"/>
  <c r="BD3502" i="1"/>
  <c r="B3503" i="1"/>
  <c r="E3503" i="1"/>
  <c r="F3503" i="1"/>
  <c r="G3503" i="1"/>
  <c r="H3503" i="1"/>
  <c r="I3503" i="1"/>
  <c r="J3503" i="1"/>
  <c r="K3503" i="1"/>
  <c r="M3503" i="1"/>
  <c r="O3503" i="1"/>
  <c r="Q3503" i="1"/>
  <c r="R3503" i="1"/>
  <c r="W3503" i="1"/>
  <c r="AA3503" i="1"/>
  <c r="AB3503" i="1"/>
  <c r="AM3503" i="1"/>
  <c r="AN3503" i="1"/>
  <c r="AO3503" i="1"/>
  <c r="AQ3503" i="1"/>
  <c r="AX3503" i="1"/>
  <c r="BD3503" i="1"/>
  <c r="B3504" i="1"/>
  <c r="C3504" i="1"/>
  <c r="D3504" i="1"/>
  <c r="E3504" i="1"/>
  <c r="F3504" i="1"/>
  <c r="G3504" i="1"/>
  <c r="H3504" i="1"/>
  <c r="I3504" i="1"/>
  <c r="J3504" i="1"/>
  <c r="K3504" i="1"/>
  <c r="M3504" i="1"/>
  <c r="O3504" i="1"/>
  <c r="Q3504" i="1"/>
  <c r="R3504" i="1"/>
  <c r="W3504" i="1"/>
  <c r="AA3504" i="1"/>
  <c r="AB3504" i="1"/>
  <c r="AM3504" i="1"/>
  <c r="AN3504" i="1"/>
  <c r="AO3504" i="1"/>
  <c r="AQ3504" i="1"/>
  <c r="AX3504" i="1"/>
  <c r="BD3504" i="1"/>
  <c r="B3505" i="1"/>
  <c r="E3505" i="1"/>
  <c r="F3505" i="1"/>
  <c r="G3505" i="1"/>
  <c r="H3505" i="1"/>
  <c r="I3505" i="1"/>
  <c r="J3505" i="1"/>
  <c r="K3505" i="1"/>
  <c r="M3505" i="1"/>
  <c r="O3505" i="1"/>
  <c r="Q3505" i="1"/>
  <c r="R3505" i="1"/>
  <c r="W3505" i="1"/>
  <c r="AA3505" i="1"/>
  <c r="AB3505" i="1"/>
  <c r="AM3505" i="1"/>
  <c r="AN3505" i="1"/>
  <c r="AO3505" i="1"/>
  <c r="AQ3505" i="1"/>
  <c r="AX3505" i="1"/>
  <c r="BD3505" i="1"/>
  <c r="B3506" i="1"/>
  <c r="E3506" i="1"/>
  <c r="F3506" i="1"/>
  <c r="G3506" i="1"/>
  <c r="H3506" i="1"/>
  <c r="I3506" i="1"/>
  <c r="J3506" i="1"/>
  <c r="K3506" i="1"/>
  <c r="M3506" i="1"/>
  <c r="O3506" i="1"/>
  <c r="Q3506" i="1"/>
  <c r="R3506" i="1"/>
  <c r="W3506" i="1"/>
  <c r="AA3506" i="1"/>
  <c r="AB3506" i="1"/>
  <c r="AM3506" i="1"/>
  <c r="AN3506" i="1"/>
  <c r="AO3506" i="1"/>
  <c r="AQ3506" i="1"/>
  <c r="AX3506" i="1"/>
  <c r="BD3506" i="1"/>
  <c r="B3507" i="1"/>
  <c r="E3507" i="1"/>
  <c r="F3507" i="1"/>
  <c r="G3507" i="1"/>
  <c r="H3507" i="1"/>
  <c r="I3507" i="1"/>
  <c r="J3507" i="1"/>
  <c r="K3507" i="1"/>
  <c r="M3507" i="1"/>
  <c r="O3507" i="1"/>
  <c r="Q3507" i="1"/>
  <c r="R3507" i="1"/>
  <c r="W3507" i="1"/>
  <c r="AA3507" i="1"/>
  <c r="AB3507" i="1"/>
  <c r="AM3507" i="1"/>
  <c r="AN3507" i="1"/>
  <c r="AO3507" i="1"/>
  <c r="AQ3507" i="1"/>
  <c r="AX3507" i="1"/>
  <c r="BD3507" i="1"/>
  <c r="B3508" i="1"/>
  <c r="E3508" i="1"/>
  <c r="F3508" i="1"/>
  <c r="G3508" i="1"/>
  <c r="H3508" i="1"/>
  <c r="I3508" i="1"/>
  <c r="J3508" i="1"/>
  <c r="K3508" i="1"/>
  <c r="M3508" i="1"/>
  <c r="O3508" i="1"/>
  <c r="Q3508" i="1"/>
  <c r="R3508" i="1"/>
  <c r="W3508" i="1"/>
  <c r="AA3508" i="1"/>
  <c r="AB3508" i="1"/>
  <c r="AM3508" i="1"/>
  <c r="AN3508" i="1"/>
  <c r="AO3508" i="1"/>
  <c r="AQ3508" i="1"/>
  <c r="AX3508" i="1"/>
  <c r="BD3508" i="1"/>
  <c r="B3509" i="1"/>
  <c r="E3509" i="1"/>
  <c r="F3509" i="1"/>
  <c r="G3509" i="1"/>
  <c r="H3509" i="1"/>
  <c r="I3509" i="1"/>
  <c r="J3509" i="1"/>
  <c r="K3509" i="1"/>
  <c r="M3509" i="1"/>
  <c r="O3509" i="1"/>
  <c r="Q3509" i="1"/>
  <c r="R3509" i="1"/>
  <c r="W3509" i="1"/>
  <c r="AA3509" i="1"/>
  <c r="AB3509" i="1"/>
  <c r="AM3509" i="1"/>
  <c r="AN3509" i="1"/>
  <c r="AO3509" i="1"/>
  <c r="AQ3509" i="1"/>
  <c r="AX3509" i="1"/>
  <c r="BD3509" i="1"/>
  <c r="B3510" i="1"/>
  <c r="E3510" i="1"/>
  <c r="F3510" i="1"/>
  <c r="G3510" i="1"/>
  <c r="H3510" i="1"/>
  <c r="I3510" i="1"/>
  <c r="J3510" i="1"/>
  <c r="K3510" i="1"/>
  <c r="M3510" i="1"/>
  <c r="O3510" i="1"/>
  <c r="Q3510" i="1"/>
  <c r="R3510" i="1"/>
  <c r="W3510" i="1"/>
  <c r="AA3510" i="1"/>
  <c r="AB3510" i="1"/>
  <c r="AM3510" i="1"/>
  <c r="AN3510" i="1"/>
  <c r="AO3510" i="1"/>
  <c r="AQ3510" i="1"/>
  <c r="AX3510" i="1"/>
  <c r="BD3510" i="1"/>
  <c r="B3511" i="1"/>
  <c r="E3511" i="1"/>
  <c r="F3511" i="1"/>
  <c r="G3511" i="1"/>
  <c r="H3511" i="1"/>
  <c r="I3511" i="1"/>
  <c r="J3511" i="1"/>
  <c r="K3511" i="1"/>
  <c r="M3511" i="1"/>
  <c r="O3511" i="1"/>
  <c r="Q3511" i="1"/>
  <c r="R3511" i="1"/>
  <c r="W3511" i="1"/>
  <c r="AA3511" i="1"/>
  <c r="AB3511" i="1"/>
  <c r="AM3511" i="1"/>
  <c r="AN3511" i="1"/>
  <c r="AO3511" i="1"/>
  <c r="AQ3511" i="1"/>
  <c r="AX3511" i="1"/>
  <c r="BD3511" i="1"/>
  <c r="B3512" i="1"/>
  <c r="E3512" i="1"/>
  <c r="F3512" i="1"/>
  <c r="G3512" i="1"/>
  <c r="H3512" i="1"/>
  <c r="I3512" i="1"/>
  <c r="J3512" i="1"/>
  <c r="K3512" i="1"/>
  <c r="M3512" i="1"/>
  <c r="O3512" i="1"/>
  <c r="Q3512" i="1"/>
  <c r="R3512" i="1"/>
  <c r="W3512" i="1"/>
  <c r="AA3512" i="1"/>
  <c r="AB3512" i="1"/>
  <c r="AM3512" i="1"/>
  <c r="AN3512" i="1"/>
  <c r="AO3512" i="1"/>
  <c r="AQ3512" i="1"/>
  <c r="AX3512" i="1"/>
  <c r="BD3512" i="1"/>
  <c r="B3513" i="1"/>
  <c r="E3513" i="1"/>
  <c r="F3513" i="1"/>
  <c r="G3513" i="1"/>
  <c r="H3513" i="1"/>
  <c r="I3513" i="1"/>
  <c r="J3513" i="1"/>
  <c r="K3513" i="1"/>
  <c r="M3513" i="1"/>
  <c r="O3513" i="1"/>
  <c r="Q3513" i="1"/>
  <c r="R3513" i="1"/>
  <c r="W3513" i="1"/>
  <c r="AA3513" i="1"/>
  <c r="AB3513" i="1"/>
  <c r="AM3513" i="1"/>
  <c r="AN3513" i="1"/>
  <c r="AO3513" i="1"/>
  <c r="AQ3513" i="1"/>
  <c r="AX3513" i="1"/>
  <c r="BD3513" i="1"/>
  <c r="B3514" i="1"/>
  <c r="E3514" i="1"/>
  <c r="F3514" i="1"/>
  <c r="G3514" i="1"/>
  <c r="H3514" i="1"/>
  <c r="I3514" i="1"/>
  <c r="J3514" i="1"/>
  <c r="K3514" i="1"/>
  <c r="M3514" i="1"/>
  <c r="O3514" i="1"/>
  <c r="Q3514" i="1"/>
  <c r="R3514" i="1"/>
  <c r="W3514" i="1"/>
  <c r="AA3514" i="1"/>
  <c r="AB3514" i="1"/>
  <c r="AM3514" i="1"/>
  <c r="AN3514" i="1"/>
  <c r="AO3514" i="1"/>
  <c r="AQ3514" i="1"/>
  <c r="AX3514" i="1"/>
  <c r="BD3514" i="1"/>
  <c r="B3515" i="1"/>
  <c r="E3515" i="1"/>
  <c r="F3515" i="1"/>
  <c r="G3515" i="1"/>
  <c r="H3515" i="1"/>
  <c r="I3515" i="1"/>
  <c r="J3515" i="1"/>
  <c r="K3515" i="1"/>
  <c r="M3515" i="1"/>
  <c r="O3515" i="1"/>
  <c r="Q3515" i="1"/>
  <c r="R3515" i="1"/>
  <c r="W3515" i="1"/>
  <c r="AA3515" i="1"/>
  <c r="AB3515" i="1"/>
  <c r="AM3515" i="1"/>
  <c r="AN3515" i="1"/>
  <c r="AO3515" i="1"/>
  <c r="AQ3515" i="1"/>
  <c r="AX3515" i="1"/>
  <c r="BD3515" i="1"/>
  <c r="B3516" i="1"/>
  <c r="C3516" i="1"/>
  <c r="E3516" i="1"/>
  <c r="F3516" i="1"/>
  <c r="G3516" i="1"/>
  <c r="H3516" i="1"/>
  <c r="I3516" i="1"/>
  <c r="J3516" i="1"/>
  <c r="K3516" i="1"/>
  <c r="M3516" i="1"/>
  <c r="O3516" i="1"/>
  <c r="Q3516" i="1"/>
  <c r="R3516" i="1"/>
  <c r="W3516" i="1"/>
  <c r="AA3516" i="1"/>
  <c r="AB3516" i="1"/>
  <c r="AE3516" i="1"/>
  <c r="AF3516" i="1"/>
  <c r="AM3516" i="1"/>
  <c r="AN3516" i="1"/>
  <c r="AO3516" i="1"/>
  <c r="AQ3516" i="1"/>
  <c r="AX3516" i="1"/>
  <c r="BD3516" i="1"/>
  <c r="B3517" i="1"/>
  <c r="C3517" i="1"/>
  <c r="E3517" i="1"/>
  <c r="F3517" i="1"/>
  <c r="G3517" i="1"/>
  <c r="H3517" i="1"/>
  <c r="I3517" i="1"/>
  <c r="J3517" i="1"/>
  <c r="K3517" i="1"/>
  <c r="M3517" i="1"/>
  <c r="O3517" i="1"/>
  <c r="Q3517" i="1"/>
  <c r="R3517" i="1"/>
  <c r="W3517" i="1"/>
  <c r="AA3517" i="1"/>
  <c r="AB3517" i="1"/>
  <c r="AE3517" i="1"/>
  <c r="AF3517" i="1"/>
  <c r="AM3517" i="1"/>
  <c r="AN3517" i="1"/>
  <c r="AO3517" i="1"/>
  <c r="AQ3517" i="1"/>
  <c r="AX3517" i="1"/>
  <c r="BD3517" i="1"/>
  <c r="B3518" i="1"/>
  <c r="C3518" i="1"/>
  <c r="D3518" i="1"/>
  <c r="E3518" i="1"/>
  <c r="F3518" i="1"/>
  <c r="G3518" i="1"/>
  <c r="H3518" i="1"/>
  <c r="I3518" i="1"/>
  <c r="J3518" i="1"/>
  <c r="K3518" i="1"/>
  <c r="M3518" i="1"/>
  <c r="O3518" i="1"/>
  <c r="Q3518" i="1"/>
  <c r="R3518" i="1"/>
  <c r="W3518" i="1"/>
  <c r="AA3518" i="1"/>
  <c r="AB3518" i="1"/>
  <c r="AE3518" i="1"/>
  <c r="AF3518" i="1"/>
  <c r="AM3518" i="1"/>
  <c r="AN3518" i="1"/>
  <c r="AO3518" i="1"/>
  <c r="AQ3518" i="1"/>
  <c r="AX3518" i="1"/>
  <c r="BD3518" i="1"/>
  <c r="B3519" i="1"/>
  <c r="C3519" i="1"/>
  <c r="D3519" i="1"/>
  <c r="E3519" i="1"/>
  <c r="F3519" i="1"/>
  <c r="G3519" i="1"/>
  <c r="H3519" i="1"/>
  <c r="I3519" i="1"/>
  <c r="J3519" i="1"/>
  <c r="K3519" i="1"/>
  <c r="M3519" i="1"/>
  <c r="O3519" i="1"/>
  <c r="Q3519" i="1"/>
  <c r="R3519" i="1"/>
  <c r="W3519" i="1"/>
  <c r="AA3519" i="1"/>
  <c r="AB3519" i="1"/>
  <c r="AE3519" i="1"/>
  <c r="AF3519" i="1"/>
  <c r="AM3519" i="1"/>
  <c r="AN3519" i="1"/>
  <c r="AO3519" i="1"/>
  <c r="AQ3519" i="1"/>
  <c r="AX3519" i="1"/>
  <c r="BD3519" i="1"/>
  <c r="B3520" i="1"/>
  <c r="C3520" i="1"/>
  <c r="E3520" i="1"/>
  <c r="F3520" i="1"/>
  <c r="G3520" i="1"/>
  <c r="H3520" i="1"/>
  <c r="I3520" i="1"/>
  <c r="J3520" i="1"/>
  <c r="K3520" i="1"/>
  <c r="M3520" i="1"/>
  <c r="O3520" i="1"/>
  <c r="Q3520" i="1"/>
  <c r="R3520" i="1"/>
  <c r="W3520" i="1"/>
  <c r="AA3520" i="1"/>
  <c r="AB3520" i="1"/>
  <c r="AE3520" i="1"/>
  <c r="AF3520" i="1"/>
  <c r="AM3520" i="1"/>
  <c r="AN3520" i="1"/>
  <c r="AO3520" i="1"/>
  <c r="AQ3520" i="1"/>
  <c r="AX3520" i="1"/>
  <c r="BD3520" i="1"/>
  <c r="B3521" i="1"/>
  <c r="C3521" i="1"/>
  <c r="E3521" i="1"/>
  <c r="F3521" i="1"/>
  <c r="G3521" i="1"/>
  <c r="H3521" i="1"/>
  <c r="I3521" i="1"/>
  <c r="J3521" i="1"/>
  <c r="K3521" i="1"/>
  <c r="M3521" i="1"/>
  <c r="O3521" i="1"/>
  <c r="Q3521" i="1"/>
  <c r="R3521" i="1"/>
  <c r="W3521" i="1"/>
  <c r="AA3521" i="1"/>
  <c r="AB3521" i="1"/>
  <c r="AE3521" i="1"/>
  <c r="AF3521" i="1"/>
  <c r="AM3521" i="1"/>
  <c r="AN3521" i="1"/>
  <c r="AO3521" i="1"/>
  <c r="AQ3521" i="1"/>
  <c r="AX3521" i="1"/>
  <c r="BD3521" i="1"/>
  <c r="B3522" i="1"/>
  <c r="C3522" i="1"/>
  <c r="E3522" i="1"/>
  <c r="F3522" i="1"/>
  <c r="G3522" i="1"/>
  <c r="H3522" i="1"/>
  <c r="I3522" i="1"/>
  <c r="J3522" i="1"/>
  <c r="K3522" i="1"/>
  <c r="M3522" i="1"/>
  <c r="O3522" i="1"/>
  <c r="Q3522" i="1"/>
  <c r="R3522" i="1"/>
  <c r="W3522" i="1"/>
  <c r="AA3522" i="1"/>
  <c r="AB3522" i="1"/>
  <c r="AE3522" i="1"/>
  <c r="AF3522" i="1"/>
  <c r="AM3522" i="1"/>
  <c r="AN3522" i="1"/>
  <c r="AO3522" i="1"/>
  <c r="AQ3522" i="1"/>
  <c r="AX3522" i="1"/>
  <c r="BD3522" i="1"/>
  <c r="B3523" i="1"/>
  <c r="C3523" i="1"/>
  <c r="E3523" i="1"/>
  <c r="F3523" i="1"/>
  <c r="G3523" i="1"/>
  <c r="H3523" i="1"/>
  <c r="I3523" i="1"/>
  <c r="J3523" i="1"/>
  <c r="K3523" i="1"/>
  <c r="M3523" i="1"/>
  <c r="O3523" i="1"/>
  <c r="Q3523" i="1"/>
  <c r="R3523" i="1"/>
  <c r="W3523" i="1"/>
  <c r="AA3523" i="1"/>
  <c r="AB3523" i="1"/>
  <c r="AE3523" i="1"/>
  <c r="AF3523" i="1"/>
  <c r="AM3523" i="1"/>
  <c r="AN3523" i="1"/>
  <c r="AO3523" i="1"/>
  <c r="AQ3523" i="1"/>
  <c r="AX3523" i="1"/>
  <c r="BD3523" i="1"/>
  <c r="B3524" i="1"/>
  <c r="C3524" i="1"/>
  <c r="E3524" i="1"/>
  <c r="F3524" i="1"/>
  <c r="G3524" i="1"/>
  <c r="H3524" i="1"/>
  <c r="I3524" i="1"/>
  <c r="J3524" i="1"/>
  <c r="K3524" i="1"/>
  <c r="M3524" i="1"/>
  <c r="O3524" i="1"/>
  <c r="Q3524" i="1"/>
  <c r="R3524" i="1"/>
  <c r="W3524" i="1"/>
  <c r="AA3524" i="1"/>
  <c r="AM3524" i="1"/>
  <c r="AN3524" i="1"/>
  <c r="AO3524" i="1"/>
  <c r="AQ3524" i="1"/>
  <c r="BB3524" i="1"/>
  <c r="BD3524" i="1"/>
  <c r="B3525" i="1"/>
  <c r="C3525" i="1"/>
  <c r="E3525" i="1"/>
  <c r="F3525" i="1"/>
  <c r="G3525" i="1"/>
  <c r="H3525" i="1"/>
  <c r="I3525" i="1"/>
  <c r="J3525" i="1"/>
  <c r="K3525" i="1"/>
  <c r="M3525" i="1"/>
  <c r="O3525" i="1"/>
  <c r="Q3525" i="1"/>
  <c r="R3525" i="1"/>
  <c r="W3525" i="1"/>
  <c r="AA3525" i="1"/>
  <c r="AB3525" i="1"/>
  <c r="AE3525" i="1"/>
  <c r="AF3525" i="1"/>
  <c r="AM3525" i="1"/>
  <c r="AN3525" i="1"/>
  <c r="AO3525" i="1"/>
  <c r="AQ3525" i="1"/>
  <c r="AX3525" i="1"/>
  <c r="BD3525" i="1"/>
  <c r="B3526" i="1"/>
  <c r="C3526" i="1"/>
  <c r="E3526" i="1"/>
  <c r="F3526" i="1"/>
  <c r="G3526" i="1"/>
  <c r="H3526" i="1"/>
  <c r="I3526" i="1"/>
  <c r="J3526" i="1"/>
  <c r="K3526" i="1"/>
  <c r="M3526" i="1"/>
  <c r="O3526" i="1"/>
  <c r="Q3526" i="1"/>
  <c r="R3526" i="1"/>
  <c r="W3526" i="1"/>
  <c r="AA3526" i="1"/>
  <c r="AB3526" i="1"/>
  <c r="AE3526" i="1"/>
  <c r="AF3526" i="1"/>
  <c r="AM3526" i="1"/>
  <c r="AN3526" i="1"/>
  <c r="AO3526" i="1"/>
  <c r="AQ3526" i="1"/>
  <c r="AX3526" i="1"/>
  <c r="BD3526" i="1"/>
  <c r="B3527" i="1"/>
  <c r="C3527" i="1"/>
  <c r="E3527" i="1"/>
  <c r="F3527" i="1"/>
  <c r="G3527" i="1"/>
  <c r="H3527" i="1"/>
  <c r="I3527" i="1"/>
  <c r="J3527" i="1"/>
  <c r="K3527" i="1"/>
  <c r="M3527" i="1"/>
  <c r="O3527" i="1"/>
  <c r="Q3527" i="1"/>
  <c r="R3527" i="1"/>
  <c r="W3527" i="1"/>
  <c r="AA3527" i="1"/>
  <c r="AB3527" i="1"/>
  <c r="AE3527" i="1"/>
  <c r="AF3527" i="1"/>
  <c r="AM3527" i="1"/>
  <c r="AN3527" i="1"/>
  <c r="AO3527" i="1"/>
  <c r="AQ3527" i="1"/>
  <c r="AX3527" i="1"/>
  <c r="BD3527" i="1"/>
  <c r="B3528" i="1"/>
  <c r="C3528" i="1"/>
  <c r="E3528" i="1"/>
  <c r="F3528" i="1"/>
  <c r="G3528" i="1"/>
  <c r="H3528" i="1"/>
  <c r="I3528" i="1"/>
  <c r="J3528" i="1"/>
  <c r="K3528" i="1"/>
  <c r="M3528" i="1"/>
  <c r="O3528" i="1"/>
  <c r="Q3528" i="1"/>
  <c r="R3528" i="1"/>
  <c r="W3528" i="1"/>
  <c r="AA3528" i="1"/>
  <c r="AB3528" i="1"/>
  <c r="AE3528" i="1"/>
  <c r="AF3528" i="1"/>
  <c r="AM3528" i="1"/>
  <c r="AN3528" i="1"/>
  <c r="AO3528" i="1"/>
  <c r="AQ3528" i="1"/>
  <c r="AX3528" i="1"/>
  <c r="BD3528" i="1"/>
  <c r="B3529" i="1"/>
  <c r="C3529" i="1"/>
  <c r="D3529" i="1"/>
  <c r="E3529" i="1"/>
  <c r="F3529" i="1"/>
  <c r="G3529" i="1"/>
  <c r="H3529" i="1"/>
  <c r="I3529" i="1"/>
  <c r="J3529" i="1"/>
  <c r="K3529" i="1"/>
  <c r="M3529" i="1"/>
  <c r="O3529" i="1"/>
  <c r="Q3529" i="1"/>
  <c r="R3529" i="1"/>
  <c r="W3529" i="1"/>
  <c r="AA3529" i="1"/>
  <c r="AB3529" i="1"/>
  <c r="AE3529" i="1"/>
  <c r="AF3529" i="1"/>
  <c r="AM3529" i="1"/>
  <c r="AN3529" i="1"/>
  <c r="AO3529" i="1"/>
  <c r="AQ3529" i="1"/>
  <c r="AX3529" i="1"/>
  <c r="BD3529" i="1"/>
  <c r="B3530" i="1"/>
  <c r="C3530" i="1"/>
  <c r="D3530" i="1"/>
  <c r="E3530" i="1"/>
  <c r="F3530" i="1"/>
  <c r="G3530" i="1"/>
  <c r="H3530" i="1"/>
  <c r="I3530" i="1"/>
  <c r="J3530" i="1"/>
  <c r="K3530" i="1"/>
  <c r="M3530" i="1"/>
  <c r="O3530" i="1"/>
  <c r="Q3530" i="1"/>
  <c r="R3530" i="1"/>
  <c r="W3530" i="1"/>
  <c r="AA3530" i="1"/>
  <c r="AB3530" i="1"/>
  <c r="AE3530" i="1"/>
  <c r="AF3530" i="1"/>
  <c r="AM3530" i="1"/>
  <c r="AN3530" i="1"/>
  <c r="AO3530" i="1"/>
  <c r="AQ3530" i="1"/>
  <c r="AX3530" i="1"/>
  <c r="BD3530" i="1"/>
  <c r="B3531" i="1"/>
  <c r="C3531" i="1"/>
  <c r="D3531" i="1"/>
  <c r="E3531" i="1"/>
  <c r="F3531" i="1"/>
  <c r="G3531" i="1"/>
  <c r="H3531" i="1"/>
  <c r="I3531" i="1"/>
  <c r="J3531" i="1"/>
  <c r="K3531" i="1"/>
  <c r="M3531" i="1"/>
  <c r="O3531" i="1"/>
  <c r="Q3531" i="1"/>
  <c r="R3531" i="1"/>
  <c r="W3531" i="1"/>
  <c r="AA3531" i="1"/>
  <c r="AB3531" i="1"/>
  <c r="AE3531" i="1"/>
  <c r="AF3531" i="1"/>
  <c r="AM3531" i="1"/>
  <c r="AN3531" i="1"/>
  <c r="AO3531" i="1"/>
  <c r="AQ3531" i="1"/>
  <c r="AX3531" i="1"/>
  <c r="BD3531" i="1"/>
  <c r="B3532" i="1"/>
  <c r="C3532" i="1"/>
  <c r="E3532" i="1"/>
  <c r="F3532" i="1"/>
  <c r="G3532" i="1"/>
  <c r="H3532" i="1"/>
  <c r="I3532" i="1"/>
  <c r="J3532" i="1"/>
  <c r="K3532" i="1"/>
  <c r="M3532" i="1"/>
  <c r="O3532" i="1"/>
  <c r="Q3532" i="1"/>
  <c r="R3532" i="1"/>
  <c r="W3532" i="1"/>
  <c r="AA3532" i="1"/>
  <c r="AM3532" i="1"/>
  <c r="AN3532" i="1"/>
  <c r="AO3532" i="1"/>
  <c r="AQ3532" i="1"/>
  <c r="BB3532" i="1"/>
  <c r="BD3532" i="1"/>
  <c r="B3533" i="1"/>
  <c r="C3533" i="1"/>
  <c r="E3533" i="1"/>
  <c r="F3533" i="1"/>
  <c r="G3533" i="1"/>
  <c r="H3533" i="1"/>
  <c r="I3533" i="1"/>
  <c r="J3533" i="1"/>
  <c r="K3533" i="1"/>
  <c r="M3533" i="1"/>
  <c r="O3533" i="1"/>
  <c r="Q3533" i="1"/>
  <c r="R3533" i="1"/>
  <c r="W3533" i="1"/>
  <c r="AA3533" i="1"/>
  <c r="AB3533" i="1"/>
  <c r="AE3533" i="1"/>
  <c r="AF3533" i="1"/>
  <c r="AM3533" i="1"/>
  <c r="AN3533" i="1"/>
  <c r="AO3533" i="1"/>
  <c r="AQ3533" i="1"/>
  <c r="AX3533" i="1"/>
  <c r="BD3533" i="1"/>
  <c r="B3534" i="1"/>
  <c r="C3534" i="1"/>
  <c r="E3534" i="1"/>
  <c r="F3534" i="1"/>
  <c r="G3534" i="1"/>
  <c r="H3534" i="1"/>
  <c r="I3534" i="1"/>
  <c r="J3534" i="1"/>
  <c r="K3534" i="1"/>
  <c r="M3534" i="1"/>
  <c r="O3534" i="1"/>
  <c r="Q3534" i="1"/>
  <c r="R3534" i="1"/>
  <c r="W3534" i="1"/>
  <c r="AA3534" i="1"/>
  <c r="AB3534" i="1"/>
  <c r="AE3534" i="1"/>
  <c r="AF3534" i="1"/>
  <c r="AM3534" i="1"/>
  <c r="AN3534" i="1"/>
  <c r="AO3534" i="1"/>
  <c r="AQ3534" i="1"/>
  <c r="AX3534" i="1"/>
  <c r="BD3534" i="1"/>
  <c r="B3535" i="1"/>
  <c r="C3535" i="1"/>
  <c r="D3535" i="1"/>
  <c r="E3535" i="1"/>
  <c r="F3535" i="1"/>
  <c r="G3535" i="1"/>
  <c r="H3535" i="1"/>
  <c r="I3535" i="1"/>
  <c r="J3535" i="1"/>
  <c r="K3535" i="1"/>
  <c r="M3535" i="1"/>
  <c r="O3535" i="1"/>
  <c r="Q3535" i="1"/>
  <c r="R3535" i="1"/>
  <c r="W3535" i="1"/>
  <c r="AA3535" i="1"/>
  <c r="AB3535" i="1"/>
  <c r="AE3535" i="1"/>
  <c r="AF3535" i="1"/>
  <c r="AM3535" i="1"/>
  <c r="AN3535" i="1"/>
  <c r="AO3535" i="1"/>
  <c r="AQ3535" i="1"/>
  <c r="AX3535" i="1"/>
  <c r="BD3535" i="1"/>
  <c r="B3536" i="1"/>
  <c r="C3536" i="1"/>
  <c r="D3536" i="1"/>
  <c r="E3536" i="1"/>
  <c r="F3536" i="1"/>
  <c r="G3536" i="1"/>
  <c r="H3536" i="1"/>
  <c r="I3536" i="1"/>
  <c r="J3536" i="1"/>
  <c r="K3536" i="1"/>
  <c r="M3536" i="1"/>
  <c r="O3536" i="1"/>
  <c r="Q3536" i="1"/>
  <c r="R3536" i="1"/>
  <c r="W3536" i="1"/>
  <c r="AA3536" i="1"/>
  <c r="AB3536" i="1"/>
  <c r="AE3536" i="1"/>
  <c r="AF3536" i="1"/>
  <c r="AM3536" i="1"/>
  <c r="AN3536" i="1"/>
  <c r="AO3536" i="1"/>
  <c r="AQ3536" i="1"/>
  <c r="AX3536" i="1"/>
  <c r="BD3536" i="1"/>
  <c r="B3537" i="1"/>
  <c r="C3537" i="1"/>
  <c r="D3537" i="1"/>
  <c r="E3537" i="1"/>
  <c r="F3537" i="1"/>
  <c r="G3537" i="1"/>
  <c r="H3537" i="1"/>
  <c r="I3537" i="1"/>
  <c r="J3537" i="1"/>
  <c r="K3537" i="1"/>
  <c r="M3537" i="1"/>
  <c r="O3537" i="1"/>
  <c r="Q3537" i="1"/>
  <c r="R3537" i="1"/>
  <c r="W3537" i="1"/>
  <c r="AA3537" i="1"/>
  <c r="AB3537" i="1"/>
  <c r="AM3537" i="1"/>
  <c r="AN3537" i="1"/>
  <c r="AO3537" i="1"/>
  <c r="AQ3537" i="1"/>
  <c r="AX3537" i="1"/>
  <c r="BD3537" i="1"/>
  <c r="B3538" i="1"/>
  <c r="C3538" i="1"/>
  <c r="E3538" i="1"/>
  <c r="F3538" i="1"/>
  <c r="G3538" i="1"/>
  <c r="H3538" i="1"/>
  <c r="I3538" i="1"/>
  <c r="J3538" i="1"/>
  <c r="K3538" i="1"/>
  <c r="M3538" i="1"/>
  <c r="O3538" i="1"/>
  <c r="Q3538" i="1"/>
  <c r="R3538" i="1"/>
  <c r="W3538" i="1"/>
  <c r="AA3538" i="1"/>
  <c r="AB3538" i="1"/>
  <c r="AE3538" i="1"/>
  <c r="AF3538" i="1"/>
  <c r="AM3538" i="1"/>
  <c r="AN3538" i="1"/>
  <c r="AO3538" i="1"/>
  <c r="AQ3538" i="1"/>
  <c r="AX3538" i="1"/>
  <c r="BD3538" i="1"/>
  <c r="B3539" i="1"/>
  <c r="C3539" i="1"/>
  <c r="E3539" i="1"/>
  <c r="F3539" i="1"/>
  <c r="G3539" i="1"/>
  <c r="H3539" i="1"/>
  <c r="I3539" i="1"/>
  <c r="J3539" i="1"/>
  <c r="K3539" i="1"/>
  <c r="M3539" i="1"/>
  <c r="O3539" i="1"/>
  <c r="Q3539" i="1"/>
  <c r="R3539" i="1"/>
  <c r="W3539" i="1"/>
  <c r="AA3539" i="1"/>
  <c r="AB3539" i="1"/>
  <c r="AE3539" i="1"/>
  <c r="AF3539" i="1"/>
  <c r="AM3539" i="1"/>
  <c r="AN3539" i="1"/>
  <c r="AO3539" i="1"/>
  <c r="AQ3539" i="1"/>
  <c r="AX3539" i="1"/>
  <c r="BD3539" i="1"/>
  <c r="B3540" i="1"/>
  <c r="C3540" i="1"/>
  <c r="E3540" i="1"/>
  <c r="F3540" i="1"/>
  <c r="G3540" i="1"/>
  <c r="H3540" i="1"/>
  <c r="I3540" i="1"/>
  <c r="J3540" i="1"/>
  <c r="K3540" i="1"/>
  <c r="M3540" i="1"/>
  <c r="O3540" i="1"/>
  <c r="Q3540" i="1"/>
  <c r="R3540" i="1"/>
  <c r="W3540" i="1"/>
  <c r="AA3540" i="1"/>
  <c r="AB3540" i="1"/>
  <c r="AE3540" i="1"/>
  <c r="AF3540" i="1"/>
  <c r="AM3540" i="1"/>
  <c r="AN3540" i="1"/>
  <c r="AO3540" i="1"/>
  <c r="AQ3540" i="1"/>
  <c r="AX3540" i="1"/>
  <c r="BD3540" i="1"/>
  <c r="B3541" i="1"/>
  <c r="C3541" i="1"/>
  <c r="E3541" i="1"/>
  <c r="F3541" i="1"/>
  <c r="G3541" i="1"/>
  <c r="H3541" i="1"/>
  <c r="I3541" i="1"/>
  <c r="J3541" i="1"/>
  <c r="K3541" i="1"/>
  <c r="M3541" i="1"/>
  <c r="O3541" i="1"/>
  <c r="Q3541" i="1"/>
  <c r="R3541" i="1"/>
  <c r="W3541" i="1"/>
  <c r="AA3541" i="1"/>
  <c r="AB3541" i="1"/>
  <c r="AE3541" i="1"/>
  <c r="AF3541" i="1"/>
  <c r="AM3541" i="1"/>
  <c r="AN3541" i="1"/>
  <c r="AO3541" i="1"/>
  <c r="AQ3541" i="1"/>
  <c r="AX3541" i="1"/>
  <c r="BD3541" i="1"/>
  <c r="B3542" i="1"/>
  <c r="C3542" i="1"/>
  <c r="E3542" i="1"/>
  <c r="F3542" i="1"/>
  <c r="G3542" i="1"/>
  <c r="H3542" i="1"/>
  <c r="I3542" i="1"/>
  <c r="J3542" i="1"/>
  <c r="K3542" i="1"/>
  <c r="M3542" i="1"/>
  <c r="O3542" i="1"/>
  <c r="Q3542" i="1"/>
  <c r="R3542" i="1"/>
  <c r="W3542" i="1"/>
  <c r="AA3542" i="1"/>
  <c r="AB3542" i="1"/>
  <c r="AE3542" i="1"/>
  <c r="AF3542" i="1"/>
  <c r="AM3542" i="1"/>
  <c r="AN3542" i="1"/>
  <c r="AO3542" i="1"/>
  <c r="AQ3542" i="1"/>
  <c r="AX3542" i="1"/>
  <c r="BD3542" i="1"/>
  <c r="B3543" i="1"/>
  <c r="C3543" i="1"/>
  <c r="D3543" i="1"/>
  <c r="E3543" i="1"/>
  <c r="F3543" i="1"/>
  <c r="G3543" i="1"/>
  <c r="H3543" i="1"/>
  <c r="I3543" i="1"/>
  <c r="J3543" i="1"/>
  <c r="K3543" i="1"/>
  <c r="M3543" i="1"/>
  <c r="O3543" i="1"/>
  <c r="Q3543" i="1"/>
  <c r="R3543" i="1"/>
  <c r="W3543" i="1"/>
  <c r="AA3543" i="1"/>
  <c r="AB3543" i="1"/>
  <c r="AE3543" i="1"/>
  <c r="AF3543" i="1"/>
  <c r="AM3543" i="1"/>
  <c r="AN3543" i="1"/>
  <c r="AO3543" i="1"/>
  <c r="AQ3543" i="1"/>
  <c r="AX3543" i="1"/>
  <c r="BD3543" i="1"/>
  <c r="B3544" i="1"/>
  <c r="C3544" i="1"/>
  <c r="E3544" i="1"/>
  <c r="F3544" i="1"/>
  <c r="G3544" i="1"/>
  <c r="H3544" i="1"/>
  <c r="I3544" i="1"/>
  <c r="J3544" i="1"/>
  <c r="K3544" i="1"/>
  <c r="M3544" i="1"/>
  <c r="O3544" i="1"/>
  <c r="Q3544" i="1"/>
  <c r="R3544" i="1"/>
  <c r="W3544" i="1"/>
  <c r="AA3544" i="1"/>
  <c r="AB3544" i="1"/>
  <c r="AE3544" i="1"/>
  <c r="AF3544" i="1"/>
  <c r="AM3544" i="1"/>
  <c r="AN3544" i="1"/>
  <c r="AO3544" i="1"/>
  <c r="AQ3544" i="1"/>
  <c r="AX3544" i="1"/>
  <c r="BD3544" i="1"/>
  <c r="B3545" i="1"/>
  <c r="C3545" i="1"/>
  <c r="E3545" i="1"/>
  <c r="F3545" i="1"/>
  <c r="G3545" i="1"/>
  <c r="H3545" i="1"/>
  <c r="I3545" i="1"/>
  <c r="J3545" i="1"/>
  <c r="K3545" i="1"/>
  <c r="M3545" i="1"/>
  <c r="O3545" i="1"/>
  <c r="Q3545" i="1"/>
  <c r="R3545" i="1"/>
  <c r="W3545" i="1"/>
  <c r="AA3545" i="1"/>
  <c r="AB3545" i="1"/>
  <c r="AE3545" i="1"/>
  <c r="AF3545" i="1"/>
  <c r="AM3545" i="1"/>
  <c r="AN3545" i="1"/>
  <c r="AO3545" i="1"/>
  <c r="AQ3545" i="1"/>
  <c r="AX3545" i="1"/>
  <c r="BD3545" i="1"/>
  <c r="B3546" i="1"/>
  <c r="C3546" i="1"/>
  <c r="E3546" i="1"/>
  <c r="F3546" i="1"/>
  <c r="G3546" i="1"/>
  <c r="H3546" i="1"/>
  <c r="I3546" i="1"/>
  <c r="J3546" i="1"/>
  <c r="K3546" i="1"/>
  <c r="M3546" i="1"/>
  <c r="O3546" i="1"/>
  <c r="Q3546" i="1"/>
  <c r="R3546" i="1"/>
  <c r="W3546" i="1"/>
  <c r="AA3546" i="1"/>
  <c r="AB3546" i="1"/>
  <c r="AE3546" i="1"/>
  <c r="AF3546" i="1"/>
  <c r="AM3546" i="1"/>
  <c r="AN3546" i="1"/>
  <c r="AO3546" i="1"/>
  <c r="AQ3546" i="1"/>
  <c r="AX3546" i="1"/>
  <c r="BD3546" i="1"/>
  <c r="B3547" i="1"/>
  <c r="C3547" i="1"/>
  <c r="E3547" i="1"/>
  <c r="F3547" i="1"/>
  <c r="G3547" i="1"/>
  <c r="H3547" i="1"/>
  <c r="I3547" i="1"/>
  <c r="J3547" i="1"/>
  <c r="K3547" i="1"/>
  <c r="M3547" i="1"/>
  <c r="O3547" i="1"/>
  <c r="Q3547" i="1"/>
  <c r="R3547" i="1"/>
  <c r="W3547" i="1"/>
  <c r="AA3547" i="1"/>
  <c r="AB3547" i="1"/>
  <c r="AE3547" i="1"/>
  <c r="AF3547" i="1"/>
  <c r="AM3547" i="1"/>
  <c r="AN3547" i="1"/>
  <c r="AO3547" i="1"/>
  <c r="AQ3547" i="1"/>
  <c r="AX3547" i="1"/>
  <c r="BD3547" i="1"/>
  <c r="B3548" i="1"/>
  <c r="C3548" i="1"/>
  <c r="D3548" i="1"/>
  <c r="E3548" i="1"/>
  <c r="F3548" i="1"/>
  <c r="G3548" i="1"/>
  <c r="H3548" i="1"/>
  <c r="I3548" i="1"/>
  <c r="J3548" i="1"/>
  <c r="K3548" i="1"/>
  <c r="M3548" i="1"/>
  <c r="O3548" i="1"/>
  <c r="Q3548" i="1"/>
  <c r="R3548" i="1"/>
  <c r="W3548" i="1"/>
  <c r="AA3548" i="1"/>
  <c r="AB3548" i="1"/>
  <c r="AE3548" i="1"/>
  <c r="AF3548" i="1"/>
  <c r="AM3548" i="1"/>
  <c r="AN3548" i="1"/>
  <c r="AO3548" i="1"/>
  <c r="AQ3548" i="1"/>
  <c r="AX3548" i="1"/>
  <c r="BD3548" i="1"/>
  <c r="B3549" i="1"/>
  <c r="C3549" i="1"/>
  <c r="D3549" i="1"/>
  <c r="E3549" i="1"/>
  <c r="F3549" i="1"/>
  <c r="G3549" i="1"/>
  <c r="H3549" i="1"/>
  <c r="I3549" i="1"/>
  <c r="J3549" i="1"/>
  <c r="K3549" i="1"/>
  <c r="M3549" i="1"/>
  <c r="O3549" i="1"/>
  <c r="Q3549" i="1"/>
  <c r="R3549" i="1"/>
  <c r="W3549" i="1"/>
  <c r="AA3549" i="1"/>
  <c r="AB3549" i="1"/>
  <c r="AE3549" i="1"/>
  <c r="AF3549" i="1"/>
  <c r="AM3549" i="1"/>
  <c r="AN3549" i="1"/>
  <c r="AO3549" i="1"/>
  <c r="AQ3549" i="1"/>
  <c r="AX3549" i="1"/>
  <c r="BD3549" i="1"/>
  <c r="B3550" i="1"/>
  <c r="C3550" i="1"/>
  <c r="E3550" i="1"/>
  <c r="F3550" i="1"/>
  <c r="G3550" i="1"/>
  <c r="H3550" i="1"/>
  <c r="I3550" i="1"/>
  <c r="J3550" i="1"/>
  <c r="K3550" i="1"/>
  <c r="M3550" i="1"/>
  <c r="O3550" i="1"/>
  <c r="Q3550" i="1"/>
  <c r="R3550" i="1"/>
  <c r="W3550" i="1"/>
  <c r="AA3550" i="1"/>
  <c r="AB3550" i="1"/>
  <c r="AE3550" i="1"/>
  <c r="AF3550" i="1"/>
  <c r="AM3550" i="1"/>
  <c r="AN3550" i="1"/>
  <c r="AO3550" i="1"/>
  <c r="AQ3550" i="1"/>
  <c r="AX3550" i="1"/>
  <c r="BD3550" i="1"/>
  <c r="B3551" i="1"/>
  <c r="E3551" i="1"/>
  <c r="F3551" i="1"/>
  <c r="G3551" i="1"/>
  <c r="H3551" i="1"/>
  <c r="I3551" i="1"/>
  <c r="J3551" i="1"/>
  <c r="K3551" i="1"/>
  <c r="M3551" i="1"/>
  <c r="O3551" i="1"/>
  <c r="Q3551" i="1"/>
  <c r="R3551" i="1"/>
  <c r="W3551" i="1"/>
  <c r="AA3551" i="1"/>
  <c r="AB3551" i="1"/>
  <c r="AM3551" i="1"/>
  <c r="AN3551" i="1"/>
  <c r="AO3551" i="1"/>
  <c r="AQ3551" i="1"/>
  <c r="AX3551" i="1"/>
  <c r="BD3551" i="1"/>
  <c r="B3552" i="1"/>
  <c r="C3552" i="1"/>
  <c r="D3552" i="1"/>
  <c r="E3552" i="1"/>
  <c r="F3552" i="1"/>
  <c r="G3552" i="1"/>
  <c r="H3552" i="1"/>
  <c r="I3552" i="1"/>
  <c r="J3552" i="1"/>
  <c r="K3552" i="1"/>
  <c r="M3552" i="1"/>
  <c r="O3552" i="1"/>
  <c r="Q3552" i="1"/>
  <c r="R3552" i="1"/>
  <c r="W3552" i="1"/>
  <c r="AA3552" i="1"/>
  <c r="AB3552" i="1"/>
  <c r="AM3552" i="1"/>
  <c r="AN3552" i="1"/>
  <c r="AO3552" i="1"/>
  <c r="AQ3552" i="1"/>
  <c r="AX3552" i="1"/>
  <c r="BD3552" i="1"/>
  <c r="B3553" i="1"/>
  <c r="C3553" i="1"/>
  <c r="D3553" i="1"/>
  <c r="E3553" i="1"/>
  <c r="F3553" i="1"/>
  <c r="G3553" i="1"/>
  <c r="H3553" i="1"/>
  <c r="I3553" i="1"/>
  <c r="J3553" i="1"/>
  <c r="K3553" i="1"/>
  <c r="M3553" i="1"/>
  <c r="O3553" i="1"/>
  <c r="Q3553" i="1"/>
  <c r="R3553" i="1"/>
  <c r="W3553" i="1"/>
  <c r="AA3553" i="1"/>
  <c r="AB3553" i="1"/>
  <c r="AE3553" i="1"/>
  <c r="AF3553" i="1"/>
  <c r="AM3553" i="1"/>
  <c r="AN3553" i="1"/>
  <c r="AO3553" i="1"/>
  <c r="AQ3553" i="1"/>
  <c r="AX3553" i="1"/>
  <c r="BD3553" i="1"/>
  <c r="B3554" i="1"/>
  <c r="C3554" i="1"/>
  <c r="E3554" i="1"/>
  <c r="F3554" i="1"/>
  <c r="G3554" i="1"/>
  <c r="H3554" i="1"/>
  <c r="I3554" i="1"/>
  <c r="J3554" i="1"/>
  <c r="K3554" i="1"/>
  <c r="M3554" i="1"/>
  <c r="O3554" i="1"/>
  <c r="Q3554" i="1"/>
  <c r="R3554" i="1"/>
  <c r="W3554" i="1"/>
  <c r="AA3554" i="1"/>
  <c r="AB3554" i="1"/>
  <c r="AE3554" i="1"/>
  <c r="AF3554" i="1"/>
  <c r="AM3554" i="1"/>
  <c r="AN3554" i="1"/>
  <c r="AO3554" i="1"/>
  <c r="AQ3554" i="1"/>
  <c r="AX3554" i="1"/>
  <c r="BD3554" i="1"/>
  <c r="B3555" i="1"/>
  <c r="C3555" i="1"/>
  <c r="D3555" i="1"/>
  <c r="E3555" i="1"/>
  <c r="F3555" i="1"/>
  <c r="G3555" i="1"/>
  <c r="H3555" i="1"/>
  <c r="I3555" i="1"/>
  <c r="J3555" i="1"/>
  <c r="K3555" i="1"/>
  <c r="M3555" i="1"/>
  <c r="O3555" i="1"/>
  <c r="Q3555" i="1"/>
  <c r="R3555" i="1"/>
  <c r="W3555" i="1"/>
  <c r="AA3555" i="1"/>
  <c r="AB3555" i="1"/>
  <c r="AE3555" i="1"/>
  <c r="AF3555" i="1"/>
  <c r="AM3555" i="1"/>
  <c r="AN3555" i="1"/>
  <c r="AO3555" i="1"/>
  <c r="AQ3555" i="1"/>
  <c r="AX3555" i="1"/>
  <c r="BD3555" i="1"/>
  <c r="B3556" i="1"/>
  <c r="C3556" i="1"/>
  <c r="D3556" i="1"/>
  <c r="E3556" i="1"/>
  <c r="F3556" i="1"/>
  <c r="G3556" i="1"/>
  <c r="H3556" i="1"/>
  <c r="I3556" i="1"/>
  <c r="J3556" i="1"/>
  <c r="K3556" i="1"/>
  <c r="M3556" i="1"/>
  <c r="O3556" i="1"/>
  <c r="Q3556" i="1"/>
  <c r="R3556" i="1"/>
  <c r="W3556" i="1"/>
  <c r="AA3556" i="1"/>
  <c r="AB3556" i="1"/>
  <c r="AE3556" i="1"/>
  <c r="AF3556" i="1"/>
  <c r="AM3556" i="1"/>
  <c r="AN3556" i="1"/>
  <c r="AO3556" i="1"/>
  <c r="AQ3556" i="1"/>
  <c r="AX3556" i="1"/>
  <c r="BD3556" i="1"/>
  <c r="B3557" i="1"/>
  <c r="C3557" i="1"/>
  <c r="E3557" i="1"/>
  <c r="F3557" i="1"/>
  <c r="G3557" i="1"/>
  <c r="H3557" i="1"/>
  <c r="I3557" i="1"/>
  <c r="J3557" i="1"/>
  <c r="K3557" i="1"/>
  <c r="M3557" i="1"/>
  <c r="O3557" i="1"/>
  <c r="Q3557" i="1"/>
  <c r="R3557" i="1"/>
  <c r="W3557" i="1"/>
  <c r="AA3557" i="1"/>
  <c r="AB3557" i="1"/>
  <c r="AE3557" i="1"/>
  <c r="AF3557" i="1"/>
  <c r="AM3557" i="1"/>
  <c r="AN3557" i="1"/>
  <c r="AO3557" i="1"/>
  <c r="AQ3557" i="1"/>
  <c r="AX3557" i="1"/>
  <c r="BD3557" i="1"/>
  <c r="B3558" i="1"/>
  <c r="E3558" i="1"/>
  <c r="F3558" i="1"/>
  <c r="G3558" i="1"/>
  <c r="H3558" i="1"/>
  <c r="I3558" i="1"/>
  <c r="J3558" i="1"/>
  <c r="K3558" i="1"/>
  <c r="M3558" i="1"/>
  <c r="O3558" i="1"/>
  <c r="Q3558" i="1"/>
  <c r="R3558" i="1"/>
  <c r="W3558" i="1"/>
  <c r="AA3558" i="1"/>
  <c r="AB3558" i="1"/>
  <c r="AM3558" i="1"/>
  <c r="AN3558" i="1"/>
  <c r="AO3558" i="1"/>
  <c r="AQ3558" i="1"/>
  <c r="AX3558" i="1"/>
  <c r="BD3558" i="1"/>
  <c r="B3559" i="1"/>
  <c r="C3559" i="1"/>
  <c r="E3559" i="1"/>
  <c r="F3559" i="1"/>
  <c r="G3559" i="1"/>
  <c r="H3559" i="1"/>
  <c r="I3559" i="1"/>
  <c r="J3559" i="1"/>
  <c r="K3559" i="1"/>
  <c r="M3559" i="1"/>
  <c r="O3559" i="1"/>
  <c r="Q3559" i="1"/>
  <c r="R3559" i="1"/>
  <c r="W3559" i="1"/>
  <c r="AA3559" i="1"/>
  <c r="AM3559" i="1"/>
  <c r="AN3559" i="1"/>
  <c r="AO3559" i="1"/>
  <c r="AQ3559" i="1"/>
  <c r="BB3559" i="1"/>
  <c r="BD3559" i="1"/>
  <c r="B3560" i="1"/>
  <c r="C3560" i="1"/>
  <c r="E3560" i="1"/>
  <c r="F3560" i="1"/>
  <c r="G3560" i="1"/>
  <c r="H3560" i="1"/>
  <c r="I3560" i="1"/>
  <c r="J3560" i="1"/>
  <c r="K3560" i="1"/>
  <c r="M3560" i="1"/>
  <c r="O3560" i="1"/>
  <c r="Q3560" i="1"/>
  <c r="R3560" i="1"/>
  <c r="W3560" i="1"/>
  <c r="AA3560" i="1"/>
  <c r="AM3560" i="1"/>
  <c r="AN3560" i="1"/>
  <c r="AO3560" i="1"/>
  <c r="AQ3560" i="1"/>
  <c r="BB3560" i="1"/>
  <c r="BD3560" i="1"/>
  <c r="B3561" i="1"/>
  <c r="C3561" i="1"/>
  <c r="E3561" i="1"/>
  <c r="F3561" i="1"/>
  <c r="G3561" i="1"/>
  <c r="H3561" i="1"/>
  <c r="I3561" i="1"/>
  <c r="J3561" i="1"/>
  <c r="K3561" i="1"/>
  <c r="M3561" i="1"/>
  <c r="O3561" i="1"/>
  <c r="Q3561" i="1"/>
  <c r="R3561" i="1"/>
  <c r="W3561" i="1"/>
  <c r="AA3561" i="1"/>
  <c r="AB3561" i="1"/>
  <c r="AE3561" i="1"/>
  <c r="AF3561" i="1"/>
  <c r="AM3561" i="1"/>
  <c r="AN3561" i="1"/>
  <c r="AO3561" i="1"/>
  <c r="AQ3561" i="1"/>
  <c r="AX3561" i="1"/>
  <c r="BD3561" i="1"/>
  <c r="B3562" i="1"/>
  <c r="C3562" i="1"/>
  <c r="E3562" i="1"/>
  <c r="F3562" i="1"/>
  <c r="G3562" i="1"/>
  <c r="H3562" i="1"/>
  <c r="I3562" i="1"/>
  <c r="J3562" i="1"/>
  <c r="K3562" i="1"/>
  <c r="M3562" i="1"/>
  <c r="O3562" i="1"/>
  <c r="Q3562" i="1"/>
  <c r="R3562" i="1"/>
  <c r="W3562" i="1"/>
  <c r="AA3562" i="1"/>
  <c r="AB3562" i="1"/>
  <c r="AE3562" i="1"/>
  <c r="AF3562" i="1"/>
  <c r="AM3562" i="1"/>
  <c r="AN3562" i="1"/>
  <c r="AO3562" i="1"/>
  <c r="AQ3562" i="1"/>
  <c r="AX3562" i="1"/>
  <c r="BD3562" i="1"/>
  <c r="B3563" i="1"/>
  <c r="C3563" i="1"/>
  <c r="E3563" i="1"/>
  <c r="F3563" i="1"/>
  <c r="G3563" i="1"/>
  <c r="H3563" i="1"/>
  <c r="I3563" i="1"/>
  <c r="J3563" i="1"/>
  <c r="K3563" i="1"/>
  <c r="M3563" i="1"/>
  <c r="O3563" i="1"/>
  <c r="Q3563" i="1"/>
  <c r="R3563" i="1"/>
  <c r="W3563" i="1"/>
  <c r="AA3563" i="1"/>
  <c r="AB3563" i="1"/>
  <c r="AE3563" i="1"/>
  <c r="AF3563" i="1"/>
  <c r="AM3563" i="1"/>
  <c r="AN3563" i="1"/>
  <c r="AO3563" i="1"/>
  <c r="AQ3563" i="1"/>
  <c r="AX3563" i="1"/>
  <c r="BD3563" i="1"/>
  <c r="B3564" i="1"/>
  <c r="C3564" i="1"/>
  <c r="E3564" i="1"/>
  <c r="F3564" i="1"/>
  <c r="G3564" i="1"/>
  <c r="H3564" i="1"/>
  <c r="I3564" i="1"/>
  <c r="J3564" i="1"/>
  <c r="K3564" i="1"/>
  <c r="M3564" i="1"/>
  <c r="O3564" i="1"/>
  <c r="Q3564" i="1"/>
  <c r="R3564" i="1"/>
  <c r="W3564" i="1"/>
  <c r="AA3564" i="1"/>
  <c r="AM3564" i="1"/>
  <c r="AN3564" i="1"/>
  <c r="AO3564" i="1"/>
  <c r="AQ3564" i="1"/>
  <c r="BB3564" i="1"/>
  <c r="BD3564" i="1"/>
  <c r="B3565" i="1"/>
  <c r="C3565" i="1"/>
  <c r="E3565" i="1"/>
  <c r="F3565" i="1"/>
  <c r="G3565" i="1"/>
  <c r="H3565" i="1"/>
  <c r="I3565" i="1"/>
  <c r="J3565" i="1"/>
  <c r="K3565" i="1"/>
  <c r="M3565" i="1"/>
  <c r="O3565" i="1"/>
  <c r="Q3565" i="1"/>
  <c r="R3565" i="1"/>
  <c r="W3565" i="1"/>
  <c r="AA3565" i="1"/>
  <c r="AM3565" i="1"/>
  <c r="AN3565" i="1"/>
  <c r="AO3565" i="1"/>
  <c r="AQ3565" i="1"/>
  <c r="BB3565" i="1"/>
  <c r="BD3565" i="1"/>
  <c r="B3566" i="1"/>
  <c r="C3566" i="1"/>
  <c r="E3566" i="1"/>
  <c r="F3566" i="1"/>
  <c r="G3566" i="1"/>
  <c r="H3566" i="1"/>
  <c r="I3566" i="1"/>
  <c r="J3566" i="1"/>
  <c r="K3566" i="1"/>
  <c r="M3566" i="1"/>
  <c r="O3566" i="1"/>
  <c r="Q3566" i="1"/>
  <c r="R3566" i="1"/>
  <c r="W3566" i="1"/>
  <c r="AA3566" i="1"/>
  <c r="AM3566" i="1"/>
  <c r="AN3566" i="1"/>
  <c r="AO3566" i="1"/>
  <c r="AQ3566" i="1"/>
  <c r="BB3566" i="1"/>
  <c r="BD3566" i="1"/>
  <c r="B3567" i="1"/>
  <c r="C3567" i="1"/>
  <c r="E3567" i="1"/>
  <c r="F3567" i="1"/>
  <c r="G3567" i="1"/>
  <c r="H3567" i="1"/>
  <c r="I3567" i="1"/>
  <c r="J3567" i="1"/>
  <c r="K3567" i="1"/>
  <c r="M3567" i="1"/>
  <c r="O3567" i="1"/>
  <c r="Q3567" i="1"/>
  <c r="R3567" i="1"/>
  <c r="W3567" i="1"/>
  <c r="AA3567" i="1"/>
  <c r="AB3567" i="1"/>
  <c r="AE3567" i="1"/>
  <c r="AF3567" i="1"/>
  <c r="AM3567" i="1"/>
  <c r="AN3567" i="1"/>
  <c r="AO3567" i="1"/>
  <c r="AQ3567" i="1"/>
  <c r="AX3567" i="1"/>
  <c r="BD3567" i="1"/>
  <c r="B3568" i="1"/>
  <c r="C3568" i="1"/>
  <c r="E3568" i="1"/>
  <c r="F3568" i="1"/>
  <c r="G3568" i="1"/>
  <c r="H3568" i="1"/>
  <c r="I3568" i="1"/>
  <c r="J3568" i="1"/>
  <c r="K3568" i="1"/>
  <c r="M3568" i="1"/>
  <c r="O3568" i="1"/>
  <c r="Q3568" i="1"/>
  <c r="R3568" i="1"/>
  <c r="W3568" i="1"/>
  <c r="AA3568" i="1"/>
  <c r="AB3568" i="1"/>
  <c r="AE3568" i="1"/>
  <c r="AF3568" i="1"/>
  <c r="AM3568" i="1"/>
  <c r="AN3568" i="1"/>
  <c r="AO3568" i="1"/>
  <c r="AQ3568" i="1"/>
  <c r="AX3568" i="1"/>
  <c r="BD3568" i="1"/>
  <c r="B3569" i="1"/>
  <c r="C3569" i="1"/>
  <c r="E3569" i="1"/>
  <c r="F3569" i="1"/>
  <c r="G3569" i="1"/>
  <c r="H3569" i="1"/>
  <c r="I3569" i="1"/>
  <c r="J3569" i="1"/>
  <c r="K3569" i="1"/>
  <c r="M3569" i="1"/>
  <c r="O3569" i="1"/>
  <c r="Q3569" i="1"/>
  <c r="R3569" i="1"/>
  <c r="W3569" i="1"/>
  <c r="AA3569" i="1"/>
  <c r="AB3569" i="1"/>
  <c r="AE3569" i="1"/>
  <c r="AF3569" i="1"/>
  <c r="AM3569" i="1"/>
  <c r="AN3569" i="1"/>
  <c r="AO3569" i="1"/>
  <c r="AQ3569" i="1"/>
  <c r="AX3569" i="1"/>
  <c r="BD3569" i="1"/>
  <c r="B3570" i="1"/>
  <c r="C3570" i="1"/>
  <c r="D3570" i="1"/>
  <c r="E3570" i="1"/>
  <c r="F3570" i="1"/>
  <c r="G3570" i="1"/>
  <c r="H3570" i="1"/>
  <c r="I3570" i="1"/>
  <c r="J3570" i="1"/>
  <c r="K3570" i="1"/>
  <c r="M3570" i="1"/>
  <c r="O3570" i="1"/>
  <c r="Q3570" i="1"/>
  <c r="R3570" i="1"/>
  <c r="W3570" i="1"/>
  <c r="AA3570" i="1"/>
  <c r="AB3570" i="1"/>
  <c r="AE3570" i="1"/>
  <c r="AF3570" i="1"/>
  <c r="AM3570" i="1"/>
  <c r="AN3570" i="1"/>
  <c r="AO3570" i="1"/>
  <c r="AQ3570" i="1"/>
  <c r="AX3570" i="1"/>
  <c r="BD3570" i="1"/>
  <c r="B3571" i="1"/>
  <c r="C3571" i="1"/>
  <c r="E3571" i="1"/>
  <c r="F3571" i="1"/>
  <c r="G3571" i="1"/>
  <c r="H3571" i="1"/>
  <c r="I3571" i="1"/>
  <c r="J3571" i="1"/>
  <c r="K3571" i="1"/>
  <c r="M3571" i="1"/>
  <c r="O3571" i="1"/>
  <c r="Q3571" i="1"/>
  <c r="R3571" i="1"/>
  <c r="W3571" i="1"/>
  <c r="AA3571" i="1"/>
  <c r="AB3571" i="1"/>
  <c r="AE3571" i="1"/>
  <c r="AF3571" i="1"/>
  <c r="AM3571" i="1"/>
  <c r="AN3571" i="1"/>
  <c r="AO3571" i="1"/>
  <c r="AQ3571" i="1"/>
  <c r="AX3571" i="1"/>
  <c r="BD3571" i="1"/>
  <c r="B3572" i="1"/>
  <c r="C3572" i="1"/>
  <c r="D3572" i="1"/>
  <c r="E3572" i="1"/>
  <c r="F3572" i="1"/>
  <c r="G3572" i="1"/>
  <c r="H3572" i="1"/>
  <c r="I3572" i="1"/>
  <c r="J3572" i="1"/>
  <c r="K3572" i="1"/>
  <c r="M3572" i="1"/>
  <c r="O3572" i="1"/>
  <c r="Q3572" i="1"/>
  <c r="R3572" i="1"/>
  <c r="W3572" i="1"/>
  <c r="AA3572" i="1"/>
  <c r="AB3572" i="1"/>
  <c r="AE3572" i="1"/>
  <c r="AF3572" i="1"/>
  <c r="AM3572" i="1"/>
  <c r="AN3572" i="1"/>
  <c r="AO3572" i="1"/>
  <c r="AQ3572" i="1"/>
  <c r="AX3572" i="1"/>
  <c r="BD3572" i="1"/>
  <c r="B3573" i="1"/>
  <c r="C3573" i="1"/>
  <c r="E3573" i="1"/>
  <c r="F3573" i="1"/>
  <c r="G3573" i="1"/>
  <c r="H3573" i="1"/>
  <c r="I3573" i="1"/>
  <c r="J3573" i="1"/>
  <c r="K3573" i="1"/>
  <c r="M3573" i="1"/>
  <c r="O3573" i="1"/>
  <c r="Q3573" i="1"/>
  <c r="R3573" i="1"/>
  <c r="W3573" i="1"/>
  <c r="AA3573" i="1"/>
  <c r="AB3573" i="1"/>
  <c r="AE3573" i="1"/>
  <c r="AF3573" i="1"/>
  <c r="AM3573" i="1"/>
  <c r="AN3573" i="1"/>
  <c r="AO3573" i="1"/>
  <c r="AQ3573" i="1"/>
  <c r="AX3573" i="1"/>
  <c r="BD3573" i="1"/>
  <c r="B3574" i="1"/>
  <c r="C3574" i="1"/>
  <c r="E3574" i="1"/>
  <c r="F3574" i="1"/>
  <c r="G3574" i="1"/>
  <c r="H3574" i="1"/>
  <c r="I3574" i="1"/>
  <c r="J3574" i="1"/>
  <c r="K3574" i="1"/>
  <c r="M3574" i="1"/>
  <c r="O3574" i="1"/>
  <c r="Q3574" i="1"/>
  <c r="R3574" i="1"/>
  <c r="W3574" i="1"/>
  <c r="AA3574" i="1"/>
  <c r="AB3574" i="1"/>
  <c r="AE3574" i="1"/>
  <c r="AF3574" i="1"/>
  <c r="AM3574" i="1"/>
  <c r="AN3574" i="1"/>
  <c r="AO3574" i="1"/>
  <c r="AQ3574" i="1"/>
  <c r="AX3574" i="1"/>
  <c r="BD3574" i="1"/>
  <c r="B3575" i="1"/>
  <c r="C3575" i="1"/>
  <c r="D3575" i="1"/>
  <c r="E3575" i="1"/>
  <c r="F3575" i="1"/>
  <c r="G3575" i="1"/>
  <c r="H3575" i="1"/>
  <c r="I3575" i="1"/>
  <c r="J3575" i="1"/>
  <c r="K3575" i="1"/>
  <c r="M3575" i="1"/>
  <c r="O3575" i="1"/>
  <c r="Q3575" i="1"/>
  <c r="R3575" i="1"/>
  <c r="W3575" i="1"/>
  <c r="AA3575" i="1"/>
  <c r="AB3575" i="1"/>
  <c r="AE3575" i="1"/>
  <c r="AF3575" i="1"/>
  <c r="AM3575" i="1"/>
  <c r="AN3575" i="1"/>
  <c r="AO3575" i="1"/>
  <c r="AQ3575" i="1"/>
  <c r="AX3575" i="1"/>
  <c r="BD3575" i="1"/>
  <c r="B3576" i="1"/>
  <c r="C3576" i="1"/>
  <c r="E3576" i="1"/>
  <c r="F3576" i="1"/>
  <c r="G3576" i="1"/>
  <c r="H3576" i="1"/>
  <c r="I3576" i="1"/>
  <c r="J3576" i="1"/>
  <c r="K3576" i="1"/>
  <c r="M3576" i="1"/>
  <c r="O3576" i="1"/>
  <c r="Q3576" i="1"/>
  <c r="R3576" i="1"/>
  <c r="W3576" i="1"/>
  <c r="AA3576" i="1"/>
  <c r="AB3576" i="1"/>
  <c r="AE3576" i="1"/>
  <c r="AF3576" i="1"/>
  <c r="AM3576" i="1"/>
  <c r="AN3576" i="1"/>
  <c r="AO3576" i="1"/>
  <c r="AQ3576" i="1"/>
  <c r="AX3576" i="1"/>
  <c r="BD3576" i="1"/>
  <c r="B3577" i="1"/>
  <c r="C3577" i="1"/>
  <c r="E3577" i="1"/>
  <c r="F3577" i="1"/>
  <c r="G3577" i="1"/>
  <c r="H3577" i="1"/>
  <c r="I3577" i="1"/>
  <c r="J3577" i="1"/>
  <c r="K3577" i="1"/>
  <c r="M3577" i="1"/>
  <c r="O3577" i="1"/>
  <c r="Q3577" i="1"/>
  <c r="R3577" i="1"/>
  <c r="W3577" i="1"/>
  <c r="AA3577" i="1"/>
  <c r="AB3577" i="1"/>
  <c r="AE3577" i="1"/>
  <c r="AF3577" i="1"/>
  <c r="AM3577" i="1"/>
  <c r="AN3577" i="1"/>
  <c r="AO3577" i="1"/>
  <c r="AQ3577" i="1"/>
  <c r="AX3577" i="1"/>
  <c r="BD3577" i="1"/>
  <c r="B3578" i="1"/>
  <c r="C3578" i="1"/>
  <c r="E3578" i="1"/>
  <c r="F3578" i="1"/>
  <c r="G3578" i="1"/>
  <c r="H3578" i="1"/>
  <c r="I3578" i="1"/>
  <c r="J3578" i="1"/>
  <c r="K3578" i="1"/>
  <c r="M3578" i="1"/>
  <c r="O3578" i="1"/>
  <c r="Q3578" i="1"/>
  <c r="R3578" i="1"/>
  <c r="W3578" i="1"/>
  <c r="AA3578" i="1"/>
  <c r="AM3578" i="1"/>
  <c r="AN3578" i="1"/>
  <c r="AO3578" i="1"/>
  <c r="AQ3578" i="1"/>
  <c r="BB3578" i="1"/>
  <c r="BD3578" i="1"/>
  <c r="B3579" i="1"/>
  <c r="C3579" i="1"/>
  <c r="E3579" i="1"/>
  <c r="F3579" i="1"/>
  <c r="G3579" i="1"/>
  <c r="H3579" i="1"/>
  <c r="I3579" i="1"/>
  <c r="J3579" i="1"/>
  <c r="K3579" i="1"/>
  <c r="M3579" i="1"/>
  <c r="O3579" i="1"/>
  <c r="Q3579" i="1"/>
  <c r="R3579" i="1"/>
  <c r="W3579" i="1"/>
  <c r="AA3579" i="1"/>
  <c r="AM3579" i="1"/>
  <c r="AN3579" i="1"/>
  <c r="AO3579" i="1"/>
  <c r="AQ3579" i="1"/>
  <c r="BB3579" i="1"/>
  <c r="BD3579" i="1"/>
  <c r="B3580" i="1"/>
  <c r="C3580" i="1"/>
  <c r="E3580" i="1"/>
  <c r="F3580" i="1"/>
  <c r="G3580" i="1"/>
  <c r="H3580" i="1"/>
  <c r="I3580" i="1"/>
  <c r="J3580" i="1"/>
  <c r="K3580" i="1"/>
  <c r="M3580" i="1"/>
  <c r="O3580" i="1"/>
  <c r="Q3580" i="1"/>
  <c r="R3580" i="1"/>
  <c r="W3580" i="1"/>
  <c r="AA3580" i="1"/>
  <c r="AM3580" i="1"/>
  <c r="AN3580" i="1"/>
  <c r="AO3580" i="1"/>
  <c r="AQ3580" i="1"/>
  <c r="BB3580" i="1"/>
  <c r="BD3580" i="1"/>
  <c r="B3581" i="1"/>
  <c r="C3581" i="1"/>
  <c r="D3581" i="1"/>
  <c r="E3581" i="1"/>
  <c r="F3581" i="1"/>
  <c r="G3581" i="1"/>
  <c r="H3581" i="1"/>
  <c r="I3581" i="1"/>
  <c r="J3581" i="1"/>
  <c r="K3581" i="1"/>
  <c r="M3581" i="1"/>
  <c r="O3581" i="1"/>
  <c r="Q3581" i="1"/>
  <c r="R3581" i="1"/>
  <c r="W3581" i="1"/>
  <c r="AA3581" i="1"/>
  <c r="AB3581" i="1"/>
  <c r="AE3581" i="1"/>
  <c r="AF3581" i="1"/>
  <c r="AM3581" i="1"/>
  <c r="AN3581" i="1"/>
  <c r="AO3581" i="1"/>
  <c r="AQ3581" i="1"/>
  <c r="AX3581" i="1"/>
  <c r="BD3581" i="1"/>
  <c r="B3582" i="1"/>
  <c r="C3582" i="1"/>
  <c r="E3582" i="1"/>
  <c r="F3582" i="1"/>
  <c r="G3582" i="1"/>
  <c r="H3582" i="1"/>
  <c r="I3582" i="1"/>
  <c r="J3582" i="1"/>
  <c r="K3582" i="1"/>
  <c r="M3582" i="1"/>
  <c r="O3582" i="1"/>
  <c r="Q3582" i="1"/>
  <c r="R3582" i="1"/>
  <c r="W3582" i="1"/>
  <c r="AA3582" i="1"/>
  <c r="AB3582" i="1"/>
  <c r="AE3582" i="1"/>
  <c r="AF3582" i="1"/>
  <c r="AM3582" i="1"/>
  <c r="AN3582" i="1"/>
  <c r="AO3582" i="1"/>
  <c r="AQ3582" i="1"/>
  <c r="AX3582" i="1"/>
  <c r="BD3582" i="1"/>
  <c r="B3583" i="1"/>
  <c r="C3583" i="1"/>
  <c r="E3583" i="1"/>
  <c r="F3583" i="1"/>
  <c r="G3583" i="1"/>
  <c r="H3583" i="1"/>
  <c r="I3583" i="1"/>
  <c r="J3583" i="1"/>
  <c r="K3583" i="1"/>
  <c r="M3583" i="1"/>
  <c r="O3583" i="1"/>
  <c r="Q3583" i="1"/>
  <c r="R3583" i="1"/>
  <c r="W3583" i="1"/>
  <c r="AA3583" i="1"/>
  <c r="AB3583" i="1"/>
  <c r="AE3583" i="1"/>
  <c r="AF3583" i="1"/>
  <c r="AM3583" i="1"/>
  <c r="AN3583" i="1"/>
  <c r="AO3583" i="1"/>
  <c r="AQ3583" i="1"/>
  <c r="AX3583" i="1"/>
  <c r="BD3583" i="1"/>
  <c r="B3584" i="1"/>
  <c r="C3584" i="1"/>
  <c r="E3584" i="1"/>
  <c r="F3584" i="1"/>
  <c r="G3584" i="1"/>
  <c r="H3584" i="1"/>
  <c r="I3584" i="1"/>
  <c r="J3584" i="1"/>
  <c r="K3584" i="1"/>
  <c r="M3584" i="1"/>
  <c r="O3584" i="1"/>
  <c r="Q3584" i="1"/>
  <c r="R3584" i="1"/>
  <c r="W3584" i="1"/>
  <c r="AA3584" i="1"/>
  <c r="AB3584" i="1"/>
  <c r="AE3584" i="1"/>
  <c r="AF3584" i="1"/>
  <c r="AM3584" i="1"/>
  <c r="AN3584" i="1"/>
  <c r="AO3584" i="1"/>
  <c r="AQ3584" i="1"/>
  <c r="AX3584" i="1"/>
  <c r="BD3584" i="1"/>
  <c r="B3585" i="1"/>
  <c r="E3585" i="1"/>
  <c r="F3585" i="1"/>
  <c r="G3585" i="1"/>
  <c r="H3585" i="1"/>
  <c r="I3585" i="1"/>
  <c r="J3585" i="1"/>
  <c r="K3585" i="1"/>
  <c r="M3585" i="1"/>
  <c r="O3585" i="1"/>
  <c r="Q3585" i="1"/>
  <c r="R3585" i="1"/>
  <c r="W3585" i="1"/>
  <c r="AA3585" i="1"/>
  <c r="AB3585" i="1"/>
  <c r="AM3585" i="1"/>
  <c r="AN3585" i="1"/>
  <c r="AO3585" i="1"/>
  <c r="AQ3585" i="1"/>
  <c r="AX3585" i="1"/>
  <c r="BD3585" i="1"/>
  <c r="B3586" i="1"/>
  <c r="E3586" i="1"/>
  <c r="F3586" i="1"/>
  <c r="G3586" i="1"/>
  <c r="H3586" i="1"/>
  <c r="I3586" i="1"/>
  <c r="J3586" i="1"/>
  <c r="K3586" i="1"/>
  <c r="M3586" i="1"/>
  <c r="O3586" i="1"/>
  <c r="Q3586" i="1"/>
  <c r="R3586" i="1"/>
  <c r="W3586" i="1"/>
  <c r="AA3586" i="1"/>
  <c r="AM3586" i="1"/>
  <c r="AN3586" i="1"/>
  <c r="AO3586" i="1"/>
  <c r="AQ3586" i="1"/>
  <c r="BB3586" i="1"/>
  <c r="BD3586" i="1"/>
  <c r="B3587" i="1"/>
  <c r="C3587" i="1"/>
  <c r="D3587" i="1"/>
  <c r="E3587" i="1"/>
  <c r="F3587" i="1"/>
  <c r="G3587" i="1"/>
  <c r="H3587" i="1"/>
  <c r="I3587" i="1"/>
  <c r="J3587" i="1"/>
  <c r="K3587" i="1"/>
  <c r="M3587" i="1"/>
  <c r="O3587" i="1"/>
  <c r="Q3587" i="1"/>
  <c r="R3587" i="1"/>
  <c r="W3587" i="1"/>
  <c r="AA3587" i="1"/>
  <c r="AB3587" i="1"/>
  <c r="AM3587" i="1"/>
  <c r="AN3587" i="1"/>
  <c r="AO3587" i="1"/>
  <c r="AQ3587" i="1"/>
  <c r="AX3587" i="1"/>
  <c r="BD3587" i="1"/>
  <c r="B3588" i="1"/>
  <c r="E3588" i="1"/>
  <c r="F3588" i="1"/>
  <c r="G3588" i="1"/>
  <c r="H3588" i="1"/>
  <c r="I3588" i="1"/>
  <c r="J3588" i="1"/>
  <c r="K3588" i="1"/>
  <c r="M3588" i="1"/>
  <c r="O3588" i="1"/>
  <c r="Q3588" i="1"/>
  <c r="R3588" i="1"/>
  <c r="W3588" i="1"/>
  <c r="AA3588" i="1"/>
  <c r="AB3588" i="1"/>
  <c r="AM3588" i="1"/>
  <c r="AN3588" i="1"/>
  <c r="AO3588" i="1"/>
  <c r="AQ3588" i="1"/>
  <c r="AX3588" i="1"/>
  <c r="BD3588" i="1"/>
  <c r="B3589" i="1"/>
  <c r="E3589" i="1"/>
  <c r="F3589" i="1"/>
  <c r="G3589" i="1"/>
  <c r="H3589" i="1"/>
  <c r="I3589" i="1"/>
  <c r="J3589" i="1"/>
  <c r="K3589" i="1"/>
  <c r="M3589" i="1"/>
  <c r="O3589" i="1"/>
  <c r="Q3589" i="1"/>
  <c r="R3589" i="1"/>
  <c r="W3589" i="1"/>
  <c r="AA3589" i="1"/>
  <c r="AM3589" i="1"/>
  <c r="AN3589" i="1"/>
  <c r="AO3589" i="1"/>
  <c r="AQ3589" i="1"/>
  <c r="BB3589" i="1"/>
  <c r="BD3589" i="1"/>
  <c r="B3590" i="1"/>
  <c r="C3590" i="1"/>
  <c r="D3590" i="1"/>
  <c r="E3590" i="1"/>
  <c r="F3590" i="1"/>
  <c r="G3590" i="1"/>
  <c r="H3590" i="1"/>
  <c r="I3590" i="1"/>
  <c r="J3590" i="1"/>
  <c r="K3590" i="1"/>
  <c r="M3590" i="1"/>
  <c r="O3590" i="1"/>
  <c r="Q3590" i="1"/>
  <c r="R3590" i="1"/>
  <c r="W3590" i="1"/>
  <c r="AA3590" i="1"/>
  <c r="AB3590" i="1"/>
  <c r="AE3590" i="1"/>
  <c r="AF3590" i="1"/>
  <c r="AM3590" i="1"/>
  <c r="AN3590" i="1"/>
  <c r="AO3590" i="1"/>
  <c r="AQ3590" i="1"/>
  <c r="AX3590" i="1"/>
  <c r="BD3590" i="1"/>
  <c r="B3591" i="1"/>
  <c r="C3591" i="1"/>
  <c r="E3591" i="1"/>
  <c r="F3591" i="1"/>
  <c r="G3591" i="1"/>
  <c r="H3591" i="1"/>
  <c r="I3591" i="1"/>
  <c r="J3591" i="1"/>
  <c r="K3591" i="1"/>
  <c r="M3591" i="1"/>
  <c r="O3591" i="1"/>
  <c r="Q3591" i="1"/>
  <c r="R3591" i="1"/>
  <c r="W3591" i="1"/>
  <c r="AA3591" i="1"/>
  <c r="AB3591" i="1"/>
  <c r="AE3591" i="1"/>
  <c r="AF3591" i="1"/>
  <c r="AM3591" i="1"/>
  <c r="AN3591" i="1"/>
  <c r="AO3591" i="1"/>
  <c r="AQ3591" i="1"/>
  <c r="AX3591" i="1"/>
  <c r="BD3591" i="1"/>
  <c r="B3592" i="1"/>
  <c r="C3592" i="1"/>
  <c r="E3592" i="1"/>
  <c r="F3592" i="1"/>
  <c r="G3592" i="1"/>
  <c r="H3592" i="1"/>
  <c r="I3592" i="1"/>
  <c r="J3592" i="1"/>
  <c r="K3592" i="1"/>
  <c r="M3592" i="1"/>
  <c r="O3592" i="1"/>
  <c r="Q3592" i="1"/>
  <c r="R3592" i="1"/>
  <c r="W3592" i="1"/>
  <c r="AA3592" i="1"/>
  <c r="AB3592" i="1"/>
  <c r="AE3592" i="1"/>
  <c r="AF3592" i="1"/>
  <c r="AM3592" i="1"/>
  <c r="AN3592" i="1"/>
  <c r="AO3592" i="1"/>
  <c r="AQ3592" i="1"/>
  <c r="AX3592" i="1"/>
  <c r="BD3592" i="1"/>
  <c r="B3593" i="1"/>
  <c r="C3593" i="1"/>
  <c r="E3593" i="1"/>
  <c r="F3593" i="1"/>
  <c r="G3593" i="1"/>
  <c r="H3593" i="1"/>
  <c r="I3593" i="1"/>
  <c r="J3593" i="1"/>
  <c r="K3593" i="1"/>
  <c r="M3593" i="1"/>
  <c r="O3593" i="1"/>
  <c r="Q3593" i="1"/>
  <c r="R3593" i="1"/>
  <c r="W3593" i="1"/>
  <c r="AA3593" i="1"/>
  <c r="AB3593" i="1"/>
  <c r="AE3593" i="1"/>
  <c r="AF3593" i="1"/>
  <c r="AM3593" i="1"/>
  <c r="AN3593" i="1"/>
  <c r="AO3593" i="1"/>
  <c r="AQ3593" i="1"/>
  <c r="AX3593" i="1"/>
  <c r="BD3593" i="1"/>
  <c r="B3594" i="1"/>
  <c r="C3594" i="1"/>
  <c r="D3594" i="1"/>
  <c r="E3594" i="1"/>
  <c r="F3594" i="1"/>
  <c r="G3594" i="1"/>
  <c r="H3594" i="1"/>
  <c r="I3594" i="1"/>
  <c r="J3594" i="1"/>
  <c r="K3594" i="1"/>
  <c r="M3594" i="1"/>
  <c r="O3594" i="1"/>
  <c r="Q3594" i="1"/>
  <c r="R3594" i="1"/>
  <c r="W3594" i="1"/>
  <c r="AA3594" i="1"/>
  <c r="AB3594" i="1"/>
  <c r="AE3594" i="1"/>
  <c r="AF3594" i="1"/>
  <c r="AM3594" i="1"/>
  <c r="AN3594" i="1"/>
  <c r="AO3594" i="1"/>
  <c r="AQ3594" i="1"/>
  <c r="AX3594" i="1"/>
  <c r="BD3594" i="1"/>
  <c r="B3595" i="1"/>
  <c r="C3595" i="1"/>
  <c r="D3595" i="1"/>
  <c r="E3595" i="1"/>
  <c r="F3595" i="1"/>
  <c r="G3595" i="1"/>
  <c r="H3595" i="1"/>
  <c r="I3595" i="1"/>
  <c r="J3595" i="1"/>
  <c r="K3595" i="1"/>
  <c r="M3595" i="1"/>
  <c r="O3595" i="1"/>
  <c r="Q3595" i="1"/>
  <c r="R3595" i="1"/>
  <c r="W3595" i="1"/>
  <c r="AA3595" i="1"/>
  <c r="AB3595" i="1"/>
  <c r="AE3595" i="1"/>
  <c r="AF3595" i="1"/>
  <c r="AM3595" i="1"/>
  <c r="AN3595" i="1"/>
  <c r="AO3595" i="1"/>
  <c r="AQ3595" i="1"/>
  <c r="AX3595" i="1"/>
  <c r="BD3595" i="1"/>
  <c r="B3596" i="1"/>
  <c r="C3596" i="1"/>
  <c r="D3596" i="1"/>
  <c r="E3596" i="1"/>
  <c r="F3596" i="1"/>
  <c r="G3596" i="1"/>
  <c r="H3596" i="1"/>
  <c r="I3596" i="1"/>
  <c r="J3596" i="1"/>
  <c r="K3596" i="1"/>
  <c r="M3596" i="1"/>
  <c r="O3596" i="1"/>
  <c r="Q3596" i="1"/>
  <c r="R3596" i="1"/>
  <c r="W3596" i="1"/>
  <c r="AA3596" i="1"/>
  <c r="AB3596" i="1"/>
  <c r="AE3596" i="1"/>
  <c r="AF3596" i="1"/>
  <c r="AM3596" i="1"/>
  <c r="AN3596" i="1"/>
  <c r="AO3596" i="1"/>
  <c r="AQ3596" i="1"/>
  <c r="AX3596" i="1"/>
  <c r="BD3596" i="1"/>
  <c r="B3597" i="1"/>
  <c r="C3597" i="1"/>
  <c r="D3597" i="1"/>
  <c r="E3597" i="1"/>
  <c r="F3597" i="1"/>
  <c r="G3597" i="1"/>
  <c r="H3597" i="1"/>
  <c r="I3597" i="1"/>
  <c r="J3597" i="1"/>
  <c r="K3597" i="1"/>
  <c r="M3597" i="1"/>
  <c r="O3597" i="1"/>
  <c r="Q3597" i="1"/>
  <c r="R3597" i="1"/>
  <c r="W3597" i="1"/>
  <c r="AA3597" i="1"/>
  <c r="AB3597" i="1"/>
  <c r="AE3597" i="1"/>
  <c r="AF3597" i="1"/>
  <c r="AM3597" i="1"/>
  <c r="AN3597" i="1"/>
  <c r="AO3597" i="1"/>
  <c r="AQ3597" i="1"/>
  <c r="AX3597" i="1"/>
  <c r="BD3597" i="1"/>
  <c r="B3598" i="1"/>
  <c r="C3598" i="1"/>
  <c r="D3598" i="1"/>
  <c r="E3598" i="1"/>
  <c r="F3598" i="1"/>
  <c r="G3598" i="1"/>
  <c r="H3598" i="1"/>
  <c r="I3598" i="1"/>
  <c r="J3598" i="1"/>
  <c r="K3598" i="1"/>
  <c r="M3598" i="1"/>
  <c r="O3598" i="1"/>
  <c r="Q3598" i="1"/>
  <c r="R3598" i="1"/>
  <c r="W3598" i="1"/>
  <c r="AA3598" i="1"/>
  <c r="AB3598" i="1"/>
  <c r="AE3598" i="1"/>
  <c r="AF3598" i="1"/>
  <c r="AM3598" i="1"/>
  <c r="AN3598" i="1"/>
  <c r="AO3598" i="1"/>
  <c r="AQ3598" i="1"/>
  <c r="AX3598" i="1"/>
  <c r="BD3598" i="1"/>
  <c r="B3599" i="1"/>
  <c r="C3599" i="1"/>
  <c r="D3599" i="1"/>
  <c r="E3599" i="1"/>
  <c r="F3599" i="1"/>
  <c r="G3599" i="1"/>
  <c r="H3599" i="1"/>
  <c r="I3599" i="1"/>
  <c r="J3599" i="1"/>
  <c r="K3599" i="1"/>
  <c r="M3599" i="1"/>
  <c r="O3599" i="1"/>
  <c r="Q3599" i="1"/>
  <c r="R3599" i="1"/>
  <c r="W3599" i="1"/>
  <c r="AA3599" i="1"/>
  <c r="AB3599" i="1"/>
  <c r="AE3599" i="1"/>
  <c r="AF3599" i="1"/>
  <c r="AM3599" i="1"/>
  <c r="AN3599" i="1"/>
  <c r="AO3599" i="1"/>
  <c r="AQ3599" i="1"/>
  <c r="AX3599" i="1"/>
  <c r="BD3599" i="1"/>
  <c r="B3600" i="1"/>
  <c r="C3600" i="1"/>
  <c r="D3600" i="1"/>
  <c r="E3600" i="1"/>
  <c r="F3600" i="1"/>
  <c r="G3600" i="1"/>
  <c r="H3600" i="1"/>
  <c r="I3600" i="1"/>
  <c r="J3600" i="1"/>
  <c r="K3600" i="1"/>
  <c r="M3600" i="1"/>
  <c r="O3600" i="1"/>
  <c r="Q3600" i="1"/>
  <c r="R3600" i="1"/>
  <c r="W3600" i="1"/>
  <c r="AA3600" i="1"/>
  <c r="AB3600" i="1"/>
  <c r="AE3600" i="1"/>
  <c r="AF3600" i="1"/>
  <c r="AM3600" i="1"/>
  <c r="AN3600" i="1"/>
  <c r="AO3600" i="1"/>
  <c r="AQ3600" i="1"/>
  <c r="AX3600" i="1"/>
  <c r="BD3600" i="1"/>
  <c r="B3601" i="1"/>
  <c r="C3601" i="1"/>
  <c r="D3601" i="1"/>
  <c r="E3601" i="1"/>
  <c r="F3601" i="1"/>
  <c r="G3601" i="1"/>
  <c r="H3601" i="1"/>
  <c r="I3601" i="1"/>
  <c r="J3601" i="1"/>
  <c r="K3601" i="1"/>
  <c r="M3601" i="1"/>
  <c r="O3601" i="1"/>
  <c r="Q3601" i="1"/>
  <c r="R3601" i="1"/>
  <c r="W3601" i="1"/>
  <c r="AA3601" i="1"/>
  <c r="AB3601" i="1"/>
  <c r="AE3601" i="1"/>
  <c r="AF3601" i="1"/>
  <c r="AM3601" i="1"/>
  <c r="AN3601" i="1"/>
  <c r="AO3601" i="1"/>
  <c r="AQ3601" i="1"/>
  <c r="AX3601" i="1"/>
  <c r="BD3601" i="1"/>
  <c r="B3602" i="1"/>
  <c r="C3602" i="1"/>
  <c r="E3602" i="1"/>
  <c r="F3602" i="1"/>
  <c r="G3602" i="1"/>
  <c r="H3602" i="1"/>
  <c r="I3602" i="1"/>
  <c r="J3602" i="1"/>
  <c r="K3602" i="1"/>
  <c r="M3602" i="1"/>
  <c r="O3602" i="1"/>
  <c r="Q3602" i="1"/>
  <c r="R3602" i="1"/>
  <c r="W3602" i="1"/>
  <c r="AA3602" i="1"/>
  <c r="AB3602" i="1"/>
  <c r="AE3602" i="1"/>
  <c r="AF3602" i="1"/>
  <c r="AM3602" i="1"/>
  <c r="AN3602" i="1"/>
  <c r="AO3602" i="1"/>
  <c r="AQ3602" i="1"/>
  <c r="AX3602" i="1"/>
  <c r="BD3602" i="1"/>
  <c r="B3603" i="1"/>
  <c r="C3603" i="1"/>
  <c r="D3603" i="1"/>
  <c r="E3603" i="1"/>
  <c r="F3603" i="1"/>
  <c r="G3603" i="1"/>
  <c r="H3603" i="1"/>
  <c r="I3603" i="1"/>
  <c r="J3603" i="1"/>
  <c r="K3603" i="1"/>
  <c r="M3603" i="1"/>
  <c r="O3603" i="1"/>
  <c r="Q3603" i="1"/>
  <c r="R3603" i="1"/>
  <c r="W3603" i="1"/>
  <c r="AA3603" i="1"/>
  <c r="AB3603" i="1"/>
  <c r="AE3603" i="1"/>
  <c r="AF3603" i="1"/>
  <c r="AM3603" i="1"/>
  <c r="AN3603" i="1"/>
  <c r="AO3603" i="1"/>
  <c r="AQ3603" i="1"/>
  <c r="AX3603" i="1"/>
  <c r="BD3603" i="1"/>
  <c r="B3604" i="1"/>
  <c r="C3604" i="1"/>
  <c r="E3604" i="1"/>
  <c r="F3604" i="1"/>
  <c r="G3604" i="1"/>
  <c r="H3604" i="1"/>
  <c r="I3604" i="1"/>
  <c r="J3604" i="1"/>
  <c r="K3604" i="1"/>
  <c r="M3604" i="1"/>
  <c r="O3604" i="1"/>
  <c r="Q3604" i="1"/>
  <c r="R3604" i="1"/>
  <c r="W3604" i="1"/>
  <c r="AA3604" i="1"/>
  <c r="AB3604" i="1"/>
  <c r="AE3604" i="1"/>
  <c r="AF3604" i="1"/>
  <c r="AM3604" i="1"/>
  <c r="AN3604" i="1"/>
  <c r="AO3604" i="1"/>
  <c r="AQ3604" i="1"/>
  <c r="AX3604" i="1"/>
  <c r="BD3604" i="1"/>
  <c r="B3605" i="1"/>
  <c r="C3605" i="1"/>
  <c r="D3605" i="1"/>
  <c r="E3605" i="1"/>
  <c r="F3605" i="1"/>
  <c r="G3605" i="1"/>
  <c r="H3605" i="1"/>
  <c r="I3605" i="1"/>
  <c r="J3605" i="1"/>
  <c r="K3605" i="1"/>
  <c r="M3605" i="1"/>
  <c r="O3605" i="1"/>
  <c r="Q3605" i="1"/>
  <c r="R3605" i="1"/>
  <c r="W3605" i="1"/>
  <c r="AA3605" i="1"/>
  <c r="AB3605" i="1"/>
  <c r="AE3605" i="1"/>
  <c r="AF3605" i="1"/>
  <c r="AM3605" i="1"/>
  <c r="AN3605" i="1"/>
  <c r="AO3605" i="1"/>
  <c r="AQ3605" i="1"/>
  <c r="AX3605" i="1"/>
  <c r="BD3605" i="1"/>
  <c r="B3606" i="1"/>
  <c r="C3606" i="1"/>
  <c r="D3606" i="1"/>
  <c r="E3606" i="1"/>
  <c r="F3606" i="1"/>
  <c r="G3606" i="1"/>
  <c r="H3606" i="1"/>
  <c r="I3606" i="1"/>
  <c r="J3606" i="1"/>
  <c r="K3606" i="1"/>
  <c r="M3606" i="1"/>
  <c r="O3606" i="1"/>
  <c r="Q3606" i="1"/>
  <c r="R3606" i="1"/>
  <c r="W3606" i="1"/>
  <c r="AA3606" i="1"/>
  <c r="AB3606" i="1"/>
  <c r="AE3606" i="1"/>
  <c r="AF3606" i="1"/>
  <c r="AM3606" i="1"/>
  <c r="AN3606" i="1"/>
  <c r="AO3606" i="1"/>
  <c r="AQ3606" i="1"/>
  <c r="AX3606" i="1"/>
  <c r="BD3606" i="1"/>
  <c r="B3607" i="1"/>
  <c r="C3607" i="1"/>
  <c r="D3607" i="1"/>
  <c r="E3607" i="1"/>
  <c r="F3607" i="1"/>
  <c r="G3607" i="1"/>
  <c r="H3607" i="1"/>
  <c r="I3607" i="1"/>
  <c r="J3607" i="1"/>
  <c r="K3607" i="1"/>
  <c r="M3607" i="1"/>
  <c r="O3607" i="1"/>
  <c r="Q3607" i="1"/>
  <c r="R3607" i="1"/>
  <c r="W3607" i="1"/>
  <c r="AA3607" i="1"/>
  <c r="AB3607" i="1"/>
  <c r="AE3607" i="1"/>
  <c r="AF3607" i="1"/>
  <c r="AM3607" i="1"/>
  <c r="AN3607" i="1"/>
  <c r="AO3607" i="1"/>
  <c r="AQ3607" i="1"/>
  <c r="AX3607" i="1"/>
  <c r="BD3607" i="1"/>
  <c r="B3608" i="1"/>
  <c r="C3608" i="1"/>
  <c r="D3608" i="1"/>
  <c r="E3608" i="1"/>
  <c r="F3608" i="1"/>
  <c r="G3608" i="1"/>
  <c r="H3608" i="1"/>
  <c r="I3608" i="1"/>
  <c r="J3608" i="1"/>
  <c r="K3608" i="1"/>
  <c r="M3608" i="1"/>
  <c r="O3608" i="1"/>
  <c r="Q3608" i="1"/>
  <c r="R3608" i="1"/>
  <c r="W3608" i="1"/>
  <c r="AA3608" i="1"/>
  <c r="AB3608" i="1"/>
  <c r="AE3608" i="1"/>
  <c r="AF3608" i="1"/>
  <c r="AM3608" i="1"/>
  <c r="AN3608" i="1"/>
  <c r="AO3608" i="1"/>
  <c r="AQ3608" i="1"/>
  <c r="AX3608" i="1"/>
  <c r="BD3608" i="1"/>
  <c r="B3609" i="1"/>
  <c r="C3609" i="1"/>
  <c r="D3609" i="1"/>
  <c r="E3609" i="1"/>
  <c r="F3609" i="1"/>
  <c r="G3609" i="1"/>
  <c r="H3609" i="1"/>
  <c r="I3609" i="1"/>
  <c r="J3609" i="1"/>
  <c r="K3609" i="1"/>
  <c r="M3609" i="1"/>
  <c r="O3609" i="1"/>
  <c r="Q3609" i="1"/>
  <c r="R3609" i="1"/>
  <c r="W3609" i="1"/>
  <c r="AA3609" i="1"/>
  <c r="AB3609" i="1"/>
  <c r="AE3609" i="1"/>
  <c r="AF3609" i="1"/>
  <c r="AM3609" i="1"/>
  <c r="AN3609" i="1"/>
  <c r="AO3609" i="1"/>
  <c r="AQ3609" i="1"/>
  <c r="AX3609" i="1"/>
  <c r="BD3609" i="1"/>
  <c r="B3610" i="1"/>
  <c r="C3610" i="1"/>
  <c r="D3610" i="1"/>
  <c r="E3610" i="1"/>
  <c r="F3610" i="1"/>
  <c r="G3610" i="1"/>
  <c r="H3610" i="1"/>
  <c r="I3610" i="1"/>
  <c r="J3610" i="1"/>
  <c r="K3610" i="1"/>
  <c r="M3610" i="1"/>
  <c r="O3610" i="1"/>
  <c r="Q3610" i="1"/>
  <c r="R3610" i="1"/>
  <c r="W3610" i="1"/>
  <c r="AA3610" i="1"/>
  <c r="AB3610" i="1"/>
  <c r="AE3610" i="1"/>
  <c r="AF3610" i="1"/>
  <c r="AM3610" i="1"/>
  <c r="AN3610" i="1"/>
  <c r="AO3610" i="1"/>
  <c r="AQ3610" i="1"/>
  <c r="AX3610" i="1"/>
  <c r="BD3610" i="1"/>
  <c r="B3611" i="1"/>
  <c r="C3611" i="1"/>
  <c r="E3611" i="1"/>
  <c r="F3611" i="1"/>
  <c r="G3611" i="1"/>
  <c r="H3611" i="1"/>
  <c r="I3611" i="1"/>
  <c r="J3611" i="1"/>
  <c r="K3611" i="1"/>
  <c r="M3611" i="1"/>
  <c r="O3611" i="1"/>
  <c r="Q3611" i="1"/>
  <c r="R3611" i="1"/>
  <c r="W3611" i="1"/>
  <c r="AA3611" i="1"/>
  <c r="AM3611" i="1"/>
  <c r="AN3611" i="1"/>
  <c r="AO3611" i="1"/>
  <c r="AQ3611" i="1"/>
  <c r="BB3611" i="1"/>
  <c r="BD3611" i="1"/>
  <c r="B3612" i="1"/>
  <c r="C3612" i="1"/>
  <c r="E3612" i="1"/>
  <c r="F3612" i="1"/>
  <c r="G3612" i="1"/>
  <c r="H3612" i="1"/>
  <c r="I3612" i="1"/>
  <c r="J3612" i="1"/>
  <c r="K3612" i="1"/>
  <c r="M3612" i="1"/>
  <c r="O3612" i="1"/>
  <c r="Q3612" i="1"/>
  <c r="R3612" i="1"/>
  <c r="W3612" i="1"/>
  <c r="AA3612" i="1"/>
  <c r="AM3612" i="1"/>
  <c r="AN3612" i="1"/>
  <c r="AO3612" i="1"/>
  <c r="AQ3612" i="1"/>
  <c r="BB3612" i="1"/>
  <c r="BD3612" i="1"/>
  <c r="B3613" i="1"/>
  <c r="C3613" i="1"/>
  <c r="E3613" i="1"/>
  <c r="F3613" i="1"/>
  <c r="G3613" i="1"/>
  <c r="H3613" i="1"/>
  <c r="I3613" i="1"/>
  <c r="J3613" i="1"/>
  <c r="K3613" i="1"/>
  <c r="M3613" i="1"/>
  <c r="O3613" i="1"/>
  <c r="Q3613" i="1"/>
  <c r="R3613" i="1"/>
  <c r="W3613" i="1"/>
  <c r="AA3613" i="1"/>
  <c r="AM3613" i="1"/>
  <c r="AN3613" i="1"/>
  <c r="AO3613" i="1"/>
  <c r="AQ3613" i="1"/>
  <c r="BB3613" i="1"/>
  <c r="BD3613" i="1"/>
  <c r="B3614" i="1"/>
  <c r="C3614" i="1"/>
  <c r="E3614" i="1"/>
  <c r="F3614" i="1"/>
  <c r="G3614" i="1"/>
  <c r="H3614" i="1"/>
  <c r="I3614" i="1"/>
  <c r="J3614" i="1"/>
  <c r="K3614" i="1"/>
  <c r="M3614" i="1"/>
  <c r="O3614" i="1"/>
  <c r="Q3614" i="1"/>
  <c r="R3614" i="1"/>
  <c r="W3614" i="1"/>
  <c r="AA3614" i="1"/>
  <c r="AM3614" i="1"/>
  <c r="AN3614" i="1"/>
  <c r="AO3614" i="1"/>
  <c r="AQ3614" i="1"/>
  <c r="BB3614" i="1"/>
  <c r="BD3614" i="1"/>
  <c r="B3615" i="1"/>
  <c r="C3615" i="1"/>
  <c r="E3615" i="1"/>
  <c r="F3615" i="1"/>
  <c r="G3615" i="1"/>
  <c r="H3615" i="1"/>
  <c r="I3615" i="1"/>
  <c r="J3615" i="1"/>
  <c r="K3615" i="1"/>
  <c r="M3615" i="1"/>
  <c r="O3615" i="1"/>
  <c r="Q3615" i="1"/>
  <c r="R3615" i="1"/>
  <c r="W3615" i="1"/>
  <c r="AA3615" i="1"/>
  <c r="AM3615" i="1"/>
  <c r="AN3615" i="1"/>
  <c r="AO3615" i="1"/>
  <c r="AQ3615" i="1"/>
  <c r="BB3615" i="1"/>
  <c r="BD3615" i="1"/>
  <c r="B3616" i="1"/>
  <c r="C3616" i="1"/>
  <c r="E3616" i="1"/>
  <c r="F3616" i="1"/>
  <c r="G3616" i="1"/>
  <c r="H3616" i="1"/>
  <c r="I3616" i="1"/>
  <c r="J3616" i="1"/>
  <c r="K3616" i="1"/>
  <c r="M3616" i="1"/>
  <c r="O3616" i="1"/>
  <c r="Q3616" i="1"/>
  <c r="R3616" i="1"/>
  <c r="W3616" i="1"/>
  <c r="AA3616" i="1"/>
  <c r="AM3616" i="1"/>
  <c r="AN3616" i="1"/>
  <c r="AO3616" i="1"/>
  <c r="AQ3616" i="1"/>
  <c r="BB3616" i="1"/>
  <c r="BD3616" i="1"/>
  <c r="B3617" i="1"/>
  <c r="C3617" i="1"/>
  <c r="D3617" i="1"/>
  <c r="E3617" i="1"/>
  <c r="F3617" i="1"/>
  <c r="G3617" i="1"/>
  <c r="H3617" i="1"/>
  <c r="I3617" i="1"/>
  <c r="J3617" i="1"/>
  <c r="K3617" i="1"/>
  <c r="M3617" i="1"/>
  <c r="O3617" i="1"/>
  <c r="Q3617" i="1"/>
  <c r="R3617" i="1"/>
  <c r="W3617" i="1"/>
  <c r="AA3617" i="1"/>
  <c r="AB3617" i="1"/>
  <c r="AE3617" i="1"/>
  <c r="AF3617" i="1"/>
  <c r="AM3617" i="1"/>
  <c r="AN3617" i="1"/>
  <c r="AO3617" i="1"/>
  <c r="AQ3617" i="1"/>
  <c r="AX3617" i="1"/>
  <c r="BD3617" i="1"/>
  <c r="B3618" i="1"/>
  <c r="C3618" i="1"/>
  <c r="D3618" i="1"/>
  <c r="E3618" i="1"/>
  <c r="F3618" i="1"/>
  <c r="G3618" i="1"/>
  <c r="H3618" i="1"/>
  <c r="I3618" i="1"/>
  <c r="J3618" i="1"/>
  <c r="K3618" i="1"/>
  <c r="M3618" i="1"/>
  <c r="O3618" i="1"/>
  <c r="Q3618" i="1"/>
  <c r="R3618" i="1"/>
  <c r="W3618" i="1"/>
  <c r="AA3618" i="1"/>
  <c r="AB3618" i="1"/>
  <c r="AE3618" i="1"/>
  <c r="AF3618" i="1"/>
  <c r="AM3618" i="1"/>
  <c r="AN3618" i="1"/>
  <c r="AO3618" i="1"/>
  <c r="AQ3618" i="1"/>
  <c r="AX3618" i="1"/>
  <c r="BD3618" i="1"/>
  <c r="B3619" i="1"/>
  <c r="C3619" i="1"/>
  <c r="D3619" i="1"/>
  <c r="E3619" i="1"/>
  <c r="F3619" i="1"/>
  <c r="G3619" i="1"/>
  <c r="H3619" i="1"/>
  <c r="I3619" i="1"/>
  <c r="J3619" i="1"/>
  <c r="K3619" i="1"/>
  <c r="M3619" i="1"/>
  <c r="O3619" i="1"/>
  <c r="Q3619" i="1"/>
  <c r="R3619" i="1"/>
  <c r="W3619" i="1"/>
  <c r="AA3619" i="1"/>
  <c r="AB3619" i="1"/>
  <c r="AE3619" i="1"/>
  <c r="AF3619" i="1"/>
  <c r="AM3619" i="1"/>
  <c r="AN3619" i="1"/>
  <c r="AO3619" i="1"/>
  <c r="AQ3619" i="1"/>
  <c r="AX3619" i="1"/>
  <c r="BD3619" i="1"/>
  <c r="B3620" i="1"/>
  <c r="C3620" i="1"/>
  <c r="D3620" i="1"/>
  <c r="E3620" i="1"/>
  <c r="F3620" i="1"/>
  <c r="G3620" i="1"/>
  <c r="H3620" i="1"/>
  <c r="I3620" i="1"/>
  <c r="J3620" i="1"/>
  <c r="K3620" i="1"/>
  <c r="M3620" i="1"/>
  <c r="O3620" i="1"/>
  <c r="Q3620" i="1"/>
  <c r="R3620" i="1"/>
  <c r="W3620" i="1"/>
  <c r="AA3620" i="1"/>
  <c r="AB3620" i="1"/>
  <c r="AE3620" i="1"/>
  <c r="AF3620" i="1"/>
  <c r="AM3620" i="1"/>
  <c r="AN3620" i="1"/>
  <c r="AO3620" i="1"/>
  <c r="AQ3620" i="1"/>
  <c r="AX3620" i="1"/>
  <c r="BD3620" i="1"/>
  <c r="B3621" i="1"/>
  <c r="C3621" i="1"/>
  <c r="D3621" i="1"/>
  <c r="E3621" i="1"/>
  <c r="F3621" i="1"/>
  <c r="G3621" i="1"/>
  <c r="H3621" i="1"/>
  <c r="I3621" i="1"/>
  <c r="J3621" i="1"/>
  <c r="K3621" i="1"/>
  <c r="M3621" i="1"/>
  <c r="O3621" i="1"/>
  <c r="Q3621" i="1"/>
  <c r="R3621" i="1"/>
  <c r="W3621" i="1"/>
  <c r="AA3621" i="1"/>
  <c r="AB3621" i="1"/>
  <c r="AE3621" i="1"/>
  <c r="AF3621" i="1"/>
  <c r="AM3621" i="1"/>
  <c r="AN3621" i="1"/>
  <c r="AO3621" i="1"/>
  <c r="AQ3621" i="1"/>
  <c r="AX3621" i="1"/>
  <c r="BD3621" i="1"/>
  <c r="B3622" i="1"/>
  <c r="C3622" i="1"/>
  <c r="D3622" i="1"/>
  <c r="E3622" i="1"/>
  <c r="F3622" i="1"/>
  <c r="G3622" i="1"/>
  <c r="H3622" i="1"/>
  <c r="I3622" i="1"/>
  <c r="J3622" i="1"/>
  <c r="K3622" i="1"/>
  <c r="M3622" i="1"/>
  <c r="O3622" i="1"/>
  <c r="Q3622" i="1"/>
  <c r="R3622" i="1"/>
  <c r="W3622" i="1"/>
  <c r="AA3622" i="1"/>
  <c r="AB3622" i="1"/>
  <c r="AE3622" i="1"/>
  <c r="AF3622" i="1"/>
  <c r="AM3622" i="1"/>
  <c r="AN3622" i="1"/>
  <c r="AO3622" i="1"/>
  <c r="AQ3622" i="1"/>
  <c r="AX3622" i="1"/>
  <c r="BD3622" i="1"/>
  <c r="B3623" i="1"/>
  <c r="C3623" i="1"/>
  <c r="D3623" i="1"/>
  <c r="E3623" i="1"/>
  <c r="F3623" i="1"/>
  <c r="G3623" i="1"/>
  <c r="H3623" i="1"/>
  <c r="I3623" i="1"/>
  <c r="J3623" i="1"/>
  <c r="K3623" i="1"/>
  <c r="M3623" i="1"/>
  <c r="O3623" i="1"/>
  <c r="Q3623" i="1"/>
  <c r="R3623" i="1"/>
  <c r="W3623" i="1"/>
  <c r="AA3623" i="1"/>
  <c r="AB3623" i="1"/>
  <c r="AE3623" i="1"/>
  <c r="AF3623" i="1"/>
  <c r="AM3623" i="1"/>
  <c r="AN3623" i="1"/>
  <c r="AO3623" i="1"/>
  <c r="AQ3623" i="1"/>
  <c r="AX3623" i="1"/>
  <c r="BD3623" i="1"/>
  <c r="B3624" i="1"/>
  <c r="C3624" i="1"/>
  <c r="D3624" i="1"/>
  <c r="E3624" i="1"/>
  <c r="F3624" i="1"/>
  <c r="G3624" i="1"/>
  <c r="H3624" i="1"/>
  <c r="I3624" i="1"/>
  <c r="J3624" i="1"/>
  <c r="K3624" i="1"/>
  <c r="M3624" i="1"/>
  <c r="O3624" i="1"/>
  <c r="Q3624" i="1"/>
  <c r="R3624" i="1"/>
  <c r="W3624" i="1"/>
  <c r="AA3624" i="1"/>
  <c r="AB3624" i="1"/>
  <c r="AE3624" i="1"/>
  <c r="AF3624" i="1"/>
  <c r="AM3624" i="1"/>
  <c r="AN3624" i="1"/>
  <c r="AO3624" i="1"/>
  <c r="AQ3624" i="1"/>
  <c r="AX3624" i="1"/>
  <c r="BD3624" i="1"/>
  <c r="B3625" i="1"/>
  <c r="C3625" i="1"/>
  <c r="D3625" i="1"/>
  <c r="E3625" i="1"/>
  <c r="F3625" i="1"/>
  <c r="G3625" i="1"/>
  <c r="H3625" i="1"/>
  <c r="I3625" i="1"/>
  <c r="J3625" i="1"/>
  <c r="K3625" i="1"/>
  <c r="M3625" i="1"/>
  <c r="O3625" i="1"/>
  <c r="Q3625" i="1"/>
  <c r="R3625" i="1"/>
  <c r="W3625" i="1"/>
  <c r="AA3625" i="1"/>
  <c r="AB3625" i="1"/>
  <c r="AE3625" i="1"/>
  <c r="AF3625" i="1"/>
  <c r="AM3625" i="1"/>
  <c r="AN3625" i="1"/>
  <c r="AO3625" i="1"/>
  <c r="AQ3625" i="1"/>
  <c r="AX3625" i="1"/>
  <c r="BD3625" i="1"/>
  <c r="B3626" i="1"/>
  <c r="C3626" i="1"/>
  <c r="D3626" i="1"/>
  <c r="E3626" i="1"/>
  <c r="F3626" i="1"/>
  <c r="G3626" i="1"/>
  <c r="H3626" i="1"/>
  <c r="I3626" i="1"/>
  <c r="J3626" i="1"/>
  <c r="K3626" i="1"/>
  <c r="M3626" i="1"/>
  <c r="O3626" i="1"/>
  <c r="Q3626" i="1"/>
  <c r="R3626" i="1"/>
  <c r="W3626" i="1"/>
  <c r="AA3626" i="1"/>
  <c r="AB3626" i="1"/>
  <c r="AE3626" i="1"/>
  <c r="AF3626" i="1"/>
  <c r="AM3626" i="1"/>
  <c r="AN3626" i="1"/>
  <c r="AO3626" i="1"/>
  <c r="AQ3626" i="1"/>
  <c r="AX3626" i="1"/>
  <c r="BD3626" i="1"/>
  <c r="B3627" i="1"/>
  <c r="C3627" i="1"/>
  <c r="D3627" i="1"/>
  <c r="E3627" i="1"/>
  <c r="F3627" i="1"/>
  <c r="G3627" i="1"/>
  <c r="H3627" i="1"/>
  <c r="I3627" i="1"/>
  <c r="J3627" i="1"/>
  <c r="K3627" i="1"/>
  <c r="M3627" i="1"/>
  <c r="O3627" i="1"/>
  <c r="Q3627" i="1"/>
  <c r="R3627" i="1"/>
  <c r="W3627" i="1"/>
  <c r="AA3627" i="1"/>
  <c r="AB3627" i="1"/>
  <c r="AE3627" i="1"/>
  <c r="AF3627" i="1"/>
  <c r="AM3627" i="1"/>
  <c r="AN3627" i="1"/>
  <c r="AO3627" i="1"/>
  <c r="AQ3627" i="1"/>
  <c r="AX3627" i="1"/>
  <c r="BD3627" i="1"/>
  <c r="B3628" i="1"/>
  <c r="C3628" i="1"/>
  <c r="D3628" i="1"/>
  <c r="E3628" i="1"/>
  <c r="F3628" i="1"/>
  <c r="G3628" i="1"/>
  <c r="H3628" i="1"/>
  <c r="I3628" i="1"/>
  <c r="J3628" i="1"/>
  <c r="K3628" i="1"/>
  <c r="M3628" i="1"/>
  <c r="O3628" i="1"/>
  <c r="Q3628" i="1"/>
  <c r="R3628" i="1"/>
  <c r="W3628" i="1"/>
  <c r="AA3628" i="1"/>
  <c r="AB3628" i="1"/>
  <c r="AE3628" i="1"/>
  <c r="AF3628" i="1"/>
  <c r="AM3628" i="1"/>
  <c r="AN3628" i="1"/>
  <c r="AO3628" i="1"/>
  <c r="AQ3628" i="1"/>
  <c r="AX3628" i="1"/>
  <c r="BD3628" i="1"/>
  <c r="B3629" i="1"/>
  <c r="C3629" i="1"/>
  <c r="D3629" i="1"/>
  <c r="E3629" i="1"/>
  <c r="F3629" i="1"/>
  <c r="G3629" i="1"/>
  <c r="H3629" i="1"/>
  <c r="I3629" i="1"/>
  <c r="J3629" i="1"/>
  <c r="K3629" i="1"/>
  <c r="M3629" i="1"/>
  <c r="O3629" i="1"/>
  <c r="Q3629" i="1"/>
  <c r="R3629" i="1"/>
  <c r="W3629" i="1"/>
  <c r="AA3629" i="1"/>
  <c r="AB3629" i="1"/>
  <c r="AE3629" i="1"/>
  <c r="AF3629" i="1"/>
  <c r="AM3629" i="1"/>
  <c r="AN3629" i="1"/>
  <c r="AO3629" i="1"/>
  <c r="AQ3629" i="1"/>
  <c r="AX3629" i="1"/>
  <c r="BD3629" i="1"/>
  <c r="B3630" i="1"/>
  <c r="C3630" i="1"/>
  <c r="D3630" i="1"/>
  <c r="E3630" i="1"/>
  <c r="F3630" i="1"/>
  <c r="G3630" i="1"/>
  <c r="H3630" i="1"/>
  <c r="I3630" i="1"/>
  <c r="J3630" i="1"/>
  <c r="K3630" i="1"/>
  <c r="M3630" i="1"/>
  <c r="O3630" i="1"/>
  <c r="Q3630" i="1"/>
  <c r="R3630" i="1"/>
  <c r="W3630" i="1"/>
  <c r="AA3630" i="1"/>
  <c r="AB3630" i="1"/>
  <c r="AE3630" i="1"/>
  <c r="AF3630" i="1"/>
  <c r="AM3630" i="1"/>
  <c r="AN3630" i="1"/>
  <c r="AO3630" i="1"/>
  <c r="AQ3630" i="1"/>
  <c r="AX3630" i="1"/>
  <c r="BD3630" i="1"/>
  <c r="B3631" i="1"/>
  <c r="C3631" i="1"/>
  <c r="D3631" i="1"/>
  <c r="E3631" i="1"/>
  <c r="F3631" i="1"/>
  <c r="G3631" i="1"/>
  <c r="H3631" i="1"/>
  <c r="I3631" i="1"/>
  <c r="J3631" i="1"/>
  <c r="K3631" i="1"/>
  <c r="M3631" i="1"/>
  <c r="O3631" i="1"/>
  <c r="Q3631" i="1"/>
  <c r="R3631" i="1"/>
  <c r="W3631" i="1"/>
  <c r="AA3631" i="1"/>
  <c r="AB3631" i="1"/>
  <c r="AE3631" i="1"/>
  <c r="AF3631" i="1"/>
  <c r="AM3631" i="1"/>
  <c r="AN3631" i="1"/>
  <c r="AO3631" i="1"/>
  <c r="AQ3631" i="1"/>
  <c r="AX3631" i="1"/>
  <c r="BD3631" i="1"/>
  <c r="B3632" i="1"/>
  <c r="C3632" i="1"/>
  <c r="D3632" i="1"/>
  <c r="E3632" i="1"/>
  <c r="F3632" i="1"/>
  <c r="G3632" i="1"/>
  <c r="H3632" i="1"/>
  <c r="I3632" i="1"/>
  <c r="J3632" i="1"/>
  <c r="K3632" i="1"/>
  <c r="M3632" i="1"/>
  <c r="O3632" i="1"/>
  <c r="Q3632" i="1"/>
  <c r="R3632" i="1"/>
  <c r="W3632" i="1"/>
  <c r="AA3632" i="1"/>
  <c r="AB3632" i="1"/>
  <c r="AE3632" i="1"/>
  <c r="AF3632" i="1"/>
  <c r="AM3632" i="1"/>
  <c r="AN3632" i="1"/>
  <c r="AO3632" i="1"/>
  <c r="AQ3632" i="1"/>
  <c r="AX3632" i="1"/>
  <c r="BD3632" i="1"/>
  <c r="B3633" i="1"/>
  <c r="C3633" i="1"/>
  <c r="D3633" i="1"/>
  <c r="E3633" i="1"/>
  <c r="F3633" i="1"/>
  <c r="G3633" i="1"/>
  <c r="H3633" i="1"/>
  <c r="I3633" i="1"/>
  <c r="J3633" i="1"/>
  <c r="K3633" i="1"/>
  <c r="M3633" i="1"/>
  <c r="O3633" i="1"/>
  <c r="Q3633" i="1"/>
  <c r="R3633" i="1"/>
  <c r="W3633" i="1"/>
  <c r="AA3633" i="1"/>
  <c r="AB3633" i="1"/>
  <c r="AE3633" i="1"/>
  <c r="AF3633" i="1"/>
  <c r="AM3633" i="1"/>
  <c r="AN3633" i="1"/>
  <c r="AO3633" i="1"/>
  <c r="AQ3633" i="1"/>
  <c r="AX3633" i="1"/>
  <c r="BD3633" i="1"/>
  <c r="B3634" i="1"/>
  <c r="C3634" i="1"/>
  <c r="D3634" i="1"/>
  <c r="E3634" i="1"/>
  <c r="F3634" i="1"/>
  <c r="G3634" i="1"/>
  <c r="H3634" i="1"/>
  <c r="I3634" i="1"/>
  <c r="J3634" i="1"/>
  <c r="K3634" i="1"/>
  <c r="M3634" i="1"/>
  <c r="O3634" i="1"/>
  <c r="Q3634" i="1"/>
  <c r="R3634" i="1"/>
  <c r="W3634" i="1"/>
  <c r="AA3634" i="1"/>
  <c r="AB3634" i="1"/>
  <c r="AE3634" i="1"/>
  <c r="AF3634" i="1"/>
  <c r="AM3634" i="1"/>
  <c r="AN3634" i="1"/>
  <c r="AO3634" i="1"/>
  <c r="AQ3634" i="1"/>
  <c r="AX3634" i="1"/>
  <c r="BD3634" i="1"/>
  <c r="B3635" i="1"/>
  <c r="C3635" i="1"/>
  <c r="E3635" i="1"/>
  <c r="F3635" i="1"/>
  <c r="G3635" i="1"/>
  <c r="H3635" i="1"/>
  <c r="I3635" i="1"/>
  <c r="J3635" i="1"/>
  <c r="K3635" i="1"/>
  <c r="M3635" i="1"/>
  <c r="O3635" i="1"/>
  <c r="Q3635" i="1"/>
  <c r="R3635" i="1"/>
  <c r="W3635" i="1"/>
  <c r="AA3635" i="1"/>
  <c r="AM3635" i="1"/>
  <c r="AN3635" i="1"/>
  <c r="AO3635" i="1"/>
  <c r="AQ3635" i="1"/>
  <c r="BB3635" i="1"/>
  <c r="BD3635" i="1"/>
  <c r="B3636" i="1"/>
  <c r="C3636" i="1"/>
  <c r="E3636" i="1"/>
  <c r="F3636" i="1"/>
  <c r="G3636" i="1"/>
  <c r="H3636" i="1"/>
  <c r="I3636" i="1"/>
  <c r="J3636" i="1"/>
  <c r="K3636" i="1"/>
  <c r="M3636" i="1"/>
  <c r="O3636" i="1"/>
  <c r="Q3636" i="1"/>
  <c r="R3636" i="1"/>
  <c r="W3636" i="1"/>
  <c r="AA3636" i="1"/>
  <c r="AM3636" i="1"/>
  <c r="AN3636" i="1"/>
  <c r="AO3636" i="1"/>
  <c r="AQ3636" i="1"/>
  <c r="BB3636" i="1"/>
  <c r="BD3636" i="1"/>
  <c r="B3637" i="1"/>
  <c r="C3637" i="1"/>
  <c r="E3637" i="1"/>
  <c r="F3637" i="1"/>
  <c r="G3637" i="1"/>
  <c r="H3637" i="1"/>
  <c r="I3637" i="1"/>
  <c r="J3637" i="1"/>
  <c r="K3637" i="1"/>
  <c r="M3637" i="1"/>
  <c r="O3637" i="1"/>
  <c r="Q3637" i="1"/>
  <c r="R3637" i="1"/>
  <c r="W3637" i="1"/>
  <c r="AA3637" i="1"/>
  <c r="AM3637" i="1"/>
  <c r="AN3637" i="1"/>
  <c r="AO3637" i="1"/>
  <c r="AQ3637" i="1"/>
  <c r="BB3637" i="1"/>
  <c r="BD3637" i="1"/>
  <c r="B3638" i="1"/>
  <c r="C3638" i="1"/>
  <c r="E3638" i="1"/>
  <c r="F3638" i="1"/>
  <c r="G3638" i="1"/>
  <c r="H3638" i="1"/>
  <c r="I3638" i="1"/>
  <c r="J3638" i="1"/>
  <c r="K3638" i="1"/>
  <c r="M3638" i="1"/>
  <c r="O3638" i="1"/>
  <c r="Q3638" i="1"/>
  <c r="R3638" i="1"/>
  <c r="W3638" i="1"/>
  <c r="AA3638" i="1"/>
  <c r="AM3638" i="1"/>
  <c r="AN3638" i="1"/>
  <c r="AO3638" i="1"/>
  <c r="AQ3638" i="1"/>
  <c r="BB3638" i="1"/>
  <c r="BD3638" i="1"/>
  <c r="B3639" i="1"/>
  <c r="C3639" i="1"/>
  <c r="E3639" i="1"/>
  <c r="F3639" i="1"/>
  <c r="G3639" i="1"/>
  <c r="H3639" i="1"/>
  <c r="I3639" i="1"/>
  <c r="J3639" i="1"/>
  <c r="K3639" i="1"/>
  <c r="M3639" i="1"/>
  <c r="O3639" i="1"/>
  <c r="Q3639" i="1"/>
  <c r="R3639" i="1"/>
  <c r="W3639" i="1"/>
  <c r="AA3639" i="1"/>
  <c r="AM3639" i="1"/>
  <c r="AN3639" i="1"/>
  <c r="AO3639" i="1"/>
  <c r="AQ3639" i="1"/>
  <c r="BB3639" i="1"/>
  <c r="BD3639" i="1"/>
  <c r="B3640" i="1"/>
  <c r="C3640" i="1"/>
  <c r="E3640" i="1"/>
  <c r="F3640" i="1"/>
  <c r="G3640" i="1"/>
  <c r="H3640" i="1"/>
  <c r="I3640" i="1"/>
  <c r="J3640" i="1"/>
  <c r="K3640" i="1"/>
  <c r="M3640" i="1"/>
  <c r="O3640" i="1"/>
  <c r="Q3640" i="1"/>
  <c r="R3640" i="1"/>
  <c r="W3640" i="1"/>
  <c r="AA3640" i="1"/>
  <c r="AM3640" i="1"/>
  <c r="AN3640" i="1"/>
  <c r="AO3640" i="1"/>
  <c r="AQ3640" i="1"/>
  <c r="BB3640" i="1"/>
  <c r="BD3640" i="1"/>
  <c r="B3641" i="1"/>
  <c r="C3641" i="1"/>
  <c r="D3641" i="1"/>
  <c r="E3641" i="1"/>
  <c r="F3641" i="1"/>
  <c r="G3641" i="1"/>
  <c r="H3641" i="1"/>
  <c r="I3641" i="1"/>
  <c r="J3641" i="1"/>
  <c r="K3641" i="1"/>
  <c r="M3641" i="1"/>
  <c r="O3641" i="1"/>
  <c r="Q3641" i="1"/>
  <c r="R3641" i="1"/>
  <c r="W3641" i="1"/>
  <c r="AA3641" i="1"/>
  <c r="AB3641" i="1"/>
  <c r="AE3641" i="1"/>
  <c r="AF3641" i="1"/>
  <c r="AM3641" i="1"/>
  <c r="AN3641" i="1"/>
  <c r="AO3641" i="1"/>
  <c r="AQ3641" i="1"/>
  <c r="AX3641" i="1"/>
  <c r="BD3641" i="1"/>
  <c r="B3642" i="1"/>
  <c r="C3642" i="1"/>
  <c r="E3642" i="1"/>
  <c r="F3642" i="1"/>
  <c r="G3642" i="1"/>
  <c r="H3642" i="1"/>
  <c r="I3642" i="1"/>
  <c r="J3642" i="1"/>
  <c r="K3642" i="1"/>
  <c r="M3642" i="1"/>
  <c r="O3642" i="1"/>
  <c r="Q3642" i="1"/>
  <c r="R3642" i="1"/>
  <c r="W3642" i="1"/>
  <c r="AA3642" i="1"/>
  <c r="AB3642" i="1"/>
  <c r="AE3642" i="1"/>
  <c r="AF3642" i="1"/>
  <c r="AM3642" i="1"/>
  <c r="AN3642" i="1"/>
  <c r="AO3642" i="1"/>
  <c r="AQ3642" i="1"/>
  <c r="AX3642" i="1"/>
  <c r="BD3642" i="1"/>
  <c r="B3643" i="1"/>
  <c r="C3643" i="1"/>
  <c r="E3643" i="1"/>
  <c r="F3643" i="1"/>
  <c r="G3643" i="1"/>
  <c r="H3643" i="1"/>
  <c r="I3643" i="1"/>
  <c r="J3643" i="1"/>
  <c r="K3643" i="1"/>
  <c r="M3643" i="1"/>
  <c r="O3643" i="1"/>
  <c r="Q3643" i="1"/>
  <c r="R3643" i="1"/>
  <c r="W3643" i="1"/>
  <c r="AA3643" i="1"/>
  <c r="AB3643" i="1"/>
  <c r="AE3643" i="1"/>
  <c r="AF3643" i="1"/>
  <c r="AM3643" i="1"/>
  <c r="AN3643" i="1"/>
  <c r="AO3643" i="1"/>
  <c r="AQ3643" i="1"/>
  <c r="AX3643" i="1"/>
  <c r="BD3643" i="1"/>
  <c r="B3644" i="1"/>
  <c r="C3644" i="1"/>
  <c r="E3644" i="1"/>
  <c r="F3644" i="1"/>
  <c r="G3644" i="1"/>
  <c r="H3644" i="1"/>
  <c r="I3644" i="1"/>
  <c r="J3644" i="1"/>
  <c r="K3644" i="1"/>
  <c r="M3644" i="1"/>
  <c r="O3644" i="1"/>
  <c r="Q3644" i="1"/>
  <c r="R3644" i="1"/>
  <c r="W3644" i="1"/>
  <c r="AA3644" i="1"/>
  <c r="AB3644" i="1"/>
  <c r="AE3644" i="1"/>
  <c r="AF3644" i="1"/>
  <c r="AM3644" i="1"/>
  <c r="AN3644" i="1"/>
  <c r="AO3644" i="1"/>
  <c r="AQ3644" i="1"/>
  <c r="AX3644" i="1"/>
  <c r="BD3644" i="1"/>
  <c r="B3645" i="1"/>
  <c r="C3645" i="1"/>
  <c r="E3645" i="1"/>
  <c r="F3645" i="1"/>
  <c r="G3645" i="1"/>
  <c r="H3645" i="1"/>
  <c r="I3645" i="1"/>
  <c r="J3645" i="1"/>
  <c r="K3645" i="1"/>
  <c r="M3645" i="1"/>
  <c r="O3645" i="1"/>
  <c r="Q3645" i="1"/>
  <c r="R3645" i="1"/>
  <c r="W3645" i="1"/>
  <c r="AA3645" i="1"/>
  <c r="AB3645" i="1"/>
  <c r="AE3645" i="1"/>
  <c r="AF3645" i="1"/>
  <c r="AM3645" i="1"/>
  <c r="AN3645" i="1"/>
  <c r="AO3645" i="1"/>
  <c r="AQ3645" i="1"/>
  <c r="AX3645" i="1"/>
  <c r="BD3645" i="1"/>
  <c r="B3646" i="1"/>
  <c r="C3646" i="1"/>
  <c r="E3646" i="1"/>
  <c r="F3646" i="1"/>
  <c r="G3646" i="1"/>
  <c r="H3646" i="1"/>
  <c r="I3646" i="1"/>
  <c r="J3646" i="1"/>
  <c r="K3646" i="1"/>
  <c r="M3646" i="1"/>
  <c r="O3646" i="1"/>
  <c r="Q3646" i="1"/>
  <c r="R3646" i="1"/>
  <c r="W3646" i="1"/>
  <c r="AA3646" i="1"/>
  <c r="AB3646" i="1"/>
  <c r="AE3646" i="1"/>
  <c r="AF3646" i="1"/>
  <c r="AM3646" i="1"/>
  <c r="AN3646" i="1"/>
  <c r="AO3646" i="1"/>
  <c r="AQ3646" i="1"/>
  <c r="AX3646" i="1"/>
  <c r="BD3646" i="1"/>
  <c r="B3647" i="1"/>
  <c r="C3647" i="1"/>
  <c r="E3647" i="1"/>
  <c r="F3647" i="1"/>
  <c r="G3647" i="1"/>
  <c r="H3647" i="1"/>
  <c r="I3647" i="1"/>
  <c r="J3647" i="1"/>
  <c r="K3647" i="1"/>
  <c r="M3647" i="1"/>
  <c r="O3647" i="1"/>
  <c r="Q3647" i="1"/>
  <c r="R3647" i="1"/>
  <c r="W3647" i="1"/>
  <c r="AA3647" i="1"/>
  <c r="AB3647" i="1"/>
  <c r="AE3647" i="1"/>
  <c r="AF3647" i="1"/>
  <c r="AM3647" i="1"/>
  <c r="AN3647" i="1"/>
  <c r="AO3647" i="1"/>
  <c r="AQ3647" i="1"/>
  <c r="AX3647" i="1"/>
  <c r="BD3647" i="1"/>
  <c r="B3648" i="1"/>
  <c r="C3648" i="1"/>
  <c r="E3648" i="1"/>
  <c r="F3648" i="1"/>
  <c r="G3648" i="1"/>
  <c r="H3648" i="1"/>
  <c r="I3648" i="1"/>
  <c r="J3648" i="1"/>
  <c r="K3648" i="1"/>
  <c r="M3648" i="1"/>
  <c r="O3648" i="1"/>
  <c r="Q3648" i="1"/>
  <c r="R3648" i="1"/>
  <c r="W3648" i="1"/>
  <c r="AA3648" i="1"/>
  <c r="AB3648" i="1"/>
  <c r="AE3648" i="1"/>
  <c r="AF3648" i="1"/>
  <c r="AM3648" i="1"/>
  <c r="AN3648" i="1"/>
  <c r="AO3648" i="1"/>
  <c r="AQ3648" i="1"/>
  <c r="AX3648" i="1"/>
  <c r="BD3648" i="1"/>
  <c r="B3649" i="1"/>
  <c r="C3649" i="1"/>
  <c r="E3649" i="1"/>
  <c r="F3649" i="1"/>
  <c r="G3649" i="1"/>
  <c r="H3649" i="1"/>
  <c r="I3649" i="1"/>
  <c r="J3649" i="1"/>
  <c r="K3649" i="1"/>
  <c r="M3649" i="1"/>
  <c r="O3649" i="1"/>
  <c r="Q3649" i="1"/>
  <c r="R3649" i="1"/>
  <c r="W3649" i="1"/>
  <c r="AA3649" i="1"/>
  <c r="AB3649" i="1"/>
  <c r="AE3649" i="1"/>
  <c r="AF3649" i="1"/>
  <c r="AM3649" i="1"/>
  <c r="AN3649" i="1"/>
  <c r="AO3649" i="1"/>
  <c r="AQ3649" i="1"/>
  <c r="AX3649" i="1"/>
  <c r="BD3649" i="1"/>
  <c r="B3650" i="1"/>
  <c r="C3650" i="1"/>
  <c r="D3650" i="1"/>
  <c r="E3650" i="1"/>
  <c r="F3650" i="1"/>
  <c r="G3650" i="1"/>
  <c r="H3650" i="1"/>
  <c r="I3650" i="1"/>
  <c r="J3650" i="1"/>
  <c r="K3650" i="1"/>
  <c r="M3650" i="1"/>
  <c r="O3650" i="1"/>
  <c r="Q3650" i="1"/>
  <c r="R3650" i="1"/>
  <c r="W3650" i="1"/>
  <c r="AA3650" i="1"/>
  <c r="AB3650" i="1"/>
  <c r="AE3650" i="1"/>
  <c r="AF3650" i="1"/>
  <c r="AM3650" i="1"/>
  <c r="AN3650" i="1"/>
  <c r="AO3650" i="1"/>
  <c r="AQ3650" i="1"/>
  <c r="AX3650" i="1"/>
  <c r="BD3650" i="1"/>
  <c r="B3651" i="1"/>
  <c r="C3651" i="1"/>
  <c r="D3651" i="1"/>
  <c r="E3651" i="1"/>
  <c r="F3651" i="1"/>
  <c r="G3651" i="1"/>
  <c r="H3651" i="1"/>
  <c r="I3651" i="1"/>
  <c r="J3651" i="1"/>
  <c r="K3651" i="1"/>
  <c r="M3651" i="1"/>
  <c r="O3651" i="1"/>
  <c r="Q3651" i="1"/>
  <c r="R3651" i="1"/>
  <c r="W3651" i="1"/>
  <c r="AA3651" i="1"/>
  <c r="AB3651" i="1"/>
  <c r="AM3651" i="1"/>
  <c r="AN3651" i="1"/>
  <c r="AO3651" i="1"/>
  <c r="AQ3651" i="1"/>
  <c r="AX3651" i="1"/>
  <c r="BD3651" i="1"/>
  <c r="B3652" i="1"/>
  <c r="C3652" i="1"/>
  <c r="D3652" i="1"/>
  <c r="E3652" i="1"/>
  <c r="F3652" i="1"/>
  <c r="G3652" i="1"/>
  <c r="H3652" i="1"/>
  <c r="I3652" i="1"/>
  <c r="J3652" i="1"/>
  <c r="K3652" i="1"/>
  <c r="M3652" i="1"/>
  <c r="O3652" i="1"/>
  <c r="Q3652" i="1"/>
  <c r="R3652" i="1"/>
  <c r="W3652" i="1"/>
  <c r="AA3652" i="1"/>
  <c r="AB3652" i="1"/>
  <c r="AM3652" i="1"/>
  <c r="AN3652" i="1"/>
  <c r="AO3652" i="1"/>
  <c r="AQ3652" i="1"/>
  <c r="AX3652" i="1"/>
  <c r="BD3652" i="1"/>
  <c r="B3653" i="1"/>
  <c r="C3653" i="1"/>
  <c r="E3653" i="1"/>
  <c r="F3653" i="1"/>
  <c r="G3653" i="1"/>
  <c r="H3653" i="1"/>
  <c r="I3653" i="1"/>
  <c r="J3653" i="1"/>
  <c r="K3653" i="1"/>
  <c r="M3653" i="1"/>
  <c r="O3653" i="1"/>
  <c r="Q3653" i="1"/>
  <c r="R3653" i="1"/>
  <c r="W3653" i="1"/>
  <c r="AA3653" i="1"/>
  <c r="AM3653" i="1"/>
  <c r="AN3653" i="1"/>
  <c r="AO3653" i="1"/>
  <c r="AQ3653" i="1"/>
  <c r="BB3653" i="1"/>
  <c r="BD3653" i="1"/>
  <c r="B3654" i="1"/>
  <c r="C3654" i="1"/>
  <c r="E3654" i="1"/>
  <c r="F3654" i="1"/>
  <c r="G3654" i="1"/>
  <c r="H3654" i="1"/>
  <c r="I3654" i="1"/>
  <c r="J3654" i="1"/>
  <c r="K3654" i="1"/>
  <c r="M3654" i="1"/>
  <c r="O3654" i="1"/>
  <c r="Q3654" i="1"/>
  <c r="R3654" i="1"/>
  <c r="W3654" i="1"/>
  <c r="AA3654" i="1"/>
  <c r="AM3654" i="1"/>
  <c r="AN3654" i="1"/>
  <c r="AO3654" i="1"/>
  <c r="AQ3654" i="1"/>
  <c r="BB3654" i="1"/>
  <c r="BD3654" i="1"/>
  <c r="B3655" i="1"/>
  <c r="C3655" i="1"/>
  <c r="E3655" i="1"/>
  <c r="F3655" i="1"/>
  <c r="G3655" i="1"/>
  <c r="H3655" i="1"/>
  <c r="I3655" i="1"/>
  <c r="J3655" i="1"/>
  <c r="K3655" i="1"/>
  <c r="M3655" i="1"/>
  <c r="O3655" i="1"/>
  <c r="Q3655" i="1"/>
  <c r="R3655" i="1"/>
  <c r="W3655" i="1"/>
  <c r="AA3655" i="1"/>
  <c r="AM3655" i="1"/>
  <c r="AN3655" i="1"/>
  <c r="AO3655" i="1"/>
  <c r="AQ3655" i="1"/>
  <c r="BB3655" i="1"/>
  <c r="BD3655" i="1"/>
  <c r="B3656" i="1"/>
  <c r="C3656" i="1"/>
  <c r="E3656" i="1"/>
  <c r="F3656" i="1"/>
  <c r="G3656" i="1"/>
  <c r="H3656" i="1"/>
  <c r="I3656" i="1"/>
  <c r="J3656" i="1"/>
  <c r="K3656" i="1"/>
  <c r="M3656" i="1"/>
  <c r="O3656" i="1"/>
  <c r="Q3656" i="1"/>
  <c r="R3656" i="1"/>
  <c r="W3656" i="1"/>
  <c r="AA3656" i="1"/>
  <c r="AM3656" i="1"/>
  <c r="AN3656" i="1"/>
  <c r="AO3656" i="1"/>
  <c r="AQ3656" i="1"/>
  <c r="BB3656" i="1"/>
  <c r="BD3656" i="1"/>
  <c r="B3657" i="1"/>
  <c r="C3657" i="1"/>
  <c r="E3657" i="1"/>
  <c r="F3657" i="1"/>
  <c r="G3657" i="1"/>
  <c r="H3657" i="1"/>
  <c r="I3657" i="1"/>
  <c r="J3657" i="1"/>
  <c r="K3657" i="1"/>
  <c r="M3657" i="1"/>
  <c r="O3657" i="1"/>
  <c r="Q3657" i="1"/>
  <c r="R3657" i="1"/>
  <c r="W3657" i="1"/>
  <c r="AA3657" i="1"/>
  <c r="AM3657" i="1"/>
  <c r="AN3657" i="1"/>
  <c r="AO3657" i="1"/>
  <c r="AQ3657" i="1"/>
  <c r="BB3657" i="1"/>
  <c r="BD3657" i="1"/>
  <c r="B3658" i="1"/>
  <c r="C3658" i="1"/>
  <c r="E3658" i="1"/>
  <c r="F3658" i="1"/>
  <c r="G3658" i="1"/>
  <c r="H3658" i="1"/>
  <c r="I3658" i="1"/>
  <c r="J3658" i="1"/>
  <c r="K3658" i="1"/>
  <c r="M3658" i="1"/>
  <c r="O3658" i="1"/>
  <c r="Q3658" i="1"/>
  <c r="R3658" i="1"/>
  <c r="W3658" i="1"/>
  <c r="AA3658" i="1"/>
  <c r="AM3658" i="1"/>
  <c r="AN3658" i="1"/>
  <c r="AO3658" i="1"/>
  <c r="AQ3658" i="1"/>
  <c r="BB3658" i="1"/>
  <c r="BD3658" i="1"/>
  <c r="B3659" i="1"/>
  <c r="C3659" i="1"/>
  <c r="E3659" i="1"/>
  <c r="F3659" i="1"/>
  <c r="G3659" i="1"/>
  <c r="H3659" i="1"/>
  <c r="I3659" i="1"/>
  <c r="J3659" i="1"/>
  <c r="K3659" i="1"/>
  <c r="M3659" i="1"/>
  <c r="O3659" i="1"/>
  <c r="Q3659" i="1"/>
  <c r="R3659" i="1"/>
  <c r="W3659" i="1"/>
  <c r="AA3659" i="1"/>
  <c r="AM3659" i="1"/>
  <c r="AN3659" i="1"/>
  <c r="AO3659" i="1"/>
  <c r="AQ3659" i="1"/>
  <c r="BB3659" i="1"/>
  <c r="BD3659" i="1"/>
  <c r="B3660" i="1"/>
  <c r="C3660" i="1"/>
  <c r="E3660" i="1"/>
  <c r="F3660" i="1"/>
  <c r="G3660" i="1"/>
  <c r="H3660" i="1"/>
  <c r="I3660" i="1"/>
  <c r="J3660" i="1"/>
  <c r="K3660" i="1"/>
  <c r="M3660" i="1"/>
  <c r="O3660" i="1"/>
  <c r="Q3660" i="1"/>
  <c r="R3660" i="1"/>
  <c r="W3660" i="1"/>
  <c r="AA3660" i="1"/>
  <c r="AM3660" i="1"/>
  <c r="AN3660" i="1"/>
  <c r="AO3660" i="1"/>
  <c r="AQ3660" i="1"/>
  <c r="BB3660" i="1"/>
  <c r="BD3660" i="1"/>
  <c r="B3661" i="1"/>
  <c r="C3661" i="1"/>
  <c r="E3661" i="1"/>
  <c r="F3661" i="1"/>
  <c r="G3661" i="1"/>
  <c r="H3661" i="1"/>
  <c r="I3661" i="1"/>
  <c r="J3661" i="1"/>
  <c r="K3661" i="1"/>
  <c r="M3661" i="1"/>
  <c r="O3661" i="1"/>
  <c r="Q3661" i="1"/>
  <c r="R3661" i="1"/>
  <c r="W3661" i="1"/>
  <c r="AA3661" i="1"/>
  <c r="AM3661" i="1"/>
  <c r="AN3661" i="1"/>
  <c r="AO3661" i="1"/>
  <c r="AQ3661" i="1"/>
  <c r="BB3661" i="1"/>
  <c r="BD3661" i="1"/>
  <c r="B3662" i="1"/>
  <c r="C3662" i="1"/>
  <c r="E3662" i="1"/>
  <c r="F3662" i="1"/>
  <c r="G3662" i="1"/>
  <c r="H3662" i="1"/>
  <c r="I3662" i="1"/>
  <c r="J3662" i="1"/>
  <c r="K3662" i="1"/>
  <c r="M3662" i="1"/>
  <c r="O3662" i="1"/>
  <c r="Q3662" i="1"/>
  <c r="R3662" i="1"/>
  <c r="W3662" i="1"/>
  <c r="AA3662" i="1"/>
  <c r="AM3662" i="1"/>
  <c r="AN3662" i="1"/>
  <c r="AO3662" i="1"/>
  <c r="AQ3662" i="1"/>
  <c r="BB3662" i="1"/>
  <c r="BD3662" i="1"/>
  <c r="B3663" i="1"/>
  <c r="C3663" i="1"/>
  <c r="E3663" i="1"/>
  <c r="F3663" i="1"/>
  <c r="G3663" i="1"/>
  <c r="H3663" i="1"/>
  <c r="I3663" i="1"/>
  <c r="J3663" i="1"/>
  <c r="K3663" i="1"/>
  <c r="M3663" i="1"/>
  <c r="O3663" i="1"/>
  <c r="Q3663" i="1"/>
  <c r="R3663" i="1"/>
  <c r="W3663" i="1"/>
  <c r="AA3663" i="1"/>
  <c r="AM3663" i="1"/>
  <c r="AN3663" i="1"/>
  <c r="AO3663" i="1"/>
  <c r="AQ3663" i="1"/>
  <c r="BB3663" i="1"/>
  <c r="BD3663" i="1"/>
  <c r="B3664" i="1"/>
  <c r="C3664" i="1"/>
  <c r="E3664" i="1"/>
  <c r="F3664" i="1"/>
  <c r="G3664" i="1"/>
  <c r="H3664" i="1"/>
  <c r="I3664" i="1"/>
  <c r="J3664" i="1"/>
  <c r="K3664" i="1"/>
  <c r="M3664" i="1"/>
  <c r="O3664" i="1"/>
  <c r="Q3664" i="1"/>
  <c r="R3664" i="1"/>
  <c r="W3664" i="1"/>
  <c r="AA3664" i="1"/>
  <c r="AM3664" i="1"/>
  <c r="AN3664" i="1"/>
  <c r="AO3664" i="1"/>
  <c r="AQ3664" i="1"/>
  <c r="BB3664" i="1"/>
  <c r="BD3664" i="1"/>
  <c r="B3665" i="1"/>
  <c r="C3665" i="1"/>
  <c r="E3665" i="1"/>
  <c r="F3665" i="1"/>
  <c r="G3665" i="1"/>
  <c r="H3665" i="1"/>
  <c r="I3665" i="1"/>
  <c r="J3665" i="1"/>
  <c r="K3665" i="1"/>
  <c r="M3665" i="1"/>
  <c r="O3665" i="1"/>
  <c r="Q3665" i="1"/>
  <c r="R3665" i="1"/>
  <c r="W3665" i="1"/>
  <c r="AA3665" i="1"/>
  <c r="AM3665" i="1"/>
  <c r="AN3665" i="1"/>
  <c r="AO3665" i="1"/>
  <c r="AQ3665" i="1"/>
  <c r="BB3665" i="1"/>
  <c r="BD3665" i="1"/>
  <c r="B3666" i="1"/>
  <c r="C3666" i="1"/>
  <c r="E3666" i="1"/>
  <c r="F3666" i="1"/>
  <c r="G3666" i="1"/>
  <c r="H3666" i="1"/>
  <c r="I3666" i="1"/>
  <c r="J3666" i="1"/>
  <c r="K3666" i="1"/>
  <c r="M3666" i="1"/>
  <c r="O3666" i="1"/>
  <c r="Q3666" i="1"/>
  <c r="R3666" i="1"/>
  <c r="W3666" i="1"/>
  <c r="AA3666" i="1"/>
  <c r="AM3666" i="1"/>
  <c r="AN3666" i="1"/>
  <c r="AO3666" i="1"/>
  <c r="AQ3666" i="1"/>
  <c r="BB3666" i="1"/>
  <c r="BD3666" i="1"/>
  <c r="B3667" i="1"/>
  <c r="C3667" i="1"/>
  <c r="E3667" i="1"/>
  <c r="F3667" i="1"/>
  <c r="G3667" i="1"/>
  <c r="H3667" i="1"/>
  <c r="I3667" i="1"/>
  <c r="J3667" i="1"/>
  <c r="K3667" i="1"/>
  <c r="M3667" i="1"/>
  <c r="O3667" i="1"/>
  <c r="Q3667" i="1"/>
  <c r="R3667" i="1"/>
  <c r="W3667" i="1"/>
  <c r="AA3667" i="1"/>
  <c r="AM3667" i="1"/>
  <c r="AN3667" i="1"/>
  <c r="AO3667" i="1"/>
  <c r="AQ3667" i="1"/>
  <c r="BB3667" i="1"/>
  <c r="BD3667" i="1"/>
  <c r="B3668" i="1"/>
  <c r="C3668" i="1"/>
  <c r="E3668" i="1"/>
  <c r="F3668" i="1"/>
  <c r="G3668" i="1"/>
  <c r="H3668" i="1"/>
  <c r="I3668" i="1"/>
  <c r="J3668" i="1"/>
  <c r="K3668" i="1"/>
  <c r="M3668" i="1"/>
  <c r="O3668" i="1"/>
  <c r="Q3668" i="1"/>
  <c r="R3668" i="1"/>
  <c r="W3668" i="1"/>
  <c r="AA3668" i="1"/>
  <c r="AM3668" i="1"/>
  <c r="AN3668" i="1"/>
  <c r="AO3668" i="1"/>
  <c r="AQ3668" i="1"/>
  <c r="BB3668" i="1"/>
  <c r="BD3668" i="1"/>
  <c r="B3669" i="1"/>
  <c r="C3669" i="1"/>
  <c r="E3669" i="1"/>
  <c r="F3669" i="1"/>
  <c r="G3669" i="1"/>
  <c r="H3669" i="1"/>
  <c r="I3669" i="1"/>
  <c r="J3669" i="1"/>
  <c r="K3669" i="1"/>
  <c r="M3669" i="1"/>
  <c r="O3669" i="1"/>
  <c r="Q3669" i="1"/>
  <c r="R3669" i="1"/>
  <c r="W3669" i="1"/>
  <c r="AA3669" i="1"/>
  <c r="AM3669" i="1"/>
  <c r="AN3669" i="1"/>
  <c r="AO3669" i="1"/>
  <c r="AQ3669" i="1"/>
  <c r="BB3669" i="1"/>
  <c r="BD3669" i="1"/>
  <c r="B3670" i="1"/>
  <c r="C3670" i="1"/>
  <c r="E3670" i="1"/>
  <c r="F3670" i="1"/>
  <c r="G3670" i="1"/>
  <c r="H3670" i="1"/>
  <c r="I3670" i="1"/>
  <c r="J3670" i="1"/>
  <c r="K3670" i="1"/>
  <c r="M3670" i="1"/>
  <c r="O3670" i="1"/>
  <c r="Q3670" i="1"/>
  <c r="R3670" i="1"/>
  <c r="W3670" i="1"/>
  <c r="AA3670" i="1"/>
  <c r="AM3670" i="1"/>
  <c r="AN3670" i="1"/>
  <c r="AO3670" i="1"/>
  <c r="AQ3670" i="1"/>
  <c r="BB3670" i="1"/>
  <c r="BD3670" i="1"/>
  <c r="B3671" i="1"/>
  <c r="E3671" i="1"/>
  <c r="F3671" i="1"/>
  <c r="G3671" i="1"/>
  <c r="H3671" i="1"/>
  <c r="I3671" i="1"/>
  <c r="J3671" i="1"/>
  <c r="K3671" i="1"/>
  <c r="M3671" i="1"/>
  <c r="O3671" i="1"/>
  <c r="Q3671" i="1"/>
  <c r="R3671" i="1"/>
  <c r="W3671" i="1"/>
  <c r="AA3671" i="1"/>
  <c r="AM3671" i="1"/>
  <c r="AN3671" i="1"/>
  <c r="AO3671" i="1"/>
  <c r="AQ3671" i="1"/>
  <c r="BB3671" i="1"/>
  <c r="BD3671" i="1"/>
  <c r="B3672" i="1"/>
  <c r="E3672" i="1"/>
  <c r="F3672" i="1"/>
  <c r="G3672" i="1"/>
  <c r="H3672" i="1"/>
  <c r="I3672" i="1"/>
  <c r="J3672" i="1"/>
  <c r="K3672" i="1"/>
  <c r="M3672" i="1"/>
  <c r="O3672" i="1"/>
  <c r="Q3672" i="1"/>
  <c r="R3672" i="1"/>
  <c r="W3672" i="1"/>
  <c r="AA3672" i="1"/>
  <c r="AM3672" i="1"/>
  <c r="AN3672" i="1"/>
  <c r="AO3672" i="1"/>
  <c r="AQ3672" i="1"/>
  <c r="BB3672" i="1"/>
  <c r="BD3672" i="1"/>
  <c r="B3673" i="1"/>
  <c r="E3673" i="1"/>
  <c r="F3673" i="1"/>
  <c r="G3673" i="1"/>
  <c r="H3673" i="1"/>
  <c r="I3673" i="1"/>
  <c r="J3673" i="1"/>
  <c r="K3673" i="1"/>
  <c r="M3673" i="1"/>
  <c r="O3673" i="1"/>
  <c r="Q3673" i="1"/>
  <c r="R3673" i="1"/>
  <c r="W3673" i="1"/>
  <c r="AA3673" i="1"/>
  <c r="AM3673" i="1"/>
  <c r="AN3673" i="1"/>
  <c r="AO3673" i="1"/>
  <c r="AQ3673" i="1"/>
  <c r="BB3673" i="1"/>
  <c r="BD3673" i="1"/>
  <c r="B3674" i="1"/>
  <c r="E3674" i="1"/>
  <c r="F3674" i="1"/>
  <c r="G3674" i="1"/>
  <c r="H3674" i="1"/>
  <c r="I3674" i="1"/>
  <c r="J3674" i="1"/>
  <c r="K3674" i="1"/>
  <c r="M3674" i="1"/>
  <c r="O3674" i="1"/>
  <c r="Q3674" i="1"/>
  <c r="R3674" i="1"/>
  <c r="W3674" i="1"/>
  <c r="AA3674" i="1"/>
  <c r="AM3674" i="1"/>
  <c r="AN3674" i="1"/>
  <c r="AO3674" i="1"/>
  <c r="AQ3674" i="1"/>
  <c r="BB3674" i="1"/>
  <c r="BD3674" i="1"/>
  <c r="B3675" i="1"/>
  <c r="C3675" i="1"/>
  <c r="D3675" i="1"/>
  <c r="E3675" i="1"/>
  <c r="F3675" i="1"/>
  <c r="G3675" i="1"/>
  <c r="H3675" i="1"/>
  <c r="I3675" i="1"/>
  <c r="J3675" i="1"/>
  <c r="K3675" i="1"/>
  <c r="M3675" i="1"/>
  <c r="O3675" i="1"/>
  <c r="Q3675" i="1"/>
  <c r="R3675" i="1"/>
  <c r="W3675" i="1"/>
  <c r="AA3675" i="1"/>
  <c r="AB3675" i="1"/>
  <c r="AM3675" i="1"/>
  <c r="AN3675" i="1"/>
  <c r="AO3675" i="1"/>
  <c r="AQ3675" i="1"/>
  <c r="AX3675" i="1"/>
  <c r="BD3675" i="1"/>
  <c r="B3676" i="1"/>
  <c r="C3676" i="1"/>
  <c r="E3676" i="1"/>
  <c r="F3676" i="1"/>
  <c r="G3676" i="1"/>
  <c r="H3676" i="1"/>
  <c r="I3676" i="1"/>
  <c r="J3676" i="1"/>
  <c r="K3676" i="1"/>
  <c r="M3676" i="1"/>
  <c r="O3676" i="1"/>
  <c r="Q3676" i="1"/>
  <c r="R3676" i="1"/>
  <c r="W3676" i="1"/>
  <c r="AA3676" i="1"/>
  <c r="AB3676" i="1"/>
  <c r="AE3676" i="1"/>
  <c r="AF3676" i="1"/>
  <c r="AM3676" i="1"/>
  <c r="AN3676" i="1"/>
  <c r="AO3676" i="1"/>
  <c r="AQ3676" i="1"/>
  <c r="AX3676" i="1"/>
  <c r="BD3676" i="1"/>
  <c r="B3677" i="1"/>
  <c r="C3677" i="1"/>
  <c r="D3677" i="1"/>
  <c r="E3677" i="1"/>
  <c r="F3677" i="1"/>
  <c r="G3677" i="1"/>
  <c r="H3677" i="1"/>
  <c r="I3677" i="1"/>
  <c r="J3677" i="1"/>
  <c r="K3677" i="1"/>
  <c r="M3677" i="1"/>
  <c r="O3677" i="1"/>
  <c r="Q3677" i="1"/>
  <c r="R3677" i="1"/>
  <c r="W3677" i="1"/>
  <c r="AA3677" i="1"/>
  <c r="AB3677" i="1"/>
  <c r="AE3677" i="1"/>
  <c r="AF3677" i="1"/>
  <c r="AM3677" i="1"/>
  <c r="AN3677" i="1"/>
  <c r="AO3677" i="1"/>
  <c r="AQ3677" i="1"/>
  <c r="AX3677" i="1"/>
  <c r="BD3677" i="1"/>
  <c r="B3678" i="1"/>
  <c r="C3678" i="1"/>
  <c r="D3678" i="1"/>
  <c r="E3678" i="1"/>
  <c r="F3678" i="1"/>
  <c r="G3678" i="1"/>
  <c r="H3678" i="1"/>
  <c r="I3678" i="1"/>
  <c r="J3678" i="1"/>
  <c r="K3678" i="1"/>
  <c r="M3678" i="1"/>
  <c r="O3678" i="1"/>
  <c r="Q3678" i="1"/>
  <c r="R3678" i="1"/>
  <c r="W3678" i="1"/>
  <c r="AA3678" i="1"/>
  <c r="AB3678" i="1"/>
  <c r="AE3678" i="1"/>
  <c r="AF3678" i="1"/>
  <c r="AM3678" i="1"/>
  <c r="AN3678" i="1"/>
  <c r="AO3678" i="1"/>
  <c r="AQ3678" i="1"/>
  <c r="AX3678" i="1"/>
  <c r="BD3678" i="1"/>
  <c r="B3679" i="1"/>
  <c r="C3679" i="1"/>
  <c r="D3679" i="1"/>
  <c r="E3679" i="1"/>
  <c r="F3679" i="1"/>
  <c r="G3679" i="1"/>
  <c r="H3679" i="1"/>
  <c r="I3679" i="1"/>
  <c r="J3679" i="1"/>
  <c r="K3679" i="1"/>
  <c r="M3679" i="1"/>
  <c r="O3679" i="1"/>
  <c r="Q3679" i="1"/>
  <c r="R3679" i="1"/>
  <c r="W3679" i="1"/>
  <c r="AA3679" i="1"/>
  <c r="AB3679" i="1"/>
  <c r="AE3679" i="1"/>
  <c r="AF3679" i="1"/>
  <c r="AM3679" i="1"/>
  <c r="AN3679" i="1"/>
  <c r="AO3679" i="1"/>
  <c r="AQ3679" i="1"/>
  <c r="AX3679" i="1"/>
  <c r="BD3679" i="1"/>
  <c r="B3680" i="1"/>
  <c r="C3680" i="1"/>
  <c r="D3680" i="1"/>
  <c r="E3680" i="1"/>
  <c r="F3680" i="1"/>
  <c r="G3680" i="1"/>
  <c r="H3680" i="1"/>
  <c r="I3680" i="1"/>
  <c r="J3680" i="1"/>
  <c r="K3680" i="1"/>
  <c r="M3680" i="1"/>
  <c r="O3680" i="1"/>
  <c r="Q3680" i="1"/>
  <c r="R3680" i="1"/>
  <c r="W3680" i="1"/>
  <c r="AA3680" i="1"/>
  <c r="AB3680" i="1"/>
  <c r="AE3680" i="1"/>
  <c r="AF3680" i="1"/>
  <c r="AM3680" i="1"/>
  <c r="AN3680" i="1"/>
  <c r="AO3680" i="1"/>
  <c r="AQ3680" i="1"/>
  <c r="AX3680" i="1"/>
  <c r="BD3680" i="1"/>
  <c r="B3681" i="1"/>
  <c r="C3681" i="1"/>
  <c r="E3681" i="1"/>
  <c r="F3681" i="1"/>
  <c r="G3681" i="1"/>
  <c r="H3681" i="1"/>
  <c r="I3681" i="1"/>
  <c r="J3681" i="1"/>
  <c r="K3681" i="1"/>
  <c r="M3681" i="1"/>
  <c r="O3681" i="1"/>
  <c r="Q3681" i="1"/>
  <c r="R3681" i="1"/>
  <c r="W3681" i="1"/>
  <c r="AA3681" i="1"/>
  <c r="AM3681" i="1"/>
  <c r="AN3681" i="1"/>
  <c r="AO3681" i="1"/>
  <c r="AQ3681" i="1"/>
  <c r="BB3681" i="1"/>
  <c r="BD3681" i="1"/>
  <c r="B3682" i="1"/>
  <c r="C3682" i="1"/>
  <c r="E3682" i="1"/>
  <c r="F3682" i="1"/>
  <c r="G3682" i="1"/>
  <c r="H3682" i="1"/>
  <c r="I3682" i="1"/>
  <c r="J3682" i="1"/>
  <c r="K3682" i="1"/>
  <c r="M3682" i="1"/>
  <c r="O3682" i="1"/>
  <c r="Q3682" i="1"/>
  <c r="R3682" i="1"/>
  <c r="W3682" i="1"/>
  <c r="AA3682" i="1"/>
  <c r="AM3682" i="1"/>
  <c r="AN3682" i="1"/>
  <c r="AO3682" i="1"/>
  <c r="AQ3682" i="1"/>
  <c r="BB3682" i="1"/>
  <c r="BD3682" i="1"/>
  <c r="B3683" i="1"/>
  <c r="C3683" i="1"/>
  <c r="E3683" i="1"/>
  <c r="F3683" i="1"/>
  <c r="G3683" i="1"/>
  <c r="H3683" i="1"/>
  <c r="I3683" i="1"/>
  <c r="J3683" i="1"/>
  <c r="K3683" i="1"/>
  <c r="M3683" i="1"/>
  <c r="O3683" i="1"/>
  <c r="Q3683" i="1"/>
  <c r="R3683" i="1"/>
  <c r="W3683" i="1"/>
  <c r="AA3683" i="1"/>
  <c r="AM3683" i="1"/>
  <c r="AN3683" i="1"/>
  <c r="AO3683" i="1"/>
  <c r="AQ3683" i="1"/>
  <c r="BB3683" i="1"/>
  <c r="BD3683" i="1"/>
  <c r="B3684" i="1"/>
  <c r="C3684" i="1"/>
  <c r="E3684" i="1"/>
  <c r="F3684" i="1"/>
  <c r="G3684" i="1"/>
  <c r="H3684" i="1"/>
  <c r="I3684" i="1"/>
  <c r="J3684" i="1"/>
  <c r="K3684" i="1"/>
  <c r="M3684" i="1"/>
  <c r="O3684" i="1"/>
  <c r="Q3684" i="1"/>
  <c r="R3684" i="1"/>
  <c r="W3684" i="1"/>
  <c r="AA3684" i="1"/>
  <c r="AM3684" i="1"/>
  <c r="AN3684" i="1"/>
  <c r="AO3684" i="1"/>
  <c r="AQ3684" i="1"/>
  <c r="BB3684" i="1"/>
  <c r="BD3684" i="1"/>
  <c r="B3685" i="1"/>
  <c r="C3685" i="1"/>
  <c r="E3685" i="1"/>
  <c r="F3685" i="1"/>
  <c r="G3685" i="1"/>
  <c r="H3685" i="1"/>
  <c r="I3685" i="1"/>
  <c r="J3685" i="1"/>
  <c r="K3685" i="1"/>
  <c r="M3685" i="1"/>
  <c r="O3685" i="1"/>
  <c r="Q3685" i="1"/>
  <c r="R3685" i="1"/>
  <c r="W3685" i="1"/>
  <c r="AA3685" i="1"/>
  <c r="AM3685" i="1"/>
  <c r="AN3685" i="1"/>
  <c r="AO3685" i="1"/>
  <c r="AQ3685" i="1"/>
  <c r="BB3685" i="1"/>
  <c r="BD3685" i="1"/>
  <c r="B3686" i="1"/>
  <c r="C3686" i="1"/>
  <c r="E3686" i="1"/>
  <c r="F3686" i="1"/>
  <c r="G3686" i="1"/>
  <c r="H3686" i="1"/>
  <c r="I3686" i="1"/>
  <c r="J3686" i="1"/>
  <c r="K3686" i="1"/>
  <c r="M3686" i="1"/>
  <c r="O3686" i="1"/>
  <c r="Q3686" i="1"/>
  <c r="R3686" i="1"/>
  <c r="W3686" i="1"/>
  <c r="AA3686" i="1"/>
  <c r="AM3686" i="1"/>
  <c r="AN3686" i="1"/>
  <c r="AO3686" i="1"/>
  <c r="AQ3686" i="1"/>
  <c r="BB3686" i="1"/>
  <c r="BD3686" i="1"/>
  <c r="B3687" i="1"/>
  <c r="C3687" i="1"/>
  <c r="E3687" i="1"/>
  <c r="F3687" i="1"/>
  <c r="G3687" i="1"/>
  <c r="H3687" i="1"/>
  <c r="I3687" i="1"/>
  <c r="J3687" i="1"/>
  <c r="K3687" i="1"/>
  <c r="M3687" i="1"/>
  <c r="O3687" i="1"/>
  <c r="Q3687" i="1"/>
  <c r="R3687" i="1"/>
  <c r="W3687" i="1"/>
  <c r="AA3687" i="1"/>
  <c r="AM3687" i="1"/>
  <c r="AN3687" i="1"/>
  <c r="AO3687" i="1"/>
  <c r="AQ3687" i="1"/>
  <c r="BB3687" i="1"/>
  <c r="BD3687" i="1"/>
  <c r="B3688" i="1"/>
  <c r="C3688" i="1"/>
  <c r="E3688" i="1"/>
  <c r="F3688" i="1"/>
  <c r="G3688" i="1"/>
  <c r="H3688" i="1"/>
  <c r="I3688" i="1"/>
  <c r="J3688" i="1"/>
  <c r="K3688" i="1"/>
  <c r="M3688" i="1"/>
  <c r="O3688" i="1"/>
  <c r="Q3688" i="1"/>
  <c r="R3688" i="1"/>
  <c r="W3688" i="1"/>
  <c r="AA3688" i="1"/>
  <c r="AM3688" i="1"/>
  <c r="AN3688" i="1"/>
  <c r="AO3688" i="1"/>
  <c r="AQ3688" i="1"/>
  <c r="BB3688" i="1"/>
  <c r="BD3688" i="1"/>
  <c r="B3689" i="1"/>
  <c r="C3689" i="1"/>
  <c r="E3689" i="1"/>
  <c r="F3689" i="1"/>
  <c r="G3689" i="1"/>
  <c r="H3689" i="1"/>
  <c r="I3689" i="1"/>
  <c r="J3689" i="1"/>
  <c r="K3689" i="1"/>
  <c r="M3689" i="1"/>
  <c r="O3689" i="1"/>
  <c r="Q3689" i="1"/>
  <c r="R3689" i="1"/>
  <c r="W3689" i="1"/>
  <c r="AA3689" i="1"/>
  <c r="AM3689" i="1"/>
  <c r="AN3689" i="1"/>
  <c r="AO3689" i="1"/>
  <c r="AQ3689" i="1"/>
  <c r="BB3689" i="1"/>
  <c r="BD3689" i="1"/>
  <c r="B3690" i="1"/>
  <c r="C3690" i="1"/>
  <c r="E3690" i="1"/>
  <c r="F3690" i="1"/>
  <c r="G3690" i="1"/>
  <c r="H3690" i="1"/>
  <c r="I3690" i="1"/>
  <c r="J3690" i="1"/>
  <c r="K3690" i="1"/>
  <c r="M3690" i="1"/>
  <c r="O3690" i="1"/>
  <c r="Q3690" i="1"/>
  <c r="R3690" i="1"/>
  <c r="W3690" i="1"/>
  <c r="AA3690" i="1"/>
  <c r="AM3690" i="1"/>
  <c r="AN3690" i="1"/>
  <c r="AO3690" i="1"/>
  <c r="AQ3690" i="1"/>
  <c r="BB3690" i="1"/>
  <c r="BD3690" i="1"/>
  <c r="B3691" i="1"/>
  <c r="C3691" i="1"/>
  <c r="D3691" i="1"/>
  <c r="E3691" i="1"/>
  <c r="F3691" i="1"/>
  <c r="G3691" i="1"/>
  <c r="H3691" i="1"/>
  <c r="I3691" i="1"/>
  <c r="J3691" i="1"/>
  <c r="K3691" i="1"/>
  <c r="M3691" i="1"/>
  <c r="O3691" i="1"/>
  <c r="Q3691" i="1"/>
  <c r="R3691" i="1"/>
  <c r="W3691" i="1"/>
  <c r="AA3691" i="1"/>
  <c r="AB3691" i="1"/>
  <c r="AE3691" i="1"/>
  <c r="AF3691" i="1"/>
  <c r="AM3691" i="1"/>
  <c r="AN3691" i="1"/>
  <c r="AO3691" i="1"/>
  <c r="AQ3691" i="1"/>
  <c r="AX3691" i="1"/>
  <c r="BD3691" i="1"/>
  <c r="B3692" i="1"/>
  <c r="C3692" i="1"/>
  <c r="E3692" i="1"/>
  <c r="F3692" i="1"/>
  <c r="G3692" i="1"/>
  <c r="H3692" i="1"/>
  <c r="I3692" i="1"/>
  <c r="J3692" i="1"/>
  <c r="K3692" i="1"/>
  <c r="M3692" i="1"/>
  <c r="O3692" i="1"/>
  <c r="Q3692" i="1"/>
  <c r="R3692" i="1"/>
  <c r="W3692" i="1"/>
  <c r="AA3692" i="1"/>
  <c r="AB3692" i="1"/>
  <c r="AE3692" i="1"/>
  <c r="AF3692" i="1"/>
  <c r="AM3692" i="1"/>
  <c r="AN3692" i="1"/>
  <c r="AO3692" i="1"/>
  <c r="AQ3692" i="1"/>
  <c r="AX3692" i="1"/>
  <c r="BD3692" i="1"/>
  <c r="B3693" i="1"/>
  <c r="C3693" i="1"/>
  <c r="D3693" i="1"/>
  <c r="E3693" i="1"/>
  <c r="F3693" i="1"/>
  <c r="G3693" i="1"/>
  <c r="H3693" i="1"/>
  <c r="I3693" i="1"/>
  <c r="J3693" i="1"/>
  <c r="K3693" i="1"/>
  <c r="M3693" i="1"/>
  <c r="O3693" i="1"/>
  <c r="Q3693" i="1"/>
  <c r="R3693" i="1"/>
  <c r="W3693" i="1"/>
  <c r="AA3693" i="1"/>
  <c r="AB3693" i="1"/>
  <c r="AE3693" i="1"/>
  <c r="AF3693" i="1"/>
  <c r="AM3693" i="1"/>
  <c r="AN3693" i="1"/>
  <c r="AO3693" i="1"/>
  <c r="AQ3693" i="1"/>
  <c r="AX3693" i="1"/>
  <c r="BD3693" i="1"/>
  <c r="B3694" i="1"/>
  <c r="C3694" i="1"/>
  <c r="E3694" i="1"/>
  <c r="F3694" i="1"/>
  <c r="G3694" i="1"/>
  <c r="H3694" i="1"/>
  <c r="I3694" i="1"/>
  <c r="J3694" i="1"/>
  <c r="K3694" i="1"/>
  <c r="M3694" i="1"/>
  <c r="O3694" i="1"/>
  <c r="Q3694" i="1"/>
  <c r="R3694" i="1"/>
  <c r="W3694" i="1"/>
  <c r="AA3694" i="1"/>
  <c r="AB3694" i="1"/>
  <c r="AE3694" i="1"/>
  <c r="AF3694" i="1"/>
  <c r="AM3694" i="1"/>
  <c r="AN3694" i="1"/>
  <c r="AO3694" i="1"/>
  <c r="AQ3694" i="1"/>
  <c r="AX3694" i="1"/>
  <c r="BD3694" i="1"/>
  <c r="B3695" i="1"/>
  <c r="C3695" i="1"/>
  <c r="E3695" i="1"/>
  <c r="F3695" i="1"/>
  <c r="G3695" i="1"/>
  <c r="H3695" i="1"/>
  <c r="I3695" i="1"/>
  <c r="J3695" i="1"/>
  <c r="K3695" i="1"/>
  <c r="M3695" i="1"/>
  <c r="O3695" i="1"/>
  <c r="Q3695" i="1"/>
  <c r="R3695" i="1"/>
  <c r="W3695" i="1"/>
  <c r="AA3695" i="1"/>
  <c r="AB3695" i="1"/>
  <c r="AE3695" i="1"/>
  <c r="AF3695" i="1"/>
  <c r="AM3695" i="1"/>
  <c r="AN3695" i="1"/>
  <c r="AO3695" i="1"/>
  <c r="AQ3695" i="1"/>
  <c r="AX3695" i="1"/>
  <c r="BD3695" i="1"/>
  <c r="B3696" i="1"/>
  <c r="C3696" i="1"/>
  <c r="D3696" i="1"/>
  <c r="E3696" i="1"/>
  <c r="F3696" i="1"/>
  <c r="G3696" i="1"/>
  <c r="H3696" i="1"/>
  <c r="I3696" i="1"/>
  <c r="J3696" i="1"/>
  <c r="K3696" i="1"/>
  <c r="M3696" i="1"/>
  <c r="O3696" i="1"/>
  <c r="Q3696" i="1"/>
  <c r="R3696" i="1"/>
  <c r="W3696" i="1"/>
  <c r="AA3696" i="1"/>
  <c r="AB3696" i="1"/>
  <c r="AE3696" i="1"/>
  <c r="AF3696" i="1"/>
  <c r="AM3696" i="1"/>
  <c r="AN3696" i="1"/>
  <c r="AO3696" i="1"/>
  <c r="AQ3696" i="1"/>
  <c r="AX3696" i="1"/>
  <c r="BD3696" i="1"/>
  <c r="B3697" i="1"/>
  <c r="C3697" i="1"/>
  <c r="E3697" i="1"/>
  <c r="F3697" i="1"/>
  <c r="G3697" i="1"/>
  <c r="H3697" i="1"/>
  <c r="I3697" i="1"/>
  <c r="J3697" i="1"/>
  <c r="K3697" i="1"/>
  <c r="M3697" i="1"/>
  <c r="O3697" i="1"/>
  <c r="Q3697" i="1"/>
  <c r="R3697" i="1"/>
  <c r="W3697" i="1"/>
  <c r="AA3697" i="1"/>
  <c r="AM3697" i="1"/>
  <c r="AN3697" i="1"/>
  <c r="AO3697" i="1"/>
  <c r="AP3697" i="1"/>
  <c r="AQ3697" i="1"/>
  <c r="BB3697" i="1"/>
  <c r="BD3697" i="1"/>
  <c r="B3698" i="1"/>
  <c r="C3698" i="1"/>
  <c r="E3698" i="1"/>
  <c r="F3698" i="1"/>
  <c r="G3698" i="1"/>
  <c r="H3698" i="1"/>
  <c r="I3698" i="1"/>
  <c r="J3698" i="1"/>
  <c r="K3698" i="1"/>
  <c r="M3698" i="1"/>
  <c r="O3698" i="1"/>
  <c r="Q3698" i="1"/>
  <c r="R3698" i="1"/>
  <c r="W3698" i="1"/>
  <c r="AA3698" i="1"/>
  <c r="AB3698" i="1"/>
  <c r="AE3698" i="1"/>
  <c r="AF3698" i="1"/>
  <c r="AM3698" i="1"/>
  <c r="AN3698" i="1"/>
  <c r="AO3698" i="1"/>
  <c r="AQ3698" i="1"/>
  <c r="AX3698" i="1"/>
  <c r="BD3698" i="1"/>
  <c r="B3699" i="1"/>
  <c r="C3699" i="1"/>
  <c r="D3699" i="1"/>
  <c r="E3699" i="1"/>
  <c r="F3699" i="1"/>
  <c r="G3699" i="1"/>
  <c r="H3699" i="1"/>
  <c r="I3699" i="1"/>
  <c r="J3699" i="1"/>
  <c r="K3699" i="1"/>
  <c r="M3699" i="1"/>
  <c r="O3699" i="1"/>
  <c r="Q3699" i="1"/>
  <c r="R3699" i="1"/>
  <c r="W3699" i="1"/>
  <c r="AA3699" i="1"/>
  <c r="AB3699" i="1"/>
  <c r="AE3699" i="1"/>
  <c r="AF3699" i="1"/>
  <c r="AM3699" i="1"/>
  <c r="AN3699" i="1"/>
  <c r="AO3699" i="1"/>
  <c r="AQ3699" i="1"/>
  <c r="AX3699" i="1"/>
  <c r="BD3699" i="1"/>
  <c r="B3700" i="1"/>
  <c r="C3700" i="1"/>
  <c r="D3700" i="1"/>
  <c r="E3700" i="1"/>
  <c r="F3700" i="1"/>
  <c r="G3700" i="1"/>
  <c r="H3700" i="1"/>
  <c r="I3700" i="1"/>
  <c r="J3700" i="1"/>
  <c r="K3700" i="1"/>
  <c r="M3700" i="1"/>
  <c r="O3700" i="1"/>
  <c r="Q3700" i="1"/>
  <c r="R3700" i="1"/>
  <c r="W3700" i="1"/>
  <c r="AA3700" i="1"/>
  <c r="AB3700" i="1"/>
  <c r="AE3700" i="1"/>
  <c r="AF3700" i="1"/>
  <c r="AM3700" i="1"/>
  <c r="AN3700" i="1"/>
  <c r="AO3700" i="1"/>
  <c r="AQ3700" i="1"/>
  <c r="AX3700" i="1"/>
  <c r="BD3700" i="1"/>
  <c r="B3701" i="1"/>
  <c r="C3701" i="1"/>
  <c r="D3701" i="1"/>
  <c r="E3701" i="1"/>
  <c r="F3701" i="1"/>
  <c r="G3701" i="1"/>
  <c r="H3701" i="1"/>
  <c r="I3701" i="1"/>
  <c r="J3701" i="1"/>
  <c r="K3701" i="1"/>
  <c r="M3701" i="1"/>
  <c r="O3701" i="1"/>
  <c r="Q3701" i="1"/>
  <c r="R3701" i="1"/>
  <c r="W3701" i="1"/>
  <c r="AA3701" i="1"/>
  <c r="AB3701" i="1"/>
  <c r="AE3701" i="1"/>
  <c r="AF3701" i="1"/>
  <c r="AM3701" i="1"/>
  <c r="AN3701" i="1"/>
  <c r="AO3701" i="1"/>
  <c r="AQ3701" i="1"/>
  <c r="AX3701" i="1"/>
  <c r="BD3701" i="1"/>
  <c r="B3702" i="1"/>
  <c r="C3702" i="1"/>
  <c r="D3702" i="1"/>
  <c r="E3702" i="1"/>
  <c r="F3702" i="1"/>
  <c r="G3702" i="1"/>
  <c r="H3702" i="1"/>
  <c r="I3702" i="1"/>
  <c r="J3702" i="1"/>
  <c r="K3702" i="1"/>
  <c r="M3702" i="1"/>
  <c r="O3702" i="1"/>
  <c r="Q3702" i="1"/>
  <c r="R3702" i="1"/>
  <c r="W3702" i="1"/>
  <c r="AA3702" i="1"/>
  <c r="AB3702" i="1"/>
  <c r="AE3702" i="1"/>
  <c r="AF3702" i="1"/>
  <c r="AM3702" i="1"/>
  <c r="AN3702" i="1"/>
  <c r="AO3702" i="1"/>
  <c r="AQ3702" i="1"/>
  <c r="AX3702" i="1"/>
  <c r="BD3702" i="1"/>
  <c r="B3703" i="1"/>
  <c r="C3703" i="1"/>
  <c r="D3703" i="1"/>
  <c r="E3703" i="1"/>
  <c r="F3703" i="1"/>
  <c r="G3703" i="1"/>
  <c r="H3703" i="1"/>
  <c r="I3703" i="1"/>
  <c r="J3703" i="1"/>
  <c r="K3703" i="1"/>
  <c r="M3703" i="1"/>
  <c r="O3703" i="1"/>
  <c r="Q3703" i="1"/>
  <c r="R3703" i="1"/>
  <c r="W3703" i="1"/>
  <c r="AA3703" i="1"/>
  <c r="AB3703" i="1"/>
  <c r="AE3703" i="1"/>
  <c r="AF3703" i="1"/>
  <c r="AM3703" i="1"/>
  <c r="AN3703" i="1"/>
  <c r="AO3703" i="1"/>
  <c r="AQ3703" i="1"/>
  <c r="AX3703" i="1"/>
  <c r="BD3703" i="1"/>
  <c r="B3704" i="1"/>
  <c r="C3704" i="1"/>
  <c r="D3704" i="1"/>
  <c r="E3704" i="1"/>
  <c r="F3704" i="1"/>
  <c r="G3704" i="1"/>
  <c r="H3704" i="1"/>
  <c r="I3704" i="1"/>
  <c r="J3704" i="1"/>
  <c r="K3704" i="1"/>
  <c r="M3704" i="1"/>
  <c r="O3704" i="1"/>
  <c r="Q3704" i="1"/>
  <c r="R3704" i="1"/>
  <c r="W3704" i="1"/>
  <c r="AA3704" i="1"/>
  <c r="AB3704" i="1"/>
  <c r="AE3704" i="1"/>
  <c r="AF3704" i="1"/>
  <c r="AM3704" i="1"/>
  <c r="AN3704" i="1"/>
  <c r="AO3704" i="1"/>
  <c r="AQ3704" i="1"/>
  <c r="AX3704" i="1"/>
  <c r="BD3704" i="1"/>
  <c r="B3705" i="1"/>
  <c r="C3705" i="1"/>
  <c r="D3705" i="1"/>
  <c r="E3705" i="1"/>
  <c r="F3705" i="1"/>
  <c r="G3705" i="1"/>
  <c r="H3705" i="1"/>
  <c r="I3705" i="1"/>
  <c r="J3705" i="1"/>
  <c r="K3705" i="1"/>
  <c r="M3705" i="1"/>
  <c r="O3705" i="1"/>
  <c r="Q3705" i="1"/>
  <c r="R3705" i="1"/>
  <c r="W3705" i="1"/>
  <c r="AA3705" i="1"/>
  <c r="AB3705" i="1"/>
  <c r="AE3705" i="1"/>
  <c r="AF3705" i="1"/>
  <c r="AM3705" i="1"/>
  <c r="AN3705" i="1"/>
  <c r="AO3705" i="1"/>
  <c r="AQ3705" i="1"/>
  <c r="AX3705" i="1"/>
  <c r="BD3705" i="1"/>
  <c r="B3706" i="1"/>
  <c r="C3706" i="1"/>
  <c r="D3706" i="1"/>
  <c r="E3706" i="1"/>
  <c r="F3706" i="1"/>
  <c r="G3706" i="1"/>
  <c r="H3706" i="1"/>
  <c r="I3706" i="1"/>
  <c r="J3706" i="1"/>
  <c r="K3706" i="1"/>
  <c r="M3706" i="1"/>
  <c r="O3706" i="1"/>
  <c r="Q3706" i="1"/>
  <c r="R3706" i="1"/>
  <c r="W3706" i="1"/>
  <c r="AA3706" i="1"/>
  <c r="AB3706" i="1"/>
  <c r="AE3706" i="1"/>
  <c r="AF3706" i="1"/>
  <c r="AM3706" i="1"/>
  <c r="AN3706" i="1"/>
  <c r="AO3706" i="1"/>
  <c r="AQ3706" i="1"/>
  <c r="AX3706" i="1"/>
  <c r="BD3706" i="1"/>
  <c r="B3707" i="1"/>
  <c r="C3707" i="1"/>
  <c r="D3707" i="1"/>
  <c r="E3707" i="1"/>
  <c r="F3707" i="1"/>
  <c r="G3707" i="1"/>
  <c r="H3707" i="1"/>
  <c r="I3707" i="1"/>
  <c r="J3707" i="1"/>
  <c r="K3707" i="1"/>
  <c r="M3707" i="1"/>
  <c r="O3707" i="1"/>
  <c r="Q3707" i="1"/>
  <c r="R3707" i="1"/>
  <c r="W3707" i="1"/>
  <c r="AA3707" i="1"/>
  <c r="AB3707" i="1"/>
  <c r="AE3707" i="1"/>
  <c r="AF3707" i="1"/>
  <c r="AM3707" i="1"/>
  <c r="AN3707" i="1"/>
  <c r="AO3707" i="1"/>
  <c r="AQ3707" i="1"/>
  <c r="AX3707" i="1"/>
  <c r="BD3707" i="1"/>
  <c r="B3708" i="1"/>
  <c r="C3708" i="1"/>
  <c r="D3708" i="1"/>
  <c r="E3708" i="1"/>
  <c r="F3708" i="1"/>
  <c r="G3708" i="1"/>
  <c r="H3708" i="1"/>
  <c r="I3708" i="1"/>
  <c r="J3708" i="1"/>
  <c r="K3708" i="1"/>
  <c r="M3708" i="1"/>
  <c r="O3708" i="1"/>
  <c r="Q3708" i="1"/>
  <c r="R3708" i="1"/>
  <c r="W3708" i="1"/>
  <c r="AA3708" i="1"/>
  <c r="AB3708" i="1"/>
  <c r="AE3708" i="1"/>
  <c r="AF3708" i="1"/>
  <c r="AM3708" i="1"/>
  <c r="AN3708" i="1"/>
  <c r="AO3708" i="1"/>
  <c r="AQ3708" i="1"/>
  <c r="AX3708" i="1"/>
  <c r="BD3708" i="1"/>
  <c r="B3709" i="1"/>
  <c r="C3709" i="1"/>
  <c r="E3709" i="1"/>
  <c r="F3709" i="1"/>
  <c r="G3709" i="1"/>
  <c r="H3709" i="1"/>
  <c r="I3709" i="1"/>
  <c r="J3709" i="1"/>
  <c r="K3709" i="1"/>
  <c r="M3709" i="1"/>
  <c r="O3709" i="1"/>
  <c r="Q3709" i="1"/>
  <c r="R3709" i="1"/>
  <c r="W3709" i="1"/>
  <c r="AA3709" i="1"/>
  <c r="AB3709" i="1"/>
  <c r="AE3709" i="1"/>
  <c r="AF3709" i="1"/>
  <c r="AM3709" i="1"/>
  <c r="AN3709" i="1"/>
  <c r="AO3709" i="1"/>
  <c r="AQ3709" i="1"/>
  <c r="AX3709" i="1"/>
  <c r="BD3709" i="1"/>
  <c r="B3710" i="1"/>
  <c r="C3710" i="1"/>
  <c r="D3710" i="1"/>
  <c r="E3710" i="1"/>
  <c r="F3710" i="1"/>
  <c r="G3710" i="1"/>
  <c r="H3710" i="1"/>
  <c r="I3710" i="1"/>
  <c r="J3710" i="1"/>
  <c r="K3710" i="1"/>
  <c r="M3710" i="1"/>
  <c r="O3710" i="1"/>
  <c r="Q3710" i="1"/>
  <c r="R3710" i="1"/>
  <c r="W3710" i="1"/>
  <c r="AA3710" i="1"/>
  <c r="AB3710" i="1"/>
  <c r="AE3710" i="1"/>
  <c r="AF3710" i="1"/>
  <c r="AM3710" i="1"/>
  <c r="AN3710" i="1"/>
  <c r="AO3710" i="1"/>
  <c r="AQ3710" i="1"/>
  <c r="AX3710" i="1"/>
  <c r="BD3710" i="1"/>
  <c r="B3711" i="1"/>
  <c r="E3711" i="1"/>
  <c r="F3711" i="1"/>
  <c r="G3711" i="1"/>
  <c r="H3711" i="1"/>
  <c r="I3711" i="1"/>
  <c r="J3711" i="1"/>
  <c r="K3711" i="1"/>
  <c r="M3711" i="1"/>
  <c r="O3711" i="1"/>
  <c r="Q3711" i="1"/>
  <c r="R3711" i="1"/>
  <c r="W3711" i="1"/>
  <c r="AA3711" i="1"/>
  <c r="AB3711" i="1"/>
  <c r="AM3711" i="1"/>
  <c r="AN3711" i="1"/>
  <c r="AO3711" i="1"/>
  <c r="AQ3711" i="1"/>
  <c r="AX3711" i="1"/>
  <c r="BD3711" i="1"/>
  <c r="B3712" i="1"/>
  <c r="C3712" i="1"/>
  <c r="E3712" i="1"/>
  <c r="F3712" i="1"/>
  <c r="G3712" i="1"/>
  <c r="H3712" i="1"/>
  <c r="I3712" i="1"/>
  <c r="J3712" i="1"/>
  <c r="K3712" i="1"/>
  <c r="M3712" i="1"/>
  <c r="O3712" i="1"/>
  <c r="Q3712" i="1"/>
  <c r="R3712" i="1"/>
  <c r="W3712" i="1"/>
  <c r="AA3712" i="1"/>
  <c r="AB3712" i="1"/>
  <c r="AE3712" i="1"/>
  <c r="AF3712" i="1"/>
  <c r="AM3712" i="1"/>
  <c r="AN3712" i="1"/>
  <c r="AO3712" i="1"/>
  <c r="AQ3712" i="1"/>
  <c r="AX3712" i="1"/>
  <c r="BD3712" i="1"/>
  <c r="B3713" i="1"/>
  <c r="C3713" i="1"/>
  <c r="E3713" i="1"/>
  <c r="F3713" i="1"/>
  <c r="G3713" i="1"/>
  <c r="H3713" i="1"/>
  <c r="I3713" i="1"/>
  <c r="J3713" i="1"/>
  <c r="K3713" i="1"/>
  <c r="M3713" i="1"/>
  <c r="O3713" i="1"/>
  <c r="Q3713" i="1"/>
  <c r="R3713" i="1"/>
  <c r="W3713" i="1"/>
  <c r="AA3713" i="1"/>
  <c r="AB3713" i="1"/>
  <c r="AE3713" i="1"/>
  <c r="AF3713" i="1"/>
  <c r="AM3713" i="1"/>
  <c r="AN3713" i="1"/>
  <c r="AO3713" i="1"/>
  <c r="AQ3713" i="1"/>
  <c r="AX3713" i="1"/>
  <c r="BD3713" i="1"/>
  <c r="B3714" i="1"/>
  <c r="C3714" i="1"/>
  <c r="D3714" i="1"/>
  <c r="E3714" i="1"/>
  <c r="F3714" i="1"/>
  <c r="G3714" i="1"/>
  <c r="H3714" i="1"/>
  <c r="I3714" i="1"/>
  <c r="J3714" i="1"/>
  <c r="K3714" i="1"/>
  <c r="M3714" i="1"/>
  <c r="O3714" i="1"/>
  <c r="Q3714" i="1"/>
  <c r="R3714" i="1"/>
  <c r="W3714" i="1"/>
  <c r="AA3714" i="1"/>
  <c r="AB3714" i="1"/>
  <c r="AE3714" i="1"/>
  <c r="AF3714" i="1"/>
  <c r="AM3714" i="1"/>
  <c r="AN3714" i="1"/>
  <c r="AO3714" i="1"/>
  <c r="AQ3714" i="1"/>
  <c r="AX3714" i="1"/>
  <c r="BD3714" i="1"/>
  <c r="B3715" i="1"/>
  <c r="C3715" i="1"/>
  <c r="D3715" i="1"/>
  <c r="E3715" i="1"/>
  <c r="F3715" i="1"/>
  <c r="G3715" i="1"/>
  <c r="H3715" i="1"/>
  <c r="I3715" i="1"/>
  <c r="J3715" i="1"/>
  <c r="K3715" i="1"/>
  <c r="M3715" i="1"/>
  <c r="O3715" i="1"/>
  <c r="Q3715" i="1"/>
  <c r="R3715" i="1"/>
  <c r="W3715" i="1"/>
  <c r="AA3715" i="1"/>
  <c r="AB3715" i="1"/>
  <c r="AE3715" i="1"/>
  <c r="AF3715" i="1"/>
  <c r="AM3715" i="1"/>
  <c r="AN3715" i="1"/>
  <c r="AO3715" i="1"/>
  <c r="AQ3715" i="1"/>
  <c r="AX3715" i="1"/>
  <c r="BD3715" i="1"/>
  <c r="B3716" i="1"/>
  <c r="C3716" i="1"/>
  <c r="D3716" i="1"/>
  <c r="E3716" i="1"/>
  <c r="F3716" i="1"/>
  <c r="G3716" i="1"/>
  <c r="H3716" i="1"/>
  <c r="I3716" i="1"/>
  <c r="J3716" i="1"/>
  <c r="K3716" i="1"/>
  <c r="M3716" i="1"/>
  <c r="O3716" i="1"/>
  <c r="Q3716" i="1"/>
  <c r="R3716" i="1"/>
  <c r="W3716" i="1"/>
  <c r="AA3716" i="1"/>
  <c r="AB3716" i="1"/>
  <c r="AE3716" i="1"/>
  <c r="AF3716" i="1"/>
  <c r="AM3716" i="1"/>
  <c r="AN3716" i="1"/>
  <c r="AO3716" i="1"/>
  <c r="AQ3716" i="1"/>
  <c r="AX3716" i="1"/>
  <c r="BD3716" i="1"/>
  <c r="B3717" i="1"/>
  <c r="C3717" i="1"/>
  <c r="D3717" i="1"/>
  <c r="E3717" i="1"/>
  <c r="F3717" i="1"/>
  <c r="G3717" i="1"/>
  <c r="H3717" i="1"/>
  <c r="I3717" i="1"/>
  <c r="J3717" i="1"/>
  <c r="K3717" i="1"/>
  <c r="M3717" i="1"/>
  <c r="O3717" i="1"/>
  <c r="Q3717" i="1"/>
  <c r="R3717" i="1"/>
  <c r="W3717" i="1"/>
  <c r="AA3717" i="1"/>
  <c r="AB3717" i="1"/>
  <c r="AE3717" i="1"/>
  <c r="AF3717" i="1"/>
  <c r="AM3717" i="1"/>
  <c r="AN3717" i="1"/>
  <c r="AO3717" i="1"/>
  <c r="AQ3717" i="1"/>
  <c r="AX3717" i="1"/>
  <c r="BD3717" i="1"/>
  <c r="B3718" i="1"/>
  <c r="C3718" i="1"/>
  <c r="D3718" i="1"/>
  <c r="E3718" i="1"/>
  <c r="F3718" i="1"/>
  <c r="G3718" i="1"/>
  <c r="H3718" i="1"/>
  <c r="I3718" i="1"/>
  <c r="J3718" i="1"/>
  <c r="K3718" i="1"/>
  <c r="M3718" i="1"/>
  <c r="O3718" i="1"/>
  <c r="Q3718" i="1"/>
  <c r="R3718" i="1"/>
  <c r="W3718" i="1"/>
  <c r="AA3718" i="1"/>
  <c r="AB3718" i="1"/>
  <c r="AE3718" i="1"/>
  <c r="AF3718" i="1"/>
  <c r="AM3718" i="1"/>
  <c r="AN3718" i="1"/>
  <c r="AO3718" i="1"/>
  <c r="AQ3718" i="1"/>
  <c r="AX3718" i="1"/>
  <c r="BD3718" i="1"/>
  <c r="B3719" i="1"/>
  <c r="C3719" i="1"/>
  <c r="D3719" i="1"/>
  <c r="E3719" i="1"/>
  <c r="F3719" i="1"/>
  <c r="G3719" i="1"/>
  <c r="H3719" i="1"/>
  <c r="I3719" i="1"/>
  <c r="J3719" i="1"/>
  <c r="K3719" i="1"/>
  <c r="M3719" i="1"/>
  <c r="O3719" i="1"/>
  <c r="Q3719" i="1"/>
  <c r="R3719" i="1"/>
  <c r="W3719" i="1"/>
  <c r="AA3719" i="1"/>
  <c r="AB3719" i="1"/>
  <c r="AE3719" i="1"/>
  <c r="AF3719" i="1"/>
  <c r="AM3719" i="1"/>
  <c r="AN3719" i="1"/>
  <c r="AO3719" i="1"/>
  <c r="AQ3719" i="1"/>
  <c r="AX3719" i="1"/>
  <c r="BD3719" i="1"/>
  <c r="B3720" i="1"/>
  <c r="C3720" i="1"/>
  <c r="D3720" i="1"/>
  <c r="E3720" i="1"/>
  <c r="F3720" i="1"/>
  <c r="G3720" i="1"/>
  <c r="H3720" i="1"/>
  <c r="I3720" i="1"/>
  <c r="J3720" i="1"/>
  <c r="K3720" i="1"/>
  <c r="M3720" i="1"/>
  <c r="O3720" i="1"/>
  <c r="Q3720" i="1"/>
  <c r="R3720" i="1"/>
  <c r="W3720" i="1"/>
  <c r="AA3720" i="1"/>
  <c r="AB3720" i="1"/>
  <c r="AE3720" i="1"/>
  <c r="AF3720" i="1"/>
  <c r="AM3720" i="1"/>
  <c r="AN3720" i="1"/>
  <c r="AO3720" i="1"/>
  <c r="AQ3720" i="1"/>
  <c r="AX3720" i="1"/>
  <c r="BD3720" i="1"/>
  <c r="B3721" i="1"/>
  <c r="C3721" i="1"/>
  <c r="E3721" i="1"/>
  <c r="F3721" i="1"/>
  <c r="G3721" i="1"/>
  <c r="H3721" i="1"/>
  <c r="I3721" i="1"/>
  <c r="J3721" i="1"/>
  <c r="K3721" i="1"/>
  <c r="M3721" i="1"/>
  <c r="O3721" i="1"/>
  <c r="Q3721" i="1"/>
  <c r="R3721" i="1"/>
  <c r="W3721" i="1"/>
  <c r="AA3721" i="1"/>
  <c r="AB3721" i="1"/>
  <c r="AE3721" i="1"/>
  <c r="AF3721" i="1"/>
  <c r="AM3721" i="1"/>
  <c r="AN3721" i="1"/>
  <c r="AO3721" i="1"/>
  <c r="AQ3721" i="1"/>
  <c r="AX3721" i="1"/>
  <c r="BD3721" i="1"/>
  <c r="B3722" i="1"/>
  <c r="C3722" i="1"/>
  <c r="E3722" i="1"/>
  <c r="F3722" i="1"/>
  <c r="G3722" i="1"/>
  <c r="H3722" i="1"/>
  <c r="I3722" i="1"/>
  <c r="J3722" i="1"/>
  <c r="K3722" i="1"/>
  <c r="M3722" i="1"/>
  <c r="O3722" i="1"/>
  <c r="Q3722" i="1"/>
  <c r="R3722" i="1"/>
  <c r="W3722" i="1"/>
  <c r="AA3722" i="1"/>
  <c r="AB3722" i="1"/>
  <c r="AE3722" i="1"/>
  <c r="AF3722" i="1"/>
  <c r="AM3722" i="1"/>
  <c r="AN3722" i="1"/>
  <c r="AO3722" i="1"/>
  <c r="AQ3722" i="1"/>
  <c r="AX3722" i="1"/>
  <c r="BD3722" i="1"/>
  <c r="B3723" i="1"/>
  <c r="C3723" i="1"/>
  <c r="E3723" i="1"/>
  <c r="F3723" i="1"/>
  <c r="G3723" i="1"/>
  <c r="H3723" i="1"/>
  <c r="I3723" i="1"/>
  <c r="J3723" i="1"/>
  <c r="K3723" i="1"/>
  <c r="M3723" i="1"/>
  <c r="O3723" i="1"/>
  <c r="Q3723" i="1"/>
  <c r="R3723" i="1"/>
  <c r="W3723" i="1"/>
  <c r="AA3723" i="1"/>
  <c r="AB3723" i="1"/>
  <c r="AE3723" i="1"/>
  <c r="AF3723" i="1"/>
  <c r="AM3723" i="1"/>
  <c r="AN3723" i="1"/>
  <c r="AO3723" i="1"/>
  <c r="AQ3723" i="1"/>
  <c r="AX3723" i="1"/>
  <c r="BD3723" i="1"/>
  <c r="B3724" i="1"/>
  <c r="C3724" i="1"/>
  <c r="E3724" i="1"/>
  <c r="F3724" i="1"/>
  <c r="G3724" i="1"/>
  <c r="H3724" i="1"/>
  <c r="I3724" i="1"/>
  <c r="J3724" i="1"/>
  <c r="K3724" i="1"/>
  <c r="M3724" i="1"/>
  <c r="O3724" i="1"/>
  <c r="Q3724" i="1"/>
  <c r="R3724" i="1"/>
  <c r="W3724" i="1"/>
  <c r="AA3724" i="1"/>
  <c r="AB3724" i="1"/>
  <c r="AE3724" i="1"/>
  <c r="AF3724" i="1"/>
  <c r="AM3724" i="1"/>
  <c r="AN3724" i="1"/>
  <c r="AO3724" i="1"/>
  <c r="AQ3724" i="1"/>
  <c r="AX3724" i="1"/>
  <c r="BD3724" i="1"/>
  <c r="B3725" i="1"/>
  <c r="C3725" i="1"/>
  <c r="E3725" i="1"/>
  <c r="F3725" i="1"/>
  <c r="G3725" i="1"/>
  <c r="H3725" i="1"/>
  <c r="I3725" i="1"/>
  <c r="J3725" i="1"/>
  <c r="K3725" i="1"/>
  <c r="M3725" i="1"/>
  <c r="O3725" i="1"/>
  <c r="Q3725" i="1"/>
  <c r="R3725" i="1"/>
  <c r="W3725" i="1"/>
  <c r="AA3725" i="1"/>
  <c r="AB3725" i="1"/>
  <c r="AE3725" i="1"/>
  <c r="AF3725" i="1"/>
  <c r="AM3725" i="1"/>
  <c r="AN3725" i="1"/>
  <c r="AO3725" i="1"/>
  <c r="AQ3725" i="1"/>
  <c r="AX3725" i="1"/>
  <c r="BD3725" i="1"/>
  <c r="B3726" i="1"/>
  <c r="C3726" i="1"/>
  <c r="E3726" i="1"/>
  <c r="F3726" i="1"/>
  <c r="G3726" i="1"/>
  <c r="H3726" i="1"/>
  <c r="I3726" i="1"/>
  <c r="J3726" i="1"/>
  <c r="K3726" i="1"/>
  <c r="M3726" i="1"/>
  <c r="O3726" i="1"/>
  <c r="Q3726" i="1"/>
  <c r="R3726" i="1"/>
  <c r="W3726" i="1"/>
  <c r="AA3726" i="1"/>
  <c r="AB3726" i="1"/>
  <c r="AE3726" i="1"/>
  <c r="AF3726" i="1"/>
  <c r="AM3726" i="1"/>
  <c r="AN3726" i="1"/>
  <c r="AO3726" i="1"/>
  <c r="AQ3726" i="1"/>
  <c r="AX3726" i="1"/>
  <c r="BD3726" i="1"/>
  <c r="B3727" i="1"/>
  <c r="C3727" i="1"/>
  <c r="E3727" i="1"/>
  <c r="F3727" i="1"/>
  <c r="G3727" i="1"/>
  <c r="H3727" i="1"/>
  <c r="I3727" i="1"/>
  <c r="J3727" i="1"/>
  <c r="K3727" i="1"/>
  <c r="M3727" i="1"/>
  <c r="O3727" i="1"/>
  <c r="Q3727" i="1"/>
  <c r="R3727" i="1"/>
  <c r="W3727" i="1"/>
  <c r="AA3727" i="1"/>
  <c r="AB3727" i="1"/>
  <c r="AE3727" i="1"/>
  <c r="AF3727" i="1"/>
  <c r="AM3727" i="1"/>
  <c r="AN3727" i="1"/>
  <c r="AO3727" i="1"/>
  <c r="AQ3727" i="1"/>
  <c r="AX3727" i="1"/>
  <c r="BD3727" i="1"/>
  <c r="B3728" i="1"/>
  <c r="C3728" i="1"/>
  <c r="E3728" i="1"/>
  <c r="F3728" i="1"/>
  <c r="G3728" i="1"/>
  <c r="H3728" i="1"/>
  <c r="I3728" i="1"/>
  <c r="J3728" i="1"/>
  <c r="K3728" i="1"/>
  <c r="M3728" i="1"/>
  <c r="O3728" i="1"/>
  <c r="Q3728" i="1"/>
  <c r="R3728" i="1"/>
  <c r="W3728" i="1"/>
  <c r="AA3728" i="1"/>
  <c r="AB3728" i="1"/>
  <c r="AE3728" i="1"/>
  <c r="AF3728" i="1"/>
  <c r="AM3728" i="1"/>
  <c r="AN3728" i="1"/>
  <c r="AO3728" i="1"/>
  <c r="AQ3728" i="1"/>
  <c r="AX3728" i="1"/>
  <c r="BD3728" i="1"/>
  <c r="B3729" i="1"/>
  <c r="C3729" i="1"/>
  <c r="E3729" i="1"/>
  <c r="F3729" i="1"/>
  <c r="G3729" i="1"/>
  <c r="H3729" i="1"/>
  <c r="I3729" i="1"/>
  <c r="J3729" i="1"/>
  <c r="K3729" i="1"/>
  <c r="M3729" i="1"/>
  <c r="O3729" i="1"/>
  <c r="Q3729" i="1"/>
  <c r="R3729" i="1"/>
  <c r="W3729" i="1"/>
  <c r="AA3729" i="1"/>
  <c r="AB3729" i="1"/>
  <c r="AE3729" i="1"/>
  <c r="AF3729" i="1"/>
  <c r="AM3729" i="1"/>
  <c r="AN3729" i="1"/>
  <c r="AO3729" i="1"/>
  <c r="AQ3729" i="1"/>
  <c r="AX3729" i="1"/>
  <c r="BD3729" i="1"/>
  <c r="B3730" i="1"/>
  <c r="C3730" i="1"/>
  <c r="E3730" i="1"/>
  <c r="F3730" i="1"/>
  <c r="G3730" i="1"/>
  <c r="H3730" i="1"/>
  <c r="I3730" i="1"/>
  <c r="J3730" i="1"/>
  <c r="K3730" i="1"/>
  <c r="M3730" i="1"/>
  <c r="O3730" i="1"/>
  <c r="Q3730" i="1"/>
  <c r="R3730" i="1"/>
  <c r="W3730" i="1"/>
  <c r="AA3730" i="1"/>
  <c r="AB3730" i="1"/>
  <c r="AE3730" i="1"/>
  <c r="AF3730" i="1"/>
  <c r="AM3730" i="1"/>
  <c r="AN3730" i="1"/>
  <c r="AO3730" i="1"/>
  <c r="AQ3730" i="1"/>
  <c r="AX3730" i="1"/>
  <c r="BD3730" i="1"/>
  <c r="B3731" i="1"/>
  <c r="C3731" i="1"/>
  <c r="E3731" i="1"/>
  <c r="F3731" i="1"/>
  <c r="G3731" i="1"/>
  <c r="H3731" i="1"/>
  <c r="I3731" i="1"/>
  <c r="J3731" i="1"/>
  <c r="K3731" i="1"/>
  <c r="M3731" i="1"/>
  <c r="O3731" i="1"/>
  <c r="Q3731" i="1"/>
  <c r="R3731" i="1"/>
  <c r="W3731" i="1"/>
  <c r="AA3731" i="1"/>
  <c r="AB3731" i="1"/>
  <c r="AE3731" i="1"/>
  <c r="AF3731" i="1"/>
  <c r="AM3731" i="1"/>
  <c r="AN3731" i="1"/>
  <c r="AO3731" i="1"/>
  <c r="AQ3731" i="1"/>
  <c r="AX3731" i="1"/>
  <c r="BD3731" i="1"/>
  <c r="B3732" i="1"/>
  <c r="C3732" i="1"/>
  <c r="E3732" i="1"/>
  <c r="F3732" i="1"/>
  <c r="G3732" i="1"/>
  <c r="H3732" i="1"/>
  <c r="I3732" i="1"/>
  <c r="J3732" i="1"/>
  <c r="K3732" i="1"/>
  <c r="M3732" i="1"/>
  <c r="O3732" i="1"/>
  <c r="Q3732" i="1"/>
  <c r="R3732" i="1"/>
  <c r="W3732" i="1"/>
  <c r="AA3732" i="1"/>
  <c r="AM3732" i="1"/>
  <c r="AN3732" i="1"/>
  <c r="AO3732" i="1"/>
  <c r="AQ3732" i="1"/>
  <c r="BB3732" i="1"/>
  <c r="BD3732" i="1"/>
  <c r="B3733" i="1"/>
  <c r="C3733" i="1"/>
  <c r="E3733" i="1"/>
  <c r="F3733" i="1"/>
  <c r="G3733" i="1"/>
  <c r="H3733" i="1"/>
  <c r="I3733" i="1"/>
  <c r="J3733" i="1"/>
  <c r="K3733" i="1"/>
  <c r="M3733" i="1"/>
  <c r="O3733" i="1"/>
  <c r="Q3733" i="1"/>
  <c r="R3733" i="1"/>
  <c r="W3733" i="1"/>
  <c r="AA3733" i="1"/>
  <c r="AM3733" i="1"/>
  <c r="AN3733" i="1"/>
  <c r="AO3733" i="1"/>
  <c r="AQ3733" i="1"/>
  <c r="BB3733" i="1"/>
  <c r="BD3733" i="1"/>
  <c r="B3734" i="1"/>
  <c r="C3734" i="1"/>
  <c r="E3734" i="1"/>
  <c r="F3734" i="1"/>
  <c r="G3734" i="1"/>
  <c r="H3734" i="1"/>
  <c r="I3734" i="1"/>
  <c r="J3734" i="1"/>
  <c r="K3734" i="1"/>
  <c r="M3734" i="1"/>
  <c r="O3734" i="1"/>
  <c r="Q3734" i="1"/>
  <c r="R3734" i="1"/>
  <c r="W3734" i="1"/>
  <c r="AA3734" i="1"/>
  <c r="AM3734" i="1"/>
  <c r="AN3734" i="1"/>
  <c r="AO3734" i="1"/>
  <c r="AQ3734" i="1"/>
  <c r="BB3734" i="1"/>
  <c r="BD3734" i="1"/>
  <c r="B3735" i="1"/>
  <c r="C3735" i="1"/>
  <c r="E3735" i="1"/>
  <c r="F3735" i="1"/>
  <c r="G3735" i="1"/>
  <c r="H3735" i="1"/>
  <c r="I3735" i="1"/>
  <c r="J3735" i="1"/>
  <c r="K3735" i="1"/>
  <c r="M3735" i="1"/>
  <c r="O3735" i="1"/>
  <c r="Q3735" i="1"/>
  <c r="R3735" i="1"/>
  <c r="W3735" i="1"/>
  <c r="AA3735" i="1"/>
  <c r="AM3735" i="1"/>
  <c r="AN3735" i="1"/>
  <c r="AO3735" i="1"/>
  <c r="AQ3735" i="1"/>
  <c r="BB3735" i="1"/>
  <c r="BD3735" i="1"/>
  <c r="B3736" i="1"/>
  <c r="C3736" i="1"/>
  <c r="E3736" i="1"/>
  <c r="F3736" i="1"/>
  <c r="G3736" i="1"/>
  <c r="H3736" i="1"/>
  <c r="I3736" i="1"/>
  <c r="J3736" i="1"/>
  <c r="K3736" i="1"/>
  <c r="M3736" i="1"/>
  <c r="O3736" i="1"/>
  <c r="Q3736" i="1"/>
  <c r="R3736" i="1"/>
  <c r="W3736" i="1"/>
  <c r="AA3736" i="1"/>
  <c r="AB3736" i="1"/>
  <c r="AE3736" i="1"/>
  <c r="AF3736" i="1"/>
  <c r="AM3736" i="1"/>
  <c r="AN3736" i="1"/>
  <c r="AO3736" i="1"/>
  <c r="AQ3736" i="1"/>
  <c r="AX3736" i="1"/>
  <c r="BD3736" i="1"/>
  <c r="B3737" i="1"/>
  <c r="C3737" i="1"/>
  <c r="E3737" i="1"/>
  <c r="F3737" i="1"/>
  <c r="G3737" i="1"/>
  <c r="H3737" i="1"/>
  <c r="I3737" i="1"/>
  <c r="J3737" i="1"/>
  <c r="K3737" i="1"/>
  <c r="M3737" i="1"/>
  <c r="O3737" i="1"/>
  <c r="Q3737" i="1"/>
  <c r="R3737" i="1"/>
  <c r="W3737" i="1"/>
  <c r="AA3737" i="1"/>
  <c r="AB3737" i="1"/>
  <c r="AE3737" i="1"/>
  <c r="AF3737" i="1"/>
  <c r="AM3737" i="1"/>
  <c r="AN3737" i="1"/>
  <c r="AO3737" i="1"/>
  <c r="AQ3737" i="1"/>
  <c r="AX3737" i="1"/>
  <c r="BD3737" i="1"/>
  <c r="B3738" i="1"/>
  <c r="C3738" i="1"/>
  <c r="E3738" i="1"/>
  <c r="F3738" i="1"/>
  <c r="G3738" i="1"/>
  <c r="H3738" i="1"/>
  <c r="I3738" i="1"/>
  <c r="J3738" i="1"/>
  <c r="K3738" i="1"/>
  <c r="M3738" i="1"/>
  <c r="O3738" i="1"/>
  <c r="Q3738" i="1"/>
  <c r="R3738" i="1"/>
  <c r="W3738" i="1"/>
  <c r="AA3738" i="1"/>
  <c r="AB3738" i="1"/>
  <c r="AE3738" i="1"/>
  <c r="AF3738" i="1"/>
  <c r="AM3738" i="1"/>
  <c r="AN3738" i="1"/>
  <c r="AO3738" i="1"/>
  <c r="AQ3738" i="1"/>
  <c r="AX3738" i="1"/>
  <c r="BD3738" i="1"/>
  <c r="B3739" i="1"/>
  <c r="C3739" i="1"/>
  <c r="E3739" i="1"/>
  <c r="F3739" i="1"/>
  <c r="G3739" i="1"/>
  <c r="H3739" i="1"/>
  <c r="I3739" i="1"/>
  <c r="J3739" i="1"/>
  <c r="K3739" i="1"/>
  <c r="M3739" i="1"/>
  <c r="O3739" i="1"/>
  <c r="Q3739" i="1"/>
  <c r="R3739" i="1"/>
  <c r="W3739" i="1"/>
  <c r="AA3739" i="1"/>
  <c r="AB3739" i="1"/>
  <c r="AE3739" i="1"/>
  <c r="AF3739" i="1"/>
  <c r="AM3739" i="1"/>
  <c r="AN3739" i="1"/>
  <c r="AO3739" i="1"/>
  <c r="AQ3739" i="1"/>
  <c r="AX3739" i="1"/>
  <c r="BD3739" i="1"/>
  <c r="B3740" i="1"/>
  <c r="C3740" i="1"/>
  <c r="E3740" i="1"/>
  <c r="F3740" i="1"/>
  <c r="G3740" i="1"/>
  <c r="H3740" i="1"/>
  <c r="I3740" i="1"/>
  <c r="J3740" i="1"/>
  <c r="K3740" i="1"/>
  <c r="M3740" i="1"/>
  <c r="O3740" i="1"/>
  <c r="Q3740" i="1"/>
  <c r="R3740" i="1"/>
  <c r="W3740" i="1"/>
  <c r="AA3740" i="1"/>
  <c r="AB3740" i="1"/>
  <c r="AE3740" i="1"/>
  <c r="AF3740" i="1"/>
  <c r="AM3740" i="1"/>
  <c r="AN3740" i="1"/>
  <c r="AO3740" i="1"/>
  <c r="AQ3740" i="1"/>
  <c r="AX3740" i="1"/>
  <c r="BD3740" i="1"/>
  <c r="B3741" i="1"/>
  <c r="C3741" i="1"/>
  <c r="E3741" i="1"/>
  <c r="F3741" i="1"/>
  <c r="G3741" i="1"/>
  <c r="H3741" i="1"/>
  <c r="I3741" i="1"/>
  <c r="J3741" i="1"/>
  <c r="K3741" i="1"/>
  <c r="M3741" i="1"/>
  <c r="O3741" i="1"/>
  <c r="Q3741" i="1"/>
  <c r="R3741" i="1"/>
  <c r="W3741" i="1"/>
  <c r="AA3741" i="1"/>
  <c r="AB3741" i="1"/>
  <c r="AE3741" i="1"/>
  <c r="AF3741" i="1"/>
  <c r="AM3741" i="1"/>
  <c r="AN3741" i="1"/>
  <c r="AO3741" i="1"/>
  <c r="AQ3741" i="1"/>
  <c r="AX3741" i="1"/>
  <c r="BD3741" i="1"/>
  <c r="B3742" i="1"/>
  <c r="C3742" i="1"/>
  <c r="E3742" i="1"/>
  <c r="F3742" i="1"/>
  <c r="G3742" i="1"/>
  <c r="H3742" i="1"/>
  <c r="I3742" i="1"/>
  <c r="J3742" i="1"/>
  <c r="K3742" i="1"/>
  <c r="M3742" i="1"/>
  <c r="O3742" i="1"/>
  <c r="Q3742" i="1"/>
  <c r="R3742" i="1"/>
  <c r="W3742" i="1"/>
  <c r="AA3742" i="1"/>
  <c r="AB3742" i="1"/>
  <c r="AE3742" i="1"/>
  <c r="AF3742" i="1"/>
  <c r="AM3742" i="1"/>
  <c r="AN3742" i="1"/>
  <c r="AO3742" i="1"/>
  <c r="AQ3742" i="1"/>
  <c r="AX3742" i="1"/>
  <c r="BD3742" i="1"/>
  <c r="B3743" i="1"/>
  <c r="C3743" i="1"/>
  <c r="E3743" i="1"/>
  <c r="F3743" i="1"/>
  <c r="G3743" i="1"/>
  <c r="H3743" i="1"/>
  <c r="I3743" i="1"/>
  <c r="J3743" i="1"/>
  <c r="K3743" i="1"/>
  <c r="M3743" i="1"/>
  <c r="O3743" i="1"/>
  <c r="Q3743" i="1"/>
  <c r="R3743" i="1"/>
  <c r="W3743" i="1"/>
  <c r="AA3743" i="1"/>
  <c r="AB3743" i="1"/>
  <c r="AE3743" i="1"/>
  <c r="AF3743" i="1"/>
  <c r="AM3743" i="1"/>
  <c r="AN3743" i="1"/>
  <c r="AO3743" i="1"/>
  <c r="AQ3743" i="1"/>
  <c r="AX3743" i="1"/>
  <c r="BD3743" i="1"/>
  <c r="B3744" i="1"/>
  <c r="C3744" i="1"/>
  <c r="E3744" i="1"/>
  <c r="F3744" i="1"/>
  <c r="G3744" i="1"/>
  <c r="H3744" i="1"/>
  <c r="I3744" i="1"/>
  <c r="J3744" i="1"/>
  <c r="K3744" i="1"/>
  <c r="M3744" i="1"/>
  <c r="O3744" i="1"/>
  <c r="Q3744" i="1"/>
  <c r="R3744" i="1"/>
  <c r="W3744" i="1"/>
  <c r="AA3744" i="1"/>
  <c r="AB3744" i="1"/>
  <c r="AE3744" i="1"/>
  <c r="AF3744" i="1"/>
  <c r="AM3744" i="1"/>
  <c r="AN3744" i="1"/>
  <c r="AO3744" i="1"/>
  <c r="AQ3744" i="1"/>
  <c r="AX3744" i="1"/>
  <c r="BD3744" i="1"/>
  <c r="B3745" i="1"/>
  <c r="C3745" i="1"/>
  <c r="E3745" i="1"/>
  <c r="F3745" i="1"/>
  <c r="G3745" i="1"/>
  <c r="H3745" i="1"/>
  <c r="I3745" i="1"/>
  <c r="J3745" i="1"/>
  <c r="K3745" i="1"/>
  <c r="M3745" i="1"/>
  <c r="O3745" i="1"/>
  <c r="Q3745" i="1"/>
  <c r="R3745" i="1"/>
  <c r="W3745" i="1"/>
  <c r="AA3745" i="1"/>
  <c r="AB3745" i="1"/>
  <c r="AE3745" i="1"/>
  <c r="AF3745" i="1"/>
  <c r="AM3745" i="1"/>
  <c r="AN3745" i="1"/>
  <c r="AO3745" i="1"/>
  <c r="AQ3745" i="1"/>
  <c r="AX3745" i="1"/>
  <c r="BD3745" i="1"/>
  <c r="B3746" i="1"/>
  <c r="C3746" i="1"/>
  <c r="D3746" i="1"/>
  <c r="E3746" i="1"/>
  <c r="F3746" i="1"/>
  <c r="G3746" i="1"/>
  <c r="H3746" i="1"/>
  <c r="I3746" i="1"/>
  <c r="J3746" i="1"/>
  <c r="K3746" i="1"/>
  <c r="M3746" i="1"/>
  <c r="O3746" i="1"/>
  <c r="Q3746" i="1"/>
  <c r="R3746" i="1"/>
  <c r="W3746" i="1"/>
  <c r="AA3746" i="1"/>
  <c r="AB3746" i="1"/>
  <c r="AE3746" i="1"/>
  <c r="AF3746" i="1"/>
  <c r="AM3746" i="1"/>
  <c r="AN3746" i="1"/>
  <c r="AO3746" i="1"/>
  <c r="AQ3746" i="1"/>
  <c r="AX3746" i="1"/>
  <c r="BD3746" i="1"/>
  <c r="B3747" i="1"/>
  <c r="C3747" i="1"/>
  <c r="D3747" i="1"/>
  <c r="E3747" i="1"/>
  <c r="F3747" i="1"/>
  <c r="G3747" i="1"/>
  <c r="H3747" i="1"/>
  <c r="I3747" i="1"/>
  <c r="J3747" i="1"/>
  <c r="K3747" i="1"/>
  <c r="M3747" i="1"/>
  <c r="O3747" i="1"/>
  <c r="Q3747" i="1"/>
  <c r="R3747" i="1"/>
  <c r="W3747" i="1"/>
  <c r="AA3747" i="1"/>
  <c r="AB3747" i="1"/>
  <c r="AE3747" i="1"/>
  <c r="AF3747" i="1"/>
  <c r="AM3747" i="1"/>
  <c r="AN3747" i="1"/>
  <c r="AO3747" i="1"/>
  <c r="AQ3747" i="1"/>
  <c r="AX3747" i="1"/>
  <c r="BD3747" i="1"/>
  <c r="B3748" i="1"/>
  <c r="C3748" i="1"/>
  <c r="D3748" i="1"/>
  <c r="E3748" i="1"/>
  <c r="F3748" i="1"/>
  <c r="G3748" i="1"/>
  <c r="H3748" i="1"/>
  <c r="I3748" i="1"/>
  <c r="J3748" i="1"/>
  <c r="K3748" i="1"/>
  <c r="M3748" i="1"/>
  <c r="O3748" i="1"/>
  <c r="Q3748" i="1"/>
  <c r="R3748" i="1"/>
  <c r="W3748" i="1"/>
  <c r="AA3748" i="1"/>
  <c r="AB3748" i="1"/>
  <c r="AE3748" i="1"/>
  <c r="AF3748" i="1"/>
  <c r="AM3748" i="1"/>
  <c r="AN3748" i="1"/>
  <c r="AO3748" i="1"/>
  <c r="AQ3748" i="1"/>
  <c r="AX3748" i="1"/>
  <c r="BD3748" i="1"/>
  <c r="B3749" i="1"/>
  <c r="C3749" i="1"/>
  <c r="E3749" i="1"/>
  <c r="F3749" i="1"/>
  <c r="G3749" i="1"/>
  <c r="H3749" i="1"/>
  <c r="I3749" i="1"/>
  <c r="J3749" i="1"/>
  <c r="K3749" i="1"/>
  <c r="M3749" i="1"/>
  <c r="O3749" i="1"/>
  <c r="Q3749" i="1"/>
  <c r="R3749" i="1"/>
  <c r="W3749" i="1"/>
  <c r="AA3749" i="1"/>
  <c r="AM3749" i="1"/>
  <c r="AN3749" i="1"/>
  <c r="AO3749" i="1"/>
  <c r="AQ3749" i="1"/>
  <c r="BB3749" i="1"/>
  <c r="BD3749" i="1"/>
  <c r="B3750" i="1"/>
  <c r="C3750" i="1"/>
  <c r="D3750" i="1"/>
  <c r="E3750" i="1"/>
  <c r="F3750" i="1"/>
  <c r="G3750" i="1"/>
  <c r="H3750" i="1"/>
  <c r="I3750" i="1"/>
  <c r="J3750" i="1"/>
  <c r="K3750" i="1"/>
  <c r="M3750" i="1"/>
  <c r="O3750" i="1"/>
  <c r="Q3750" i="1"/>
  <c r="R3750" i="1"/>
  <c r="W3750" i="1"/>
  <c r="AA3750" i="1"/>
  <c r="AB3750" i="1"/>
  <c r="AE3750" i="1"/>
  <c r="AF3750" i="1"/>
  <c r="AM3750" i="1"/>
  <c r="AN3750" i="1"/>
  <c r="AO3750" i="1"/>
  <c r="AQ3750" i="1"/>
  <c r="AX3750" i="1"/>
  <c r="BD3750" i="1"/>
  <c r="B3751" i="1"/>
  <c r="C3751" i="1"/>
  <c r="D3751" i="1"/>
  <c r="E3751" i="1"/>
  <c r="F3751" i="1"/>
  <c r="G3751" i="1"/>
  <c r="H3751" i="1"/>
  <c r="I3751" i="1"/>
  <c r="J3751" i="1"/>
  <c r="K3751" i="1"/>
  <c r="M3751" i="1"/>
  <c r="O3751" i="1"/>
  <c r="Q3751" i="1"/>
  <c r="R3751" i="1"/>
  <c r="W3751" i="1"/>
  <c r="AA3751" i="1"/>
  <c r="AB3751" i="1"/>
  <c r="AE3751" i="1"/>
  <c r="AF3751" i="1"/>
  <c r="AM3751" i="1"/>
  <c r="AN3751" i="1"/>
  <c r="AO3751" i="1"/>
  <c r="AQ3751" i="1"/>
  <c r="AX3751" i="1"/>
  <c r="BD3751" i="1"/>
  <c r="B3752" i="1"/>
  <c r="C3752" i="1"/>
  <c r="E3752" i="1"/>
  <c r="F3752" i="1"/>
  <c r="G3752" i="1"/>
  <c r="H3752" i="1"/>
  <c r="I3752" i="1"/>
  <c r="J3752" i="1"/>
  <c r="K3752" i="1"/>
  <c r="M3752" i="1"/>
  <c r="O3752" i="1"/>
  <c r="Q3752" i="1"/>
  <c r="R3752" i="1"/>
  <c r="W3752" i="1"/>
  <c r="AA3752" i="1"/>
  <c r="AM3752" i="1"/>
  <c r="AN3752" i="1"/>
  <c r="AO3752" i="1"/>
  <c r="AQ3752" i="1"/>
  <c r="BB3752" i="1"/>
  <c r="BD3752" i="1"/>
  <c r="B3753" i="1"/>
  <c r="C3753" i="1"/>
  <c r="E3753" i="1"/>
  <c r="F3753" i="1"/>
  <c r="G3753" i="1"/>
  <c r="H3753" i="1"/>
  <c r="I3753" i="1"/>
  <c r="J3753" i="1"/>
  <c r="K3753" i="1"/>
  <c r="M3753" i="1"/>
  <c r="O3753" i="1"/>
  <c r="Q3753" i="1"/>
  <c r="R3753" i="1"/>
  <c r="W3753" i="1"/>
  <c r="AA3753" i="1"/>
  <c r="AM3753" i="1"/>
  <c r="AN3753" i="1"/>
  <c r="AO3753" i="1"/>
  <c r="AQ3753" i="1"/>
  <c r="BB3753" i="1"/>
  <c r="BD3753" i="1"/>
  <c r="B3754" i="1"/>
  <c r="C3754" i="1"/>
  <c r="E3754" i="1"/>
  <c r="F3754" i="1"/>
  <c r="G3754" i="1"/>
  <c r="H3754" i="1"/>
  <c r="I3754" i="1"/>
  <c r="J3754" i="1"/>
  <c r="K3754" i="1"/>
  <c r="M3754" i="1"/>
  <c r="O3754" i="1"/>
  <c r="Q3754" i="1"/>
  <c r="R3754" i="1"/>
  <c r="W3754" i="1"/>
  <c r="AA3754" i="1"/>
  <c r="AM3754" i="1"/>
  <c r="AN3754" i="1"/>
  <c r="AO3754" i="1"/>
  <c r="AQ3754" i="1"/>
  <c r="BB3754" i="1"/>
  <c r="BD3754" i="1"/>
  <c r="B3755" i="1"/>
  <c r="C3755" i="1"/>
  <c r="E3755" i="1"/>
  <c r="F3755" i="1"/>
  <c r="G3755" i="1"/>
  <c r="H3755" i="1"/>
  <c r="I3755" i="1"/>
  <c r="J3755" i="1"/>
  <c r="K3755" i="1"/>
  <c r="M3755" i="1"/>
  <c r="O3755" i="1"/>
  <c r="Q3755" i="1"/>
  <c r="R3755" i="1"/>
  <c r="W3755" i="1"/>
  <c r="AA3755" i="1"/>
  <c r="AM3755" i="1"/>
  <c r="AN3755" i="1"/>
  <c r="AO3755" i="1"/>
  <c r="AQ3755" i="1"/>
  <c r="BB3755" i="1"/>
  <c r="BD3755" i="1"/>
  <c r="B3756" i="1"/>
  <c r="C3756" i="1"/>
  <c r="D3756" i="1"/>
  <c r="E3756" i="1"/>
  <c r="F3756" i="1"/>
  <c r="G3756" i="1"/>
  <c r="H3756" i="1"/>
  <c r="I3756" i="1"/>
  <c r="J3756" i="1"/>
  <c r="K3756" i="1"/>
  <c r="M3756" i="1"/>
  <c r="O3756" i="1"/>
  <c r="Q3756" i="1"/>
  <c r="R3756" i="1"/>
  <c r="W3756" i="1"/>
  <c r="AA3756" i="1"/>
  <c r="AB3756" i="1"/>
  <c r="AM3756" i="1"/>
  <c r="AN3756" i="1"/>
  <c r="AO3756" i="1"/>
  <c r="AQ3756" i="1"/>
  <c r="AX3756" i="1"/>
  <c r="BD3756" i="1"/>
  <c r="B3757" i="1"/>
  <c r="C3757" i="1"/>
  <c r="E3757" i="1"/>
  <c r="F3757" i="1"/>
  <c r="G3757" i="1"/>
  <c r="H3757" i="1"/>
  <c r="I3757" i="1"/>
  <c r="J3757" i="1"/>
  <c r="K3757" i="1"/>
  <c r="M3757" i="1"/>
  <c r="O3757" i="1"/>
  <c r="Q3757" i="1"/>
  <c r="R3757" i="1"/>
  <c r="W3757" i="1"/>
  <c r="AA3757" i="1"/>
  <c r="AM3757" i="1"/>
  <c r="AN3757" i="1"/>
  <c r="AO3757" i="1"/>
  <c r="AQ3757" i="1"/>
  <c r="BB3757" i="1"/>
  <c r="BD3757" i="1"/>
  <c r="B3758" i="1"/>
  <c r="C3758" i="1"/>
  <c r="E3758" i="1"/>
  <c r="F3758" i="1"/>
  <c r="G3758" i="1"/>
  <c r="H3758" i="1"/>
  <c r="I3758" i="1"/>
  <c r="J3758" i="1"/>
  <c r="K3758" i="1"/>
  <c r="M3758" i="1"/>
  <c r="O3758" i="1"/>
  <c r="Q3758" i="1"/>
  <c r="R3758" i="1"/>
  <c r="W3758" i="1"/>
  <c r="AA3758" i="1"/>
  <c r="AM3758" i="1"/>
  <c r="AN3758" i="1"/>
  <c r="AO3758" i="1"/>
  <c r="AQ3758" i="1"/>
  <c r="BB3758" i="1"/>
  <c r="BD3758" i="1"/>
  <c r="B3759" i="1"/>
  <c r="C3759" i="1"/>
  <c r="D3759" i="1"/>
  <c r="E3759" i="1"/>
  <c r="F3759" i="1"/>
  <c r="G3759" i="1"/>
  <c r="H3759" i="1"/>
  <c r="I3759" i="1"/>
  <c r="J3759" i="1"/>
  <c r="K3759" i="1"/>
  <c r="M3759" i="1"/>
  <c r="O3759" i="1"/>
  <c r="Q3759" i="1"/>
  <c r="R3759" i="1"/>
  <c r="W3759" i="1"/>
  <c r="AA3759" i="1"/>
  <c r="AB3759" i="1"/>
  <c r="AE3759" i="1"/>
  <c r="AF3759" i="1"/>
  <c r="AM3759" i="1"/>
  <c r="AN3759" i="1"/>
  <c r="AO3759" i="1"/>
  <c r="AQ3759" i="1"/>
  <c r="AX3759" i="1"/>
  <c r="BD3759" i="1"/>
  <c r="B3760" i="1"/>
  <c r="C3760" i="1"/>
  <c r="D3760" i="1"/>
  <c r="E3760" i="1"/>
  <c r="F3760" i="1"/>
  <c r="G3760" i="1"/>
  <c r="H3760" i="1"/>
  <c r="I3760" i="1"/>
  <c r="J3760" i="1"/>
  <c r="K3760" i="1"/>
  <c r="M3760" i="1"/>
  <c r="O3760" i="1"/>
  <c r="Q3760" i="1"/>
  <c r="R3760" i="1"/>
  <c r="W3760" i="1"/>
  <c r="AA3760" i="1"/>
  <c r="AB3760" i="1"/>
  <c r="AM3760" i="1"/>
  <c r="AN3760" i="1"/>
  <c r="AO3760" i="1"/>
  <c r="AQ3760" i="1"/>
  <c r="AX3760" i="1"/>
  <c r="BD3760" i="1"/>
  <c r="B3761" i="1"/>
  <c r="E3761" i="1"/>
  <c r="F3761" i="1"/>
  <c r="G3761" i="1"/>
  <c r="H3761" i="1"/>
  <c r="I3761" i="1"/>
  <c r="J3761" i="1"/>
  <c r="K3761" i="1"/>
  <c r="M3761" i="1"/>
  <c r="O3761" i="1"/>
  <c r="Q3761" i="1"/>
  <c r="R3761" i="1"/>
  <c r="W3761" i="1"/>
  <c r="AA3761" i="1"/>
  <c r="AB3761" i="1"/>
  <c r="AM3761" i="1"/>
  <c r="AN3761" i="1"/>
  <c r="AO3761" i="1"/>
  <c r="AQ3761" i="1"/>
  <c r="AX3761" i="1"/>
  <c r="BD3761" i="1"/>
  <c r="B3762" i="1"/>
  <c r="C3762" i="1"/>
  <c r="E3762" i="1"/>
  <c r="F3762" i="1"/>
  <c r="G3762" i="1"/>
  <c r="H3762" i="1"/>
  <c r="I3762" i="1"/>
  <c r="J3762" i="1"/>
  <c r="K3762" i="1"/>
  <c r="M3762" i="1"/>
  <c r="O3762" i="1"/>
  <c r="Q3762" i="1"/>
  <c r="R3762" i="1"/>
  <c r="W3762" i="1"/>
  <c r="AA3762" i="1"/>
  <c r="AM3762" i="1"/>
  <c r="AN3762" i="1"/>
  <c r="AO3762" i="1"/>
  <c r="AQ3762" i="1"/>
  <c r="BB3762" i="1"/>
  <c r="BD3762" i="1"/>
  <c r="B3763" i="1"/>
  <c r="E3763" i="1"/>
  <c r="F3763" i="1"/>
  <c r="G3763" i="1"/>
  <c r="H3763" i="1"/>
  <c r="I3763" i="1"/>
  <c r="J3763" i="1"/>
  <c r="K3763" i="1"/>
  <c r="M3763" i="1"/>
  <c r="O3763" i="1"/>
  <c r="Q3763" i="1"/>
  <c r="R3763" i="1"/>
  <c r="W3763" i="1"/>
  <c r="AA3763" i="1"/>
  <c r="AB3763" i="1"/>
  <c r="AM3763" i="1"/>
  <c r="AN3763" i="1"/>
  <c r="AO3763" i="1"/>
  <c r="AQ3763" i="1"/>
  <c r="AX3763" i="1"/>
  <c r="BD3763" i="1"/>
  <c r="B3764" i="1"/>
  <c r="E3764" i="1"/>
  <c r="F3764" i="1"/>
  <c r="G3764" i="1"/>
  <c r="H3764" i="1"/>
  <c r="I3764" i="1"/>
  <c r="J3764" i="1"/>
  <c r="K3764" i="1"/>
  <c r="M3764" i="1"/>
  <c r="O3764" i="1"/>
  <c r="Q3764" i="1"/>
  <c r="R3764" i="1"/>
  <c r="W3764" i="1"/>
  <c r="AA3764" i="1"/>
  <c r="AB3764" i="1"/>
  <c r="AM3764" i="1"/>
  <c r="AN3764" i="1"/>
  <c r="AO3764" i="1"/>
  <c r="AQ3764" i="1"/>
  <c r="AX3764" i="1"/>
  <c r="BD3764" i="1"/>
  <c r="B3765" i="1"/>
  <c r="E3765" i="1"/>
  <c r="F3765" i="1"/>
  <c r="G3765" i="1"/>
  <c r="H3765" i="1"/>
  <c r="I3765" i="1"/>
  <c r="J3765" i="1"/>
  <c r="K3765" i="1"/>
  <c r="M3765" i="1"/>
  <c r="O3765" i="1"/>
  <c r="Q3765" i="1"/>
  <c r="R3765" i="1"/>
  <c r="W3765" i="1"/>
  <c r="AA3765" i="1"/>
  <c r="AM3765" i="1"/>
  <c r="AN3765" i="1"/>
  <c r="AO3765" i="1"/>
  <c r="AQ3765" i="1"/>
  <c r="BB3765" i="1"/>
  <c r="BD3765" i="1"/>
  <c r="B3766" i="1"/>
  <c r="E3766" i="1"/>
  <c r="F3766" i="1"/>
  <c r="G3766" i="1"/>
  <c r="H3766" i="1"/>
  <c r="I3766" i="1"/>
  <c r="J3766" i="1"/>
  <c r="K3766" i="1"/>
  <c r="M3766" i="1"/>
  <c r="O3766" i="1"/>
  <c r="Q3766" i="1"/>
  <c r="R3766" i="1"/>
  <c r="W3766" i="1"/>
  <c r="AA3766" i="1"/>
  <c r="AM3766" i="1"/>
  <c r="AN3766" i="1"/>
  <c r="AO3766" i="1"/>
  <c r="AQ3766" i="1"/>
  <c r="BB3766" i="1"/>
  <c r="BD3766" i="1"/>
  <c r="B3767" i="1"/>
  <c r="C3767" i="1"/>
  <c r="D3767" i="1"/>
  <c r="E3767" i="1"/>
  <c r="F3767" i="1"/>
  <c r="G3767" i="1"/>
  <c r="H3767" i="1"/>
  <c r="I3767" i="1"/>
  <c r="J3767" i="1"/>
  <c r="K3767" i="1"/>
  <c r="M3767" i="1"/>
  <c r="O3767" i="1"/>
  <c r="Q3767" i="1"/>
  <c r="R3767" i="1"/>
  <c r="W3767" i="1"/>
  <c r="AA3767" i="1"/>
  <c r="AB3767" i="1"/>
  <c r="AE3767" i="1"/>
  <c r="AF3767" i="1"/>
  <c r="AM3767" i="1"/>
  <c r="AN3767" i="1"/>
  <c r="AO3767" i="1"/>
  <c r="AQ3767" i="1"/>
  <c r="AX3767" i="1"/>
  <c r="BD3767" i="1"/>
  <c r="B3768" i="1"/>
  <c r="C3768" i="1"/>
  <c r="D3768" i="1"/>
  <c r="E3768" i="1"/>
  <c r="F3768" i="1"/>
  <c r="G3768" i="1"/>
  <c r="H3768" i="1"/>
  <c r="I3768" i="1"/>
  <c r="J3768" i="1"/>
  <c r="K3768" i="1"/>
  <c r="M3768" i="1"/>
  <c r="O3768" i="1"/>
  <c r="Q3768" i="1"/>
  <c r="R3768" i="1"/>
  <c r="W3768" i="1"/>
  <c r="AA3768" i="1"/>
  <c r="AB3768" i="1"/>
  <c r="AE3768" i="1"/>
  <c r="AF3768" i="1"/>
  <c r="AM3768" i="1"/>
  <c r="AN3768" i="1"/>
  <c r="AO3768" i="1"/>
  <c r="AQ3768" i="1"/>
  <c r="AX3768" i="1"/>
  <c r="BD3768" i="1"/>
  <c r="B3769" i="1"/>
  <c r="C3769" i="1"/>
  <c r="D3769" i="1"/>
  <c r="E3769" i="1"/>
  <c r="F3769" i="1"/>
  <c r="G3769" i="1"/>
  <c r="H3769" i="1"/>
  <c r="I3769" i="1"/>
  <c r="J3769" i="1"/>
  <c r="K3769" i="1"/>
  <c r="M3769" i="1"/>
  <c r="O3769" i="1"/>
  <c r="Q3769" i="1"/>
  <c r="R3769" i="1"/>
  <c r="W3769" i="1"/>
  <c r="AA3769" i="1"/>
  <c r="AB3769" i="1"/>
  <c r="AE3769" i="1"/>
  <c r="AF3769" i="1"/>
  <c r="AM3769" i="1"/>
  <c r="AN3769" i="1"/>
  <c r="AO3769" i="1"/>
  <c r="AQ3769" i="1"/>
  <c r="AX3769" i="1"/>
  <c r="BD3769" i="1"/>
  <c r="B3770" i="1"/>
  <c r="C3770" i="1"/>
  <c r="D3770" i="1"/>
  <c r="E3770" i="1"/>
  <c r="F3770" i="1"/>
  <c r="G3770" i="1"/>
  <c r="H3770" i="1"/>
  <c r="I3770" i="1"/>
  <c r="J3770" i="1"/>
  <c r="K3770" i="1"/>
  <c r="M3770" i="1"/>
  <c r="O3770" i="1"/>
  <c r="Q3770" i="1"/>
  <c r="R3770" i="1"/>
  <c r="W3770" i="1"/>
  <c r="AA3770" i="1"/>
  <c r="AB3770" i="1"/>
  <c r="AE3770" i="1"/>
  <c r="AF3770" i="1"/>
  <c r="AM3770" i="1"/>
  <c r="AN3770" i="1"/>
  <c r="AO3770" i="1"/>
  <c r="AQ3770" i="1"/>
  <c r="AX3770" i="1"/>
  <c r="BD3770" i="1"/>
  <c r="B3771" i="1"/>
  <c r="C3771" i="1"/>
  <c r="D3771" i="1"/>
  <c r="E3771" i="1"/>
  <c r="F3771" i="1"/>
  <c r="G3771" i="1"/>
  <c r="H3771" i="1"/>
  <c r="I3771" i="1"/>
  <c r="J3771" i="1"/>
  <c r="K3771" i="1"/>
  <c r="M3771" i="1"/>
  <c r="O3771" i="1"/>
  <c r="Q3771" i="1"/>
  <c r="R3771" i="1"/>
  <c r="W3771" i="1"/>
  <c r="AA3771" i="1"/>
  <c r="AB3771" i="1"/>
  <c r="AE3771" i="1"/>
  <c r="AF3771" i="1"/>
  <c r="AM3771" i="1"/>
  <c r="AN3771" i="1"/>
  <c r="AO3771" i="1"/>
  <c r="AQ3771" i="1"/>
  <c r="AX3771" i="1"/>
  <c r="BD3771" i="1"/>
  <c r="B3772" i="1"/>
  <c r="C3772" i="1"/>
  <c r="D3772" i="1"/>
  <c r="E3772" i="1"/>
  <c r="F3772" i="1"/>
  <c r="G3772" i="1"/>
  <c r="H3772" i="1"/>
  <c r="I3772" i="1"/>
  <c r="J3772" i="1"/>
  <c r="K3772" i="1"/>
  <c r="M3772" i="1"/>
  <c r="O3772" i="1"/>
  <c r="Q3772" i="1"/>
  <c r="R3772" i="1"/>
  <c r="W3772" i="1"/>
  <c r="AA3772" i="1"/>
  <c r="AB3772" i="1"/>
  <c r="AE3772" i="1"/>
  <c r="AF3772" i="1"/>
  <c r="AM3772" i="1"/>
  <c r="AN3772" i="1"/>
  <c r="AO3772" i="1"/>
  <c r="AQ3772" i="1"/>
  <c r="AX3772" i="1"/>
  <c r="BD3772" i="1"/>
  <c r="B3773" i="1"/>
  <c r="C3773" i="1"/>
  <c r="D3773" i="1"/>
  <c r="E3773" i="1"/>
  <c r="F3773" i="1"/>
  <c r="G3773" i="1"/>
  <c r="H3773" i="1"/>
  <c r="I3773" i="1"/>
  <c r="J3773" i="1"/>
  <c r="K3773" i="1"/>
  <c r="M3773" i="1"/>
  <c r="O3773" i="1"/>
  <c r="Q3773" i="1"/>
  <c r="R3773" i="1"/>
  <c r="W3773" i="1"/>
  <c r="AA3773" i="1"/>
  <c r="AB3773" i="1"/>
  <c r="AE3773" i="1"/>
  <c r="AF3773" i="1"/>
  <c r="AM3773" i="1"/>
  <c r="AN3773" i="1"/>
  <c r="AO3773" i="1"/>
  <c r="AQ3773" i="1"/>
  <c r="AX3773" i="1"/>
  <c r="BD3773" i="1"/>
  <c r="B3774" i="1"/>
  <c r="C3774" i="1"/>
  <c r="D3774" i="1"/>
  <c r="E3774" i="1"/>
  <c r="F3774" i="1"/>
  <c r="G3774" i="1"/>
  <c r="H3774" i="1"/>
  <c r="I3774" i="1"/>
  <c r="J3774" i="1"/>
  <c r="K3774" i="1"/>
  <c r="M3774" i="1"/>
  <c r="O3774" i="1"/>
  <c r="Q3774" i="1"/>
  <c r="R3774" i="1"/>
  <c r="W3774" i="1"/>
  <c r="AA3774" i="1"/>
  <c r="AB3774" i="1"/>
  <c r="AE3774" i="1"/>
  <c r="AF3774" i="1"/>
  <c r="AM3774" i="1"/>
  <c r="AN3774" i="1"/>
  <c r="AO3774" i="1"/>
  <c r="AQ3774" i="1"/>
  <c r="AX3774" i="1"/>
  <c r="BD3774" i="1"/>
  <c r="B3775" i="1"/>
  <c r="C3775" i="1"/>
  <c r="D3775" i="1"/>
  <c r="E3775" i="1"/>
  <c r="F3775" i="1"/>
  <c r="G3775" i="1"/>
  <c r="H3775" i="1"/>
  <c r="I3775" i="1"/>
  <c r="J3775" i="1"/>
  <c r="K3775" i="1"/>
  <c r="M3775" i="1"/>
  <c r="O3775" i="1"/>
  <c r="Q3775" i="1"/>
  <c r="R3775" i="1"/>
  <c r="W3775" i="1"/>
  <c r="AA3775" i="1"/>
  <c r="AB3775" i="1"/>
  <c r="AE3775" i="1"/>
  <c r="AF3775" i="1"/>
  <c r="AM3775" i="1"/>
  <c r="AN3775" i="1"/>
  <c r="AO3775" i="1"/>
  <c r="AQ3775" i="1"/>
  <c r="AX3775" i="1"/>
  <c r="BD3775" i="1"/>
  <c r="B3776" i="1"/>
  <c r="C3776" i="1"/>
  <c r="E3776" i="1"/>
  <c r="F3776" i="1"/>
  <c r="G3776" i="1"/>
  <c r="H3776" i="1"/>
  <c r="I3776" i="1"/>
  <c r="J3776" i="1"/>
  <c r="K3776" i="1"/>
  <c r="M3776" i="1"/>
  <c r="O3776" i="1"/>
  <c r="Q3776" i="1"/>
  <c r="R3776" i="1"/>
  <c r="W3776" i="1"/>
  <c r="AA3776" i="1"/>
  <c r="AM3776" i="1"/>
  <c r="AN3776" i="1"/>
  <c r="AO3776" i="1"/>
  <c r="AQ3776" i="1"/>
  <c r="BB3776" i="1"/>
  <c r="BD3776" i="1"/>
  <c r="B3777" i="1"/>
  <c r="C3777" i="1"/>
  <c r="E3777" i="1"/>
  <c r="F3777" i="1"/>
  <c r="G3777" i="1"/>
  <c r="H3777" i="1"/>
  <c r="I3777" i="1"/>
  <c r="J3777" i="1"/>
  <c r="K3777" i="1"/>
  <c r="M3777" i="1"/>
  <c r="O3777" i="1"/>
  <c r="Q3777" i="1"/>
  <c r="R3777" i="1"/>
  <c r="W3777" i="1"/>
  <c r="AA3777" i="1"/>
  <c r="AM3777" i="1"/>
  <c r="AN3777" i="1"/>
  <c r="AO3777" i="1"/>
  <c r="AQ3777" i="1"/>
  <c r="BB3777" i="1"/>
  <c r="BD3777" i="1"/>
  <c r="B3778" i="1"/>
  <c r="C3778" i="1"/>
  <c r="E3778" i="1"/>
  <c r="F3778" i="1"/>
  <c r="G3778" i="1"/>
  <c r="H3778" i="1"/>
  <c r="I3778" i="1"/>
  <c r="J3778" i="1"/>
  <c r="K3778" i="1"/>
  <c r="M3778" i="1"/>
  <c r="O3778" i="1"/>
  <c r="Q3778" i="1"/>
  <c r="R3778" i="1"/>
  <c r="W3778" i="1"/>
  <c r="AA3778" i="1"/>
  <c r="AM3778" i="1"/>
  <c r="AN3778" i="1"/>
  <c r="AO3778" i="1"/>
  <c r="AQ3778" i="1"/>
  <c r="BB3778" i="1"/>
  <c r="BD3778" i="1"/>
  <c r="B3779" i="1"/>
  <c r="C3779" i="1"/>
  <c r="E3779" i="1"/>
  <c r="F3779" i="1"/>
  <c r="G3779" i="1"/>
  <c r="H3779" i="1"/>
  <c r="I3779" i="1"/>
  <c r="J3779" i="1"/>
  <c r="K3779" i="1"/>
  <c r="M3779" i="1"/>
  <c r="O3779" i="1"/>
  <c r="Q3779" i="1"/>
  <c r="R3779" i="1"/>
  <c r="W3779" i="1"/>
  <c r="AA3779" i="1"/>
  <c r="AM3779" i="1"/>
  <c r="AN3779" i="1"/>
  <c r="AO3779" i="1"/>
  <c r="AQ3779" i="1"/>
  <c r="BB3779" i="1"/>
  <c r="BD3779" i="1"/>
  <c r="B3780" i="1"/>
  <c r="C3780" i="1"/>
  <c r="E3780" i="1"/>
  <c r="F3780" i="1"/>
  <c r="G3780" i="1"/>
  <c r="H3780" i="1"/>
  <c r="I3780" i="1"/>
  <c r="J3780" i="1"/>
  <c r="K3780" i="1"/>
  <c r="M3780" i="1"/>
  <c r="O3780" i="1"/>
  <c r="Q3780" i="1"/>
  <c r="R3780" i="1"/>
  <c r="W3780" i="1"/>
  <c r="AA3780" i="1"/>
  <c r="AM3780" i="1"/>
  <c r="AN3780" i="1"/>
  <c r="AO3780" i="1"/>
  <c r="AQ3780" i="1"/>
  <c r="BB3780" i="1"/>
  <c r="BD3780" i="1"/>
  <c r="B3781" i="1"/>
  <c r="C3781" i="1"/>
  <c r="E3781" i="1"/>
  <c r="F3781" i="1"/>
  <c r="G3781" i="1"/>
  <c r="H3781" i="1"/>
  <c r="I3781" i="1"/>
  <c r="J3781" i="1"/>
  <c r="K3781" i="1"/>
  <c r="M3781" i="1"/>
  <c r="O3781" i="1"/>
  <c r="Q3781" i="1"/>
  <c r="R3781" i="1"/>
  <c r="W3781" i="1"/>
  <c r="AA3781" i="1"/>
  <c r="AM3781" i="1"/>
  <c r="AN3781" i="1"/>
  <c r="AO3781" i="1"/>
  <c r="AQ3781" i="1"/>
  <c r="BB3781" i="1"/>
  <c r="BD3781" i="1"/>
  <c r="B3782" i="1"/>
  <c r="C3782" i="1"/>
  <c r="E3782" i="1"/>
  <c r="F3782" i="1"/>
  <c r="G3782" i="1"/>
  <c r="H3782" i="1"/>
  <c r="I3782" i="1"/>
  <c r="J3782" i="1"/>
  <c r="K3782" i="1"/>
  <c r="M3782" i="1"/>
  <c r="O3782" i="1"/>
  <c r="Q3782" i="1"/>
  <c r="R3782" i="1"/>
  <c r="W3782" i="1"/>
  <c r="AA3782" i="1"/>
  <c r="AM3782" i="1"/>
  <c r="AN3782" i="1"/>
  <c r="AO3782" i="1"/>
  <c r="AQ3782" i="1"/>
  <c r="BB3782" i="1"/>
  <c r="BD3782" i="1"/>
  <c r="B3783" i="1"/>
  <c r="C3783" i="1"/>
  <c r="E3783" i="1"/>
  <c r="F3783" i="1"/>
  <c r="G3783" i="1"/>
  <c r="H3783" i="1"/>
  <c r="I3783" i="1"/>
  <c r="J3783" i="1"/>
  <c r="K3783" i="1"/>
  <c r="M3783" i="1"/>
  <c r="O3783" i="1"/>
  <c r="Q3783" i="1"/>
  <c r="R3783" i="1"/>
  <c r="W3783" i="1"/>
  <c r="AA3783" i="1"/>
  <c r="AM3783" i="1"/>
  <c r="AN3783" i="1"/>
  <c r="AO3783" i="1"/>
  <c r="AQ3783" i="1"/>
  <c r="BB3783" i="1"/>
  <c r="BD3783" i="1"/>
  <c r="B3784" i="1"/>
  <c r="C3784" i="1"/>
  <c r="E3784" i="1"/>
  <c r="F3784" i="1"/>
  <c r="G3784" i="1"/>
  <c r="H3784" i="1"/>
  <c r="I3784" i="1"/>
  <c r="J3784" i="1"/>
  <c r="K3784" i="1"/>
  <c r="M3784" i="1"/>
  <c r="O3784" i="1"/>
  <c r="Q3784" i="1"/>
  <c r="R3784" i="1"/>
  <c r="W3784" i="1"/>
  <c r="AA3784" i="1"/>
  <c r="AM3784" i="1"/>
  <c r="AN3784" i="1"/>
  <c r="AO3784" i="1"/>
  <c r="AQ3784" i="1"/>
  <c r="BB3784" i="1"/>
  <c r="BD3784" i="1"/>
  <c r="B3785" i="1"/>
  <c r="C3785" i="1"/>
  <c r="E3785" i="1"/>
  <c r="F3785" i="1"/>
  <c r="G3785" i="1"/>
  <c r="H3785" i="1"/>
  <c r="I3785" i="1"/>
  <c r="J3785" i="1"/>
  <c r="K3785" i="1"/>
  <c r="M3785" i="1"/>
  <c r="O3785" i="1"/>
  <c r="Q3785" i="1"/>
  <c r="R3785" i="1"/>
  <c r="W3785" i="1"/>
  <c r="AA3785" i="1"/>
  <c r="AM3785" i="1"/>
  <c r="AN3785" i="1"/>
  <c r="AO3785" i="1"/>
  <c r="AQ3785" i="1"/>
  <c r="BB3785" i="1"/>
  <c r="BD3785" i="1"/>
  <c r="B3786" i="1"/>
  <c r="C3786" i="1"/>
  <c r="E3786" i="1"/>
  <c r="F3786" i="1"/>
  <c r="G3786" i="1"/>
  <c r="H3786" i="1"/>
  <c r="I3786" i="1"/>
  <c r="J3786" i="1"/>
  <c r="K3786" i="1"/>
  <c r="M3786" i="1"/>
  <c r="O3786" i="1"/>
  <c r="Q3786" i="1"/>
  <c r="R3786" i="1"/>
  <c r="W3786" i="1"/>
  <c r="AA3786" i="1"/>
  <c r="AM3786" i="1"/>
  <c r="AN3786" i="1"/>
  <c r="AO3786" i="1"/>
  <c r="AQ3786" i="1"/>
  <c r="BB3786" i="1"/>
  <c r="BD3786" i="1"/>
  <c r="B3787" i="1"/>
  <c r="C3787" i="1"/>
  <c r="D3787" i="1"/>
  <c r="E3787" i="1"/>
  <c r="F3787" i="1"/>
  <c r="G3787" i="1"/>
  <c r="H3787" i="1"/>
  <c r="I3787" i="1"/>
  <c r="J3787" i="1"/>
  <c r="K3787" i="1"/>
  <c r="M3787" i="1"/>
  <c r="O3787" i="1"/>
  <c r="Q3787" i="1"/>
  <c r="R3787" i="1"/>
  <c r="W3787" i="1"/>
  <c r="AA3787" i="1"/>
  <c r="AB3787" i="1"/>
  <c r="AE3787" i="1"/>
  <c r="AF3787" i="1"/>
  <c r="AM3787" i="1"/>
  <c r="AN3787" i="1"/>
  <c r="AO3787" i="1"/>
  <c r="AQ3787" i="1"/>
  <c r="AX3787" i="1"/>
  <c r="BD3787" i="1"/>
  <c r="B3788" i="1"/>
  <c r="C3788" i="1"/>
  <c r="E3788" i="1"/>
  <c r="F3788" i="1"/>
  <c r="G3788" i="1"/>
  <c r="H3788" i="1"/>
  <c r="I3788" i="1"/>
  <c r="J3788" i="1"/>
  <c r="K3788" i="1"/>
  <c r="M3788" i="1"/>
  <c r="O3788" i="1"/>
  <c r="Q3788" i="1"/>
  <c r="R3788" i="1"/>
  <c r="W3788" i="1"/>
  <c r="AA3788" i="1"/>
  <c r="AB3788" i="1"/>
  <c r="AE3788" i="1"/>
  <c r="AF3788" i="1"/>
  <c r="AM3788" i="1"/>
  <c r="AN3788" i="1"/>
  <c r="AO3788" i="1"/>
  <c r="AQ3788" i="1"/>
  <c r="AX3788" i="1"/>
  <c r="BD3788" i="1"/>
  <c r="B3789" i="1"/>
  <c r="C3789" i="1"/>
  <c r="E3789" i="1"/>
  <c r="F3789" i="1"/>
  <c r="G3789" i="1"/>
  <c r="H3789" i="1"/>
  <c r="I3789" i="1"/>
  <c r="J3789" i="1"/>
  <c r="K3789" i="1"/>
  <c r="M3789" i="1"/>
  <c r="O3789" i="1"/>
  <c r="Q3789" i="1"/>
  <c r="R3789" i="1"/>
  <c r="W3789" i="1"/>
  <c r="AA3789" i="1"/>
  <c r="AB3789" i="1"/>
  <c r="AE3789" i="1"/>
  <c r="AF3789" i="1"/>
  <c r="AM3789" i="1"/>
  <c r="AN3789" i="1"/>
  <c r="AO3789" i="1"/>
  <c r="AQ3789" i="1"/>
  <c r="AX3789" i="1"/>
  <c r="BD3789" i="1"/>
  <c r="B3790" i="1"/>
  <c r="C3790" i="1"/>
  <c r="E3790" i="1"/>
  <c r="F3790" i="1"/>
  <c r="G3790" i="1"/>
  <c r="H3790" i="1"/>
  <c r="I3790" i="1"/>
  <c r="J3790" i="1"/>
  <c r="K3790" i="1"/>
  <c r="M3790" i="1"/>
  <c r="O3790" i="1"/>
  <c r="Q3790" i="1"/>
  <c r="R3790" i="1"/>
  <c r="W3790" i="1"/>
  <c r="AA3790" i="1"/>
  <c r="AB3790" i="1"/>
  <c r="AE3790" i="1"/>
  <c r="AF3790" i="1"/>
  <c r="AM3790" i="1"/>
  <c r="AN3790" i="1"/>
  <c r="AO3790" i="1"/>
  <c r="AQ3790" i="1"/>
  <c r="AX3790" i="1"/>
  <c r="BD3790" i="1"/>
  <c r="B3791" i="1"/>
  <c r="C3791" i="1"/>
  <c r="D3791" i="1"/>
  <c r="E3791" i="1"/>
  <c r="F3791" i="1"/>
  <c r="G3791" i="1"/>
  <c r="H3791" i="1"/>
  <c r="I3791" i="1"/>
  <c r="J3791" i="1"/>
  <c r="K3791" i="1"/>
  <c r="M3791" i="1"/>
  <c r="O3791" i="1"/>
  <c r="Q3791" i="1"/>
  <c r="R3791" i="1"/>
  <c r="W3791" i="1"/>
  <c r="AA3791" i="1"/>
  <c r="AB3791" i="1"/>
  <c r="AE3791" i="1"/>
  <c r="AF3791" i="1"/>
  <c r="AM3791" i="1"/>
  <c r="AN3791" i="1"/>
  <c r="AO3791" i="1"/>
  <c r="AQ3791" i="1"/>
  <c r="AX3791" i="1"/>
  <c r="BD3791" i="1"/>
  <c r="B3792" i="1"/>
  <c r="C3792" i="1"/>
  <c r="D3792" i="1"/>
  <c r="E3792" i="1"/>
  <c r="F3792" i="1"/>
  <c r="G3792" i="1"/>
  <c r="H3792" i="1"/>
  <c r="I3792" i="1"/>
  <c r="J3792" i="1"/>
  <c r="K3792" i="1"/>
  <c r="M3792" i="1"/>
  <c r="O3792" i="1"/>
  <c r="Q3792" i="1"/>
  <c r="R3792" i="1"/>
  <c r="W3792" i="1"/>
  <c r="AA3792" i="1"/>
  <c r="AB3792" i="1"/>
  <c r="AE3792" i="1"/>
  <c r="AF3792" i="1"/>
  <c r="AM3792" i="1"/>
  <c r="AN3792" i="1"/>
  <c r="AO3792" i="1"/>
  <c r="AQ3792" i="1"/>
  <c r="AX3792" i="1"/>
  <c r="BD3792" i="1"/>
  <c r="B3793" i="1"/>
  <c r="C3793" i="1"/>
  <c r="D3793" i="1"/>
  <c r="E3793" i="1"/>
  <c r="F3793" i="1"/>
  <c r="G3793" i="1"/>
  <c r="H3793" i="1"/>
  <c r="I3793" i="1"/>
  <c r="J3793" i="1"/>
  <c r="K3793" i="1"/>
  <c r="M3793" i="1"/>
  <c r="O3793" i="1"/>
  <c r="Q3793" i="1"/>
  <c r="R3793" i="1"/>
  <c r="W3793" i="1"/>
  <c r="AA3793" i="1"/>
  <c r="AB3793" i="1"/>
  <c r="AE3793" i="1"/>
  <c r="AF3793" i="1"/>
  <c r="AM3793" i="1"/>
  <c r="AN3793" i="1"/>
  <c r="AO3793" i="1"/>
  <c r="AQ3793" i="1"/>
  <c r="AX3793" i="1"/>
  <c r="BD3793" i="1"/>
  <c r="B3794" i="1"/>
  <c r="C3794" i="1"/>
  <c r="D3794" i="1"/>
  <c r="E3794" i="1"/>
  <c r="F3794" i="1"/>
  <c r="G3794" i="1"/>
  <c r="H3794" i="1"/>
  <c r="I3794" i="1"/>
  <c r="J3794" i="1"/>
  <c r="K3794" i="1"/>
  <c r="M3794" i="1"/>
  <c r="O3794" i="1"/>
  <c r="Q3794" i="1"/>
  <c r="R3794" i="1"/>
  <c r="W3794" i="1"/>
  <c r="AA3794" i="1"/>
  <c r="AB3794" i="1"/>
  <c r="AE3794" i="1"/>
  <c r="AF3794" i="1"/>
  <c r="AM3794" i="1"/>
  <c r="AN3794" i="1"/>
  <c r="AO3794" i="1"/>
  <c r="AQ3794" i="1"/>
  <c r="AX3794" i="1"/>
  <c r="BD3794" i="1"/>
  <c r="B3795" i="1"/>
  <c r="C3795" i="1"/>
  <c r="E3795" i="1"/>
  <c r="F3795" i="1"/>
  <c r="G3795" i="1"/>
  <c r="H3795" i="1"/>
  <c r="I3795" i="1"/>
  <c r="J3795" i="1"/>
  <c r="K3795" i="1"/>
  <c r="M3795" i="1"/>
  <c r="O3795" i="1"/>
  <c r="Q3795" i="1"/>
  <c r="R3795" i="1"/>
  <c r="W3795" i="1"/>
  <c r="AA3795" i="1"/>
  <c r="AB3795" i="1"/>
  <c r="AE3795" i="1"/>
  <c r="AF3795" i="1"/>
  <c r="AM3795" i="1"/>
  <c r="AN3795" i="1"/>
  <c r="AO3795" i="1"/>
  <c r="AQ3795" i="1"/>
  <c r="AX3795" i="1"/>
  <c r="BD3795" i="1"/>
  <c r="B3796" i="1"/>
  <c r="C3796" i="1"/>
  <c r="D3796" i="1"/>
  <c r="E3796" i="1"/>
  <c r="F3796" i="1"/>
  <c r="G3796" i="1"/>
  <c r="H3796" i="1"/>
  <c r="I3796" i="1"/>
  <c r="J3796" i="1"/>
  <c r="K3796" i="1"/>
  <c r="M3796" i="1"/>
  <c r="O3796" i="1"/>
  <c r="Q3796" i="1"/>
  <c r="R3796" i="1"/>
  <c r="W3796" i="1"/>
  <c r="AA3796" i="1"/>
  <c r="AB3796" i="1"/>
  <c r="AE3796" i="1"/>
  <c r="AF3796" i="1"/>
  <c r="AM3796" i="1"/>
  <c r="AN3796" i="1"/>
  <c r="AO3796" i="1"/>
  <c r="AQ3796" i="1"/>
  <c r="AX3796" i="1"/>
  <c r="BD3796" i="1"/>
  <c r="B3797" i="1"/>
  <c r="C3797" i="1"/>
  <c r="D3797" i="1"/>
  <c r="E3797" i="1"/>
  <c r="F3797" i="1"/>
  <c r="G3797" i="1"/>
  <c r="H3797" i="1"/>
  <c r="I3797" i="1"/>
  <c r="J3797" i="1"/>
  <c r="K3797" i="1"/>
  <c r="M3797" i="1"/>
  <c r="O3797" i="1"/>
  <c r="Q3797" i="1"/>
  <c r="R3797" i="1"/>
  <c r="W3797" i="1"/>
  <c r="AA3797" i="1"/>
  <c r="AB3797" i="1"/>
  <c r="AE3797" i="1"/>
  <c r="AF3797" i="1"/>
  <c r="AM3797" i="1"/>
  <c r="AN3797" i="1"/>
  <c r="AO3797" i="1"/>
  <c r="AQ3797" i="1"/>
  <c r="AX3797" i="1"/>
  <c r="BD3797" i="1"/>
  <c r="B3798" i="1"/>
  <c r="C3798" i="1"/>
  <c r="E3798" i="1"/>
  <c r="F3798" i="1"/>
  <c r="G3798" i="1"/>
  <c r="H3798" i="1"/>
  <c r="I3798" i="1"/>
  <c r="J3798" i="1"/>
  <c r="K3798" i="1"/>
  <c r="M3798" i="1"/>
  <c r="O3798" i="1"/>
  <c r="Q3798" i="1"/>
  <c r="R3798" i="1"/>
  <c r="W3798" i="1"/>
  <c r="AA3798" i="1"/>
  <c r="AB3798" i="1"/>
  <c r="AE3798" i="1"/>
  <c r="AF3798" i="1"/>
  <c r="AM3798" i="1"/>
  <c r="AN3798" i="1"/>
  <c r="AO3798" i="1"/>
  <c r="AQ3798" i="1"/>
  <c r="AX3798" i="1"/>
  <c r="BD3798" i="1"/>
  <c r="B3799" i="1"/>
  <c r="C3799" i="1"/>
  <c r="E3799" i="1"/>
  <c r="F3799" i="1"/>
  <c r="G3799" i="1"/>
  <c r="H3799" i="1"/>
  <c r="I3799" i="1"/>
  <c r="J3799" i="1"/>
  <c r="K3799" i="1"/>
  <c r="M3799" i="1"/>
  <c r="O3799" i="1"/>
  <c r="Q3799" i="1"/>
  <c r="R3799" i="1"/>
  <c r="W3799" i="1"/>
  <c r="AA3799" i="1"/>
  <c r="AB3799" i="1"/>
  <c r="AE3799" i="1"/>
  <c r="AF3799" i="1"/>
  <c r="AM3799" i="1"/>
  <c r="AN3799" i="1"/>
  <c r="AO3799" i="1"/>
  <c r="AQ3799" i="1"/>
  <c r="AX3799" i="1"/>
  <c r="BD3799" i="1"/>
  <c r="B3800" i="1"/>
  <c r="C3800" i="1"/>
  <c r="E3800" i="1"/>
  <c r="F3800" i="1"/>
  <c r="G3800" i="1"/>
  <c r="H3800" i="1"/>
  <c r="I3800" i="1"/>
  <c r="J3800" i="1"/>
  <c r="K3800" i="1"/>
  <c r="M3800" i="1"/>
  <c r="O3800" i="1"/>
  <c r="Q3800" i="1"/>
  <c r="R3800" i="1"/>
  <c r="W3800" i="1"/>
  <c r="AA3800" i="1"/>
  <c r="AB3800" i="1"/>
  <c r="AE3800" i="1"/>
  <c r="AF3800" i="1"/>
  <c r="AM3800" i="1"/>
  <c r="AN3800" i="1"/>
  <c r="AO3800" i="1"/>
  <c r="AQ3800" i="1"/>
  <c r="AX3800" i="1"/>
  <c r="BD3800" i="1"/>
  <c r="B3801" i="1"/>
  <c r="C3801" i="1"/>
  <c r="E3801" i="1"/>
  <c r="F3801" i="1"/>
  <c r="G3801" i="1"/>
  <c r="H3801" i="1"/>
  <c r="I3801" i="1"/>
  <c r="J3801" i="1"/>
  <c r="K3801" i="1"/>
  <c r="M3801" i="1"/>
  <c r="O3801" i="1"/>
  <c r="Q3801" i="1"/>
  <c r="R3801" i="1"/>
  <c r="W3801" i="1"/>
  <c r="AA3801" i="1"/>
  <c r="AB3801" i="1"/>
  <c r="AE3801" i="1"/>
  <c r="AF3801" i="1"/>
  <c r="AM3801" i="1"/>
  <c r="AN3801" i="1"/>
  <c r="AO3801" i="1"/>
  <c r="AQ3801" i="1"/>
  <c r="AX3801" i="1"/>
  <c r="BD3801" i="1"/>
  <c r="B3802" i="1"/>
  <c r="C3802" i="1"/>
  <c r="E3802" i="1"/>
  <c r="F3802" i="1"/>
  <c r="G3802" i="1"/>
  <c r="H3802" i="1"/>
  <c r="I3802" i="1"/>
  <c r="J3802" i="1"/>
  <c r="K3802" i="1"/>
  <c r="M3802" i="1"/>
  <c r="O3802" i="1"/>
  <c r="Q3802" i="1"/>
  <c r="R3802" i="1"/>
  <c r="W3802" i="1"/>
  <c r="AA3802" i="1"/>
  <c r="AB3802" i="1"/>
  <c r="AE3802" i="1"/>
  <c r="AF3802" i="1"/>
  <c r="AM3802" i="1"/>
  <c r="AN3802" i="1"/>
  <c r="AO3802" i="1"/>
  <c r="AQ3802" i="1"/>
  <c r="AX3802" i="1"/>
  <c r="BD3802" i="1"/>
  <c r="B3803" i="1"/>
  <c r="C3803" i="1"/>
  <c r="E3803" i="1"/>
  <c r="F3803" i="1"/>
  <c r="G3803" i="1"/>
  <c r="H3803" i="1"/>
  <c r="I3803" i="1"/>
  <c r="J3803" i="1"/>
  <c r="K3803" i="1"/>
  <c r="M3803" i="1"/>
  <c r="O3803" i="1"/>
  <c r="Q3803" i="1"/>
  <c r="R3803" i="1"/>
  <c r="W3803" i="1"/>
  <c r="AA3803" i="1"/>
  <c r="AB3803" i="1"/>
  <c r="AE3803" i="1"/>
  <c r="AF3803" i="1"/>
  <c r="AM3803" i="1"/>
  <c r="AN3803" i="1"/>
  <c r="AO3803" i="1"/>
  <c r="AQ3803" i="1"/>
  <c r="AX3803" i="1"/>
  <c r="BD3803" i="1"/>
  <c r="B3804" i="1"/>
  <c r="C3804" i="1"/>
  <c r="E3804" i="1"/>
  <c r="F3804" i="1"/>
  <c r="G3804" i="1"/>
  <c r="H3804" i="1"/>
  <c r="I3804" i="1"/>
  <c r="J3804" i="1"/>
  <c r="K3804" i="1"/>
  <c r="M3804" i="1"/>
  <c r="O3804" i="1"/>
  <c r="Q3804" i="1"/>
  <c r="R3804" i="1"/>
  <c r="W3804" i="1"/>
  <c r="AA3804" i="1"/>
  <c r="AB3804" i="1"/>
  <c r="AE3804" i="1"/>
  <c r="AF3804" i="1"/>
  <c r="AM3804" i="1"/>
  <c r="AN3804" i="1"/>
  <c r="AO3804" i="1"/>
  <c r="AQ3804" i="1"/>
  <c r="AX3804" i="1"/>
  <c r="BD3804" i="1"/>
  <c r="B3805" i="1"/>
  <c r="C3805" i="1"/>
  <c r="E3805" i="1"/>
  <c r="F3805" i="1"/>
  <c r="G3805" i="1"/>
  <c r="H3805" i="1"/>
  <c r="I3805" i="1"/>
  <c r="J3805" i="1"/>
  <c r="K3805" i="1"/>
  <c r="M3805" i="1"/>
  <c r="O3805" i="1"/>
  <c r="Q3805" i="1"/>
  <c r="R3805" i="1"/>
  <c r="W3805" i="1"/>
  <c r="AA3805" i="1"/>
  <c r="AB3805" i="1"/>
  <c r="AE3805" i="1"/>
  <c r="AF3805" i="1"/>
  <c r="AM3805" i="1"/>
  <c r="AN3805" i="1"/>
  <c r="AO3805" i="1"/>
  <c r="AQ3805" i="1"/>
  <c r="AX3805" i="1"/>
  <c r="BD3805" i="1"/>
  <c r="B3806" i="1"/>
  <c r="C3806" i="1"/>
  <c r="E3806" i="1"/>
  <c r="F3806" i="1"/>
  <c r="G3806" i="1"/>
  <c r="H3806" i="1"/>
  <c r="I3806" i="1"/>
  <c r="J3806" i="1"/>
  <c r="K3806" i="1"/>
  <c r="M3806" i="1"/>
  <c r="O3806" i="1"/>
  <c r="Q3806" i="1"/>
  <c r="R3806" i="1"/>
  <c r="W3806" i="1"/>
  <c r="AA3806" i="1"/>
  <c r="AB3806" i="1"/>
  <c r="AE3806" i="1"/>
  <c r="AF3806" i="1"/>
  <c r="AM3806" i="1"/>
  <c r="AN3806" i="1"/>
  <c r="AO3806" i="1"/>
  <c r="AQ3806" i="1"/>
  <c r="AX3806" i="1"/>
  <c r="BD3806" i="1"/>
  <c r="B3807" i="1"/>
  <c r="C3807" i="1"/>
  <c r="E3807" i="1"/>
  <c r="F3807" i="1"/>
  <c r="G3807" i="1"/>
  <c r="H3807" i="1"/>
  <c r="I3807" i="1"/>
  <c r="J3807" i="1"/>
  <c r="K3807" i="1"/>
  <c r="M3807" i="1"/>
  <c r="O3807" i="1"/>
  <c r="Q3807" i="1"/>
  <c r="R3807" i="1"/>
  <c r="W3807" i="1"/>
  <c r="AA3807" i="1"/>
  <c r="AB3807" i="1"/>
  <c r="AE3807" i="1"/>
  <c r="AF3807" i="1"/>
  <c r="AM3807" i="1"/>
  <c r="AN3807" i="1"/>
  <c r="AO3807" i="1"/>
  <c r="AQ3807" i="1"/>
  <c r="AX3807" i="1"/>
  <c r="BD3807" i="1"/>
  <c r="B3808" i="1"/>
  <c r="C3808" i="1"/>
  <c r="E3808" i="1"/>
  <c r="F3808" i="1"/>
  <c r="G3808" i="1"/>
  <c r="H3808" i="1"/>
  <c r="I3808" i="1"/>
  <c r="J3808" i="1"/>
  <c r="K3808" i="1"/>
  <c r="M3808" i="1"/>
  <c r="O3808" i="1"/>
  <c r="Q3808" i="1"/>
  <c r="R3808" i="1"/>
  <c r="W3808" i="1"/>
  <c r="AA3808" i="1"/>
  <c r="AB3808" i="1"/>
  <c r="AE3808" i="1"/>
  <c r="AF3808" i="1"/>
  <c r="AM3808" i="1"/>
  <c r="AN3808" i="1"/>
  <c r="AO3808" i="1"/>
  <c r="AQ3808" i="1"/>
  <c r="AX3808" i="1"/>
  <c r="BD3808" i="1"/>
  <c r="B3809" i="1"/>
  <c r="C3809" i="1"/>
  <c r="D3809" i="1"/>
  <c r="E3809" i="1"/>
  <c r="F3809" i="1"/>
  <c r="G3809" i="1"/>
  <c r="H3809" i="1"/>
  <c r="I3809" i="1"/>
  <c r="J3809" i="1"/>
  <c r="K3809" i="1"/>
  <c r="M3809" i="1"/>
  <c r="O3809" i="1"/>
  <c r="Q3809" i="1"/>
  <c r="R3809" i="1"/>
  <c r="W3809" i="1"/>
  <c r="AA3809" i="1"/>
  <c r="AB3809" i="1"/>
  <c r="AE3809" i="1"/>
  <c r="AF3809" i="1"/>
  <c r="AM3809" i="1"/>
  <c r="AN3809" i="1"/>
  <c r="AO3809" i="1"/>
  <c r="AQ3809" i="1"/>
  <c r="AX3809" i="1"/>
  <c r="BD3809" i="1"/>
  <c r="B3810" i="1"/>
  <c r="C3810" i="1"/>
  <c r="D3810" i="1"/>
  <c r="E3810" i="1"/>
  <c r="F3810" i="1"/>
  <c r="G3810" i="1"/>
  <c r="H3810" i="1"/>
  <c r="I3810" i="1"/>
  <c r="J3810" i="1"/>
  <c r="K3810" i="1"/>
  <c r="M3810" i="1"/>
  <c r="O3810" i="1"/>
  <c r="Q3810" i="1"/>
  <c r="R3810" i="1"/>
  <c r="W3810" i="1"/>
  <c r="AA3810" i="1"/>
  <c r="AB3810" i="1"/>
  <c r="AE3810" i="1"/>
  <c r="AF3810" i="1"/>
  <c r="AM3810" i="1"/>
  <c r="AN3810" i="1"/>
  <c r="AO3810" i="1"/>
  <c r="AQ3810" i="1"/>
  <c r="AX3810" i="1"/>
  <c r="BD3810" i="1"/>
  <c r="B3811" i="1"/>
  <c r="C3811" i="1"/>
  <c r="D3811" i="1"/>
  <c r="E3811" i="1"/>
  <c r="F3811" i="1"/>
  <c r="G3811" i="1"/>
  <c r="H3811" i="1"/>
  <c r="I3811" i="1"/>
  <c r="J3811" i="1"/>
  <c r="K3811" i="1"/>
  <c r="M3811" i="1"/>
  <c r="O3811" i="1"/>
  <c r="Q3811" i="1"/>
  <c r="R3811" i="1"/>
  <c r="W3811" i="1"/>
  <c r="AA3811" i="1"/>
  <c r="AB3811" i="1"/>
  <c r="AE3811" i="1"/>
  <c r="AF3811" i="1"/>
  <c r="AM3811" i="1"/>
  <c r="AN3811" i="1"/>
  <c r="AO3811" i="1"/>
  <c r="AQ3811" i="1"/>
  <c r="AX3811" i="1"/>
  <c r="BD3811" i="1"/>
  <c r="B3812" i="1"/>
  <c r="C3812" i="1"/>
  <c r="E3812" i="1"/>
  <c r="F3812" i="1"/>
  <c r="G3812" i="1"/>
  <c r="H3812" i="1"/>
  <c r="I3812" i="1"/>
  <c r="J3812" i="1"/>
  <c r="K3812" i="1"/>
  <c r="M3812" i="1"/>
  <c r="O3812" i="1"/>
  <c r="Q3812" i="1"/>
  <c r="R3812" i="1"/>
  <c r="W3812" i="1"/>
  <c r="AA3812" i="1"/>
  <c r="AB3812" i="1"/>
  <c r="AM3812" i="1"/>
  <c r="AN3812" i="1"/>
  <c r="AO3812" i="1"/>
  <c r="AP3812" i="1"/>
  <c r="AQ3812" i="1"/>
  <c r="AX3812" i="1"/>
  <c r="BD3812" i="1"/>
  <c r="B3813" i="1"/>
  <c r="C3813" i="1"/>
  <c r="D3813" i="1"/>
  <c r="E3813" i="1"/>
  <c r="F3813" i="1"/>
  <c r="G3813" i="1"/>
  <c r="H3813" i="1"/>
  <c r="I3813" i="1"/>
  <c r="J3813" i="1"/>
  <c r="K3813" i="1"/>
  <c r="M3813" i="1"/>
  <c r="O3813" i="1"/>
  <c r="Q3813" i="1"/>
  <c r="R3813" i="1"/>
  <c r="W3813" i="1"/>
  <c r="AA3813" i="1"/>
  <c r="AB3813" i="1"/>
  <c r="AE3813" i="1"/>
  <c r="AF3813" i="1"/>
  <c r="AM3813" i="1"/>
  <c r="AN3813" i="1"/>
  <c r="AO3813" i="1"/>
  <c r="AQ3813" i="1"/>
  <c r="AX3813" i="1"/>
  <c r="BD3813" i="1"/>
  <c r="B3814" i="1"/>
  <c r="C3814" i="1"/>
  <c r="E3814" i="1"/>
  <c r="F3814" i="1"/>
  <c r="G3814" i="1"/>
  <c r="H3814" i="1"/>
  <c r="I3814" i="1"/>
  <c r="J3814" i="1"/>
  <c r="K3814" i="1"/>
  <c r="M3814" i="1"/>
  <c r="O3814" i="1"/>
  <c r="Q3814" i="1"/>
  <c r="R3814" i="1"/>
  <c r="W3814" i="1"/>
  <c r="AA3814" i="1"/>
  <c r="AB3814" i="1"/>
  <c r="AE3814" i="1"/>
  <c r="AF3814" i="1"/>
  <c r="AM3814" i="1"/>
  <c r="AN3814" i="1"/>
  <c r="AO3814" i="1"/>
  <c r="AQ3814" i="1"/>
  <c r="AX3814" i="1"/>
  <c r="BD3814" i="1"/>
  <c r="B3815" i="1"/>
  <c r="C3815" i="1"/>
  <c r="E3815" i="1"/>
  <c r="F3815" i="1"/>
  <c r="G3815" i="1"/>
  <c r="H3815" i="1"/>
  <c r="I3815" i="1"/>
  <c r="J3815" i="1"/>
  <c r="K3815" i="1"/>
  <c r="M3815" i="1"/>
  <c r="O3815" i="1"/>
  <c r="Q3815" i="1"/>
  <c r="R3815" i="1"/>
  <c r="W3815" i="1"/>
  <c r="AA3815" i="1"/>
  <c r="AB3815" i="1"/>
  <c r="AE3815" i="1"/>
  <c r="AF3815" i="1"/>
  <c r="AM3815" i="1"/>
  <c r="AN3815" i="1"/>
  <c r="AO3815" i="1"/>
  <c r="AQ3815" i="1"/>
  <c r="AX3815" i="1"/>
  <c r="BD3815" i="1"/>
  <c r="B3816" i="1"/>
  <c r="E3816" i="1"/>
  <c r="F3816" i="1"/>
  <c r="G3816" i="1"/>
  <c r="H3816" i="1"/>
  <c r="I3816" i="1"/>
  <c r="J3816" i="1"/>
  <c r="K3816" i="1"/>
  <c r="M3816" i="1"/>
  <c r="O3816" i="1"/>
  <c r="Q3816" i="1"/>
  <c r="R3816" i="1"/>
  <c r="W3816" i="1"/>
  <c r="AA3816" i="1"/>
  <c r="AM3816" i="1"/>
  <c r="AN3816" i="1"/>
  <c r="AO3816" i="1"/>
  <c r="AP3816" i="1"/>
  <c r="AQ3816" i="1"/>
  <c r="BD3816" i="1"/>
  <c r="B3817" i="1"/>
  <c r="E3817" i="1"/>
  <c r="F3817" i="1"/>
  <c r="G3817" i="1"/>
  <c r="H3817" i="1"/>
  <c r="I3817" i="1"/>
  <c r="J3817" i="1"/>
  <c r="K3817" i="1"/>
  <c r="M3817" i="1"/>
  <c r="O3817" i="1"/>
  <c r="Q3817" i="1"/>
  <c r="R3817" i="1"/>
  <c r="W3817" i="1"/>
  <c r="AA3817" i="1"/>
  <c r="AM3817" i="1"/>
  <c r="AN3817" i="1"/>
  <c r="AO3817" i="1"/>
  <c r="AP3817" i="1"/>
  <c r="AQ3817" i="1"/>
  <c r="BD3817" i="1"/>
  <c r="B3818" i="1"/>
  <c r="C3818" i="1"/>
  <c r="E3818" i="1"/>
  <c r="F3818" i="1"/>
  <c r="G3818" i="1"/>
  <c r="H3818" i="1"/>
  <c r="I3818" i="1"/>
  <c r="J3818" i="1"/>
  <c r="K3818" i="1"/>
  <c r="M3818" i="1"/>
  <c r="O3818" i="1"/>
  <c r="Q3818" i="1"/>
  <c r="R3818" i="1"/>
  <c r="W3818" i="1"/>
  <c r="AA3818" i="1"/>
  <c r="AM3818" i="1"/>
  <c r="AN3818" i="1"/>
  <c r="AO3818" i="1"/>
  <c r="AQ3818" i="1"/>
  <c r="BB3818" i="1"/>
  <c r="BD3818" i="1"/>
  <c r="B3819" i="1"/>
  <c r="C3819" i="1"/>
  <c r="E3819" i="1"/>
  <c r="F3819" i="1"/>
  <c r="G3819" i="1"/>
  <c r="H3819" i="1"/>
  <c r="I3819" i="1"/>
  <c r="J3819" i="1"/>
  <c r="K3819" i="1"/>
  <c r="M3819" i="1"/>
  <c r="O3819" i="1"/>
  <c r="Q3819" i="1"/>
  <c r="R3819" i="1"/>
  <c r="W3819" i="1"/>
  <c r="AA3819" i="1"/>
  <c r="AM3819" i="1"/>
  <c r="AN3819" i="1"/>
  <c r="AO3819" i="1"/>
  <c r="AQ3819" i="1"/>
  <c r="BB3819" i="1"/>
  <c r="BD3819" i="1"/>
  <c r="B3820" i="1"/>
  <c r="C3820" i="1"/>
  <c r="E3820" i="1"/>
  <c r="F3820" i="1"/>
  <c r="G3820" i="1"/>
  <c r="H3820" i="1"/>
  <c r="I3820" i="1"/>
  <c r="J3820" i="1"/>
  <c r="K3820" i="1"/>
  <c r="M3820" i="1"/>
  <c r="O3820" i="1"/>
  <c r="Q3820" i="1"/>
  <c r="R3820" i="1"/>
  <c r="W3820" i="1"/>
  <c r="AA3820" i="1"/>
  <c r="AM3820" i="1"/>
  <c r="AN3820" i="1"/>
  <c r="AO3820" i="1"/>
  <c r="AQ3820" i="1"/>
  <c r="BB3820" i="1"/>
  <c r="BD3820" i="1"/>
  <c r="B3821" i="1"/>
  <c r="C3821" i="1"/>
  <c r="E3821" i="1"/>
  <c r="F3821" i="1"/>
  <c r="G3821" i="1"/>
  <c r="H3821" i="1"/>
  <c r="I3821" i="1"/>
  <c r="J3821" i="1"/>
  <c r="K3821" i="1"/>
  <c r="M3821" i="1"/>
  <c r="O3821" i="1"/>
  <c r="Q3821" i="1"/>
  <c r="R3821" i="1"/>
  <c r="W3821" i="1"/>
  <c r="AA3821" i="1"/>
  <c r="AM3821" i="1"/>
  <c r="AN3821" i="1"/>
  <c r="AO3821" i="1"/>
  <c r="AQ3821" i="1"/>
  <c r="BB3821" i="1"/>
  <c r="BD3821" i="1"/>
  <c r="B3822" i="1"/>
  <c r="C3822" i="1"/>
  <c r="E3822" i="1"/>
  <c r="F3822" i="1"/>
  <c r="G3822" i="1"/>
  <c r="H3822" i="1"/>
  <c r="I3822" i="1"/>
  <c r="J3822" i="1"/>
  <c r="K3822" i="1"/>
  <c r="M3822" i="1"/>
  <c r="O3822" i="1"/>
  <c r="Q3822" i="1"/>
  <c r="R3822" i="1"/>
  <c r="W3822" i="1"/>
  <c r="AA3822" i="1"/>
  <c r="AM3822" i="1"/>
  <c r="AN3822" i="1"/>
  <c r="AO3822" i="1"/>
  <c r="AQ3822" i="1"/>
  <c r="BB3822" i="1"/>
  <c r="BD3822" i="1"/>
  <c r="B3823" i="1"/>
  <c r="C3823" i="1"/>
  <c r="E3823" i="1"/>
  <c r="F3823" i="1"/>
  <c r="G3823" i="1"/>
  <c r="H3823" i="1"/>
  <c r="I3823" i="1"/>
  <c r="J3823" i="1"/>
  <c r="K3823" i="1"/>
  <c r="M3823" i="1"/>
  <c r="O3823" i="1"/>
  <c r="Q3823" i="1"/>
  <c r="R3823" i="1"/>
  <c r="W3823" i="1"/>
  <c r="AA3823" i="1"/>
  <c r="AM3823" i="1"/>
  <c r="AN3823" i="1"/>
  <c r="AO3823" i="1"/>
  <c r="AQ3823" i="1"/>
  <c r="BB3823" i="1"/>
  <c r="BD3823" i="1"/>
  <c r="B3824" i="1"/>
  <c r="C3824" i="1"/>
  <c r="E3824" i="1"/>
  <c r="F3824" i="1"/>
  <c r="G3824" i="1"/>
  <c r="H3824" i="1"/>
  <c r="I3824" i="1"/>
  <c r="J3824" i="1"/>
  <c r="K3824" i="1"/>
  <c r="M3824" i="1"/>
  <c r="O3824" i="1"/>
  <c r="Q3824" i="1"/>
  <c r="R3824" i="1"/>
  <c r="W3824" i="1"/>
  <c r="AA3824" i="1"/>
  <c r="AM3824" i="1"/>
  <c r="AN3824" i="1"/>
  <c r="AO3824" i="1"/>
  <c r="AQ3824" i="1"/>
  <c r="BB3824" i="1"/>
  <c r="BD3824" i="1"/>
  <c r="B3825" i="1"/>
  <c r="C3825" i="1"/>
  <c r="E3825" i="1"/>
  <c r="F3825" i="1"/>
  <c r="G3825" i="1"/>
  <c r="H3825" i="1"/>
  <c r="I3825" i="1"/>
  <c r="J3825" i="1"/>
  <c r="K3825" i="1"/>
  <c r="M3825" i="1"/>
  <c r="O3825" i="1"/>
  <c r="Q3825" i="1"/>
  <c r="R3825" i="1"/>
  <c r="W3825" i="1"/>
  <c r="AA3825" i="1"/>
  <c r="AM3825" i="1"/>
  <c r="AN3825" i="1"/>
  <c r="AO3825" i="1"/>
  <c r="AQ3825" i="1"/>
  <c r="BB3825" i="1"/>
  <c r="BD3825" i="1"/>
  <c r="B3826" i="1"/>
  <c r="C3826" i="1"/>
  <c r="E3826" i="1"/>
  <c r="F3826" i="1"/>
  <c r="G3826" i="1"/>
  <c r="H3826" i="1"/>
  <c r="I3826" i="1"/>
  <c r="J3826" i="1"/>
  <c r="K3826" i="1"/>
  <c r="M3826" i="1"/>
  <c r="O3826" i="1"/>
  <c r="Q3826" i="1"/>
  <c r="R3826" i="1"/>
  <c r="W3826" i="1"/>
  <c r="AA3826" i="1"/>
  <c r="AM3826" i="1"/>
  <c r="AN3826" i="1"/>
  <c r="AO3826" i="1"/>
  <c r="AQ3826" i="1"/>
  <c r="BB3826" i="1"/>
  <c r="BD3826" i="1"/>
  <c r="B3827" i="1"/>
  <c r="C3827" i="1"/>
  <c r="E3827" i="1"/>
  <c r="F3827" i="1"/>
  <c r="G3827" i="1"/>
  <c r="H3827" i="1"/>
  <c r="I3827" i="1"/>
  <c r="J3827" i="1"/>
  <c r="K3827" i="1"/>
  <c r="M3827" i="1"/>
  <c r="O3827" i="1"/>
  <c r="Q3827" i="1"/>
  <c r="R3827" i="1"/>
  <c r="W3827" i="1"/>
  <c r="AA3827" i="1"/>
  <c r="AM3827" i="1"/>
  <c r="AN3827" i="1"/>
  <c r="AO3827" i="1"/>
  <c r="AQ3827" i="1"/>
  <c r="BB3827" i="1"/>
  <c r="BD3827" i="1"/>
  <c r="B3828" i="1"/>
  <c r="C3828" i="1"/>
  <c r="E3828" i="1"/>
  <c r="F3828" i="1"/>
  <c r="G3828" i="1"/>
  <c r="H3828" i="1"/>
  <c r="I3828" i="1"/>
  <c r="J3828" i="1"/>
  <c r="K3828" i="1"/>
  <c r="M3828" i="1"/>
  <c r="O3828" i="1"/>
  <c r="Q3828" i="1"/>
  <c r="R3828" i="1"/>
  <c r="W3828" i="1"/>
  <c r="AA3828" i="1"/>
  <c r="AM3828" i="1"/>
  <c r="AN3828" i="1"/>
  <c r="AO3828" i="1"/>
  <c r="AQ3828" i="1"/>
  <c r="BB3828" i="1"/>
  <c r="BD3828" i="1"/>
  <c r="B3829" i="1"/>
  <c r="C3829" i="1"/>
  <c r="E3829" i="1"/>
  <c r="F3829" i="1"/>
  <c r="G3829" i="1"/>
  <c r="H3829" i="1"/>
  <c r="I3829" i="1"/>
  <c r="J3829" i="1"/>
  <c r="K3829" i="1"/>
  <c r="M3829" i="1"/>
  <c r="O3829" i="1"/>
  <c r="Q3829" i="1"/>
  <c r="R3829" i="1"/>
  <c r="W3829" i="1"/>
  <c r="AA3829" i="1"/>
  <c r="AM3829" i="1"/>
  <c r="AN3829" i="1"/>
  <c r="AO3829" i="1"/>
  <c r="AQ3829" i="1"/>
  <c r="BB3829" i="1"/>
  <c r="BD3829" i="1"/>
  <c r="B3830" i="1"/>
  <c r="C3830" i="1"/>
  <c r="E3830" i="1"/>
  <c r="F3830" i="1"/>
  <c r="G3830" i="1"/>
  <c r="H3830" i="1"/>
  <c r="I3830" i="1"/>
  <c r="J3830" i="1"/>
  <c r="K3830" i="1"/>
  <c r="M3830" i="1"/>
  <c r="O3830" i="1"/>
  <c r="Q3830" i="1"/>
  <c r="R3830" i="1"/>
  <c r="W3830" i="1"/>
  <c r="AA3830" i="1"/>
  <c r="AM3830" i="1"/>
  <c r="AN3830" i="1"/>
  <c r="AO3830" i="1"/>
  <c r="AQ3830" i="1"/>
  <c r="BB3830" i="1"/>
  <c r="BD3830" i="1"/>
  <c r="B3831" i="1"/>
  <c r="C3831" i="1"/>
  <c r="E3831" i="1"/>
  <c r="F3831" i="1"/>
  <c r="G3831" i="1"/>
  <c r="H3831" i="1"/>
  <c r="I3831" i="1"/>
  <c r="J3831" i="1"/>
  <c r="K3831" i="1"/>
  <c r="M3831" i="1"/>
  <c r="O3831" i="1"/>
  <c r="Q3831" i="1"/>
  <c r="R3831" i="1"/>
  <c r="W3831" i="1"/>
  <c r="AA3831" i="1"/>
  <c r="AM3831" i="1"/>
  <c r="AN3831" i="1"/>
  <c r="AO3831" i="1"/>
  <c r="AQ3831" i="1"/>
  <c r="BB3831" i="1"/>
  <c r="BD3831" i="1"/>
  <c r="B3832" i="1"/>
  <c r="C3832" i="1"/>
  <c r="E3832" i="1"/>
  <c r="F3832" i="1"/>
  <c r="G3832" i="1"/>
  <c r="H3832" i="1"/>
  <c r="I3832" i="1"/>
  <c r="J3832" i="1"/>
  <c r="K3832" i="1"/>
  <c r="M3832" i="1"/>
  <c r="O3832" i="1"/>
  <c r="Q3832" i="1"/>
  <c r="R3832" i="1"/>
  <c r="W3832" i="1"/>
  <c r="AA3832" i="1"/>
  <c r="AM3832" i="1"/>
  <c r="AN3832" i="1"/>
  <c r="AO3832" i="1"/>
  <c r="AQ3832" i="1"/>
  <c r="BB3832" i="1"/>
  <c r="BD3832" i="1"/>
  <c r="B3833" i="1"/>
  <c r="C3833" i="1"/>
  <c r="E3833" i="1"/>
  <c r="F3833" i="1"/>
  <c r="G3833" i="1"/>
  <c r="H3833" i="1"/>
  <c r="I3833" i="1"/>
  <c r="J3833" i="1"/>
  <c r="K3833" i="1"/>
  <c r="M3833" i="1"/>
  <c r="O3833" i="1"/>
  <c r="Q3833" i="1"/>
  <c r="R3833" i="1"/>
  <c r="W3833" i="1"/>
  <c r="AA3833" i="1"/>
  <c r="AM3833" i="1"/>
  <c r="AN3833" i="1"/>
  <c r="AO3833" i="1"/>
  <c r="AQ3833" i="1"/>
  <c r="BB3833" i="1"/>
  <c r="BD3833" i="1"/>
  <c r="B3834" i="1"/>
  <c r="C3834" i="1"/>
  <c r="E3834" i="1"/>
  <c r="F3834" i="1"/>
  <c r="G3834" i="1"/>
  <c r="H3834" i="1"/>
  <c r="I3834" i="1"/>
  <c r="J3834" i="1"/>
  <c r="K3834" i="1"/>
  <c r="M3834" i="1"/>
  <c r="O3834" i="1"/>
  <c r="Q3834" i="1"/>
  <c r="R3834" i="1"/>
  <c r="W3834" i="1"/>
  <c r="AA3834" i="1"/>
  <c r="AM3834" i="1"/>
  <c r="AN3834" i="1"/>
  <c r="AO3834" i="1"/>
  <c r="AQ3834" i="1"/>
  <c r="BB3834" i="1"/>
  <c r="BD3834" i="1"/>
  <c r="B3835" i="1"/>
  <c r="C3835" i="1"/>
  <c r="E3835" i="1"/>
  <c r="F3835" i="1"/>
  <c r="G3835" i="1"/>
  <c r="H3835" i="1"/>
  <c r="I3835" i="1"/>
  <c r="J3835" i="1"/>
  <c r="K3835" i="1"/>
  <c r="M3835" i="1"/>
  <c r="O3835" i="1"/>
  <c r="Q3835" i="1"/>
  <c r="R3835" i="1"/>
  <c r="W3835" i="1"/>
  <c r="AA3835" i="1"/>
  <c r="AM3835" i="1"/>
  <c r="AN3835" i="1"/>
  <c r="AO3835" i="1"/>
  <c r="AQ3835" i="1"/>
  <c r="BB3835" i="1"/>
  <c r="BD3835" i="1"/>
  <c r="B3836" i="1"/>
  <c r="C3836" i="1"/>
  <c r="E3836" i="1"/>
  <c r="F3836" i="1"/>
  <c r="G3836" i="1"/>
  <c r="H3836" i="1"/>
  <c r="I3836" i="1"/>
  <c r="J3836" i="1"/>
  <c r="K3836" i="1"/>
  <c r="M3836" i="1"/>
  <c r="O3836" i="1"/>
  <c r="Q3836" i="1"/>
  <c r="R3836" i="1"/>
  <c r="W3836" i="1"/>
  <c r="AA3836" i="1"/>
  <c r="AM3836" i="1"/>
  <c r="AN3836" i="1"/>
  <c r="AO3836" i="1"/>
  <c r="AQ3836" i="1"/>
  <c r="BB3836" i="1"/>
  <c r="BD3836" i="1"/>
  <c r="B3837" i="1"/>
  <c r="C3837" i="1"/>
  <c r="E3837" i="1"/>
  <c r="F3837" i="1"/>
  <c r="G3837" i="1"/>
  <c r="H3837" i="1"/>
  <c r="I3837" i="1"/>
  <c r="J3837" i="1"/>
  <c r="K3837" i="1"/>
  <c r="M3837" i="1"/>
  <c r="O3837" i="1"/>
  <c r="Q3837" i="1"/>
  <c r="R3837" i="1"/>
  <c r="W3837" i="1"/>
  <c r="AA3837" i="1"/>
  <c r="AM3837" i="1"/>
  <c r="AN3837" i="1"/>
  <c r="AO3837" i="1"/>
  <c r="AQ3837" i="1"/>
  <c r="BB3837" i="1"/>
  <c r="BD3837" i="1"/>
  <c r="B3838" i="1"/>
  <c r="C3838" i="1"/>
  <c r="E3838" i="1"/>
  <c r="F3838" i="1"/>
  <c r="G3838" i="1"/>
  <c r="H3838" i="1"/>
  <c r="I3838" i="1"/>
  <c r="J3838" i="1"/>
  <c r="K3838" i="1"/>
  <c r="M3838" i="1"/>
  <c r="O3838" i="1"/>
  <c r="Q3838" i="1"/>
  <c r="R3838" i="1"/>
  <c r="W3838" i="1"/>
  <c r="AA3838" i="1"/>
  <c r="AM3838" i="1"/>
  <c r="AN3838" i="1"/>
  <c r="AO3838" i="1"/>
  <c r="AQ3838" i="1"/>
  <c r="BB3838" i="1"/>
  <c r="BD3838" i="1"/>
  <c r="B3839" i="1"/>
  <c r="C3839" i="1"/>
  <c r="E3839" i="1"/>
  <c r="F3839" i="1"/>
  <c r="G3839" i="1"/>
  <c r="H3839" i="1"/>
  <c r="I3839" i="1"/>
  <c r="J3839" i="1"/>
  <c r="K3839" i="1"/>
  <c r="M3839" i="1"/>
  <c r="O3839" i="1"/>
  <c r="Q3839" i="1"/>
  <c r="R3839" i="1"/>
  <c r="W3839" i="1"/>
  <c r="AA3839" i="1"/>
  <c r="AM3839" i="1"/>
  <c r="AN3839" i="1"/>
  <c r="AO3839" i="1"/>
  <c r="AQ3839" i="1"/>
  <c r="BB3839" i="1"/>
  <c r="BD3839" i="1"/>
  <c r="B3840" i="1"/>
  <c r="C3840" i="1"/>
  <c r="E3840" i="1"/>
  <c r="F3840" i="1"/>
  <c r="G3840" i="1"/>
  <c r="H3840" i="1"/>
  <c r="I3840" i="1"/>
  <c r="J3840" i="1"/>
  <c r="K3840" i="1"/>
  <c r="M3840" i="1"/>
  <c r="O3840" i="1"/>
  <c r="Q3840" i="1"/>
  <c r="R3840" i="1"/>
  <c r="W3840" i="1"/>
  <c r="AA3840" i="1"/>
  <c r="AM3840" i="1"/>
  <c r="AN3840" i="1"/>
  <c r="AO3840" i="1"/>
  <c r="AQ3840" i="1"/>
  <c r="BB3840" i="1"/>
  <c r="BD3840" i="1"/>
  <c r="B3841" i="1"/>
  <c r="C3841" i="1"/>
  <c r="E3841" i="1"/>
  <c r="F3841" i="1"/>
  <c r="G3841" i="1"/>
  <c r="H3841" i="1"/>
  <c r="I3841" i="1"/>
  <c r="J3841" i="1"/>
  <c r="K3841" i="1"/>
  <c r="M3841" i="1"/>
  <c r="O3841" i="1"/>
  <c r="Q3841" i="1"/>
  <c r="R3841" i="1"/>
  <c r="W3841" i="1"/>
  <c r="AA3841" i="1"/>
  <c r="AM3841" i="1"/>
  <c r="AN3841" i="1"/>
  <c r="AO3841" i="1"/>
  <c r="AQ3841" i="1"/>
  <c r="BB3841" i="1"/>
  <c r="BD3841" i="1"/>
  <c r="B3842" i="1"/>
  <c r="C3842" i="1"/>
  <c r="E3842" i="1"/>
  <c r="F3842" i="1"/>
  <c r="G3842" i="1"/>
  <c r="H3842" i="1"/>
  <c r="I3842" i="1"/>
  <c r="J3842" i="1"/>
  <c r="K3842" i="1"/>
  <c r="M3842" i="1"/>
  <c r="O3842" i="1"/>
  <c r="Q3842" i="1"/>
  <c r="R3842" i="1"/>
  <c r="W3842" i="1"/>
  <c r="AA3842" i="1"/>
  <c r="AM3842" i="1"/>
  <c r="AN3842" i="1"/>
  <c r="AO3842" i="1"/>
  <c r="AQ3842" i="1"/>
  <c r="BB3842" i="1"/>
  <c r="BD3842" i="1"/>
  <c r="B3843" i="1"/>
  <c r="C3843" i="1"/>
  <c r="E3843" i="1"/>
  <c r="F3843" i="1"/>
  <c r="G3843" i="1"/>
  <c r="H3843" i="1"/>
  <c r="I3843" i="1"/>
  <c r="J3843" i="1"/>
  <c r="K3843" i="1"/>
  <c r="M3843" i="1"/>
  <c r="O3843" i="1"/>
  <c r="Q3843" i="1"/>
  <c r="R3843" i="1"/>
  <c r="W3843" i="1"/>
  <c r="AA3843" i="1"/>
  <c r="AM3843" i="1"/>
  <c r="AN3843" i="1"/>
  <c r="AO3843" i="1"/>
  <c r="AQ3843" i="1"/>
  <c r="BB3843" i="1"/>
  <c r="BD3843" i="1"/>
  <c r="B3844" i="1"/>
  <c r="C3844" i="1"/>
  <c r="E3844" i="1"/>
  <c r="F3844" i="1"/>
  <c r="G3844" i="1"/>
  <c r="H3844" i="1"/>
  <c r="I3844" i="1"/>
  <c r="J3844" i="1"/>
  <c r="K3844" i="1"/>
  <c r="M3844" i="1"/>
  <c r="O3844" i="1"/>
  <c r="Q3844" i="1"/>
  <c r="R3844" i="1"/>
  <c r="W3844" i="1"/>
  <c r="AA3844" i="1"/>
  <c r="AM3844" i="1"/>
  <c r="AN3844" i="1"/>
  <c r="AO3844" i="1"/>
  <c r="AQ3844" i="1"/>
  <c r="BB3844" i="1"/>
  <c r="BD3844" i="1"/>
  <c r="B3845" i="1"/>
  <c r="C3845" i="1"/>
  <c r="E3845" i="1"/>
  <c r="F3845" i="1"/>
  <c r="G3845" i="1"/>
  <c r="H3845" i="1"/>
  <c r="I3845" i="1"/>
  <c r="J3845" i="1"/>
  <c r="K3845" i="1"/>
  <c r="M3845" i="1"/>
  <c r="O3845" i="1"/>
  <c r="Q3845" i="1"/>
  <c r="R3845" i="1"/>
  <c r="W3845" i="1"/>
  <c r="AA3845" i="1"/>
  <c r="AB3845" i="1"/>
  <c r="AE3845" i="1"/>
  <c r="AF3845" i="1"/>
  <c r="AM3845" i="1"/>
  <c r="AN3845" i="1"/>
  <c r="AO3845" i="1"/>
  <c r="AQ3845" i="1"/>
  <c r="AX3845" i="1"/>
  <c r="BD3845" i="1"/>
  <c r="B3846" i="1"/>
  <c r="C3846" i="1"/>
  <c r="E3846" i="1"/>
  <c r="F3846" i="1"/>
  <c r="G3846" i="1"/>
  <c r="H3846" i="1"/>
  <c r="I3846" i="1"/>
  <c r="J3846" i="1"/>
  <c r="K3846" i="1"/>
  <c r="M3846" i="1"/>
  <c r="O3846" i="1"/>
  <c r="Q3846" i="1"/>
  <c r="R3846" i="1"/>
  <c r="W3846" i="1"/>
  <c r="AA3846" i="1"/>
  <c r="AB3846" i="1"/>
  <c r="AE3846" i="1"/>
  <c r="AF3846" i="1"/>
  <c r="AM3846" i="1"/>
  <c r="AN3846" i="1"/>
  <c r="AO3846" i="1"/>
  <c r="AQ3846" i="1"/>
  <c r="AX3846" i="1"/>
  <c r="BD3846" i="1"/>
  <c r="B3847" i="1"/>
  <c r="E3847" i="1"/>
  <c r="F3847" i="1"/>
  <c r="G3847" i="1"/>
  <c r="H3847" i="1"/>
  <c r="I3847" i="1"/>
  <c r="J3847" i="1"/>
  <c r="K3847" i="1"/>
  <c r="M3847" i="1"/>
  <c r="O3847" i="1"/>
  <c r="Q3847" i="1"/>
  <c r="R3847" i="1"/>
  <c r="W3847" i="1"/>
  <c r="AA3847" i="1"/>
  <c r="AM3847" i="1"/>
  <c r="AN3847" i="1"/>
  <c r="AO3847" i="1"/>
  <c r="AQ3847" i="1"/>
  <c r="BB3847" i="1"/>
  <c r="BD3847" i="1"/>
  <c r="B3848" i="1"/>
  <c r="E3848" i="1"/>
  <c r="F3848" i="1"/>
  <c r="G3848" i="1"/>
  <c r="H3848" i="1"/>
  <c r="I3848" i="1"/>
  <c r="J3848" i="1"/>
  <c r="K3848" i="1"/>
  <c r="M3848" i="1"/>
  <c r="O3848" i="1"/>
  <c r="Q3848" i="1"/>
  <c r="R3848" i="1"/>
  <c r="W3848" i="1"/>
  <c r="AA3848" i="1"/>
  <c r="AM3848" i="1"/>
  <c r="AN3848" i="1"/>
  <c r="AO3848" i="1"/>
  <c r="AQ3848" i="1"/>
  <c r="BB3848" i="1"/>
  <c r="BD3848" i="1"/>
  <c r="B3849" i="1"/>
  <c r="C3849" i="1"/>
  <c r="D3849" i="1"/>
  <c r="E3849" i="1"/>
  <c r="F3849" i="1"/>
  <c r="G3849" i="1"/>
  <c r="H3849" i="1"/>
  <c r="I3849" i="1"/>
  <c r="J3849" i="1"/>
  <c r="K3849" i="1"/>
  <c r="M3849" i="1"/>
  <c r="O3849" i="1"/>
  <c r="Q3849" i="1"/>
  <c r="R3849" i="1"/>
  <c r="W3849" i="1"/>
  <c r="AA3849" i="1"/>
  <c r="AB3849" i="1"/>
  <c r="AE3849" i="1"/>
  <c r="AF3849" i="1"/>
  <c r="AM3849" i="1"/>
  <c r="AN3849" i="1"/>
  <c r="AO3849" i="1"/>
  <c r="AQ3849" i="1"/>
  <c r="AX3849" i="1"/>
  <c r="BD3849" i="1"/>
  <c r="B3850" i="1"/>
  <c r="C3850" i="1"/>
  <c r="D3850" i="1"/>
  <c r="E3850" i="1"/>
  <c r="F3850" i="1"/>
  <c r="G3850" i="1"/>
  <c r="H3850" i="1"/>
  <c r="I3850" i="1"/>
  <c r="J3850" i="1"/>
  <c r="K3850" i="1"/>
  <c r="M3850" i="1"/>
  <c r="O3850" i="1"/>
  <c r="Q3850" i="1"/>
  <c r="R3850" i="1"/>
  <c r="W3850" i="1"/>
  <c r="AA3850" i="1"/>
  <c r="AB3850" i="1"/>
  <c r="AE3850" i="1"/>
  <c r="AF3850" i="1"/>
  <c r="AM3850" i="1"/>
  <c r="AN3850" i="1"/>
  <c r="AO3850" i="1"/>
  <c r="AQ3850" i="1"/>
  <c r="AX3850" i="1"/>
  <c r="BD3850" i="1"/>
  <c r="B3851" i="1"/>
  <c r="C3851" i="1"/>
  <c r="E3851" i="1"/>
  <c r="F3851" i="1"/>
  <c r="G3851" i="1"/>
  <c r="H3851" i="1"/>
  <c r="I3851" i="1"/>
  <c r="J3851" i="1"/>
  <c r="K3851" i="1"/>
  <c r="M3851" i="1"/>
  <c r="O3851" i="1"/>
  <c r="Q3851" i="1"/>
  <c r="R3851" i="1"/>
  <c r="W3851" i="1"/>
  <c r="AA3851" i="1"/>
  <c r="AB3851" i="1"/>
  <c r="AE3851" i="1"/>
  <c r="AF3851" i="1"/>
  <c r="AM3851" i="1"/>
  <c r="AN3851" i="1"/>
  <c r="AO3851" i="1"/>
  <c r="AQ3851" i="1"/>
  <c r="AX3851" i="1"/>
  <c r="BD3851" i="1"/>
  <c r="B3852" i="1"/>
  <c r="C3852" i="1"/>
  <c r="E3852" i="1"/>
  <c r="F3852" i="1"/>
  <c r="G3852" i="1"/>
  <c r="H3852" i="1"/>
  <c r="I3852" i="1"/>
  <c r="J3852" i="1"/>
  <c r="K3852" i="1"/>
  <c r="M3852" i="1"/>
  <c r="O3852" i="1"/>
  <c r="Q3852" i="1"/>
  <c r="R3852" i="1"/>
  <c r="W3852" i="1"/>
  <c r="AA3852" i="1"/>
  <c r="AB3852" i="1"/>
  <c r="AE3852" i="1"/>
  <c r="AF3852" i="1"/>
  <c r="AM3852" i="1"/>
  <c r="AN3852" i="1"/>
  <c r="AO3852" i="1"/>
  <c r="AQ3852" i="1"/>
  <c r="AX3852" i="1"/>
  <c r="BD3852" i="1"/>
  <c r="B3853" i="1"/>
  <c r="C3853" i="1"/>
  <c r="E3853" i="1"/>
  <c r="F3853" i="1"/>
  <c r="G3853" i="1"/>
  <c r="H3853" i="1"/>
  <c r="I3853" i="1"/>
  <c r="J3853" i="1"/>
  <c r="K3853" i="1"/>
  <c r="M3853" i="1"/>
  <c r="O3853" i="1"/>
  <c r="Q3853" i="1"/>
  <c r="R3853" i="1"/>
  <c r="W3853" i="1"/>
  <c r="AA3853" i="1"/>
  <c r="AB3853" i="1"/>
  <c r="AE3853" i="1"/>
  <c r="AF3853" i="1"/>
  <c r="AM3853" i="1"/>
  <c r="AN3853" i="1"/>
  <c r="AO3853" i="1"/>
  <c r="AQ3853" i="1"/>
  <c r="AX3853" i="1"/>
  <c r="BD3853" i="1"/>
  <c r="B3854" i="1"/>
  <c r="C3854" i="1"/>
  <c r="E3854" i="1"/>
  <c r="F3854" i="1"/>
  <c r="G3854" i="1"/>
  <c r="H3854" i="1"/>
  <c r="I3854" i="1"/>
  <c r="J3854" i="1"/>
  <c r="K3854" i="1"/>
  <c r="M3854" i="1"/>
  <c r="O3854" i="1"/>
  <c r="Q3854" i="1"/>
  <c r="R3854" i="1"/>
  <c r="W3854" i="1"/>
  <c r="AA3854" i="1"/>
  <c r="AB3854" i="1"/>
  <c r="AE3854" i="1"/>
  <c r="AF3854" i="1"/>
  <c r="AM3854" i="1"/>
  <c r="AN3854" i="1"/>
  <c r="AO3854" i="1"/>
  <c r="AQ3854" i="1"/>
  <c r="AX3854" i="1"/>
  <c r="BD3854" i="1"/>
  <c r="B3855" i="1"/>
  <c r="C3855" i="1"/>
  <c r="E3855" i="1"/>
  <c r="F3855" i="1"/>
  <c r="G3855" i="1"/>
  <c r="H3855" i="1"/>
  <c r="I3855" i="1"/>
  <c r="J3855" i="1"/>
  <c r="K3855" i="1"/>
  <c r="M3855" i="1"/>
  <c r="O3855" i="1"/>
  <c r="Q3855" i="1"/>
  <c r="R3855" i="1"/>
  <c r="W3855" i="1"/>
  <c r="AA3855" i="1"/>
  <c r="AB3855" i="1"/>
  <c r="AE3855" i="1"/>
  <c r="AF3855" i="1"/>
  <c r="AM3855" i="1"/>
  <c r="AN3855" i="1"/>
  <c r="AO3855" i="1"/>
  <c r="AQ3855" i="1"/>
  <c r="AX3855" i="1"/>
  <c r="BD3855" i="1"/>
  <c r="B3856" i="1"/>
  <c r="C3856" i="1"/>
  <c r="E3856" i="1"/>
  <c r="F3856" i="1"/>
  <c r="G3856" i="1"/>
  <c r="H3856" i="1"/>
  <c r="I3856" i="1"/>
  <c r="J3856" i="1"/>
  <c r="K3856" i="1"/>
  <c r="M3856" i="1"/>
  <c r="O3856" i="1"/>
  <c r="Q3856" i="1"/>
  <c r="R3856" i="1"/>
  <c r="W3856" i="1"/>
  <c r="AA3856" i="1"/>
  <c r="AB3856" i="1"/>
  <c r="AE3856" i="1"/>
  <c r="AF3856" i="1"/>
  <c r="AM3856" i="1"/>
  <c r="AN3856" i="1"/>
  <c r="AO3856" i="1"/>
  <c r="AQ3856" i="1"/>
  <c r="AX3856" i="1"/>
  <c r="BD3856" i="1"/>
  <c r="B3857" i="1"/>
  <c r="C3857" i="1"/>
  <c r="E3857" i="1"/>
  <c r="F3857" i="1"/>
  <c r="G3857" i="1"/>
  <c r="H3857" i="1"/>
  <c r="I3857" i="1"/>
  <c r="J3857" i="1"/>
  <c r="K3857" i="1"/>
  <c r="M3857" i="1"/>
  <c r="O3857" i="1"/>
  <c r="Q3857" i="1"/>
  <c r="R3857" i="1"/>
  <c r="W3857" i="1"/>
  <c r="AA3857" i="1"/>
  <c r="AB3857" i="1"/>
  <c r="AE3857" i="1"/>
  <c r="AF3857" i="1"/>
  <c r="AM3857" i="1"/>
  <c r="AN3857" i="1"/>
  <c r="AO3857" i="1"/>
  <c r="AQ3857" i="1"/>
  <c r="AX3857" i="1"/>
  <c r="BD3857" i="1"/>
  <c r="B3858" i="1"/>
  <c r="C3858" i="1"/>
  <c r="E3858" i="1"/>
  <c r="F3858" i="1"/>
  <c r="G3858" i="1"/>
  <c r="H3858" i="1"/>
  <c r="I3858" i="1"/>
  <c r="J3858" i="1"/>
  <c r="K3858" i="1"/>
  <c r="M3858" i="1"/>
  <c r="O3858" i="1"/>
  <c r="Q3858" i="1"/>
  <c r="R3858" i="1"/>
  <c r="W3858" i="1"/>
  <c r="AA3858" i="1"/>
  <c r="AM3858" i="1"/>
  <c r="AN3858" i="1"/>
  <c r="AO3858" i="1"/>
  <c r="AP3858" i="1"/>
  <c r="AQ3858" i="1"/>
  <c r="BB3858" i="1"/>
  <c r="BD3858" i="1"/>
  <c r="B3859" i="1"/>
  <c r="C3859" i="1"/>
  <c r="E3859" i="1"/>
  <c r="F3859" i="1"/>
  <c r="G3859" i="1"/>
  <c r="H3859" i="1"/>
  <c r="I3859" i="1"/>
  <c r="J3859" i="1"/>
  <c r="K3859" i="1"/>
  <c r="M3859" i="1"/>
  <c r="O3859" i="1"/>
  <c r="Q3859" i="1"/>
  <c r="R3859" i="1"/>
  <c r="W3859" i="1"/>
  <c r="AA3859" i="1"/>
  <c r="AM3859" i="1"/>
  <c r="AN3859" i="1"/>
  <c r="AO3859" i="1"/>
  <c r="AQ3859" i="1"/>
  <c r="BB3859" i="1"/>
  <c r="BD3859" i="1"/>
  <c r="B3860" i="1"/>
  <c r="C3860" i="1"/>
  <c r="E3860" i="1"/>
  <c r="F3860" i="1"/>
  <c r="G3860" i="1"/>
  <c r="H3860" i="1"/>
  <c r="I3860" i="1"/>
  <c r="J3860" i="1"/>
  <c r="K3860" i="1"/>
  <c r="M3860" i="1"/>
  <c r="O3860" i="1"/>
  <c r="Q3860" i="1"/>
  <c r="R3860" i="1"/>
  <c r="W3860" i="1"/>
  <c r="AA3860" i="1"/>
  <c r="AM3860" i="1"/>
  <c r="AN3860" i="1"/>
  <c r="AO3860" i="1"/>
  <c r="AQ3860" i="1"/>
  <c r="BB3860" i="1"/>
  <c r="BD3860" i="1"/>
  <c r="B3861" i="1"/>
  <c r="C3861" i="1"/>
  <c r="E3861" i="1"/>
  <c r="F3861" i="1"/>
  <c r="G3861" i="1"/>
  <c r="H3861" i="1"/>
  <c r="I3861" i="1"/>
  <c r="J3861" i="1"/>
  <c r="K3861" i="1"/>
  <c r="M3861" i="1"/>
  <c r="O3861" i="1"/>
  <c r="Q3861" i="1"/>
  <c r="R3861" i="1"/>
  <c r="W3861" i="1"/>
  <c r="AA3861" i="1"/>
  <c r="AM3861" i="1"/>
  <c r="AN3861" i="1"/>
  <c r="AO3861" i="1"/>
  <c r="AQ3861" i="1"/>
  <c r="BB3861" i="1"/>
  <c r="BD3861" i="1"/>
  <c r="B3862" i="1"/>
  <c r="C3862" i="1"/>
  <c r="D3862" i="1"/>
  <c r="E3862" i="1"/>
  <c r="F3862" i="1"/>
  <c r="G3862" i="1"/>
  <c r="H3862" i="1"/>
  <c r="I3862" i="1"/>
  <c r="J3862" i="1"/>
  <c r="K3862" i="1"/>
  <c r="M3862" i="1"/>
  <c r="O3862" i="1"/>
  <c r="Q3862" i="1"/>
  <c r="R3862" i="1"/>
  <c r="W3862" i="1"/>
  <c r="AA3862" i="1"/>
  <c r="AB3862" i="1"/>
  <c r="AM3862" i="1"/>
  <c r="AN3862" i="1"/>
  <c r="AO3862" i="1"/>
  <c r="AQ3862" i="1"/>
  <c r="AX3862" i="1"/>
  <c r="BD3862" i="1"/>
  <c r="B3863" i="1"/>
  <c r="C3863" i="1"/>
  <c r="E3863" i="1"/>
  <c r="F3863" i="1"/>
  <c r="G3863" i="1"/>
  <c r="H3863" i="1"/>
  <c r="I3863" i="1"/>
  <c r="J3863" i="1"/>
  <c r="K3863" i="1"/>
  <c r="M3863" i="1"/>
  <c r="O3863" i="1"/>
  <c r="Q3863" i="1"/>
  <c r="R3863" i="1"/>
  <c r="W3863" i="1"/>
  <c r="AA3863" i="1"/>
  <c r="AM3863" i="1"/>
  <c r="AN3863" i="1"/>
  <c r="AO3863" i="1"/>
  <c r="AQ3863" i="1"/>
  <c r="BB3863" i="1"/>
  <c r="BD3863" i="1"/>
  <c r="B3864" i="1"/>
  <c r="C3864" i="1"/>
  <c r="D3864" i="1"/>
  <c r="E3864" i="1"/>
  <c r="F3864" i="1"/>
  <c r="G3864" i="1"/>
  <c r="H3864" i="1"/>
  <c r="I3864" i="1"/>
  <c r="J3864" i="1"/>
  <c r="K3864" i="1"/>
  <c r="M3864" i="1"/>
  <c r="O3864" i="1"/>
  <c r="Q3864" i="1"/>
  <c r="R3864" i="1"/>
  <c r="W3864" i="1"/>
  <c r="AA3864" i="1"/>
  <c r="AB3864" i="1"/>
  <c r="AE3864" i="1"/>
  <c r="AF3864" i="1"/>
  <c r="AM3864" i="1"/>
  <c r="AN3864" i="1"/>
  <c r="AO3864" i="1"/>
  <c r="AQ3864" i="1"/>
  <c r="AX3864" i="1"/>
  <c r="BD3864" i="1"/>
  <c r="B3865" i="1"/>
  <c r="C3865" i="1"/>
  <c r="D3865" i="1"/>
  <c r="E3865" i="1"/>
  <c r="F3865" i="1"/>
  <c r="G3865" i="1"/>
  <c r="H3865" i="1"/>
  <c r="I3865" i="1"/>
  <c r="J3865" i="1"/>
  <c r="K3865" i="1"/>
  <c r="M3865" i="1"/>
  <c r="O3865" i="1"/>
  <c r="Q3865" i="1"/>
  <c r="R3865" i="1"/>
  <c r="W3865" i="1"/>
  <c r="AA3865" i="1"/>
  <c r="AB3865" i="1"/>
  <c r="AE3865" i="1"/>
  <c r="AF3865" i="1"/>
  <c r="AM3865" i="1"/>
  <c r="AN3865" i="1"/>
  <c r="AO3865" i="1"/>
  <c r="AQ3865" i="1"/>
  <c r="AX3865" i="1"/>
  <c r="BD3865" i="1"/>
  <c r="B3866" i="1"/>
  <c r="C3866" i="1"/>
  <c r="D3866" i="1"/>
  <c r="E3866" i="1"/>
  <c r="F3866" i="1"/>
  <c r="G3866" i="1"/>
  <c r="H3866" i="1"/>
  <c r="I3866" i="1"/>
  <c r="J3866" i="1"/>
  <c r="K3866" i="1"/>
  <c r="M3866" i="1"/>
  <c r="O3866" i="1"/>
  <c r="Q3866" i="1"/>
  <c r="R3866" i="1"/>
  <c r="W3866" i="1"/>
  <c r="AA3866" i="1"/>
  <c r="AB3866" i="1"/>
  <c r="AE3866" i="1"/>
  <c r="AF3866" i="1"/>
  <c r="AM3866" i="1"/>
  <c r="AN3866" i="1"/>
  <c r="AO3866" i="1"/>
  <c r="AQ3866" i="1"/>
  <c r="AX3866" i="1"/>
  <c r="BD3866" i="1"/>
  <c r="B3867" i="1"/>
  <c r="C3867" i="1"/>
  <c r="E3867" i="1"/>
  <c r="F3867" i="1"/>
  <c r="G3867" i="1"/>
  <c r="H3867" i="1"/>
  <c r="I3867" i="1"/>
  <c r="J3867" i="1"/>
  <c r="K3867" i="1"/>
  <c r="M3867" i="1"/>
  <c r="O3867" i="1"/>
  <c r="Q3867" i="1"/>
  <c r="R3867" i="1"/>
  <c r="W3867" i="1"/>
  <c r="AA3867" i="1"/>
  <c r="AM3867" i="1"/>
  <c r="AN3867" i="1"/>
  <c r="AO3867" i="1"/>
  <c r="AQ3867" i="1"/>
  <c r="BB3867" i="1"/>
  <c r="BD3867" i="1"/>
  <c r="B3868" i="1"/>
  <c r="C3868" i="1"/>
  <c r="D3868" i="1"/>
  <c r="E3868" i="1"/>
  <c r="F3868" i="1"/>
  <c r="G3868" i="1"/>
  <c r="H3868" i="1"/>
  <c r="I3868" i="1"/>
  <c r="J3868" i="1"/>
  <c r="K3868" i="1"/>
  <c r="M3868" i="1"/>
  <c r="O3868" i="1"/>
  <c r="Q3868" i="1"/>
  <c r="R3868" i="1"/>
  <c r="W3868" i="1"/>
  <c r="AA3868" i="1"/>
  <c r="AB3868" i="1"/>
  <c r="AE3868" i="1"/>
  <c r="AF3868" i="1"/>
  <c r="AM3868" i="1"/>
  <c r="AN3868" i="1"/>
  <c r="AO3868" i="1"/>
  <c r="AQ3868" i="1"/>
  <c r="AX3868" i="1"/>
  <c r="BD3868" i="1"/>
  <c r="B3869" i="1"/>
  <c r="C3869" i="1"/>
  <c r="E3869" i="1"/>
  <c r="F3869" i="1"/>
  <c r="G3869" i="1"/>
  <c r="H3869" i="1"/>
  <c r="I3869" i="1"/>
  <c r="J3869" i="1"/>
  <c r="K3869" i="1"/>
  <c r="M3869" i="1"/>
  <c r="O3869" i="1"/>
  <c r="Q3869" i="1"/>
  <c r="R3869" i="1"/>
  <c r="W3869" i="1"/>
  <c r="AA3869" i="1"/>
  <c r="AB3869" i="1"/>
  <c r="AE3869" i="1"/>
  <c r="AF3869" i="1"/>
  <c r="AM3869" i="1"/>
  <c r="AN3869" i="1"/>
  <c r="AO3869" i="1"/>
  <c r="AQ3869" i="1"/>
  <c r="AX3869" i="1"/>
  <c r="BD3869" i="1"/>
  <c r="B3870" i="1"/>
  <c r="C3870" i="1"/>
  <c r="D3870" i="1"/>
  <c r="E3870" i="1"/>
  <c r="F3870" i="1"/>
  <c r="G3870" i="1"/>
  <c r="H3870" i="1"/>
  <c r="I3870" i="1"/>
  <c r="J3870" i="1"/>
  <c r="K3870" i="1"/>
  <c r="M3870" i="1"/>
  <c r="O3870" i="1"/>
  <c r="Q3870" i="1"/>
  <c r="R3870" i="1"/>
  <c r="W3870" i="1"/>
  <c r="AA3870" i="1"/>
  <c r="AB3870" i="1"/>
  <c r="AE3870" i="1"/>
  <c r="AF3870" i="1"/>
  <c r="AM3870" i="1"/>
  <c r="AN3870" i="1"/>
  <c r="AO3870" i="1"/>
  <c r="AQ3870" i="1"/>
  <c r="AX3870" i="1"/>
  <c r="BD3870" i="1"/>
  <c r="B3871" i="1"/>
  <c r="C3871" i="1"/>
  <c r="D3871" i="1"/>
  <c r="E3871" i="1"/>
  <c r="F3871" i="1"/>
  <c r="G3871" i="1"/>
  <c r="H3871" i="1"/>
  <c r="I3871" i="1"/>
  <c r="J3871" i="1"/>
  <c r="K3871" i="1"/>
  <c r="M3871" i="1"/>
  <c r="O3871" i="1"/>
  <c r="Q3871" i="1"/>
  <c r="R3871" i="1"/>
  <c r="W3871" i="1"/>
  <c r="AA3871" i="1"/>
  <c r="AB3871" i="1"/>
  <c r="AE3871" i="1"/>
  <c r="AF3871" i="1"/>
  <c r="AM3871" i="1"/>
  <c r="AN3871" i="1"/>
  <c r="AO3871" i="1"/>
  <c r="AQ3871" i="1"/>
  <c r="AX3871" i="1"/>
  <c r="BD3871" i="1"/>
  <c r="B3872" i="1"/>
  <c r="C3872" i="1"/>
  <c r="E3872" i="1"/>
  <c r="F3872" i="1"/>
  <c r="G3872" i="1"/>
  <c r="H3872" i="1"/>
  <c r="I3872" i="1"/>
  <c r="J3872" i="1"/>
  <c r="K3872" i="1"/>
  <c r="M3872" i="1"/>
  <c r="O3872" i="1"/>
  <c r="Q3872" i="1"/>
  <c r="R3872" i="1"/>
  <c r="W3872" i="1"/>
  <c r="AA3872" i="1"/>
  <c r="AM3872" i="1"/>
  <c r="AN3872" i="1"/>
  <c r="AO3872" i="1"/>
  <c r="AQ3872" i="1"/>
  <c r="BB3872" i="1"/>
  <c r="BD3872" i="1"/>
  <c r="B3873" i="1"/>
  <c r="C3873" i="1"/>
  <c r="E3873" i="1"/>
  <c r="F3873" i="1"/>
  <c r="G3873" i="1"/>
  <c r="H3873" i="1"/>
  <c r="I3873" i="1"/>
  <c r="J3873" i="1"/>
  <c r="K3873" i="1"/>
  <c r="M3873" i="1"/>
  <c r="O3873" i="1"/>
  <c r="Q3873" i="1"/>
  <c r="R3873" i="1"/>
  <c r="W3873" i="1"/>
  <c r="AA3873" i="1"/>
  <c r="AM3873" i="1"/>
  <c r="AN3873" i="1"/>
  <c r="AO3873" i="1"/>
  <c r="AQ3873" i="1"/>
  <c r="BB3873" i="1"/>
  <c r="BD3873" i="1"/>
  <c r="B3874" i="1"/>
  <c r="C3874" i="1"/>
  <c r="E3874" i="1"/>
  <c r="F3874" i="1"/>
  <c r="G3874" i="1"/>
  <c r="H3874" i="1"/>
  <c r="I3874" i="1"/>
  <c r="J3874" i="1"/>
  <c r="K3874" i="1"/>
  <c r="M3874" i="1"/>
  <c r="O3874" i="1"/>
  <c r="Q3874" i="1"/>
  <c r="R3874" i="1"/>
  <c r="W3874" i="1"/>
  <c r="AA3874" i="1"/>
  <c r="AM3874" i="1"/>
  <c r="AN3874" i="1"/>
  <c r="AO3874" i="1"/>
  <c r="AQ3874" i="1"/>
  <c r="BB3874" i="1"/>
  <c r="BD3874" i="1"/>
  <c r="B3875" i="1"/>
  <c r="E3875" i="1"/>
  <c r="F3875" i="1"/>
  <c r="G3875" i="1"/>
  <c r="H3875" i="1"/>
  <c r="I3875" i="1"/>
  <c r="J3875" i="1"/>
  <c r="K3875" i="1"/>
  <c r="M3875" i="1"/>
  <c r="O3875" i="1"/>
  <c r="Q3875" i="1"/>
  <c r="R3875" i="1"/>
  <c r="W3875" i="1"/>
  <c r="AA3875" i="1"/>
  <c r="AB3875" i="1"/>
  <c r="AM3875" i="1"/>
  <c r="AN3875" i="1"/>
  <c r="AO3875" i="1"/>
  <c r="AQ3875" i="1"/>
  <c r="AX3875" i="1"/>
  <c r="BD3875" i="1"/>
  <c r="B3876" i="1"/>
  <c r="E3876" i="1"/>
  <c r="F3876" i="1"/>
  <c r="G3876" i="1"/>
  <c r="H3876" i="1"/>
  <c r="I3876" i="1"/>
  <c r="J3876" i="1"/>
  <c r="K3876" i="1"/>
  <c r="M3876" i="1"/>
  <c r="O3876" i="1"/>
  <c r="Q3876" i="1"/>
  <c r="R3876" i="1"/>
  <c r="W3876" i="1"/>
  <c r="AA3876" i="1"/>
  <c r="AM3876" i="1"/>
  <c r="AN3876" i="1"/>
  <c r="AO3876" i="1"/>
  <c r="AQ3876" i="1"/>
  <c r="BB3876" i="1"/>
  <c r="BD3876" i="1"/>
  <c r="B3877" i="1"/>
  <c r="C3877" i="1"/>
  <c r="D3877" i="1"/>
  <c r="E3877" i="1"/>
  <c r="F3877" i="1"/>
  <c r="G3877" i="1"/>
  <c r="H3877" i="1"/>
  <c r="I3877" i="1"/>
  <c r="J3877" i="1"/>
  <c r="K3877" i="1"/>
  <c r="M3877" i="1"/>
  <c r="O3877" i="1"/>
  <c r="Q3877" i="1"/>
  <c r="R3877" i="1"/>
  <c r="W3877" i="1"/>
  <c r="AA3877" i="1"/>
  <c r="AB3877" i="1"/>
  <c r="AE3877" i="1"/>
  <c r="AF3877" i="1"/>
  <c r="AM3877" i="1"/>
  <c r="AN3877" i="1"/>
  <c r="AO3877" i="1"/>
  <c r="AQ3877" i="1"/>
  <c r="AX3877" i="1"/>
  <c r="BD3877" i="1"/>
  <c r="B3878" i="1"/>
  <c r="C3878" i="1"/>
  <c r="D3878" i="1"/>
  <c r="E3878" i="1"/>
  <c r="F3878" i="1"/>
  <c r="G3878" i="1"/>
  <c r="H3878" i="1"/>
  <c r="I3878" i="1"/>
  <c r="J3878" i="1"/>
  <c r="K3878" i="1"/>
  <c r="M3878" i="1"/>
  <c r="O3878" i="1"/>
  <c r="Q3878" i="1"/>
  <c r="R3878" i="1"/>
  <c r="W3878" i="1"/>
  <c r="AA3878" i="1"/>
  <c r="AB3878" i="1"/>
  <c r="AE3878" i="1"/>
  <c r="AF3878" i="1"/>
  <c r="AM3878" i="1"/>
  <c r="AN3878" i="1"/>
  <c r="AO3878" i="1"/>
  <c r="AQ3878" i="1"/>
  <c r="AX3878" i="1"/>
  <c r="BD3878" i="1"/>
  <c r="B3879" i="1"/>
  <c r="C3879" i="1"/>
  <c r="E3879" i="1"/>
  <c r="F3879" i="1"/>
  <c r="G3879" i="1"/>
  <c r="H3879" i="1"/>
  <c r="I3879" i="1"/>
  <c r="J3879" i="1"/>
  <c r="K3879" i="1"/>
  <c r="M3879" i="1"/>
  <c r="O3879" i="1"/>
  <c r="Q3879" i="1"/>
  <c r="R3879" i="1"/>
  <c r="W3879" i="1"/>
  <c r="AA3879" i="1"/>
  <c r="AB3879" i="1"/>
  <c r="AE3879" i="1"/>
  <c r="AF3879" i="1"/>
  <c r="AM3879" i="1"/>
  <c r="AN3879" i="1"/>
  <c r="AO3879" i="1"/>
  <c r="AQ3879" i="1"/>
  <c r="AX3879" i="1"/>
  <c r="BD3879" i="1"/>
  <c r="B3880" i="1"/>
  <c r="C3880" i="1"/>
  <c r="E3880" i="1"/>
  <c r="F3880" i="1"/>
  <c r="G3880" i="1"/>
  <c r="H3880" i="1"/>
  <c r="I3880" i="1"/>
  <c r="J3880" i="1"/>
  <c r="K3880" i="1"/>
  <c r="M3880" i="1"/>
  <c r="O3880" i="1"/>
  <c r="Q3880" i="1"/>
  <c r="R3880" i="1"/>
  <c r="W3880" i="1"/>
  <c r="AA3880" i="1"/>
  <c r="AM3880" i="1"/>
  <c r="AN3880" i="1"/>
  <c r="AO3880" i="1"/>
  <c r="AQ3880" i="1"/>
  <c r="BB3880" i="1"/>
  <c r="BD3880" i="1"/>
  <c r="B3881" i="1"/>
  <c r="C3881" i="1"/>
  <c r="E3881" i="1"/>
  <c r="F3881" i="1"/>
  <c r="G3881" i="1"/>
  <c r="H3881" i="1"/>
  <c r="I3881" i="1"/>
  <c r="J3881" i="1"/>
  <c r="K3881" i="1"/>
  <c r="M3881" i="1"/>
  <c r="O3881" i="1"/>
  <c r="Q3881" i="1"/>
  <c r="R3881" i="1"/>
  <c r="W3881" i="1"/>
  <c r="AA3881" i="1"/>
  <c r="AM3881" i="1"/>
  <c r="AN3881" i="1"/>
  <c r="AO3881" i="1"/>
  <c r="AQ3881" i="1"/>
  <c r="BB3881" i="1"/>
  <c r="BD3881" i="1"/>
  <c r="B3882" i="1"/>
  <c r="C3882" i="1"/>
  <c r="E3882" i="1"/>
  <c r="F3882" i="1"/>
  <c r="G3882" i="1"/>
  <c r="H3882" i="1"/>
  <c r="I3882" i="1"/>
  <c r="J3882" i="1"/>
  <c r="K3882" i="1"/>
  <c r="M3882" i="1"/>
  <c r="O3882" i="1"/>
  <c r="Q3882" i="1"/>
  <c r="R3882" i="1"/>
  <c r="W3882" i="1"/>
  <c r="AA3882" i="1"/>
  <c r="AB3882" i="1"/>
  <c r="AE3882" i="1"/>
  <c r="AF3882" i="1"/>
  <c r="AM3882" i="1"/>
  <c r="AN3882" i="1"/>
  <c r="AO3882" i="1"/>
  <c r="AQ3882" i="1"/>
  <c r="AX3882" i="1"/>
  <c r="BD3882" i="1"/>
  <c r="B3883" i="1"/>
  <c r="C3883" i="1"/>
  <c r="E3883" i="1"/>
  <c r="F3883" i="1"/>
  <c r="G3883" i="1"/>
  <c r="H3883" i="1"/>
  <c r="I3883" i="1"/>
  <c r="J3883" i="1"/>
  <c r="K3883" i="1"/>
  <c r="M3883" i="1"/>
  <c r="O3883" i="1"/>
  <c r="Q3883" i="1"/>
  <c r="R3883" i="1"/>
  <c r="W3883" i="1"/>
  <c r="AA3883" i="1"/>
  <c r="AB3883" i="1"/>
  <c r="AE3883" i="1"/>
  <c r="AF3883" i="1"/>
  <c r="AM3883" i="1"/>
  <c r="AN3883" i="1"/>
  <c r="AO3883" i="1"/>
  <c r="AQ3883" i="1"/>
  <c r="AX3883" i="1"/>
  <c r="BD3883" i="1"/>
  <c r="B3884" i="1"/>
  <c r="C3884" i="1"/>
  <c r="D3884" i="1"/>
  <c r="E3884" i="1"/>
  <c r="F3884" i="1"/>
  <c r="G3884" i="1"/>
  <c r="H3884" i="1"/>
  <c r="I3884" i="1"/>
  <c r="J3884" i="1"/>
  <c r="K3884" i="1"/>
  <c r="M3884" i="1"/>
  <c r="O3884" i="1"/>
  <c r="Q3884" i="1"/>
  <c r="R3884" i="1"/>
  <c r="W3884" i="1"/>
  <c r="AA3884" i="1"/>
  <c r="AB3884" i="1"/>
  <c r="AE3884" i="1"/>
  <c r="AF3884" i="1"/>
  <c r="AM3884" i="1"/>
  <c r="AN3884" i="1"/>
  <c r="AO3884" i="1"/>
  <c r="AQ3884" i="1"/>
  <c r="AX3884" i="1"/>
  <c r="BD3884" i="1"/>
  <c r="B3885" i="1"/>
  <c r="C3885" i="1"/>
  <c r="E3885" i="1"/>
  <c r="F3885" i="1"/>
  <c r="G3885" i="1"/>
  <c r="H3885" i="1"/>
  <c r="I3885" i="1"/>
  <c r="J3885" i="1"/>
  <c r="K3885" i="1"/>
  <c r="M3885" i="1"/>
  <c r="O3885" i="1"/>
  <c r="Q3885" i="1"/>
  <c r="R3885" i="1"/>
  <c r="W3885" i="1"/>
  <c r="AA3885" i="1"/>
  <c r="AB3885" i="1"/>
  <c r="AE3885" i="1"/>
  <c r="AF3885" i="1"/>
  <c r="AM3885" i="1"/>
  <c r="AN3885" i="1"/>
  <c r="AO3885" i="1"/>
  <c r="AQ3885" i="1"/>
  <c r="AX3885" i="1"/>
  <c r="BD3885" i="1"/>
  <c r="B3886" i="1"/>
  <c r="C3886" i="1"/>
  <c r="E3886" i="1"/>
  <c r="F3886" i="1"/>
  <c r="G3886" i="1"/>
  <c r="H3886" i="1"/>
  <c r="I3886" i="1"/>
  <c r="J3886" i="1"/>
  <c r="K3886" i="1"/>
  <c r="M3886" i="1"/>
  <c r="O3886" i="1"/>
  <c r="Q3886" i="1"/>
  <c r="R3886" i="1"/>
  <c r="W3886" i="1"/>
  <c r="AA3886" i="1"/>
  <c r="AB3886" i="1"/>
  <c r="AE3886" i="1"/>
  <c r="AF3886" i="1"/>
  <c r="AM3886" i="1"/>
  <c r="AN3886" i="1"/>
  <c r="AO3886" i="1"/>
  <c r="AQ3886" i="1"/>
  <c r="AX3886" i="1"/>
  <c r="BD3886" i="1"/>
  <c r="B3887" i="1"/>
  <c r="C3887" i="1"/>
  <c r="E3887" i="1"/>
  <c r="F3887" i="1"/>
  <c r="G3887" i="1"/>
  <c r="H3887" i="1"/>
  <c r="I3887" i="1"/>
  <c r="J3887" i="1"/>
  <c r="K3887" i="1"/>
  <c r="M3887" i="1"/>
  <c r="O3887" i="1"/>
  <c r="Q3887" i="1"/>
  <c r="R3887" i="1"/>
  <c r="W3887" i="1"/>
  <c r="AA3887" i="1"/>
  <c r="AB3887" i="1"/>
  <c r="AE3887" i="1"/>
  <c r="AF3887" i="1"/>
  <c r="AM3887" i="1"/>
  <c r="AN3887" i="1"/>
  <c r="AO3887" i="1"/>
  <c r="AQ3887" i="1"/>
  <c r="AX3887" i="1"/>
  <c r="BD3887" i="1"/>
  <c r="B3888" i="1"/>
  <c r="E3888" i="1"/>
  <c r="F3888" i="1"/>
  <c r="G3888" i="1"/>
  <c r="H3888" i="1"/>
  <c r="I3888" i="1"/>
  <c r="J3888" i="1"/>
  <c r="K3888" i="1"/>
  <c r="M3888" i="1"/>
  <c r="O3888" i="1"/>
  <c r="Q3888" i="1"/>
  <c r="R3888" i="1"/>
  <c r="W3888" i="1"/>
  <c r="AA3888" i="1"/>
  <c r="AB3888" i="1"/>
  <c r="AM3888" i="1"/>
  <c r="AN3888" i="1"/>
  <c r="AO3888" i="1"/>
  <c r="AQ3888" i="1"/>
  <c r="AX3888" i="1"/>
  <c r="BD3888" i="1"/>
  <c r="B3889" i="1"/>
  <c r="C3889" i="1"/>
  <c r="E3889" i="1"/>
  <c r="F3889" i="1"/>
  <c r="G3889" i="1"/>
  <c r="H3889" i="1"/>
  <c r="I3889" i="1"/>
  <c r="J3889" i="1"/>
  <c r="K3889" i="1"/>
  <c r="M3889" i="1"/>
  <c r="O3889" i="1"/>
  <c r="Q3889" i="1"/>
  <c r="R3889" i="1"/>
  <c r="W3889" i="1"/>
  <c r="AA3889" i="1"/>
  <c r="AB3889" i="1"/>
  <c r="AE3889" i="1"/>
  <c r="AF3889" i="1"/>
  <c r="AM3889" i="1"/>
  <c r="AN3889" i="1"/>
  <c r="AO3889" i="1"/>
  <c r="AQ3889" i="1"/>
  <c r="AX3889" i="1"/>
  <c r="BD3889" i="1"/>
  <c r="B3890" i="1"/>
  <c r="C3890" i="1"/>
  <c r="E3890" i="1"/>
  <c r="F3890" i="1"/>
  <c r="G3890" i="1"/>
  <c r="H3890" i="1"/>
  <c r="I3890" i="1"/>
  <c r="J3890" i="1"/>
  <c r="K3890" i="1"/>
  <c r="M3890" i="1"/>
  <c r="O3890" i="1"/>
  <c r="Q3890" i="1"/>
  <c r="R3890" i="1"/>
  <c r="W3890" i="1"/>
  <c r="AA3890" i="1"/>
  <c r="AB3890" i="1"/>
  <c r="AE3890" i="1"/>
  <c r="AF3890" i="1"/>
  <c r="AM3890" i="1"/>
  <c r="AN3890" i="1"/>
  <c r="AO3890" i="1"/>
  <c r="AQ3890" i="1"/>
  <c r="AX3890" i="1"/>
  <c r="BD3890" i="1"/>
  <c r="B3891" i="1"/>
  <c r="E3891" i="1"/>
  <c r="F3891" i="1"/>
  <c r="G3891" i="1"/>
  <c r="H3891" i="1"/>
  <c r="I3891" i="1"/>
  <c r="J3891" i="1"/>
  <c r="K3891" i="1"/>
  <c r="M3891" i="1"/>
  <c r="O3891" i="1"/>
  <c r="Q3891" i="1"/>
  <c r="R3891" i="1"/>
  <c r="W3891" i="1"/>
  <c r="AA3891" i="1"/>
  <c r="AB3891" i="1"/>
  <c r="AM3891" i="1"/>
  <c r="AN3891" i="1"/>
  <c r="AO3891" i="1"/>
  <c r="AQ3891" i="1"/>
  <c r="AX3891" i="1"/>
  <c r="BD3891" i="1"/>
  <c r="B3892" i="1"/>
  <c r="C3892" i="1"/>
  <c r="E3892" i="1"/>
  <c r="F3892" i="1"/>
  <c r="G3892" i="1"/>
  <c r="H3892" i="1"/>
  <c r="I3892" i="1"/>
  <c r="J3892" i="1"/>
  <c r="K3892" i="1"/>
  <c r="M3892" i="1"/>
  <c r="O3892" i="1"/>
  <c r="Q3892" i="1"/>
  <c r="R3892" i="1"/>
  <c r="W3892" i="1"/>
  <c r="AA3892" i="1"/>
  <c r="AM3892" i="1"/>
  <c r="AN3892" i="1"/>
  <c r="AO3892" i="1"/>
  <c r="AQ3892" i="1"/>
  <c r="BB3892" i="1"/>
  <c r="BD3892" i="1"/>
  <c r="B3893" i="1"/>
  <c r="C3893" i="1"/>
  <c r="D3893" i="1"/>
  <c r="E3893" i="1"/>
  <c r="F3893" i="1"/>
  <c r="G3893" i="1"/>
  <c r="H3893" i="1"/>
  <c r="I3893" i="1"/>
  <c r="J3893" i="1"/>
  <c r="K3893" i="1"/>
  <c r="M3893" i="1"/>
  <c r="O3893" i="1"/>
  <c r="Q3893" i="1"/>
  <c r="R3893" i="1"/>
  <c r="W3893" i="1"/>
  <c r="AA3893" i="1"/>
  <c r="AB3893" i="1"/>
  <c r="AM3893" i="1"/>
  <c r="AN3893" i="1"/>
  <c r="AO3893" i="1"/>
  <c r="AQ3893" i="1"/>
  <c r="AX3893" i="1"/>
  <c r="BD3893" i="1"/>
  <c r="B3894" i="1"/>
  <c r="C3894" i="1"/>
  <c r="D3894" i="1"/>
  <c r="E3894" i="1"/>
  <c r="F3894" i="1"/>
  <c r="G3894" i="1"/>
  <c r="H3894" i="1"/>
  <c r="I3894" i="1"/>
  <c r="J3894" i="1"/>
  <c r="K3894" i="1"/>
  <c r="M3894" i="1"/>
  <c r="O3894" i="1"/>
  <c r="Q3894" i="1"/>
  <c r="R3894" i="1"/>
  <c r="W3894" i="1"/>
  <c r="AA3894" i="1"/>
  <c r="AB3894" i="1"/>
  <c r="AE3894" i="1"/>
  <c r="AF3894" i="1"/>
  <c r="AM3894" i="1"/>
  <c r="AN3894" i="1"/>
  <c r="AO3894" i="1"/>
  <c r="AQ3894" i="1"/>
  <c r="AX3894" i="1"/>
  <c r="BD3894" i="1"/>
  <c r="B3895" i="1"/>
  <c r="E3895" i="1"/>
  <c r="F3895" i="1"/>
  <c r="G3895" i="1"/>
  <c r="H3895" i="1"/>
  <c r="I3895" i="1"/>
  <c r="J3895" i="1"/>
  <c r="K3895" i="1"/>
  <c r="M3895" i="1"/>
  <c r="O3895" i="1"/>
  <c r="Q3895" i="1"/>
  <c r="R3895" i="1"/>
  <c r="W3895" i="1"/>
  <c r="AA3895" i="1"/>
  <c r="AM3895" i="1"/>
  <c r="AN3895" i="1"/>
  <c r="AO3895" i="1"/>
  <c r="AQ3895" i="1"/>
  <c r="BB3895" i="1"/>
  <c r="BD3895" i="1"/>
  <c r="B3896" i="1"/>
  <c r="E3896" i="1"/>
  <c r="F3896" i="1"/>
  <c r="G3896" i="1"/>
  <c r="H3896" i="1"/>
  <c r="I3896" i="1"/>
  <c r="J3896" i="1"/>
  <c r="K3896" i="1"/>
  <c r="M3896" i="1"/>
  <c r="O3896" i="1"/>
  <c r="Q3896" i="1"/>
  <c r="R3896" i="1"/>
  <c r="W3896" i="1"/>
  <c r="AA3896" i="1"/>
  <c r="AM3896" i="1"/>
  <c r="AN3896" i="1"/>
  <c r="AO3896" i="1"/>
  <c r="AQ3896" i="1"/>
  <c r="BB3896" i="1"/>
  <c r="BD3896" i="1"/>
  <c r="B3897" i="1"/>
  <c r="C3897" i="1"/>
  <c r="D3897" i="1"/>
  <c r="E3897" i="1"/>
  <c r="F3897" i="1"/>
  <c r="G3897" i="1"/>
  <c r="H3897" i="1"/>
  <c r="I3897" i="1"/>
  <c r="J3897" i="1"/>
  <c r="K3897" i="1"/>
  <c r="M3897" i="1"/>
  <c r="O3897" i="1"/>
  <c r="Q3897" i="1"/>
  <c r="R3897" i="1"/>
  <c r="W3897" i="1"/>
  <c r="AA3897" i="1"/>
  <c r="AB3897" i="1"/>
  <c r="AM3897" i="1"/>
  <c r="AN3897" i="1"/>
  <c r="AO3897" i="1"/>
  <c r="AQ3897" i="1"/>
  <c r="AX3897" i="1"/>
  <c r="BD3897" i="1"/>
  <c r="B3898" i="1"/>
  <c r="C3898" i="1"/>
  <c r="D3898" i="1"/>
  <c r="E3898" i="1"/>
  <c r="F3898" i="1"/>
  <c r="G3898" i="1"/>
  <c r="H3898" i="1"/>
  <c r="I3898" i="1"/>
  <c r="J3898" i="1"/>
  <c r="K3898" i="1"/>
  <c r="M3898" i="1"/>
  <c r="O3898" i="1"/>
  <c r="Q3898" i="1"/>
  <c r="R3898" i="1"/>
  <c r="W3898" i="1"/>
  <c r="AA3898" i="1"/>
  <c r="AB3898" i="1"/>
  <c r="AM3898" i="1"/>
  <c r="AN3898" i="1"/>
  <c r="AO3898" i="1"/>
  <c r="AQ3898" i="1"/>
  <c r="AX3898" i="1"/>
  <c r="BD3898" i="1"/>
  <c r="B3899" i="1"/>
  <c r="C3899" i="1"/>
  <c r="D3899" i="1"/>
  <c r="E3899" i="1"/>
  <c r="F3899" i="1"/>
  <c r="G3899" i="1"/>
  <c r="H3899" i="1"/>
  <c r="I3899" i="1"/>
  <c r="J3899" i="1"/>
  <c r="K3899" i="1"/>
  <c r="M3899" i="1"/>
  <c r="O3899" i="1"/>
  <c r="Q3899" i="1"/>
  <c r="R3899" i="1"/>
  <c r="W3899" i="1"/>
  <c r="AA3899" i="1"/>
  <c r="AB3899" i="1"/>
  <c r="AM3899" i="1"/>
  <c r="AN3899" i="1"/>
  <c r="AO3899" i="1"/>
  <c r="AQ3899" i="1"/>
  <c r="AX3899" i="1"/>
  <c r="BD3899" i="1"/>
  <c r="B3900" i="1"/>
  <c r="C3900" i="1"/>
  <c r="E3900" i="1"/>
  <c r="F3900" i="1"/>
  <c r="G3900" i="1"/>
  <c r="H3900" i="1"/>
  <c r="I3900" i="1"/>
  <c r="J3900" i="1"/>
  <c r="K3900" i="1"/>
  <c r="M3900" i="1"/>
  <c r="O3900" i="1"/>
  <c r="Q3900" i="1"/>
  <c r="R3900" i="1"/>
  <c r="W3900" i="1"/>
  <c r="AA3900" i="1"/>
  <c r="AM3900" i="1"/>
  <c r="AN3900" i="1"/>
  <c r="AO3900" i="1"/>
  <c r="AQ3900" i="1"/>
  <c r="BB3900" i="1"/>
  <c r="BD3900" i="1"/>
  <c r="B3901" i="1"/>
  <c r="C3901" i="1"/>
  <c r="E3901" i="1"/>
  <c r="F3901" i="1"/>
  <c r="G3901" i="1"/>
  <c r="H3901" i="1"/>
  <c r="I3901" i="1"/>
  <c r="J3901" i="1"/>
  <c r="K3901" i="1"/>
  <c r="M3901" i="1"/>
  <c r="O3901" i="1"/>
  <c r="Q3901" i="1"/>
  <c r="R3901" i="1"/>
  <c r="W3901" i="1"/>
  <c r="AA3901" i="1"/>
  <c r="AM3901" i="1"/>
  <c r="AN3901" i="1"/>
  <c r="AO3901" i="1"/>
  <c r="AQ3901" i="1"/>
  <c r="BB3901" i="1"/>
  <c r="BD3901" i="1"/>
  <c r="B3902" i="1"/>
  <c r="E3902" i="1"/>
  <c r="F3902" i="1"/>
  <c r="G3902" i="1"/>
  <c r="H3902" i="1"/>
  <c r="I3902" i="1"/>
  <c r="J3902" i="1"/>
  <c r="K3902" i="1"/>
  <c r="M3902" i="1"/>
  <c r="O3902" i="1"/>
  <c r="Q3902" i="1"/>
  <c r="R3902" i="1"/>
  <c r="W3902" i="1"/>
  <c r="AA3902" i="1"/>
  <c r="AB3902" i="1"/>
  <c r="AM3902" i="1"/>
  <c r="AN3902" i="1"/>
  <c r="AO3902" i="1"/>
  <c r="AQ3902" i="1"/>
  <c r="AX3902" i="1"/>
  <c r="BD3902" i="1"/>
  <c r="B3903" i="1"/>
  <c r="C3903" i="1"/>
  <c r="E3903" i="1"/>
  <c r="F3903" i="1"/>
  <c r="G3903" i="1"/>
  <c r="H3903" i="1"/>
  <c r="I3903" i="1"/>
  <c r="J3903" i="1"/>
  <c r="K3903" i="1"/>
  <c r="M3903" i="1"/>
  <c r="O3903" i="1"/>
  <c r="Q3903" i="1"/>
  <c r="R3903" i="1"/>
  <c r="W3903" i="1"/>
  <c r="AA3903" i="1"/>
  <c r="AB3903" i="1"/>
  <c r="AE3903" i="1"/>
  <c r="AF3903" i="1"/>
  <c r="AM3903" i="1"/>
  <c r="AN3903" i="1"/>
  <c r="AO3903" i="1"/>
  <c r="AQ3903" i="1"/>
  <c r="AX3903" i="1"/>
  <c r="BD3903" i="1"/>
  <c r="B3904" i="1"/>
  <c r="C3904" i="1"/>
  <c r="E3904" i="1"/>
  <c r="F3904" i="1"/>
  <c r="G3904" i="1"/>
  <c r="H3904" i="1"/>
  <c r="I3904" i="1"/>
  <c r="J3904" i="1"/>
  <c r="K3904" i="1"/>
  <c r="M3904" i="1"/>
  <c r="O3904" i="1"/>
  <c r="Q3904" i="1"/>
  <c r="R3904" i="1"/>
  <c r="W3904" i="1"/>
  <c r="AA3904" i="1"/>
  <c r="AB3904" i="1"/>
  <c r="AE3904" i="1"/>
  <c r="AF3904" i="1"/>
  <c r="AM3904" i="1"/>
  <c r="AN3904" i="1"/>
  <c r="AO3904" i="1"/>
  <c r="AQ3904" i="1"/>
  <c r="AX3904" i="1"/>
  <c r="BD3904" i="1"/>
  <c r="B3905" i="1"/>
  <c r="C3905" i="1"/>
  <c r="E3905" i="1"/>
  <c r="F3905" i="1"/>
  <c r="G3905" i="1"/>
  <c r="H3905" i="1"/>
  <c r="I3905" i="1"/>
  <c r="J3905" i="1"/>
  <c r="K3905" i="1"/>
  <c r="M3905" i="1"/>
  <c r="O3905" i="1"/>
  <c r="Q3905" i="1"/>
  <c r="R3905" i="1"/>
  <c r="W3905" i="1"/>
  <c r="AA3905" i="1"/>
  <c r="AB3905" i="1"/>
  <c r="AE3905" i="1"/>
  <c r="AF3905" i="1"/>
  <c r="AM3905" i="1"/>
  <c r="AN3905" i="1"/>
  <c r="AO3905" i="1"/>
  <c r="AQ3905" i="1"/>
  <c r="AX3905" i="1"/>
  <c r="BD3905" i="1"/>
  <c r="B3906" i="1"/>
  <c r="C3906" i="1"/>
  <c r="E3906" i="1"/>
  <c r="F3906" i="1"/>
  <c r="G3906" i="1"/>
  <c r="H3906" i="1"/>
  <c r="I3906" i="1"/>
  <c r="J3906" i="1"/>
  <c r="K3906" i="1"/>
  <c r="M3906" i="1"/>
  <c r="O3906" i="1"/>
  <c r="Q3906" i="1"/>
  <c r="R3906" i="1"/>
  <c r="W3906" i="1"/>
  <c r="AA3906" i="1"/>
  <c r="AB3906" i="1"/>
  <c r="AE3906" i="1"/>
  <c r="AF3906" i="1"/>
  <c r="AM3906" i="1"/>
  <c r="AN3906" i="1"/>
  <c r="AO3906" i="1"/>
  <c r="AQ3906" i="1"/>
  <c r="AX3906" i="1"/>
  <c r="BD3906" i="1"/>
  <c r="B3907" i="1"/>
  <c r="C3907" i="1"/>
  <c r="E3907" i="1"/>
  <c r="F3907" i="1"/>
  <c r="G3907" i="1"/>
  <c r="H3907" i="1"/>
  <c r="I3907" i="1"/>
  <c r="J3907" i="1"/>
  <c r="K3907" i="1"/>
  <c r="M3907" i="1"/>
  <c r="O3907" i="1"/>
  <c r="Q3907" i="1"/>
  <c r="R3907" i="1"/>
  <c r="W3907" i="1"/>
  <c r="AA3907" i="1"/>
  <c r="AB3907" i="1"/>
  <c r="AE3907" i="1"/>
  <c r="AF3907" i="1"/>
  <c r="AM3907" i="1"/>
  <c r="AN3907" i="1"/>
  <c r="AO3907" i="1"/>
  <c r="AQ3907" i="1"/>
  <c r="AX3907" i="1"/>
  <c r="BD3907" i="1"/>
  <c r="B3908" i="1"/>
  <c r="C3908" i="1"/>
  <c r="E3908" i="1"/>
  <c r="F3908" i="1"/>
  <c r="G3908" i="1"/>
  <c r="H3908" i="1"/>
  <c r="I3908" i="1"/>
  <c r="J3908" i="1"/>
  <c r="K3908" i="1"/>
  <c r="M3908" i="1"/>
  <c r="O3908" i="1"/>
  <c r="Q3908" i="1"/>
  <c r="R3908" i="1"/>
  <c r="W3908" i="1"/>
  <c r="AA3908" i="1"/>
  <c r="AB3908" i="1"/>
  <c r="AE3908" i="1"/>
  <c r="AF3908" i="1"/>
  <c r="AM3908" i="1"/>
  <c r="AN3908" i="1"/>
  <c r="AO3908" i="1"/>
  <c r="AQ3908" i="1"/>
  <c r="AX3908" i="1"/>
  <c r="BD3908" i="1"/>
  <c r="B3909" i="1"/>
  <c r="C3909" i="1"/>
  <c r="E3909" i="1"/>
  <c r="F3909" i="1"/>
  <c r="G3909" i="1"/>
  <c r="H3909" i="1"/>
  <c r="I3909" i="1"/>
  <c r="J3909" i="1"/>
  <c r="K3909" i="1"/>
  <c r="M3909" i="1"/>
  <c r="O3909" i="1"/>
  <c r="Q3909" i="1"/>
  <c r="R3909" i="1"/>
  <c r="W3909" i="1"/>
  <c r="AA3909" i="1"/>
  <c r="AB3909" i="1"/>
  <c r="AE3909" i="1"/>
  <c r="AF3909" i="1"/>
  <c r="AM3909" i="1"/>
  <c r="AN3909" i="1"/>
  <c r="AO3909" i="1"/>
  <c r="AQ3909" i="1"/>
  <c r="AX3909" i="1"/>
  <c r="BD3909" i="1"/>
  <c r="B3910" i="1"/>
  <c r="C3910" i="1"/>
  <c r="E3910" i="1"/>
  <c r="F3910" i="1"/>
  <c r="G3910" i="1"/>
  <c r="H3910" i="1"/>
  <c r="I3910" i="1"/>
  <c r="J3910" i="1"/>
  <c r="K3910" i="1"/>
  <c r="M3910" i="1"/>
  <c r="O3910" i="1"/>
  <c r="Q3910" i="1"/>
  <c r="R3910" i="1"/>
  <c r="W3910" i="1"/>
  <c r="AA3910" i="1"/>
  <c r="AM3910" i="1"/>
  <c r="AN3910" i="1"/>
  <c r="AO3910" i="1"/>
  <c r="AQ3910" i="1"/>
  <c r="BB3910" i="1"/>
  <c r="BD3910" i="1"/>
  <c r="B3911" i="1"/>
  <c r="E3911" i="1"/>
  <c r="F3911" i="1"/>
  <c r="G3911" i="1"/>
  <c r="H3911" i="1"/>
  <c r="I3911" i="1"/>
  <c r="J3911" i="1"/>
  <c r="K3911" i="1"/>
  <c r="M3911" i="1"/>
  <c r="O3911" i="1"/>
  <c r="Q3911" i="1"/>
  <c r="R3911" i="1"/>
  <c r="W3911" i="1"/>
  <c r="AA3911" i="1"/>
  <c r="AM3911" i="1"/>
  <c r="AN3911" i="1"/>
  <c r="AO3911" i="1"/>
  <c r="AQ3911" i="1"/>
  <c r="BB3911" i="1"/>
  <c r="BD3911" i="1"/>
  <c r="B3912" i="1"/>
  <c r="C3912" i="1"/>
  <c r="D3912" i="1"/>
  <c r="E3912" i="1"/>
  <c r="F3912" i="1"/>
  <c r="G3912" i="1"/>
  <c r="H3912" i="1"/>
  <c r="I3912" i="1"/>
  <c r="J3912" i="1"/>
  <c r="K3912" i="1"/>
  <c r="M3912" i="1"/>
  <c r="O3912" i="1"/>
  <c r="Q3912" i="1"/>
  <c r="R3912" i="1"/>
  <c r="W3912" i="1"/>
  <c r="AA3912" i="1"/>
  <c r="AB3912" i="1"/>
  <c r="AM3912" i="1"/>
  <c r="AN3912" i="1"/>
  <c r="AO3912" i="1"/>
  <c r="AQ3912" i="1"/>
  <c r="AX3912" i="1"/>
  <c r="BD3912" i="1"/>
  <c r="B3913" i="1"/>
  <c r="C3913" i="1"/>
  <c r="E3913" i="1"/>
  <c r="F3913" i="1"/>
  <c r="G3913" i="1"/>
  <c r="H3913" i="1"/>
  <c r="I3913" i="1"/>
  <c r="J3913" i="1"/>
  <c r="K3913" i="1"/>
  <c r="M3913" i="1"/>
  <c r="O3913" i="1"/>
  <c r="Q3913" i="1"/>
  <c r="R3913" i="1"/>
  <c r="W3913" i="1"/>
  <c r="AA3913" i="1"/>
  <c r="AB3913" i="1"/>
  <c r="AE3913" i="1"/>
  <c r="AF3913" i="1"/>
  <c r="AM3913" i="1"/>
  <c r="AN3913" i="1"/>
  <c r="AO3913" i="1"/>
  <c r="AQ3913" i="1"/>
  <c r="AX3913" i="1"/>
  <c r="BD3913" i="1"/>
  <c r="B3914" i="1"/>
  <c r="C3914" i="1"/>
  <c r="E3914" i="1"/>
  <c r="F3914" i="1"/>
  <c r="G3914" i="1"/>
  <c r="H3914" i="1"/>
  <c r="I3914" i="1"/>
  <c r="J3914" i="1"/>
  <c r="K3914" i="1"/>
  <c r="M3914" i="1"/>
  <c r="O3914" i="1"/>
  <c r="Q3914" i="1"/>
  <c r="R3914" i="1"/>
  <c r="W3914" i="1"/>
  <c r="AA3914" i="1"/>
  <c r="AB3914" i="1"/>
  <c r="AE3914" i="1"/>
  <c r="AF3914" i="1"/>
  <c r="AM3914" i="1"/>
  <c r="AN3914" i="1"/>
  <c r="AO3914" i="1"/>
  <c r="AQ3914" i="1"/>
  <c r="AX3914" i="1"/>
  <c r="BD3914" i="1"/>
  <c r="B3915" i="1"/>
  <c r="C3915" i="1"/>
  <c r="E3915" i="1"/>
  <c r="F3915" i="1"/>
  <c r="G3915" i="1"/>
  <c r="H3915" i="1"/>
  <c r="I3915" i="1"/>
  <c r="J3915" i="1"/>
  <c r="K3915" i="1"/>
  <c r="M3915" i="1"/>
  <c r="O3915" i="1"/>
  <c r="Q3915" i="1"/>
  <c r="R3915" i="1"/>
  <c r="W3915" i="1"/>
  <c r="AA3915" i="1"/>
  <c r="AB3915" i="1"/>
  <c r="AE3915" i="1"/>
  <c r="AF3915" i="1"/>
  <c r="AM3915" i="1"/>
  <c r="AN3915" i="1"/>
  <c r="AO3915" i="1"/>
  <c r="AQ3915" i="1"/>
  <c r="AX3915" i="1"/>
  <c r="BD3915" i="1"/>
  <c r="B3916" i="1"/>
  <c r="C3916" i="1"/>
  <c r="E3916" i="1"/>
  <c r="F3916" i="1"/>
  <c r="G3916" i="1"/>
  <c r="H3916" i="1"/>
  <c r="I3916" i="1"/>
  <c r="J3916" i="1"/>
  <c r="K3916" i="1"/>
  <c r="M3916" i="1"/>
  <c r="O3916" i="1"/>
  <c r="Q3916" i="1"/>
  <c r="R3916" i="1"/>
  <c r="W3916" i="1"/>
  <c r="AA3916" i="1"/>
  <c r="AB3916" i="1"/>
  <c r="AE3916" i="1"/>
  <c r="AF3916" i="1"/>
  <c r="AM3916" i="1"/>
  <c r="AN3916" i="1"/>
  <c r="AO3916" i="1"/>
  <c r="AQ3916" i="1"/>
  <c r="AX3916" i="1"/>
  <c r="BD3916" i="1"/>
  <c r="B3917" i="1"/>
  <c r="C3917" i="1"/>
  <c r="D3917" i="1"/>
  <c r="E3917" i="1"/>
  <c r="F3917" i="1"/>
  <c r="G3917" i="1"/>
  <c r="H3917" i="1"/>
  <c r="I3917" i="1"/>
  <c r="J3917" i="1"/>
  <c r="K3917" i="1"/>
  <c r="M3917" i="1"/>
  <c r="O3917" i="1"/>
  <c r="Q3917" i="1"/>
  <c r="R3917" i="1"/>
  <c r="W3917" i="1"/>
  <c r="AA3917" i="1"/>
  <c r="AB3917" i="1"/>
  <c r="AE3917" i="1"/>
  <c r="AF3917" i="1"/>
  <c r="AM3917" i="1"/>
  <c r="AN3917" i="1"/>
  <c r="AO3917" i="1"/>
  <c r="AQ3917" i="1"/>
  <c r="AX3917" i="1"/>
  <c r="BD3917" i="1"/>
  <c r="B3918" i="1"/>
  <c r="C3918" i="1"/>
  <c r="D3918" i="1"/>
  <c r="E3918" i="1"/>
  <c r="F3918" i="1"/>
  <c r="G3918" i="1"/>
  <c r="H3918" i="1"/>
  <c r="I3918" i="1"/>
  <c r="J3918" i="1"/>
  <c r="K3918" i="1"/>
  <c r="M3918" i="1"/>
  <c r="O3918" i="1"/>
  <c r="Q3918" i="1"/>
  <c r="R3918" i="1"/>
  <c r="W3918" i="1"/>
  <c r="AA3918" i="1"/>
  <c r="AB3918" i="1"/>
  <c r="AE3918" i="1"/>
  <c r="AF3918" i="1"/>
  <c r="AM3918" i="1"/>
  <c r="AN3918" i="1"/>
  <c r="AO3918" i="1"/>
  <c r="AQ3918" i="1"/>
  <c r="AX3918" i="1"/>
  <c r="BD3918" i="1"/>
  <c r="B3919" i="1"/>
  <c r="C3919" i="1"/>
  <c r="D3919" i="1"/>
  <c r="E3919" i="1"/>
  <c r="F3919" i="1"/>
  <c r="G3919" i="1"/>
  <c r="H3919" i="1"/>
  <c r="I3919" i="1"/>
  <c r="J3919" i="1"/>
  <c r="K3919" i="1"/>
  <c r="M3919" i="1"/>
  <c r="O3919" i="1"/>
  <c r="Q3919" i="1"/>
  <c r="R3919" i="1"/>
  <c r="W3919" i="1"/>
  <c r="AA3919" i="1"/>
  <c r="AB3919" i="1"/>
  <c r="AE3919" i="1"/>
  <c r="AF3919" i="1"/>
  <c r="AM3919" i="1"/>
  <c r="AN3919" i="1"/>
  <c r="AO3919" i="1"/>
  <c r="AQ3919" i="1"/>
  <c r="AX3919" i="1"/>
  <c r="BD3919" i="1"/>
  <c r="B3920" i="1"/>
  <c r="C3920" i="1"/>
  <c r="E3920" i="1"/>
  <c r="F3920" i="1"/>
  <c r="G3920" i="1"/>
  <c r="H3920" i="1"/>
  <c r="I3920" i="1"/>
  <c r="J3920" i="1"/>
  <c r="K3920" i="1"/>
  <c r="M3920" i="1"/>
  <c r="O3920" i="1"/>
  <c r="Q3920" i="1"/>
  <c r="R3920" i="1"/>
  <c r="W3920" i="1"/>
  <c r="AA3920" i="1"/>
  <c r="AB3920" i="1"/>
  <c r="AE3920" i="1"/>
  <c r="AF3920" i="1"/>
  <c r="AM3920" i="1"/>
  <c r="AN3920" i="1"/>
  <c r="AO3920" i="1"/>
  <c r="AQ3920" i="1"/>
  <c r="AX3920" i="1"/>
  <c r="BD3920" i="1"/>
  <c r="B3921" i="1"/>
  <c r="C3921" i="1"/>
  <c r="D3921" i="1"/>
  <c r="E3921" i="1"/>
  <c r="F3921" i="1"/>
  <c r="G3921" i="1"/>
  <c r="H3921" i="1"/>
  <c r="I3921" i="1"/>
  <c r="J3921" i="1"/>
  <c r="K3921" i="1"/>
  <c r="M3921" i="1"/>
  <c r="O3921" i="1"/>
  <c r="Q3921" i="1"/>
  <c r="R3921" i="1"/>
  <c r="W3921" i="1"/>
  <c r="AA3921" i="1"/>
  <c r="AB3921" i="1"/>
  <c r="AE3921" i="1"/>
  <c r="AF3921" i="1"/>
  <c r="AM3921" i="1"/>
  <c r="AN3921" i="1"/>
  <c r="AO3921" i="1"/>
  <c r="AQ3921" i="1"/>
  <c r="AX3921" i="1"/>
  <c r="BD3921" i="1"/>
  <c r="B3922" i="1"/>
  <c r="C3922" i="1"/>
  <c r="D3922" i="1"/>
  <c r="E3922" i="1"/>
  <c r="F3922" i="1"/>
  <c r="G3922" i="1"/>
  <c r="H3922" i="1"/>
  <c r="I3922" i="1"/>
  <c r="J3922" i="1"/>
  <c r="K3922" i="1"/>
  <c r="M3922" i="1"/>
  <c r="O3922" i="1"/>
  <c r="Q3922" i="1"/>
  <c r="R3922" i="1"/>
  <c r="W3922" i="1"/>
  <c r="AA3922" i="1"/>
  <c r="AB3922" i="1"/>
  <c r="AE3922" i="1"/>
  <c r="AF3922" i="1"/>
  <c r="AM3922" i="1"/>
  <c r="AN3922" i="1"/>
  <c r="AO3922" i="1"/>
  <c r="AQ3922" i="1"/>
  <c r="AX3922" i="1"/>
  <c r="BD3922" i="1"/>
  <c r="B3923" i="1"/>
  <c r="C3923" i="1"/>
  <c r="E3923" i="1"/>
  <c r="F3923" i="1"/>
  <c r="G3923" i="1"/>
  <c r="H3923" i="1"/>
  <c r="I3923" i="1"/>
  <c r="J3923" i="1"/>
  <c r="K3923" i="1"/>
  <c r="M3923" i="1"/>
  <c r="O3923" i="1"/>
  <c r="Q3923" i="1"/>
  <c r="R3923" i="1"/>
  <c r="W3923" i="1"/>
  <c r="AA3923" i="1"/>
  <c r="AB3923" i="1"/>
  <c r="AE3923" i="1"/>
  <c r="AF3923" i="1"/>
  <c r="AM3923" i="1"/>
  <c r="AN3923" i="1"/>
  <c r="AO3923" i="1"/>
  <c r="AQ3923" i="1"/>
  <c r="AX3923" i="1"/>
  <c r="BD3923" i="1"/>
  <c r="B3924" i="1"/>
  <c r="C3924" i="1"/>
  <c r="E3924" i="1"/>
  <c r="F3924" i="1"/>
  <c r="G3924" i="1"/>
  <c r="H3924" i="1"/>
  <c r="I3924" i="1"/>
  <c r="J3924" i="1"/>
  <c r="K3924" i="1"/>
  <c r="M3924" i="1"/>
  <c r="O3924" i="1"/>
  <c r="Q3924" i="1"/>
  <c r="R3924" i="1"/>
  <c r="W3924" i="1"/>
  <c r="AA3924" i="1"/>
  <c r="AB3924" i="1"/>
  <c r="AE3924" i="1"/>
  <c r="AF3924" i="1"/>
  <c r="AM3924" i="1"/>
  <c r="AN3924" i="1"/>
  <c r="AO3924" i="1"/>
  <c r="AQ3924" i="1"/>
  <c r="AX3924" i="1"/>
  <c r="BD3924" i="1"/>
  <c r="B3925" i="1"/>
  <c r="C3925" i="1"/>
  <c r="E3925" i="1"/>
  <c r="F3925" i="1"/>
  <c r="G3925" i="1"/>
  <c r="H3925" i="1"/>
  <c r="I3925" i="1"/>
  <c r="J3925" i="1"/>
  <c r="K3925" i="1"/>
  <c r="M3925" i="1"/>
  <c r="O3925" i="1"/>
  <c r="Q3925" i="1"/>
  <c r="R3925" i="1"/>
  <c r="W3925" i="1"/>
  <c r="AA3925" i="1"/>
  <c r="AB3925" i="1"/>
  <c r="AE3925" i="1"/>
  <c r="AF3925" i="1"/>
  <c r="AM3925" i="1"/>
  <c r="AN3925" i="1"/>
  <c r="AO3925" i="1"/>
  <c r="AQ3925" i="1"/>
  <c r="AX3925" i="1"/>
  <c r="BD3925" i="1"/>
  <c r="B3926" i="1"/>
  <c r="C3926" i="1"/>
  <c r="D3926" i="1"/>
  <c r="E3926" i="1"/>
  <c r="F3926" i="1"/>
  <c r="G3926" i="1"/>
  <c r="H3926" i="1"/>
  <c r="I3926" i="1"/>
  <c r="J3926" i="1"/>
  <c r="K3926" i="1"/>
  <c r="M3926" i="1"/>
  <c r="O3926" i="1"/>
  <c r="Q3926" i="1"/>
  <c r="R3926" i="1"/>
  <c r="W3926" i="1"/>
  <c r="AA3926" i="1"/>
  <c r="AB3926" i="1"/>
  <c r="AE3926" i="1"/>
  <c r="AF3926" i="1"/>
  <c r="AM3926" i="1"/>
  <c r="AN3926" i="1"/>
  <c r="AO3926" i="1"/>
  <c r="AQ3926" i="1"/>
  <c r="AX3926" i="1"/>
  <c r="BD3926" i="1"/>
  <c r="B3927" i="1"/>
  <c r="C3927" i="1"/>
  <c r="E3927" i="1"/>
  <c r="F3927" i="1"/>
  <c r="G3927" i="1"/>
  <c r="H3927" i="1"/>
  <c r="I3927" i="1"/>
  <c r="J3927" i="1"/>
  <c r="K3927" i="1"/>
  <c r="M3927" i="1"/>
  <c r="O3927" i="1"/>
  <c r="Q3927" i="1"/>
  <c r="R3927" i="1"/>
  <c r="W3927" i="1"/>
  <c r="AA3927" i="1"/>
  <c r="AB3927" i="1"/>
  <c r="AE3927" i="1"/>
  <c r="AF3927" i="1"/>
  <c r="AM3927" i="1"/>
  <c r="AN3927" i="1"/>
  <c r="AO3927" i="1"/>
  <c r="AQ3927" i="1"/>
  <c r="AX3927" i="1"/>
  <c r="BD3927" i="1"/>
  <c r="B3928" i="1"/>
  <c r="C3928" i="1"/>
  <c r="E3928" i="1"/>
  <c r="F3928" i="1"/>
  <c r="G3928" i="1"/>
  <c r="H3928" i="1"/>
  <c r="I3928" i="1"/>
  <c r="J3928" i="1"/>
  <c r="K3928" i="1"/>
  <c r="M3928" i="1"/>
  <c r="O3928" i="1"/>
  <c r="Q3928" i="1"/>
  <c r="R3928" i="1"/>
  <c r="W3928" i="1"/>
  <c r="AA3928" i="1"/>
  <c r="AB3928" i="1"/>
  <c r="AE3928" i="1"/>
  <c r="AF3928" i="1"/>
  <c r="AM3928" i="1"/>
  <c r="AN3928" i="1"/>
  <c r="AO3928" i="1"/>
  <c r="AQ3928" i="1"/>
  <c r="AX3928" i="1"/>
  <c r="BD3928" i="1"/>
  <c r="B3929" i="1"/>
  <c r="C3929" i="1"/>
  <c r="E3929" i="1"/>
  <c r="F3929" i="1"/>
  <c r="G3929" i="1"/>
  <c r="H3929" i="1"/>
  <c r="I3929" i="1"/>
  <c r="J3929" i="1"/>
  <c r="K3929" i="1"/>
  <c r="M3929" i="1"/>
  <c r="O3929" i="1"/>
  <c r="Q3929" i="1"/>
  <c r="R3929" i="1"/>
  <c r="W3929" i="1"/>
  <c r="AA3929" i="1"/>
  <c r="AB3929" i="1"/>
  <c r="AE3929" i="1"/>
  <c r="AF3929" i="1"/>
  <c r="AM3929" i="1"/>
  <c r="AN3929" i="1"/>
  <c r="AO3929" i="1"/>
  <c r="AQ3929" i="1"/>
  <c r="AX3929" i="1"/>
  <c r="BD3929" i="1"/>
  <c r="B3930" i="1"/>
  <c r="C3930" i="1"/>
  <c r="D3930" i="1"/>
  <c r="E3930" i="1"/>
  <c r="F3930" i="1"/>
  <c r="G3930" i="1"/>
  <c r="H3930" i="1"/>
  <c r="I3930" i="1"/>
  <c r="J3930" i="1"/>
  <c r="K3930" i="1"/>
  <c r="M3930" i="1"/>
  <c r="O3930" i="1"/>
  <c r="Q3930" i="1"/>
  <c r="R3930" i="1"/>
  <c r="W3930" i="1"/>
  <c r="AA3930" i="1"/>
  <c r="AB3930" i="1"/>
  <c r="AE3930" i="1"/>
  <c r="AF3930" i="1"/>
  <c r="AM3930" i="1"/>
  <c r="AN3930" i="1"/>
  <c r="AO3930" i="1"/>
  <c r="AQ3930" i="1"/>
  <c r="AX3930" i="1"/>
  <c r="BD3930" i="1"/>
  <c r="B3931" i="1"/>
  <c r="C3931" i="1"/>
  <c r="E3931" i="1"/>
  <c r="F3931" i="1"/>
  <c r="G3931" i="1"/>
  <c r="H3931" i="1"/>
  <c r="I3931" i="1"/>
  <c r="J3931" i="1"/>
  <c r="K3931" i="1"/>
  <c r="M3931" i="1"/>
  <c r="O3931" i="1"/>
  <c r="Q3931" i="1"/>
  <c r="R3931" i="1"/>
  <c r="W3931" i="1"/>
  <c r="AA3931" i="1"/>
  <c r="AB3931" i="1"/>
  <c r="AE3931" i="1"/>
  <c r="AF3931" i="1"/>
  <c r="AM3931" i="1"/>
  <c r="AN3931" i="1"/>
  <c r="AO3931" i="1"/>
  <c r="AQ3931" i="1"/>
  <c r="AX3931" i="1"/>
  <c r="BD3931" i="1"/>
  <c r="B3932" i="1"/>
  <c r="C3932" i="1"/>
  <c r="D3932" i="1"/>
  <c r="E3932" i="1"/>
  <c r="F3932" i="1"/>
  <c r="G3932" i="1"/>
  <c r="H3932" i="1"/>
  <c r="I3932" i="1"/>
  <c r="J3932" i="1"/>
  <c r="K3932" i="1"/>
  <c r="M3932" i="1"/>
  <c r="O3932" i="1"/>
  <c r="Q3932" i="1"/>
  <c r="R3932" i="1"/>
  <c r="W3932" i="1"/>
  <c r="AA3932" i="1"/>
  <c r="AB3932" i="1"/>
  <c r="AE3932" i="1"/>
  <c r="AF3932" i="1"/>
  <c r="AM3932" i="1"/>
  <c r="AN3932" i="1"/>
  <c r="AO3932" i="1"/>
  <c r="AQ3932" i="1"/>
  <c r="AX3932" i="1"/>
  <c r="BD3932" i="1"/>
  <c r="B3933" i="1"/>
  <c r="C3933" i="1"/>
  <c r="D3933" i="1"/>
  <c r="E3933" i="1"/>
  <c r="F3933" i="1"/>
  <c r="G3933" i="1"/>
  <c r="H3933" i="1"/>
  <c r="I3933" i="1"/>
  <c r="J3933" i="1"/>
  <c r="K3933" i="1"/>
  <c r="M3933" i="1"/>
  <c r="O3933" i="1"/>
  <c r="Q3933" i="1"/>
  <c r="R3933" i="1"/>
  <c r="W3933" i="1"/>
  <c r="AA3933" i="1"/>
  <c r="AB3933" i="1"/>
  <c r="AE3933" i="1"/>
  <c r="AF3933" i="1"/>
  <c r="AM3933" i="1"/>
  <c r="AN3933" i="1"/>
  <c r="AO3933" i="1"/>
  <c r="AQ3933" i="1"/>
  <c r="AX3933" i="1"/>
  <c r="BD3933" i="1"/>
  <c r="B3934" i="1"/>
  <c r="E3934" i="1"/>
  <c r="F3934" i="1"/>
  <c r="G3934" i="1"/>
  <c r="H3934" i="1"/>
  <c r="I3934" i="1"/>
  <c r="J3934" i="1"/>
  <c r="K3934" i="1"/>
  <c r="M3934" i="1"/>
  <c r="O3934" i="1"/>
  <c r="Q3934" i="1"/>
  <c r="R3934" i="1"/>
  <c r="W3934" i="1"/>
  <c r="AA3934" i="1"/>
  <c r="AB3934" i="1"/>
  <c r="AE3934" i="1"/>
  <c r="AF3934" i="1"/>
  <c r="AM3934" i="1"/>
  <c r="AN3934" i="1"/>
  <c r="AO3934" i="1"/>
  <c r="AQ3934" i="1"/>
  <c r="AX3934" i="1"/>
  <c r="BD3934" i="1"/>
  <c r="B3935" i="1"/>
  <c r="C3935" i="1"/>
  <c r="D3935" i="1"/>
  <c r="E3935" i="1"/>
  <c r="F3935" i="1"/>
  <c r="G3935" i="1"/>
  <c r="H3935" i="1"/>
  <c r="I3935" i="1"/>
  <c r="J3935" i="1"/>
  <c r="K3935" i="1"/>
  <c r="M3935" i="1"/>
  <c r="O3935" i="1"/>
  <c r="Q3935" i="1"/>
  <c r="R3935" i="1"/>
  <c r="W3935" i="1"/>
  <c r="AA3935" i="1"/>
  <c r="AB3935" i="1"/>
  <c r="AE3935" i="1"/>
  <c r="AF3935" i="1"/>
  <c r="AM3935" i="1"/>
  <c r="AN3935" i="1"/>
  <c r="AO3935" i="1"/>
  <c r="AQ3935" i="1"/>
  <c r="AX3935" i="1"/>
  <c r="BD3935" i="1"/>
  <c r="B3936" i="1"/>
  <c r="C3936" i="1"/>
  <c r="E3936" i="1"/>
  <c r="F3936" i="1"/>
  <c r="G3936" i="1"/>
  <c r="H3936" i="1"/>
  <c r="I3936" i="1"/>
  <c r="J3936" i="1"/>
  <c r="K3936" i="1"/>
  <c r="M3936" i="1"/>
  <c r="O3936" i="1"/>
  <c r="Q3936" i="1"/>
  <c r="R3936" i="1"/>
  <c r="W3936" i="1"/>
  <c r="AA3936" i="1"/>
  <c r="AB3936" i="1"/>
  <c r="AE3936" i="1"/>
  <c r="AF3936" i="1"/>
  <c r="AM3936" i="1"/>
  <c r="AN3936" i="1"/>
  <c r="AO3936" i="1"/>
  <c r="AQ3936" i="1"/>
  <c r="AX3936" i="1"/>
  <c r="BD3936" i="1"/>
  <c r="B3937" i="1"/>
  <c r="C3937" i="1"/>
  <c r="E3937" i="1"/>
  <c r="F3937" i="1"/>
  <c r="G3937" i="1"/>
  <c r="H3937" i="1"/>
  <c r="I3937" i="1"/>
  <c r="J3937" i="1"/>
  <c r="K3937" i="1"/>
  <c r="M3937" i="1"/>
  <c r="O3937" i="1"/>
  <c r="Q3937" i="1"/>
  <c r="R3937" i="1"/>
  <c r="W3937" i="1"/>
  <c r="AA3937" i="1"/>
  <c r="AB3937" i="1"/>
  <c r="AE3937" i="1"/>
  <c r="AF3937" i="1"/>
  <c r="AM3937" i="1"/>
  <c r="AN3937" i="1"/>
  <c r="AO3937" i="1"/>
  <c r="AQ3937" i="1"/>
  <c r="AX3937" i="1"/>
  <c r="BD3937" i="1"/>
  <c r="B3938" i="1"/>
  <c r="C3938" i="1"/>
  <c r="D3938" i="1"/>
  <c r="E3938" i="1"/>
  <c r="F3938" i="1"/>
  <c r="G3938" i="1"/>
  <c r="H3938" i="1"/>
  <c r="I3938" i="1"/>
  <c r="J3938" i="1"/>
  <c r="K3938" i="1"/>
  <c r="M3938" i="1"/>
  <c r="O3938" i="1"/>
  <c r="Q3938" i="1"/>
  <c r="R3938" i="1"/>
  <c r="W3938" i="1"/>
  <c r="AA3938" i="1"/>
  <c r="AB3938" i="1"/>
  <c r="AE3938" i="1"/>
  <c r="AF3938" i="1"/>
  <c r="AM3938" i="1"/>
  <c r="AN3938" i="1"/>
  <c r="AO3938" i="1"/>
  <c r="AQ3938" i="1"/>
  <c r="AX3938" i="1"/>
  <c r="BD3938" i="1"/>
  <c r="B3939" i="1"/>
  <c r="C3939" i="1"/>
  <c r="D3939" i="1"/>
  <c r="E3939" i="1"/>
  <c r="F3939" i="1"/>
  <c r="G3939" i="1"/>
  <c r="H3939" i="1"/>
  <c r="I3939" i="1"/>
  <c r="J3939" i="1"/>
  <c r="K3939" i="1"/>
  <c r="M3939" i="1"/>
  <c r="O3939" i="1"/>
  <c r="Q3939" i="1"/>
  <c r="R3939" i="1"/>
  <c r="W3939" i="1"/>
  <c r="AA3939" i="1"/>
  <c r="AB3939" i="1"/>
  <c r="AE3939" i="1"/>
  <c r="AF3939" i="1"/>
  <c r="AM3939" i="1"/>
  <c r="AN3939" i="1"/>
  <c r="AO3939" i="1"/>
  <c r="AQ3939" i="1"/>
  <c r="AX3939" i="1"/>
  <c r="BD3939" i="1"/>
  <c r="B3940" i="1"/>
  <c r="C3940" i="1"/>
  <c r="E3940" i="1"/>
  <c r="F3940" i="1"/>
  <c r="G3940" i="1"/>
  <c r="H3940" i="1"/>
  <c r="I3940" i="1"/>
  <c r="J3940" i="1"/>
  <c r="K3940" i="1"/>
  <c r="M3940" i="1"/>
  <c r="O3940" i="1"/>
  <c r="Q3940" i="1"/>
  <c r="R3940" i="1"/>
  <c r="W3940" i="1"/>
  <c r="AA3940" i="1"/>
  <c r="AM3940" i="1"/>
  <c r="AN3940" i="1"/>
  <c r="AO3940" i="1"/>
  <c r="AQ3940" i="1"/>
  <c r="BB3940" i="1"/>
  <c r="BD3940" i="1"/>
  <c r="B3941" i="1"/>
  <c r="C3941" i="1"/>
  <c r="E3941" i="1"/>
  <c r="F3941" i="1"/>
  <c r="G3941" i="1"/>
  <c r="H3941" i="1"/>
  <c r="I3941" i="1"/>
  <c r="J3941" i="1"/>
  <c r="K3941" i="1"/>
  <c r="M3941" i="1"/>
  <c r="O3941" i="1"/>
  <c r="Q3941" i="1"/>
  <c r="R3941" i="1"/>
  <c r="W3941" i="1"/>
  <c r="AA3941" i="1"/>
  <c r="AM3941" i="1"/>
  <c r="AN3941" i="1"/>
  <c r="AO3941" i="1"/>
  <c r="AQ3941" i="1"/>
  <c r="BB3941" i="1"/>
  <c r="BD3941" i="1"/>
  <c r="B3942" i="1"/>
  <c r="C3942" i="1"/>
  <c r="E3942" i="1"/>
  <c r="F3942" i="1"/>
  <c r="G3942" i="1"/>
  <c r="H3942" i="1"/>
  <c r="I3942" i="1"/>
  <c r="J3942" i="1"/>
  <c r="K3942" i="1"/>
  <c r="M3942" i="1"/>
  <c r="O3942" i="1"/>
  <c r="Q3942" i="1"/>
  <c r="R3942" i="1"/>
  <c r="W3942" i="1"/>
  <c r="AA3942" i="1"/>
  <c r="AM3942" i="1"/>
  <c r="AN3942" i="1"/>
  <c r="AO3942" i="1"/>
  <c r="AQ3942" i="1"/>
  <c r="BB3942" i="1"/>
  <c r="BD3942" i="1"/>
  <c r="B3943" i="1"/>
  <c r="C3943" i="1"/>
  <c r="D3943" i="1"/>
  <c r="E3943" i="1"/>
  <c r="F3943" i="1"/>
  <c r="G3943" i="1"/>
  <c r="H3943" i="1"/>
  <c r="I3943" i="1"/>
  <c r="J3943" i="1"/>
  <c r="K3943" i="1"/>
  <c r="M3943" i="1"/>
  <c r="O3943" i="1"/>
  <c r="Q3943" i="1"/>
  <c r="R3943" i="1"/>
  <c r="W3943" i="1"/>
  <c r="AA3943" i="1"/>
  <c r="AB3943" i="1"/>
  <c r="AE3943" i="1"/>
  <c r="AF3943" i="1"/>
  <c r="AM3943" i="1"/>
  <c r="AN3943" i="1"/>
  <c r="AO3943" i="1"/>
  <c r="AQ3943" i="1"/>
  <c r="AX3943" i="1"/>
  <c r="BD3943" i="1"/>
  <c r="B3944" i="1"/>
  <c r="C3944" i="1"/>
  <c r="D3944" i="1"/>
  <c r="E3944" i="1"/>
  <c r="F3944" i="1"/>
  <c r="G3944" i="1"/>
  <c r="H3944" i="1"/>
  <c r="I3944" i="1"/>
  <c r="J3944" i="1"/>
  <c r="K3944" i="1"/>
  <c r="M3944" i="1"/>
  <c r="O3944" i="1"/>
  <c r="Q3944" i="1"/>
  <c r="R3944" i="1"/>
  <c r="W3944" i="1"/>
  <c r="AA3944" i="1"/>
  <c r="AB3944" i="1"/>
  <c r="AM3944" i="1"/>
  <c r="AN3944" i="1"/>
  <c r="AO3944" i="1"/>
  <c r="AQ3944" i="1"/>
  <c r="AX3944" i="1"/>
  <c r="BD3944" i="1"/>
  <c r="B3945" i="1"/>
  <c r="C3945" i="1"/>
  <c r="E3945" i="1"/>
  <c r="F3945" i="1"/>
  <c r="G3945" i="1"/>
  <c r="H3945" i="1"/>
  <c r="I3945" i="1"/>
  <c r="J3945" i="1"/>
  <c r="K3945" i="1"/>
  <c r="M3945" i="1"/>
  <c r="O3945" i="1"/>
  <c r="Q3945" i="1"/>
  <c r="R3945" i="1"/>
  <c r="W3945" i="1"/>
  <c r="AA3945" i="1"/>
  <c r="AB3945" i="1"/>
  <c r="AE3945" i="1"/>
  <c r="AF3945" i="1"/>
  <c r="AM3945" i="1"/>
  <c r="AN3945" i="1"/>
  <c r="AO3945" i="1"/>
  <c r="AQ3945" i="1"/>
  <c r="AX3945" i="1"/>
  <c r="BD3945" i="1"/>
  <c r="B3946" i="1"/>
  <c r="C3946" i="1"/>
  <c r="D3946" i="1"/>
  <c r="E3946" i="1"/>
  <c r="F3946" i="1"/>
  <c r="G3946" i="1"/>
  <c r="H3946" i="1"/>
  <c r="I3946" i="1"/>
  <c r="J3946" i="1"/>
  <c r="K3946" i="1"/>
  <c r="M3946" i="1"/>
  <c r="O3946" i="1"/>
  <c r="Q3946" i="1"/>
  <c r="R3946" i="1"/>
  <c r="W3946" i="1"/>
  <c r="AA3946" i="1"/>
  <c r="AB3946" i="1"/>
  <c r="AE3946" i="1"/>
  <c r="AF3946" i="1"/>
  <c r="AM3946" i="1"/>
  <c r="AN3946" i="1"/>
  <c r="AO3946" i="1"/>
  <c r="AQ3946" i="1"/>
  <c r="AX3946" i="1"/>
  <c r="BD3946" i="1"/>
  <c r="B3947" i="1"/>
  <c r="C3947" i="1"/>
  <c r="D3947" i="1"/>
  <c r="E3947" i="1"/>
  <c r="F3947" i="1"/>
  <c r="G3947" i="1"/>
  <c r="H3947" i="1"/>
  <c r="I3947" i="1"/>
  <c r="J3947" i="1"/>
  <c r="K3947" i="1"/>
  <c r="M3947" i="1"/>
  <c r="O3947" i="1"/>
  <c r="Q3947" i="1"/>
  <c r="R3947" i="1"/>
  <c r="W3947" i="1"/>
  <c r="AA3947" i="1"/>
  <c r="AB3947" i="1"/>
  <c r="AE3947" i="1"/>
  <c r="AF3947" i="1"/>
  <c r="AM3947" i="1"/>
  <c r="AN3947" i="1"/>
  <c r="AO3947" i="1"/>
  <c r="AQ3947" i="1"/>
  <c r="AX3947" i="1"/>
  <c r="BD3947" i="1"/>
  <c r="B3948" i="1"/>
  <c r="C3948" i="1"/>
  <c r="D3948" i="1"/>
  <c r="E3948" i="1"/>
  <c r="F3948" i="1"/>
  <c r="G3948" i="1"/>
  <c r="H3948" i="1"/>
  <c r="I3948" i="1"/>
  <c r="J3948" i="1"/>
  <c r="K3948" i="1"/>
  <c r="M3948" i="1"/>
  <c r="O3948" i="1"/>
  <c r="Q3948" i="1"/>
  <c r="R3948" i="1"/>
  <c r="W3948" i="1"/>
  <c r="AA3948" i="1"/>
  <c r="AB3948" i="1"/>
  <c r="AE3948" i="1"/>
  <c r="AF3948" i="1"/>
  <c r="AM3948" i="1"/>
  <c r="AN3948" i="1"/>
  <c r="AO3948" i="1"/>
  <c r="AQ3948" i="1"/>
  <c r="AX3948" i="1"/>
  <c r="BD3948" i="1"/>
  <c r="B3949" i="1"/>
  <c r="C3949" i="1"/>
  <c r="D3949" i="1"/>
  <c r="E3949" i="1"/>
  <c r="F3949" i="1"/>
  <c r="G3949" i="1"/>
  <c r="H3949" i="1"/>
  <c r="I3949" i="1"/>
  <c r="J3949" i="1"/>
  <c r="K3949" i="1"/>
  <c r="M3949" i="1"/>
  <c r="O3949" i="1"/>
  <c r="Q3949" i="1"/>
  <c r="R3949" i="1"/>
  <c r="W3949" i="1"/>
  <c r="AA3949" i="1"/>
  <c r="AB3949" i="1"/>
  <c r="AE3949" i="1"/>
  <c r="AF3949" i="1"/>
  <c r="AM3949" i="1"/>
  <c r="AN3949" i="1"/>
  <c r="AO3949" i="1"/>
  <c r="AQ3949" i="1"/>
  <c r="AX3949" i="1"/>
  <c r="BD3949" i="1"/>
  <c r="B3950" i="1"/>
  <c r="E3950" i="1"/>
  <c r="F3950" i="1"/>
  <c r="G3950" i="1"/>
  <c r="H3950" i="1"/>
  <c r="I3950" i="1"/>
  <c r="J3950" i="1"/>
  <c r="K3950" i="1"/>
  <c r="M3950" i="1"/>
  <c r="O3950" i="1"/>
  <c r="Q3950" i="1"/>
  <c r="R3950" i="1"/>
  <c r="W3950" i="1"/>
  <c r="AA3950" i="1"/>
  <c r="AM3950" i="1"/>
  <c r="AN3950" i="1"/>
  <c r="AO3950" i="1"/>
  <c r="AQ3950" i="1"/>
  <c r="BB3950" i="1"/>
  <c r="BD3950" i="1"/>
  <c r="B3951" i="1"/>
  <c r="C3951" i="1"/>
  <c r="E3951" i="1"/>
  <c r="F3951" i="1"/>
  <c r="G3951" i="1"/>
  <c r="H3951" i="1"/>
  <c r="I3951" i="1"/>
  <c r="J3951" i="1"/>
  <c r="K3951" i="1"/>
  <c r="M3951" i="1"/>
  <c r="O3951" i="1"/>
  <c r="Q3951" i="1"/>
  <c r="R3951" i="1"/>
  <c r="W3951" i="1"/>
  <c r="AA3951" i="1"/>
  <c r="AB3951" i="1"/>
  <c r="AE3951" i="1"/>
  <c r="AF3951" i="1"/>
  <c r="AM3951" i="1"/>
  <c r="AN3951" i="1"/>
  <c r="AO3951" i="1"/>
  <c r="AQ3951" i="1"/>
  <c r="AX3951" i="1"/>
  <c r="BD3951" i="1"/>
  <c r="B3952" i="1"/>
  <c r="C3952" i="1"/>
  <c r="E3952" i="1"/>
  <c r="F3952" i="1"/>
  <c r="G3952" i="1"/>
  <c r="H3952" i="1"/>
  <c r="I3952" i="1"/>
  <c r="J3952" i="1"/>
  <c r="K3952" i="1"/>
  <c r="M3952" i="1"/>
  <c r="O3952" i="1"/>
  <c r="Q3952" i="1"/>
  <c r="R3952" i="1"/>
  <c r="W3952" i="1"/>
  <c r="AA3952" i="1"/>
  <c r="AM3952" i="1"/>
  <c r="AN3952" i="1"/>
  <c r="AO3952" i="1"/>
  <c r="AQ3952" i="1"/>
  <c r="BB3952" i="1"/>
  <c r="BD3952" i="1"/>
  <c r="B3953" i="1"/>
  <c r="C3953" i="1"/>
  <c r="E3953" i="1"/>
  <c r="F3953" i="1"/>
  <c r="G3953" i="1"/>
  <c r="H3953" i="1"/>
  <c r="I3953" i="1"/>
  <c r="J3953" i="1"/>
  <c r="K3953" i="1"/>
  <c r="M3953" i="1"/>
  <c r="O3953" i="1"/>
  <c r="Q3953" i="1"/>
  <c r="R3953" i="1"/>
  <c r="W3953" i="1"/>
  <c r="AA3953" i="1"/>
  <c r="AM3953" i="1"/>
  <c r="AN3953" i="1"/>
  <c r="AO3953" i="1"/>
  <c r="AQ3953" i="1"/>
  <c r="BB3953" i="1"/>
  <c r="BD3953" i="1"/>
  <c r="B3954" i="1"/>
  <c r="C3954" i="1"/>
  <c r="E3954" i="1"/>
  <c r="F3954" i="1"/>
  <c r="G3954" i="1"/>
  <c r="H3954" i="1"/>
  <c r="I3954" i="1"/>
  <c r="J3954" i="1"/>
  <c r="K3954" i="1"/>
  <c r="M3954" i="1"/>
  <c r="O3954" i="1"/>
  <c r="Q3954" i="1"/>
  <c r="R3954" i="1"/>
  <c r="W3954" i="1"/>
  <c r="AA3954" i="1"/>
  <c r="AB3954" i="1"/>
  <c r="AE3954" i="1"/>
  <c r="AF3954" i="1"/>
  <c r="AM3954" i="1"/>
  <c r="AN3954" i="1"/>
  <c r="AO3954" i="1"/>
  <c r="AQ3954" i="1"/>
  <c r="AX3954" i="1"/>
  <c r="BD3954" i="1"/>
  <c r="B3955" i="1"/>
  <c r="E3955" i="1"/>
  <c r="F3955" i="1"/>
  <c r="G3955" i="1"/>
  <c r="H3955" i="1"/>
  <c r="I3955" i="1"/>
  <c r="J3955" i="1"/>
  <c r="K3955" i="1"/>
  <c r="M3955" i="1"/>
  <c r="O3955" i="1"/>
  <c r="Q3955" i="1"/>
  <c r="R3955" i="1"/>
  <c r="W3955" i="1"/>
  <c r="AA3955" i="1"/>
  <c r="AB3955" i="1"/>
  <c r="AE3955" i="1"/>
  <c r="AF3955" i="1"/>
  <c r="AM3955" i="1"/>
  <c r="AN3955" i="1"/>
  <c r="AO3955" i="1"/>
  <c r="AQ3955" i="1"/>
  <c r="AX3955" i="1"/>
  <c r="BD3955" i="1"/>
  <c r="B3956" i="1"/>
  <c r="C3956" i="1"/>
  <c r="E3956" i="1"/>
  <c r="F3956" i="1"/>
  <c r="G3956" i="1"/>
  <c r="H3956" i="1"/>
  <c r="I3956" i="1"/>
  <c r="J3956" i="1"/>
  <c r="K3956" i="1"/>
  <c r="M3956" i="1"/>
  <c r="O3956" i="1"/>
  <c r="Q3956" i="1"/>
  <c r="R3956" i="1"/>
  <c r="W3956" i="1"/>
  <c r="AA3956" i="1"/>
  <c r="AM3956" i="1"/>
  <c r="AN3956" i="1"/>
  <c r="AO3956" i="1"/>
  <c r="AQ3956" i="1"/>
  <c r="BB3956" i="1"/>
  <c r="BD3956" i="1"/>
  <c r="B3957" i="1"/>
  <c r="C3957" i="1"/>
  <c r="E3957" i="1"/>
  <c r="F3957" i="1"/>
  <c r="G3957" i="1"/>
  <c r="H3957" i="1"/>
  <c r="I3957" i="1"/>
  <c r="J3957" i="1"/>
  <c r="K3957" i="1"/>
  <c r="M3957" i="1"/>
  <c r="O3957" i="1"/>
  <c r="Q3957" i="1"/>
  <c r="R3957" i="1"/>
  <c r="W3957" i="1"/>
  <c r="AA3957" i="1"/>
  <c r="AB3957" i="1"/>
  <c r="AE3957" i="1"/>
  <c r="AF3957" i="1"/>
  <c r="AM3957" i="1"/>
  <c r="AN3957" i="1"/>
  <c r="AO3957" i="1"/>
  <c r="AQ3957" i="1"/>
  <c r="AX3957" i="1"/>
  <c r="BD3957" i="1"/>
  <c r="B3958" i="1"/>
  <c r="C3958" i="1"/>
  <c r="E3958" i="1"/>
  <c r="F3958" i="1"/>
  <c r="G3958" i="1"/>
  <c r="H3958" i="1"/>
  <c r="I3958" i="1"/>
  <c r="J3958" i="1"/>
  <c r="K3958" i="1"/>
  <c r="M3958" i="1"/>
  <c r="O3958" i="1"/>
  <c r="Q3958" i="1"/>
  <c r="R3958" i="1"/>
  <c r="W3958" i="1"/>
  <c r="AA3958" i="1"/>
  <c r="AB3958" i="1"/>
  <c r="AE3958" i="1"/>
  <c r="AF3958" i="1"/>
  <c r="AM3958" i="1"/>
  <c r="AN3958" i="1"/>
  <c r="AO3958" i="1"/>
  <c r="AQ3958" i="1"/>
  <c r="AX3958" i="1"/>
  <c r="BD3958" i="1"/>
  <c r="B3959" i="1"/>
  <c r="C3959" i="1"/>
  <c r="E3959" i="1"/>
  <c r="F3959" i="1"/>
  <c r="G3959" i="1"/>
  <c r="H3959" i="1"/>
  <c r="I3959" i="1"/>
  <c r="J3959" i="1"/>
  <c r="K3959" i="1"/>
  <c r="M3959" i="1"/>
  <c r="O3959" i="1"/>
  <c r="Q3959" i="1"/>
  <c r="R3959" i="1"/>
  <c r="W3959" i="1"/>
  <c r="AA3959" i="1"/>
  <c r="AB3959" i="1"/>
  <c r="AE3959" i="1"/>
  <c r="AF3959" i="1"/>
  <c r="AM3959" i="1"/>
  <c r="AN3959" i="1"/>
  <c r="AO3959" i="1"/>
  <c r="AQ3959" i="1"/>
  <c r="AX3959" i="1"/>
  <c r="BD3959" i="1"/>
  <c r="B3960" i="1"/>
  <c r="C3960" i="1"/>
  <c r="E3960" i="1"/>
  <c r="F3960" i="1"/>
  <c r="G3960" i="1"/>
  <c r="H3960" i="1"/>
  <c r="I3960" i="1"/>
  <c r="J3960" i="1"/>
  <c r="K3960" i="1"/>
  <c r="M3960" i="1"/>
  <c r="O3960" i="1"/>
  <c r="Q3960" i="1"/>
  <c r="R3960" i="1"/>
  <c r="W3960" i="1"/>
  <c r="AA3960" i="1"/>
  <c r="AB3960" i="1"/>
  <c r="AE3960" i="1"/>
  <c r="AF3960" i="1"/>
  <c r="AM3960" i="1"/>
  <c r="AN3960" i="1"/>
  <c r="AO3960" i="1"/>
  <c r="AQ3960" i="1"/>
  <c r="AX3960" i="1"/>
  <c r="BD3960" i="1"/>
  <c r="B3961" i="1"/>
  <c r="C3961" i="1"/>
  <c r="D3961" i="1"/>
  <c r="E3961" i="1"/>
  <c r="F3961" i="1"/>
  <c r="G3961" i="1"/>
  <c r="H3961" i="1"/>
  <c r="I3961" i="1"/>
  <c r="J3961" i="1"/>
  <c r="K3961" i="1"/>
  <c r="M3961" i="1"/>
  <c r="O3961" i="1"/>
  <c r="Q3961" i="1"/>
  <c r="R3961" i="1"/>
  <c r="W3961" i="1"/>
  <c r="AA3961" i="1"/>
  <c r="AB3961" i="1"/>
  <c r="AE3961" i="1"/>
  <c r="AF3961" i="1"/>
  <c r="AM3961" i="1"/>
  <c r="AN3961" i="1"/>
  <c r="AO3961" i="1"/>
  <c r="AQ3961" i="1"/>
  <c r="AX3961" i="1"/>
  <c r="BD3961" i="1"/>
  <c r="B3962" i="1"/>
  <c r="C3962" i="1"/>
  <c r="E3962" i="1"/>
  <c r="F3962" i="1"/>
  <c r="G3962" i="1"/>
  <c r="H3962" i="1"/>
  <c r="I3962" i="1"/>
  <c r="J3962" i="1"/>
  <c r="K3962" i="1"/>
  <c r="M3962" i="1"/>
  <c r="O3962" i="1"/>
  <c r="Q3962" i="1"/>
  <c r="R3962" i="1"/>
  <c r="W3962" i="1"/>
  <c r="AA3962" i="1"/>
  <c r="AB3962" i="1"/>
  <c r="AE3962" i="1"/>
  <c r="AF3962" i="1"/>
  <c r="AM3962" i="1"/>
  <c r="AN3962" i="1"/>
  <c r="AO3962" i="1"/>
  <c r="AQ3962" i="1"/>
  <c r="AX3962" i="1"/>
  <c r="BD3962" i="1"/>
  <c r="B3963" i="1"/>
  <c r="C3963" i="1"/>
  <c r="D3963" i="1"/>
  <c r="E3963" i="1"/>
  <c r="F3963" i="1"/>
  <c r="G3963" i="1"/>
  <c r="H3963" i="1"/>
  <c r="I3963" i="1"/>
  <c r="J3963" i="1"/>
  <c r="K3963" i="1"/>
  <c r="M3963" i="1"/>
  <c r="O3963" i="1"/>
  <c r="Q3963" i="1"/>
  <c r="R3963" i="1"/>
  <c r="W3963" i="1"/>
  <c r="AA3963" i="1"/>
  <c r="AB3963" i="1"/>
  <c r="AE3963" i="1"/>
  <c r="AF3963" i="1"/>
  <c r="AM3963" i="1"/>
  <c r="AN3963" i="1"/>
  <c r="AO3963" i="1"/>
  <c r="AQ3963" i="1"/>
  <c r="AX3963" i="1"/>
  <c r="BD3963" i="1"/>
  <c r="B3964" i="1"/>
  <c r="C3964" i="1"/>
  <c r="D3964" i="1"/>
  <c r="E3964" i="1"/>
  <c r="F3964" i="1"/>
  <c r="G3964" i="1"/>
  <c r="H3964" i="1"/>
  <c r="I3964" i="1"/>
  <c r="J3964" i="1"/>
  <c r="K3964" i="1"/>
  <c r="M3964" i="1"/>
  <c r="O3964" i="1"/>
  <c r="Q3964" i="1"/>
  <c r="R3964" i="1"/>
  <c r="W3964" i="1"/>
  <c r="AA3964" i="1"/>
  <c r="AB3964" i="1"/>
  <c r="AM3964" i="1"/>
  <c r="AN3964" i="1"/>
  <c r="AO3964" i="1"/>
  <c r="AQ3964" i="1"/>
  <c r="AX3964" i="1"/>
  <c r="BD3964" i="1"/>
  <c r="B3965" i="1"/>
  <c r="C3965" i="1"/>
  <c r="E3965" i="1"/>
  <c r="F3965" i="1"/>
  <c r="G3965" i="1"/>
  <c r="H3965" i="1"/>
  <c r="I3965" i="1"/>
  <c r="J3965" i="1"/>
  <c r="K3965" i="1"/>
  <c r="M3965" i="1"/>
  <c r="O3965" i="1"/>
  <c r="Q3965" i="1"/>
  <c r="R3965" i="1"/>
  <c r="W3965" i="1"/>
  <c r="AA3965" i="1"/>
  <c r="AB3965" i="1"/>
  <c r="AE3965" i="1"/>
  <c r="AF3965" i="1"/>
  <c r="AM3965" i="1"/>
  <c r="AN3965" i="1"/>
  <c r="AO3965" i="1"/>
  <c r="AQ3965" i="1"/>
  <c r="AX3965" i="1"/>
  <c r="BD3965" i="1"/>
  <c r="B3966" i="1"/>
  <c r="C3966" i="1"/>
  <c r="E3966" i="1"/>
  <c r="F3966" i="1"/>
  <c r="G3966" i="1"/>
  <c r="H3966" i="1"/>
  <c r="I3966" i="1"/>
  <c r="J3966" i="1"/>
  <c r="K3966" i="1"/>
  <c r="M3966" i="1"/>
  <c r="O3966" i="1"/>
  <c r="Q3966" i="1"/>
  <c r="R3966" i="1"/>
  <c r="W3966" i="1"/>
  <c r="AA3966" i="1"/>
  <c r="AB3966" i="1"/>
  <c r="AE3966" i="1"/>
  <c r="AF3966" i="1"/>
  <c r="AM3966" i="1"/>
  <c r="AN3966" i="1"/>
  <c r="AO3966" i="1"/>
  <c r="AQ3966" i="1"/>
  <c r="AX3966" i="1"/>
  <c r="BD3966" i="1"/>
  <c r="B3967" i="1"/>
  <c r="C3967" i="1"/>
  <c r="E3967" i="1"/>
  <c r="F3967" i="1"/>
  <c r="G3967" i="1"/>
  <c r="H3967" i="1"/>
  <c r="I3967" i="1"/>
  <c r="J3967" i="1"/>
  <c r="K3967" i="1"/>
  <c r="M3967" i="1"/>
  <c r="O3967" i="1"/>
  <c r="Q3967" i="1"/>
  <c r="R3967" i="1"/>
  <c r="W3967" i="1"/>
  <c r="AA3967" i="1"/>
  <c r="AB3967" i="1"/>
  <c r="AE3967" i="1"/>
  <c r="AF3967" i="1"/>
  <c r="AM3967" i="1"/>
  <c r="AN3967" i="1"/>
  <c r="AO3967" i="1"/>
  <c r="AQ3967" i="1"/>
  <c r="AX3967" i="1"/>
  <c r="BD3967" i="1"/>
  <c r="B3968" i="1"/>
  <c r="C3968" i="1"/>
  <c r="E3968" i="1"/>
  <c r="F3968" i="1"/>
  <c r="G3968" i="1"/>
  <c r="H3968" i="1"/>
  <c r="I3968" i="1"/>
  <c r="J3968" i="1"/>
  <c r="K3968" i="1"/>
  <c r="M3968" i="1"/>
  <c r="O3968" i="1"/>
  <c r="Q3968" i="1"/>
  <c r="R3968" i="1"/>
  <c r="W3968" i="1"/>
  <c r="AA3968" i="1"/>
  <c r="AB3968" i="1"/>
  <c r="AE3968" i="1"/>
  <c r="AF3968" i="1"/>
  <c r="AM3968" i="1"/>
  <c r="AN3968" i="1"/>
  <c r="AO3968" i="1"/>
  <c r="AQ3968" i="1"/>
  <c r="AX3968" i="1"/>
  <c r="BD3968" i="1"/>
  <c r="B3969" i="1"/>
  <c r="C3969" i="1"/>
  <c r="E3969" i="1"/>
  <c r="F3969" i="1"/>
  <c r="G3969" i="1"/>
  <c r="H3969" i="1"/>
  <c r="I3969" i="1"/>
  <c r="J3969" i="1"/>
  <c r="K3969" i="1"/>
  <c r="M3969" i="1"/>
  <c r="O3969" i="1"/>
  <c r="Q3969" i="1"/>
  <c r="R3969" i="1"/>
  <c r="W3969" i="1"/>
  <c r="AA3969" i="1"/>
  <c r="AB3969" i="1"/>
  <c r="AE3969" i="1"/>
  <c r="AF3969" i="1"/>
  <c r="AM3969" i="1"/>
  <c r="AN3969" i="1"/>
  <c r="AO3969" i="1"/>
  <c r="AQ3969" i="1"/>
  <c r="AX3969" i="1"/>
  <c r="BD3969" i="1"/>
  <c r="B3970" i="1"/>
  <c r="C3970" i="1"/>
  <c r="E3970" i="1"/>
  <c r="F3970" i="1"/>
  <c r="G3970" i="1"/>
  <c r="H3970" i="1"/>
  <c r="I3970" i="1"/>
  <c r="J3970" i="1"/>
  <c r="K3970" i="1"/>
  <c r="M3970" i="1"/>
  <c r="O3970" i="1"/>
  <c r="Q3970" i="1"/>
  <c r="R3970" i="1"/>
  <c r="W3970" i="1"/>
  <c r="AA3970" i="1"/>
  <c r="AB3970" i="1"/>
  <c r="AE3970" i="1"/>
  <c r="AF3970" i="1"/>
  <c r="AM3970" i="1"/>
  <c r="AN3970" i="1"/>
  <c r="AO3970" i="1"/>
  <c r="AQ3970" i="1"/>
  <c r="AX3970" i="1"/>
  <c r="BD3970" i="1"/>
  <c r="B3971" i="1"/>
  <c r="C3971" i="1"/>
  <c r="E3971" i="1"/>
  <c r="F3971" i="1"/>
  <c r="G3971" i="1"/>
  <c r="H3971" i="1"/>
  <c r="I3971" i="1"/>
  <c r="J3971" i="1"/>
  <c r="K3971" i="1"/>
  <c r="M3971" i="1"/>
  <c r="O3971" i="1"/>
  <c r="Q3971" i="1"/>
  <c r="R3971" i="1"/>
  <c r="W3971" i="1"/>
  <c r="AA3971" i="1"/>
  <c r="AB3971" i="1"/>
  <c r="AE3971" i="1"/>
  <c r="AF3971" i="1"/>
  <c r="AM3971" i="1"/>
  <c r="AN3971" i="1"/>
  <c r="AO3971" i="1"/>
  <c r="AQ3971" i="1"/>
  <c r="AX3971" i="1"/>
  <c r="BD3971" i="1"/>
  <c r="B3972" i="1"/>
  <c r="C3972" i="1"/>
  <c r="E3972" i="1"/>
  <c r="F3972" i="1"/>
  <c r="G3972" i="1"/>
  <c r="H3972" i="1"/>
  <c r="I3972" i="1"/>
  <c r="J3972" i="1"/>
  <c r="K3972" i="1"/>
  <c r="M3972" i="1"/>
  <c r="O3972" i="1"/>
  <c r="Q3972" i="1"/>
  <c r="R3972" i="1"/>
  <c r="W3972" i="1"/>
  <c r="AA3972" i="1"/>
  <c r="AB3972" i="1"/>
  <c r="AE3972" i="1"/>
  <c r="AF3972" i="1"/>
  <c r="AM3972" i="1"/>
  <c r="AN3972" i="1"/>
  <c r="AO3972" i="1"/>
  <c r="AQ3972" i="1"/>
  <c r="AX3972" i="1"/>
  <c r="BD3972" i="1"/>
  <c r="B3973" i="1"/>
  <c r="C3973" i="1"/>
  <c r="E3973" i="1"/>
  <c r="F3973" i="1"/>
  <c r="G3973" i="1"/>
  <c r="H3973" i="1"/>
  <c r="I3973" i="1"/>
  <c r="J3973" i="1"/>
  <c r="K3973" i="1"/>
  <c r="M3973" i="1"/>
  <c r="O3973" i="1"/>
  <c r="Q3973" i="1"/>
  <c r="R3973" i="1"/>
  <c r="W3973" i="1"/>
  <c r="AA3973" i="1"/>
  <c r="AB3973" i="1"/>
  <c r="AE3973" i="1"/>
  <c r="AF3973" i="1"/>
  <c r="AM3973" i="1"/>
  <c r="AN3973" i="1"/>
  <c r="AO3973" i="1"/>
  <c r="AQ3973" i="1"/>
  <c r="AX3973" i="1"/>
  <c r="BD3973" i="1"/>
  <c r="B3974" i="1"/>
  <c r="C3974" i="1"/>
  <c r="E3974" i="1"/>
  <c r="F3974" i="1"/>
  <c r="G3974" i="1"/>
  <c r="H3974" i="1"/>
  <c r="I3974" i="1"/>
  <c r="J3974" i="1"/>
  <c r="K3974" i="1"/>
  <c r="M3974" i="1"/>
  <c r="O3974" i="1"/>
  <c r="Q3974" i="1"/>
  <c r="R3974" i="1"/>
  <c r="W3974" i="1"/>
  <c r="AA3974" i="1"/>
  <c r="AB3974" i="1"/>
  <c r="AE3974" i="1"/>
  <c r="AF3974" i="1"/>
  <c r="AM3974" i="1"/>
  <c r="AN3974" i="1"/>
  <c r="AO3974" i="1"/>
  <c r="AQ3974" i="1"/>
  <c r="AX3974" i="1"/>
  <c r="BD3974" i="1"/>
  <c r="B3975" i="1"/>
  <c r="C3975" i="1"/>
  <c r="D3975" i="1"/>
  <c r="E3975" i="1"/>
  <c r="F3975" i="1"/>
  <c r="G3975" i="1"/>
  <c r="H3975" i="1"/>
  <c r="I3975" i="1"/>
  <c r="J3975" i="1"/>
  <c r="K3975" i="1"/>
  <c r="M3975" i="1"/>
  <c r="O3975" i="1"/>
  <c r="Q3975" i="1"/>
  <c r="R3975" i="1"/>
  <c r="W3975" i="1"/>
  <c r="AA3975" i="1"/>
  <c r="AB3975" i="1"/>
  <c r="AE3975" i="1"/>
  <c r="AF3975" i="1"/>
  <c r="AM3975" i="1"/>
  <c r="AN3975" i="1"/>
  <c r="AO3975" i="1"/>
  <c r="AQ3975" i="1"/>
  <c r="AX3975" i="1"/>
  <c r="BD3975" i="1"/>
  <c r="B3976" i="1"/>
  <c r="C3976" i="1"/>
  <c r="D3976" i="1"/>
  <c r="E3976" i="1"/>
  <c r="F3976" i="1"/>
  <c r="G3976" i="1"/>
  <c r="H3976" i="1"/>
  <c r="I3976" i="1"/>
  <c r="J3976" i="1"/>
  <c r="K3976" i="1"/>
  <c r="M3976" i="1"/>
  <c r="O3976" i="1"/>
  <c r="Q3976" i="1"/>
  <c r="R3976" i="1"/>
  <c r="W3976" i="1"/>
  <c r="AA3976" i="1"/>
  <c r="AB3976" i="1"/>
  <c r="AE3976" i="1"/>
  <c r="AF3976" i="1"/>
  <c r="AM3976" i="1"/>
  <c r="AN3976" i="1"/>
  <c r="AO3976" i="1"/>
  <c r="AQ3976" i="1"/>
  <c r="AX3976" i="1"/>
  <c r="BD3976" i="1"/>
  <c r="B3977" i="1"/>
  <c r="C3977" i="1"/>
  <c r="D3977" i="1"/>
  <c r="E3977" i="1"/>
  <c r="F3977" i="1"/>
  <c r="G3977" i="1"/>
  <c r="H3977" i="1"/>
  <c r="I3977" i="1"/>
  <c r="J3977" i="1"/>
  <c r="K3977" i="1"/>
  <c r="M3977" i="1"/>
  <c r="O3977" i="1"/>
  <c r="Q3977" i="1"/>
  <c r="R3977" i="1"/>
  <c r="W3977" i="1"/>
  <c r="AA3977" i="1"/>
  <c r="AB3977" i="1"/>
  <c r="AE3977" i="1"/>
  <c r="AF3977" i="1"/>
  <c r="AM3977" i="1"/>
  <c r="AN3977" i="1"/>
  <c r="AO3977" i="1"/>
  <c r="AQ3977" i="1"/>
  <c r="AX3977" i="1"/>
  <c r="BD3977" i="1"/>
  <c r="B3978" i="1"/>
  <c r="C3978" i="1"/>
  <c r="D3978" i="1"/>
  <c r="E3978" i="1"/>
  <c r="F3978" i="1"/>
  <c r="G3978" i="1"/>
  <c r="H3978" i="1"/>
  <c r="I3978" i="1"/>
  <c r="J3978" i="1"/>
  <c r="K3978" i="1"/>
  <c r="M3978" i="1"/>
  <c r="O3978" i="1"/>
  <c r="Q3978" i="1"/>
  <c r="R3978" i="1"/>
  <c r="W3978" i="1"/>
  <c r="AA3978" i="1"/>
  <c r="AB3978" i="1"/>
  <c r="AE3978" i="1"/>
  <c r="AF3978" i="1"/>
  <c r="AM3978" i="1"/>
  <c r="AN3978" i="1"/>
  <c r="AO3978" i="1"/>
  <c r="AQ3978" i="1"/>
  <c r="AX3978" i="1"/>
  <c r="BD3978" i="1"/>
  <c r="B3979" i="1"/>
  <c r="C3979" i="1"/>
  <c r="D3979" i="1"/>
  <c r="E3979" i="1"/>
  <c r="F3979" i="1"/>
  <c r="G3979" i="1"/>
  <c r="H3979" i="1"/>
  <c r="I3979" i="1"/>
  <c r="J3979" i="1"/>
  <c r="K3979" i="1"/>
  <c r="M3979" i="1"/>
  <c r="O3979" i="1"/>
  <c r="Q3979" i="1"/>
  <c r="R3979" i="1"/>
  <c r="W3979" i="1"/>
  <c r="AA3979" i="1"/>
  <c r="AB3979" i="1"/>
  <c r="AE3979" i="1"/>
  <c r="AF3979" i="1"/>
  <c r="AM3979" i="1"/>
  <c r="AN3979" i="1"/>
  <c r="AO3979" i="1"/>
  <c r="AQ3979" i="1"/>
  <c r="AX3979" i="1"/>
  <c r="BD3979" i="1"/>
  <c r="B3980" i="1"/>
  <c r="C3980" i="1"/>
  <c r="E3980" i="1"/>
  <c r="F3980" i="1"/>
  <c r="G3980" i="1"/>
  <c r="H3980" i="1"/>
  <c r="I3980" i="1"/>
  <c r="J3980" i="1"/>
  <c r="K3980" i="1"/>
  <c r="M3980" i="1"/>
  <c r="O3980" i="1"/>
  <c r="Q3980" i="1"/>
  <c r="R3980" i="1"/>
  <c r="W3980" i="1"/>
  <c r="AA3980" i="1"/>
  <c r="AB3980" i="1"/>
  <c r="AE3980" i="1"/>
  <c r="AF3980" i="1"/>
  <c r="AM3980" i="1"/>
  <c r="AN3980" i="1"/>
  <c r="AO3980" i="1"/>
  <c r="AQ3980" i="1"/>
  <c r="AX3980" i="1"/>
  <c r="BD3980" i="1"/>
  <c r="B3981" i="1"/>
  <c r="C3981" i="1"/>
  <c r="E3981" i="1"/>
  <c r="F3981" i="1"/>
  <c r="G3981" i="1"/>
  <c r="H3981" i="1"/>
  <c r="I3981" i="1"/>
  <c r="J3981" i="1"/>
  <c r="K3981" i="1"/>
  <c r="M3981" i="1"/>
  <c r="O3981" i="1"/>
  <c r="Q3981" i="1"/>
  <c r="R3981" i="1"/>
  <c r="W3981" i="1"/>
  <c r="AA3981" i="1"/>
  <c r="AB3981" i="1"/>
  <c r="AE3981" i="1"/>
  <c r="AF3981" i="1"/>
  <c r="AM3981" i="1"/>
  <c r="AN3981" i="1"/>
  <c r="AO3981" i="1"/>
  <c r="AQ3981" i="1"/>
  <c r="AX3981" i="1"/>
  <c r="BD3981" i="1"/>
  <c r="B3982" i="1"/>
  <c r="C3982" i="1"/>
  <c r="E3982" i="1"/>
  <c r="F3982" i="1"/>
  <c r="G3982" i="1"/>
  <c r="H3982" i="1"/>
  <c r="I3982" i="1"/>
  <c r="J3982" i="1"/>
  <c r="K3982" i="1"/>
  <c r="M3982" i="1"/>
  <c r="O3982" i="1"/>
  <c r="Q3982" i="1"/>
  <c r="R3982" i="1"/>
  <c r="W3982" i="1"/>
  <c r="AA3982" i="1"/>
  <c r="AB3982" i="1"/>
  <c r="AE3982" i="1"/>
  <c r="AF3982" i="1"/>
  <c r="AM3982" i="1"/>
  <c r="AN3982" i="1"/>
  <c r="AO3982" i="1"/>
  <c r="AQ3982" i="1"/>
  <c r="AX3982" i="1"/>
  <c r="BD3982" i="1"/>
  <c r="B3983" i="1"/>
  <c r="C3983" i="1"/>
  <c r="D3983" i="1"/>
  <c r="E3983" i="1"/>
  <c r="F3983" i="1"/>
  <c r="G3983" i="1"/>
  <c r="H3983" i="1"/>
  <c r="I3983" i="1"/>
  <c r="J3983" i="1"/>
  <c r="K3983" i="1"/>
  <c r="M3983" i="1"/>
  <c r="O3983" i="1"/>
  <c r="Q3983" i="1"/>
  <c r="R3983" i="1"/>
  <c r="W3983" i="1"/>
  <c r="AA3983" i="1"/>
  <c r="AB3983" i="1"/>
  <c r="AE3983" i="1"/>
  <c r="AF3983" i="1"/>
  <c r="AM3983" i="1"/>
  <c r="AN3983" i="1"/>
  <c r="AO3983" i="1"/>
  <c r="AQ3983" i="1"/>
  <c r="AX3983" i="1"/>
  <c r="BD3983" i="1"/>
  <c r="B3984" i="1"/>
  <c r="C3984" i="1"/>
  <c r="D3984" i="1"/>
  <c r="E3984" i="1"/>
  <c r="F3984" i="1"/>
  <c r="G3984" i="1"/>
  <c r="H3984" i="1"/>
  <c r="I3984" i="1"/>
  <c r="J3984" i="1"/>
  <c r="K3984" i="1"/>
  <c r="M3984" i="1"/>
  <c r="O3984" i="1"/>
  <c r="Q3984" i="1"/>
  <c r="R3984" i="1"/>
  <c r="W3984" i="1"/>
  <c r="AA3984" i="1"/>
  <c r="AB3984" i="1"/>
  <c r="AE3984" i="1"/>
  <c r="AF3984" i="1"/>
  <c r="AM3984" i="1"/>
  <c r="AN3984" i="1"/>
  <c r="AO3984" i="1"/>
  <c r="AQ3984" i="1"/>
  <c r="AX3984" i="1"/>
  <c r="BD3984" i="1"/>
  <c r="B3985" i="1"/>
  <c r="C3985" i="1"/>
  <c r="E3985" i="1"/>
  <c r="F3985" i="1"/>
  <c r="G3985" i="1"/>
  <c r="H3985" i="1"/>
  <c r="I3985" i="1"/>
  <c r="J3985" i="1"/>
  <c r="K3985" i="1"/>
  <c r="M3985" i="1"/>
  <c r="O3985" i="1"/>
  <c r="Q3985" i="1"/>
  <c r="R3985" i="1"/>
  <c r="W3985" i="1"/>
  <c r="AA3985" i="1"/>
  <c r="AB3985" i="1"/>
  <c r="AE3985" i="1"/>
  <c r="AF3985" i="1"/>
  <c r="AM3985" i="1"/>
  <c r="AN3985" i="1"/>
  <c r="AO3985" i="1"/>
  <c r="AQ3985" i="1"/>
  <c r="AX3985" i="1"/>
  <c r="BD3985" i="1"/>
  <c r="B3986" i="1"/>
  <c r="C3986" i="1"/>
  <c r="E3986" i="1"/>
  <c r="F3986" i="1"/>
  <c r="G3986" i="1"/>
  <c r="H3986" i="1"/>
  <c r="I3986" i="1"/>
  <c r="J3986" i="1"/>
  <c r="K3986" i="1"/>
  <c r="M3986" i="1"/>
  <c r="O3986" i="1"/>
  <c r="Q3986" i="1"/>
  <c r="R3986" i="1"/>
  <c r="W3986" i="1"/>
  <c r="AA3986" i="1"/>
  <c r="AB3986" i="1"/>
  <c r="AE3986" i="1"/>
  <c r="AF3986" i="1"/>
  <c r="AM3986" i="1"/>
  <c r="AN3986" i="1"/>
  <c r="AO3986" i="1"/>
  <c r="AQ3986" i="1"/>
  <c r="AX3986" i="1"/>
  <c r="BD3986" i="1"/>
  <c r="B3987" i="1"/>
  <c r="C3987" i="1"/>
  <c r="E3987" i="1"/>
  <c r="F3987" i="1"/>
  <c r="G3987" i="1"/>
  <c r="H3987" i="1"/>
  <c r="I3987" i="1"/>
  <c r="J3987" i="1"/>
  <c r="K3987" i="1"/>
  <c r="M3987" i="1"/>
  <c r="O3987" i="1"/>
  <c r="Q3987" i="1"/>
  <c r="R3987" i="1"/>
  <c r="W3987" i="1"/>
  <c r="AA3987" i="1"/>
  <c r="AB3987" i="1"/>
  <c r="AE3987" i="1"/>
  <c r="AF3987" i="1"/>
  <c r="AM3987" i="1"/>
  <c r="AN3987" i="1"/>
  <c r="AO3987" i="1"/>
  <c r="AQ3987" i="1"/>
  <c r="AX3987" i="1"/>
  <c r="BD3987" i="1"/>
  <c r="B3988" i="1"/>
  <c r="C3988" i="1"/>
  <c r="E3988" i="1"/>
  <c r="F3988" i="1"/>
  <c r="G3988" i="1"/>
  <c r="H3988" i="1"/>
  <c r="I3988" i="1"/>
  <c r="J3988" i="1"/>
  <c r="K3988" i="1"/>
  <c r="M3988" i="1"/>
  <c r="O3988" i="1"/>
  <c r="Q3988" i="1"/>
  <c r="R3988" i="1"/>
  <c r="W3988" i="1"/>
  <c r="AA3988" i="1"/>
  <c r="AB3988" i="1"/>
  <c r="AE3988" i="1"/>
  <c r="AF3988" i="1"/>
  <c r="AM3988" i="1"/>
  <c r="AN3988" i="1"/>
  <c r="AO3988" i="1"/>
  <c r="AQ3988" i="1"/>
  <c r="AX3988" i="1"/>
  <c r="BD3988" i="1"/>
  <c r="B3989" i="1"/>
  <c r="C3989" i="1"/>
  <c r="E3989" i="1"/>
  <c r="F3989" i="1"/>
  <c r="G3989" i="1"/>
  <c r="H3989" i="1"/>
  <c r="I3989" i="1"/>
  <c r="J3989" i="1"/>
  <c r="K3989" i="1"/>
  <c r="M3989" i="1"/>
  <c r="O3989" i="1"/>
  <c r="Q3989" i="1"/>
  <c r="R3989" i="1"/>
  <c r="W3989" i="1"/>
  <c r="AA3989" i="1"/>
  <c r="AB3989" i="1"/>
  <c r="AE3989" i="1"/>
  <c r="AF3989" i="1"/>
  <c r="AM3989" i="1"/>
  <c r="AN3989" i="1"/>
  <c r="AO3989" i="1"/>
  <c r="AQ3989" i="1"/>
  <c r="AX3989" i="1"/>
  <c r="BD3989" i="1"/>
  <c r="B3990" i="1"/>
  <c r="C3990" i="1"/>
  <c r="D3990" i="1"/>
  <c r="E3990" i="1"/>
  <c r="F3990" i="1"/>
  <c r="G3990" i="1"/>
  <c r="H3990" i="1"/>
  <c r="I3990" i="1"/>
  <c r="J3990" i="1"/>
  <c r="K3990" i="1"/>
  <c r="M3990" i="1"/>
  <c r="O3990" i="1"/>
  <c r="Q3990" i="1"/>
  <c r="R3990" i="1"/>
  <c r="W3990" i="1"/>
  <c r="AA3990" i="1"/>
  <c r="AB3990" i="1"/>
  <c r="AE3990" i="1"/>
  <c r="AF3990" i="1"/>
  <c r="AM3990" i="1"/>
  <c r="AN3990" i="1"/>
  <c r="AO3990" i="1"/>
  <c r="AQ3990" i="1"/>
  <c r="AX3990" i="1"/>
  <c r="BD3990" i="1"/>
  <c r="B3991" i="1"/>
  <c r="C3991" i="1"/>
  <c r="E3991" i="1"/>
  <c r="F3991" i="1"/>
  <c r="G3991" i="1"/>
  <c r="H3991" i="1"/>
  <c r="I3991" i="1"/>
  <c r="J3991" i="1"/>
  <c r="K3991" i="1"/>
  <c r="M3991" i="1"/>
  <c r="O3991" i="1"/>
  <c r="Q3991" i="1"/>
  <c r="R3991" i="1"/>
  <c r="W3991" i="1"/>
  <c r="AA3991" i="1"/>
  <c r="AB3991" i="1"/>
  <c r="AE3991" i="1"/>
  <c r="AF3991" i="1"/>
  <c r="AM3991" i="1"/>
  <c r="AN3991" i="1"/>
  <c r="AO3991" i="1"/>
  <c r="AQ3991" i="1"/>
  <c r="AX3991" i="1"/>
  <c r="BD3991" i="1"/>
  <c r="B3992" i="1"/>
  <c r="C3992" i="1"/>
  <c r="E3992" i="1"/>
  <c r="F3992" i="1"/>
  <c r="G3992" i="1"/>
  <c r="H3992" i="1"/>
  <c r="I3992" i="1"/>
  <c r="J3992" i="1"/>
  <c r="K3992" i="1"/>
  <c r="M3992" i="1"/>
  <c r="O3992" i="1"/>
  <c r="Q3992" i="1"/>
  <c r="R3992" i="1"/>
  <c r="W3992" i="1"/>
  <c r="AA3992" i="1"/>
  <c r="AB3992" i="1"/>
  <c r="AE3992" i="1"/>
  <c r="AF3992" i="1"/>
  <c r="AM3992" i="1"/>
  <c r="AN3992" i="1"/>
  <c r="AO3992" i="1"/>
  <c r="AQ3992" i="1"/>
  <c r="AX3992" i="1"/>
  <c r="BD3992" i="1"/>
  <c r="B3993" i="1"/>
  <c r="C3993" i="1"/>
  <c r="E3993" i="1"/>
  <c r="F3993" i="1"/>
  <c r="G3993" i="1"/>
  <c r="H3993" i="1"/>
  <c r="I3993" i="1"/>
  <c r="J3993" i="1"/>
  <c r="K3993" i="1"/>
  <c r="M3993" i="1"/>
  <c r="O3993" i="1"/>
  <c r="Q3993" i="1"/>
  <c r="R3993" i="1"/>
  <c r="W3993" i="1"/>
  <c r="AA3993" i="1"/>
  <c r="AB3993" i="1"/>
  <c r="AE3993" i="1"/>
  <c r="AF3993" i="1"/>
  <c r="AM3993" i="1"/>
  <c r="AN3993" i="1"/>
  <c r="AO3993" i="1"/>
  <c r="AQ3993" i="1"/>
  <c r="AX3993" i="1"/>
  <c r="BD3993" i="1"/>
  <c r="B3994" i="1"/>
  <c r="C3994" i="1"/>
  <c r="E3994" i="1"/>
  <c r="F3994" i="1"/>
  <c r="G3994" i="1"/>
  <c r="H3994" i="1"/>
  <c r="I3994" i="1"/>
  <c r="J3994" i="1"/>
  <c r="K3994" i="1"/>
  <c r="M3994" i="1"/>
  <c r="O3994" i="1"/>
  <c r="Q3994" i="1"/>
  <c r="R3994" i="1"/>
  <c r="W3994" i="1"/>
  <c r="AA3994" i="1"/>
  <c r="AB3994" i="1"/>
  <c r="AE3994" i="1"/>
  <c r="AF3994" i="1"/>
  <c r="AM3994" i="1"/>
  <c r="AN3994" i="1"/>
  <c r="AO3994" i="1"/>
  <c r="AQ3994" i="1"/>
  <c r="AX3994" i="1"/>
  <c r="BD3994" i="1"/>
  <c r="B3995" i="1"/>
  <c r="E3995" i="1"/>
  <c r="F3995" i="1"/>
  <c r="G3995" i="1"/>
  <c r="H3995" i="1"/>
  <c r="I3995" i="1"/>
  <c r="J3995" i="1"/>
  <c r="K3995" i="1"/>
  <c r="M3995" i="1"/>
  <c r="O3995" i="1"/>
  <c r="Q3995" i="1"/>
  <c r="R3995" i="1"/>
  <c r="W3995" i="1"/>
  <c r="AA3995" i="1"/>
  <c r="AB3995" i="1"/>
  <c r="AM3995" i="1"/>
  <c r="AN3995" i="1"/>
  <c r="AO3995" i="1"/>
  <c r="AQ3995" i="1"/>
  <c r="AX3995" i="1"/>
  <c r="BD3995" i="1"/>
  <c r="B3996" i="1"/>
  <c r="E3996" i="1"/>
  <c r="F3996" i="1"/>
  <c r="G3996" i="1"/>
  <c r="H3996" i="1"/>
  <c r="I3996" i="1"/>
  <c r="J3996" i="1"/>
  <c r="K3996" i="1"/>
  <c r="M3996" i="1"/>
  <c r="O3996" i="1"/>
  <c r="Q3996" i="1"/>
  <c r="R3996" i="1"/>
  <c r="W3996" i="1"/>
  <c r="AA3996" i="1"/>
  <c r="AB3996" i="1"/>
  <c r="AM3996" i="1"/>
  <c r="AN3996" i="1"/>
  <c r="AO3996" i="1"/>
  <c r="AQ3996" i="1"/>
  <c r="AX3996" i="1"/>
  <c r="BD3996" i="1"/>
  <c r="B3997" i="1"/>
  <c r="E3997" i="1"/>
  <c r="F3997" i="1"/>
  <c r="G3997" i="1"/>
  <c r="H3997" i="1"/>
  <c r="I3997" i="1"/>
  <c r="J3997" i="1"/>
  <c r="K3997" i="1"/>
  <c r="M3997" i="1"/>
  <c r="O3997" i="1"/>
  <c r="Q3997" i="1"/>
  <c r="R3997" i="1"/>
  <c r="W3997" i="1"/>
  <c r="AA3997" i="1"/>
  <c r="AB3997" i="1"/>
  <c r="AM3997" i="1"/>
  <c r="AN3997" i="1"/>
  <c r="AO3997" i="1"/>
  <c r="AQ3997" i="1"/>
  <c r="AX3997" i="1"/>
  <c r="BD3997" i="1"/>
  <c r="B3998" i="1"/>
  <c r="C3998" i="1"/>
  <c r="D3998" i="1"/>
  <c r="E3998" i="1"/>
  <c r="F3998" i="1"/>
  <c r="G3998" i="1"/>
  <c r="H3998" i="1"/>
  <c r="I3998" i="1"/>
  <c r="J3998" i="1"/>
  <c r="K3998" i="1"/>
  <c r="M3998" i="1"/>
  <c r="O3998" i="1"/>
  <c r="Q3998" i="1"/>
  <c r="R3998" i="1"/>
  <c r="W3998" i="1"/>
  <c r="AA3998" i="1"/>
  <c r="AB3998" i="1"/>
  <c r="AM3998" i="1"/>
  <c r="AN3998" i="1"/>
  <c r="AO3998" i="1"/>
  <c r="AQ3998" i="1"/>
  <c r="AX3998" i="1"/>
  <c r="BD3998" i="1"/>
  <c r="B3999" i="1"/>
  <c r="C3999" i="1"/>
  <c r="D3999" i="1"/>
  <c r="E3999" i="1"/>
  <c r="F3999" i="1"/>
  <c r="G3999" i="1"/>
  <c r="H3999" i="1"/>
  <c r="I3999" i="1"/>
  <c r="J3999" i="1"/>
  <c r="K3999" i="1"/>
  <c r="M3999" i="1"/>
  <c r="O3999" i="1"/>
  <c r="Q3999" i="1"/>
  <c r="R3999" i="1"/>
  <c r="W3999" i="1"/>
  <c r="AA3999" i="1"/>
  <c r="AB3999" i="1"/>
  <c r="AM3999" i="1"/>
  <c r="AN3999" i="1"/>
  <c r="AO3999" i="1"/>
  <c r="AQ3999" i="1"/>
  <c r="AX3999" i="1"/>
  <c r="BD3999" i="1"/>
  <c r="B4000" i="1"/>
  <c r="C4000" i="1"/>
  <c r="E4000" i="1"/>
  <c r="F4000" i="1"/>
  <c r="G4000" i="1"/>
  <c r="H4000" i="1"/>
  <c r="I4000" i="1"/>
  <c r="J4000" i="1"/>
  <c r="K4000" i="1"/>
  <c r="M4000" i="1"/>
  <c r="O4000" i="1"/>
  <c r="Q4000" i="1"/>
  <c r="R4000" i="1"/>
  <c r="W4000" i="1"/>
  <c r="AA4000" i="1"/>
  <c r="AB4000" i="1"/>
  <c r="AE4000" i="1"/>
  <c r="AF4000" i="1"/>
  <c r="AM4000" i="1"/>
  <c r="AN4000" i="1"/>
  <c r="AO4000" i="1"/>
  <c r="AQ4000" i="1"/>
  <c r="AX4000" i="1"/>
  <c r="BD4000" i="1"/>
  <c r="B4001" i="1"/>
  <c r="C4001" i="1"/>
  <c r="E4001" i="1"/>
  <c r="F4001" i="1"/>
  <c r="G4001" i="1"/>
  <c r="H4001" i="1"/>
  <c r="I4001" i="1"/>
  <c r="J4001" i="1"/>
  <c r="K4001" i="1"/>
  <c r="M4001" i="1"/>
  <c r="O4001" i="1"/>
  <c r="Q4001" i="1"/>
  <c r="R4001" i="1"/>
  <c r="W4001" i="1"/>
  <c r="AA4001" i="1"/>
  <c r="AB4001" i="1"/>
  <c r="AE4001" i="1"/>
  <c r="AF4001" i="1"/>
  <c r="AM4001" i="1"/>
  <c r="AN4001" i="1"/>
  <c r="AO4001" i="1"/>
  <c r="AQ4001" i="1"/>
  <c r="AX4001" i="1"/>
  <c r="BD4001" i="1"/>
  <c r="B4002" i="1"/>
  <c r="C4002" i="1"/>
  <c r="E4002" i="1"/>
  <c r="F4002" i="1"/>
  <c r="G4002" i="1"/>
  <c r="H4002" i="1"/>
  <c r="I4002" i="1"/>
  <c r="J4002" i="1"/>
  <c r="K4002" i="1"/>
  <c r="M4002" i="1"/>
  <c r="O4002" i="1"/>
  <c r="Q4002" i="1"/>
  <c r="R4002" i="1"/>
  <c r="W4002" i="1"/>
  <c r="AA4002" i="1"/>
  <c r="AM4002" i="1"/>
  <c r="AN4002" i="1"/>
  <c r="AO4002" i="1"/>
  <c r="AQ4002" i="1"/>
  <c r="BB4002" i="1"/>
  <c r="BD4002" i="1"/>
  <c r="B4003" i="1"/>
  <c r="C4003" i="1"/>
  <c r="E4003" i="1"/>
  <c r="F4003" i="1"/>
  <c r="G4003" i="1"/>
  <c r="H4003" i="1"/>
  <c r="I4003" i="1"/>
  <c r="J4003" i="1"/>
  <c r="K4003" i="1"/>
  <c r="M4003" i="1"/>
  <c r="O4003" i="1"/>
  <c r="Q4003" i="1"/>
  <c r="R4003" i="1"/>
  <c r="W4003" i="1"/>
  <c r="AA4003" i="1"/>
  <c r="AM4003" i="1"/>
  <c r="AN4003" i="1"/>
  <c r="AO4003" i="1"/>
  <c r="AQ4003" i="1"/>
  <c r="BB4003" i="1"/>
  <c r="BD4003" i="1"/>
  <c r="B4004" i="1"/>
  <c r="C4004" i="1"/>
  <c r="E4004" i="1"/>
  <c r="F4004" i="1"/>
  <c r="G4004" i="1"/>
  <c r="H4004" i="1"/>
  <c r="I4004" i="1"/>
  <c r="J4004" i="1"/>
  <c r="K4004" i="1"/>
  <c r="M4004" i="1"/>
  <c r="O4004" i="1"/>
  <c r="Q4004" i="1"/>
  <c r="R4004" i="1"/>
  <c r="W4004" i="1"/>
  <c r="AA4004" i="1"/>
  <c r="AB4004" i="1"/>
  <c r="AE4004" i="1"/>
  <c r="AF4004" i="1"/>
  <c r="AM4004" i="1"/>
  <c r="AN4004" i="1"/>
  <c r="AO4004" i="1"/>
  <c r="AQ4004" i="1"/>
  <c r="AX4004" i="1"/>
  <c r="BD4004" i="1"/>
  <c r="B4005" i="1"/>
  <c r="C4005" i="1"/>
  <c r="E4005" i="1"/>
  <c r="F4005" i="1"/>
  <c r="G4005" i="1"/>
  <c r="H4005" i="1"/>
  <c r="I4005" i="1"/>
  <c r="J4005" i="1"/>
  <c r="K4005" i="1"/>
  <c r="M4005" i="1"/>
  <c r="O4005" i="1"/>
  <c r="Q4005" i="1"/>
  <c r="R4005" i="1"/>
  <c r="W4005" i="1"/>
  <c r="AA4005" i="1"/>
  <c r="AB4005" i="1"/>
  <c r="AE4005" i="1"/>
  <c r="AF4005" i="1"/>
  <c r="AM4005" i="1"/>
  <c r="AN4005" i="1"/>
  <c r="AO4005" i="1"/>
  <c r="AQ4005" i="1"/>
  <c r="AX4005" i="1"/>
  <c r="BD4005" i="1"/>
  <c r="B4006" i="1"/>
  <c r="C4006" i="1"/>
  <c r="D4006" i="1"/>
  <c r="E4006" i="1"/>
  <c r="F4006" i="1"/>
  <c r="G4006" i="1"/>
  <c r="H4006" i="1"/>
  <c r="I4006" i="1"/>
  <c r="J4006" i="1"/>
  <c r="K4006" i="1"/>
  <c r="M4006" i="1"/>
  <c r="O4006" i="1"/>
  <c r="Q4006" i="1"/>
  <c r="R4006" i="1"/>
  <c r="W4006" i="1"/>
  <c r="AA4006" i="1"/>
  <c r="AB4006" i="1"/>
  <c r="AE4006" i="1"/>
  <c r="AF4006" i="1"/>
  <c r="AM4006" i="1"/>
  <c r="AN4006" i="1"/>
  <c r="AO4006" i="1"/>
  <c r="AQ4006" i="1"/>
  <c r="AX4006" i="1"/>
  <c r="BD4006" i="1"/>
  <c r="B4007" i="1"/>
  <c r="C4007" i="1"/>
  <c r="E4007" i="1"/>
  <c r="F4007" i="1"/>
  <c r="G4007" i="1"/>
  <c r="H4007" i="1"/>
  <c r="I4007" i="1"/>
  <c r="J4007" i="1"/>
  <c r="K4007" i="1"/>
  <c r="M4007" i="1"/>
  <c r="O4007" i="1"/>
  <c r="Q4007" i="1"/>
  <c r="R4007" i="1"/>
  <c r="W4007" i="1"/>
  <c r="AA4007" i="1"/>
  <c r="AB4007" i="1"/>
  <c r="AE4007" i="1"/>
  <c r="AF4007" i="1"/>
  <c r="AM4007" i="1"/>
  <c r="AN4007" i="1"/>
  <c r="AO4007" i="1"/>
  <c r="AQ4007" i="1"/>
  <c r="AX4007" i="1"/>
  <c r="BD4007" i="1"/>
  <c r="B4008" i="1"/>
  <c r="C4008" i="1"/>
  <c r="E4008" i="1"/>
  <c r="F4008" i="1"/>
  <c r="G4008" i="1"/>
  <c r="H4008" i="1"/>
  <c r="I4008" i="1"/>
  <c r="J4008" i="1"/>
  <c r="K4008" i="1"/>
  <c r="M4008" i="1"/>
  <c r="O4008" i="1"/>
  <c r="Q4008" i="1"/>
  <c r="R4008" i="1"/>
  <c r="W4008" i="1"/>
  <c r="AA4008" i="1"/>
  <c r="AB4008" i="1"/>
  <c r="AE4008" i="1"/>
  <c r="AF4008" i="1"/>
  <c r="AM4008" i="1"/>
  <c r="AN4008" i="1"/>
  <c r="AO4008" i="1"/>
  <c r="AQ4008" i="1"/>
  <c r="AX4008" i="1"/>
  <c r="BD4008" i="1"/>
  <c r="B4009" i="1"/>
  <c r="C4009" i="1"/>
  <c r="E4009" i="1"/>
  <c r="F4009" i="1"/>
  <c r="G4009" i="1"/>
  <c r="H4009" i="1"/>
  <c r="I4009" i="1"/>
  <c r="J4009" i="1"/>
  <c r="K4009" i="1"/>
  <c r="M4009" i="1"/>
  <c r="O4009" i="1"/>
  <c r="Q4009" i="1"/>
  <c r="R4009" i="1"/>
  <c r="W4009" i="1"/>
  <c r="AA4009" i="1"/>
  <c r="AB4009" i="1"/>
  <c r="AE4009" i="1"/>
  <c r="AF4009" i="1"/>
  <c r="AM4009" i="1"/>
  <c r="AN4009" i="1"/>
  <c r="AO4009" i="1"/>
  <c r="AQ4009" i="1"/>
  <c r="AX4009" i="1"/>
  <c r="BD4009" i="1"/>
  <c r="B4010" i="1"/>
  <c r="C4010" i="1"/>
  <c r="E4010" i="1"/>
  <c r="F4010" i="1"/>
  <c r="G4010" i="1"/>
  <c r="H4010" i="1"/>
  <c r="I4010" i="1"/>
  <c r="J4010" i="1"/>
  <c r="K4010" i="1"/>
  <c r="M4010" i="1"/>
  <c r="O4010" i="1"/>
  <c r="Q4010" i="1"/>
  <c r="R4010" i="1"/>
  <c r="W4010" i="1"/>
  <c r="AA4010" i="1"/>
  <c r="AM4010" i="1"/>
  <c r="AN4010" i="1"/>
  <c r="AO4010" i="1"/>
  <c r="AQ4010" i="1"/>
  <c r="BB4010" i="1"/>
  <c r="BD4010" i="1"/>
  <c r="B4011" i="1"/>
  <c r="C4011" i="1"/>
  <c r="E4011" i="1"/>
  <c r="F4011" i="1"/>
  <c r="G4011" i="1"/>
  <c r="H4011" i="1"/>
  <c r="I4011" i="1"/>
  <c r="J4011" i="1"/>
  <c r="K4011" i="1"/>
  <c r="M4011" i="1"/>
  <c r="O4011" i="1"/>
  <c r="Q4011" i="1"/>
  <c r="R4011" i="1"/>
  <c r="W4011" i="1"/>
  <c r="AA4011" i="1"/>
  <c r="AM4011" i="1"/>
  <c r="AN4011" i="1"/>
  <c r="AO4011" i="1"/>
  <c r="AQ4011" i="1"/>
  <c r="BB4011" i="1"/>
  <c r="BD4011" i="1"/>
  <c r="B4012" i="1"/>
  <c r="C4012" i="1"/>
  <c r="E4012" i="1"/>
  <c r="F4012" i="1"/>
  <c r="G4012" i="1"/>
  <c r="H4012" i="1"/>
  <c r="I4012" i="1"/>
  <c r="J4012" i="1"/>
  <c r="K4012" i="1"/>
  <c r="M4012" i="1"/>
  <c r="O4012" i="1"/>
  <c r="Q4012" i="1"/>
  <c r="R4012" i="1"/>
  <c r="W4012" i="1"/>
  <c r="AA4012" i="1"/>
  <c r="AB4012" i="1"/>
  <c r="AE4012" i="1"/>
  <c r="AF4012" i="1"/>
  <c r="AM4012" i="1"/>
  <c r="AN4012" i="1"/>
  <c r="AO4012" i="1"/>
  <c r="AQ4012" i="1"/>
  <c r="AX4012" i="1"/>
  <c r="BD4012" i="1"/>
  <c r="B4013" i="1"/>
  <c r="C4013" i="1"/>
  <c r="E4013" i="1"/>
  <c r="F4013" i="1"/>
  <c r="G4013" i="1"/>
  <c r="H4013" i="1"/>
  <c r="I4013" i="1"/>
  <c r="J4013" i="1"/>
  <c r="K4013" i="1"/>
  <c r="M4013" i="1"/>
  <c r="O4013" i="1"/>
  <c r="Q4013" i="1"/>
  <c r="R4013" i="1"/>
  <c r="W4013" i="1"/>
  <c r="AA4013" i="1"/>
  <c r="AM4013" i="1"/>
  <c r="AN4013" i="1"/>
  <c r="AO4013" i="1"/>
  <c r="AQ4013" i="1"/>
  <c r="BB4013" i="1"/>
  <c r="BD4013" i="1"/>
  <c r="B4014" i="1"/>
  <c r="C4014" i="1"/>
  <c r="E4014" i="1"/>
  <c r="F4014" i="1"/>
  <c r="G4014" i="1"/>
  <c r="H4014" i="1"/>
  <c r="I4014" i="1"/>
  <c r="J4014" i="1"/>
  <c r="K4014" i="1"/>
  <c r="M4014" i="1"/>
  <c r="O4014" i="1"/>
  <c r="Q4014" i="1"/>
  <c r="R4014" i="1"/>
  <c r="W4014" i="1"/>
  <c r="AA4014" i="1"/>
  <c r="AM4014" i="1"/>
  <c r="AN4014" i="1"/>
  <c r="AO4014" i="1"/>
  <c r="AQ4014" i="1"/>
  <c r="BB4014" i="1"/>
  <c r="BD4014" i="1"/>
  <c r="B4015" i="1"/>
  <c r="C4015" i="1"/>
  <c r="D4015" i="1"/>
  <c r="E4015" i="1"/>
  <c r="F4015" i="1"/>
  <c r="G4015" i="1"/>
  <c r="H4015" i="1"/>
  <c r="I4015" i="1"/>
  <c r="J4015" i="1"/>
  <c r="K4015" i="1"/>
  <c r="M4015" i="1"/>
  <c r="O4015" i="1"/>
  <c r="Q4015" i="1"/>
  <c r="R4015" i="1"/>
  <c r="W4015" i="1"/>
  <c r="AA4015" i="1"/>
  <c r="AB4015" i="1"/>
  <c r="AE4015" i="1"/>
  <c r="AF4015" i="1"/>
  <c r="AM4015" i="1"/>
  <c r="AN4015" i="1"/>
  <c r="AO4015" i="1"/>
  <c r="AQ4015" i="1"/>
  <c r="AX4015" i="1"/>
  <c r="BD4015" i="1"/>
  <c r="B4016" i="1"/>
  <c r="C4016" i="1"/>
  <c r="D4016" i="1"/>
  <c r="E4016" i="1"/>
  <c r="F4016" i="1"/>
  <c r="G4016" i="1"/>
  <c r="H4016" i="1"/>
  <c r="I4016" i="1"/>
  <c r="J4016" i="1"/>
  <c r="K4016" i="1"/>
  <c r="M4016" i="1"/>
  <c r="O4016" i="1"/>
  <c r="Q4016" i="1"/>
  <c r="R4016" i="1"/>
  <c r="W4016" i="1"/>
  <c r="AA4016" i="1"/>
  <c r="AB4016" i="1"/>
  <c r="AE4016" i="1"/>
  <c r="AF4016" i="1"/>
  <c r="AM4016" i="1"/>
  <c r="AN4016" i="1"/>
  <c r="AO4016" i="1"/>
  <c r="AQ4016" i="1"/>
  <c r="AX4016" i="1"/>
  <c r="BD4016" i="1"/>
  <c r="B4017" i="1"/>
  <c r="C4017" i="1"/>
  <c r="E4017" i="1"/>
  <c r="F4017" i="1"/>
  <c r="G4017" i="1"/>
  <c r="H4017" i="1"/>
  <c r="I4017" i="1"/>
  <c r="J4017" i="1"/>
  <c r="K4017" i="1"/>
  <c r="M4017" i="1"/>
  <c r="O4017" i="1"/>
  <c r="Q4017" i="1"/>
  <c r="R4017" i="1"/>
  <c r="W4017" i="1"/>
  <c r="AA4017" i="1"/>
  <c r="AB4017" i="1"/>
  <c r="AE4017" i="1"/>
  <c r="AF4017" i="1"/>
  <c r="AM4017" i="1"/>
  <c r="AN4017" i="1"/>
  <c r="AO4017" i="1"/>
  <c r="AQ4017" i="1"/>
  <c r="AX4017" i="1"/>
  <c r="BD4017" i="1"/>
  <c r="B4018" i="1"/>
  <c r="C4018" i="1"/>
  <c r="D4018" i="1"/>
  <c r="E4018" i="1"/>
  <c r="F4018" i="1"/>
  <c r="G4018" i="1"/>
  <c r="H4018" i="1"/>
  <c r="I4018" i="1"/>
  <c r="J4018" i="1"/>
  <c r="K4018" i="1"/>
  <c r="M4018" i="1"/>
  <c r="O4018" i="1"/>
  <c r="Q4018" i="1"/>
  <c r="R4018" i="1"/>
  <c r="W4018" i="1"/>
  <c r="AA4018" i="1"/>
  <c r="AB4018" i="1"/>
  <c r="AE4018" i="1"/>
  <c r="AF4018" i="1"/>
  <c r="AM4018" i="1"/>
  <c r="AN4018" i="1"/>
  <c r="AO4018" i="1"/>
  <c r="AQ4018" i="1"/>
  <c r="AX4018" i="1"/>
  <c r="BD4018" i="1"/>
  <c r="B4019" i="1"/>
  <c r="C4019" i="1"/>
  <c r="D4019" i="1"/>
  <c r="E4019" i="1"/>
  <c r="F4019" i="1"/>
  <c r="G4019" i="1"/>
  <c r="H4019" i="1"/>
  <c r="I4019" i="1"/>
  <c r="J4019" i="1"/>
  <c r="K4019" i="1"/>
  <c r="M4019" i="1"/>
  <c r="O4019" i="1"/>
  <c r="Q4019" i="1"/>
  <c r="R4019" i="1"/>
  <c r="W4019" i="1"/>
  <c r="AA4019" i="1"/>
  <c r="AB4019" i="1"/>
  <c r="AE4019" i="1"/>
  <c r="AF4019" i="1"/>
  <c r="AM4019" i="1"/>
  <c r="AN4019" i="1"/>
  <c r="AO4019" i="1"/>
  <c r="AQ4019" i="1"/>
  <c r="AX4019" i="1"/>
  <c r="BD4019" i="1"/>
  <c r="B4020" i="1"/>
  <c r="C4020" i="1"/>
  <c r="D4020" i="1"/>
  <c r="E4020" i="1"/>
  <c r="F4020" i="1"/>
  <c r="G4020" i="1"/>
  <c r="H4020" i="1"/>
  <c r="I4020" i="1"/>
  <c r="J4020" i="1"/>
  <c r="K4020" i="1"/>
  <c r="M4020" i="1"/>
  <c r="O4020" i="1"/>
  <c r="Q4020" i="1"/>
  <c r="R4020" i="1"/>
  <c r="W4020" i="1"/>
  <c r="AA4020" i="1"/>
  <c r="AB4020" i="1"/>
  <c r="AE4020" i="1"/>
  <c r="AF4020" i="1"/>
  <c r="AM4020" i="1"/>
  <c r="AN4020" i="1"/>
  <c r="AO4020" i="1"/>
  <c r="AQ4020" i="1"/>
  <c r="AX4020" i="1"/>
  <c r="BD4020" i="1"/>
  <c r="B4021" i="1"/>
  <c r="C4021" i="1"/>
  <c r="D4021" i="1"/>
  <c r="E4021" i="1"/>
  <c r="F4021" i="1"/>
  <c r="G4021" i="1"/>
  <c r="H4021" i="1"/>
  <c r="I4021" i="1"/>
  <c r="J4021" i="1"/>
  <c r="K4021" i="1"/>
  <c r="M4021" i="1"/>
  <c r="O4021" i="1"/>
  <c r="Q4021" i="1"/>
  <c r="R4021" i="1"/>
  <c r="W4021" i="1"/>
  <c r="AA4021" i="1"/>
  <c r="AB4021" i="1"/>
  <c r="AE4021" i="1"/>
  <c r="AF4021" i="1"/>
  <c r="AM4021" i="1"/>
  <c r="AN4021" i="1"/>
  <c r="AO4021" i="1"/>
  <c r="AQ4021" i="1"/>
  <c r="AX4021" i="1"/>
  <c r="BD4021" i="1"/>
  <c r="B4022" i="1"/>
  <c r="C4022" i="1"/>
  <c r="D4022" i="1"/>
  <c r="E4022" i="1"/>
  <c r="F4022" i="1"/>
  <c r="G4022" i="1"/>
  <c r="H4022" i="1"/>
  <c r="I4022" i="1"/>
  <c r="J4022" i="1"/>
  <c r="K4022" i="1"/>
  <c r="M4022" i="1"/>
  <c r="O4022" i="1"/>
  <c r="Q4022" i="1"/>
  <c r="R4022" i="1"/>
  <c r="W4022" i="1"/>
  <c r="AA4022" i="1"/>
  <c r="AB4022" i="1"/>
  <c r="AE4022" i="1"/>
  <c r="AF4022" i="1"/>
  <c r="AM4022" i="1"/>
  <c r="AN4022" i="1"/>
  <c r="AO4022" i="1"/>
  <c r="AQ4022" i="1"/>
  <c r="AX4022" i="1"/>
  <c r="BD4022" i="1"/>
  <c r="B4023" i="1"/>
  <c r="C4023" i="1"/>
  <c r="D4023" i="1"/>
  <c r="E4023" i="1"/>
  <c r="F4023" i="1"/>
  <c r="G4023" i="1"/>
  <c r="H4023" i="1"/>
  <c r="I4023" i="1"/>
  <c r="J4023" i="1"/>
  <c r="K4023" i="1"/>
  <c r="M4023" i="1"/>
  <c r="O4023" i="1"/>
  <c r="Q4023" i="1"/>
  <c r="R4023" i="1"/>
  <c r="W4023" i="1"/>
  <c r="AA4023" i="1"/>
  <c r="AB4023" i="1"/>
  <c r="AE4023" i="1"/>
  <c r="AF4023" i="1"/>
  <c r="AM4023" i="1"/>
  <c r="AN4023" i="1"/>
  <c r="AO4023" i="1"/>
  <c r="AQ4023" i="1"/>
  <c r="AX4023" i="1"/>
  <c r="BD4023" i="1"/>
  <c r="B4024" i="1"/>
  <c r="C4024" i="1"/>
  <c r="D4024" i="1"/>
  <c r="E4024" i="1"/>
  <c r="F4024" i="1"/>
  <c r="G4024" i="1"/>
  <c r="H4024" i="1"/>
  <c r="I4024" i="1"/>
  <c r="J4024" i="1"/>
  <c r="K4024" i="1"/>
  <c r="M4024" i="1"/>
  <c r="O4024" i="1"/>
  <c r="Q4024" i="1"/>
  <c r="R4024" i="1"/>
  <c r="W4024" i="1"/>
  <c r="AA4024" i="1"/>
  <c r="AB4024" i="1"/>
  <c r="AE4024" i="1"/>
  <c r="AF4024" i="1"/>
  <c r="AM4024" i="1"/>
  <c r="AN4024" i="1"/>
  <c r="AO4024" i="1"/>
  <c r="AQ4024" i="1"/>
  <c r="AX4024" i="1"/>
  <c r="BD4024" i="1"/>
  <c r="B4025" i="1"/>
  <c r="C4025" i="1"/>
  <c r="E4025" i="1"/>
  <c r="F4025" i="1"/>
  <c r="G4025" i="1"/>
  <c r="H4025" i="1"/>
  <c r="I4025" i="1"/>
  <c r="J4025" i="1"/>
  <c r="K4025" i="1"/>
  <c r="M4025" i="1"/>
  <c r="O4025" i="1"/>
  <c r="Q4025" i="1"/>
  <c r="R4025" i="1"/>
  <c r="W4025" i="1"/>
  <c r="AA4025" i="1"/>
  <c r="AM4025" i="1"/>
  <c r="AN4025" i="1"/>
  <c r="AO4025" i="1"/>
  <c r="AQ4025" i="1"/>
  <c r="BB4025" i="1"/>
  <c r="BD4025" i="1"/>
  <c r="B4026" i="1"/>
  <c r="C4026" i="1"/>
  <c r="E4026" i="1"/>
  <c r="F4026" i="1"/>
  <c r="G4026" i="1"/>
  <c r="H4026" i="1"/>
  <c r="I4026" i="1"/>
  <c r="J4026" i="1"/>
  <c r="K4026" i="1"/>
  <c r="M4026" i="1"/>
  <c r="O4026" i="1"/>
  <c r="Q4026" i="1"/>
  <c r="R4026" i="1"/>
  <c r="W4026" i="1"/>
  <c r="AA4026" i="1"/>
  <c r="AB4026" i="1"/>
  <c r="AE4026" i="1"/>
  <c r="AF4026" i="1"/>
  <c r="AM4026" i="1"/>
  <c r="AN4026" i="1"/>
  <c r="AO4026" i="1"/>
  <c r="AQ4026" i="1"/>
  <c r="AX4026" i="1"/>
  <c r="BD4026" i="1"/>
  <c r="B4027" i="1"/>
  <c r="C4027" i="1"/>
  <c r="E4027" i="1"/>
  <c r="F4027" i="1"/>
  <c r="G4027" i="1"/>
  <c r="H4027" i="1"/>
  <c r="I4027" i="1"/>
  <c r="J4027" i="1"/>
  <c r="K4027" i="1"/>
  <c r="M4027" i="1"/>
  <c r="O4027" i="1"/>
  <c r="Q4027" i="1"/>
  <c r="R4027" i="1"/>
  <c r="W4027" i="1"/>
  <c r="AA4027" i="1"/>
  <c r="AB4027" i="1"/>
  <c r="AE4027" i="1"/>
  <c r="AF4027" i="1"/>
  <c r="AM4027" i="1"/>
  <c r="AN4027" i="1"/>
  <c r="AO4027" i="1"/>
  <c r="AQ4027" i="1"/>
  <c r="AX4027" i="1"/>
  <c r="BD4027" i="1"/>
  <c r="B4028" i="1"/>
  <c r="C4028" i="1"/>
  <c r="D4028" i="1"/>
  <c r="E4028" i="1"/>
  <c r="F4028" i="1"/>
  <c r="G4028" i="1"/>
  <c r="H4028" i="1"/>
  <c r="I4028" i="1"/>
  <c r="J4028" i="1"/>
  <c r="K4028" i="1"/>
  <c r="M4028" i="1"/>
  <c r="O4028" i="1"/>
  <c r="Q4028" i="1"/>
  <c r="R4028" i="1"/>
  <c r="W4028" i="1"/>
  <c r="AA4028" i="1"/>
  <c r="AB4028" i="1"/>
  <c r="AE4028" i="1"/>
  <c r="AF4028" i="1"/>
  <c r="AM4028" i="1"/>
  <c r="AN4028" i="1"/>
  <c r="AO4028" i="1"/>
  <c r="AQ4028" i="1"/>
  <c r="AX4028" i="1"/>
  <c r="BD4028" i="1"/>
  <c r="B4029" i="1"/>
  <c r="C4029" i="1"/>
  <c r="E4029" i="1"/>
  <c r="F4029" i="1"/>
  <c r="G4029" i="1"/>
  <c r="H4029" i="1"/>
  <c r="I4029" i="1"/>
  <c r="J4029" i="1"/>
  <c r="K4029" i="1"/>
  <c r="M4029" i="1"/>
  <c r="O4029" i="1"/>
  <c r="Q4029" i="1"/>
  <c r="R4029" i="1"/>
  <c r="W4029" i="1"/>
  <c r="AA4029" i="1"/>
  <c r="AB4029" i="1"/>
  <c r="AE4029" i="1"/>
  <c r="AF4029" i="1"/>
  <c r="AM4029" i="1"/>
  <c r="AN4029" i="1"/>
  <c r="AO4029" i="1"/>
  <c r="AQ4029" i="1"/>
  <c r="AX4029" i="1"/>
  <c r="BD4029" i="1"/>
  <c r="B4030" i="1"/>
  <c r="C4030" i="1"/>
  <c r="E4030" i="1"/>
  <c r="F4030" i="1"/>
  <c r="G4030" i="1"/>
  <c r="H4030" i="1"/>
  <c r="I4030" i="1"/>
  <c r="J4030" i="1"/>
  <c r="K4030" i="1"/>
  <c r="M4030" i="1"/>
  <c r="O4030" i="1"/>
  <c r="Q4030" i="1"/>
  <c r="R4030" i="1"/>
  <c r="W4030" i="1"/>
  <c r="AA4030" i="1"/>
  <c r="AB4030" i="1"/>
  <c r="AE4030" i="1"/>
  <c r="AF4030" i="1"/>
  <c r="AM4030" i="1"/>
  <c r="AN4030" i="1"/>
  <c r="AO4030" i="1"/>
  <c r="AQ4030" i="1"/>
  <c r="AX4030" i="1"/>
  <c r="BD4030" i="1"/>
  <c r="B4031" i="1"/>
  <c r="C4031" i="1"/>
  <c r="E4031" i="1"/>
  <c r="F4031" i="1"/>
  <c r="G4031" i="1"/>
  <c r="H4031" i="1"/>
  <c r="I4031" i="1"/>
  <c r="J4031" i="1"/>
  <c r="K4031" i="1"/>
  <c r="M4031" i="1"/>
  <c r="O4031" i="1"/>
  <c r="Q4031" i="1"/>
  <c r="R4031" i="1"/>
  <c r="W4031" i="1"/>
  <c r="AA4031" i="1"/>
  <c r="AB4031" i="1"/>
  <c r="AE4031" i="1"/>
  <c r="AF4031" i="1"/>
  <c r="AM4031" i="1"/>
  <c r="AN4031" i="1"/>
  <c r="AO4031" i="1"/>
  <c r="AQ4031" i="1"/>
  <c r="AX4031" i="1"/>
  <c r="BD4031" i="1"/>
  <c r="B4032" i="1"/>
  <c r="C4032" i="1"/>
  <c r="E4032" i="1"/>
  <c r="F4032" i="1"/>
  <c r="G4032" i="1"/>
  <c r="H4032" i="1"/>
  <c r="I4032" i="1"/>
  <c r="J4032" i="1"/>
  <c r="K4032" i="1"/>
  <c r="M4032" i="1"/>
  <c r="O4032" i="1"/>
  <c r="Q4032" i="1"/>
  <c r="R4032" i="1"/>
  <c r="W4032" i="1"/>
  <c r="AA4032" i="1"/>
  <c r="AB4032" i="1"/>
  <c r="AE4032" i="1"/>
  <c r="AF4032" i="1"/>
  <c r="AM4032" i="1"/>
  <c r="AN4032" i="1"/>
  <c r="AO4032" i="1"/>
  <c r="AQ4032" i="1"/>
  <c r="AX4032" i="1"/>
  <c r="BD4032" i="1"/>
  <c r="B4033" i="1"/>
  <c r="C4033" i="1"/>
  <c r="E4033" i="1"/>
  <c r="F4033" i="1"/>
  <c r="G4033" i="1"/>
  <c r="H4033" i="1"/>
  <c r="I4033" i="1"/>
  <c r="J4033" i="1"/>
  <c r="K4033" i="1"/>
  <c r="M4033" i="1"/>
  <c r="O4033" i="1"/>
  <c r="Q4033" i="1"/>
  <c r="R4033" i="1"/>
  <c r="W4033" i="1"/>
  <c r="AA4033" i="1"/>
  <c r="AB4033" i="1"/>
  <c r="AE4033" i="1"/>
  <c r="AF4033" i="1"/>
  <c r="AM4033" i="1"/>
  <c r="AN4033" i="1"/>
  <c r="AO4033" i="1"/>
  <c r="AQ4033" i="1"/>
  <c r="AX4033" i="1"/>
  <c r="BD4033" i="1"/>
  <c r="B4034" i="1"/>
  <c r="C4034" i="1"/>
  <c r="E4034" i="1"/>
  <c r="F4034" i="1"/>
  <c r="G4034" i="1"/>
  <c r="H4034" i="1"/>
  <c r="I4034" i="1"/>
  <c r="J4034" i="1"/>
  <c r="K4034" i="1"/>
  <c r="M4034" i="1"/>
  <c r="O4034" i="1"/>
  <c r="Q4034" i="1"/>
  <c r="R4034" i="1"/>
  <c r="W4034" i="1"/>
  <c r="AA4034" i="1"/>
  <c r="AB4034" i="1"/>
  <c r="AE4034" i="1"/>
  <c r="AF4034" i="1"/>
  <c r="AM4034" i="1"/>
  <c r="AN4034" i="1"/>
  <c r="AO4034" i="1"/>
  <c r="AQ4034" i="1"/>
  <c r="AX4034" i="1"/>
  <c r="BD4034" i="1"/>
  <c r="B4035" i="1"/>
  <c r="C4035" i="1"/>
  <c r="D4035" i="1"/>
  <c r="E4035" i="1"/>
  <c r="F4035" i="1"/>
  <c r="G4035" i="1"/>
  <c r="H4035" i="1"/>
  <c r="I4035" i="1"/>
  <c r="J4035" i="1"/>
  <c r="K4035" i="1"/>
  <c r="M4035" i="1"/>
  <c r="O4035" i="1"/>
  <c r="Q4035" i="1"/>
  <c r="R4035" i="1"/>
  <c r="W4035" i="1"/>
  <c r="AA4035" i="1"/>
  <c r="AB4035" i="1"/>
  <c r="AE4035" i="1"/>
  <c r="AF4035" i="1"/>
  <c r="AM4035" i="1"/>
  <c r="AN4035" i="1"/>
  <c r="AO4035" i="1"/>
  <c r="AQ4035" i="1"/>
  <c r="AX4035" i="1"/>
  <c r="BD4035" i="1"/>
  <c r="B4036" i="1"/>
  <c r="C4036" i="1"/>
  <c r="D4036" i="1"/>
  <c r="E4036" i="1"/>
  <c r="F4036" i="1"/>
  <c r="G4036" i="1"/>
  <c r="H4036" i="1"/>
  <c r="I4036" i="1"/>
  <c r="J4036" i="1"/>
  <c r="K4036" i="1"/>
  <c r="M4036" i="1"/>
  <c r="O4036" i="1"/>
  <c r="Q4036" i="1"/>
  <c r="R4036" i="1"/>
  <c r="W4036" i="1"/>
  <c r="AA4036" i="1"/>
  <c r="AB4036" i="1"/>
  <c r="AE4036" i="1"/>
  <c r="AF4036" i="1"/>
  <c r="AM4036" i="1"/>
  <c r="AN4036" i="1"/>
  <c r="AO4036" i="1"/>
  <c r="AQ4036" i="1"/>
  <c r="AX4036" i="1"/>
  <c r="BD4036" i="1"/>
  <c r="B4037" i="1"/>
  <c r="C4037" i="1"/>
  <c r="D4037" i="1"/>
  <c r="E4037" i="1"/>
  <c r="F4037" i="1"/>
  <c r="G4037" i="1"/>
  <c r="H4037" i="1"/>
  <c r="I4037" i="1"/>
  <c r="J4037" i="1"/>
  <c r="K4037" i="1"/>
  <c r="M4037" i="1"/>
  <c r="O4037" i="1"/>
  <c r="Q4037" i="1"/>
  <c r="R4037" i="1"/>
  <c r="W4037" i="1"/>
  <c r="AA4037" i="1"/>
  <c r="AB4037" i="1"/>
  <c r="AE4037" i="1"/>
  <c r="AF4037" i="1"/>
  <c r="AM4037" i="1"/>
  <c r="AN4037" i="1"/>
  <c r="AO4037" i="1"/>
  <c r="AQ4037" i="1"/>
  <c r="AX4037" i="1"/>
  <c r="BD4037" i="1"/>
  <c r="B4038" i="1"/>
  <c r="C4038" i="1"/>
  <c r="D4038" i="1"/>
  <c r="E4038" i="1"/>
  <c r="F4038" i="1"/>
  <c r="G4038" i="1"/>
  <c r="H4038" i="1"/>
  <c r="I4038" i="1"/>
  <c r="J4038" i="1"/>
  <c r="K4038" i="1"/>
  <c r="M4038" i="1"/>
  <c r="O4038" i="1"/>
  <c r="Q4038" i="1"/>
  <c r="R4038" i="1"/>
  <c r="W4038" i="1"/>
  <c r="AA4038" i="1"/>
  <c r="AB4038" i="1"/>
  <c r="AE4038" i="1"/>
  <c r="AF4038" i="1"/>
  <c r="AM4038" i="1"/>
  <c r="AN4038" i="1"/>
  <c r="AO4038" i="1"/>
  <c r="AQ4038" i="1"/>
  <c r="AX4038" i="1"/>
  <c r="BD4038" i="1"/>
  <c r="B4039" i="1"/>
  <c r="C4039" i="1"/>
  <c r="E4039" i="1"/>
  <c r="F4039" i="1"/>
  <c r="G4039" i="1"/>
  <c r="H4039" i="1"/>
  <c r="I4039" i="1"/>
  <c r="J4039" i="1"/>
  <c r="K4039" i="1"/>
  <c r="M4039" i="1"/>
  <c r="O4039" i="1"/>
  <c r="Q4039" i="1"/>
  <c r="R4039" i="1"/>
  <c r="W4039" i="1"/>
  <c r="AA4039" i="1"/>
  <c r="AM4039" i="1"/>
  <c r="AN4039" i="1"/>
  <c r="AO4039" i="1"/>
  <c r="AQ4039" i="1"/>
  <c r="BB4039" i="1"/>
  <c r="BD4039" i="1"/>
  <c r="B4040" i="1"/>
  <c r="C4040" i="1"/>
  <c r="E4040" i="1"/>
  <c r="F4040" i="1"/>
  <c r="G4040" i="1"/>
  <c r="H4040" i="1"/>
  <c r="I4040" i="1"/>
  <c r="J4040" i="1"/>
  <c r="K4040" i="1"/>
  <c r="M4040" i="1"/>
  <c r="O4040" i="1"/>
  <c r="Q4040" i="1"/>
  <c r="R4040" i="1"/>
  <c r="W4040" i="1"/>
  <c r="AA4040" i="1"/>
  <c r="AM4040" i="1"/>
  <c r="AN4040" i="1"/>
  <c r="AO4040" i="1"/>
  <c r="AQ4040" i="1"/>
  <c r="BB4040" i="1"/>
  <c r="BD4040" i="1"/>
  <c r="B4041" i="1"/>
  <c r="C4041" i="1"/>
  <c r="E4041" i="1"/>
  <c r="F4041" i="1"/>
  <c r="G4041" i="1"/>
  <c r="H4041" i="1"/>
  <c r="I4041" i="1"/>
  <c r="J4041" i="1"/>
  <c r="K4041" i="1"/>
  <c r="M4041" i="1"/>
  <c r="O4041" i="1"/>
  <c r="Q4041" i="1"/>
  <c r="R4041" i="1"/>
  <c r="W4041" i="1"/>
  <c r="AA4041" i="1"/>
  <c r="AM4041" i="1"/>
  <c r="AN4041" i="1"/>
  <c r="AO4041" i="1"/>
  <c r="AQ4041" i="1"/>
  <c r="BB4041" i="1"/>
  <c r="BD4041" i="1"/>
  <c r="B4042" i="1"/>
  <c r="C4042" i="1"/>
  <c r="D4042" i="1"/>
  <c r="E4042" i="1"/>
  <c r="F4042" i="1"/>
  <c r="G4042" i="1"/>
  <c r="H4042" i="1"/>
  <c r="I4042" i="1"/>
  <c r="J4042" i="1"/>
  <c r="K4042" i="1"/>
  <c r="M4042" i="1"/>
  <c r="O4042" i="1"/>
  <c r="Q4042" i="1"/>
  <c r="R4042" i="1"/>
  <c r="W4042" i="1"/>
  <c r="AA4042" i="1"/>
  <c r="AB4042" i="1"/>
  <c r="AE4042" i="1"/>
  <c r="AF4042" i="1"/>
  <c r="AM4042" i="1"/>
  <c r="AN4042" i="1"/>
  <c r="AO4042" i="1"/>
  <c r="AQ4042" i="1"/>
  <c r="AX4042" i="1"/>
  <c r="BD4042" i="1"/>
  <c r="B4043" i="1"/>
  <c r="C4043" i="1"/>
  <c r="D4043" i="1"/>
  <c r="E4043" i="1"/>
  <c r="F4043" i="1"/>
  <c r="G4043" i="1"/>
  <c r="H4043" i="1"/>
  <c r="I4043" i="1"/>
  <c r="J4043" i="1"/>
  <c r="K4043" i="1"/>
  <c r="M4043" i="1"/>
  <c r="O4043" i="1"/>
  <c r="Q4043" i="1"/>
  <c r="R4043" i="1"/>
  <c r="W4043" i="1"/>
  <c r="AA4043" i="1"/>
  <c r="AB4043" i="1"/>
  <c r="AE4043" i="1"/>
  <c r="AF4043" i="1"/>
  <c r="AM4043" i="1"/>
  <c r="AN4043" i="1"/>
  <c r="AO4043" i="1"/>
  <c r="AQ4043" i="1"/>
  <c r="AX4043" i="1"/>
  <c r="BD4043" i="1"/>
  <c r="B4044" i="1"/>
  <c r="C4044" i="1"/>
  <c r="D4044" i="1"/>
  <c r="E4044" i="1"/>
  <c r="F4044" i="1"/>
  <c r="G4044" i="1"/>
  <c r="H4044" i="1"/>
  <c r="I4044" i="1"/>
  <c r="J4044" i="1"/>
  <c r="K4044" i="1"/>
  <c r="M4044" i="1"/>
  <c r="O4044" i="1"/>
  <c r="Q4044" i="1"/>
  <c r="R4044" i="1"/>
  <c r="W4044" i="1"/>
  <c r="AA4044" i="1"/>
  <c r="AB4044" i="1"/>
  <c r="AE4044" i="1"/>
  <c r="AF4044" i="1"/>
  <c r="AM4044" i="1"/>
  <c r="AN4044" i="1"/>
  <c r="AO4044" i="1"/>
  <c r="AQ4044" i="1"/>
  <c r="AX4044" i="1"/>
  <c r="BD4044" i="1"/>
  <c r="B4045" i="1"/>
  <c r="C4045" i="1"/>
  <c r="D4045" i="1"/>
  <c r="E4045" i="1"/>
  <c r="F4045" i="1"/>
  <c r="G4045" i="1"/>
  <c r="H4045" i="1"/>
  <c r="I4045" i="1"/>
  <c r="J4045" i="1"/>
  <c r="K4045" i="1"/>
  <c r="M4045" i="1"/>
  <c r="O4045" i="1"/>
  <c r="Q4045" i="1"/>
  <c r="R4045" i="1"/>
  <c r="W4045" i="1"/>
  <c r="AA4045" i="1"/>
  <c r="AB4045" i="1"/>
  <c r="AE4045" i="1"/>
  <c r="AF4045" i="1"/>
  <c r="AM4045" i="1"/>
  <c r="AN4045" i="1"/>
  <c r="AO4045" i="1"/>
  <c r="AQ4045" i="1"/>
  <c r="AX4045" i="1"/>
  <c r="BD4045" i="1"/>
  <c r="B4046" i="1"/>
  <c r="C4046" i="1"/>
  <c r="E4046" i="1"/>
  <c r="F4046" i="1"/>
  <c r="G4046" i="1"/>
  <c r="H4046" i="1"/>
  <c r="I4046" i="1"/>
  <c r="J4046" i="1"/>
  <c r="K4046" i="1"/>
  <c r="M4046" i="1"/>
  <c r="O4046" i="1"/>
  <c r="Q4046" i="1"/>
  <c r="R4046" i="1"/>
  <c r="W4046" i="1"/>
  <c r="AA4046" i="1"/>
  <c r="AB4046" i="1"/>
  <c r="AE4046" i="1"/>
  <c r="AF4046" i="1"/>
  <c r="AM4046" i="1"/>
  <c r="AN4046" i="1"/>
  <c r="AO4046" i="1"/>
  <c r="AQ4046" i="1"/>
  <c r="AX4046" i="1"/>
  <c r="BD4046" i="1"/>
  <c r="B4047" i="1"/>
  <c r="C4047" i="1"/>
  <c r="D4047" i="1"/>
  <c r="E4047" i="1"/>
  <c r="F4047" i="1"/>
  <c r="G4047" i="1"/>
  <c r="H4047" i="1"/>
  <c r="I4047" i="1"/>
  <c r="J4047" i="1"/>
  <c r="K4047" i="1"/>
  <c r="M4047" i="1"/>
  <c r="O4047" i="1"/>
  <c r="Q4047" i="1"/>
  <c r="R4047" i="1"/>
  <c r="W4047" i="1"/>
  <c r="AA4047" i="1"/>
  <c r="AB4047" i="1"/>
  <c r="AE4047" i="1"/>
  <c r="AF4047" i="1"/>
  <c r="AM4047" i="1"/>
  <c r="AN4047" i="1"/>
  <c r="AO4047" i="1"/>
  <c r="AQ4047" i="1"/>
  <c r="AX4047" i="1"/>
  <c r="BD4047" i="1"/>
  <c r="B4048" i="1"/>
  <c r="C4048" i="1"/>
  <c r="D4048" i="1"/>
  <c r="E4048" i="1"/>
  <c r="F4048" i="1"/>
  <c r="G4048" i="1"/>
  <c r="H4048" i="1"/>
  <c r="I4048" i="1"/>
  <c r="J4048" i="1"/>
  <c r="K4048" i="1"/>
  <c r="M4048" i="1"/>
  <c r="O4048" i="1"/>
  <c r="Q4048" i="1"/>
  <c r="R4048" i="1"/>
  <c r="W4048" i="1"/>
  <c r="AA4048" i="1"/>
  <c r="AB4048" i="1"/>
  <c r="AE4048" i="1"/>
  <c r="AF4048" i="1"/>
  <c r="AM4048" i="1"/>
  <c r="AN4048" i="1"/>
  <c r="AO4048" i="1"/>
  <c r="AQ4048" i="1"/>
  <c r="AX4048" i="1"/>
  <c r="BD4048" i="1"/>
  <c r="B4049" i="1"/>
  <c r="C4049" i="1"/>
  <c r="D4049" i="1"/>
  <c r="E4049" i="1"/>
  <c r="F4049" i="1"/>
  <c r="G4049" i="1"/>
  <c r="H4049" i="1"/>
  <c r="I4049" i="1"/>
  <c r="J4049" i="1"/>
  <c r="K4049" i="1"/>
  <c r="M4049" i="1"/>
  <c r="O4049" i="1"/>
  <c r="Q4049" i="1"/>
  <c r="R4049" i="1"/>
  <c r="W4049" i="1"/>
  <c r="AA4049" i="1"/>
  <c r="AB4049" i="1"/>
  <c r="AE4049" i="1"/>
  <c r="AF4049" i="1"/>
  <c r="AM4049" i="1"/>
  <c r="AN4049" i="1"/>
  <c r="AO4049" i="1"/>
  <c r="AQ4049" i="1"/>
  <c r="AX4049" i="1"/>
  <c r="BD4049" i="1"/>
  <c r="B4050" i="1"/>
  <c r="C4050" i="1"/>
  <c r="D4050" i="1"/>
  <c r="E4050" i="1"/>
  <c r="F4050" i="1"/>
  <c r="G4050" i="1"/>
  <c r="H4050" i="1"/>
  <c r="I4050" i="1"/>
  <c r="J4050" i="1"/>
  <c r="K4050" i="1"/>
  <c r="M4050" i="1"/>
  <c r="O4050" i="1"/>
  <c r="Q4050" i="1"/>
  <c r="R4050" i="1"/>
  <c r="W4050" i="1"/>
  <c r="AA4050" i="1"/>
  <c r="AB4050" i="1"/>
  <c r="AE4050" i="1"/>
  <c r="AF4050" i="1"/>
  <c r="AM4050" i="1"/>
  <c r="AN4050" i="1"/>
  <c r="AO4050" i="1"/>
  <c r="AQ4050" i="1"/>
  <c r="AX4050" i="1"/>
  <c r="BD4050" i="1"/>
  <c r="B4051" i="1"/>
  <c r="C4051" i="1"/>
  <c r="D4051" i="1"/>
  <c r="E4051" i="1"/>
  <c r="F4051" i="1"/>
  <c r="G4051" i="1"/>
  <c r="H4051" i="1"/>
  <c r="I4051" i="1"/>
  <c r="J4051" i="1"/>
  <c r="K4051" i="1"/>
  <c r="M4051" i="1"/>
  <c r="O4051" i="1"/>
  <c r="Q4051" i="1"/>
  <c r="R4051" i="1"/>
  <c r="W4051" i="1"/>
  <c r="AA4051" i="1"/>
  <c r="AB4051" i="1"/>
  <c r="AE4051" i="1"/>
  <c r="AF4051" i="1"/>
  <c r="AM4051" i="1"/>
  <c r="AN4051" i="1"/>
  <c r="AO4051" i="1"/>
  <c r="AQ4051" i="1"/>
  <c r="AX4051" i="1"/>
  <c r="BD4051" i="1"/>
  <c r="B4052" i="1"/>
  <c r="C4052" i="1"/>
  <c r="D4052" i="1"/>
  <c r="E4052" i="1"/>
  <c r="F4052" i="1"/>
  <c r="G4052" i="1"/>
  <c r="H4052" i="1"/>
  <c r="I4052" i="1"/>
  <c r="J4052" i="1"/>
  <c r="K4052" i="1"/>
  <c r="M4052" i="1"/>
  <c r="O4052" i="1"/>
  <c r="Q4052" i="1"/>
  <c r="R4052" i="1"/>
  <c r="W4052" i="1"/>
  <c r="AA4052" i="1"/>
  <c r="AB4052" i="1"/>
  <c r="AE4052" i="1"/>
  <c r="AF4052" i="1"/>
  <c r="AM4052" i="1"/>
  <c r="AN4052" i="1"/>
  <c r="AO4052" i="1"/>
  <c r="AQ4052" i="1"/>
  <c r="AX4052" i="1"/>
  <c r="BD4052" i="1"/>
  <c r="B4053" i="1"/>
  <c r="C4053" i="1"/>
  <c r="D4053" i="1"/>
  <c r="E4053" i="1"/>
  <c r="F4053" i="1"/>
  <c r="G4053" i="1"/>
  <c r="H4053" i="1"/>
  <c r="I4053" i="1"/>
  <c r="J4053" i="1"/>
  <c r="K4053" i="1"/>
  <c r="M4053" i="1"/>
  <c r="O4053" i="1"/>
  <c r="Q4053" i="1"/>
  <c r="R4053" i="1"/>
  <c r="W4053" i="1"/>
  <c r="AA4053" i="1"/>
  <c r="AB4053" i="1"/>
  <c r="AE4053" i="1"/>
  <c r="AF4053" i="1"/>
  <c r="AM4053" i="1"/>
  <c r="AN4053" i="1"/>
  <c r="AO4053" i="1"/>
  <c r="AQ4053" i="1"/>
  <c r="AX4053" i="1"/>
  <c r="BD4053" i="1"/>
  <c r="B4054" i="1"/>
  <c r="C4054" i="1"/>
  <c r="D4054" i="1"/>
  <c r="E4054" i="1"/>
  <c r="F4054" i="1"/>
  <c r="G4054" i="1"/>
  <c r="H4054" i="1"/>
  <c r="I4054" i="1"/>
  <c r="J4054" i="1"/>
  <c r="K4054" i="1"/>
  <c r="M4054" i="1"/>
  <c r="O4054" i="1"/>
  <c r="Q4054" i="1"/>
  <c r="R4054" i="1"/>
  <c r="W4054" i="1"/>
  <c r="AA4054" i="1"/>
  <c r="AB4054" i="1"/>
  <c r="AE4054" i="1"/>
  <c r="AF4054" i="1"/>
  <c r="AM4054" i="1"/>
  <c r="AN4054" i="1"/>
  <c r="AO4054" i="1"/>
  <c r="AQ4054" i="1"/>
  <c r="AX4054" i="1"/>
  <c r="BD4054" i="1"/>
  <c r="B4055" i="1"/>
  <c r="C4055" i="1"/>
  <c r="D4055" i="1"/>
  <c r="E4055" i="1"/>
  <c r="F4055" i="1"/>
  <c r="G4055" i="1"/>
  <c r="H4055" i="1"/>
  <c r="I4055" i="1"/>
  <c r="J4055" i="1"/>
  <c r="K4055" i="1"/>
  <c r="M4055" i="1"/>
  <c r="O4055" i="1"/>
  <c r="Q4055" i="1"/>
  <c r="R4055" i="1"/>
  <c r="W4055" i="1"/>
  <c r="AA4055" i="1"/>
  <c r="AB4055" i="1"/>
  <c r="AE4055" i="1"/>
  <c r="AF4055" i="1"/>
  <c r="AM4055" i="1"/>
  <c r="AN4055" i="1"/>
  <c r="AO4055" i="1"/>
  <c r="AQ4055" i="1"/>
  <c r="AX4055" i="1"/>
  <c r="BD4055" i="1"/>
  <c r="B4056" i="1"/>
  <c r="C4056" i="1"/>
  <c r="D4056" i="1"/>
  <c r="E4056" i="1"/>
  <c r="F4056" i="1"/>
  <c r="G4056" i="1"/>
  <c r="H4056" i="1"/>
  <c r="I4056" i="1"/>
  <c r="J4056" i="1"/>
  <c r="K4056" i="1"/>
  <c r="M4056" i="1"/>
  <c r="O4056" i="1"/>
  <c r="Q4056" i="1"/>
  <c r="R4056" i="1"/>
  <c r="W4056" i="1"/>
  <c r="AA4056" i="1"/>
  <c r="AB4056" i="1"/>
  <c r="AE4056" i="1"/>
  <c r="AF4056" i="1"/>
  <c r="AM4056" i="1"/>
  <c r="AN4056" i="1"/>
  <c r="AO4056" i="1"/>
  <c r="AQ4056" i="1"/>
  <c r="AX4056" i="1"/>
  <c r="BD4056" i="1"/>
  <c r="B4057" i="1"/>
  <c r="C4057" i="1"/>
  <c r="D4057" i="1"/>
  <c r="E4057" i="1"/>
  <c r="F4057" i="1"/>
  <c r="G4057" i="1"/>
  <c r="H4057" i="1"/>
  <c r="I4057" i="1"/>
  <c r="J4057" i="1"/>
  <c r="K4057" i="1"/>
  <c r="M4057" i="1"/>
  <c r="O4057" i="1"/>
  <c r="Q4057" i="1"/>
  <c r="R4057" i="1"/>
  <c r="W4057" i="1"/>
  <c r="AA4057" i="1"/>
  <c r="AB4057" i="1"/>
  <c r="AE4057" i="1"/>
  <c r="AF4057" i="1"/>
  <c r="AM4057" i="1"/>
  <c r="AN4057" i="1"/>
  <c r="AO4057" i="1"/>
  <c r="AQ4057" i="1"/>
  <c r="AX4057" i="1"/>
  <c r="BD4057" i="1"/>
  <c r="B4058" i="1"/>
  <c r="C4058" i="1"/>
  <c r="D4058" i="1"/>
  <c r="E4058" i="1"/>
  <c r="F4058" i="1"/>
  <c r="G4058" i="1"/>
  <c r="H4058" i="1"/>
  <c r="I4058" i="1"/>
  <c r="J4058" i="1"/>
  <c r="K4058" i="1"/>
  <c r="M4058" i="1"/>
  <c r="O4058" i="1"/>
  <c r="Q4058" i="1"/>
  <c r="R4058" i="1"/>
  <c r="W4058" i="1"/>
  <c r="AA4058" i="1"/>
  <c r="AB4058" i="1"/>
  <c r="AE4058" i="1"/>
  <c r="AF4058" i="1"/>
  <c r="AM4058" i="1"/>
  <c r="AN4058" i="1"/>
  <c r="AO4058" i="1"/>
  <c r="AQ4058" i="1"/>
  <c r="AX4058" i="1"/>
  <c r="BD4058" i="1"/>
  <c r="B4059" i="1"/>
  <c r="C4059" i="1"/>
  <c r="D4059" i="1"/>
  <c r="E4059" i="1"/>
  <c r="F4059" i="1"/>
  <c r="G4059" i="1"/>
  <c r="H4059" i="1"/>
  <c r="I4059" i="1"/>
  <c r="J4059" i="1"/>
  <c r="K4059" i="1"/>
  <c r="M4059" i="1"/>
  <c r="O4059" i="1"/>
  <c r="Q4059" i="1"/>
  <c r="R4059" i="1"/>
  <c r="W4059" i="1"/>
  <c r="AA4059" i="1"/>
  <c r="AB4059" i="1"/>
  <c r="AE4059" i="1"/>
  <c r="AF4059" i="1"/>
  <c r="AM4059" i="1"/>
  <c r="AN4059" i="1"/>
  <c r="AO4059" i="1"/>
  <c r="AQ4059" i="1"/>
  <c r="AX4059" i="1"/>
  <c r="BD4059" i="1"/>
  <c r="B4060" i="1"/>
  <c r="C4060" i="1"/>
  <c r="D4060" i="1"/>
  <c r="E4060" i="1"/>
  <c r="F4060" i="1"/>
  <c r="G4060" i="1"/>
  <c r="H4060" i="1"/>
  <c r="I4060" i="1"/>
  <c r="J4060" i="1"/>
  <c r="K4060" i="1"/>
  <c r="M4060" i="1"/>
  <c r="O4060" i="1"/>
  <c r="Q4060" i="1"/>
  <c r="R4060" i="1"/>
  <c r="W4060" i="1"/>
  <c r="AA4060" i="1"/>
  <c r="AB4060" i="1"/>
  <c r="AE4060" i="1"/>
  <c r="AF4060" i="1"/>
  <c r="AM4060" i="1"/>
  <c r="AN4060" i="1"/>
  <c r="AO4060" i="1"/>
  <c r="AQ4060" i="1"/>
  <c r="AX4060" i="1"/>
  <c r="BD4060" i="1"/>
  <c r="B4061" i="1"/>
  <c r="C4061" i="1"/>
  <c r="E4061" i="1"/>
  <c r="F4061" i="1"/>
  <c r="G4061" i="1"/>
  <c r="H4061" i="1"/>
  <c r="I4061" i="1"/>
  <c r="J4061" i="1"/>
  <c r="K4061" i="1"/>
  <c r="M4061" i="1"/>
  <c r="O4061" i="1"/>
  <c r="Q4061" i="1"/>
  <c r="R4061" i="1"/>
  <c r="W4061" i="1"/>
  <c r="AA4061" i="1"/>
  <c r="AB4061" i="1"/>
  <c r="AE4061" i="1"/>
  <c r="AF4061" i="1"/>
  <c r="AM4061" i="1"/>
  <c r="AN4061" i="1"/>
  <c r="AO4061" i="1"/>
  <c r="AQ4061" i="1"/>
  <c r="AX4061" i="1"/>
  <c r="BD4061" i="1"/>
  <c r="B4062" i="1"/>
  <c r="C4062" i="1"/>
  <c r="E4062" i="1"/>
  <c r="F4062" i="1"/>
  <c r="G4062" i="1"/>
  <c r="H4062" i="1"/>
  <c r="I4062" i="1"/>
  <c r="J4062" i="1"/>
  <c r="K4062" i="1"/>
  <c r="M4062" i="1"/>
  <c r="O4062" i="1"/>
  <c r="Q4062" i="1"/>
  <c r="R4062" i="1"/>
  <c r="W4062" i="1"/>
  <c r="AA4062" i="1"/>
  <c r="AB4062" i="1"/>
  <c r="AE4062" i="1"/>
  <c r="AF4062" i="1"/>
  <c r="AM4062" i="1"/>
  <c r="AN4062" i="1"/>
  <c r="AO4062" i="1"/>
  <c r="AQ4062" i="1"/>
  <c r="AX4062" i="1"/>
  <c r="BD4062" i="1"/>
  <c r="B4063" i="1"/>
  <c r="C4063" i="1"/>
  <c r="D4063" i="1"/>
  <c r="E4063" i="1"/>
  <c r="F4063" i="1"/>
  <c r="G4063" i="1"/>
  <c r="H4063" i="1"/>
  <c r="I4063" i="1"/>
  <c r="J4063" i="1"/>
  <c r="K4063" i="1"/>
  <c r="M4063" i="1"/>
  <c r="O4063" i="1"/>
  <c r="Q4063" i="1"/>
  <c r="R4063" i="1"/>
  <c r="W4063" i="1"/>
  <c r="AA4063" i="1"/>
  <c r="AB4063" i="1"/>
  <c r="AM4063" i="1"/>
  <c r="AN4063" i="1"/>
  <c r="AO4063" i="1"/>
  <c r="AQ4063" i="1"/>
  <c r="AX4063" i="1"/>
  <c r="BD4063" i="1"/>
  <c r="B4064" i="1"/>
  <c r="C4064" i="1"/>
  <c r="E4064" i="1"/>
  <c r="F4064" i="1"/>
  <c r="G4064" i="1"/>
  <c r="H4064" i="1"/>
  <c r="I4064" i="1"/>
  <c r="J4064" i="1"/>
  <c r="K4064" i="1"/>
  <c r="M4064" i="1"/>
  <c r="O4064" i="1"/>
  <c r="Q4064" i="1"/>
  <c r="R4064" i="1"/>
  <c r="W4064" i="1"/>
  <c r="AA4064" i="1"/>
  <c r="AB4064" i="1"/>
  <c r="AE4064" i="1"/>
  <c r="AF4064" i="1"/>
  <c r="AM4064" i="1"/>
  <c r="AN4064" i="1"/>
  <c r="AO4064" i="1"/>
  <c r="AQ4064" i="1"/>
  <c r="AX4064" i="1"/>
  <c r="BD4064" i="1"/>
  <c r="B4065" i="1"/>
  <c r="C4065" i="1"/>
  <c r="D4065" i="1"/>
  <c r="E4065" i="1"/>
  <c r="F4065" i="1"/>
  <c r="G4065" i="1"/>
  <c r="H4065" i="1"/>
  <c r="I4065" i="1"/>
  <c r="J4065" i="1"/>
  <c r="K4065" i="1"/>
  <c r="M4065" i="1"/>
  <c r="O4065" i="1"/>
  <c r="Q4065" i="1"/>
  <c r="R4065" i="1"/>
  <c r="W4065" i="1"/>
  <c r="AA4065" i="1"/>
  <c r="AB4065" i="1"/>
  <c r="AE4065" i="1"/>
  <c r="AF4065" i="1"/>
  <c r="AM4065" i="1"/>
  <c r="AN4065" i="1"/>
  <c r="AO4065" i="1"/>
  <c r="AQ4065" i="1"/>
  <c r="AX4065" i="1"/>
  <c r="BD4065" i="1"/>
  <c r="B4066" i="1"/>
  <c r="C4066" i="1"/>
  <c r="D4066" i="1"/>
  <c r="E4066" i="1"/>
  <c r="F4066" i="1"/>
  <c r="G4066" i="1"/>
  <c r="H4066" i="1"/>
  <c r="I4066" i="1"/>
  <c r="J4066" i="1"/>
  <c r="K4066" i="1"/>
  <c r="M4066" i="1"/>
  <c r="O4066" i="1"/>
  <c r="Q4066" i="1"/>
  <c r="R4066" i="1"/>
  <c r="W4066" i="1"/>
  <c r="AA4066" i="1"/>
  <c r="AB4066" i="1"/>
  <c r="AE4066" i="1"/>
  <c r="AF4066" i="1"/>
  <c r="AM4066" i="1"/>
  <c r="AN4066" i="1"/>
  <c r="AO4066" i="1"/>
  <c r="AQ4066" i="1"/>
  <c r="AX4066" i="1"/>
  <c r="BD4066" i="1"/>
  <c r="B4067" i="1"/>
  <c r="C4067" i="1"/>
  <c r="D4067" i="1"/>
  <c r="E4067" i="1"/>
  <c r="F4067" i="1"/>
  <c r="G4067" i="1"/>
  <c r="H4067" i="1"/>
  <c r="I4067" i="1"/>
  <c r="J4067" i="1"/>
  <c r="K4067" i="1"/>
  <c r="M4067" i="1"/>
  <c r="O4067" i="1"/>
  <c r="Q4067" i="1"/>
  <c r="R4067" i="1"/>
  <c r="W4067" i="1"/>
  <c r="AA4067" i="1"/>
  <c r="AB4067" i="1"/>
  <c r="AE4067" i="1"/>
  <c r="AF4067" i="1"/>
  <c r="AM4067" i="1"/>
  <c r="AN4067" i="1"/>
  <c r="AO4067" i="1"/>
  <c r="AQ4067" i="1"/>
  <c r="AX4067" i="1"/>
  <c r="BD4067" i="1"/>
  <c r="B4068" i="1"/>
  <c r="C4068" i="1"/>
  <c r="E4068" i="1"/>
  <c r="F4068" i="1"/>
  <c r="G4068" i="1"/>
  <c r="H4068" i="1"/>
  <c r="I4068" i="1"/>
  <c r="J4068" i="1"/>
  <c r="K4068" i="1"/>
  <c r="M4068" i="1"/>
  <c r="O4068" i="1"/>
  <c r="Q4068" i="1"/>
  <c r="R4068" i="1"/>
  <c r="W4068" i="1"/>
  <c r="AA4068" i="1"/>
  <c r="AB4068" i="1"/>
  <c r="AE4068" i="1"/>
  <c r="AF4068" i="1"/>
  <c r="AM4068" i="1"/>
  <c r="AN4068" i="1"/>
  <c r="AO4068" i="1"/>
  <c r="AQ4068" i="1"/>
  <c r="AX4068" i="1"/>
  <c r="BD4068" i="1"/>
  <c r="B4069" i="1"/>
  <c r="C4069" i="1"/>
  <c r="D4069" i="1"/>
  <c r="E4069" i="1"/>
  <c r="F4069" i="1"/>
  <c r="G4069" i="1"/>
  <c r="H4069" i="1"/>
  <c r="I4069" i="1"/>
  <c r="J4069" i="1"/>
  <c r="K4069" i="1"/>
  <c r="M4069" i="1"/>
  <c r="O4069" i="1"/>
  <c r="Q4069" i="1"/>
  <c r="R4069" i="1"/>
  <c r="W4069" i="1"/>
  <c r="AA4069" i="1"/>
  <c r="AB4069" i="1"/>
  <c r="AM4069" i="1"/>
  <c r="AN4069" i="1"/>
  <c r="AO4069" i="1"/>
  <c r="AQ4069" i="1"/>
  <c r="AX4069" i="1"/>
  <c r="BD4069" i="1"/>
  <c r="B4070" i="1"/>
  <c r="C4070" i="1"/>
  <c r="D4070" i="1"/>
  <c r="E4070" i="1"/>
  <c r="F4070" i="1"/>
  <c r="G4070" i="1"/>
  <c r="H4070" i="1"/>
  <c r="I4070" i="1"/>
  <c r="J4070" i="1"/>
  <c r="K4070" i="1"/>
  <c r="M4070" i="1"/>
  <c r="O4070" i="1"/>
  <c r="Q4070" i="1"/>
  <c r="R4070" i="1"/>
  <c r="W4070" i="1"/>
  <c r="AA4070" i="1"/>
  <c r="AB4070" i="1"/>
  <c r="AE4070" i="1"/>
  <c r="AF4070" i="1"/>
  <c r="AM4070" i="1"/>
  <c r="AN4070" i="1"/>
  <c r="AO4070" i="1"/>
  <c r="AQ4070" i="1"/>
  <c r="AX4070" i="1"/>
  <c r="BD4070" i="1"/>
  <c r="B4071" i="1"/>
  <c r="E4071" i="1"/>
  <c r="F4071" i="1"/>
  <c r="G4071" i="1"/>
  <c r="H4071" i="1"/>
  <c r="I4071" i="1"/>
  <c r="J4071" i="1"/>
  <c r="K4071" i="1"/>
  <c r="M4071" i="1"/>
  <c r="O4071" i="1"/>
  <c r="Q4071" i="1"/>
  <c r="R4071" i="1"/>
  <c r="W4071" i="1"/>
  <c r="AA4071" i="1"/>
  <c r="AB4071" i="1"/>
  <c r="AM4071" i="1"/>
  <c r="AN4071" i="1"/>
  <c r="AO4071" i="1"/>
  <c r="AQ4071" i="1"/>
  <c r="AX4071" i="1"/>
  <c r="BD4071" i="1"/>
  <c r="B4072" i="1"/>
  <c r="C4072" i="1"/>
  <c r="E4072" i="1"/>
  <c r="F4072" i="1"/>
  <c r="G4072" i="1"/>
  <c r="H4072" i="1"/>
  <c r="I4072" i="1"/>
  <c r="J4072" i="1"/>
  <c r="K4072" i="1"/>
  <c r="M4072" i="1"/>
  <c r="O4072" i="1"/>
  <c r="Q4072" i="1"/>
  <c r="R4072" i="1"/>
  <c r="W4072" i="1"/>
  <c r="AA4072" i="1"/>
  <c r="AB4072" i="1"/>
  <c r="AE4072" i="1"/>
  <c r="AF4072" i="1"/>
  <c r="AM4072" i="1"/>
  <c r="AN4072" i="1"/>
  <c r="AO4072" i="1"/>
  <c r="AQ4072" i="1"/>
  <c r="AX4072" i="1"/>
  <c r="BD4072" i="1"/>
  <c r="B4073" i="1"/>
  <c r="C4073" i="1"/>
  <c r="E4073" i="1"/>
  <c r="F4073" i="1"/>
  <c r="G4073" i="1"/>
  <c r="H4073" i="1"/>
  <c r="I4073" i="1"/>
  <c r="J4073" i="1"/>
  <c r="K4073" i="1"/>
  <c r="M4073" i="1"/>
  <c r="O4073" i="1"/>
  <c r="Q4073" i="1"/>
  <c r="R4073" i="1"/>
  <c r="W4073" i="1"/>
  <c r="AA4073" i="1"/>
  <c r="AB4073" i="1"/>
  <c r="AE4073" i="1"/>
  <c r="AF4073" i="1"/>
  <c r="AM4073" i="1"/>
  <c r="AN4073" i="1"/>
  <c r="AO4073" i="1"/>
  <c r="AQ4073" i="1"/>
  <c r="AX4073" i="1"/>
  <c r="BD4073" i="1"/>
  <c r="B4074" i="1"/>
  <c r="C4074" i="1"/>
  <c r="E4074" i="1"/>
  <c r="F4074" i="1"/>
  <c r="G4074" i="1"/>
  <c r="H4074" i="1"/>
  <c r="I4074" i="1"/>
  <c r="J4074" i="1"/>
  <c r="K4074" i="1"/>
  <c r="M4074" i="1"/>
  <c r="O4074" i="1"/>
  <c r="Q4074" i="1"/>
  <c r="R4074" i="1"/>
  <c r="W4074" i="1"/>
  <c r="AA4074" i="1"/>
  <c r="AB4074" i="1"/>
  <c r="AE4074" i="1"/>
  <c r="AF4074" i="1"/>
  <c r="AM4074" i="1"/>
  <c r="AN4074" i="1"/>
  <c r="AO4074" i="1"/>
  <c r="AQ4074" i="1"/>
  <c r="AX4074" i="1"/>
  <c r="BD4074" i="1"/>
  <c r="B4075" i="1"/>
  <c r="E4075" i="1"/>
  <c r="F4075" i="1"/>
  <c r="G4075" i="1"/>
  <c r="H4075" i="1"/>
  <c r="I4075" i="1"/>
  <c r="J4075" i="1"/>
  <c r="K4075" i="1"/>
  <c r="M4075" i="1"/>
  <c r="O4075" i="1"/>
  <c r="Q4075" i="1"/>
  <c r="R4075" i="1"/>
  <c r="W4075" i="1"/>
  <c r="AA4075" i="1"/>
  <c r="AB4075" i="1"/>
  <c r="AM4075" i="1"/>
  <c r="AN4075" i="1"/>
  <c r="AO4075" i="1"/>
  <c r="AQ4075" i="1"/>
  <c r="AX4075" i="1"/>
  <c r="BD4075" i="1"/>
  <c r="B4076" i="1"/>
  <c r="C4076" i="1"/>
  <c r="E4076" i="1"/>
  <c r="F4076" i="1"/>
  <c r="G4076" i="1"/>
  <c r="H4076" i="1"/>
  <c r="I4076" i="1"/>
  <c r="J4076" i="1"/>
  <c r="K4076" i="1"/>
  <c r="M4076" i="1"/>
  <c r="O4076" i="1"/>
  <c r="Q4076" i="1"/>
  <c r="R4076" i="1"/>
  <c r="W4076" i="1"/>
  <c r="AA4076" i="1"/>
  <c r="AB4076" i="1"/>
  <c r="AE4076" i="1"/>
  <c r="AF4076" i="1"/>
  <c r="AM4076" i="1"/>
  <c r="AN4076" i="1"/>
  <c r="AO4076" i="1"/>
  <c r="AQ4076" i="1"/>
  <c r="AX4076" i="1"/>
  <c r="BD4076" i="1"/>
  <c r="B4077" i="1"/>
  <c r="C4077" i="1"/>
  <c r="D4077" i="1"/>
  <c r="E4077" i="1"/>
  <c r="F4077" i="1"/>
  <c r="G4077" i="1"/>
  <c r="H4077" i="1"/>
  <c r="I4077" i="1"/>
  <c r="J4077" i="1"/>
  <c r="K4077" i="1"/>
  <c r="M4077" i="1"/>
  <c r="O4077" i="1"/>
  <c r="Q4077" i="1"/>
  <c r="R4077" i="1"/>
  <c r="W4077" i="1"/>
  <c r="AA4077" i="1"/>
  <c r="AB4077" i="1"/>
  <c r="AE4077" i="1"/>
  <c r="AF4077" i="1"/>
  <c r="AM4077" i="1"/>
  <c r="AN4077" i="1"/>
  <c r="AO4077" i="1"/>
  <c r="AQ4077" i="1"/>
  <c r="AX4077" i="1"/>
  <c r="BD4077" i="1"/>
  <c r="B4078" i="1"/>
  <c r="C4078" i="1"/>
  <c r="D4078" i="1"/>
  <c r="E4078" i="1"/>
  <c r="F4078" i="1"/>
  <c r="G4078" i="1"/>
  <c r="H4078" i="1"/>
  <c r="I4078" i="1"/>
  <c r="J4078" i="1"/>
  <c r="K4078" i="1"/>
  <c r="M4078" i="1"/>
  <c r="O4078" i="1"/>
  <c r="Q4078" i="1"/>
  <c r="R4078" i="1"/>
  <c r="W4078" i="1"/>
  <c r="AA4078" i="1"/>
  <c r="AB4078" i="1"/>
  <c r="AE4078" i="1"/>
  <c r="AF4078" i="1"/>
  <c r="AM4078" i="1"/>
  <c r="AN4078" i="1"/>
  <c r="AO4078" i="1"/>
  <c r="AQ4078" i="1"/>
  <c r="AX4078" i="1"/>
  <c r="BD4078" i="1"/>
  <c r="B4079" i="1"/>
  <c r="C4079" i="1"/>
  <c r="D4079" i="1"/>
  <c r="E4079" i="1"/>
  <c r="F4079" i="1"/>
  <c r="G4079" i="1"/>
  <c r="H4079" i="1"/>
  <c r="I4079" i="1"/>
  <c r="J4079" i="1"/>
  <c r="K4079" i="1"/>
  <c r="M4079" i="1"/>
  <c r="O4079" i="1"/>
  <c r="Q4079" i="1"/>
  <c r="R4079" i="1"/>
  <c r="W4079" i="1"/>
  <c r="AA4079" i="1"/>
  <c r="AB4079" i="1"/>
  <c r="AE4079" i="1"/>
  <c r="AF4079" i="1"/>
  <c r="AM4079" i="1"/>
  <c r="AN4079" i="1"/>
  <c r="AO4079" i="1"/>
  <c r="AQ4079" i="1"/>
  <c r="AX4079" i="1"/>
  <c r="BD4079" i="1"/>
  <c r="B4080" i="1"/>
  <c r="C4080" i="1"/>
  <c r="D4080" i="1"/>
  <c r="E4080" i="1"/>
  <c r="F4080" i="1"/>
  <c r="G4080" i="1"/>
  <c r="H4080" i="1"/>
  <c r="I4080" i="1"/>
  <c r="J4080" i="1"/>
  <c r="K4080" i="1"/>
  <c r="M4080" i="1"/>
  <c r="O4080" i="1"/>
  <c r="Q4080" i="1"/>
  <c r="R4080" i="1"/>
  <c r="W4080" i="1"/>
  <c r="AA4080" i="1"/>
  <c r="AB4080" i="1"/>
  <c r="AE4080" i="1"/>
  <c r="AF4080" i="1"/>
  <c r="AM4080" i="1"/>
  <c r="AN4080" i="1"/>
  <c r="AO4080" i="1"/>
  <c r="AQ4080" i="1"/>
  <c r="AX4080" i="1"/>
  <c r="BD4080" i="1"/>
  <c r="B4081" i="1"/>
  <c r="C4081" i="1"/>
  <c r="D4081" i="1"/>
  <c r="E4081" i="1"/>
  <c r="F4081" i="1"/>
  <c r="G4081" i="1"/>
  <c r="H4081" i="1"/>
  <c r="I4081" i="1"/>
  <c r="J4081" i="1"/>
  <c r="K4081" i="1"/>
  <c r="M4081" i="1"/>
  <c r="O4081" i="1"/>
  <c r="Q4081" i="1"/>
  <c r="R4081" i="1"/>
  <c r="W4081" i="1"/>
  <c r="AA4081" i="1"/>
  <c r="AB4081" i="1"/>
  <c r="AM4081" i="1"/>
  <c r="AN4081" i="1"/>
  <c r="AO4081" i="1"/>
  <c r="AQ4081" i="1"/>
  <c r="AX4081" i="1"/>
  <c r="BD4081" i="1"/>
  <c r="B4082" i="1"/>
  <c r="C4082" i="1"/>
  <c r="D4082" i="1"/>
  <c r="E4082" i="1"/>
  <c r="F4082" i="1"/>
  <c r="G4082" i="1"/>
  <c r="H4082" i="1"/>
  <c r="I4082" i="1"/>
  <c r="J4082" i="1"/>
  <c r="K4082" i="1"/>
  <c r="M4082" i="1"/>
  <c r="O4082" i="1"/>
  <c r="Q4082" i="1"/>
  <c r="R4082" i="1"/>
  <c r="W4082" i="1"/>
  <c r="AA4082" i="1"/>
  <c r="AB4082" i="1"/>
  <c r="AM4082" i="1"/>
  <c r="AN4082" i="1"/>
  <c r="AO4082" i="1"/>
  <c r="AQ4082" i="1"/>
  <c r="AX4082" i="1"/>
  <c r="BD4082" i="1"/>
  <c r="B4083" i="1"/>
  <c r="C4083" i="1"/>
  <c r="E4083" i="1"/>
  <c r="F4083" i="1"/>
  <c r="G4083" i="1"/>
  <c r="H4083" i="1"/>
  <c r="I4083" i="1"/>
  <c r="J4083" i="1"/>
  <c r="K4083" i="1"/>
  <c r="M4083" i="1"/>
  <c r="O4083" i="1"/>
  <c r="Q4083" i="1"/>
  <c r="R4083" i="1"/>
  <c r="W4083" i="1"/>
  <c r="AA4083" i="1"/>
  <c r="AB4083" i="1"/>
  <c r="AE4083" i="1"/>
  <c r="AF4083" i="1"/>
  <c r="AM4083" i="1"/>
  <c r="AN4083" i="1"/>
  <c r="AO4083" i="1"/>
  <c r="AQ4083" i="1"/>
  <c r="AX4083" i="1"/>
  <c r="BD4083" i="1"/>
  <c r="B4084" i="1"/>
  <c r="C4084" i="1"/>
  <c r="E4084" i="1"/>
  <c r="F4084" i="1"/>
  <c r="G4084" i="1"/>
  <c r="H4084" i="1"/>
  <c r="I4084" i="1"/>
  <c r="J4084" i="1"/>
  <c r="K4084" i="1"/>
  <c r="M4084" i="1"/>
  <c r="O4084" i="1"/>
  <c r="Q4084" i="1"/>
  <c r="R4084" i="1"/>
  <c r="W4084" i="1"/>
  <c r="AA4084" i="1"/>
  <c r="AB4084" i="1"/>
  <c r="AE4084" i="1"/>
  <c r="AF4084" i="1"/>
  <c r="AM4084" i="1"/>
  <c r="AN4084" i="1"/>
  <c r="AO4084" i="1"/>
  <c r="AQ4084" i="1"/>
  <c r="AX4084" i="1"/>
  <c r="BD4084" i="1"/>
  <c r="B4085" i="1"/>
  <c r="E4085" i="1"/>
  <c r="F4085" i="1"/>
  <c r="G4085" i="1"/>
  <c r="H4085" i="1"/>
  <c r="I4085" i="1"/>
  <c r="J4085" i="1"/>
  <c r="K4085" i="1"/>
  <c r="M4085" i="1"/>
  <c r="O4085" i="1"/>
  <c r="Q4085" i="1"/>
  <c r="R4085" i="1"/>
  <c r="W4085" i="1"/>
  <c r="AA4085" i="1"/>
  <c r="AB4085" i="1"/>
  <c r="AE4085" i="1"/>
  <c r="AF4085" i="1"/>
  <c r="AM4085" i="1"/>
  <c r="AN4085" i="1"/>
  <c r="AO4085" i="1"/>
  <c r="AQ4085" i="1"/>
  <c r="AX4085" i="1"/>
  <c r="BD4085" i="1"/>
  <c r="B4086" i="1"/>
  <c r="C4086" i="1"/>
  <c r="D4086" i="1"/>
  <c r="E4086" i="1"/>
  <c r="F4086" i="1"/>
  <c r="G4086" i="1"/>
  <c r="H4086" i="1"/>
  <c r="I4086" i="1"/>
  <c r="J4086" i="1"/>
  <c r="K4086" i="1"/>
  <c r="M4086" i="1"/>
  <c r="O4086" i="1"/>
  <c r="Q4086" i="1"/>
  <c r="R4086" i="1"/>
  <c r="W4086" i="1"/>
  <c r="AA4086" i="1"/>
  <c r="AB4086" i="1"/>
  <c r="AM4086" i="1"/>
  <c r="AN4086" i="1"/>
  <c r="AO4086" i="1"/>
  <c r="AQ4086" i="1"/>
  <c r="AX4086" i="1"/>
  <c r="BD4086" i="1"/>
  <c r="B4087" i="1"/>
  <c r="C4087" i="1"/>
  <c r="E4087" i="1"/>
  <c r="F4087" i="1"/>
  <c r="G4087" i="1"/>
  <c r="H4087" i="1"/>
  <c r="I4087" i="1"/>
  <c r="J4087" i="1"/>
  <c r="K4087" i="1"/>
  <c r="M4087" i="1"/>
  <c r="O4087" i="1"/>
  <c r="Q4087" i="1"/>
  <c r="R4087" i="1"/>
  <c r="W4087" i="1"/>
  <c r="AA4087" i="1"/>
  <c r="AB4087" i="1"/>
  <c r="AE4087" i="1"/>
  <c r="AF4087" i="1"/>
  <c r="AM4087" i="1"/>
  <c r="AN4087" i="1"/>
  <c r="AO4087" i="1"/>
  <c r="AQ4087" i="1"/>
  <c r="AX4087" i="1"/>
  <c r="BD4087" i="1"/>
  <c r="B4088" i="1"/>
  <c r="C4088" i="1"/>
  <c r="E4088" i="1"/>
  <c r="F4088" i="1"/>
  <c r="G4088" i="1"/>
  <c r="H4088" i="1"/>
  <c r="I4088" i="1"/>
  <c r="J4088" i="1"/>
  <c r="K4088" i="1"/>
  <c r="M4088" i="1"/>
  <c r="O4088" i="1"/>
  <c r="Q4088" i="1"/>
  <c r="R4088" i="1"/>
  <c r="W4088" i="1"/>
  <c r="AA4088" i="1"/>
  <c r="AB4088" i="1"/>
  <c r="AE4088" i="1"/>
  <c r="AF4088" i="1"/>
  <c r="AM4088" i="1"/>
  <c r="AN4088" i="1"/>
  <c r="AO4088" i="1"/>
  <c r="AQ4088" i="1"/>
  <c r="AX4088" i="1"/>
  <c r="BD4088" i="1"/>
  <c r="B4089" i="1"/>
  <c r="C4089" i="1"/>
  <c r="E4089" i="1"/>
  <c r="F4089" i="1"/>
  <c r="G4089" i="1"/>
  <c r="H4089" i="1"/>
  <c r="I4089" i="1"/>
  <c r="J4089" i="1"/>
  <c r="K4089" i="1"/>
  <c r="M4089" i="1"/>
  <c r="O4089" i="1"/>
  <c r="Q4089" i="1"/>
  <c r="R4089" i="1"/>
  <c r="W4089" i="1"/>
  <c r="AA4089" i="1"/>
  <c r="AB4089" i="1"/>
  <c r="AM4089" i="1"/>
  <c r="AN4089" i="1"/>
  <c r="AO4089" i="1"/>
  <c r="AQ4089" i="1"/>
  <c r="AX4089" i="1"/>
  <c r="BD4089" i="1"/>
  <c r="B4090" i="1"/>
  <c r="C4090" i="1"/>
  <c r="E4090" i="1"/>
  <c r="F4090" i="1"/>
  <c r="G4090" i="1"/>
  <c r="H4090" i="1"/>
  <c r="I4090" i="1"/>
  <c r="J4090" i="1"/>
  <c r="K4090" i="1"/>
  <c r="M4090" i="1"/>
  <c r="O4090" i="1"/>
  <c r="Q4090" i="1"/>
  <c r="W4090" i="1"/>
  <c r="AA4090" i="1"/>
  <c r="AE4090" i="1"/>
  <c r="AF4090" i="1"/>
  <c r="AM4090" i="1"/>
  <c r="AN4090" i="1"/>
  <c r="AO4090" i="1"/>
  <c r="AQ4090" i="1"/>
  <c r="BD4090" i="1"/>
  <c r="B4091" i="1"/>
  <c r="C4091" i="1"/>
  <c r="D4091" i="1"/>
  <c r="E4091" i="1"/>
  <c r="F4091" i="1"/>
  <c r="G4091" i="1"/>
  <c r="H4091" i="1"/>
  <c r="I4091" i="1"/>
  <c r="J4091" i="1"/>
  <c r="K4091" i="1"/>
  <c r="M4091" i="1"/>
  <c r="O4091" i="1"/>
  <c r="Q4091" i="1"/>
  <c r="R4091" i="1"/>
  <c r="W4091" i="1"/>
  <c r="AA4091" i="1"/>
  <c r="AB4091" i="1"/>
  <c r="AM4091" i="1"/>
  <c r="AN4091" i="1"/>
  <c r="AO4091" i="1"/>
  <c r="AQ4091" i="1"/>
  <c r="AX4091" i="1"/>
  <c r="BD4091" i="1"/>
  <c r="B4092" i="1"/>
  <c r="C4092" i="1"/>
  <c r="D4092" i="1"/>
  <c r="E4092" i="1"/>
  <c r="F4092" i="1"/>
  <c r="G4092" i="1"/>
  <c r="H4092" i="1"/>
  <c r="I4092" i="1"/>
  <c r="J4092" i="1"/>
  <c r="K4092" i="1"/>
  <c r="M4092" i="1"/>
  <c r="O4092" i="1"/>
  <c r="Q4092" i="1"/>
  <c r="R4092" i="1"/>
  <c r="W4092" i="1"/>
  <c r="AA4092" i="1"/>
  <c r="AB4092" i="1"/>
  <c r="AE4092" i="1"/>
  <c r="AF4092" i="1"/>
  <c r="AM4092" i="1"/>
  <c r="AN4092" i="1"/>
  <c r="AO4092" i="1"/>
  <c r="AQ4092" i="1"/>
  <c r="AX4092" i="1"/>
  <c r="BD4092" i="1"/>
  <c r="B4093" i="1"/>
  <c r="C4093" i="1"/>
  <c r="E4093" i="1"/>
  <c r="F4093" i="1"/>
  <c r="G4093" i="1"/>
  <c r="H4093" i="1"/>
  <c r="I4093" i="1"/>
  <c r="J4093" i="1"/>
  <c r="K4093" i="1"/>
  <c r="M4093" i="1"/>
  <c r="O4093" i="1"/>
  <c r="Q4093" i="1"/>
  <c r="R4093" i="1"/>
  <c r="W4093" i="1"/>
  <c r="AA4093" i="1"/>
  <c r="AB4093" i="1"/>
  <c r="AE4093" i="1"/>
  <c r="AF4093" i="1"/>
  <c r="AM4093" i="1"/>
  <c r="AN4093" i="1"/>
  <c r="AO4093" i="1"/>
  <c r="AQ4093" i="1"/>
  <c r="AX4093" i="1"/>
  <c r="BD4093" i="1"/>
  <c r="B4094" i="1"/>
  <c r="C4094" i="1"/>
  <c r="E4094" i="1"/>
  <c r="F4094" i="1"/>
  <c r="G4094" i="1"/>
  <c r="H4094" i="1"/>
  <c r="I4094" i="1"/>
  <c r="J4094" i="1"/>
  <c r="K4094" i="1"/>
  <c r="M4094" i="1"/>
  <c r="O4094" i="1"/>
  <c r="Q4094" i="1"/>
  <c r="R4094" i="1"/>
  <c r="W4094" i="1"/>
  <c r="AA4094" i="1"/>
  <c r="AM4094" i="1"/>
  <c r="AN4094" i="1"/>
  <c r="AO4094" i="1"/>
  <c r="AQ4094" i="1"/>
  <c r="BB4094" i="1"/>
  <c r="BD4094" i="1"/>
  <c r="B4095" i="1"/>
  <c r="C4095" i="1"/>
  <c r="E4095" i="1"/>
  <c r="F4095" i="1"/>
  <c r="G4095" i="1"/>
  <c r="H4095" i="1"/>
  <c r="I4095" i="1"/>
  <c r="J4095" i="1"/>
  <c r="K4095" i="1"/>
  <c r="M4095" i="1"/>
  <c r="O4095" i="1"/>
  <c r="Q4095" i="1"/>
  <c r="R4095" i="1"/>
  <c r="W4095" i="1"/>
  <c r="AA4095" i="1"/>
  <c r="AM4095" i="1"/>
  <c r="AN4095" i="1"/>
  <c r="AO4095" i="1"/>
  <c r="AQ4095" i="1"/>
  <c r="BB4095" i="1"/>
  <c r="BD4095" i="1"/>
  <c r="B4096" i="1"/>
  <c r="C4096" i="1"/>
  <c r="E4096" i="1"/>
  <c r="F4096" i="1"/>
  <c r="G4096" i="1"/>
  <c r="H4096" i="1"/>
  <c r="I4096" i="1"/>
  <c r="J4096" i="1"/>
  <c r="K4096" i="1"/>
  <c r="M4096" i="1"/>
  <c r="O4096" i="1"/>
  <c r="Q4096" i="1"/>
  <c r="R4096" i="1"/>
  <c r="W4096" i="1"/>
  <c r="AA4096" i="1"/>
  <c r="AM4096" i="1"/>
  <c r="AN4096" i="1"/>
  <c r="AO4096" i="1"/>
  <c r="AQ4096" i="1"/>
  <c r="BB4096" i="1"/>
  <c r="BD4096" i="1"/>
  <c r="B4097" i="1"/>
  <c r="C4097" i="1"/>
  <c r="E4097" i="1"/>
  <c r="F4097" i="1"/>
  <c r="G4097" i="1"/>
  <c r="H4097" i="1"/>
  <c r="I4097" i="1"/>
  <c r="J4097" i="1"/>
  <c r="K4097" i="1"/>
  <c r="M4097" i="1"/>
  <c r="O4097" i="1"/>
  <c r="Q4097" i="1"/>
  <c r="R4097" i="1"/>
  <c r="W4097" i="1"/>
  <c r="AA4097" i="1"/>
  <c r="AM4097" i="1"/>
  <c r="AN4097" i="1"/>
  <c r="AO4097" i="1"/>
  <c r="AQ4097" i="1"/>
  <c r="BB4097" i="1"/>
  <c r="BD4097" i="1"/>
  <c r="B4098" i="1"/>
  <c r="C4098" i="1"/>
  <c r="E4098" i="1"/>
  <c r="F4098" i="1"/>
  <c r="G4098" i="1"/>
  <c r="H4098" i="1"/>
  <c r="I4098" i="1"/>
  <c r="J4098" i="1"/>
  <c r="K4098" i="1"/>
  <c r="M4098" i="1"/>
  <c r="O4098" i="1"/>
  <c r="Q4098" i="1"/>
  <c r="R4098" i="1"/>
  <c r="W4098" i="1"/>
  <c r="AA4098" i="1"/>
  <c r="AB4098" i="1"/>
  <c r="AE4098" i="1"/>
  <c r="AF4098" i="1"/>
  <c r="AM4098" i="1"/>
  <c r="AN4098" i="1"/>
  <c r="AO4098" i="1"/>
  <c r="AQ4098" i="1"/>
  <c r="AX4098" i="1"/>
  <c r="BD4098" i="1"/>
  <c r="B4099" i="1"/>
  <c r="C4099" i="1"/>
  <c r="E4099" i="1"/>
  <c r="F4099" i="1"/>
  <c r="G4099" i="1"/>
  <c r="H4099" i="1"/>
  <c r="I4099" i="1"/>
  <c r="J4099" i="1"/>
  <c r="K4099" i="1"/>
  <c r="M4099" i="1"/>
  <c r="O4099" i="1"/>
  <c r="Q4099" i="1"/>
  <c r="R4099" i="1"/>
  <c r="W4099" i="1"/>
  <c r="AA4099" i="1"/>
  <c r="AM4099" i="1"/>
  <c r="AN4099" i="1"/>
  <c r="AO4099" i="1"/>
  <c r="AQ4099" i="1"/>
  <c r="BB4099" i="1"/>
  <c r="BD4099" i="1"/>
  <c r="B4100" i="1"/>
  <c r="C4100" i="1"/>
  <c r="E4100" i="1"/>
  <c r="F4100" i="1"/>
  <c r="G4100" i="1"/>
  <c r="H4100" i="1"/>
  <c r="I4100" i="1"/>
  <c r="J4100" i="1"/>
  <c r="K4100" i="1"/>
  <c r="M4100" i="1"/>
  <c r="O4100" i="1"/>
  <c r="Q4100" i="1"/>
  <c r="R4100" i="1"/>
  <c r="W4100" i="1"/>
  <c r="AA4100" i="1"/>
  <c r="AM4100" i="1"/>
  <c r="AN4100" i="1"/>
  <c r="AO4100" i="1"/>
  <c r="AQ4100" i="1"/>
  <c r="BB4100" i="1"/>
  <c r="BD4100" i="1"/>
  <c r="B4101" i="1"/>
  <c r="C4101" i="1"/>
  <c r="E4101" i="1"/>
  <c r="F4101" i="1"/>
  <c r="G4101" i="1"/>
  <c r="H4101" i="1"/>
  <c r="I4101" i="1"/>
  <c r="J4101" i="1"/>
  <c r="K4101" i="1"/>
  <c r="M4101" i="1"/>
  <c r="O4101" i="1"/>
  <c r="Q4101" i="1"/>
  <c r="R4101" i="1"/>
  <c r="W4101" i="1"/>
  <c r="AA4101" i="1"/>
  <c r="AB4101" i="1"/>
  <c r="AM4101" i="1"/>
  <c r="AN4101" i="1"/>
  <c r="AO4101" i="1"/>
  <c r="AQ4101" i="1"/>
  <c r="AX4101" i="1"/>
  <c r="BD4101" i="1"/>
  <c r="B4102" i="1"/>
  <c r="C4102" i="1"/>
  <c r="D4102" i="1"/>
  <c r="E4102" i="1"/>
  <c r="F4102" i="1"/>
  <c r="G4102" i="1"/>
  <c r="H4102" i="1"/>
  <c r="I4102" i="1"/>
  <c r="J4102" i="1"/>
  <c r="K4102" i="1"/>
  <c r="M4102" i="1"/>
  <c r="O4102" i="1"/>
  <c r="Q4102" i="1"/>
  <c r="R4102" i="1"/>
  <c r="W4102" i="1"/>
  <c r="AA4102" i="1"/>
  <c r="AB4102" i="1"/>
  <c r="AE4102" i="1"/>
  <c r="AF4102" i="1"/>
  <c r="AM4102" i="1"/>
  <c r="AN4102" i="1"/>
  <c r="AO4102" i="1"/>
  <c r="AQ4102" i="1"/>
  <c r="AX4102" i="1"/>
  <c r="BD4102" i="1"/>
  <c r="B4103" i="1"/>
  <c r="C4103" i="1"/>
  <c r="D4103" i="1"/>
  <c r="E4103" i="1"/>
  <c r="F4103" i="1"/>
  <c r="G4103" i="1"/>
  <c r="H4103" i="1"/>
  <c r="I4103" i="1"/>
  <c r="J4103" i="1"/>
  <c r="K4103" i="1"/>
  <c r="M4103" i="1"/>
  <c r="O4103" i="1"/>
  <c r="Q4103" i="1"/>
  <c r="R4103" i="1"/>
  <c r="W4103" i="1"/>
  <c r="AA4103" i="1"/>
  <c r="AB4103" i="1"/>
  <c r="AE4103" i="1"/>
  <c r="AF4103" i="1"/>
  <c r="AM4103" i="1"/>
  <c r="AN4103" i="1"/>
  <c r="AO4103" i="1"/>
  <c r="AQ4103" i="1"/>
  <c r="AX4103" i="1"/>
  <c r="BD4103" i="1"/>
  <c r="B4104" i="1"/>
  <c r="C4104" i="1"/>
  <c r="D4104" i="1"/>
  <c r="E4104" i="1"/>
  <c r="F4104" i="1"/>
  <c r="G4104" i="1"/>
  <c r="H4104" i="1"/>
  <c r="I4104" i="1"/>
  <c r="J4104" i="1"/>
  <c r="K4104" i="1"/>
  <c r="M4104" i="1"/>
  <c r="O4104" i="1"/>
  <c r="Q4104" i="1"/>
  <c r="R4104" i="1"/>
  <c r="W4104" i="1"/>
  <c r="AA4104" i="1"/>
  <c r="AB4104" i="1"/>
  <c r="AE4104" i="1"/>
  <c r="AF4104" i="1"/>
  <c r="AM4104" i="1"/>
  <c r="AN4104" i="1"/>
  <c r="AO4104" i="1"/>
  <c r="AQ4104" i="1"/>
  <c r="AX4104" i="1"/>
  <c r="BD4104" i="1"/>
  <c r="B4105" i="1"/>
  <c r="C4105" i="1"/>
  <c r="D4105" i="1"/>
  <c r="E4105" i="1"/>
  <c r="F4105" i="1"/>
  <c r="G4105" i="1"/>
  <c r="H4105" i="1"/>
  <c r="I4105" i="1"/>
  <c r="J4105" i="1"/>
  <c r="K4105" i="1"/>
  <c r="M4105" i="1"/>
  <c r="O4105" i="1"/>
  <c r="Q4105" i="1"/>
  <c r="R4105" i="1"/>
  <c r="W4105" i="1"/>
  <c r="AA4105" i="1"/>
  <c r="AB4105" i="1"/>
  <c r="AE4105" i="1"/>
  <c r="AF4105" i="1"/>
  <c r="AM4105" i="1"/>
  <c r="AN4105" i="1"/>
  <c r="AO4105" i="1"/>
  <c r="AQ4105" i="1"/>
  <c r="AX4105" i="1"/>
  <c r="BD4105" i="1"/>
  <c r="B4106" i="1"/>
  <c r="C4106" i="1"/>
  <c r="D4106" i="1"/>
  <c r="E4106" i="1"/>
  <c r="F4106" i="1"/>
  <c r="G4106" i="1"/>
  <c r="H4106" i="1"/>
  <c r="I4106" i="1"/>
  <c r="J4106" i="1"/>
  <c r="K4106" i="1"/>
  <c r="M4106" i="1"/>
  <c r="O4106" i="1"/>
  <c r="Q4106" i="1"/>
  <c r="R4106" i="1"/>
  <c r="W4106" i="1"/>
  <c r="AA4106" i="1"/>
  <c r="AB4106" i="1"/>
  <c r="AE4106" i="1"/>
  <c r="AF4106" i="1"/>
  <c r="AM4106" i="1"/>
  <c r="AN4106" i="1"/>
  <c r="AO4106" i="1"/>
  <c r="AQ4106" i="1"/>
  <c r="AX4106" i="1"/>
  <c r="BD4106" i="1"/>
  <c r="B4107" i="1"/>
  <c r="C4107" i="1"/>
  <c r="D4107" i="1"/>
  <c r="E4107" i="1"/>
  <c r="F4107" i="1"/>
  <c r="G4107" i="1"/>
  <c r="H4107" i="1"/>
  <c r="I4107" i="1"/>
  <c r="J4107" i="1"/>
  <c r="K4107" i="1"/>
  <c r="M4107" i="1"/>
  <c r="O4107" i="1"/>
  <c r="Q4107" i="1"/>
  <c r="R4107" i="1"/>
  <c r="W4107" i="1"/>
  <c r="AA4107" i="1"/>
  <c r="AB4107" i="1"/>
  <c r="AE4107" i="1"/>
  <c r="AF4107" i="1"/>
  <c r="AM4107" i="1"/>
  <c r="AN4107" i="1"/>
  <c r="AO4107" i="1"/>
  <c r="AQ4107" i="1"/>
  <c r="AX4107" i="1"/>
  <c r="BD4107" i="1"/>
  <c r="B4108" i="1"/>
  <c r="C4108" i="1"/>
  <c r="D4108" i="1"/>
  <c r="E4108" i="1"/>
  <c r="F4108" i="1"/>
  <c r="G4108" i="1"/>
  <c r="H4108" i="1"/>
  <c r="I4108" i="1"/>
  <c r="J4108" i="1"/>
  <c r="K4108" i="1"/>
  <c r="M4108" i="1"/>
  <c r="O4108" i="1"/>
  <c r="Q4108" i="1"/>
  <c r="R4108" i="1"/>
  <c r="W4108" i="1"/>
  <c r="AA4108" i="1"/>
  <c r="AB4108" i="1"/>
  <c r="AE4108" i="1"/>
  <c r="AF4108" i="1"/>
  <c r="AM4108" i="1"/>
  <c r="AN4108" i="1"/>
  <c r="AO4108" i="1"/>
  <c r="AQ4108" i="1"/>
  <c r="AX4108" i="1"/>
  <c r="BD4108" i="1"/>
  <c r="B4109" i="1"/>
  <c r="C4109" i="1"/>
  <c r="E4109" i="1"/>
  <c r="F4109" i="1"/>
  <c r="G4109" i="1"/>
  <c r="H4109" i="1"/>
  <c r="I4109" i="1"/>
  <c r="J4109" i="1"/>
  <c r="K4109" i="1"/>
  <c r="M4109" i="1"/>
  <c r="O4109" i="1"/>
  <c r="Q4109" i="1"/>
  <c r="R4109" i="1"/>
  <c r="W4109" i="1"/>
  <c r="AA4109" i="1"/>
  <c r="AM4109" i="1"/>
  <c r="AN4109" i="1"/>
  <c r="AO4109" i="1"/>
  <c r="AQ4109" i="1"/>
  <c r="BB4109" i="1"/>
  <c r="BD4109" i="1"/>
  <c r="B4110" i="1"/>
  <c r="C4110" i="1"/>
  <c r="E4110" i="1"/>
  <c r="F4110" i="1"/>
  <c r="G4110" i="1"/>
  <c r="H4110" i="1"/>
  <c r="I4110" i="1"/>
  <c r="J4110" i="1"/>
  <c r="K4110" i="1"/>
  <c r="M4110" i="1"/>
  <c r="O4110" i="1"/>
  <c r="Q4110" i="1"/>
  <c r="R4110" i="1"/>
  <c r="W4110" i="1"/>
  <c r="AA4110" i="1"/>
  <c r="AM4110" i="1"/>
  <c r="AN4110" i="1"/>
  <c r="AO4110" i="1"/>
  <c r="AQ4110" i="1"/>
  <c r="BB4110" i="1"/>
  <c r="BD4110" i="1"/>
  <c r="B4111" i="1"/>
  <c r="C4111" i="1"/>
  <c r="E4111" i="1"/>
  <c r="F4111" i="1"/>
  <c r="G4111" i="1"/>
  <c r="H4111" i="1"/>
  <c r="I4111" i="1"/>
  <c r="J4111" i="1"/>
  <c r="K4111" i="1"/>
  <c r="M4111" i="1"/>
  <c r="O4111" i="1"/>
  <c r="Q4111" i="1"/>
  <c r="R4111" i="1"/>
  <c r="W4111" i="1"/>
  <c r="AA4111" i="1"/>
  <c r="AM4111" i="1"/>
  <c r="AN4111" i="1"/>
  <c r="AO4111" i="1"/>
  <c r="AQ4111" i="1"/>
  <c r="BB4111" i="1"/>
  <c r="BD4111" i="1"/>
  <c r="B4112" i="1"/>
  <c r="C4112" i="1"/>
  <c r="E4112" i="1"/>
  <c r="F4112" i="1"/>
  <c r="G4112" i="1"/>
  <c r="H4112" i="1"/>
  <c r="I4112" i="1"/>
  <c r="J4112" i="1"/>
  <c r="K4112" i="1"/>
  <c r="M4112" i="1"/>
  <c r="O4112" i="1"/>
  <c r="Q4112" i="1"/>
  <c r="R4112" i="1"/>
  <c r="W4112" i="1"/>
  <c r="AA4112" i="1"/>
  <c r="AM4112" i="1"/>
  <c r="AN4112" i="1"/>
  <c r="AO4112" i="1"/>
  <c r="AQ4112" i="1"/>
  <c r="BB4112" i="1"/>
  <c r="BD4112" i="1"/>
  <c r="B4113" i="1"/>
  <c r="C4113" i="1"/>
  <c r="E4113" i="1"/>
  <c r="F4113" i="1"/>
  <c r="G4113" i="1"/>
  <c r="H4113" i="1"/>
  <c r="I4113" i="1"/>
  <c r="J4113" i="1"/>
  <c r="K4113" i="1"/>
  <c r="M4113" i="1"/>
  <c r="O4113" i="1"/>
  <c r="Q4113" i="1"/>
  <c r="R4113" i="1"/>
  <c r="W4113" i="1"/>
  <c r="AA4113" i="1"/>
  <c r="AM4113" i="1"/>
  <c r="AN4113" i="1"/>
  <c r="AO4113" i="1"/>
  <c r="AQ4113" i="1"/>
  <c r="BB4113" i="1"/>
  <c r="BD4113" i="1"/>
  <c r="B4114" i="1"/>
  <c r="C4114" i="1"/>
  <c r="E4114" i="1"/>
  <c r="F4114" i="1"/>
  <c r="G4114" i="1"/>
  <c r="H4114" i="1"/>
  <c r="I4114" i="1"/>
  <c r="J4114" i="1"/>
  <c r="K4114" i="1"/>
  <c r="M4114" i="1"/>
  <c r="O4114" i="1"/>
  <c r="Q4114" i="1"/>
  <c r="R4114" i="1"/>
  <c r="W4114" i="1"/>
  <c r="AA4114" i="1"/>
  <c r="AM4114" i="1"/>
  <c r="AN4114" i="1"/>
  <c r="AO4114" i="1"/>
  <c r="AQ4114" i="1"/>
  <c r="BB4114" i="1"/>
  <c r="BD4114" i="1"/>
  <c r="B4115" i="1"/>
  <c r="C4115" i="1"/>
  <c r="E4115" i="1"/>
  <c r="F4115" i="1"/>
  <c r="G4115" i="1"/>
  <c r="H4115" i="1"/>
  <c r="I4115" i="1"/>
  <c r="J4115" i="1"/>
  <c r="K4115" i="1"/>
  <c r="M4115" i="1"/>
  <c r="O4115" i="1"/>
  <c r="Q4115" i="1"/>
  <c r="R4115" i="1"/>
  <c r="W4115" i="1"/>
  <c r="AA4115" i="1"/>
  <c r="AM4115" i="1"/>
  <c r="AN4115" i="1"/>
  <c r="AO4115" i="1"/>
  <c r="AQ4115" i="1"/>
  <c r="BB4115" i="1"/>
  <c r="BD4115" i="1"/>
  <c r="B4116" i="1"/>
  <c r="C4116" i="1"/>
  <c r="E4116" i="1"/>
  <c r="F4116" i="1"/>
  <c r="G4116" i="1"/>
  <c r="H4116" i="1"/>
  <c r="I4116" i="1"/>
  <c r="J4116" i="1"/>
  <c r="K4116" i="1"/>
  <c r="M4116" i="1"/>
  <c r="O4116" i="1"/>
  <c r="Q4116" i="1"/>
  <c r="R4116" i="1"/>
  <c r="W4116" i="1"/>
  <c r="AA4116" i="1"/>
  <c r="AM4116" i="1"/>
  <c r="AN4116" i="1"/>
  <c r="AO4116" i="1"/>
  <c r="AQ4116" i="1"/>
  <c r="BB4116" i="1"/>
  <c r="BD4116" i="1"/>
  <c r="B4117" i="1"/>
  <c r="E4117" i="1"/>
  <c r="F4117" i="1"/>
  <c r="G4117" i="1"/>
  <c r="H4117" i="1"/>
  <c r="I4117" i="1"/>
  <c r="J4117" i="1"/>
  <c r="K4117" i="1"/>
  <c r="M4117" i="1"/>
  <c r="O4117" i="1"/>
  <c r="Q4117" i="1"/>
  <c r="R4117" i="1"/>
  <c r="W4117" i="1"/>
  <c r="AA4117" i="1"/>
  <c r="AM4117" i="1"/>
  <c r="AN4117" i="1"/>
  <c r="AO4117" i="1"/>
  <c r="AQ4117" i="1"/>
  <c r="BB4117" i="1"/>
  <c r="BD4117" i="1"/>
  <c r="B4118" i="1"/>
  <c r="E4118" i="1"/>
  <c r="F4118" i="1"/>
  <c r="G4118" i="1"/>
  <c r="H4118" i="1"/>
  <c r="I4118" i="1"/>
  <c r="J4118" i="1"/>
  <c r="K4118" i="1"/>
  <c r="M4118" i="1"/>
  <c r="O4118" i="1"/>
  <c r="Q4118" i="1"/>
  <c r="R4118" i="1"/>
  <c r="W4118" i="1"/>
  <c r="AA4118" i="1"/>
  <c r="AM4118" i="1"/>
  <c r="AN4118" i="1"/>
  <c r="AO4118" i="1"/>
  <c r="AQ4118" i="1"/>
  <c r="BB4118" i="1"/>
  <c r="BD4118" i="1"/>
  <c r="B4119" i="1"/>
  <c r="E4119" i="1"/>
  <c r="F4119" i="1"/>
  <c r="G4119" i="1"/>
  <c r="H4119" i="1"/>
  <c r="I4119" i="1"/>
  <c r="J4119" i="1"/>
  <c r="K4119" i="1"/>
  <c r="M4119" i="1"/>
  <c r="O4119" i="1"/>
  <c r="Q4119" i="1"/>
  <c r="R4119" i="1"/>
  <c r="W4119" i="1"/>
  <c r="AA4119" i="1"/>
  <c r="AB4119" i="1"/>
  <c r="AM4119" i="1"/>
  <c r="AN4119" i="1"/>
  <c r="AO4119" i="1"/>
  <c r="AQ4119" i="1"/>
  <c r="AX4119" i="1"/>
  <c r="BD4119" i="1"/>
  <c r="B4120" i="1"/>
  <c r="C4120" i="1"/>
  <c r="D4120" i="1"/>
  <c r="E4120" i="1"/>
  <c r="F4120" i="1"/>
  <c r="G4120" i="1"/>
  <c r="H4120" i="1"/>
  <c r="I4120" i="1"/>
  <c r="J4120" i="1"/>
  <c r="K4120" i="1"/>
  <c r="M4120" i="1"/>
  <c r="O4120" i="1"/>
  <c r="Q4120" i="1"/>
  <c r="R4120" i="1"/>
  <c r="W4120" i="1"/>
  <c r="AA4120" i="1"/>
  <c r="AB4120" i="1"/>
  <c r="AE4120" i="1"/>
  <c r="AF4120" i="1"/>
  <c r="AM4120" i="1"/>
  <c r="AN4120" i="1"/>
  <c r="AO4120" i="1"/>
  <c r="AQ4120" i="1"/>
  <c r="AX4120" i="1"/>
  <c r="BD4120" i="1"/>
  <c r="B4121" i="1"/>
  <c r="C4121" i="1"/>
  <c r="D4121" i="1"/>
  <c r="E4121" i="1"/>
  <c r="F4121" i="1"/>
  <c r="G4121" i="1"/>
  <c r="H4121" i="1"/>
  <c r="I4121" i="1"/>
  <c r="J4121" i="1"/>
  <c r="K4121" i="1"/>
  <c r="M4121" i="1"/>
  <c r="O4121" i="1"/>
  <c r="Q4121" i="1"/>
  <c r="R4121" i="1"/>
  <c r="W4121" i="1"/>
  <c r="AA4121" i="1"/>
  <c r="AB4121" i="1"/>
  <c r="AE4121" i="1"/>
  <c r="AF4121" i="1"/>
  <c r="AM4121" i="1"/>
  <c r="AN4121" i="1"/>
  <c r="AO4121" i="1"/>
  <c r="AQ4121" i="1"/>
  <c r="AX4121" i="1"/>
  <c r="BD4121" i="1"/>
  <c r="B4122" i="1"/>
  <c r="C4122" i="1"/>
  <c r="D4122" i="1"/>
  <c r="E4122" i="1"/>
  <c r="F4122" i="1"/>
  <c r="G4122" i="1"/>
  <c r="H4122" i="1"/>
  <c r="I4122" i="1"/>
  <c r="J4122" i="1"/>
  <c r="K4122" i="1"/>
  <c r="M4122" i="1"/>
  <c r="O4122" i="1"/>
  <c r="Q4122" i="1"/>
  <c r="R4122" i="1"/>
  <c r="W4122" i="1"/>
  <c r="AA4122" i="1"/>
  <c r="AB4122" i="1"/>
  <c r="AE4122" i="1"/>
  <c r="AF4122" i="1"/>
  <c r="AM4122" i="1"/>
  <c r="AN4122" i="1"/>
  <c r="AO4122" i="1"/>
  <c r="AQ4122" i="1"/>
  <c r="AX4122" i="1"/>
  <c r="BD4122" i="1"/>
  <c r="B4123" i="1"/>
  <c r="C4123" i="1"/>
  <c r="D4123" i="1"/>
  <c r="E4123" i="1"/>
  <c r="F4123" i="1"/>
  <c r="G4123" i="1"/>
  <c r="H4123" i="1"/>
  <c r="I4123" i="1"/>
  <c r="J4123" i="1"/>
  <c r="K4123" i="1"/>
  <c r="M4123" i="1"/>
  <c r="O4123" i="1"/>
  <c r="Q4123" i="1"/>
  <c r="R4123" i="1"/>
  <c r="W4123" i="1"/>
  <c r="AA4123" i="1"/>
  <c r="AB4123" i="1"/>
  <c r="AE4123" i="1"/>
  <c r="AF4123" i="1"/>
  <c r="AM4123" i="1"/>
  <c r="AN4123" i="1"/>
  <c r="AO4123" i="1"/>
  <c r="AQ4123" i="1"/>
  <c r="AX4123" i="1"/>
  <c r="BD4123" i="1"/>
  <c r="B4124" i="1"/>
  <c r="C4124" i="1"/>
  <c r="D4124" i="1"/>
  <c r="E4124" i="1"/>
  <c r="F4124" i="1"/>
  <c r="G4124" i="1"/>
  <c r="H4124" i="1"/>
  <c r="I4124" i="1"/>
  <c r="J4124" i="1"/>
  <c r="K4124" i="1"/>
  <c r="M4124" i="1"/>
  <c r="O4124" i="1"/>
  <c r="Q4124" i="1"/>
  <c r="R4124" i="1"/>
  <c r="W4124" i="1"/>
  <c r="AA4124" i="1"/>
  <c r="AB4124" i="1"/>
  <c r="AE4124" i="1"/>
  <c r="AF4124" i="1"/>
  <c r="AM4124" i="1"/>
  <c r="AN4124" i="1"/>
  <c r="AO4124" i="1"/>
  <c r="AQ4124" i="1"/>
  <c r="AX4124" i="1"/>
  <c r="BD4124" i="1"/>
  <c r="B4125" i="1"/>
  <c r="C4125" i="1"/>
  <c r="D4125" i="1"/>
  <c r="E4125" i="1"/>
  <c r="F4125" i="1"/>
  <c r="G4125" i="1"/>
  <c r="H4125" i="1"/>
  <c r="I4125" i="1"/>
  <c r="J4125" i="1"/>
  <c r="K4125" i="1"/>
  <c r="M4125" i="1"/>
  <c r="O4125" i="1"/>
  <c r="Q4125" i="1"/>
  <c r="R4125" i="1"/>
  <c r="W4125" i="1"/>
  <c r="AA4125" i="1"/>
  <c r="AB4125" i="1"/>
  <c r="AE4125" i="1"/>
  <c r="AF4125" i="1"/>
  <c r="AM4125" i="1"/>
  <c r="AN4125" i="1"/>
  <c r="AO4125" i="1"/>
  <c r="AQ4125" i="1"/>
  <c r="AX4125" i="1"/>
  <c r="BD4125" i="1"/>
  <c r="B4126" i="1"/>
  <c r="E4126" i="1"/>
  <c r="F4126" i="1"/>
  <c r="G4126" i="1"/>
  <c r="H4126" i="1"/>
  <c r="I4126" i="1"/>
  <c r="J4126" i="1"/>
  <c r="K4126" i="1"/>
  <c r="M4126" i="1"/>
  <c r="O4126" i="1"/>
  <c r="Q4126" i="1"/>
  <c r="R4126" i="1"/>
  <c r="W4126" i="1"/>
  <c r="AA4126" i="1"/>
  <c r="AB4126" i="1"/>
  <c r="AM4126" i="1"/>
  <c r="AN4126" i="1"/>
  <c r="AO4126" i="1"/>
  <c r="AQ4126" i="1"/>
  <c r="AX4126" i="1"/>
  <c r="BD4126" i="1"/>
  <c r="B4127" i="1"/>
  <c r="C4127" i="1"/>
  <c r="E4127" i="1"/>
  <c r="F4127" i="1"/>
  <c r="G4127" i="1"/>
  <c r="H4127" i="1"/>
  <c r="I4127" i="1"/>
  <c r="J4127" i="1"/>
  <c r="K4127" i="1"/>
  <c r="M4127" i="1"/>
  <c r="O4127" i="1"/>
  <c r="Q4127" i="1"/>
  <c r="R4127" i="1"/>
  <c r="W4127" i="1"/>
  <c r="AA4127" i="1"/>
  <c r="AM4127" i="1"/>
  <c r="AN4127" i="1"/>
  <c r="AO4127" i="1"/>
  <c r="AQ4127" i="1"/>
  <c r="BB4127" i="1"/>
  <c r="BD4127" i="1"/>
  <c r="B4128" i="1"/>
  <c r="C4128" i="1"/>
  <c r="D4128" i="1"/>
  <c r="E4128" i="1"/>
  <c r="F4128" i="1"/>
  <c r="G4128" i="1"/>
  <c r="H4128" i="1"/>
  <c r="I4128" i="1"/>
  <c r="J4128" i="1"/>
  <c r="K4128" i="1"/>
  <c r="M4128" i="1"/>
  <c r="O4128" i="1"/>
  <c r="Q4128" i="1"/>
  <c r="R4128" i="1"/>
  <c r="W4128" i="1"/>
  <c r="AA4128" i="1"/>
  <c r="AB4128" i="1"/>
  <c r="AE4128" i="1"/>
  <c r="AF4128" i="1"/>
  <c r="AM4128" i="1"/>
  <c r="AN4128" i="1"/>
  <c r="AO4128" i="1"/>
  <c r="AQ4128" i="1"/>
  <c r="AX4128" i="1"/>
  <c r="BD4128" i="1"/>
  <c r="B4129" i="1"/>
  <c r="C4129" i="1"/>
  <c r="D4129" i="1"/>
  <c r="E4129" i="1"/>
  <c r="F4129" i="1"/>
  <c r="G4129" i="1"/>
  <c r="H4129" i="1"/>
  <c r="I4129" i="1"/>
  <c r="J4129" i="1"/>
  <c r="K4129" i="1"/>
  <c r="M4129" i="1"/>
  <c r="O4129" i="1"/>
  <c r="Q4129" i="1"/>
  <c r="R4129" i="1"/>
  <c r="W4129" i="1"/>
  <c r="AA4129" i="1"/>
  <c r="AB4129" i="1"/>
  <c r="AE4129" i="1"/>
  <c r="AF4129" i="1"/>
  <c r="AM4129" i="1"/>
  <c r="AN4129" i="1"/>
  <c r="AO4129" i="1"/>
  <c r="AQ4129" i="1"/>
  <c r="AX4129" i="1"/>
  <c r="BD4129" i="1"/>
  <c r="B4130" i="1"/>
  <c r="C4130" i="1"/>
  <c r="D4130" i="1"/>
  <c r="E4130" i="1"/>
  <c r="F4130" i="1"/>
  <c r="G4130" i="1"/>
  <c r="H4130" i="1"/>
  <c r="I4130" i="1"/>
  <c r="J4130" i="1"/>
  <c r="K4130" i="1"/>
  <c r="M4130" i="1"/>
  <c r="O4130" i="1"/>
  <c r="Q4130" i="1"/>
  <c r="R4130" i="1"/>
  <c r="W4130" i="1"/>
  <c r="AA4130" i="1"/>
  <c r="AB4130" i="1"/>
  <c r="AE4130" i="1"/>
  <c r="AF4130" i="1"/>
  <c r="AM4130" i="1"/>
  <c r="AN4130" i="1"/>
  <c r="AO4130" i="1"/>
  <c r="AQ4130" i="1"/>
  <c r="AX4130" i="1"/>
  <c r="BD4130" i="1"/>
  <c r="B4131" i="1"/>
  <c r="C4131" i="1"/>
  <c r="E4131" i="1"/>
  <c r="F4131" i="1"/>
  <c r="G4131" i="1"/>
  <c r="H4131" i="1"/>
  <c r="I4131" i="1"/>
  <c r="J4131" i="1"/>
  <c r="K4131" i="1"/>
  <c r="M4131" i="1"/>
  <c r="O4131" i="1"/>
  <c r="Q4131" i="1"/>
  <c r="R4131" i="1"/>
  <c r="W4131" i="1"/>
  <c r="AA4131" i="1"/>
  <c r="AB4131" i="1"/>
  <c r="AE4131" i="1"/>
  <c r="AF4131" i="1"/>
  <c r="AM4131" i="1"/>
  <c r="AN4131" i="1"/>
  <c r="AO4131" i="1"/>
  <c r="AQ4131" i="1"/>
  <c r="AX4131" i="1"/>
  <c r="BD4131" i="1"/>
  <c r="B4132" i="1"/>
  <c r="C4132" i="1"/>
  <c r="D4132" i="1"/>
  <c r="E4132" i="1"/>
  <c r="F4132" i="1"/>
  <c r="G4132" i="1"/>
  <c r="H4132" i="1"/>
  <c r="I4132" i="1"/>
  <c r="J4132" i="1"/>
  <c r="K4132" i="1"/>
  <c r="M4132" i="1"/>
  <c r="O4132" i="1"/>
  <c r="Q4132" i="1"/>
  <c r="R4132" i="1"/>
  <c r="W4132" i="1"/>
  <c r="AA4132" i="1"/>
  <c r="AB4132" i="1"/>
  <c r="AE4132" i="1"/>
  <c r="AF4132" i="1"/>
  <c r="AM4132" i="1"/>
  <c r="AN4132" i="1"/>
  <c r="AO4132" i="1"/>
  <c r="AQ4132" i="1"/>
  <c r="AX4132" i="1"/>
  <c r="BD4132" i="1"/>
  <c r="B4133" i="1"/>
  <c r="C4133" i="1"/>
  <c r="D4133" i="1"/>
  <c r="E4133" i="1"/>
  <c r="F4133" i="1"/>
  <c r="G4133" i="1"/>
  <c r="H4133" i="1"/>
  <c r="I4133" i="1"/>
  <c r="J4133" i="1"/>
  <c r="K4133" i="1"/>
  <c r="M4133" i="1"/>
  <c r="O4133" i="1"/>
  <c r="Q4133" i="1"/>
  <c r="R4133" i="1"/>
  <c r="W4133" i="1"/>
  <c r="AA4133" i="1"/>
  <c r="AB4133" i="1"/>
  <c r="AM4133" i="1"/>
  <c r="AN4133" i="1"/>
  <c r="AO4133" i="1"/>
  <c r="AQ4133" i="1"/>
  <c r="AX4133" i="1"/>
  <c r="BD4133" i="1"/>
  <c r="B4134" i="1"/>
  <c r="C4134" i="1"/>
  <c r="E4134" i="1"/>
  <c r="F4134" i="1"/>
  <c r="G4134" i="1"/>
  <c r="H4134" i="1"/>
  <c r="I4134" i="1"/>
  <c r="J4134" i="1"/>
  <c r="K4134" i="1"/>
  <c r="M4134" i="1"/>
  <c r="O4134" i="1"/>
  <c r="Q4134" i="1"/>
  <c r="R4134" i="1"/>
  <c r="W4134" i="1"/>
  <c r="AA4134" i="1"/>
  <c r="AB4134" i="1"/>
  <c r="AE4134" i="1"/>
  <c r="AF4134" i="1"/>
  <c r="AM4134" i="1"/>
  <c r="AN4134" i="1"/>
  <c r="AO4134" i="1"/>
  <c r="AQ4134" i="1"/>
  <c r="AX4134" i="1"/>
  <c r="BD4134" i="1"/>
  <c r="B4135" i="1"/>
  <c r="E4135" i="1"/>
  <c r="F4135" i="1"/>
  <c r="G4135" i="1"/>
  <c r="H4135" i="1"/>
  <c r="I4135" i="1"/>
  <c r="J4135" i="1"/>
  <c r="K4135" i="1"/>
  <c r="M4135" i="1"/>
  <c r="O4135" i="1"/>
  <c r="Q4135" i="1"/>
  <c r="R4135" i="1"/>
  <c r="W4135" i="1"/>
  <c r="AA4135" i="1"/>
  <c r="AB4135" i="1"/>
  <c r="AM4135" i="1"/>
  <c r="AN4135" i="1"/>
  <c r="AO4135" i="1"/>
  <c r="AQ4135" i="1"/>
  <c r="AX4135" i="1"/>
  <c r="BD4135" i="1"/>
  <c r="B4136" i="1"/>
  <c r="E4136" i="1"/>
  <c r="F4136" i="1"/>
  <c r="G4136" i="1"/>
  <c r="H4136" i="1"/>
  <c r="I4136" i="1"/>
  <c r="J4136" i="1"/>
  <c r="K4136" i="1"/>
  <c r="M4136" i="1"/>
  <c r="O4136" i="1"/>
  <c r="Q4136" i="1"/>
  <c r="R4136" i="1"/>
  <c r="W4136" i="1"/>
  <c r="AA4136" i="1"/>
  <c r="AB4136" i="1"/>
  <c r="AM4136" i="1"/>
  <c r="AN4136" i="1"/>
  <c r="AO4136" i="1"/>
  <c r="AQ4136" i="1"/>
  <c r="AX4136" i="1"/>
  <c r="BD4136" i="1"/>
  <c r="B4137" i="1"/>
  <c r="C4137" i="1"/>
  <c r="D4137" i="1"/>
  <c r="E4137" i="1"/>
  <c r="F4137" i="1"/>
  <c r="G4137" i="1"/>
  <c r="H4137" i="1"/>
  <c r="I4137" i="1"/>
  <c r="J4137" i="1"/>
  <c r="K4137" i="1"/>
  <c r="M4137" i="1"/>
  <c r="O4137" i="1"/>
  <c r="Q4137" i="1"/>
  <c r="R4137" i="1"/>
  <c r="W4137" i="1"/>
  <c r="AA4137" i="1"/>
  <c r="AB4137" i="1"/>
  <c r="AE4137" i="1"/>
  <c r="AF4137" i="1"/>
  <c r="AM4137" i="1"/>
  <c r="AN4137" i="1"/>
  <c r="AO4137" i="1"/>
  <c r="AQ4137" i="1"/>
  <c r="AX4137" i="1"/>
  <c r="BD4137" i="1"/>
  <c r="B4138" i="1"/>
  <c r="C4138" i="1"/>
  <c r="D4138" i="1"/>
  <c r="E4138" i="1"/>
  <c r="F4138" i="1"/>
  <c r="G4138" i="1"/>
  <c r="H4138" i="1"/>
  <c r="I4138" i="1"/>
  <c r="J4138" i="1"/>
  <c r="K4138" i="1"/>
  <c r="M4138" i="1"/>
  <c r="O4138" i="1"/>
  <c r="Q4138" i="1"/>
  <c r="R4138" i="1"/>
  <c r="W4138" i="1"/>
  <c r="AA4138" i="1"/>
  <c r="AB4138" i="1"/>
  <c r="AE4138" i="1"/>
  <c r="AF4138" i="1"/>
  <c r="AM4138" i="1"/>
  <c r="AN4138" i="1"/>
  <c r="AO4138" i="1"/>
  <c r="AQ4138" i="1"/>
  <c r="AX4138" i="1"/>
  <c r="BD4138" i="1"/>
  <c r="B4139" i="1"/>
  <c r="C4139" i="1"/>
  <c r="E4139" i="1"/>
  <c r="F4139" i="1"/>
  <c r="G4139" i="1"/>
  <c r="H4139" i="1"/>
  <c r="I4139" i="1"/>
  <c r="J4139" i="1"/>
  <c r="K4139" i="1"/>
  <c r="M4139" i="1"/>
  <c r="O4139" i="1"/>
  <c r="Q4139" i="1"/>
  <c r="R4139" i="1"/>
  <c r="W4139" i="1"/>
  <c r="AA4139" i="1"/>
  <c r="AB4139" i="1"/>
  <c r="AE4139" i="1"/>
  <c r="AF4139" i="1"/>
  <c r="AM4139" i="1"/>
  <c r="AN4139" i="1"/>
  <c r="AO4139" i="1"/>
  <c r="AQ4139" i="1"/>
  <c r="AX4139" i="1"/>
  <c r="BD4139" i="1"/>
  <c r="B4140" i="1"/>
  <c r="C4140" i="1"/>
  <c r="E4140" i="1"/>
  <c r="F4140" i="1"/>
  <c r="G4140" i="1"/>
  <c r="H4140" i="1"/>
  <c r="I4140" i="1"/>
  <c r="J4140" i="1"/>
  <c r="K4140" i="1"/>
  <c r="M4140" i="1"/>
  <c r="O4140" i="1"/>
  <c r="Q4140" i="1"/>
  <c r="R4140" i="1"/>
  <c r="W4140" i="1"/>
  <c r="AA4140" i="1"/>
  <c r="AB4140" i="1"/>
  <c r="AE4140" i="1"/>
  <c r="AF4140" i="1"/>
  <c r="AM4140" i="1"/>
  <c r="AN4140" i="1"/>
  <c r="AO4140" i="1"/>
  <c r="AQ4140" i="1"/>
  <c r="AX4140" i="1"/>
  <c r="BD4140" i="1"/>
  <c r="B4141" i="1"/>
  <c r="C4141" i="1"/>
  <c r="D4141" i="1"/>
  <c r="E4141" i="1"/>
  <c r="F4141" i="1"/>
  <c r="G4141" i="1"/>
  <c r="H4141" i="1"/>
  <c r="I4141" i="1"/>
  <c r="J4141" i="1"/>
  <c r="K4141" i="1"/>
  <c r="M4141" i="1"/>
  <c r="O4141" i="1"/>
  <c r="Q4141" i="1"/>
  <c r="R4141" i="1"/>
  <c r="W4141" i="1"/>
  <c r="AA4141" i="1"/>
  <c r="AB4141" i="1"/>
  <c r="AE4141" i="1"/>
  <c r="AF4141" i="1"/>
  <c r="AM4141" i="1"/>
  <c r="AN4141" i="1"/>
  <c r="AO4141" i="1"/>
  <c r="AQ4141" i="1"/>
  <c r="AX4141" i="1"/>
  <c r="BD4141" i="1"/>
  <c r="B4142" i="1"/>
  <c r="C4142" i="1"/>
  <c r="D4142" i="1"/>
  <c r="E4142" i="1"/>
  <c r="F4142" i="1"/>
  <c r="G4142" i="1"/>
  <c r="H4142" i="1"/>
  <c r="I4142" i="1"/>
  <c r="J4142" i="1"/>
  <c r="K4142" i="1"/>
  <c r="M4142" i="1"/>
  <c r="O4142" i="1"/>
  <c r="Q4142" i="1"/>
  <c r="R4142" i="1"/>
  <c r="W4142" i="1"/>
  <c r="AA4142" i="1"/>
  <c r="AB4142" i="1"/>
  <c r="AE4142" i="1"/>
  <c r="AF4142" i="1"/>
  <c r="AM4142" i="1"/>
  <c r="AN4142" i="1"/>
  <c r="AO4142" i="1"/>
  <c r="AQ4142" i="1"/>
  <c r="AX4142" i="1"/>
  <c r="BD4142" i="1"/>
  <c r="B4143" i="1"/>
  <c r="C4143" i="1"/>
  <c r="D4143" i="1"/>
  <c r="E4143" i="1"/>
  <c r="F4143" i="1"/>
  <c r="G4143" i="1"/>
  <c r="H4143" i="1"/>
  <c r="I4143" i="1"/>
  <c r="J4143" i="1"/>
  <c r="K4143" i="1"/>
  <c r="M4143" i="1"/>
  <c r="O4143" i="1"/>
  <c r="Q4143" i="1"/>
  <c r="R4143" i="1"/>
  <c r="W4143" i="1"/>
  <c r="AA4143" i="1"/>
  <c r="AB4143" i="1"/>
  <c r="AE4143" i="1"/>
  <c r="AF4143" i="1"/>
  <c r="AM4143" i="1"/>
  <c r="AN4143" i="1"/>
  <c r="AO4143" i="1"/>
  <c r="AQ4143" i="1"/>
  <c r="AX4143" i="1"/>
  <c r="BD4143" i="1"/>
  <c r="B4144" i="1"/>
  <c r="C4144" i="1"/>
  <c r="D4144" i="1"/>
  <c r="E4144" i="1"/>
  <c r="F4144" i="1"/>
  <c r="G4144" i="1"/>
  <c r="H4144" i="1"/>
  <c r="I4144" i="1"/>
  <c r="J4144" i="1"/>
  <c r="K4144" i="1"/>
  <c r="M4144" i="1"/>
  <c r="O4144" i="1"/>
  <c r="Q4144" i="1"/>
  <c r="R4144" i="1"/>
  <c r="W4144" i="1"/>
  <c r="AA4144" i="1"/>
  <c r="AB4144" i="1"/>
  <c r="AE4144" i="1"/>
  <c r="AF4144" i="1"/>
  <c r="AM4144" i="1"/>
  <c r="AN4144" i="1"/>
  <c r="AO4144" i="1"/>
  <c r="AQ4144" i="1"/>
  <c r="AX4144" i="1"/>
  <c r="BD4144" i="1"/>
  <c r="B4145" i="1"/>
  <c r="C4145" i="1"/>
  <c r="D4145" i="1"/>
  <c r="E4145" i="1"/>
  <c r="F4145" i="1"/>
  <c r="G4145" i="1"/>
  <c r="H4145" i="1"/>
  <c r="I4145" i="1"/>
  <c r="J4145" i="1"/>
  <c r="K4145" i="1"/>
  <c r="M4145" i="1"/>
  <c r="O4145" i="1"/>
  <c r="Q4145" i="1"/>
  <c r="R4145" i="1"/>
  <c r="W4145" i="1"/>
  <c r="AA4145" i="1"/>
  <c r="AB4145" i="1"/>
  <c r="AE4145" i="1"/>
  <c r="AF4145" i="1"/>
  <c r="AM4145" i="1"/>
  <c r="AN4145" i="1"/>
  <c r="AO4145" i="1"/>
  <c r="AQ4145" i="1"/>
  <c r="AX4145" i="1"/>
  <c r="BD4145" i="1"/>
  <c r="B4146" i="1"/>
  <c r="C4146" i="1"/>
  <c r="D4146" i="1"/>
  <c r="E4146" i="1"/>
  <c r="F4146" i="1"/>
  <c r="G4146" i="1"/>
  <c r="H4146" i="1"/>
  <c r="I4146" i="1"/>
  <c r="J4146" i="1"/>
  <c r="K4146" i="1"/>
  <c r="M4146" i="1"/>
  <c r="O4146" i="1"/>
  <c r="Q4146" i="1"/>
  <c r="R4146" i="1"/>
  <c r="W4146" i="1"/>
  <c r="AA4146" i="1"/>
  <c r="AB4146" i="1"/>
  <c r="AE4146" i="1"/>
  <c r="AF4146" i="1"/>
  <c r="AM4146" i="1"/>
  <c r="AN4146" i="1"/>
  <c r="AO4146" i="1"/>
  <c r="AQ4146" i="1"/>
  <c r="AX4146" i="1"/>
  <c r="BD4146" i="1"/>
  <c r="B4147" i="1"/>
  <c r="C4147" i="1"/>
  <c r="D4147" i="1"/>
  <c r="E4147" i="1"/>
  <c r="F4147" i="1"/>
  <c r="G4147" i="1"/>
  <c r="H4147" i="1"/>
  <c r="I4147" i="1"/>
  <c r="J4147" i="1"/>
  <c r="K4147" i="1"/>
  <c r="M4147" i="1"/>
  <c r="O4147" i="1"/>
  <c r="Q4147" i="1"/>
  <c r="R4147" i="1"/>
  <c r="W4147" i="1"/>
  <c r="AA4147" i="1"/>
  <c r="AB4147" i="1"/>
  <c r="AE4147" i="1"/>
  <c r="AF4147" i="1"/>
  <c r="AM4147" i="1"/>
  <c r="AN4147" i="1"/>
  <c r="AO4147" i="1"/>
  <c r="AQ4147" i="1"/>
  <c r="AX4147" i="1"/>
  <c r="BD4147" i="1"/>
  <c r="B4148" i="1"/>
  <c r="C4148" i="1"/>
  <c r="D4148" i="1"/>
  <c r="E4148" i="1"/>
  <c r="F4148" i="1"/>
  <c r="G4148" i="1"/>
  <c r="H4148" i="1"/>
  <c r="I4148" i="1"/>
  <c r="J4148" i="1"/>
  <c r="K4148" i="1"/>
  <c r="M4148" i="1"/>
  <c r="O4148" i="1"/>
  <c r="Q4148" i="1"/>
  <c r="R4148" i="1"/>
  <c r="W4148" i="1"/>
  <c r="AA4148" i="1"/>
  <c r="AB4148" i="1"/>
  <c r="AE4148" i="1"/>
  <c r="AF4148" i="1"/>
  <c r="AM4148" i="1"/>
  <c r="AN4148" i="1"/>
  <c r="AO4148" i="1"/>
  <c r="AQ4148" i="1"/>
  <c r="AX4148" i="1"/>
  <c r="BD4148" i="1"/>
  <c r="B4149" i="1"/>
  <c r="C4149" i="1"/>
  <c r="D4149" i="1"/>
  <c r="E4149" i="1"/>
  <c r="F4149" i="1"/>
  <c r="G4149" i="1"/>
  <c r="H4149" i="1"/>
  <c r="I4149" i="1"/>
  <c r="J4149" i="1"/>
  <c r="K4149" i="1"/>
  <c r="M4149" i="1"/>
  <c r="O4149" i="1"/>
  <c r="Q4149" i="1"/>
  <c r="R4149" i="1"/>
  <c r="W4149" i="1"/>
  <c r="AA4149" i="1"/>
  <c r="AB4149" i="1"/>
  <c r="AE4149" i="1"/>
  <c r="AF4149" i="1"/>
  <c r="AM4149" i="1"/>
  <c r="AN4149" i="1"/>
  <c r="AO4149" i="1"/>
  <c r="AQ4149" i="1"/>
  <c r="AX4149" i="1"/>
  <c r="BD4149" i="1"/>
  <c r="B4150" i="1"/>
  <c r="C4150" i="1"/>
  <c r="D4150" i="1"/>
  <c r="E4150" i="1"/>
  <c r="F4150" i="1"/>
  <c r="G4150" i="1"/>
  <c r="H4150" i="1"/>
  <c r="I4150" i="1"/>
  <c r="J4150" i="1"/>
  <c r="K4150" i="1"/>
  <c r="M4150" i="1"/>
  <c r="O4150" i="1"/>
  <c r="Q4150" i="1"/>
  <c r="R4150" i="1"/>
  <c r="W4150" i="1"/>
  <c r="AA4150" i="1"/>
  <c r="AB4150" i="1"/>
  <c r="AE4150" i="1"/>
  <c r="AF4150" i="1"/>
  <c r="AM4150" i="1"/>
  <c r="AN4150" i="1"/>
  <c r="AO4150" i="1"/>
  <c r="AQ4150" i="1"/>
  <c r="AX4150" i="1"/>
  <c r="BD4150" i="1"/>
  <c r="B4151" i="1"/>
  <c r="E4151" i="1"/>
  <c r="F4151" i="1"/>
  <c r="G4151" i="1"/>
  <c r="H4151" i="1"/>
  <c r="I4151" i="1"/>
  <c r="J4151" i="1"/>
  <c r="K4151" i="1"/>
  <c r="M4151" i="1"/>
  <c r="O4151" i="1"/>
  <c r="Q4151" i="1"/>
  <c r="R4151" i="1"/>
  <c r="W4151" i="1"/>
  <c r="AA4151" i="1"/>
  <c r="AB4151" i="1"/>
  <c r="AM4151" i="1"/>
  <c r="AN4151" i="1"/>
  <c r="AO4151" i="1"/>
  <c r="AQ4151" i="1"/>
  <c r="AX4151" i="1"/>
  <c r="BD4151" i="1"/>
  <c r="B4152" i="1"/>
  <c r="C4152" i="1"/>
  <c r="D4152" i="1"/>
  <c r="E4152" i="1"/>
  <c r="F4152" i="1"/>
  <c r="G4152" i="1"/>
  <c r="H4152" i="1"/>
  <c r="I4152" i="1"/>
  <c r="J4152" i="1"/>
  <c r="K4152" i="1"/>
  <c r="M4152" i="1"/>
  <c r="O4152" i="1"/>
  <c r="Q4152" i="1"/>
  <c r="R4152" i="1"/>
  <c r="W4152" i="1"/>
  <c r="AA4152" i="1"/>
  <c r="AB4152" i="1"/>
  <c r="AM4152" i="1"/>
  <c r="AN4152" i="1"/>
  <c r="AO4152" i="1"/>
  <c r="AQ4152" i="1"/>
  <c r="AX4152" i="1"/>
  <c r="BD4152" i="1"/>
  <c r="B4153" i="1"/>
  <c r="E4153" i="1"/>
  <c r="F4153" i="1"/>
  <c r="G4153" i="1"/>
  <c r="H4153" i="1"/>
  <c r="I4153" i="1"/>
  <c r="J4153" i="1"/>
  <c r="K4153" i="1"/>
  <c r="M4153" i="1"/>
  <c r="O4153" i="1"/>
  <c r="Q4153" i="1"/>
  <c r="R4153" i="1"/>
  <c r="W4153" i="1"/>
  <c r="AA4153" i="1"/>
  <c r="AB4153" i="1"/>
  <c r="AE4153" i="1"/>
  <c r="AF4153" i="1"/>
  <c r="AM4153" i="1"/>
  <c r="AN4153" i="1"/>
  <c r="AO4153" i="1"/>
  <c r="AQ4153" i="1"/>
  <c r="AX4153" i="1"/>
  <c r="BD4153" i="1"/>
  <c r="B4154" i="1"/>
  <c r="C4154" i="1"/>
  <c r="E4154" i="1"/>
  <c r="F4154" i="1"/>
  <c r="G4154" i="1"/>
  <c r="H4154" i="1"/>
  <c r="I4154" i="1"/>
  <c r="J4154" i="1"/>
  <c r="K4154" i="1"/>
  <c r="M4154" i="1"/>
  <c r="O4154" i="1"/>
  <c r="Q4154" i="1"/>
  <c r="R4154" i="1"/>
  <c r="W4154" i="1"/>
  <c r="AA4154" i="1"/>
  <c r="AM4154" i="1"/>
  <c r="AN4154" i="1"/>
  <c r="AO4154" i="1"/>
  <c r="AQ4154" i="1"/>
  <c r="BB4154" i="1"/>
  <c r="BD4154" i="1"/>
  <c r="B4155" i="1"/>
  <c r="C4155" i="1"/>
  <c r="E4155" i="1"/>
  <c r="F4155" i="1"/>
  <c r="G4155" i="1"/>
  <c r="H4155" i="1"/>
  <c r="I4155" i="1"/>
  <c r="J4155" i="1"/>
  <c r="K4155" i="1"/>
  <c r="M4155" i="1"/>
  <c r="O4155" i="1"/>
  <c r="Q4155" i="1"/>
  <c r="R4155" i="1"/>
  <c r="W4155" i="1"/>
  <c r="AA4155" i="1"/>
  <c r="AM4155" i="1"/>
  <c r="AN4155" i="1"/>
  <c r="AO4155" i="1"/>
  <c r="AQ4155" i="1"/>
  <c r="BB4155" i="1"/>
  <c r="BD4155" i="1"/>
  <c r="B4156" i="1"/>
  <c r="C4156" i="1"/>
  <c r="E4156" i="1"/>
  <c r="F4156" i="1"/>
  <c r="G4156" i="1"/>
  <c r="H4156" i="1"/>
  <c r="I4156" i="1"/>
  <c r="J4156" i="1"/>
  <c r="K4156" i="1"/>
  <c r="M4156" i="1"/>
  <c r="O4156" i="1"/>
  <c r="Q4156" i="1"/>
  <c r="R4156" i="1"/>
  <c r="W4156" i="1"/>
  <c r="AA4156" i="1"/>
  <c r="AM4156" i="1"/>
  <c r="AN4156" i="1"/>
  <c r="AO4156" i="1"/>
  <c r="AQ4156" i="1"/>
  <c r="BB4156" i="1"/>
  <c r="BD4156" i="1"/>
  <c r="B4157" i="1"/>
  <c r="C4157" i="1"/>
  <c r="E4157" i="1"/>
  <c r="F4157" i="1"/>
  <c r="G4157" i="1"/>
  <c r="H4157" i="1"/>
  <c r="I4157" i="1"/>
  <c r="J4157" i="1"/>
  <c r="K4157" i="1"/>
  <c r="M4157" i="1"/>
  <c r="O4157" i="1"/>
  <c r="Q4157" i="1"/>
  <c r="R4157" i="1"/>
  <c r="W4157" i="1"/>
  <c r="AA4157" i="1"/>
  <c r="AM4157" i="1"/>
  <c r="AN4157" i="1"/>
  <c r="AO4157" i="1"/>
  <c r="AQ4157" i="1"/>
  <c r="BB4157" i="1"/>
  <c r="BD4157" i="1"/>
  <c r="B4158" i="1"/>
  <c r="C4158" i="1"/>
  <c r="E4158" i="1"/>
  <c r="F4158" i="1"/>
  <c r="G4158" i="1"/>
  <c r="H4158" i="1"/>
  <c r="I4158" i="1"/>
  <c r="J4158" i="1"/>
  <c r="K4158" i="1"/>
  <c r="M4158" i="1"/>
  <c r="O4158" i="1"/>
  <c r="Q4158" i="1"/>
  <c r="R4158" i="1"/>
  <c r="W4158" i="1"/>
  <c r="AA4158" i="1"/>
  <c r="AB4158" i="1"/>
  <c r="AE4158" i="1"/>
  <c r="AF4158" i="1"/>
  <c r="AM4158" i="1"/>
  <c r="AN4158" i="1"/>
  <c r="AO4158" i="1"/>
  <c r="AQ4158" i="1"/>
  <c r="AX4158" i="1"/>
  <c r="BD4158" i="1"/>
  <c r="B4159" i="1"/>
  <c r="C4159" i="1"/>
  <c r="E4159" i="1"/>
  <c r="F4159" i="1"/>
  <c r="G4159" i="1"/>
  <c r="H4159" i="1"/>
  <c r="I4159" i="1"/>
  <c r="J4159" i="1"/>
  <c r="K4159" i="1"/>
  <c r="M4159" i="1"/>
  <c r="O4159" i="1"/>
  <c r="Q4159" i="1"/>
  <c r="R4159" i="1"/>
  <c r="W4159" i="1"/>
  <c r="AA4159" i="1"/>
  <c r="AB4159" i="1"/>
  <c r="AE4159" i="1"/>
  <c r="AF4159" i="1"/>
  <c r="AM4159" i="1"/>
  <c r="AN4159" i="1"/>
  <c r="AO4159" i="1"/>
  <c r="AQ4159" i="1"/>
  <c r="AX4159" i="1"/>
  <c r="BD4159" i="1"/>
  <c r="B4160" i="1"/>
  <c r="C4160" i="1"/>
  <c r="E4160" i="1"/>
  <c r="F4160" i="1"/>
  <c r="G4160" i="1"/>
  <c r="H4160" i="1"/>
  <c r="I4160" i="1"/>
  <c r="J4160" i="1"/>
  <c r="K4160" i="1"/>
  <c r="M4160" i="1"/>
  <c r="O4160" i="1"/>
  <c r="Q4160" i="1"/>
  <c r="R4160" i="1"/>
  <c r="W4160" i="1"/>
  <c r="AA4160" i="1"/>
  <c r="AB4160" i="1"/>
  <c r="AE4160" i="1"/>
  <c r="AF4160" i="1"/>
  <c r="AM4160" i="1"/>
  <c r="AN4160" i="1"/>
  <c r="AO4160" i="1"/>
  <c r="AQ4160" i="1"/>
  <c r="AX4160" i="1"/>
  <c r="BD4160" i="1"/>
  <c r="B4161" i="1"/>
  <c r="C4161" i="1"/>
  <c r="D4161" i="1"/>
  <c r="E4161" i="1"/>
  <c r="F4161" i="1"/>
  <c r="G4161" i="1"/>
  <c r="H4161" i="1"/>
  <c r="I4161" i="1"/>
  <c r="J4161" i="1"/>
  <c r="K4161" i="1"/>
  <c r="M4161" i="1"/>
  <c r="O4161" i="1"/>
  <c r="Q4161" i="1"/>
  <c r="R4161" i="1"/>
  <c r="W4161" i="1"/>
  <c r="AA4161" i="1"/>
  <c r="AB4161" i="1"/>
  <c r="AE4161" i="1"/>
  <c r="AF4161" i="1"/>
  <c r="AM4161" i="1"/>
  <c r="AN4161" i="1"/>
  <c r="AO4161" i="1"/>
  <c r="AQ4161" i="1"/>
  <c r="AX4161" i="1"/>
  <c r="BD4161" i="1"/>
  <c r="B4162" i="1"/>
  <c r="C4162" i="1"/>
  <c r="D4162" i="1"/>
  <c r="E4162" i="1"/>
  <c r="F4162" i="1"/>
  <c r="G4162" i="1"/>
  <c r="H4162" i="1"/>
  <c r="I4162" i="1"/>
  <c r="J4162" i="1"/>
  <c r="K4162" i="1"/>
  <c r="M4162" i="1"/>
  <c r="O4162" i="1"/>
  <c r="Q4162" i="1"/>
  <c r="R4162" i="1"/>
  <c r="W4162" i="1"/>
  <c r="AA4162" i="1"/>
  <c r="AB4162" i="1"/>
  <c r="AE4162" i="1"/>
  <c r="AF4162" i="1"/>
  <c r="AM4162" i="1"/>
  <c r="AN4162" i="1"/>
  <c r="AO4162" i="1"/>
  <c r="AQ4162" i="1"/>
  <c r="AX4162" i="1"/>
  <c r="BD4162" i="1"/>
  <c r="B4163" i="1"/>
  <c r="C4163" i="1"/>
  <c r="D4163" i="1"/>
  <c r="E4163" i="1"/>
  <c r="F4163" i="1"/>
  <c r="G4163" i="1"/>
  <c r="H4163" i="1"/>
  <c r="I4163" i="1"/>
  <c r="J4163" i="1"/>
  <c r="K4163" i="1"/>
  <c r="M4163" i="1"/>
  <c r="O4163" i="1"/>
  <c r="Q4163" i="1"/>
  <c r="R4163" i="1"/>
  <c r="W4163" i="1"/>
  <c r="AA4163" i="1"/>
  <c r="AB4163" i="1"/>
  <c r="AE4163" i="1"/>
  <c r="AF4163" i="1"/>
  <c r="AM4163" i="1"/>
  <c r="AN4163" i="1"/>
  <c r="AO4163" i="1"/>
  <c r="AQ4163" i="1"/>
  <c r="AX4163" i="1"/>
  <c r="BD4163" i="1"/>
  <c r="B4164" i="1"/>
  <c r="C4164" i="1"/>
  <c r="D4164" i="1"/>
  <c r="E4164" i="1"/>
  <c r="F4164" i="1"/>
  <c r="G4164" i="1"/>
  <c r="H4164" i="1"/>
  <c r="I4164" i="1"/>
  <c r="J4164" i="1"/>
  <c r="K4164" i="1"/>
  <c r="M4164" i="1"/>
  <c r="O4164" i="1"/>
  <c r="Q4164" i="1"/>
  <c r="R4164" i="1"/>
  <c r="W4164" i="1"/>
  <c r="AA4164" i="1"/>
  <c r="AB4164" i="1"/>
  <c r="AE4164" i="1"/>
  <c r="AF4164" i="1"/>
  <c r="AM4164" i="1"/>
  <c r="AN4164" i="1"/>
  <c r="AO4164" i="1"/>
  <c r="AQ4164" i="1"/>
  <c r="AX4164" i="1"/>
  <c r="BD4164" i="1"/>
  <c r="B4165" i="1"/>
  <c r="C4165" i="1"/>
  <c r="E4165" i="1"/>
  <c r="F4165" i="1"/>
  <c r="G4165" i="1"/>
  <c r="H4165" i="1"/>
  <c r="I4165" i="1"/>
  <c r="J4165" i="1"/>
  <c r="K4165" i="1"/>
  <c r="M4165" i="1"/>
  <c r="O4165" i="1"/>
  <c r="Q4165" i="1"/>
  <c r="R4165" i="1"/>
  <c r="W4165" i="1"/>
  <c r="AA4165" i="1"/>
  <c r="AM4165" i="1"/>
  <c r="AN4165" i="1"/>
  <c r="AO4165" i="1"/>
  <c r="AQ4165" i="1"/>
  <c r="BB4165" i="1"/>
  <c r="BD4165" i="1"/>
  <c r="B4166" i="1"/>
  <c r="C4166" i="1"/>
  <c r="E4166" i="1"/>
  <c r="F4166" i="1"/>
  <c r="G4166" i="1"/>
  <c r="H4166" i="1"/>
  <c r="I4166" i="1"/>
  <c r="J4166" i="1"/>
  <c r="K4166" i="1"/>
  <c r="M4166" i="1"/>
  <c r="O4166" i="1"/>
  <c r="Q4166" i="1"/>
  <c r="R4166" i="1"/>
  <c r="W4166" i="1"/>
  <c r="AA4166" i="1"/>
  <c r="AM4166" i="1"/>
  <c r="AN4166" i="1"/>
  <c r="AO4166" i="1"/>
  <c r="AQ4166" i="1"/>
  <c r="BB4166" i="1"/>
  <c r="BD4166" i="1"/>
  <c r="B4167" i="1"/>
  <c r="C4167" i="1"/>
  <c r="D4167" i="1"/>
  <c r="E4167" i="1"/>
  <c r="F4167" i="1"/>
  <c r="G4167" i="1"/>
  <c r="H4167" i="1"/>
  <c r="I4167" i="1"/>
  <c r="J4167" i="1"/>
  <c r="K4167" i="1"/>
  <c r="M4167" i="1"/>
  <c r="O4167" i="1"/>
  <c r="Q4167" i="1"/>
  <c r="R4167" i="1"/>
  <c r="W4167" i="1"/>
  <c r="AA4167" i="1"/>
  <c r="AB4167" i="1"/>
  <c r="AE4167" i="1"/>
  <c r="AF4167" i="1"/>
  <c r="AM4167" i="1"/>
  <c r="AN4167" i="1"/>
  <c r="AO4167" i="1"/>
  <c r="AQ4167" i="1"/>
  <c r="AX4167" i="1"/>
  <c r="BD4167" i="1"/>
  <c r="B4168" i="1"/>
  <c r="C4168" i="1"/>
  <c r="E4168" i="1"/>
  <c r="F4168" i="1"/>
  <c r="G4168" i="1"/>
  <c r="H4168" i="1"/>
  <c r="I4168" i="1"/>
  <c r="J4168" i="1"/>
  <c r="K4168" i="1"/>
  <c r="M4168" i="1"/>
  <c r="O4168" i="1"/>
  <c r="Q4168" i="1"/>
  <c r="R4168" i="1"/>
  <c r="W4168" i="1"/>
  <c r="AA4168" i="1"/>
  <c r="AB4168" i="1"/>
  <c r="AE4168" i="1"/>
  <c r="AF4168" i="1"/>
  <c r="AM4168" i="1"/>
  <c r="AN4168" i="1"/>
  <c r="AO4168" i="1"/>
  <c r="AQ4168" i="1"/>
  <c r="AX4168" i="1"/>
  <c r="BD4168" i="1"/>
  <c r="B4169" i="1"/>
  <c r="C4169" i="1"/>
  <c r="E4169" i="1"/>
  <c r="F4169" i="1"/>
  <c r="G4169" i="1"/>
  <c r="H4169" i="1"/>
  <c r="I4169" i="1"/>
  <c r="J4169" i="1"/>
  <c r="K4169" i="1"/>
  <c r="M4169" i="1"/>
  <c r="O4169" i="1"/>
  <c r="Q4169" i="1"/>
  <c r="R4169" i="1"/>
  <c r="W4169" i="1"/>
  <c r="AA4169" i="1"/>
  <c r="AB4169" i="1"/>
  <c r="AE4169" i="1"/>
  <c r="AF4169" i="1"/>
  <c r="AM4169" i="1"/>
  <c r="AN4169" i="1"/>
  <c r="AO4169" i="1"/>
  <c r="AQ4169" i="1"/>
  <c r="AX4169" i="1"/>
  <c r="BD4169" i="1"/>
  <c r="B4170" i="1"/>
  <c r="C4170" i="1"/>
  <c r="E4170" i="1"/>
  <c r="F4170" i="1"/>
  <c r="G4170" i="1"/>
  <c r="H4170" i="1"/>
  <c r="I4170" i="1"/>
  <c r="J4170" i="1"/>
  <c r="K4170" i="1"/>
  <c r="M4170" i="1"/>
  <c r="O4170" i="1"/>
  <c r="Q4170" i="1"/>
  <c r="R4170" i="1"/>
  <c r="W4170" i="1"/>
  <c r="AA4170" i="1"/>
  <c r="AB4170" i="1"/>
  <c r="AE4170" i="1"/>
  <c r="AF4170" i="1"/>
  <c r="AM4170" i="1"/>
  <c r="AN4170" i="1"/>
  <c r="AO4170" i="1"/>
  <c r="AQ4170" i="1"/>
  <c r="AX4170" i="1"/>
  <c r="BD4170" i="1"/>
  <c r="B4171" i="1"/>
  <c r="C4171" i="1"/>
  <c r="E4171" i="1"/>
  <c r="F4171" i="1"/>
  <c r="G4171" i="1"/>
  <c r="H4171" i="1"/>
  <c r="I4171" i="1"/>
  <c r="J4171" i="1"/>
  <c r="K4171" i="1"/>
  <c r="M4171" i="1"/>
  <c r="O4171" i="1"/>
  <c r="Q4171" i="1"/>
  <c r="R4171" i="1"/>
  <c r="W4171" i="1"/>
  <c r="AA4171" i="1"/>
  <c r="AB4171" i="1"/>
  <c r="AE4171" i="1"/>
  <c r="AF4171" i="1"/>
  <c r="AM4171" i="1"/>
  <c r="AN4171" i="1"/>
  <c r="AO4171" i="1"/>
  <c r="AQ4171" i="1"/>
  <c r="AX4171" i="1"/>
  <c r="BD4171" i="1"/>
  <c r="B4172" i="1"/>
  <c r="C4172" i="1"/>
  <c r="D4172" i="1"/>
  <c r="E4172" i="1"/>
  <c r="F4172" i="1"/>
  <c r="G4172" i="1"/>
  <c r="H4172" i="1"/>
  <c r="I4172" i="1"/>
  <c r="J4172" i="1"/>
  <c r="K4172" i="1"/>
  <c r="M4172" i="1"/>
  <c r="O4172" i="1"/>
  <c r="Q4172" i="1"/>
  <c r="R4172" i="1"/>
  <c r="W4172" i="1"/>
  <c r="AA4172" i="1"/>
  <c r="AB4172" i="1"/>
  <c r="AE4172" i="1"/>
  <c r="AF4172" i="1"/>
  <c r="AM4172" i="1"/>
  <c r="AN4172" i="1"/>
  <c r="AO4172" i="1"/>
  <c r="AQ4172" i="1"/>
  <c r="AX4172" i="1"/>
  <c r="BD4172" i="1"/>
  <c r="B4173" i="1"/>
  <c r="C4173" i="1"/>
  <c r="D4173" i="1"/>
  <c r="E4173" i="1"/>
  <c r="F4173" i="1"/>
  <c r="G4173" i="1"/>
  <c r="H4173" i="1"/>
  <c r="I4173" i="1"/>
  <c r="J4173" i="1"/>
  <c r="K4173" i="1"/>
  <c r="M4173" i="1"/>
  <c r="O4173" i="1"/>
  <c r="Q4173" i="1"/>
  <c r="R4173" i="1"/>
  <c r="W4173" i="1"/>
  <c r="AA4173" i="1"/>
  <c r="AB4173" i="1"/>
  <c r="AE4173" i="1"/>
  <c r="AF4173" i="1"/>
  <c r="AM4173" i="1"/>
  <c r="AN4173" i="1"/>
  <c r="AO4173" i="1"/>
  <c r="AQ4173" i="1"/>
  <c r="AX4173" i="1"/>
  <c r="BD4173" i="1"/>
  <c r="B4174" i="1"/>
  <c r="C4174" i="1"/>
  <c r="D4174" i="1"/>
  <c r="E4174" i="1"/>
  <c r="F4174" i="1"/>
  <c r="G4174" i="1"/>
  <c r="H4174" i="1"/>
  <c r="I4174" i="1"/>
  <c r="J4174" i="1"/>
  <c r="K4174" i="1"/>
  <c r="M4174" i="1"/>
  <c r="O4174" i="1"/>
  <c r="Q4174" i="1"/>
  <c r="R4174" i="1"/>
  <c r="W4174" i="1"/>
  <c r="AA4174" i="1"/>
  <c r="AB4174" i="1"/>
  <c r="AE4174" i="1"/>
  <c r="AF4174" i="1"/>
  <c r="AM4174" i="1"/>
  <c r="AN4174" i="1"/>
  <c r="AO4174" i="1"/>
  <c r="AQ4174" i="1"/>
  <c r="AX4174" i="1"/>
  <c r="BD4174" i="1"/>
  <c r="B4175" i="1"/>
  <c r="C4175" i="1"/>
  <c r="E4175" i="1"/>
  <c r="F4175" i="1"/>
  <c r="G4175" i="1"/>
  <c r="H4175" i="1"/>
  <c r="I4175" i="1"/>
  <c r="J4175" i="1"/>
  <c r="K4175" i="1"/>
  <c r="M4175" i="1"/>
  <c r="O4175" i="1"/>
  <c r="Q4175" i="1"/>
  <c r="R4175" i="1"/>
  <c r="W4175" i="1"/>
  <c r="AA4175" i="1"/>
  <c r="AB4175" i="1"/>
  <c r="AE4175" i="1"/>
  <c r="AF4175" i="1"/>
  <c r="AM4175" i="1"/>
  <c r="AN4175" i="1"/>
  <c r="AO4175" i="1"/>
  <c r="AQ4175" i="1"/>
  <c r="AX4175" i="1"/>
  <c r="BD4175" i="1"/>
  <c r="B4176" i="1"/>
  <c r="C4176" i="1"/>
  <c r="D4176" i="1"/>
  <c r="E4176" i="1"/>
  <c r="F4176" i="1"/>
  <c r="G4176" i="1"/>
  <c r="H4176" i="1"/>
  <c r="I4176" i="1"/>
  <c r="J4176" i="1"/>
  <c r="K4176" i="1"/>
  <c r="M4176" i="1"/>
  <c r="O4176" i="1"/>
  <c r="Q4176" i="1"/>
  <c r="R4176" i="1"/>
  <c r="W4176" i="1"/>
  <c r="AA4176" i="1"/>
  <c r="AB4176" i="1"/>
  <c r="AE4176" i="1"/>
  <c r="AF4176" i="1"/>
  <c r="AM4176" i="1"/>
  <c r="AN4176" i="1"/>
  <c r="AO4176" i="1"/>
  <c r="AQ4176" i="1"/>
  <c r="AX4176" i="1"/>
  <c r="BD4176" i="1"/>
  <c r="B4177" i="1"/>
  <c r="C4177" i="1"/>
  <c r="D4177" i="1"/>
  <c r="E4177" i="1"/>
  <c r="F4177" i="1"/>
  <c r="G4177" i="1"/>
  <c r="H4177" i="1"/>
  <c r="I4177" i="1"/>
  <c r="J4177" i="1"/>
  <c r="K4177" i="1"/>
  <c r="M4177" i="1"/>
  <c r="O4177" i="1"/>
  <c r="Q4177" i="1"/>
  <c r="R4177" i="1"/>
  <c r="W4177" i="1"/>
  <c r="AA4177" i="1"/>
  <c r="AB4177" i="1"/>
  <c r="AE4177" i="1"/>
  <c r="AF4177" i="1"/>
  <c r="AM4177" i="1"/>
  <c r="AN4177" i="1"/>
  <c r="AO4177" i="1"/>
  <c r="AQ4177" i="1"/>
  <c r="AX4177" i="1"/>
  <c r="BD4177" i="1"/>
  <c r="B4178" i="1"/>
  <c r="C4178" i="1"/>
  <c r="D4178" i="1"/>
  <c r="E4178" i="1"/>
  <c r="F4178" i="1"/>
  <c r="G4178" i="1"/>
  <c r="H4178" i="1"/>
  <c r="I4178" i="1"/>
  <c r="J4178" i="1"/>
  <c r="K4178" i="1"/>
  <c r="M4178" i="1"/>
  <c r="O4178" i="1"/>
  <c r="Q4178" i="1"/>
  <c r="R4178" i="1"/>
  <c r="W4178" i="1"/>
  <c r="AA4178" i="1"/>
  <c r="AB4178" i="1"/>
  <c r="AE4178" i="1"/>
  <c r="AF4178" i="1"/>
  <c r="AM4178" i="1"/>
  <c r="AN4178" i="1"/>
  <c r="AO4178" i="1"/>
  <c r="AQ4178" i="1"/>
  <c r="AX4178" i="1"/>
  <c r="BD4178" i="1"/>
  <c r="B4179" i="1"/>
  <c r="C4179" i="1"/>
  <c r="D4179" i="1"/>
  <c r="E4179" i="1"/>
  <c r="F4179" i="1"/>
  <c r="G4179" i="1"/>
  <c r="H4179" i="1"/>
  <c r="I4179" i="1"/>
  <c r="J4179" i="1"/>
  <c r="K4179" i="1"/>
  <c r="M4179" i="1"/>
  <c r="O4179" i="1"/>
  <c r="Q4179" i="1"/>
  <c r="R4179" i="1"/>
  <c r="W4179" i="1"/>
  <c r="AA4179" i="1"/>
  <c r="AB4179" i="1"/>
  <c r="AE4179" i="1"/>
  <c r="AF4179" i="1"/>
  <c r="AM4179" i="1"/>
  <c r="AN4179" i="1"/>
  <c r="AO4179" i="1"/>
  <c r="AQ4179" i="1"/>
  <c r="AX4179" i="1"/>
  <c r="BD4179" i="1"/>
  <c r="B4180" i="1"/>
  <c r="C4180" i="1"/>
  <c r="D4180" i="1"/>
  <c r="E4180" i="1"/>
  <c r="F4180" i="1"/>
  <c r="G4180" i="1"/>
  <c r="H4180" i="1"/>
  <c r="I4180" i="1"/>
  <c r="J4180" i="1"/>
  <c r="K4180" i="1"/>
  <c r="M4180" i="1"/>
  <c r="O4180" i="1"/>
  <c r="Q4180" i="1"/>
  <c r="R4180" i="1"/>
  <c r="W4180" i="1"/>
  <c r="AA4180" i="1"/>
  <c r="AB4180" i="1"/>
  <c r="AM4180" i="1"/>
  <c r="AN4180" i="1"/>
  <c r="AO4180" i="1"/>
  <c r="AQ4180" i="1"/>
  <c r="AX4180" i="1"/>
  <c r="BD4180" i="1"/>
  <c r="B4181" i="1"/>
  <c r="E4181" i="1"/>
  <c r="F4181" i="1"/>
  <c r="G4181" i="1"/>
  <c r="H4181" i="1"/>
  <c r="I4181" i="1"/>
  <c r="J4181" i="1"/>
  <c r="K4181" i="1"/>
  <c r="M4181" i="1"/>
  <c r="O4181" i="1"/>
  <c r="Q4181" i="1"/>
  <c r="R4181" i="1"/>
  <c r="W4181" i="1"/>
  <c r="AA4181" i="1"/>
  <c r="AB4181" i="1"/>
  <c r="AM4181" i="1"/>
  <c r="AN4181" i="1"/>
  <c r="AO4181" i="1"/>
  <c r="AQ4181" i="1"/>
  <c r="AX4181" i="1"/>
  <c r="BD4181" i="1"/>
  <c r="B4182" i="1"/>
  <c r="E4182" i="1"/>
  <c r="F4182" i="1"/>
  <c r="G4182" i="1"/>
  <c r="H4182" i="1"/>
  <c r="I4182" i="1"/>
  <c r="J4182" i="1"/>
  <c r="K4182" i="1"/>
  <c r="M4182" i="1"/>
  <c r="O4182" i="1"/>
  <c r="Q4182" i="1"/>
  <c r="R4182" i="1"/>
  <c r="W4182" i="1"/>
  <c r="AA4182" i="1"/>
  <c r="AB4182" i="1"/>
  <c r="AM4182" i="1"/>
  <c r="AN4182" i="1"/>
  <c r="AO4182" i="1"/>
  <c r="AQ4182" i="1"/>
  <c r="AX4182" i="1"/>
  <c r="BD4182" i="1"/>
  <c r="B4183" i="1"/>
  <c r="E4183" i="1"/>
  <c r="F4183" i="1"/>
  <c r="G4183" i="1"/>
  <c r="H4183" i="1"/>
  <c r="I4183" i="1"/>
  <c r="J4183" i="1"/>
  <c r="K4183" i="1"/>
  <c r="M4183" i="1"/>
  <c r="O4183" i="1"/>
  <c r="Q4183" i="1"/>
  <c r="R4183" i="1"/>
  <c r="W4183" i="1"/>
  <c r="AA4183" i="1"/>
  <c r="AB4183" i="1"/>
  <c r="AM4183" i="1"/>
  <c r="AN4183" i="1"/>
  <c r="AO4183" i="1"/>
  <c r="AQ4183" i="1"/>
  <c r="AX4183" i="1"/>
  <c r="BD4183" i="1"/>
  <c r="B4184" i="1"/>
  <c r="E4184" i="1"/>
  <c r="F4184" i="1"/>
  <c r="G4184" i="1"/>
  <c r="H4184" i="1"/>
  <c r="I4184" i="1"/>
  <c r="J4184" i="1"/>
  <c r="K4184" i="1"/>
  <c r="M4184" i="1"/>
  <c r="O4184" i="1"/>
  <c r="Q4184" i="1"/>
  <c r="R4184" i="1"/>
  <c r="W4184" i="1"/>
  <c r="AA4184" i="1"/>
  <c r="AB4184" i="1"/>
  <c r="AM4184" i="1"/>
  <c r="AN4184" i="1"/>
  <c r="AO4184" i="1"/>
  <c r="AQ4184" i="1"/>
  <c r="AX4184" i="1"/>
  <c r="BD4184" i="1"/>
  <c r="B4185" i="1"/>
  <c r="E4185" i="1"/>
  <c r="F4185" i="1"/>
  <c r="G4185" i="1"/>
  <c r="H4185" i="1"/>
  <c r="I4185" i="1"/>
  <c r="J4185" i="1"/>
  <c r="K4185" i="1"/>
  <c r="M4185" i="1"/>
  <c r="O4185" i="1"/>
  <c r="Q4185" i="1"/>
  <c r="R4185" i="1"/>
  <c r="W4185" i="1"/>
  <c r="AA4185" i="1"/>
  <c r="AB4185" i="1"/>
  <c r="AM4185" i="1"/>
  <c r="AN4185" i="1"/>
  <c r="AO4185" i="1"/>
  <c r="AQ4185" i="1"/>
  <c r="AX4185" i="1"/>
  <c r="BD4185" i="1"/>
  <c r="B4186" i="1"/>
  <c r="C4186" i="1"/>
  <c r="E4186" i="1"/>
  <c r="F4186" i="1"/>
  <c r="G4186" i="1"/>
  <c r="H4186" i="1"/>
  <c r="I4186" i="1"/>
  <c r="J4186" i="1"/>
  <c r="K4186" i="1"/>
  <c r="M4186" i="1"/>
  <c r="O4186" i="1"/>
  <c r="Q4186" i="1"/>
  <c r="R4186" i="1"/>
  <c r="W4186" i="1"/>
  <c r="AA4186" i="1"/>
  <c r="AB4186" i="1"/>
  <c r="AE4186" i="1"/>
  <c r="AF4186" i="1"/>
  <c r="AM4186" i="1"/>
  <c r="AN4186" i="1"/>
  <c r="AO4186" i="1"/>
  <c r="AQ4186" i="1"/>
  <c r="AX4186" i="1"/>
  <c r="BD4186" i="1"/>
  <c r="B4187" i="1"/>
  <c r="C4187" i="1"/>
  <c r="E4187" i="1"/>
  <c r="F4187" i="1"/>
  <c r="G4187" i="1"/>
  <c r="H4187" i="1"/>
  <c r="I4187" i="1"/>
  <c r="J4187" i="1"/>
  <c r="K4187" i="1"/>
  <c r="M4187" i="1"/>
  <c r="O4187" i="1"/>
  <c r="Q4187" i="1"/>
  <c r="R4187" i="1"/>
  <c r="W4187" i="1"/>
  <c r="AA4187" i="1"/>
  <c r="AB4187" i="1"/>
  <c r="AE4187" i="1"/>
  <c r="AF4187" i="1"/>
  <c r="AM4187" i="1"/>
  <c r="AN4187" i="1"/>
  <c r="AO4187" i="1"/>
  <c r="AQ4187" i="1"/>
  <c r="AX4187" i="1"/>
  <c r="BD4187" i="1"/>
  <c r="B4188" i="1"/>
  <c r="C4188" i="1"/>
  <c r="E4188" i="1"/>
  <c r="F4188" i="1"/>
  <c r="G4188" i="1"/>
  <c r="H4188" i="1"/>
  <c r="I4188" i="1"/>
  <c r="J4188" i="1"/>
  <c r="K4188" i="1"/>
  <c r="M4188" i="1"/>
  <c r="O4188" i="1"/>
  <c r="Q4188" i="1"/>
  <c r="R4188" i="1"/>
  <c r="W4188" i="1"/>
  <c r="AA4188" i="1"/>
  <c r="AB4188" i="1"/>
  <c r="AE4188" i="1"/>
  <c r="AF4188" i="1"/>
  <c r="AM4188" i="1"/>
  <c r="AN4188" i="1"/>
  <c r="AO4188" i="1"/>
  <c r="AQ4188" i="1"/>
  <c r="AX4188" i="1"/>
  <c r="BD4188" i="1"/>
  <c r="B4189" i="1"/>
  <c r="C4189" i="1"/>
  <c r="E4189" i="1"/>
  <c r="F4189" i="1"/>
  <c r="G4189" i="1"/>
  <c r="H4189" i="1"/>
  <c r="I4189" i="1"/>
  <c r="J4189" i="1"/>
  <c r="K4189" i="1"/>
  <c r="M4189" i="1"/>
  <c r="O4189" i="1"/>
  <c r="Q4189" i="1"/>
  <c r="R4189" i="1"/>
  <c r="W4189" i="1"/>
  <c r="AA4189" i="1"/>
  <c r="AB4189" i="1"/>
  <c r="AE4189" i="1"/>
  <c r="AF4189" i="1"/>
  <c r="AM4189" i="1"/>
  <c r="AN4189" i="1"/>
  <c r="AO4189" i="1"/>
  <c r="AQ4189" i="1"/>
  <c r="AX4189" i="1"/>
  <c r="BD4189" i="1"/>
  <c r="B4190" i="1"/>
  <c r="C4190" i="1"/>
  <c r="D4190" i="1"/>
  <c r="E4190" i="1"/>
  <c r="F4190" i="1"/>
  <c r="G4190" i="1"/>
  <c r="H4190" i="1"/>
  <c r="I4190" i="1"/>
  <c r="J4190" i="1"/>
  <c r="K4190" i="1"/>
  <c r="M4190" i="1"/>
  <c r="O4190" i="1"/>
  <c r="Q4190" i="1"/>
  <c r="R4190" i="1"/>
  <c r="W4190" i="1"/>
  <c r="AA4190" i="1"/>
  <c r="AB4190" i="1"/>
  <c r="AE4190" i="1"/>
  <c r="AF4190" i="1"/>
  <c r="AM4190" i="1"/>
  <c r="AN4190" i="1"/>
  <c r="AO4190" i="1"/>
  <c r="AQ4190" i="1"/>
  <c r="AX4190" i="1"/>
  <c r="BD4190" i="1"/>
  <c r="B4191" i="1"/>
  <c r="C4191" i="1"/>
  <c r="D4191" i="1"/>
  <c r="E4191" i="1"/>
  <c r="F4191" i="1"/>
  <c r="G4191" i="1"/>
  <c r="H4191" i="1"/>
  <c r="I4191" i="1"/>
  <c r="J4191" i="1"/>
  <c r="K4191" i="1"/>
  <c r="M4191" i="1"/>
  <c r="O4191" i="1"/>
  <c r="Q4191" i="1"/>
  <c r="R4191" i="1"/>
  <c r="W4191" i="1"/>
  <c r="AA4191" i="1"/>
  <c r="AB4191" i="1"/>
  <c r="AE4191" i="1"/>
  <c r="AF4191" i="1"/>
  <c r="AM4191" i="1"/>
  <c r="AN4191" i="1"/>
  <c r="AO4191" i="1"/>
  <c r="AQ4191" i="1"/>
  <c r="AX4191" i="1"/>
  <c r="BD4191" i="1"/>
  <c r="B4192" i="1"/>
  <c r="C4192" i="1"/>
  <c r="D4192" i="1"/>
  <c r="E4192" i="1"/>
  <c r="F4192" i="1"/>
  <c r="G4192" i="1"/>
  <c r="H4192" i="1"/>
  <c r="I4192" i="1"/>
  <c r="J4192" i="1"/>
  <c r="K4192" i="1"/>
  <c r="M4192" i="1"/>
  <c r="O4192" i="1"/>
  <c r="Q4192" i="1"/>
  <c r="R4192" i="1"/>
  <c r="W4192" i="1"/>
  <c r="AA4192" i="1"/>
  <c r="AB4192" i="1"/>
  <c r="AE4192" i="1"/>
  <c r="AF4192" i="1"/>
  <c r="AM4192" i="1"/>
  <c r="AN4192" i="1"/>
  <c r="AO4192" i="1"/>
  <c r="AQ4192" i="1"/>
  <c r="AX4192" i="1"/>
  <c r="BD4192" i="1"/>
  <c r="B4193" i="1"/>
  <c r="C4193" i="1"/>
  <c r="D4193" i="1"/>
  <c r="E4193" i="1"/>
  <c r="F4193" i="1"/>
  <c r="G4193" i="1"/>
  <c r="H4193" i="1"/>
  <c r="I4193" i="1"/>
  <c r="J4193" i="1"/>
  <c r="K4193" i="1"/>
  <c r="M4193" i="1"/>
  <c r="O4193" i="1"/>
  <c r="Q4193" i="1"/>
  <c r="R4193" i="1"/>
  <c r="W4193" i="1"/>
  <c r="AA4193" i="1"/>
  <c r="AB4193" i="1"/>
  <c r="AE4193" i="1"/>
  <c r="AF4193" i="1"/>
  <c r="AM4193" i="1"/>
  <c r="AN4193" i="1"/>
  <c r="AO4193" i="1"/>
  <c r="AQ4193" i="1"/>
  <c r="AX4193" i="1"/>
  <c r="BD4193" i="1"/>
  <c r="B4194" i="1"/>
  <c r="C4194" i="1"/>
  <c r="E4194" i="1"/>
  <c r="F4194" i="1"/>
  <c r="G4194" i="1"/>
  <c r="H4194" i="1"/>
  <c r="I4194" i="1"/>
  <c r="J4194" i="1"/>
  <c r="K4194" i="1"/>
  <c r="M4194" i="1"/>
  <c r="O4194" i="1"/>
  <c r="Q4194" i="1"/>
  <c r="R4194" i="1"/>
  <c r="W4194" i="1"/>
  <c r="AA4194" i="1"/>
  <c r="AM4194" i="1"/>
  <c r="AN4194" i="1"/>
  <c r="AO4194" i="1"/>
  <c r="AQ4194" i="1"/>
  <c r="BB4194" i="1"/>
  <c r="BD4194" i="1"/>
  <c r="B4195" i="1"/>
  <c r="C4195" i="1"/>
  <c r="E4195" i="1"/>
  <c r="F4195" i="1"/>
  <c r="G4195" i="1"/>
  <c r="H4195" i="1"/>
  <c r="I4195" i="1"/>
  <c r="J4195" i="1"/>
  <c r="K4195" i="1"/>
  <c r="M4195" i="1"/>
  <c r="O4195" i="1"/>
  <c r="Q4195" i="1"/>
  <c r="R4195" i="1"/>
  <c r="W4195" i="1"/>
  <c r="AA4195" i="1"/>
  <c r="AM4195" i="1"/>
  <c r="AN4195" i="1"/>
  <c r="AO4195" i="1"/>
  <c r="AQ4195" i="1"/>
  <c r="BB4195" i="1"/>
  <c r="BD4195" i="1"/>
  <c r="B4196" i="1"/>
  <c r="C4196" i="1"/>
  <c r="E4196" i="1"/>
  <c r="F4196" i="1"/>
  <c r="G4196" i="1"/>
  <c r="H4196" i="1"/>
  <c r="I4196" i="1"/>
  <c r="J4196" i="1"/>
  <c r="K4196" i="1"/>
  <c r="M4196" i="1"/>
  <c r="O4196" i="1"/>
  <c r="Q4196" i="1"/>
  <c r="R4196" i="1"/>
  <c r="W4196" i="1"/>
  <c r="AA4196" i="1"/>
  <c r="AM4196" i="1"/>
  <c r="AN4196" i="1"/>
  <c r="AO4196" i="1"/>
  <c r="AQ4196" i="1"/>
  <c r="BB4196" i="1"/>
  <c r="BD4196" i="1"/>
  <c r="B4197" i="1"/>
  <c r="C4197" i="1"/>
  <c r="E4197" i="1"/>
  <c r="F4197" i="1"/>
  <c r="G4197" i="1"/>
  <c r="H4197" i="1"/>
  <c r="I4197" i="1"/>
  <c r="J4197" i="1"/>
  <c r="K4197" i="1"/>
  <c r="M4197" i="1"/>
  <c r="O4197" i="1"/>
  <c r="Q4197" i="1"/>
  <c r="R4197" i="1"/>
  <c r="W4197" i="1"/>
  <c r="AA4197" i="1"/>
  <c r="AM4197" i="1"/>
  <c r="AN4197" i="1"/>
  <c r="AO4197" i="1"/>
  <c r="AQ4197" i="1"/>
  <c r="BB4197" i="1"/>
  <c r="BD4197" i="1"/>
  <c r="B4198" i="1"/>
  <c r="C4198" i="1"/>
  <c r="E4198" i="1"/>
  <c r="F4198" i="1"/>
  <c r="G4198" i="1"/>
  <c r="H4198" i="1"/>
  <c r="I4198" i="1"/>
  <c r="J4198" i="1"/>
  <c r="K4198" i="1"/>
  <c r="M4198" i="1"/>
  <c r="O4198" i="1"/>
  <c r="Q4198" i="1"/>
  <c r="R4198" i="1"/>
  <c r="W4198" i="1"/>
  <c r="AA4198" i="1"/>
  <c r="AM4198" i="1"/>
  <c r="AN4198" i="1"/>
  <c r="AO4198" i="1"/>
  <c r="AQ4198" i="1"/>
  <c r="BB4198" i="1"/>
  <c r="BD4198" i="1"/>
  <c r="B4199" i="1"/>
  <c r="C4199" i="1"/>
  <c r="E4199" i="1"/>
  <c r="F4199" i="1"/>
  <c r="G4199" i="1"/>
  <c r="H4199" i="1"/>
  <c r="I4199" i="1"/>
  <c r="J4199" i="1"/>
  <c r="K4199" i="1"/>
  <c r="M4199" i="1"/>
  <c r="O4199" i="1"/>
  <c r="Q4199" i="1"/>
  <c r="R4199" i="1"/>
  <c r="W4199" i="1"/>
  <c r="AA4199" i="1"/>
  <c r="AM4199" i="1"/>
  <c r="AN4199" i="1"/>
  <c r="AO4199" i="1"/>
  <c r="AQ4199" i="1"/>
  <c r="BB4199" i="1"/>
  <c r="BD4199" i="1"/>
  <c r="B4200" i="1"/>
  <c r="C4200" i="1"/>
  <c r="E4200" i="1"/>
  <c r="F4200" i="1"/>
  <c r="G4200" i="1"/>
  <c r="H4200" i="1"/>
  <c r="I4200" i="1"/>
  <c r="J4200" i="1"/>
  <c r="K4200" i="1"/>
  <c r="M4200" i="1"/>
  <c r="O4200" i="1"/>
  <c r="Q4200" i="1"/>
  <c r="R4200" i="1"/>
  <c r="W4200" i="1"/>
  <c r="AA4200" i="1"/>
  <c r="AM4200" i="1"/>
  <c r="AN4200" i="1"/>
  <c r="AO4200" i="1"/>
  <c r="AQ4200" i="1"/>
  <c r="BB4200" i="1"/>
  <c r="BD4200" i="1"/>
  <c r="B4201" i="1"/>
  <c r="C4201" i="1"/>
  <c r="E4201" i="1"/>
  <c r="F4201" i="1"/>
  <c r="G4201" i="1"/>
  <c r="H4201" i="1"/>
  <c r="I4201" i="1"/>
  <c r="J4201" i="1"/>
  <c r="K4201" i="1"/>
  <c r="M4201" i="1"/>
  <c r="O4201" i="1"/>
  <c r="Q4201" i="1"/>
  <c r="R4201" i="1"/>
  <c r="W4201" i="1"/>
  <c r="AA4201" i="1"/>
  <c r="AM4201" i="1"/>
  <c r="AN4201" i="1"/>
  <c r="AO4201" i="1"/>
  <c r="AQ4201" i="1"/>
  <c r="BB4201" i="1"/>
  <c r="BD4201" i="1"/>
  <c r="B4202" i="1"/>
  <c r="C4202" i="1"/>
  <c r="E4202" i="1"/>
  <c r="F4202" i="1"/>
  <c r="G4202" i="1"/>
  <c r="H4202" i="1"/>
  <c r="I4202" i="1"/>
  <c r="J4202" i="1"/>
  <c r="K4202" i="1"/>
  <c r="M4202" i="1"/>
  <c r="O4202" i="1"/>
  <c r="Q4202" i="1"/>
  <c r="R4202" i="1"/>
  <c r="W4202" i="1"/>
  <c r="AA4202" i="1"/>
  <c r="AM4202" i="1"/>
  <c r="AN4202" i="1"/>
  <c r="AO4202" i="1"/>
  <c r="AQ4202" i="1"/>
  <c r="BB4202" i="1"/>
  <c r="BD4202" i="1"/>
  <c r="B4203" i="1"/>
  <c r="C4203" i="1"/>
  <c r="E4203" i="1"/>
  <c r="F4203" i="1"/>
  <c r="G4203" i="1"/>
  <c r="H4203" i="1"/>
  <c r="I4203" i="1"/>
  <c r="J4203" i="1"/>
  <c r="K4203" i="1"/>
  <c r="M4203" i="1"/>
  <c r="O4203" i="1"/>
  <c r="Q4203" i="1"/>
  <c r="R4203" i="1"/>
  <c r="W4203" i="1"/>
  <c r="AA4203" i="1"/>
  <c r="AM4203" i="1"/>
  <c r="AN4203" i="1"/>
  <c r="AO4203" i="1"/>
  <c r="AQ4203" i="1"/>
  <c r="BB4203" i="1"/>
  <c r="BD4203" i="1"/>
  <c r="B4204" i="1"/>
  <c r="C4204" i="1"/>
  <c r="E4204" i="1"/>
  <c r="F4204" i="1"/>
  <c r="G4204" i="1"/>
  <c r="H4204" i="1"/>
  <c r="I4204" i="1"/>
  <c r="J4204" i="1"/>
  <c r="K4204" i="1"/>
  <c r="M4204" i="1"/>
  <c r="O4204" i="1"/>
  <c r="Q4204" i="1"/>
  <c r="R4204" i="1"/>
  <c r="W4204" i="1"/>
  <c r="AA4204" i="1"/>
  <c r="AM4204" i="1"/>
  <c r="AN4204" i="1"/>
  <c r="AO4204" i="1"/>
  <c r="AQ4204" i="1"/>
  <c r="BB4204" i="1"/>
  <c r="BD4204" i="1"/>
  <c r="B4205" i="1"/>
  <c r="C4205" i="1"/>
  <c r="E4205" i="1"/>
  <c r="F4205" i="1"/>
  <c r="G4205" i="1"/>
  <c r="H4205" i="1"/>
  <c r="I4205" i="1"/>
  <c r="J4205" i="1"/>
  <c r="K4205" i="1"/>
  <c r="M4205" i="1"/>
  <c r="O4205" i="1"/>
  <c r="Q4205" i="1"/>
  <c r="R4205" i="1"/>
  <c r="W4205" i="1"/>
  <c r="AA4205" i="1"/>
  <c r="AM4205" i="1"/>
  <c r="AN4205" i="1"/>
  <c r="AO4205" i="1"/>
  <c r="AQ4205" i="1"/>
  <c r="BB4205" i="1"/>
  <c r="BD4205" i="1"/>
  <c r="B4206" i="1"/>
  <c r="C4206" i="1"/>
  <c r="E4206" i="1"/>
  <c r="F4206" i="1"/>
  <c r="G4206" i="1"/>
  <c r="H4206" i="1"/>
  <c r="I4206" i="1"/>
  <c r="J4206" i="1"/>
  <c r="K4206" i="1"/>
  <c r="M4206" i="1"/>
  <c r="O4206" i="1"/>
  <c r="Q4206" i="1"/>
  <c r="R4206" i="1"/>
  <c r="W4206" i="1"/>
  <c r="AA4206" i="1"/>
  <c r="AM4206" i="1"/>
  <c r="AN4206" i="1"/>
  <c r="AO4206" i="1"/>
  <c r="AQ4206" i="1"/>
  <c r="BB4206" i="1"/>
  <c r="BD4206" i="1"/>
  <c r="B4207" i="1"/>
  <c r="C4207" i="1"/>
  <c r="E4207" i="1"/>
  <c r="F4207" i="1"/>
  <c r="G4207" i="1"/>
  <c r="H4207" i="1"/>
  <c r="I4207" i="1"/>
  <c r="J4207" i="1"/>
  <c r="K4207" i="1"/>
  <c r="M4207" i="1"/>
  <c r="O4207" i="1"/>
  <c r="Q4207" i="1"/>
  <c r="R4207" i="1"/>
  <c r="W4207" i="1"/>
  <c r="AA4207" i="1"/>
  <c r="AM4207" i="1"/>
  <c r="AN4207" i="1"/>
  <c r="AO4207" i="1"/>
  <c r="AQ4207" i="1"/>
  <c r="BB4207" i="1"/>
  <c r="BD4207" i="1"/>
  <c r="B4208" i="1"/>
  <c r="C4208" i="1"/>
  <c r="D4208" i="1"/>
  <c r="E4208" i="1"/>
  <c r="F4208" i="1"/>
  <c r="G4208" i="1"/>
  <c r="H4208" i="1"/>
  <c r="I4208" i="1"/>
  <c r="J4208" i="1"/>
  <c r="K4208" i="1"/>
  <c r="M4208" i="1"/>
  <c r="O4208" i="1"/>
  <c r="Q4208" i="1"/>
  <c r="R4208" i="1"/>
  <c r="W4208" i="1"/>
  <c r="AA4208" i="1"/>
  <c r="AB4208" i="1"/>
  <c r="AM4208" i="1"/>
  <c r="AN4208" i="1"/>
  <c r="AO4208" i="1"/>
  <c r="AQ4208" i="1"/>
  <c r="AX4208" i="1"/>
  <c r="BD4208" i="1"/>
  <c r="B4209" i="1"/>
  <c r="C4209" i="1"/>
  <c r="D4209" i="1"/>
  <c r="E4209" i="1"/>
  <c r="F4209" i="1"/>
  <c r="G4209" i="1"/>
  <c r="H4209" i="1"/>
  <c r="I4209" i="1"/>
  <c r="J4209" i="1"/>
  <c r="K4209" i="1"/>
  <c r="M4209" i="1"/>
  <c r="O4209" i="1"/>
  <c r="Q4209" i="1"/>
  <c r="R4209" i="1"/>
  <c r="W4209" i="1"/>
  <c r="AA4209" i="1"/>
  <c r="AB4209" i="1"/>
  <c r="AE4209" i="1"/>
  <c r="AF4209" i="1"/>
  <c r="AM4209" i="1"/>
  <c r="AN4209" i="1"/>
  <c r="AO4209" i="1"/>
  <c r="AQ4209" i="1"/>
  <c r="AX4209" i="1"/>
  <c r="BD4209" i="1"/>
  <c r="B4210" i="1"/>
  <c r="C4210" i="1"/>
  <c r="E4210" i="1"/>
  <c r="F4210" i="1"/>
  <c r="G4210" i="1"/>
  <c r="H4210" i="1"/>
  <c r="I4210" i="1"/>
  <c r="J4210" i="1"/>
  <c r="K4210" i="1"/>
  <c r="M4210" i="1"/>
  <c r="O4210" i="1"/>
  <c r="Q4210" i="1"/>
  <c r="R4210" i="1"/>
  <c r="W4210" i="1"/>
  <c r="AA4210" i="1"/>
  <c r="AM4210" i="1"/>
  <c r="AN4210" i="1"/>
  <c r="AO4210" i="1"/>
  <c r="AQ4210" i="1"/>
  <c r="BB4210" i="1"/>
  <c r="BD4210" i="1"/>
  <c r="B4211" i="1"/>
  <c r="C4211" i="1"/>
  <c r="E4211" i="1"/>
  <c r="F4211" i="1"/>
  <c r="G4211" i="1"/>
  <c r="H4211" i="1"/>
  <c r="I4211" i="1"/>
  <c r="J4211" i="1"/>
  <c r="K4211" i="1"/>
  <c r="M4211" i="1"/>
  <c r="O4211" i="1"/>
  <c r="Q4211" i="1"/>
  <c r="R4211" i="1"/>
  <c r="W4211" i="1"/>
  <c r="AA4211" i="1"/>
  <c r="AM4211" i="1"/>
  <c r="AN4211" i="1"/>
  <c r="AO4211" i="1"/>
  <c r="AQ4211" i="1"/>
  <c r="BB4211" i="1"/>
  <c r="BD4211" i="1"/>
  <c r="B4212" i="1"/>
  <c r="C4212" i="1"/>
  <c r="E4212" i="1"/>
  <c r="F4212" i="1"/>
  <c r="G4212" i="1"/>
  <c r="H4212" i="1"/>
  <c r="I4212" i="1"/>
  <c r="J4212" i="1"/>
  <c r="K4212" i="1"/>
  <c r="M4212" i="1"/>
  <c r="O4212" i="1"/>
  <c r="Q4212" i="1"/>
  <c r="R4212" i="1"/>
  <c r="W4212" i="1"/>
  <c r="AA4212" i="1"/>
  <c r="AM4212" i="1"/>
  <c r="AN4212" i="1"/>
  <c r="AO4212" i="1"/>
  <c r="AQ4212" i="1"/>
  <c r="BB4212" i="1"/>
  <c r="BD4212" i="1"/>
  <c r="B4213" i="1"/>
  <c r="C4213" i="1"/>
  <c r="E4213" i="1"/>
  <c r="F4213" i="1"/>
  <c r="G4213" i="1"/>
  <c r="H4213" i="1"/>
  <c r="I4213" i="1"/>
  <c r="J4213" i="1"/>
  <c r="K4213" i="1"/>
  <c r="M4213" i="1"/>
  <c r="O4213" i="1"/>
  <c r="Q4213" i="1"/>
  <c r="R4213" i="1"/>
  <c r="W4213" i="1"/>
  <c r="AA4213" i="1"/>
  <c r="AM4213" i="1"/>
  <c r="AN4213" i="1"/>
  <c r="AO4213" i="1"/>
  <c r="AQ4213" i="1"/>
  <c r="BB4213" i="1"/>
  <c r="BD4213" i="1"/>
  <c r="B4214" i="1"/>
  <c r="C4214" i="1"/>
  <c r="E4214" i="1"/>
  <c r="F4214" i="1"/>
  <c r="G4214" i="1"/>
  <c r="H4214" i="1"/>
  <c r="I4214" i="1"/>
  <c r="J4214" i="1"/>
  <c r="K4214" i="1"/>
  <c r="M4214" i="1"/>
  <c r="O4214" i="1"/>
  <c r="Q4214" i="1"/>
  <c r="R4214" i="1"/>
  <c r="W4214" i="1"/>
  <c r="AA4214" i="1"/>
  <c r="AM4214" i="1"/>
  <c r="AN4214" i="1"/>
  <c r="AO4214" i="1"/>
  <c r="AQ4214" i="1"/>
  <c r="BB4214" i="1"/>
  <c r="BD4214" i="1"/>
  <c r="B4215" i="1"/>
  <c r="C4215" i="1"/>
  <c r="E4215" i="1"/>
  <c r="F4215" i="1"/>
  <c r="G4215" i="1"/>
  <c r="H4215" i="1"/>
  <c r="I4215" i="1"/>
  <c r="J4215" i="1"/>
  <c r="K4215" i="1"/>
  <c r="M4215" i="1"/>
  <c r="O4215" i="1"/>
  <c r="Q4215" i="1"/>
  <c r="R4215" i="1"/>
  <c r="W4215" i="1"/>
  <c r="AA4215" i="1"/>
  <c r="AM4215" i="1"/>
  <c r="AN4215" i="1"/>
  <c r="AO4215" i="1"/>
  <c r="AQ4215" i="1"/>
  <c r="BB4215" i="1"/>
  <c r="BD4215" i="1"/>
  <c r="B4216" i="1"/>
  <c r="C4216" i="1"/>
  <c r="E4216" i="1"/>
  <c r="F4216" i="1"/>
  <c r="G4216" i="1"/>
  <c r="H4216" i="1"/>
  <c r="I4216" i="1"/>
  <c r="J4216" i="1"/>
  <c r="K4216" i="1"/>
  <c r="M4216" i="1"/>
  <c r="O4216" i="1"/>
  <c r="Q4216" i="1"/>
  <c r="R4216" i="1"/>
  <c r="W4216" i="1"/>
  <c r="AA4216" i="1"/>
  <c r="AB4216" i="1"/>
  <c r="AE4216" i="1"/>
  <c r="AF4216" i="1"/>
  <c r="AM4216" i="1"/>
  <c r="AN4216" i="1"/>
  <c r="AO4216" i="1"/>
  <c r="AQ4216" i="1"/>
  <c r="AX4216" i="1"/>
  <c r="BD4216" i="1"/>
  <c r="B4217" i="1"/>
  <c r="C4217" i="1"/>
  <c r="E4217" i="1"/>
  <c r="F4217" i="1"/>
  <c r="G4217" i="1"/>
  <c r="H4217" i="1"/>
  <c r="I4217" i="1"/>
  <c r="J4217" i="1"/>
  <c r="K4217" i="1"/>
  <c r="M4217" i="1"/>
  <c r="O4217" i="1"/>
  <c r="Q4217" i="1"/>
  <c r="R4217" i="1"/>
  <c r="W4217" i="1"/>
  <c r="AA4217" i="1"/>
  <c r="AB4217" i="1"/>
  <c r="AE4217" i="1"/>
  <c r="AF4217" i="1"/>
  <c r="AM4217" i="1"/>
  <c r="AN4217" i="1"/>
  <c r="AO4217" i="1"/>
  <c r="AQ4217" i="1"/>
  <c r="AX4217" i="1"/>
  <c r="BD4217" i="1"/>
  <c r="B4218" i="1"/>
  <c r="C4218" i="1"/>
  <c r="D4218" i="1"/>
  <c r="E4218" i="1"/>
  <c r="F4218" i="1"/>
  <c r="G4218" i="1"/>
  <c r="H4218" i="1"/>
  <c r="I4218" i="1"/>
  <c r="J4218" i="1"/>
  <c r="K4218" i="1"/>
  <c r="M4218" i="1"/>
  <c r="O4218" i="1"/>
  <c r="Q4218" i="1"/>
  <c r="R4218" i="1"/>
  <c r="W4218" i="1"/>
  <c r="AA4218" i="1"/>
  <c r="AB4218" i="1"/>
  <c r="AE4218" i="1"/>
  <c r="AF4218" i="1"/>
  <c r="AM4218" i="1"/>
  <c r="AN4218" i="1"/>
  <c r="AO4218" i="1"/>
  <c r="AQ4218" i="1"/>
  <c r="AX4218" i="1"/>
  <c r="BD4218" i="1"/>
  <c r="B4219" i="1"/>
  <c r="C4219" i="1"/>
  <c r="D4219" i="1"/>
  <c r="E4219" i="1"/>
  <c r="F4219" i="1"/>
  <c r="G4219" i="1"/>
  <c r="H4219" i="1"/>
  <c r="I4219" i="1"/>
  <c r="J4219" i="1"/>
  <c r="K4219" i="1"/>
  <c r="M4219" i="1"/>
  <c r="O4219" i="1"/>
  <c r="Q4219" i="1"/>
  <c r="R4219" i="1"/>
  <c r="W4219" i="1"/>
  <c r="AA4219" i="1"/>
  <c r="AB4219" i="1"/>
  <c r="AE4219" i="1"/>
  <c r="AF4219" i="1"/>
  <c r="AM4219" i="1"/>
  <c r="AN4219" i="1"/>
  <c r="AO4219" i="1"/>
  <c r="AQ4219" i="1"/>
  <c r="AX4219" i="1"/>
  <c r="BD4219" i="1"/>
  <c r="B4220" i="1"/>
  <c r="C4220" i="1"/>
  <c r="D4220" i="1"/>
  <c r="E4220" i="1"/>
  <c r="F4220" i="1"/>
  <c r="G4220" i="1"/>
  <c r="H4220" i="1"/>
  <c r="I4220" i="1"/>
  <c r="J4220" i="1"/>
  <c r="K4220" i="1"/>
  <c r="M4220" i="1"/>
  <c r="O4220" i="1"/>
  <c r="Q4220" i="1"/>
  <c r="R4220" i="1"/>
  <c r="W4220" i="1"/>
  <c r="AA4220" i="1"/>
  <c r="AB4220" i="1"/>
  <c r="AE4220" i="1"/>
  <c r="AF4220" i="1"/>
  <c r="AM4220" i="1"/>
  <c r="AN4220" i="1"/>
  <c r="AO4220" i="1"/>
  <c r="AQ4220" i="1"/>
  <c r="AX4220" i="1"/>
  <c r="BD4220" i="1"/>
  <c r="B4221" i="1"/>
  <c r="C4221" i="1"/>
  <c r="E4221" i="1"/>
  <c r="F4221" i="1"/>
  <c r="G4221" i="1"/>
  <c r="H4221" i="1"/>
  <c r="I4221" i="1"/>
  <c r="J4221" i="1"/>
  <c r="K4221" i="1"/>
  <c r="M4221" i="1"/>
  <c r="O4221" i="1"/>
  <c r="Q4221" i="1"/>
  <c r="R4221" i="1"/>
  <c r="W4221" i="1"/>
  <c r="AA4221" i="1"/>
  <c r="AB4221" i="1"/>
  <c r="AE4221" i="1"/>
  <c r="AF4221" i="1"/>
  <c r="AM4221" i="1"/>
  <c r="AN4221" i="1"/>
  <c r="AO4221" i="1"/>
  <c r="AQ4221" i="1"/>
  <c r="AX4221" i="1"/>
  <c r="BD4221" i="1"/>
  <c r="B4222" i="1"/>
  <c r="E4222" i="1"/>
  <c r="F4222" i="1"/>
  <c r="G4222" i="1"/>
  <c r="H4222" i="1"/>
  <c r="I4222" i="1"/>
  <c r="J4222" i="1"/>
  <c r="K4222" i="1"/>
  <c r="M4222" i="1"/>
  <c r="O4222" i="1"/>
  <c r="Q4222" i="1"/>
  <c r="R4222" i="1"/>
  <c r="W4222" i="1"/>
  <c r="AA4222" i="1"/>
  <c r="AB4222" i="1"/>
  <c r="AM4222" i="1"/>
  <c r="AN4222" i="1"/>
  <c r="AO4222" i="1"/>
  <c r="AQ4222" i="1"/>
  <c r="AX4222" i="1"/>
  <c r="BD4222" i="1"/>
  <c r="B4223" i="1"/>
  <c r="C4223" i="1"/>
  <c r="E4223" i="1"/>
  <c r="F4223" i="1"/>
  <c r="G4223" i="1"/>
  <c r="H4223" i="1"/>
  <c r="I4223" i="1"/>
  <c r="J4223" i="1"/>
  <c r="K4223" i="1"/>
  <c r="M4223" i="1"/>
  <c r="O4223" i="1"/>
  <c r="Q4223" i="1"/>
  <c r="R4223" i="1"/>
  <c r="W4223" i="1"/>
  <c r="AA4223" i="1"/>
  <c r="AM4223" i="1"/>
  <c r="AN4223" i="1"/>
  <c r="AO4223" i="1"/>
  <c r="AQ4223" i="1"/>
  <c r="BB4223" i="1"/>
  <c r="BD4223" i="1"/>
  <c r="B4224" i="1"/>
  <c r="C4224" i="1"/>
  <c r="E4224" i="1"/>
  <c r="F4224" i="1"/>
  <c r="G4224" i="1"/>
  <c r="H4224" i="1"/>
  <c r="I4224" i="1"/>
  <c r="J4224" i="1"/>
  <c r="K4224" i="1"/>
  <c r="M4224" i="1"/>
  <c r="O4224" i="1"/>
  <c r="Q4224" i="1"/>
  <c r="R4224" i="1"/>
  <c r="W4224" i="1"/>
  <c r="AA4224" i="1"/>
  <c r="AM4224" i="1"/>
  <c r="AN4224" i="1"/>
  <c r="AO4224" i="1"/>
  <c r="AQ4224" i="1"/>
  <c r="BB4224" i="1"/>
  <c r="BD4224" i="1"/>
  <c r="B4225" i="1"/>
  <c r="C4225" i="1"/>
  <c r="E4225" i="1"/>
  <c r="F4225" i="1"/>
  <c r="G4225" i="1"/>
  <c r="H4225" i="1"/>
  <c r="I4225" i="1"/>
  <c r="J4225" i="1"/>
  <c r="K4225" i="1"/>
  <c r="M4225" i="1"/>
  <c r="O4225" i="1"/>
  <c r="Q4225" i="1"/>
  <c r="R4225" i="1"/>
  <c r="W4225" i="1"/>
  <c r="AA4225" i="1"/>
  <c r="AM4225" i="1"/>
  <c r="AN4225" i="1"/>
  <c r="AO4225" i="1"/>
  <c r="AQ4225" i="1"/>
  <c r="BB4225" i="1"/>
  <c r="BD4225" i="1"/>
  <c r="B4226" i="1"/>
  <c r="C4226" i="1"/>
  <c r="E4226" i="1"/>
  <c r="F4226" i="1"/>
  <c r="G4226" i="1"/>
  <c r="H4226" i="1"/>
  <c r="I4226" i="1"/>
  <c r="J4226" i="1"/>
  <c r="K4226" i="1"/>
  <c r="M4226" i="1"/>
  <c r="O4226" i="1"/>
  <c r="Q4226" i="1"/>
  <c r="R4226" i="1"/>
  <c r="W4226" i="1"/>
  <c r="AA4226" i="1"/>
  <c r="AB4226" i="1"/>
  <c r="AE4226" i="1"/>
  <c r="AF4226" i="1"/>
  <c r="AM4226" i="1"/>
  <c r="AN4226" i="1"/>
  <c r="AO4226" i="1"/>
  <c r="AQ4226" i="1"/>
  <c r="AX4226" i="1"/>
  <c r="BD4226" i="1"/>
  <c r="B4227" i="1"/>
  <c r="C4227" i="1"/>
  <c r="D4227" i="1"/>
  <c r="E4227" i="1"/>
  <c r="F4227" i="1"/>
  <c r="G4227" i="1"/>
  <c r="H4227" i="1"/>
  <c r="I4227" i="1"/>
  <c r="J4227" i="1"/>
  <c r="K4227" i="1"/>
  <c r="M4227" i="1"/>
  <c r="O4227" i="1"/>
  <c r="Q4227" i="1"/>
  <c r="R4227" i="1"/>
  <c r="W4227" i="1"/>
  <c r="AA4227" i="1"/>
  <c r="AB4227" i="1"/>
  <c r="AM4227" i="1"/>
  <c r="AN4227" i="1"/>
  <c r="AO4227" i="1"/>
  <c r="AQ4227" i="1"/>
  <c r="AX4227" i="1"/>
  <c r="BD4227" i="1"/>
  <c r="B4228" i="1"/>
  <c r="C4228" i="1"/>
  <c r="E4228" i="1"/>
  <c r="F4228" i="1"/>
  <c r="G4228" i="1"/>
  <c r="H4228" i="1"/>
  <c r="I4228" i="1"/>
  <c r="J4228" i="1"/>
  <c r="K4228" i="1"/>
  <c r="M4228" i="1"/>
  <c r="O4228" i="1"/>
  <c r="Q4228" i="1"/>
  <c r="R4228" i="1"/>
  <c r="W4228" i="1"/>
  <c r="AA4228" i="1"/>
  <c r="AM4228" i="1"/>
  <c r="AN4228" i="1"/>
  <c r="AO4228" i="1"/>
  <c r="AQ4228" i="1"/>
  <c r="BB4228" i="1"/>
  <c r="BD4228" i="1"/>
  <c r="B4229" i="1"/>
  <c r="C4229" i="1"/>
  <c r="E4229" i="1"/>
  <c r="F4229" i="1"/>
  <c r="G4229" i="1"/>
  <c r="H4229" i="1"/>
  <c r="I4229" i="1"/>
  <c r="J4229" i="1"/>
  <c r="K4229" i="1"/>
  <c r="M4229" i="1"/>
  <c r="O4229" i="1"/>
  <c r="Q4229" i="1"/>
  <c r="R4229" i="1"/>
  <c r="W4229" i="1"/>
  <c r="AA4229" i="1"/>
  <c r="AM4229" i="1"/>
  <c r="AN4229" i="1"/>
  <c r="AO4229" i="1"/>
  <c r="AQ4229" i="1"/>
  <c r="BB4229" i="1"/>
  <c r="BD4229" i="1"/>
  <c r="B4230" i="1"/>
  <c r="C4230" i="1"/>
  <c r="D4230" i="1"/>
  <c r="E4230" i="1"/>
  <c r="F4230" i="1"/>
  <c r="G4230" i="1"/>
  <c r="H4230" i="1"/>
  <c r="I4230" i="1"/>
  <c r="J4230" i="1"/>
  <c r="K4230" i="1"/>
  <c r="M4230" i="1"/>
  <c r="O4230" i="1"/>
  <c r="Q4230" i="1"/>
  <c r="R4230" i="1"/>
  <c r="W4230" i="1"/>
  <c r="AA4230" i="1"/>
  <c r="AB4230" i="1"/>
  <c r="AM4230" i="1"/>
  <c r="AN4230" i="1"/>
  <c r="AO4230" i="1"/>
  <c r="AQ4230" i="1"/>
  <c r="AX4230" i="1"/>
  <c r="BD4230" i="1"/>
  <c r="B4231" i="1"/>
  <c r="C4231" i="1"/>
  <c r="D4231" i="1"/>
  <c r="E4231" i="1"/>
  <c r="F4231" i="1"/>
  <c r="G4231" i="1"/>
  <c r="H4231" i="1"/>
  <c r="I4231" i="1"/>
  <c r="J4231" i="1"/>
  <c r="K4231" i="1"/>
  <c r="M4231" i="1"/>
  <c r="O4231" i="1"/>
  <c r="Q4231" i="1"/>
  <c r="R4231" i="1"/>
  <c r="W4231" i="1"/>
  <c r="AA4231" i="1"/>
  <c r="AB4231" i="1"/>
  <c r="AE4231" i="1"/>
  <c r="AF4231" i="1"/>
  <c r="AM4231" i="1"/>
  <c r="AN4231" i="1"/>
  <c r="AO4231" i="1"/>
  <c r="AQ4231" i="1"/>
  <c r="AX4231" i="1"/>
  <c r="BD4231" i="1"/>
  <c r="B4232" i="1"/>
  <c r="C4232" i="1"/>
  <c r="D4232" i="1"/>
  <c r="E4232" i="1"/>
  <c r="F4232" i="1"/>
  <c r="G4232" i="1"/>
  <c r="H4232" i="1"/>
  <c r="I4232" i="1"/>
  <c r="J4232" i="1"/>
  <c r="K4232" i="1"/>
  <c r="M4232" i="1"/>
  <c r="O4232" i="1"/>
  <c r="Q4232" i="1"/>
  <c r="R4232" i="1"/>
  <c r="W4232" i="1"/>
  <c r="AA4232" i="1"/>
  <c r="AB4232" i="1"/>
  <c r="AE4232" i="1"/>
  <c r="AF4232" i="1"/>
  <c r="AM4232" i="1"/>
  <c r="AN4232" i="1"/>
  <c r="AO4232" i="1"/>
  <c r="AQ4232" i="1"/>
  <c r="AX4232" i="1"/>
  <c r="BD4232" i="1"/>
  <c r="B4233" i="1"/>
  <c r="C4233" i="1"/>
  <c r="E4233" i="1"/>
  <c r="F4233" i="1"/>
  <c r="G4233" i="1"/>
  <c r="H4233" i="1"/>
  <c r="I4233" i="1"/>
  <c r="J4233" i="1"/>
  <c r="K4233" i="1"/>
  <c r="M4233" i="1"/>
  <c r="O4233" i="1"/>
  <c r="Q4233" i="1"/>
  <c r="R4233" i="1"/>
  <c r="W4233" i="1"/>
  <c r="AA4233" i="1"/>
  <c r="AB4233" i="1"/>
  <c r="AE4233" i="1"/>
  <c r="AF4233" i="1"/>
  <c r="AM4233" i="1"/>
  <c r="AN4233" i="1"/>
  <c r="AO4233" i="1"/>
  <c r="AQ4233" i="1"/>
  <c r="AX4233" i="1"/>
  <c r="BD4233" i="1"/>
  <c r="B4234" i="1"/>
  <c r="C4234" i="1"/>
  <c r="E4234" i="1"/>
  <c r="F4234" i="1"/>
  <c r="G4234" i="1"/>
  <c r="H4234" i="1"/>
  <c r="I4234" i="1"/>
  <c r="J4234" i="1"/>
  <c r="K4234" i="1"/>
  <c r="M4234" i="1"/>
  <c r="O4234" i="1"/>
  <c r="Q4234" i="1"/>
  <c r="R4234" i="1"/>
  <c r="W4234" i="1"/>
  <c r="AA4234" i="1"/>
  <c r="AB4234" i="1"/>
  <c r="AE4234" i="1"/>
  <c r="AF4234" i="1"/>
  <c r="AM4234" i="1"/>
  <c r="AN4234" i="1"/>
  <c r="AO4234" i="1"/>
  <c r="AQ4234" i="1"/>
  <c r="AX4234" i="1"/>
  <c r="BD4234" i="1"/>
  <c r="B4235" i="1"/>
  <c r="C4235" i="1"/>
  <c r="D4235" i="1"/>
  <c r="E4235" i="1"/>
  <c r="F4235" i="1"/>
  <c r="G4235" i="1"/>
  <c r="H4235" i="1"/>
  <c r="I4235" i="1"/>
  <c r="J4235" i="1"/>
  <c r="K4235" i="1"/>
  <c r="M4235" i="1"/>
  <c r="O4235" i="1"/>
  <c r="Q4235" i="1"/>
  <c r="R4235" i="1"/>
  <c r="W4235" i="1"/>
  <c r="AA4235" i="1"/>
  <c r="AB4235" i="1"/>
  <c r="AE4235" i="1"/>
  <c r="AF4235" i="1"/>
  <c r="AM4235" i="1"/>
  <c r="AN4235" i="1"/>
  <c r="AO4235" i="1"/>
  <c r="AQ4235" i="1"/>
  <c r="AX4235" i="1"/>
  <c r="BD4235" i="1"/>
  <c r="B4236" i="1"/>
  <c r="C4236" i="1"/>
  <c r="E4236" i="1"/>
  <c r="F4236" i="1"/>
  <c r="G4236" i="1"/>
  <c r="H4236" i="1"/>
  <c r="I4236" i="1"/>
  <c r="J4236" i="1"/>
  <c r="K4236" i="1"/>
  <c r="M4236" i="1"/>
  <c r="O4236" i="1"/>
  <c r="Q4236" i="1"/>
  <c r="R4236" i="1"/>
  <c r="W4236" i="1"/>
  <c r="AA4236" i="1"/>
  <c r="AB4236" i="1"/>
  <c r="AE4236" i="1"/>
  <c r="AF4236" i="1"/>
  <c r="AM4236" i="1"/>
  <c r="AN4236" i="1"/>
  <c r="AO4236" i="1"/>
  <c r="AQ4236" i="1"/>
  <c r="AX4236" i="1"/>
  <c r="BD4236" i="1"/>
  <c r="B4237" i="1"/>
  <c r="C4237" i="1"/>
  <c r="E4237" i="1"/>
  <c r="F4237" i="1"/>
  <c r="G4237" i="1"/>
  <c r="H4237" i="1"/>
  <c r="I4237" i="1"/>
  <c r="J4237" i="1"/>
  <c r="K4237" i="1"/>
  <c r="M4237" i="1"/>
  <c r="O4237" i="1"/>
  <c r="Q4237" i="1"/>
  <c r="R4237" i="1"/>
  <c r="W4237" i="1"/>
  <c r="AA4237" i="1"/>
  <c r="AB4237" i="1"/>
  <c r="AE4237" i="1"/>
  <c r="AF4237" i="1"/>
  <c r="AM4237" i="1"/>
  <c r="AN4237" i="1"/>
  <c r="AO4237" i="1"/>
  <c r="AQ4237" i="1"/>
  <c r="AX4237" i="1"/>
  <c r="BD4237" i="1"/>
  <c r="B4238" i="1"/>
  <c r="C4238" i="1"/>
  <c r="E4238" i="1"/>
  <c r="F4238" i="1"/>
  <c r="G4238" i="1"/>
  <c r="H4238" i="1"/>
  <c r="I4238" i="1"/>
  <c r="J4238" i="1"/>
  <c r="K4238" i="1"/>
  <c r="M4238" i="1"/>
  <c r="O4238" i="1"/>
  <c r="Q4238" i="1"/>
  <c r="R4238" i="1"/>
  <c r="W4238" i="1"/>
  <c r="AA4238" i="1"/>
  <c r="AB4238" i="1"/>
  <c r="AE4238" i="1"/>
  <c r="AF4238" i="1"/>
  <c r="AM4238" i="1"/>
  <c r="AN4238" i="1"/>
  <c r="AO4238" i="1"/>
  <c r="AQ4238" i="1"/>
  <c r="AX4238" i="1"/>
  <c r="BD4238" i="1"/>
  <c r="B4239" i="1"/>
  <c r="C4239" i="1"/>
  <c r="E4239" i="1"/>
  <c r="F4239" i="1"/>
  <c r="G4239" i="1"/>
  <c r="H4239" i="1"/>
  <c r="I4239" i="1"/>
  <c r="J4239" i="1"/>
  <c r="K4239" i="1"/>
  <c r="M4239" i="1"/>
  <c r="O4239" i="1"/>
  <c r="Q4239" i="1"/>
  <c r="R4239" i="1"/>
  <c r="W4239" i="1"/>
  <c r="AA4239" i="1"/>
  <c r="AB4239" i="1"/>
  <c r="AE4239" i="1"/>
  <c r="AF4239" i="1"/>
  <c r="AM4239" i="1"/>
  <c r="AN4239" i="1"/>
  <c r="AO4239" i="1"/>
  <c r="AQ4239" i="1"/>
  <c r="AX4239" i="1"/>
  <c r="BD4239" i="1"/>
  <c r="B4240" i="1"/>
  <c r="C4240" i="1"/>
  <c r="E4240" i="1"/>
  <c r="F4240" i="1"/>
  <c r="G4240" i="1"/>
  <c r="H4240" i="1"/>
  <c r="I4240" i="1"/>
  <c r="J4240" i="1"/>
  <c r="K4240" i="1"/>
  <c r="M4240" i="1"/>
  <c r="O4240" i="1"/>
  <c r="Q4240" i="1"/>
  <c r="R4240" i="1"/>
  <c r="W4240" i="1"/>
  <c r="AA4240" i="1"/>
  <c r="AB4240" i="1"/>
  <c r="AE4240" i="1"/>
  <c r="AF4240" i="1"/>
  <c r="AM4240" i="1"/>
  <c r="AN4240" i="1"/>
  <c r="AO4240" i="1"/>
  <c r="AQ4240" i="1"/>
  <c r="AX4240" i="1"/>
  <c r="BD4240" i="1"/>
  <c r="B4241" i="1"/>
  <c r="C4241" i="1"/>
  <c r="E4241" i="1"/>
  <c r="F4241" i="1"/>
  <c r="G4241" i="1"/>
  <c r="H4241" i="1"/>
  <c r="I4241" i="1"/>
  <c r="J4241" i="1"/>
  <c r="K4241" i="1"/>
  <c r="M4241" i="1"/>
  <c r="O4241" i="1"/>
  <c r="Q4241" i="1"/>
  <c r="R4241" i="1"/>
  <c r="W4241" i="1"/>
  <c r="AA4241" i="1"/>
  <c r="AB4241" i="1"/>
  <c r="AE4241" i="1"/>
  <c r="AF4241" i="1"/>
  <c r="AM4241" i="1"/>
  <c r="AN4241" i="1"/>
  <c r="AO4241" i="1"/>
  <c r="AQ4241" i="1"/>
  <c r="AX4241" i="1"/>
  <c r="BD4241" i="1"/>
  <c r="B4242" i="1"/>
  <c r="C4242" i="1"/>
  <c r="E4242" i="1"/>
  <c r="F4242" i="1"/>
  <c r="G4242" i="1"/>
  <c r="H4242" i="1"/>
  <c r="I4242" i="1"/>
  <c r="J4242" i="1"/>
  <c r="K4242" i="1"/>
  <c r="M4242" i="1"/>
  <c r="O4242" i="1"/>
  <c r="Q4242" i="1"/>
  <c r="R4242" i="1"/>
  <c r="W4242" i="1"/>
  <c r="AA4242" i="1"/>
  <c r="AB4242" i="1"/>
  <c r="AE4242" i="1"/>
  <c r="AF4242" i="1"/>
  <c r="AM4242" i="1"/>
  <c r="AN4242" i="1"/>
  <c r="AO4242" i="1"/>
  <c r="AQ4242" i="1"/>
  <c r="AX4242" i="1"/>
  <c r="BD4242" i="1"/>
  <c r="B4243" i="1"/>
  <c r="C4243" i="1"/>
  <c r="E4243" i="1"/>
  <c r="F4243" i="1"/>
  <c r="G4243" i="1"/>
  <c r="H4243" i="1"/>
  <c r="I4243" i="1"/>
  <c r="J4243" i="1"/>
  <c r="K4243" i="1"/>
  <c r="M4243" i="1"/>
  <c r="O4243" i="1"/>
  <c r="Q4243" i="1"/>
  <c r="R4243" i="1"/>
  <c r="W4243" i="1"/>
  <c r="AA4243" i="1"/>
  <c r="AB4243" i="1"/>
  <c r="AE4243" i="1"/>
  <c r="AF4243" i="1"/>
  <c r="AM4243" i="1"/>
  <c r="AN4243" i="1"/>
  <c r="AO4243" i="1"/>
  <c r="AQ4243" i="1"/>
  <c r="AX4243" i="1"/>
  <c r="BD4243" i="1"/>
  <c r="B4244" i="1"/>
  <c r="C4244" i="1"/>
  <c r="D4244" i="1"/>
  <c r="E4244" i="1"/>
  <c r="F4244" i="1"/>
  <c r="G4244" i="1"/>
  <c r="H4244" i="1"/>
  <c r="I4244" i="1"/>
  <c r="J4244" i="1"/>
  <c r="K4244" i="1"/>
  <c r="M4244" i="1"/>
  <c r="O4244" i="1"/>
  <c r="Q4244" i="1"/>
  <c r="R4244" i="1"/>
  <c r="W4244" i="1"/>
  <c r="AA4244" i="1"/>
  <c r="AB4244" i="1"/>
  <c r="AE4244" i="1"/>
  <c r="AF4244" i="1"/>
  <c r="AM4244" i="1"/>
  <c r="AN4244" i="1"/>
  <c r="AO4244" i="1"/>
  <c r="AQ4244" i="1"/>
  <c r="AX4244" i="1"/>
  <c r="BD4244" i="1"/>
  <c r="B4245" i="1"/>
  <c r="C4245" i="1"/>
  <c r="D4245" i="1"/>
  <c r="E4245" i="1"/>
  <c r="F4245" i="1"/>
  <c r="G4245" i="1"/>
  <c r="H4245" i="1"/>
  <c r="I4245" i="1"/>
  <c r="J4245" i="1"/>
  <c r="K4245" i="1"/>
  <c r="M4245" i="1"/>
  <c r="O4245" i="1"/>
  <c r="Q4245" i="1"/>
  <c r="R4245" i="1"/>
  <c r="W4245" i="1"/>
  <c r="AA4245" i="1"/>
  <c r="AB4245" i="1"/>
  <c r="AE4245" i="1"/>
  <c r="AF4245" i="1"/>
  <c r="AM4245" i="1"/>
  <c r="AN4245" i="1"/>
  <c r="AO4245" i="1"/>
  <c r="AQ4245" i="1"/>
  <c r="AX4245" i="1"/>
  <c r="BD4245" i="1"/>
  <c r="B4246" i="1"/>
  <c r="C4246" i="1"/>
  <c r="D4246" i="1"/>
  <c r="E4246" i="1"/>
  <c r="F4246" i="1"/>
  <c r="G4246" i="1"/>
  <c r="H4246" i="1"/>
  <c r="I4246" i="1"/>
  <c r="J4246" i="1"/>
  <c r="K4246" i="1"/>
  <c r="M4246" i="1"/>
  <c r="O4246" i="1"/>
  <c r="Q4246" i="1"/>
  <c r="R4246" i="1"/>
  <c r="W4246" i="1"/>
  <c r="AA4246" i="1"/>
  <c r="AB4246" i="1"/>
  <c r="AE4246" i="1"/>
  <c r="AF4246" i="1"/>
  <c r="AM4246" i="1"/>
  <c r="AN4246" i="1"/>
  <c r="AO4246" i="1"/>
  <c r="AQ4246" i="1"/>
  <c r="AX4246" i="1"/>
  <c r="BD4246" i="1"/>
  <c r="B4247" i="1"/>
  <c r="E4247" i="1"/>
  <c r="F4247" i="1"/>
  <c r="G4247" i="1"/>
  <c r="H4247" i="1"/>
  <c r="I4247" i="1"/>
  <c r="J4247" i="1"/>
  <c r="K4247" i="1"/>
  <c r="M4247" i="1"/>
  <c r="O4247" i="1"/>
  <c r="Q4247" i="1"/>
  <c r="R4247" i="1"/>
  <c r="W4247" i="1"/>
  <c r="AA4247" i="1"/>
  <c r="AB4247" i="1"/>
  <c r="AE4247" i="1"/>
  <c r="AF4247" i="1"/>
  <c r="AM4247" i="1"/>
  <c r="AN4247" i="1"/>
  <c r="AO4247" i="1"/>
  <c r="AQ4247" i="1"/>
  <c r="AX4247" i="1"/>
  <c r="BD4247" i="1"/>
  <c r="B4248" i="1"/>
  <c r="E4248" i="1"/>
  <c r="F4248" i="1"/>
  <c r="G4248" i="1"/>
  <c r="H4248" i="1"/>
  <c r="I4248" i="1"/>
  <c r="J4248" i="1"/>
  <c r="K4248" i="1"/>
  <c r="M4248" i="1"/>
  <c r="O4248" i="1"/>
  <c r="Q4248" i="1"/>
  <c r="R4248" i="1"/>
  <c r="W4248" i="1"/>
  <c r="AA4248" i="1"/>
  <c r="AB4248" i="1"/>
  <c r="AE4248" i="1"/>
  <c r="AF4248" i="1"/>
  <c r="AM4248" i="1"/>
  <c r="AN4248" i="1"/>
  <c r="AO4248" i="1"/>
  <c r="AQ4248" i="1"/>
  <c r="AX4248" i="1"/>
  <c r="BD4248" i="1"/>
  <c r="B4249" i="1"/>
  <c r="C4249" i="1"/>
  <c r="E4249" i="1"/>
  <c r="F4249" i="1"/>
  <c r="G4249" i="1"/>
  <c r="H4249" i="1"/>
  <c r="I4249" i="1"/>
  <c r="J4249" i="1"/>
  <c r="K4249" i="1"/>
  <c r="M4249" i="1"/>
  <c r="O4249" i="1"/>
  <c r="Q4249" i="1"/>
  <c r="R4249" i="1"/>
  <c r="W4249" i="1"/>
  <c r="AA4249" i="1"/>
  <c r="AB4249" i="1"/>
  <c r="AE4249" i="1"/>
  <c r="AF4249" i="1"/>
  <c r="AM4249" i="1"/>
  <c r="AN4249" i="1"/>
  <c r="AO4249" i="1"/>
  <c r="AQ4249" i="1"/>
  <c r="AX4249" i="1"/>
  <c r="BD4249" i="1"/>
  <c r="B4250" i="1"/>
  <c r="C4250" i="1"/>
  <c r="E4250" i="1"/>
  <c r="F4250" i="1"/>
  <c r="G4250" i="1"/>
  <c r="H4250" i="1"/>
  <c r="I4250" i="1"/>
  <c r="J4250" i="1"/>
  <c r="K4250" i="1"/>
  <c r="M4250" i="1"/>
  <c r="O4250" i="1"/>
  <c r="Q4250" i="1"/>
  <c r="R4250" i="1"/>
  <c r="W4250" i="1"/>
  <c r="AA4250" i="1"/>
  <c r="AB4250" i="1"/>
  <c r="AE4250" i="1"/>
  <c r="AF4250" i="1"/>
  <c r="AM4250" i="1"/>
  <c r="AN4250" i="1"/>
  <c r="AO4250" i="1"/>
  <c r="AQ4250" i="1"/>
  <c r="AX4250" i="1"/>
  <c r="BD4250" i="1"/>
  <c r="B4251" i="1"/>
  <c r="C4251" i="1"/>
  <c r="D4251" i="1"/>
  <c r="E4251" i="1"/>
  <c r="F4251" i="1"/>
  <c r="G4251" i="1"/>
  <c r="H4251" i="1"/>
  <c r="I4251" i="1"/>
  <c r="J4251" i="1"/>
  <c r="K4251" i="1"/>
  <c r="M4251" i="1"/>
  <c r="O4251" i="1"/>
  <c r="Q4251" i="1"/>
  <c r="R4251" i="1"/>
  <c r="W4251" i="1"/>
  <c r="AA4251" i="1"/>
  <c r="AB4251" i="1"/>
  <c r="AE4251" i="1"/>
  <c r="AF4251" i="1"/>
  <c r="AM4251" i="1"/>
  <c r="AN4251" i="1"/>
  <c r="AO4251" i="1"/>
  <c r="AQ4251" i="1"/>
  <c r="AX4251" i="1"/>
  <c r="BD4251" i="1"/>
  <c r="B4252" i="1"/>
  <c r="C4252" i="1"/>
  <c r="D4252" i="1"/>
  <c r="E4252" i="1"/>
  <c r="F4252" i="1"/>
  <c r="G4252" i="1"/>
  <c r="H4252" i="1"/>
  <c r="I4252" i="1"/>
  <c r="J4252" i="1"/>
  <c r="K4252" i="1"/>
  <c r="M4252" i="1"/>
  <c r="O4252" i="1"/>
  <c r="Q4252" i="1"/>
  <c r="R4252" i="1"/>
  <c r="W4252" i="1"/>
  <c r="AA4252" i="1"/>
  <c r="AB4252" i="1"/>
  <c r="AE4252" i="1"/>
  <c r="AF4252" i="1"/>
  <c r="AM4252" i="1"/>
  <c r="AN4252" i="1"/>
  <c r="AO4252" i="1"/>
  <c r="AQ4252" i="1"/>
  <c r="AX4252" i="1"/>
  <c r="BD4252" i="1"/>
  <c r="B4253" i="1"/>
  <c r="C4253" i="1"/>
  <c r="D4253" i="1"/>
  <c r="E4253" i="1"/>
  <c r="F4253" i="1"/>
  <c r="G4253" i="1"/>
  <c r="H4253" i="1"/>
  <c r="I4253" i="1"/>
  <c r="J4253" i="1"/>
  <c r="K4253" i="1"/>
  <c r="M4253" i="1"/>
  <c r="O4253" i="1"/>
  <c r="Q4253" i="1"/>
  <c r="R4253" i="1"/>
  <c r="W4253" i="1"/>
  <c r="AA4253" i="1"/>
  <c r="AB4253" i="1"/>
  <c r="AM4253" i="1"/>
  <c r="AN4253" i="1"/>
  <c r="AO4253" i="1"/>
  <c r="AQ4253" i="1"/>
  <c r="AX4253" i="1"/>
  <c r="BD4253" i="1"/>
  <c r="B4254" i="1"/>
  <c r="C4254" i="1"/>
  <c r="D4254" i="1"/>
  <c r="E4254" i="1"/>
  <c r="F4254" i="1"/>
  <c r="G4254" i="1"/>
  <c r="H4254" i="1"/>
  <c r="I4254" i="1"/>
  <c r="J4254" i="1"/>
  <c r="K4254" i="1"/>
  <c r="M4254" i="1"/>
  <c r="O4254" i="1"/>
  <c r="Q4254" i="1"/>
  <c r="R4254" i="1"/>
  <c r="W4254" i="1"/>
  <c r="AA4254" i="1"/>
  <c r="AB4254" i="1"/>
  <c r="AM4254" i="1"/>
  <c r="AN4254" i="1"/>
  <c r="AO4254" i="1"/>
  <c r="AQ4254" i="1"/>
  <c r="AX4254" i="1"/>
  <c r="BD4254" i="1"/>
  <c r="B4255" i="1"/>
  <c r="C4255" i="1"/>
  <c r="E4255" i="1"/>
  <c r="F4255" i="1"/>
  <c r="G4255" i="1"/>
  <c r="H4255" i="1"/>
  <c r="I4255" i="1"/>
  <c r="J4255" i="1"/>
  <c r="K4255" i="1"/>
  <c r="M4255" i="1"/>
  <c r="O4255" i="1"/>
  <c r="Q4255" i="1"/>
  <c r="R4255" i="1"/>
  <c r="W4255" i="1"/>
  <c r="AM4255" i="1"/>
  <c r="AN4255" i="1"/>
  <c r="AO4255" i="1"/>
  <c r="AQ4255" i="1"/>
  <c r="BB4255" i="1"/>
  <c r="BD4255" i="1"/>
  <c r="B4256" i="1"/>
  <c r="C4256" i="1"/>
  <c r="E4256" i="1"/>
  <c r="F4256" i="1"/>
  <c r="G4256" i="1"/>
  <c r="H4256" i="1"/>
  <c r="I4256" i="1"/>
  <c r="J4256" i="1"/>
  <c r="K4256" i="1"/>
  <c r="M4256" i="1"/>
  <c r="O4256" i="1"/>
  <c r="Q4256" i="1"/>
  <c r="R4256" i="1"/>
  <c r="W4256" i="1"/>
  <c r="AM4256" i="1"/>
  <c r="AN4256" i="1"/>
  <c r="AO4256" i="1"/>
  <c r="AQ4256" i="1"/>
  <c r="BB4256" i="1"/>
  <c r="BD4256" i="1"/>
  <c r="B4257" i="1"/>
  <c r="C4257" i="1"/>
  <c r="D4257" i="1"/>
  <c r="E4257" i="1"/>
  <c r="F4257" i="1"/>
  <c r="G4257" i="1"/>
  <c r="H4257" i="1"/>
  <c r="I4257" i="1"/>
  <c r="J4257" i="1"/>
  <c r="K4257" i="1"/>
  <c r="M4257" i="1"/>
  <c r="O4257" i="1"/>
  <c r="Q4257" i="1"/>
  <c r="R4257" i="1"/>
  <c r="W4257" i="1"/>
  <c r="AA4257" i="1"/>
  <c r="AB4257" i="1"/>
  <c r="AM4257" i="1"/>
  <c r="AN4257" i="1"/>
  <c r="AO4257" i="1"/>
  <c r="AQ4257" i="1"/>
  <c r="AX4257" i="1"/>
  <c r="BD4257" i="1"/>
  <c r="B4258" i="1"/>
  <c r="C4258" i="1"/>
  <c r="D4258" i="1"/>
  <c r="E4258" i="1"/>
  <c r="F4258" i="1"/>
  <c r="G4258" i="1"/>
  <c r="H4258" i="1"/>
  <c r="I4258" i="1"/>
  <c r="J4258" i="1"/>
  <c r="K4258" i="1"/>
  <c r="M4258" i="1"/>
  <c r="O4258" i="1"/>
  <c r="Q4258" i="1"/>
  <c r="R4258" i="1"/>
  <c r="W4258" i="1"/>
  <c r="AA4258" i="1"/>
  <c r="AB4258" i="1"/>
  <c r="AM4258" i="1"/>
  <c r="AN4258" i="1"/>
  <c r="AO4258" i="1"/>
  <c r="AQ4258" i="1"/>
  <c r="AX4258" i="1"/>
  <c r="BD4258" i="1"/>
  <c r="B4259" i="1"/>
  <c r="C4259" i="1"/>
  <c r="D4259" i="1"/>
  <c r="E4259" i="1"/>
  <c r="F4259" i="1"/>
  <c r="G4259" i="1"/>
  <c r="H4259" i="1"/>
  <c r="I4259" i="1"/>
  <c r="J4259" i="1"/>
  <c r="K4259" i="1"/>
  <c r="M4259" i="1"/>
  <c r="O4259" i="1"/>
  <c r="Q4259" i="1"/>
  <c r="R4259" i="1"/>
  <c r="W4259" i="1"/>
  <c r="AA4259" i="1"/>
  <c r="AB4259" i="1"/>
  <c r="AM4259" i="1"/>
  <c r="AN4259" i="1"/>
  <c r="AO4259" i="1"/>
  <c r="AQ4259" i="1"/>
  <c r="AX4259" i="1"/>
  <c r="BD4259" i="1"/>
  <c r="B4260" i="1"/>
  <c r="C4260" i="1"/>
  <c r="E4260" i="1"/>
  <c r="F4260" i="1"/>
  <c r="G4260" i="1"/>
  <c r="H4260" i="1"/>
  <c r="I4260" i="1"/>
  <c r="J4260" i="1"/>
  <c r="K4260" i="1"/>
  <c r="M4260" i="1"/>
  <c r="O4260" i="1"/>
  <c r="Q4260" i="1"/>
  <c r="R4260" i="1"/>
  <c r="W4260" i="1"/>
  <c r="AA4260" i="1"/>
  <c r="AB4260" i="1"/>
  <c r="AE4260" i="1"/>
  <c r="AF4260" i="1"/>
  <c r="AM4260" i="1"/>
  <c r="AN4260" i="1"/>
  <c r="AO4260" i="1"/>
  <c r="AQ4260" i="1"/>
  <c r="AX4260" i="1"/>
  <c r="BD4260" i="1"/>
  <c r="B4261" i="1"/>
  <c r="C4261" i="1"/>
  <c r="E4261" i="1"/>
  <c r="F4261" i="1"/>
  <c r="G4261" i="1"/>
  <c r="H4261" i="1"/>
  <c r="I4261" i="1"/>
  <c r="J4261" i="1"/>
  <c r="K4261" i="1"/>
  <c r="M4261" i="1"/>
  <c r="O4261" i="1"/>
  <c r="Q4261" i="1"/>
  <c r="R4261" i="1"/>
  <c r="W4261" i="1"/>
  <c r="AA4261" i="1"/>
  <c r="AB4261" i="1"/>
  <c r="AM4261" i="1"/>
  <c r="AN4261" i="1"/>
  <c r="AO4261" i="1"/>
  <c r="AQ4261" i="1"/>
  <c r="AX4261" i="1"/>
  <c r="BD4261" i="1"/>
  <c r="B4262" i="1"/>
  <c r="C4262" i="1"/>
  <c r="D4262" i="1"/>
  <c r="E4262" i="1"/>
  <c r="F4262" i="1"/>
  <c r="G4262" i="1"/>
  <c r="H4262" i="1"/>
  <c r="I4262" i="1"/>
  <c r="J4262" i="1"/>
  <c r="K4262" i="1"/>
  <c r="M4262" i="1"/>
  <c r="O4262" i="1"/>
  <c r="Q4262" i="1"/>
  <c r="R4262" i="1"/>
  <c r="W4262" i="1"/>
  <c r="AA4262" i="1"/>
  <c r="AB4262" i="1"/>
  <c r="AE4262" i="1"/>
  <c r="AF4262" i="1"/>
  <c r="AM4262" i="1"/>
  <c r="AN4262" i="1"/>
  <c r="AO4262" i="1"/>
  <c r="AQ4262" i="1"/>
  <c r="AX4262" i="1"/>
  <c r="BD4262" i="1"/>
  <c r="B4263" i="1"/>
  <c r="C4263" i="1"/>
  <c r="D4263" i="1"/>
  <c r="E4263" i="1"/>
  <c r="F4263" i="1"/>
  <c r="G4263" i="1"/>
  <c r="H4263" i="1"/>
  <c r="I4263" i="1"/>
  <c r="J4263" i="1"/>
  <c r="K4263" i="1"/>
  <c r="M4263" i="1"/>
  <c r="O4263" i="1"/>
  <c r="Q4263" i="1"/>
  <c r="R4263" i="1"/>
  <c r="W4263" i="1"/>
  <c r="AA4263" i="1"/>
  <c r="AB4263" i="1"/>
  <c r="AE4263" i="1"/>
  <c r="AF4263" i="1"/>
  <c r="AM4263" i="1"/>
  <c r="AN4263" i="1"/>
  <c r="AO4263" i="1"/>
  <c r="AQ4263" i="1"/>
  <c r="AX4263" i="1"/>
  <c r="BD4263" i="1"/>
  <c r="B4264" i="1"/>
  <c r="C4264" i="1"/>
  <c r="D4264" i="1"/>
  <c r="E4264" i="1"/>
  <c r="F4264" i="1"/>
  <c r="G4264" i="1"/>
  <c r="H4264" i="1"/>
  <c r="I4264" i="1"/>
  <c r="J4264" i="1"/>
  <c r="K4264" i="1"/>
  <c r="M4264" i="1"/>
  <c r="O4264" i="1"/>
  <c r="Q4264" i="1"/>
  <c r="R4264" i="1"/>
  <c r="W4264" i="1"/>
  <c r="AA4264" i="1"/>
  <c r="AB4264" i="1"/>
  <c r="AE4264" i="1"/>
  <c r="AF4264" i="1"/>
  <c r="AM4264" i="1"/>
  <c r="AN4264" i="1"/>
  <c r="AO4264" i="1"/>
  <c r="AQ4264" i="1"/>
  <c r="AX4264" i="1"/>
  <c r="BD4264" i="1"/>
  <c r="B4265" i="1"/>
  <c r="C4265" i="1"/>
  <c r="D4265" i="1"/>
  <c r="E4265" i="1"/>
  <c r="F4265" i="1"/>
  <c r="G4265" i="1"/>
  <c r="H4265" i="1"/>
  <c r="I4265" i="1"/>
  <c r="J4265" i="1"/>
  <c r="K4265" i="1"/>
  <c r="M4265" i="1"/>
  <c r="O4265" i="1"/>
  <c r="Q4265" i="1"/>
  <c r="R4265" i="1"/>
  <c r="W4265" i="1"/>
  <c r="AA4265" i="1"/>
  <c r="AB4265" i="1"/>
  <c r="AE4265" i="1"/>
  <c r="AF4265" i="1"/>
  <c r="AM4265" i="1"/>
  <c r="AN4265" i="1"/>
  <c r="AO4265" i="1"/>
  <c r="AQ4265" i="1"/>
  <c r="AX4265" i="1"/>
  <c r="BD4265" i="1"/>
  <c r="B4266" i="1"/>
  <c r="C4266" i="1"/>
  <c r="D4266" i="1"/>
  <c r="E4266" i="1"/>
  <c r="F4266" i="1"/>
  <c r="G4266" i="1"/>
  <c r="H4266" i="1"/>
  <c r="I4266" i="1"/>
  <c r="J4266" i="1"/>
  <c r="K4266" i="1"/>
  <c r="M4266" i="1"/>
  <c r="O4266" i="1"/>
  <c r="Q4266" i="1"/>
  <c r="R4266" i="1"/>
  <c r="W4266" i="1"/>
  <c r="AA4266" i="1"/>
  <c r="AB4266" i="1"/>
  <c r="AE4266" i="1"/>
  <c r="AF4266" i="1"/>
  <c r="AM4266" i="1"/>
  <c r="AN4266" i="1"/>
  <c r="AO4266" i="1"/>
  <c r="AQ4266" i="1"/>
  <c r="AX4266" i="1"/>
  <c r="BD4266" i="1"/>
  <c r="B4267" i="1"/>
  <c r="C4267" i="1"/>
  <c r="D4267" i="1"/>
  <c r="E4267" i="1"/>
  <c r="F4267" i="1"/>
  <c r="G4267" i="1"/>
  <c r="H4267" i="1"/>
  <c r="I4267" i="1"/>
  <c r="J4267" i="1"/>
  <c r="K4267" i="1"/>
  <c r="M4267" i="1"/>
  <c r="O4267" i="1"/>
  <c r="Q4267" i="1"/>
  <c r="R4267" i="1"/>
  <c r="W4267" i="1"/>
  <c r="AA4267" i="1"/>
  <c r="AB4267" i="1"/>
  <c r="AE4267" i="1"/>
  <c r="AF4267" i="1"/>
  <c r="AM4267" i="1"/>
  <c r="AN4267" i="1"/>
  <c r="AO4267" i="1"/>
  <c r="AQ4267" i="1"/>
  <c r="AX4267" i="1"/>
  <c r="BD4267" i="1"/>
  <c r="B4268" i="1"/>
  <c r="C4268" i="1"/>
  <c r="D4268" i="1"/>
  <c r="E4268" i="1"/>
  <c r="F4268" i="1"/>
  <c r="G4268" i="1"/>
  <c r="H4268" i="1"/>
  <c r="I4268" i="1"/>
  <c r="J4268" i="1"/>
  <c r="K4268" i="1"/>
  <c r="M4268" i="1"/>
  <c r="O4268" i="1"/>
  <c r="Q4268" i="1"/>
  <c r="R4268" i="1"/>
  <c r="W4268" i="1"/>
  <c r="AA4268" i="1"/>
  <c r="AB4268" i="1"/>
  <c r="AE4268" i="1"/>
  <c r="AF4268" i="1"/>
  <c r="AM4268" i="1"/>
  <c r="AN4268" i="1"/>
  <c r="AO4268" i="1"/>
  <c r="AQ4268" i="1"/>
  <c r="AX4268" i="1"/>
  <c r="BD4268" i="1"/>
  <c r="B4269" i="1"/>
  <c r="C4269" i="1"/>
  <c r="D4269" i="1"/>
  <c r="E4269" i="1"/>
  <c r="F4269" i="1"/>
  <c r="G4269" i="1"/>
  <c r="H4269" i="1"/>
  <c r="I4269" i="1"/>
  <c r="J4269" i="1"/>
  <c r="K4269" i="1"/>
  <c r="M4269" i="1"/>
  <c r="O4269" i="1"/>
  <c r="Q4269" i="1"/>
  <c r="R4269" i="1"/>
  <c r="W4269" i="1"/>
  <c r="AA4269" i="1"/>
  <c r="AB4269" i="1"/>
  <c r="AE4269" i="1"/>
  <c r="AF4269" i="1"/>
  <c r="AM4269" i="1"/>
  <c r="AN4269" i="1"/>
  <c r="AO4269" i="1"/>
  <c r="AQ4269" i="1"/>
  <c r="AX4269" i="1"/>
  <c r="BD4269" i="1"/>
  <c r="B4270" i="1"/>
  <c r="C4270" i="1"/>
  <c r="E4270" i="1"/>
  <c r="F4270" i="1"/>
  <c r="G4270" i="1"/>
  <c r="H4270" i="1"/>
  <c r="I4270" i="1"/>
  <c r="J4270" i="1"/>
  <c r="K4270" i="1"/>
  <c r="M4270" i="1"/>
  <c r="O4270" i="1"/>
  <c r="Q4270" i="1"/>
  <c r="R4270" i="1"/>
  <c r="W4270" i="1"/>
  <c r="AA4270" i="1"/>
  <c r="AM4270" i="1"/>
  <c r="AN4270" i="1"/>
  <c r="AO4270" i="1"/>
  <c r="AQ4270" i="1"/>
  <c r="BB4270" i="1"/>
  <c r="BD4270" i="1"/>
  <c r="B4271" i="1"/>
  <c r="C4271" i="1"/>
  <c r="E4271" i="1"/>
  <c r="F4271" i="1"/>
  <c r="G4271" i="1"/>
  <c r="H4271" i="1"/>
  <c r="I4271" i="1"/>
  <c r="J4271" i="1"/>
  <c r="K4271" i="1"/>
  <c r="M4271" i="1"/>
  <c r="O4271" i="1"/>
  <c r="Q4271" i="1"/>
  <c r="R4271" i="1"/>
  <c r="W4271" i="1"/>
  <c r="AA4271" i="1"/>
  <c r="AM4271" i="1"/>
  <c r="AN4271" i="1"/>
  <c r="AO4271" i="1"/>
  <c r="AQ4271" i="1"/>
  <c r="BB4271" i="1"/>
  <c r="BD4271" i="1"/>
  <c r="B4272" i="1"/>
  <c r="C4272" i="1"/>
  <c r="E4272" i="1"/>
  <c r="F4272" i="1"/>
  <c r="G4272" i="1"/>
  <c r="H4272" i="1"/>
  <c r="I4272" i="1"/>
  <c r="J4272" i="1"/>
  <c r="K4272" i="1"/>
  <c r="M4272" i="1"/>
  <c r="O4272" i="1"/>
  <c r="Q4272" i="1"/>
  <c r="R4272" i="1"/>
  <c r="W4272" i="1"/>
  <c r="AA4272" i="1"/>
  <c r="AB4272" i="1"/>
  <c r="AE4272" i="1"/>
  <c r="AF4272" i="1"/>
  <c r="AM4272" i="1"/>
  <c r="AN4272" i="1"/>
  <c r="AO4272" i="1"/>
  <c r="AQ4272" i="1"/>
  <c r="AX4272" i="1"/>
  <c r="BD4272" i="1"/>
  <c r="B4273" i="1"/>
  <c r="C4273" i="1"/>
  <c r="E4273" i="1"/>
  <c r="F4273" i="1"/>
  <c r="G4273" i="1"/>
  <c r="H4273" i="1"/>
  <c r="I4273" i="1"/>
  <c r="J4273" i="1"/>
  <c r="K4273" i="1"/>
  <c r="M4273" i="1"/>
  <c r="O4273" i="1"/>
  <c r="Q4273" i="1"/>
  <c r="R4273" i="1"/>
  <c r="W4273" i="1"/>
  <c r="AA4273" i="1"/>
  <c r="AB4273" i="1"/>
  <c r="AM4273" i="1"/>
  <c r="AN4273" i="1"/>
  <c r="AO4273" i="1"/>
  <c r="AQ4273" i="1"/>
  <c r="AX4273" i="1"/>
  <c r="BD4273" i="1"/>
  <c r="B4274" i="1"/>
  <c r="C4274" i="1"/>
  <c r="E4274" i="1"/>
  <c r="F4274" i="1"/>
  <c r="G4274" i="1"/>
  <c r="H4274" i="1"/>
  <c r="I4274" i="1"/>
  <c r="J4274" i="1"/>
  <c r="K4274" i="1"/>
  <c r="M4274" i="1"/>
  <c r="O4274" i="1"/>
  <c r="Q4274" i="1"/>
  <c r="R4274" i="1"/>
  <c r="W4274" i="1"/>
  <c r="AA4274" i="1"/>
  <c r="AB4274" i="1"/>
  <c r="AM4274" i="1"/>
  <c r="AN4274" i="1"/>
  <c r="AO4274" i="1"/>
  <c r="AQ4274" i="1"/>
  <c r="AX4274" i="1"/>
  <c r="BD4274" i="1"/>
  <c r="B4275" i="1"/>
  <c r="C4275" i="1"/>
  <c r="E4275" i="1"/>
  <c r="F4275" i="1"/>
  <c r="G4275" i="1"/>
  <c r="H4275" i="1"/>
  <c r="I4275" i="1"/>
  <c r="J4275" i="1"/>
  <c r="K4275" i="1"/>
  <c r="M4275" i="1"/>
  <c r="O4275" i="1"/>
  <c r="Q4275" i="1"/>
  <c r="R4275" i="1"/>
  <c r="W4275" i="1"/>
  <c r="AA4275" i="1"/>
  <c r="AB4275" i="1"/>
  <c r="AM4275" i="1"/>
  <c r="AN4275" i="1"/>
  <c r="AO4275" i="1"/>
  <c r="AQ4275" i="1"/>
  <c r="AX4275" i="1"/>
  <c r="BD4275" i="1"/>
  <c r="B4276" i="1"/>
  <c r="C4276" i="1"/>
  <c r="E4276" i="1"/>
  <c r="F4276" i="1"/>
  <c r="G4276" i="1"/>
  <c r="H4276" i="1"/>
  <c r="I4276" i="1"/>
  <c r="J4276" i="1"/>
  <c r="K4276" i="1"/>
  <c r="M4276" i="1"/>
  <c r="O4276" i="1"/>
  <c r="Q4276" i="1"/>
  <c r="R4276" i="1"/>
  <c r="W4276" i="1"/>
  <c r="AA4276" i="1"/>
  <c r="AB4276" i="1"/>
  <c r="AM4276" i="1"/>
  <c r="AN4276" i="1"/>
  <c r="AO4276" i="1"/>
  <c r="AQ4276" i="1"/>
  <c r="AX4276" i="1"/>
  <c r="BD4276" i="1"/>
  <c r="B4277" i="1"/>
  <c r="C4277" i="1"/>
  <c r="E4277" i="1"/>
  <c r="F4277" i="1"/>
  <c r="G4277" i="1"/>
  <c r="H4277" i="1"/>
  <c r="I4277" i="1"/>
  <c r="J4277" i="1"/>
  <c r="K4277" i="1"/>
  <c r="M4277" i="1"/>
  <c r="O4277" i="1"/>
  <c r="Q4277" i="1"/>
  <c r="R4277" i="1"/>
  <c r="W4277" i="1"/>
  <c r="AA4277" i="1"/>
  <c r="AB4277" i="1"/>
  <c r="AM4277" i="1"/>
  <c r="AN4277" i="1"/>
  <c r="AO4277" i="1"/>
  <c r="AQ4277" i="1"/>
  <c r="AX4277" i="1"/>
  <c r="BD4277" i="1"/>
  <c r="B4278" i="1"/>
  <c r="C4278" i="1"/>
  <c r="E4278" i="1"/>
  <c r="F4278" i="1"/>
  <c r="G4278" i="1"/>
  <c r="H4278" i="1"/>
  <c r="I4278" i="1"/>
  <c r="J4278" i="1"/>
  <c r="K4278" i="1"/>
  <c r="M4278" i="1"/>
  <c r="O4278" i="1"/>
  <c r="Q4278" i="1"/>
  <c r="R4278" i="1"/>
  <c r="W4278" i="1"/>
  <c r="AA4278" i="1"/>
  <c r="AB4278" i="1"/>
  <c r="AM4278" i="1"/>
  <c r="AN4278" i="1"/>
  <c r="AO4278" i="1"/>
  <c r="AQ4278" i="1"/>
  <c r="AX4278" i="1"/>
  <c r="BD4278" i="1"/>
  <c r="B4279" i="1"/>
  <c r="C4279" i="1"/>
  <c r="E4279" i="1"/>
  <c r="F4279" i="1"/>
  <c r="G4279" i="1"/>
  <c r="H4279" i="1"/>
  <c r="I4279" i="1"/>
  <c r="J4279" i="1"/>
  <c r="K4279" i="1"/>
  <c r="M4279" i="1"/>
  <c r="O4279" i="1"/>
  <c r="Q4279" i="1"/>
  <c r="R4279" i="1"/>
  <c r="W4279" i="1"/>
  <c r="AA4279" i="1"/>
  <c r="AB4279" i="1"/>
  <c r="AM4279" i="1"/>
  <c r="AN4279" i="1"/>
  <c r="AO4279" i="1"/>
  <c r="AQ4279" i="1"/>
  <c r="AX4279" i="1"/>
  <c r="BD4279" i="1"/>
  <c r="B4280" i="1"/>
  <c r="C4280" i="1"/>
  <c r="E4280" i="1"/>
  <c r="F4280" i="1"/>
  <c r="G4280" i="1"/>
  <c r="H4280" i="1"/>
  <c r="I4280" i="1"/>
  <c r="J4280" i="1"/>
  <c r="K4280" i="1"/>
  <c r="M4280" i="1"/>
  <c r="O4280" i="1"/>
  <c r="Q4280" i="1"/>
  <c r="R4280" i="1"/>
  <c r="W4280" i="1"/>
  <c r="AA4280" i="1"/>
  <c r="AB4280" i="1"/>
  <c r="AM4280" i="1"/>
  <c r="AN4280" i="1"/>
  <c r="AO4280" i="1"/>
  <c r="AQ4280" i="1"/>
  <c r="AX4280" i="1"/>
  <c r="BD4280" i="1"/>
  <c r="B4281" i="1"/>
  <c r="C4281" i="1"/>
  <c r="D4281" i="1"/>
  <c r="E4281" i="1"/>
  <c r="F4281" i="1"/>
  <c r="G4281" i="1"/>
  <c r="H4281" i="1"/>
  <c r="I4281" i="1"/>
  <c r="J4281" i="1"/>
  <c r="K4281" i="1"/>
  <c r="M4281" i="1"/>
  <c r="O4281" i="1"/>
  <c r="Q4281" i="1"/>
  <c r="R4281" i="1"/>
  <c r="W4281" i="1"/>
  <c r="AA4281" i="1"/>
  <c r="AB4281" i="1"/>
  <c r="AE4281" i="1"/>
  <c r="AF4281" i="1"/>
  <c r="AM4281" i="1"/>
  <c r="AN4281" i="1"/>
  <c r="AO4281" i="1"/>
  <c r="AQ4281" i="1"/>
  <c r="AX4281" i="1"/>
  <c r="BD4281" i="1"/>
  <c r="B4282" i="1"/>
  <c r="C4282" i="1"/>
  <c r="E4282" i="1"/>
  <c r="F4282" i="1"/>
  <c r="G4282" i="1"/>
  <c r="H4282" i="1"/>
  <c r="I4282" i="1"/>
  <c r="J4282" i="1"/>
  <c r="K4282" i="1"/>
  <c r="M4282" i="1"/>
  <c r="O4282" i="1"/>
  <c r="Q4282" i="1"/>
  <c r="R4282" i="1"/>
  <c r="W4282" i="1"/>
  <c r="AA4282" i="1"/>
  <c r="AB4282" i="1"/>
  <c r="AE4282" i="1"/>
  <c r="AF4282" i="1"/>
  <c r="AM4282" i="1"/>
  <c r="AN4282" i="1"/>
  <c r="AO4282" i="1"/>
  <c r="AQ4282" i="1"/>
  <c r="AX4282" i="1"/>
  <c r="BD4282" i="1"/>
  <c r="B4283" i="1"/>
  <c r="E4283" i="1"/>
  <c r="F4283" i="1"/>
  <c r="G4283" i="1"/>
  <c r="H4283" i="1"/>
  <c r="I4283" i="1"/>
  <c r="J4283" i="1"/>
  <c r="K4283" i="1"/>
  <c r="M4283" i="1"/>
  <c r="O4283" i="1"/>
  <c r="Q4283" i="1"/>
  <c r="R4283" i="1"/>
  <c r="W4283" i="1"/>
  <c r="AA4283" i="1"/>
  <c r="AB4283" i="1"/>
  <c r="AE4283" i="1"/>
  <c r="AF4283" i="1"/>
  <c r="AM4283" i="1"/>
  <c r="AN4283" i="1"/>
  <c r="AO4283" i="1"/>
  <c r="AQ4283" i="1"/>
  <c r="AX4283" i="1"/>
  <c r="BD4283" i="1"/>
  <c r="B4284" i="1"/>
  <c r="E4284" i="1"/>
  <c r="F4284" i="1"/>
  <c r="G4284" i="1"/>
  <c r="H4284" i="1"/>
  <c r="I4284" i="1"/>
  <c r="J4284" i="1"/>
  <c r="K4284" i="1"/>
  <c r="M4284" i="1"/>
  <c r="O4284" i="1"/>
  <c r="Q4284" i="1"/>
  <c r="R4284" i="1"/>
  <c r="W4284" i="1"/>
  <c r="AA4284" i="1"/>
  <c r="AB4284" i="1"/>
  <c r="AE4284" i="1"/>
  <c r="AF4284" i="1"/>
  <c r="AM4284" i="1"/>
  <c r="AN4284" i="1"/>
  <c r="AO4284" i="1"/>
  <c r="AQ4284" i="1"/>
  <c r="AX4284" i="1"/>
  <c r="BD4284" i="1"/>
  <c r="B4285" i="1"/>
  <c r="E4285" i="1"/>
  <c r="F4285" i="1"/>
  <c r="G4285" i="1"/>
  <c r="H4285" i="1"/>
  <c r="I4285" i="1"/>
  <c r="J4285" i="1"/>
  <c r="K4285" i="1"/>
  <c r="M4285" i="1"/>
  <c r="O4285" i="1"/>
  <c r="Q4285" i="1"/>
  <c r="R4285" i="1"/>
  <c r="W4285" i="1"/>
  <c r="AA4285" i="1"/>
  <c r="AB4285" i="1"/>
  <c r="AE4285" i="1"/>
  <c r="AF4285" i="1"/>
  <c r="AM4285" i="1"/>
  <c r="AN4285" i="1"/>
  <c r="AO4285" i="1"/>
  <c r="AQ4285" i="1"/>
  <c r="AX4285" i="1"/>
  <c r="BD4285" i="1"/>
  <c r="B4286" i="1"/>
  <c r="E4286" i="1"/>
  <c r="F4286" i="1"/>
  <c r="G4286" i="1"/>
  <c r="H4286" i="1"/>
  <c r="I4286" i="1"/>
  <c r="J4286" i="1"/>
  <c r="K4286" i="1"/>
  <c r="M4286" i="1"/>
  <c r="O4286" i="1"/>
  <c r="Q4286" i="1"/>
  <c r="R4286" i="1"/>
  <c r="W4286" i="1"/>
  <c r="AA4286" i="1"/>
  <c r="AB4286" i="1"/>
  <c r="AE4286" i="1"/>
  <c r="AF4286" i="1"/>
  <c r="AM4286" i="1"/>
  <c r="AN4286" i="1"/>
  <c r="AO4286" i="1"/>
  <c r="AQ4286" i="1"/>
  <c r="AX4286" i="1"/>
  <c r="BD4286" i="1"/>
  <c r="B4287" i="1"/>
  <c r="C4287" i="1"/>
  <c r="D4287" i="1"/>
  <c r="E4287" i="1"/>
  <c r="F4287" i="1"/>
  <c r="G4287" i="1"/>
  <c r="H4287" i="1"/>
  <c r="I4287" i="1"/>
  <c r="J4287" i="1"/>
  <c r="K4287" i="1"/>
  <c r="M4287" i="1"/>
  <c r="O4287" i="1"/>
  <c r="Q4287" i="1"/>
  <c r="R4287" i="1"/>
  <c r="W4287" i="1"/>
  <c r="AA4287" i="1"/>
  <c r="AB4287" i="1"/>
  <c r="AE4287" i="1"/>
  <c r="AF4287" i="1"/>
  <c r="AM4287" i="1"/>
  <c r="AN4287" i="1"/>
  <c r="AO4287" i="1"/>
  <c r="AQ4287" i="1"/>
  <c r="AX4287" i="1"/>
  <c r="BD4287" i="1"/>
  <c r="B4288" i="1"/>
  <c r="C4288" i="1"/>
  <c r="E4288" i="1"/>
  <c r="F4288" i="1"/>
  <c r="G4288" i="1"/>
  <c r="H4288" i="1"/>
  <c r="I4288" i="1"/>
  <c r="J4288" i="1"/>
  <c r="K4288" i="1"/>
  <c r="M4288" i="1"/>
  <c r="O4288" i="1"/>
  <c r="Q4288" i="1"/>
  <c r="R4288" i="1"/>
  <c r="W4288" i="1"/>
  <c r="AA4288" i="1"/>
  <c r="AB4288" i="1"/>
  <c r="AE4288" i="1"/>
  <c r="AF4288" i="1"/>
  <c r="AM4288" i="1"/>
  <c r="AN4288" i="1"/>
  <c r="AO4288" i="1"/>
  <c r="AQ4288" i="1"/>
  <c r="AX4288" i="1"/>
  <c r="BD4288" i="1"/>
  <c r="B4289" i="1"/>
  <c r="C4289" i="1"/>
  <c r="E4289" i="1"/>
  <c r="F4289" i="1"/>
  <c r="G4289" i="1"/>
  <c r="H4289" i="1"/>
  <c r="I4289" i="1"/>
  <c r="J4289" i="1"/>
  <c r="K4289" i="1"/>
  <c r="M4289" i="1"/>
  <c r="O4289" i="1"/>
  <c r="Q4289" i="1"/>
  <c r="R4289" i="1"/>
  <c r="W4289" i="1"/>
  <c r="AA4289" i="1"/>
  <c r="AB4289" i="1"/>
  <c r="AE4289" i="1"/>
  <c r="AF4289" i="1"/>
  <c r="AM4289" i="1"/>
  <c r="AN4289" i="1"/>
  <c r="AO4289" i="1"/>
  <c r="AQ4289" i="1"/>
  <c r="AX4289" i="1"/>
  <c r="BD4289" i="1"/>
  <c r="B4290" i="1"/>
  <c r="C4290" i="1"/>
  <c r="E4290" i="1"/>
  <c r="F4290" i="1"/>
  <c r="G4290" i="1"/>
  <c r="H4290" i="1"/>
  <c r="I4290" i="1"/>
  <c r="J4290" i="1"/>
  <c r="K4290" i="1"/>
  <c r="M4290" i="1"/>
  <c r="O4290" i="1"/>
  <c r="Q4290" i="1"/>
  <c r="R4290" i="1"/>
  <c r="W4290" i="1"/>
  <c r="AA4290" i="1"/>
  <c r="AM4290" i="1"/>
  <c r="AN4290" i="1"/>
  <c r="AO4290" i="1"/>
  <c r="AQ4290" i="1"/>
  <c r="BB4290" i="1"/>
  <c r="BD4290" i="1"/>
  <c r="B4291" i="1"/>
  <c r="C4291" i="1"/>
  <c r="D4291" i="1"/>
  <c r="E4291" i="1"/>
  <c r="F4291" i="1"/>
  <c r="G4291" i="1"/>
  <c r="H4291" i="1"/>
  <c r="I4291" i="1"/>
  <c r="J4291" i="1"/>
  <c r="K4291" i="1"/>
  <c r="M4291" i="1"/>
  <c r="O4291" i="1"/>
  <c r="Q4291" i="1"/>
  <c r="R4291" i="1"/>
  <c r="W4291" i="1"/>
  <c r="AA4291" i="1"/>
  <c r="AB4291" i="1"/>
  <c r="AE4291" i="1"/>
  <c r="AF4291" i="1"/>
  <c r="AM4291" i="1"/>
  <c r="AN4291" i="1"/>
  <c r="AO4291" i="1"/>
  <c r="AQ4291" i="1"/>
  <c r="AX4291" i="1"/>
  <c r="BD4291" i="1"/>
  <c r="B4292" i="1"/>
  <c r="E4292" i="1"/>
  <c r="F4292" i="1"/>
  <c r="G4292" i="1"/>
  <c r="H4292" i="1"/>
  <c r="I4292" i="1"/>
  <c r="J4292" i="1"/>
  <c r="K4292" i="1"/>
  <c r="M4292" i="1"/>
  <c r="O4292" i="1"/>
  <c r="Q4292" i="1"/>
  <c r="R4292" i="1"/>
  <c r="W4292" i="1"/>
  <c r="AA4292" i="1"/>
  <c r="AB4292" i="1"/>
  <c r="AE4292" i="1"/>
  <c r="AF4292" i="1"/>
  <c r="AM4292" i="1"/>
  <c r="AN4292" i="1"/>
  <c r="AO4292" i="1"/>
  <c r="AQ4292" i="1"/>
  <c r="AX4292" i="1"/>
  <c r="BD4292" i="1"/>
  <c r="B4293" i="1"/>
  <c r="E4293" i="1"/>
  <c r="F4293" i="1"/>
  <c r="G4293" i="1"/>
  <c r="H4293" i="1"/>
  <c r="I4293" i="1"/>
  <c r="J4293" i="1"/>
  <c r="K4293" i="1"/>
  <c r="M4293" i="1"/>
  <c r="O4293" i="1"/>
  <c r="Q4293" i="1"/>
  <c r="R4293" i="1"/>
  <c r="W4293" i="1"/>
  <c r="AA4293" i="1"/>
  <c r="AB4293" i="1"/>
  <c r="AE4293" i="1"/>
  <c r="AF4293" i="1"/>
  <c r="AM4293" i="1"/>
  <c r="AN4293" i="1"/>
  <c r="AO4293" i="1"/>
  <c r="AQ4293" i="1"/>
  <c r="AX4293" i="1"/>
  <c r="BD4293" i="1"/>
  <c r="B4294" i="1"/>
  <c r="C4294" i="1"/>
  <c r="E4294" i="1"/>
  <c r="F4294" i="1"/>
  <c r="G4294" i="1"/>
  <c r="H4294" i="1"/>
  <c r="I4294" i="1"/>
  <c r="J4294" i="1"/>
  <c r="K4294" i="1"/>
  <c r="M4294" i="1"/>
  <c r="O4294" i="1"/>
  <c r="Q4294" i="1"/>
  <c r="R4294" i="1"/>
  <c r="W4294" i="1"/>
  <c r="AA4294" i="1"/>
  <c r="AB4294" i="1"/>
  <c r="AE4294" i="1"/>
  <c r="AF4294" i="1"/>
  <c r="AM4294" i="1"/>
  <c r="AN4294" i="1"/>
  <c r="AO4294" i="1"/>
  <c r="AQ4294" i="1"/>
  <c r="AX4294" i="1"/>
  <c r="BD4294" i="1"/>
  <c r="B4295" i="1"/>
  <c r="E4295" i="1"/>
  <c r="F4295" i="1"/>
  <c r="G4295" i="1"/>
  <c r="H4295" i="1"/>
  <c r="I4295" i="1"/>
  <c r="J4295" i="1"/>
  <c r="K4295" i="1"/>
  <c r="M4295" i="1"/>
  <c r="O4295" i="1"/>
  <c r="Q4295" i="1"/>
  <c r="R4295" i="1"/>
  <c r="W4295" i="1"/>
  <c r="AA4295" i="1"/>
  <c r="AB4295" i="1"/>
  <c r="AE4295" i="1"/>
  <c r="AF4295" i="1"/>
  <c r="AM4295" i="1"/>
  <c r="AN4295" i="1"/>
  <c r="AO4295" i="1"/>
  <c r="AQ4295" i="1"/>
  <c r="AX4295" i="1"/>
  <c r="BD4295" i="1"/>
  <c r="B4296" i="1"/>
  <c r="E4296" i="1"/>
  <c r="F4296" i="1"/>
  <c r="G4296" i="1"/>
  <c r="H4296" i="1"/>
  <c r="I4296" i="1"/>
  <c r="J4296" i="1"/>
  <c r="K4296" i="1"/>
  <c r="M4296" i="1"/>
  <c r="O4296" i="1"/>
  <c r="Q4296" i="1"/>
  <c r="R4296" i="1"/>
  <c r="W4296" i="1"/>
  <c r="AA4296" i="1"/>
  <c r="AB4296" i="1"/>
  <c r="AE4296" i="1"/>
  <c r="AF4296" i="1"/>
  <c r="AM4296" i="1"/>
  <c r="AN4296" i="1"/>
  <c r="AO4296" i="1"/>
  <c r="AQ4296" i="1"/>
  <c r="AX4296" i="1"/>
  <c r="BD4296" i="1"/>
  <c r="B4297" i="1"/>
  <c r="E4297" i="1"/>
  <c r="F4297" i="1"/>
  <c r="G4297" i="1"/>
  <c r="H4297" i="1"/>
  <c r="I4297" i="1"/>
  <c r="J4297" i="1"/>
  <c r="K4297" i="1"/>
  <c r="M4297" i="1"/>
  <c r="O4297" i="1"/>
  <c r="Q4297" i="1"/>
  <c r="R4297" i="1"/>
  <c r="W4297" i="1"/>
  <c r="AA4297" i="1"/>
  <c r="AM4297" i="1"/>
  <c r="AN4297" i="1"/>
  <c r="AO4297" i="1"/>
  <c r="AQ4297" i="1"/>
  <c r="BB4297" i="1"/>
  <c r="BD4297" i="1"/>
  <c r="B4298" i="1"/>
  <c r="E4298" i="1"/>
  <c r="F4298" i="1"/>
  <c r="G4298" i="1"/>
  <c r="H4298" i="1"/>
  <c r="I4298" i="1"/>
  <c r="J4298" i="1"/>
  <c r="K4298" i="1"/>
  <c r="M4298" i="1"/>
  <c r="O4298" i="1"/>
  <c r="Q4298" i="1"/>
  <c r="R4298" i="1"/>
  <c r="W4298" i="1"/>
  <c r="AA4298" i="1"/>
  <c r="AM4298" i="1"/>
  <c r="AN4298" i="1"/>
  <c r="AO4298" i="1"/>
  <c r="AQ4298" i="1"/>
  <c r="BB4298" i="1"/>
  <c r="BD4298" i="1"/>
  <c r="B4299" i="1"/>
  <c r="E4299" i="1"/>
  <c r="F4299" i="1"/>
  <c r="G4299" i="1"/>
  <c r="H4299" i="1"/>
  <c r="I4299" i="1"/>
  <c r="J4299" i="1"/>
  <c r="K4299" i="1"/>
  <c r="M4299" i="1"/>
  <c r="O4299" i="1"/>
  <c r="Q4299" i="1"/>
  <c r="R4299" i="1"/>
  <c r="W4299" i="1"/>
  <c r="AA4299" i="1"/>
  <c r="AM4299" i="1"/>
  <c r="AN4299" i="1"/>
  <c r="AO4299" i="1"/>
  <c r="AQ4299" i="1"/>
  <c r="BB4299" i="1"/>
  <c r="BD4299" i="1"/>
  <c r="B4300" i="1"/>
  <c r="E4300" i="1"/>
  <c r="F4300" i="1"/>
  <c r="G4300" i="1"/>
  <c r="H4300" i="1"/>
  <c r="I4300" i="1"/>
  <c r="J4300" i="1"/>
  <c r="K4300" i="1"/>
  <c r="M4300" i="1"/>
  <c r="O4300" i="1"/>
  <c r="Q4300" i="1"/>
  <c r="R4300" i="1"/>
  <c r="W4300" i="1"/>
  <c r="AA4300" i="1"/>
  <c r="AM4300" i="1"/>
  <c r="AN4300" i="1"/>
  <c r="AO4300" i="1"/>
  <c r="AQ4300" i="1"/>
  <c r="BB4300" i="1"/>
  <c r="BD4300" i="1"/>
  <c r="B4301" i="1"/>
  <c r="E4301" i="1"/>
  <c r="F4301" i="1"/>
  <c r="G4301" i="1"/>
  <c r="H4301" i="1"/>
  <c r="I4301" i="1"/>
  <c r="J4301" i="1"/>
  <c r="K4301" i="1"/>
  <c r="M4301" i="1"/>
  <c r="O4301" i="1"/>
  <c r="Q4301" i="1"/>
  <c r="R4301" i="1"/>
  <c r="W4301" i="1"/>
  <c r="AA4301" i="1"/>
  <c r="AM4301" i="1"/>
  <c r="AN4301" i="1"/>
  <c r="AO4301" i="1"/>
  <c r="AQ4301" i="1"/>
  <c r="BB4301" i="1"/>
  <c r="BD4301" i="1"/>
  <c r="B4302" i="1"/>
  <c r="E4302" i="1"/>
  <c r="F4302" i="1"/>
  <c r="G4302" i="1"/>
  <c r="H4302" i="1"/>
  <c r="I4302" i="1"/>
  <c r="J4302" i="1"/>
  <c r="K4302" i="1"/>
  <c r="M4302" i="1"/>
  <c r="O4302" i="1"/>
  <c r="Q4302" i="1"/>
  <c r="R4302" i="1"/>
  <c r="W4302" i="1"/>
  <c r="AA4302" i="1"/>
  <c r="AM4302" i="1"/>
  <c r="AN4302" i="1"/>
  <c r="AO4302" i="1"/>
  <c r="AQ4302" i="1"/>
  <c r="BB4302" i="1"/>
  <c r="BD4302" i="1"/>
  <c r="B4303" i="1"/>
  <c r="E4303" i="1"/>
  <c r="F4303" i="1"/>
  <c r="G4303" i="1"/>
  <c r="H4303" i="1"/>
  <c r="I4303" i="1"/>
  <c r="J4303" i="1"/>
  <c r="K4303" i="1"/>
  <c r="M4303" i="1"/>
  <c r="O4303" i="1"/>
  <c r="Q4303" i="1"/>
  <c r="R4303" i="1"/>
  <c r="W4303" i="1"/>
  <c r="AA4303" i="1"/>
  <c r="AM4303" i="1"/>
  <c r="AN4303" i="1"/>
  <c r="AO4303" i="1"/>
  <c r="AQ4303" i="1"/>
  <c r="BB4303" i="1"/>
  <c r="BD4303" i="1"/>
  <c r="B4304" i="1"/>
  <c r="E4304" i="1"/>
  <c r="F4304" i="1"/>
  <c r="G4304" i="1"/>
  <c r="H4304" i="1"/>
  <c r="I4304" i="1"/>
  <c r="J4304" i="1"/>
  <c r="K4304" i="1"/>
  <c r="M4304" i="1"/>
  <c r="O4304" i="1"/>
  <c r="Q4304" i="1"/>
  <c r="R4304" i="1"/>
  <c r="W4304" i="1"/>
  <c r="AA4304" i="1"/>
  <c r="AM4304" i="1"/>
  <c r="AN4304" i="1"/>
  <c r="AO4304" i="1"/>
  <c r="AQ4304" i="1"/>
  <c r="BB4304" i="1"/>
  <c r="BD4304" i="1"/>
  <c r="B4305" i="1"/>
  <c r="E4305" i="1"/>
  <c r="F4305" i="1"/>
  <c r="G4305" i="1"/>
  <c r="H4305" i="1"/>
  <c r="I4305" i="1"/>
  <c r="J4305" i="1"/>
  <c r="K4305" i="1"/>
  <c r="M4305" i="1"/>
  <c r="O4305" i="1"/>
  <c r="Q4305" i="1"/>
  <c r="R4305" i="1"/>
  <c r="W4305" i="1"/>
  <c r="AA4305" i="1"/>
  <c r="AB4305" i="1"/>
  <c r="AE4305" i="1"/>
  <c r="AF4305" i="1"/>
  <c r="AM4305" i="1"/>
  <c r="AN4305" i="1"/>
  <c r="AO4305" i="1"/>
  <c r="AQ4305" i="1"/>
  <c r="AX4305" i="1"/>
  <c r="BD4305" i="1"/>
  <c r="B4306" i="1"/>
  <c r="E4306" i="1"/>
  <c r="F4306" i="1"/>
  <c r="G4306" i="1"/>
  <c r="H4306" i="1"/>
  <c r="I4306" i="1"/>
  <c r="J4306" i="1"/>
  <c r="K4306" i="1"/>
  <c r="M4306" i="1"/>
  <c r="O4306" i="1"/>
  <c r="Q4306" i="1"/>
  <c r="R4306" i="1"/>
  <c r="W4306" i="1"/>
  <c r="AA4306" i="1"/>
  <c r="AB4306" i="1"/>
  <c r="AE4306" i="1"/>
  <c r="AF4306" i="1"/>
  <c r="AM4306" i="1"/>
  <c r="AN4306" i="1"/>
  <c r="AO4306" i="1"/>
  <c r="AQ4306" i="1"/>
  <c r="AX4306" i="1"/>
  <c r="BD4306" i="1"/>
  <c r="B4307" i="1"/>
  <c r="C4307" i="1"/>
  <c r="E4307" i="1"/>
  <c r="F4307" i="1"/>
  <c r="G4307" i="1"/>
  <c r="H4307" i="1"/>
  <c r="I4307" i="1"/>
  <c r="J4307" i="1"/>
  <c r="K4307" i="1"/>
  <c r="M4307" i="1"/>
  <c r="O4307" i="1"/>
  <c r="Q4307" i="1"/>
  <c r="R4307" i="1"/>
  <c r="W4307" i="1"/>
  <c r="AA4307" i="1"/>
  <c r="AB4307" i="1"/>
  <c r="AE4307" i="1"/>
  <c r="AF4307" i="1"/>
  <c r="AM4307" i="1"/>
  <c r="AN4307" i="1"/>
  <c r="AO4307" i="1"/>
  <c r="AQ4307" i="1"/>
  <c r="AX4307" i="1"/>
  <c r="BD4307" i="1"/>
  <c r="B4308" i="1"/>
  <c r="C4308" i="1"/>
  <c r="E4308" i="1"/>
  <c r="F4308" i="1"/>
  <c r="G4308" i="1"/>
  <c r="H4308" i="1"/>
  <c r="I4308" i="1"/>
  <c r="J4308" i="1"/>
  <c r="K4308" i="1"/>
  <c r="M4308" i="1"/>
  <c r="O4308" i="1"/>
  <c r="Q4308" i="1"/>
  <c r="R4308" i="1"/>
  <c r="W4308" i="1"/>
  <c r="AA4308" i="1"/>
  <c r="AB4308" i="1"/>
  <c r="AE4308" i="1"/>
  <c r="AF4308" i="1"/>
  <c r="AM4308" i="1"/>
  <c r="AN4308" i="1"/>
  <c r="AO4308" i="1"/>
  <c r="AQ4308" i="1"/>
  <c r="AX4308" i="1"/>
  <c r="BD4308" i="1"/>
  <c r="B4309" i="1"/>
  <c r="C4309" i="1"/>
  <c r="E4309" i="1"/>
  <c r="F4309" i="1"/>
  <c r="G4309" i="1"/>
  <c r="H4309" i="1"/>
  <c r="I4309" i="1"/>
  <c r="J4309" i="1"/>
  <c r="K4309" i="1"/>
  <c r="M4309" i="1"/>
  <c r="O4309" i="1"/>
  <c r="Q4309" i="1"/>
  <c r="R4309" i="1"/>
  <c r="W4309" i="1"/>
  <c r="AA4309" i="1"/>
  <c r="AB4309" i="1"/>
  <c r="AE4309" i="1"/>
  <c r="AF4309" i="1"/>
  <c r="AM4309" i="1"/>
  <c r="AN4309" i="1"/>
  <c r="AO4309" i="1"/>
  <c r="AQ4309" i="1"/>
  <c r="AX4309" i="1"/>
  <c r="BD4309" i="1"/>
  <c r="B4310" i="1"/>
  <c r="C4310" i="1"/>
  <c r="E4310" i="1"/>
  <c r="F4310" i="1"/>
  <c r="G4310" i="1"/>
  <c r="H4310" i="1"/>
  <c r="I4310" i="1"/>
  <c r="J4310" i="1"/>
  <c r="K4310" i="1"/>
  <c r="M4310" i="1"/>
  <c r="O4310" i="1"/>
  <c r="Q4310" i="1"/>
  <c r="R4310" i="1"/>
  <c r="W4310" i="1"/>
  <c r="AA4310" i="1"/>
  <c r="AM4310" i="1"/>
  <c r="AN4310" i="1"/>
  <c r="AO4310" i="1"/>
  <c r="AQ4310" i="1"/>
  <c r="BB4310" i="1"/>
  <c r="BD4310" i="1"/>
  <c r="B4311" i="1"/>
  <c r="C4311" i="1"/>
  <c r="E4311" i="1"/>
  <c r="F4311" i="1"/>
  <c r="G4311" i="1"/>
  <c r="H4311" i="1"/>
  <c r="I4311" i="1"/>
  <c r="J4311" i="1"/>
  <c r="K4311" i="1"/>
  <c r="M4311" i="1"/>
  <c r="O4311" i="1"/>
  <c r="Q4311" i="1"/>
  <c r="R4311" i="1"/>
  <c r="W4311" i="1"/>
  <c r="AA4311" i="1"/>
  <c r="AB4311" i="1"/>
  <c r="AE4311" i="1"/>
  <c r="AF4311" i="1"/>
  <c r="AM4311" i="1"/>
  <c r="AN4311" i="1"/>
  <c r="AO4311" i="1"/>
  <c r="AQ4311" i="1"/>
  <c r="AX4311" i="1"/>
  <c r="BD4311" i="1"/>
  <c r="B4312" i="1"/>
  <c r="C4312" i="1"/>
  <c r="E4312" i="1"/>
  <c r="F4312" i="1"/>
  <c r="G4312" i="1"/>
  <c r="H4312" i="1"/>
  <c r="I4312" i="1"/>
  <c r="J4312" i="1"/>
  <c r="K4312" i="1"/>
  <c r="M4312" i="1"/>
  <c r="O4312" i="1"/>
  <c r="Q4312" i="1"/>
  <c r="R4312" i="1"/>
  <c r="W4312" i="1"/>
  <c r="AA4312" i="1"/>
  <c r="AM4312" i="1"/>
  <c r="AN4312" i="1"/>
  <c r="AO4312" i="1"/>
  <c r="AQ4312" i="1"/>
  <c r="BB4312" i="1"/>
  <c r="BD4312" i="1"/>
  <c r="B4313" i="1"/>
  <c r="C4313" i="1"/>
  <c r="E4313" i="1"/>
  <c r="F4313" i="1"/>
  <c r="G4313" i="1"/>
  <c r="H4313" i="1"/>
  <c r="I4313" i="1"/>
  <c r="J4313" i="1"/>
  <c r="K4313" i="1"/>
  <c r="M4313" i="1"/>
  <c r="O4313" i="1"/>
  <c r="Q4313" i="1"/>
  <c r="R4313" i="1"/>
  <c r="W4313" i="1"/>
  <c r="AA4313" i="1"/>
  <c r="AB4313" i="1"/>
  <c r="AE4313" i="1"/>
  <c r="AF4313" i="1"/>
  <c r="AM4313" i="1"/>
  <c r="AN4313" i="1"/>
  <c r="AO4313" i="1"/>
  <c r="AQ4313" i="1"/>
  <c r="AX4313" i="1"/>
  <c r="BD4313" i="1"/>
  <c r="B4314" i="1"/>
  <c r="C4314" i="1"/>
  <c r="E4314" i="1"/>
  <c r="F4314" i="1"/>
  <c r="G4314" i="1"/>
  <c r="H4314" i="1"/>
  <c r="I4314" i="1"/>
  <c r="J4314" i="1"/>
  <c r="K4314" i="1"/>
  <c r="M4314" i="1"/>
  <c r="O4314" i="1"/>
  <c r="Q4314" i="1"/>
  <c r="R4314" i="1"/>
  <c r="W4314" i="1"/>
  <c r="AA4314" i="1"/>
  <c r="AB4314" i="1"/>
  <c r="AE4314" i="1"/>
  <c r="AF4314" i="1"/>
  <c r="AM4314" i="1"/>
  <c r="AN4314" i="1"/>
  <c r="AO4314" i="1"/>
  <c r="AQ4314" i="1"/>
  <c r="AX4314" i="1"/>
  <c r="BD4314" i="1"/>
  <c r="B4315" i="1"/>
  <c r="C4315" i="1"/>
  <c r="E4315" i="1"/>
  <c r="F4315" i="1"/>
  <c r="G4315" i="1"/>
  <c r="H4315" i="1"/>
  <c r="I4315" i="1"/>
  <c r="J4315" i="1"/>
  <c r="K4315" i="1"/>
  <c r="M4315" i="1"/>
  <c r="O4315" i="1"/>
  <c r="Q4315" i="1"/>
  <c r="R4315" i="1"/>
  <c r="W4315" i="1"/>
  <c r="AA4315" i="1"/>
  <c r="AB4315" i="1"/>
  <c r="AE4315" i="1"/>
  <c r="AF4315" i="1"/>
  <c r="AM4315" i="1"/>
  <c r="AN4315" i="1"/>
  <c r="AO4315" i="1"/>
  <c r="AQ4315" i="1"/>
  <c r="AX4315" i="1"/>
  <c r="BD4315" i="1"/>
  <c r="B4316" i="1"/>
  <c r="C4316" i="1"/>
  <c r="E4316" i="1"/>
  <c r="F4316" i="1"/>
  <c r="G4316" i="1"/>
  <c r="H4316" i="1"/>
  <c r="I4316" i="1"/>
  <c r="J4316" i="1"/>
  <c r="K4316" i="1"/>
  <c r="M4316" i="1"/>
  <c r="O4316" i="1"/>
  <c r="Q4316" i="1"/>
  <c r="R4316" i="1"/>
  <c r="W4316" i="1"/>
  <c r="AA4316" i="1"/>
  <c r="AB4316" i="1"/>
  <c r="AE4316" i="1"/>
  <c r="AF4316" i="1"/>
  <c r="AM4316" i="1"/>
  <c r="AN4316" i="1"/>
  <c r="AO4316" i="1"/>
  <c r="AQ4316" i="1"/>
  <c r="AX4316" i="1"/>
  <c r="BD4316" i="1"/>
  <c r="B4317" i="1"/>
  <c r="C4317" i="1"/>
  <c r="E4317" i="1"/>
  <c r="F4317" i="1"/>
  <c r="G4317" i="1"/>
  <c r="H4317" i="1"/>
  <c r="I4317" i="1"/>
  <c r="J4317" i="1"/>
  <c r="K4317" i="1"/>
  <c r="M4317" i="1"/>
  <c r="O4317" i="1"/>
  <c r="Q4317" i="1"/>
  <c r="R4317" i="1"/>
  <c r="W4317" i="1"/>
  <c r="AA4317" i="1"/>
  <c r="AB4317" i="1"/>
  <c r="AE4317" i="1"/>
  <c r="AF4317" i="1"/>
  <c r="AM4317" i="1"/>
  <c r="AN4317" i="1"/>
  <c r="AO4317" i="1"/>
  <c r="AQ4317" i="1"/>
  <c r="AX4317" i="1"/>
  <c r="BD4317" i="1"/>
  <c r="B4318" i="1"/>
  <c r="C4318" i="1"/>
  <c r="E4318" i="1"/>
  <c r="F4318" i="1"/>
  <c r="G4318" i="1"/>
  <c r="H4318" i="1"/>
  <c r="I4318" i="1"/>
  <c r="J4318" i="1"/>
  <c r="K4318" i="1"/>
  <c r="M4318" i="1"/>
  <c r="O4318" i="1"/>
  <c r="Q4318" i="1"/>
  <c r="R4318" i="1"/>
  <c r="W4318" i="1"/>
  <c r="AA4318" i="1"/>
  <c r="AB4318" i="1"/>
  <c r="AE4318" i="1"/>
  <c r="AF4318" i="1"/>
  <c r="AM4318" i="1"/>
  <c r="AN4318" i="1"/>
  <c r="AO4318" i="1"/>
  <c r="AQ4318" i="1"/>
  <c r="AX4318" i="1"/>
  <c r="BD4318" i="1"/>
  <c r="B4319" i="1"/>
  <c r="C4319" i="1"/>
  <c r="E4319" i="1"/>
  <c r="F4319" i="1"/>
  <c r="G4319" i="1"/>
  <c r="H4319" i="1"/>
  <c r="I4319" i="1"/>
  <c r="J4319" i="1"/>
  <c r="K4319" i="1"/>
  <c r="M4319" i="1"/>
  <c r="O4319" i="1"/>
  <c r="Q4319" i="1"/>
  <c r="R4319" i="1"/>
  <c r="W4319" i="1"/>
  <c r="AA4319" i="1"/>
  <c r="AB4319" i="1"/>
  <c r="AE4319" i="1"/>
  <c r="AF4319" i="1"/>
  <c r="AM4319" i="1"/>
  <c r="AN4319" i="1"/>
  <c r="AO4319" i="1"/>
  <c r="AQ4319" i="1"/>
  <c r="AX4319" i="1"/>
  <c r="BD4319" i="1"/>
  <c r="B4320" i="1"/>
  <c r="C4320" i="1"/>
  <c r="E4320" i="1"/>
  <c r="F4320" i="1"/>
  <c r="G4320" i="1"/>
  <c r="H4320" i="1"/>
  <c r="I4320" i="1"/>
  <c r="J4320" i="1"/>
  <c r="K4320" i="1"/>
  <c r="M4320" i="1"/>
  <c r="O4320" i="1"/>
  <c r="Q4320" i="1"/>
  <c r="R4320" i="1"/>
  <c r="W4320" i="1"/>
  <c r="AA4320" i="1"/>
  <c r="AB4320" i="1"/>
  <c r="AE4320" i="1"/>
  <c r="AF4320" i="1"/>
  <c r="AM4320" i="1"/>
  <c r="AN4320" i="1"/>
  <c r="AO4320" i="1"/>
  <c r="AQ4320" i="1"/>
  <c r="AX4320" i="1"/>
  <c r="BD4320" i="1"/>
  <c r="B4321" i="1"/>
  <c r="C4321" i="1"/>
  <c r="E4321" i="1"/>
  <c r="F4321" i="1"/>
  <c r="G4321" i="1"/>
  <c r="H4321" i="1"/>
  <c r="I4321" i="1"/>
  <c r="J4321" i="1"/>
  <c r="K4321" i="1"/>
  <c r="M4321" i="1"/>
  <c r="O4321" i="1"/>
  <c r="Q4321" i="1"/>
  <c r="R4321" i="1"/>
  <c r="W4321" i="1"/>
  <c r="AA4321" i="1"/>
  <c r="AB4321" i="1"/>
  <c r="AE4321" i="1"/>
  <c r="AF4321" i="1"/>
  <c r="AM4321" i="1"/>
  <c r="AN4321" i="1"/>
  <c r="AO4321" i="1"/>
  <c r="AQ4321" i="1"/>
  <c r="AX4321" i="1"/>
  <c r="BD4321" i="1"/>
  <c r="B4322" i="1"/>
  <c r="C4322" i="1"/>
  <c r="E4322" i="1"/>
  <c r="F4322" i="1"/>
  <c r="G4322" i="1"/>
  <c r="H4322" i="1"/>
  <c r="I4322" i="1"/>
  <c r="J4322" i="1"/>
  <c r="K4322" i="1"/>
  <c r="M4322" i="1"/>
  <c r="O4322" i="1"/>
  <c r="Q4322" i="1"/>
  <c r="R4322" i="1"/>
  <c r="W4322" i="1"/>
  <c r="AA4322" i="1"/>
  <c r="AB4322" i="1"/>
  <c r="AE4322" i="1"/>
  <c r="AF4322" i="1"/>
  <c r="AM4322" i="1"/>
  <c r="AN4322" i="1"/>
  <c r="AO4322" i="1"/>
  <c r="AQ4322" i="1"/>
  <c r="AX4322" i="1"/>
  <c r="BD4322" i="1"/>
  <c r="B4323" i="1"/>
  <c r="C4323" i="1"/>
  <c r="E4323" i="1"/>
  <c r="F4323" i="1"/>
  <c r="G4323" i="1"/>
  <c r="H4323" i="1"/>
  <c r="I4323" i="1"/>
  <c r="J4323" i="1"/>
  <c r="K4323" i="1"/>
  <c r="M4323" i="1"/>
  <c r="O4323" i="1"/>
  <c r="Q4323" i="1"/>
  <c r="R4323" i="1"/>
  <c r="W4323" i="1"/>
  <c r="AA4323" i="1"/>
  <c r="AB4323" i="1"/>
  <c r="AE4323" i="1"/>
  <c r="AF4323" i="1"/>
  <c r="AM4323" i="1"/>
  <c r="AN4323" i="1"/>
  <c r="AO4323" i="1"/>
  <c r="AQ4323" i="1"/>
  <c r="AX4323" i="1"/>
  <c r="BD4323" i="1"/>
  <c r="B4324" i="1"/>
  <c r="C4324" i="1"/>
  <c r="E4324" i="1"/>
  <c r="F4324" i="1"/>
  <c r="G4324" i="1"/>
  <c r="H4324" i="1"/>
  <c r="I4324" i="1"/>
  <c r="J4324" i="1"/>
  <c r="K4324" i="1"/>
  <c r="M4324" i="1"/>
  <c r="O4324" i="1"/>
  <c r="Q4324" i="1"/>
  <c r="R4324" i="1"/>
  <c r="W4324" i="1"/>
  <c r="AA4324" i="1"/>
  <c r="AB4324" i="1"/>
  <c r="AE4324" i="1"/>
  <c r="AF4324" i="1"/>
  <c r="AM4324" i="1"/>
  <c r="AN4324" i="1"/>
  <c r="AO4324" i="1"/>
  <c r="AQ4324" i="1"/>
  <c r="AX4324" i="1"/>
  <c r="BD4324" i="1"/>
  <c r="B4325" i="1"/>
  <c r="C4325" i="1"/>
  <c r="D4325" i="1"/>
  <c r="E4325" i="1"/>
  <c r="F4325" i="1"/>
  <c r="G4325" i="1"/>
  <c r="H4325" i="1"/>
  <c r="I4325" i="1"/>
  <c r="J4325" i="1"/>
  <c r="K4325" i="1"/>
  <c r="M4325" i="1"/>
  <c r="O4325" i="1"/>
  <c r="Q4325" i="1"/>
  <c r="R4325" i="1"/>
  <c r="W4325" i="1"/>
  <c r="AA4325" i="1"/>
  <c r="AB4325" i="1"/>
  <c r="AE4325" i="1"/>
  <c r="AF4325" i="1"/>
  <c r="AM4325" i="1"/>
  <c r="AN4325" i="1"/>
  <c r="AO4325" i="1"/>
  <c r="AQ4325" i="1"/>
  <c r="AX4325" i="1"/>
  <c r="BD4325" i="1"/>
  <c r="B4326" i="1"/>
  <c r="C4326" i="1"/>
  <c r="D4326" i="1"/>
  <c r="E4326" i="1"/>
  <c r="F4326" i="1"/>
  <c r="G4326" i="1"/>
  <c r="H4326" i="1"/>
  <c r="I4326" i="1"/>
  <c r="J4326" i="1"/>
  <c r="K4326" i="1"/>
  <c r="M4326" i="1"/>
  <c r="O4326" i="1"/>
  <c r="Q4326" i="1"/>
  <c r="R4326" i="1"/>
  <c r="W4326" i="1"/>
  <c r="AA4326" i="1"/>
  <c r="AB4326" i="1"/>
  <c r="AE4326" i="1"/>
  <c r="AF4326" i="1"/>
  <c r="AM4326" i="1"/>
  <c r="AN4326" i="1"/>
  <c r="AO4326" i="1"/>
  <c r="AQ4326" i="1"/>
  <c r="AX4326" i="1"/>
  <c r="BD4326" i="1"/>
  <c r="B4327" i="1"/>
  <c r="C4327" i="1"/>
  <c r="D4327" i="1"/>
  <c r="E4327" i="1"/>
  <c r="F4327" i="1"/>
  <c r="G4327" i="1"/>
  <c r="H4327" i="1"/>
  <c r="I4327" i="1"/>
  <c r="J4327" i="1"/>
  <c r="K4327" i="1"/>
  <c r="M4327" i="1"/>
  <c r="O4327" i="1"/>
  <c r="Q4327" i="1"/>
  <c r="R4327" i="1"/>
  <c r="W4327" i="1"/>
  <c r="AA4327" i="1"/>
  <c r="AB4327" i="1"/>
  <c r="AE4327" i="1"/>
  <c r="AF4327" i="1"/>
  <c r="AM4327" i="1"/>
  <c r="AN4327" i="1"/>
  <c r="AO4327" i="1"/>
  <c r="AQ4327" i="1"/>
  <c r="AX4327" i="1"/>
  <c r="BD4327" i="1"/>
  <c r="B4328" i="1"/>
  <c r="C4328" i="1"/>
  <c r="D4328" i="1"/>
  <c r="E4328" i="1"/>
  <c r="F4328" i="1"/>
  <c r="G4328" i="1"/>
  <c r="H4328" i="1"/>
  <c r="I4328" i="1"/>
  <c r="J4328" i="1"/>
  <c r="K4328" i="1"/>
  <c r="M4328" i="1"/>
  <c r="O4328" i="1"/>
  <c r="Q4328" i="1"/>
  <c r="R4328" i="1"/>
  <c r="W4328" i="1"/>
  <c r="AA4328" i="1"/>
  <c r="AB4328" i="1"/>
  <c r="AE4328" i="1"/>
  <c r="AF4328" i="1"/>
  <c r="AM4328" i="1"/>
  <c r="AN4328" i="1"/>
  <c r="AO4328" i="1"/>
  <c r="AQ4328" i="1"/>
  <c r="AX4328" i="1"/>
  <c r="BD4328" i="1"/>
  <c r="B4329" i="1"/>
  <c r="C4329" i="1"/>
  <c r="D4329" i="1"/>
  <c r="E4329" i="1"/>
  <c r="F4329" i="1"/>
  <c r="G4329" i="1"/>
  <c r="H4329" i="1"/>
  <c r="I4329" i="1"/>
  <c r="J4329" i="1"/>
  <c r="K4329" i="1"/>
  <c r="M4329" i="1"/>
  <c r="O4329" i="1"/>
  <c r="Q4329" i="1"/>
  <c r="R4329" i="1"/>
  <c r="W4329" i="1"/>
  <c r="AA4329" i="1"/>
  <c r="AB4329" i="1"/>
  <c r="AE4329" i="1"/>
  <c r="AF4329" i="1"/>
  <c r="AM4329" i="1"/>
  <c r="AN4329" i="1"/>
  <c r="AO4329" i="1"/>
  <c r="AQ4329" i="1"/>
  <c r="AX4329" i="1"/>
  <c r="BD4329" i="1"/>
  <c r="B4330" i="1"/>
  <c r="C4330" i="1"/>
  <c r="D4330" i="1"/>
  <c r="E4330" i="1"/>
  <c r="F4330" i="1"/>
  <c r="G4330" i="1"/>
  <c r="H4330" i="1"/>
  <c r="I4330" i="1"/>
  <c r="J4330" i="1"/>
  <c r="K4330" i="1"/>
  <c r="M4330" i="1"/>
  <c r="O4330" i="1"/>
  <c r="Q4330" i="1"/>
  <c r="R4330" i="1"/>
  <c r="W4330" i="1"/>
  <c r="AA4330" i="1"/>
  <c r="AB4330" i="1"/>
  <c r="AE4330" i="1"/>
  <c r="AF4330" i="1"/>
  <c r="AM4330" i="1"/>
  <c r="AN4330" i="1"/>
  <c r="AO4330" i="1"/>
  <c r="AQ4330" i="1"/>
  <c r="AX4330" i="1"/>
  <c r="BD4330" i="1"/>
  <c r="B4331" i="1"/>
  <c r="C4331" i="1"/>
  <c r="D4331" i="1"/>
  <c r="E4331" i="1"/>
  <c r="F4331" i="1"/>
  <c r="G4331" i="1"/>
  <c r="H4331" i="1"/>
  <c r="I4331" i="1"/>
  <c r="J4331" i="1"/>
  <c r="K4331" i="1"/>
  <c r="M4331" i="1"/>
  <c r="O4331" i="1"/>
  <c r="Q4331" i="1"/>
  <c r="R4331" i="1"/>
  <c r="W4331" i="1"/>
  <c r="AA4331" i="1"/>
  <c r="AB4331" i="1"/>
  <c r="AE4331" i="1"/>
  <c r="AF4331" i="1"/>
  <c r="AM4331" i="1"/>
  <c r="AN4331" i="1"/>
  <c r="AO4331" i="1"/>
  <c r="AQ4331" i="1"/>
  <c r="AX4331" i="1"/>
  <c r="BD4331" i="1"/>
  <c r="B4332" i="1"/>
  <c r="C4332" i="1"/>
  <c r="E4332" i="1"/>
  <c r="F4332" i="1"/>
  <c r="G4332" i="1"/>
  <c r="H4332" i="1"/>
  <c r="I4332" i="1"/>
  <c r="J4332" i="1"/>
  <c r="K4332" i="1"/>
  <c r="M4332" i="1"/>
  <c r="O4332" i="1"/>
  <c r="Q4332" i="1"/>
  <c r="R4332" i="1"/>
  <c r="W4332" i="1"/>
  <c r="AA4332" i="1"/>
  <c r="AB4332" i="1"/>
  <c r="AE4332" i="1"/>
  <c r="AF4332" i="1"/>
  <c r="AM4332" i="1"/>
  <c r="AN4332" i="1"/>
  <c r="AO4332" i="1"/>
  <c r="AQ4332" i="1"/>
  <c r="AX4332" i="1"/>
  <c r="BD4332" i="1"/>
  <c r="B4333" i="1"/>
  <c r="C4333" i="1"/>
  <c r="E4333" i="1"/>
  <c r="F4333" i="1"/>
  <c r="G4333" i="1"/>
  <c r="H4333" i="1"/>
  <c r="I4333" i="1"/>
  <c r="J4333" i="1"/>
  <c r="K4333" i="1"/>
  <c r="M4333" i="1"/>
  <c r="O4333" i="1"/>
  <c r="Q4333" i="1"/>
  <c r="R4333" i="1"/>
  <c r="W4333" i="1"/>
  <c r="AA4333" i="1"/>
  <c r="AB4333" i="1"/>
  <c r="AE4333" i="1"/>
  <c r="AF4333" i="1"/>
  <c r="AM4333" i="1"/>
  <c r="AN4333" i="1"/>
  <c r="AO4333" i="1"/>
  <c r="AQ4333" i="1"/>
  <c r="AX4333" i="1"/>
  <c r="BD4333" i="1"/>
  <c r="B4334" i="1"/>
  <c r="C4334" i="1"/>
  <c r="E4334" i="1"/>
  <c r="F4334" i="1"/>
  <c r="G4334" i="1"/>
  <c r="H4334" i="1"/>
  <c r="I4334" i="1"/>
  <c r="J4334" i="1"/>
  <c r="K4334" i="1"/>
  <c r="M4334" i="1"/>
  <c r="O4334" i="1"/>
  <c r="Q4334" i="1"/>
  <c r="R4334" i="1"/>
  <c r="W4334" i="1"/>
  <c r="AA4334" i="1"/>
  <c r="AB4334" i="1"/>
  <c r="AE4334" i="1"/>
  <c r="AF4334" i="1"/>
  <c r="AM4334" i="1"/>
  <c r="AN4334" i="1"/>
  <c r="AO4334" i="1"/>
  <c r="AQ4334" i="1"/>
  <c r="AX4334" i="1"/>
  <c r="BD4334" i="1"/>
  <c r="B4335" i="1"/>
  <c r="C4335" i="1"/>
  <c r="E4335" i="1"/>
  <c r="F4335" i="1"/>
  <c r="G4335" i="1"/>
  <c r="H4335" i="1"/>
  <c r="I4335" i="1"/>
  <c r="J4335" i="1"/>
  <c r="K4335" i="1"/>
  <c r="M4335" i="1"/>
  <c r="O4335" i="1"/>
  <c r="Q4335" i="1"/>
  <c r="R4335" i="1"/>
  <c r="W4335" i="1"/>
  <c r="AA4335" i="1"/>
  <c r="AB4335" i="1"/>
  <c r="AE4335" i="1"/>
  <c r="AF4335" i="1"/>
  <c r="AM4335" i="1"/>
  <c r="AN4335" i="1"/>
  <c r="AO4335" i="1"/>
  <c r="AQ4335" i="1"/>
  <c r="AX4335" i="1"/>
  <c r="BD4335" i="1"/>
  <c r="B4336" i="1"/>
  <c r="C4336" i="1"/>
  <c r="E4336" i="1"/>
  <c r="F4336" i="1"/>
  <c r="G4336" i="1"/>
  <c r="H4336" i="1"/>
  <c r="I4336" i="1"/>
  <c r="J4336" i="1"/>
  <c r="K4336" i="1"/>
  <c r="M4336" i="1"/>
  <c r="O4336" i="1"/>
  <c r="Q4336" i="1"/>
  <c r="R4336" i="1"/>
  <c r="W4336" i="1"/>
  <c r="AA4336" i="1"/>
  <c r="AB4336" i="1"/>
  <c r="AE4336" i="1"/>
  <c r="AF4336" i="1"/>
  <c r="AM4336" i="1"/>
  <c r="AN4336" i="1"/>
  <c r="AO4336" i="1"/>
  <c r="AQ4336" i="1"/>
  <c r="AX4336" i="1"/>
  <c r="BD4336" i="1"/>
  <c r="B4337" i="1"/>
  <c r="C4337" i="1"/>
  <c r="E4337" i="1"/>
  <c r="F4337" i="1"/>
  <c r="G4337" i="1"/>
  <c r="H4337" i="1"/>
  <c r="I4337" i="1"/>
  <c r="J4337" i="1"/>
  <c r="K4337" i="1"/>
  <c r="M4337" i="1"/>
  <c r="O4337" i="1"/>
  <c r="Q4337" i="1"/>
  <c r="R4337" i="1"/>
  <c r="W4337" i="1"/>
  <c r="AA4337" i="1"/>
  <c r="AB4337" i="1"/>
  <c r="AE4337" i="1"/>
  <c r="AF4337" i="1"/>
  <c r="AM4337" i="1"/>
  <c r="AN4337" i="1"/>
  <c r="AO4337" i="1"/>
  <c r="AQ4337" i="1"/>
  <c r="AX4337" i="1"/>
  <c r="BD4337" i="1"/>
  <c r="B4338" i="1"/>
  <c r="C4338" i="1"/>
  <c r="E4338" i="1"/>
  <c r="F4338" i="1"/>
  <c r="G4338" i="1"/>
  <c r="H4338" i="1"/>
  <c r="I4338" i="1"/>
  <c r="J4338" i="1"/>
  <c r="K4338" i="1"/>
  <c r="M4338" i="1"/>
  <c r="O4338" i="1"/>
  <c r="Q4338" i="1"/>
  <c r="R4338" i="1"/>
  <c r="W4338" i="1"/>
  <c r="AA4338" i="1"/>
  <c r="AB4338" i="1"/>
  <c r="AE4338" i="1"/>
  <c r="AF4338" i="1"/>
  <c r="AM4338" i="1"/>
  <c r="AN4338" i="1"/>
  <c r="AO4338" i="1"/>
  <c r="AQ4338" i="1"/>
  <c r="AX4338" i="1"/>
  <c r="BD4338" i="1"/>
  <c r="B4339" i="1"/>
  <c r="C4339" i="1"/>
  <c r="E4339" i="1"/>
  <c r="F4339" i="1"/>
  <c r="G4339" i="1"/>
  <c r="H4339" i="1"/>
  <c r="I4339" i="1"/>
  <c r="J4339" i="1"/>
  <c r="K4339" i="1"/>
  <c r="M4339" i="1"/>
  <c r="O4339" i="1"/>
  <c r="Q4339" i="1"/>
  <c r="R4339" i="1"/>
  <c r="W4339" i="1"/>
  <c r="AA4339" i="1"/>
  <c r="AB4339" i="1"/>
  <c r="AE4339" i="1"/>
  <c r="AF4339" i="1"/>
  <c r="AM4339" i="1"/>
  <c r="AN4339" i="1"/>
  <c r="AO4339" i="1"/>
  <c r="AQ4339" i="1"/>
  <c r="AX4339" i="1"/>
  <c r="BD4339" i="1"/>
  <c r="B4340" i="1"/>
  <c r="C4340" i="1"/>
  <c r="E4340" i="1"/>
  <c r="F4340" i="1"/>
  <c r="G4340" i="1"/>
  <c r="H4340" i="1"/>
  <c r="I4340" i="1"/>
  <c r="J4340" i="1"/>
  <c r="K4340" i="1"/>
  <c r="M4340" i="1"/>
  <c r="O4340" i="1"/>
  <c r="Q4340" i="1"/>
  <c r="R4340" i="1"/>
  <c r="W4340" i="1"/>
  <c r="AA4340" i="1"/>
  <c r="AB4340" i="1"/>
  <c r="AE4340" i="1"/>
  <c r="AF4340" i="1"/>
  <c r="AM4340" i="1"/>
  <c r="AN4340" i="1"/>
  <c r="AO4340" i="1"/>
  <c r="AQ4340" i="1"/>
  <c r="AX4340" i="1"/>
  <c r="BD4340" i="1"/>
  <c r="B4341" i="1"/>
  <c r="C4341" i="1"/>
  <c r="E4341" i="1"/>
  <c r="F4341" i="1"/>
  <c r="G4341" i="1"/>
  <c r="H4341" i="1"/>
  <c r="I4341" i="1"/>
  <c r="J4341" i="1"/>
  <c r="K4341" i="1"/>
  <c r="M4341" i="1"/>
  <c r="O4341" i="1"/>
  <c r="Q4341" i="1"/>
  <c r="R4341" i="1"/>
  <c r="W4341" i="1"/>
  <c r="AA4341" i="1"/>
  <c r="AB4341" i="1"/>
  <c r="AE4341" i="1"/>
  <c r="AF4341" i="1"/>
  <c r="AM4341" i="1"/>
  <c r="AN4341" i="1"/>
  <c r="AO4341" i="1"/>
  <c r="AQ4341" i="1"/>
  <c r="AX4341" i="1"/>
  <c r="BD4341" i="1"/>
  <c r="B4342" i="1"/>
  <c r="C4342" i="1"/>
  <c r="E4342" i="1"/>
  <c r="F4342" i="1"/>
  <c r="G4342" i="1"/>
  <c r="H4342" i="1"/>
  <c r="I4342" i="1"/>
  <c r="J4342" i="1"/>
  <c r="K4342" i="1"/>
  <c r="M4342" i="1"/>
  <c r="O4342" i="1"/>
  <c r="Q4342" i="1"/>
  <c r="R4342" i="1"/>
  <c r="W4342" i="1"/>
  <c r="AA4342" i="1"/>
  <c r="AB4342" i="1"/>
  <c r="AE4342" i="1"/>
  <c r="AF4342" i="1"/>
  <c r="AM4342" i="1"/>
  <c r="AN4342" i="1"/>
  <c r="AO4342" i="1"/>
  <c r="AQ4342" i="1"/>
  <c r="AX4342" i="1"/>
  <c r="BD4342" i="1"/>
  <c r="B4343" i="1"/>
  <c r="C4343" i="1"/>
  <c r="E4343" i="1"/>
  <c r="F4343" i="1"/>
  <c r="G4343" i="1"/>
  <c r="H4343" i="1"/>
  <c r="I4343" i="1"/>
  <c r="J4343" i="1"/>
  <c r="K4343" i="1"/>
  <c r="M4343" i="1"/>
  <c r="O4343" i="1"/>
  <c r="Q4343" i="1"/>
  <c r="R4343" i="1"/>
  <c r="W4343" i="1"/>
  <c r="AA4343" i="1"/>
  <c r="AB4343" i="1"/>
  <c r="AE4343" i="1"/>
  <c r="AF4343" i="1"/>
  <c r="AM4343" i="1"/>
  <c r="AN4343" i="1"/>
  <c r="AO4343" i="1"/>
  <c r="AQ4343" i="1"/>
  <c r="AX4343" i="1"/>
  <c r="BD4343" i="1"/>
  <c r="B4344" i="1"/>
  <c r="C4344" i="1"/>
  <c r="E4344" i="1"/>
  <c r="F4344" i="1"/>
  <c r="G4344" i="1"/>
  <c r="H4344" i="1"/>
  <c r="I4344" i="1"/>
  <c r="J4344" i="1"/>
  <c r="K4344" i="1"/>
  <c r="M4344" i="1"/>
  <c r="O4344" i="1"/>
  <c r="Q4344" i="1"/>
  <c r="R4344" i="1"/>
  <c r="W4344" i="1"/>
  <c r="AA4344" i="1"/>
  <c r="AB4344" i="1"/>
  <c r="AE4344" i="1"/>
  <c r="AF4344" i="1"/>
  <c r="AM4344" i="1"/>
  <c r="AN4344" i="1"/>
  <c r="AO4344" i="1"/>
  <c r="AQ4344" i="1"/>
  <c r="AX4344" i="1"/>
  <c r="BD4344" i="1"/>
  <c r="B4345" i="1"/>
  <c r="C4345" i="1"/>
  <c r="E4345" i="1"/>
  <c r="F4345" i="1"/>
  <c r="G4345" i="1"/>
  <c r="H4345" i="1"/>
  <c r="I4345" i="1"/>
  <c r="J4345" i="1"/>
  <c r="K4345" i="1"/>
  <c r="M4345" i="1"/>
  <c r="O4345" i="1"/>
  <c r="Q4345" i="1"/>
  <c r="R4345" i="1"/>
  <c r="W4345" i="1"/>
  <c r="AA4345" i="1"/>
  <c r="AB4345" i="1"/>
  <c r="AE4345" i="1"/>
  <c r="AF4345" i="1"/>
  <c r="AM4345" i="1"/>
  <c r="AN4345" i="1"/>
  <c r="AO4345" i="1"/>
  <c r="AQ4345" i="1"/>
  <c r="AX4345" i="1"/>
  <c r="BD4345" i="1"/>
  <c r="B4346" i="1"/>
  <c r="C4346" i="1"/>
  <c r="E4346" i="1"/>
  <c r="F4346" i="1"/>
  <c r="G4346" i="1"/>
  <c r="H4346" i="1"/>
  <c r="I4346" i="1"/>
  <c r="J4346" i="1"/>
  <c r="K4346" i="1"/>
  <c r="M4346" i="1"/>
  <c r="O4346" i="1"/>
  <c r="Q4346" i="1"/>
  <c r="R4346" i="1"/>
  <c r="W4346" i="1"/>
  <c r="AA4346" i="1"/>
  <c r="AB4346" i="1"/>
  <c r="AE4346" i="1"/>
  <c r="AF4346" i="1"/>
  <c r="AM4346" i="1"/>
  <c r="AN4346" i="1"/>
  <c r="AO4346" i="1"/>
  <c r="AQ4346" i="1"/>
  <c r="AX4346" i="1"/>
  <c r="BD4346" i="1"/>
  <c r="B4347" i="1"/>
  <c r="C4347" i="1"/>
  <c r="D4347" i="1"/>
  <c r="E4347" i="1"/>
  <c r="F4347" i="1"/>
  <c r="G4347" i="1"/>
  <c r="H4347" i="1"/>
  <c r="I4347" i="1"/>
  <c r="J4347" i="1"/>
  <c r="K4347" i="1"/>
  <c r="M4347" i="1"/>
  <c r="O4347" i="1"/>
  <c r="Q4347" i="1"/>
  <c r="R4347" i="1"/>
  <c r="W4347" i="1"/>
  <c r="AA4347" i="1"/>
  <c r="AB4347" i="1"/>
  <c r="AE4347" i="1"/>
  <c r="AF4347" i="1"/>
  <c r="AM4347" i="1"/>
  <c r="AN4347" i="1"/>
  <c r="AO4347" i="1"/>
  <c r="AQ4347" i="1"/>
  <c r="AX4347" i="1"/>
  <c r="BD4347" i="1"/>
  <c r="B4348" i="1"/>
  <c r="C4348" i="1"/>
  <c r="E4348" i="1"/>
  <c r="F4348" i="1"/>
  <c r="G4348" i="1"/>
  <c r="H4348" i="1"/>
  <c r="I4348" i="1"/>
  <c r="J4348" i="1"/>
  <c r="K4348" i="1"/>
  <c r="M4348" i="1"/>
  <c r="O4348" i="1"/>
  <c r="Q4348" i="1"/>
  <c r="R4348" i="1"/>
  <c r="W4348" i="1"/>
  <c r="AA4348" i="1"/>
  <c r="AB4348" i="1"/>
  <c r="AE4348" i="1"/>
  <c r="AF4348" i="1"/>
  <c r="AM4348" i="1"/>
  <c r="AN4348" i="1"/>
  <c r="AO4348" i="1"/>
  <c r="AQ4348" i="1"/>
  <c r="AX4348" i="1"/>
  <c r="BD4348" i="1"/>
  <c r="B4349" i="1"/>
  <c r="C4349" i="1"/>
  <c r="E4349" i="1"/>
  <c r="F4349" i="1"/>
  <c r="G4349" i="1"/>
  <c r="H4349" i="1"/>
  <c r="I4349" i="1"/>
  <c r="J4349" i="1"/>
  <c r="K4349" i="1"/>
  <c r="M4349" i="1"/>
  <c r="O4349" i="1"/>
  <c r="Q4349" i="1"/>
  <c r="R4349" i="1"/>
  <c r="W4349" i="1"/>
  <c r="AA4349" i="1"/>
  <c r="AB4349" i="1"/>
  <c r="AE4349" i="1"/>
  <c r="AF4349" i="1"/>
  <c r="AM4349" i="1"/>
  <c r="AN4349" i="1"/>
  <c r="AO4349" i="1"/>
  <c r="AQ4349" i="1"/>
  <c r="AX4349" i="1"/>
  <c r="BD4349" i="1"/>
  <c r="B4350" i="1"/>
  <c r="C4350" i="1"/>
  <c r="E4350" i="1"/>
  <c r="F4350" i="1"/>
  <c r="G4350" i="1"/>
  <c r="H4350" i="1"/>
  <c r="I4350" i="1"/>
  <c r="J4350" i="1"/>
  <c r="K4350" i="1"/>
  <c r="M4350" i="1"/>
  <c r="O4350" i="1"/>
  <c r="Q4350" i="1"/>
  <c r="R4350" i="1"/>
  <c r="W4350" i="1"/>
  <c r="AA4350" i="1"/>
  <c r="AB4350" i="1"/>
  <c r="AE4350" i="1"/>
  <c r="AF4350" i="1"/>
  <c r="AM4350" i="1"/>
  <c r="AN4350" i="1"/>
  <c r="AO4350" i="1"/>
  <c r="AQ4350" i="1"/>
  <c r="AX4350" i="1"/>
  <c r="BD4350" i="1"/>
  <c r="B4351" i="1"/>
  <c r="C4351" i="1"/>
  <c r="E4351" i="1"/>
  <c r="F4351" i="1"/>
  <c r="G4351" i="1"/>
  <c r="H4351" i="1"/>
  <c r="I4351" i="1"/>
  <c r="J4351" i="1"/>
  <c r="K4351" i="1"/>
  <c r="M4351" i="1"/>
  <c r="O4351" i="1"/>
  <c r="Q4351" i="1"/>
  <c r="R4351" i="1"/>
  <c r="W4351" i="1"/>
  <c r="AA4351" i="1"/>
  <c r="AM4351" i="1"/>
  <c r="AN4351" i="1"/>
  <c r="AO4351" i="1"/>
  <c r="AQ4351" i="1"/>
  <c r="BB4351" i="1"/>
  <c r="BD4351" i="1"/>
  <c r="B4352" i="1"/>
  <c r="C4352" i="1"/>
  <c r="E4352" i="1"/>
  <c r="F4352" i="1"/>
  <c r="G4352" i="1"/>
  <c r="H4352" i="1"/>
  <c r="I4352" i="1"/>
  <c r="J4352" i="1"/>
  <c r="K4352" i="1"/>
  <c r="M4352" i="1"/>
  <c r="O4352" i="1"/>
  <c r="Q4352" i="1"/>
  <c r="R4352" i="1"/>
  <c r="W4352" i="1"/>
  <c r="AA4352" i="1"/>
  <c r="AM4352" i="1"/>
  <c r="AN4352" i="1"/>
  <c r="AO4352" i="1"/>
  <c r="AQ4352" i="1"/>
  <c r="BB4352" i="1"/>
  <c r="BD4352" i="1"/>
  <c r="B4353" i="1"/>
  <c r="E4353" i="1"/>
  <c r="F4353" i="1"/>
  <c r="G4353" i="1"/>
  <c r="H4353" i="1"/>
  <c r="I4353" i="1"/>
  <c r="J4353" i="1"/>
  <c r="K4353" i="1"/>
  <c r="M4353" i="1"/>
  <c r="O4353" i="1"/>
  <c r="Q4353" i="1"/>
  <c r="R4353" i="1"/>
  <c r="W4353" i="1"/>
  <c r="AA4353" i="1"/>
  <c r="AB4353" i="1"/>
  <c r="AE4353" i="1"/>
  <c r="AF4353" i="1"/>
  <c r="AM4353" i="1"/>
  <c r="AN4353" i="1"/>
  <c r="AO4353" i="1"/>
  <c r="AQ4353" i="1"/>
  <c r="AX4353" i="1"/>
  <c r="BD4353" i="1"/>
  <c r="B4354" i="1"/>
  <c r="E4354" i="1"/>
  <c r="F4354" i="1"/>
  <c r="G4354" i="1"/>
  <c r="H4354" i="1"/>
  <c r="I4354" i="1"/>
  <c r="J4354" i="1"/>
  <c r="K4354" i="1"/>
  <c r="M4354" i="1"/>
  <c r="O4354" i="1"/>
  <c r="Q4354" i="1"/>
  <c r="R4354" i="1"/>
  <c r="W4354" i="1"/>
  <c r="AA4354" i="1"/>
  <c r="AB4354" i="1"/>
  <c r="AE4354" i="1"/>
  <c r="AF4354" i="1"/>
  <c r="AM4354" i="1"/>
  <c r="AN4354" i="1"/>
  <c r="AO4354" i="1"/>
  <c r="AQ4354" i="1"/>
  <c r="AX4354" i="1"/>
  <c r="BD4354" i="1"/>
  <c r="B4355" i="1"/>
  <c r="E4355" i="1"/>
  <c r="F4355" i="1"/>
  <c r="G4355" i="1"/>
  <c r="H4355" i="1"/>
  <c r="I4355" i="1"/>
  <c r="J4355" i="1"/>
  <c r="K4355" i="1"/>
  <c r="M4355" i="1"/>
  <c r="O4355" i="1"/>
  <c r="Q4355" i="1"/>
  <c r="R4355" i="1"/>
  <c r="W4355" i="1"/>
  <c r="AA4355" i="1"/>
  <c r="AB4355" i="1"/>
  <c r="AE4355" i="1"/>
  <c r="AF4355" i="1"/>
  <c r="AM4355" i="1"/>
  <c r="AN4355" i="1"/>
  <c r="AO4355" i="1"/>
  <c r="AQ4355" i="1"/>
  <c r="AX4355" i="1"/>
  <c r="BD4355" i="1"/>
  <c r="B4356" i="1"/>
  <c r="E4356" i="1"/>
  <c r="F4356" i="1"/>
  <c r="G4356" i="1"/>
  <c r="H4356" i="1"/>
  <c r="I4356" i="1"/>
  <c r="J4356" i="1"/>
  <c r="K4356" i="1"/>
  <c r="M4356" i="1"/>
  <c r="O4356" i="1"/>
  <c r="Q4356" i="1"/>
  <c r="R4356" i="1"/>
  <c r="W4356" i="1"/>
  <c r="AA4356" i="1"/>
  <c r="AB4356" i="1"/>
  <c r="AE4356" i="1"/>
  <c r="AF4356" i="1"/>
  <c r="AM4356" i="1"/>
  <c r="AN4356" i="1"/>
  <c r="AO4356" i="1"/>
  <c r="AQ4356" i="1"/>
  <c r="AX4356" i="1"/>
  <c r="BD4356" i="1"/>
  <c r="B4357" i="1"/>
  <c r="E4357" i="1"/>
  <c r="F4357" i="1"/>
  <c r="G4357" i="1"/>
  <c r="H4357" i="1"/>
  <c r="I4357" i="1"/>
  <c r="J4357" i="1"/>
  <c r="K4357" i="1"/>
  <c r="M4357" i="1"/>
  <c r="O4357" i="1"/>
  <c r="Q4357" i="1"/>
  <c r="R4357" i="1"/>
  <c r="W4357" i="1"/>
  <c r="AA4357" i="1"/>
  <c r="AB4357" i="1"/>
  <c r="AE4357" i="1"/>
  <c r="AF4357" i="1"/>
  <c r="AM4357" i="1"/>
  <c r="AN4357" i="1"/>
  <c r="AO4357" i="1"/>
  <c r="AQ4357" i="1"/>
  <c r="AX4357" i="1"/>
  <c r="BD4357" i="1"/>
  <c r="B4358" i="1"/>
  <c r="E4358" i="1"/>
  <c r="F4358" i="1"/>
  <c r="G4358" i="1"/>
  <c r="H4358" i="1"/>
  <c r="I4358" i="1"/>
  <c r="J4358" i="1"/>
  <c r="K4358" i="1"/>
  <c r="M4358" i="1"/>
  <c r="O4358" i="1"/>
  <c r="Q4358" i="1"/>
  <c r="R4358" i="1"/>
  <c r="W4358" i="1"/>
  <c r="AA4358" i="1"/>
  <c r="AB4358" i="1"/>
  <c r="AE4358" i="1"/>
  <c r="AF4358" i="1"/>
  <c r="AM4358" i="1"/>
  <c r="AN4358" i="1"/>
  <c r="AO4358" i="1"/>
  <c r="AQ4358" i="1"/>
  <c r="AX4358" i="1"/>
  <c r="BD4358" i="1"/>
  <c r="B4359" i="1"/>
  <c r="C4359" i="1"/>
  <c r="E4359" i="1"/>
  <c r="F4359" i="1"/>
  <c r="G4359" i="1"/>
  <c r="H4359" i="1"/>
  <c r="I4359" i="1"/>
  <c r="J4359" i="1"/>
  <c r="K4359" i="1"/>
  <c r="M4359" i="1"/>
  <c r="O4359" i="1"/>
  <c r="Q4359" i="1"/>
  <c r="R4359" i="1"/>
  <c r="W4359" i="1"/>
  <c r="AA4359" i="1"/>
  <c r="AB4359" i="1"/>
  <c r="AE4359" i="1"/>
  <c r="AF4359" i="1"/>
  <c r="AM4359" i="1"/>
  <c r="AN4359" i="1"/>
  <c r="AO4359" i="1"/>
  <c r="AQ4359" i="1"/>
  <c r="AX4359" i="1"/>
  <c r="BD4359" i="1"/>
  <c r="B4360" i="1"/>
  <c r="C4360" i="1"/>
  <c r="D4360" i="1"/>
  <c r="E4360" i="1"/>
  <c r="F4360" i="1"/>
  <c r="G4360" i="1"/>
  <c r="H4360" i="1"/>
  <c r="I4360" i="1"/>
  <c r="J4360" i="1"/>
  <c r="K4360" i="1"/>
  <c r="M4360" i="1"/>
  <c r="O4360" i="1"/>
  <c r="Q4360" i="1"/>
  <c r="R4360" i="1"/>
  <c r="W4360" i="1"/>
  <c r="AA4360" i="1"/>
  <c r="AB4360" i="1"/>
  <c r="AE4360" i="1"/>
  <c r="AF4360" i="1"/>
  <c r="AM4360" i="1"/>
  <c r="AN4360" i="1"/>
  <c r="AO4360" i="1"/>
  <c r="AQ4360" i="1"/>
  <c r="AX4360" i="1"/>
  <c r="BD4360" i="1"/>
  <c r="B4361" i="1"/>
  <c r="C4361" i="1"/>
  <c r="D4361" i="1"/>
  <c r="E4361" i="1"/>
  <c r="F4361" i="1"/>
  <c r="G4361" i="1"/>
  <c r="H4361" i="1"/>
  <c r="I4361" i="1"/>
  <c r="J4361" i="1"/>
  <c r="K4361" i="1"/>
  <c r="M4361" i="1"/>
  <c r="O4361" i="1"/>
  <c r="Q4361" i="1"/>
  <c r="R4361" i="1"/>
  <c r="W4361" i="1"/>
  <c r="AA4361" i="1"/>
  <c r="AB4361" i="1"/>
  <c r="AE4361" i="1"/>
  <c r="AF4361" i="1"/>
  <c r="AM4361" i="1"/>
  <c r="AN4361" i="1"/>
  <c r="AO4361" i="1"/>
  <c r="AQ4361" i="1"/>
  <c r="AX4361" i="1"/>
  <c r="BD4361" i="1"/>
  <c r="B4362" i="1"/>
  <c r="E4362" i="1"/>
  <c r="F4362" i="1"/>
  <c r="G4362" i="1"/>
  <c r="H4362" i="1"/>
  <c r="I4362" i="1"/>
  <c r="J4362" i="1"/>
  <c r="K4362" i="1"/>
  <c r="M4362" i="1"/>
  <c r="O4362" i="1"/>
  <c r="Q4362" i="1"/>
  <c r="R4362" i="1"/>
  <c r="W4362" i="1"/>
  <c r="AA4362" i="1"/>
  <c r="AB4362" i="1"/>
  <c r="AE4362" i="1"/>
  <c r="AF4362" i="1"/>
  <c r="AM4362" i="1"/>
  <c r="AN4362" i="1"/>
  <c r="AO4362" i="1"/>
  <c r="AQ4362" i="1"/>
  <c r="AX4362" i="1"/>
  <c r="BD4362" i="1"/>
  <c r="B4363" i="1"/>
  <c r="E4363" i="1"/>
  <c r="F4363" i="1"/>
  <c r="G4363" i="1"/>
  <c r="H4363" i="1"/>
  <c r="I4363" i="1"/>
  <c r="J4363" i="1"/>
  <c r="K4363" i="1"/>
  <c r="M4363" i="1"/>
  <c r="O4363" i="1"/>
  <c r="Q4363" i="1"/>
  <c r="R4363" i="1"/>
  <c r="W4363" i="1"/>
  <c r="AA4363" i="1"/>
  <c r="AB4363" i="1"/>
  <c r="AE4363" i="1"/>
  <c r="AF4363" i="1"/>
  <c r="AM4363" i="1"/>
  <c r="AN4363" i="1"/>
  <c r="AO4363" i="1"/>
  <c r="AQ4363" i="1"/>
  <c r="AX4363" i="1"/>
  <c r="BD4363" i="1"/>
  <c r="B4364" i="1"/>
  <c r="E4364" i="1"/>
  <c r="F4364" i="1"/>
  <c r="G4364" i="1"/>
  <c r="H4364" i="1"/>
  <c r="I4364" i="1"/>
  <c r="J4364" i="1"/>
  <c r="K4364" i="1"/>
  <c r="M4364" i="1"/>
  <c r="O4364" i="1"/>
  <c r="Q4364" i="1"/>
  <c r="R4364" i="1"/>
  <c r="W4364" i="1"/>
  <c r="AA4364" i="1"/>
  <c r="AB4364" i="1"/>
  <c r="AE4364" i="1"/>
  <c r="AF4364" i="1"/>
  <c r="AM4364" i="1"/>
  <c r="AN4364" i="1"/>
  <c r="AO4364" i="1"/>
  <c r="AQ4364" i="1"/>
  <c r="AX4364" i="1"/>
  <c r="BD4364" i="1"/>
  <c r="B4365" i="1"/>
  <c r="E4365" i="1"/>
  <c r="F4365" i="1"/>
  <c r="G4365" i="1"/>
  <c r="H4365" i="1"/>
  <c r="I4365" i="1"/>
  <c r="J4365" i="1"/>
  <c r="K4365" i="1"/>
  <c r="M4365" i="1"/>
  <c r="O4365" i="1"/>
  <c r="Q4365" i="1"/>
  <c r="R4365" i="1"/>
  <c r="W4365" i="1"/>
  <c r="AA4365" i="1"/>
  <c r="AB4365" i="1"/>
  <c r="AE4365" i="1"/>
  <c r="AF4365" i="1"/>
  <c r="AM4365" i="1"/>
  <c r="AN4365" i="1"/>
  <c r="AO4365" i="1"/>
  <c r="AQ4365" i="1"/>
  <c r="AX4365" i="1"/>
  <c r="BD4365" i="1"/>
  <c r="B4366" i="1"/>
  <c r="C4366" i="1"/>
  <c r="D4366" i="1"/>
  <c r="E4366" i="1"/>
  <c r="F4366" i="1"/>
  <c r="G4366" i="1"/>
  <c r="H4366" i="1"/>
  <c r="I4366" i="1"/>
  <c r="J4366" i="1"/>
  <c r="K4366" i="1"/>
  <c r="M4366" i="1"/>
  <c r="O4366" i="1"/>
  <c r="Q4366" i="1"/>
  <c r="R4366" i="1"/>
  <c r="W4366" i="1"/>
  <c r="AA4366" i="1"/>
  <c r="AB4366" i="1"/>
  <c r="AE4366" i="1"/>
  <c r="AF4366" i="1"/>
  <c r="AM4366" i="1"/>
  <c r="AN4366" i="1"/>
  <c r="AO4366" i="1"/>
  <c r="AQ4366" i="1"/>
  <c r="AX4366" i="1"/>
  <c r="BD4366" i="1"/>
  <c r="B4367" i="1"/>
  <c r="E4367" i="1"/>
  <c r="F4367" i="1"/>
  <c r="G4367" i="1"/>
  <c r="H4367" i="1"/>
  <c r="I4367" i="1"/>
  <c r="J4367" i="1"/>
  <c r="K4367" i="1"/>
  <c r="M4367" i="1"/>
  <c r="O4367" i="1"/>
  <c r="Q4367" i="1"/>
  <c r="R4367" i="1"/>
  <c r="W4367" i="1"/>
  <c r="AA4367" i="1"/>
  <c r="AB4367" i="1"/>
  <c r="AE4367" i="1"/>
  <c r="AF4367" i="1"/>
  <c r="AM4367" i="1"/>
  <c r="AN4367" i="1"/>
  <c r="AO4367" i="1"/>
  <c r="AQ4367" i="1"/>
  <c r="AX4367" i="1"/>
  <c r="BD4367" i="1"/>
  <c r="B4368" i="1"/>
  <c r="E4368" i="1"/>
  <c r="F4368" i="1"/>
  <c r="G4368" i="1"/>
  <c r="H4368" i="1"/>
  <c r="I4368" i="1"/>
  <c r="J4368" i="1"/>
  <c r="K4368" i="1"/>
  <c r="M4368" i="1"/>
  <c r="O4368" i="1"/>
  <c r="Q4368" i="1"/>
  <c r="R4368" i="1"/>
  <c r="W4368" i="1"/>
  <c r="AA4368" i="1"/>
  <c r="AB4368" i="1"/>
  <c r="AE4368" i="1"/>
  <c r="AF4368" i="1"/>
  <c r="AM4368" i="1"/>
  <c r="AN4368" i="1"/>
  <c r="AO4368" i="1"/>
  <c r="AQ4368" i="1"/>
  <c r="AX4368" i="1"/>
  <c r="BD4368" i="1"/>
  <c r="B4369" i="1"/>
  <c r="E4369" i="1"/>
  <c r="F4369" i="1"/>
  <c r="G4369" i="1"/>
  <c r="H4369" i="1"/>
  <c r="I4369" i="1"/>
  <c r="J4369" i="1"/>
  <c r="K4369" i="1"/>
  <c r="M4369" i="1"/>
  <c r="O4369" i="1"/>
  <c r="Q4369" i="1"/>
  <c r="R4369" i="1"/>
  <c r="W4369" i="1"/>
  <c r="AA4369" i="1"/>
  <c r="AB4369" i="1"/>
  <c r="AE4369" i="1"/>
  <c r="AF4369" i="1"/>
  <c r="AM4369" i="1"/>
  <c r="AN4369" i="1"/>
  <c r="AO4369" i="1"/>
  <c r="AQ4369" i="1"/>
  <c r="AX4369" i="1"/>
  <c r="BD4369" i="1"/>
  <c r="B4370" i="1"/>
  <c r="E4370" i="1"/>
  <c r="F4370" i="1"/>
  <c r="G4370" i="1"/>
  <c r="H4370" i="1"/>
  <c r="I4370" i="1"/>
  <c r="J4370" i="1"/>
  <c r="K4370" i="1"/>
  <c r="M4370" i="1"/>
  <c r="O4370" i="1"/>
  <c r="Q4370" i="1"/>
  <c r="R4370" i="1"/>
  <c r="W4370" i="1"/>
  <c r="AA4370" i="1"/>
  <c r="AB4370" i="1"/>
  <c r="AE4370" i="1"/>
  <c r="AF4370" i="1"/>
  <c r="AM4370" i="1"/>
  <c r="AN4370" i="1"/>
  <c r="AO4370" i="1"/>
  <c r="AQ4370" i="1"/>
  <c r="AX4370" i="1"/>
  <c r="BD4370" i="1"/>
  <c r="B4371" i="1"/>
  <c r="C4371" i="1"/>
  <c r="E4371" i="1"/>
  <c r="F4371" i="1"/>
  <c r="G4371" i="1"/>
  <c r="H4371" i="1"/>
  <c r="I4371" i="1"/>
  <c r="J4371" i="1"/>
  <c r="K4371" i="1"/>
  <c r="M4371" i="1"/>
  <c r="O4371" i="1"/>
  <c r="Q4371" i="1"/>
  <c r="R4371" i="1"/>
  <c r="W4371" i="1"/>
  <c r="AA4371" i="1"/>
  <c r="AB4371" i="1"/>
  <c r="AE4371" i="1"/>
  <c r="AF4371" i="1"/>
  <c r="AM4371" i="1"/>
  <c r="AN4371" i="1"/>
  <c r="AO4371" i="1"/>
  <c r="AQ4371" i="1"/>
  <c r="AX4371" i="1"/>
  <c r="BD4371" i="1"/>
  <c r="B4372" i="1"/>
  <c r="E4372" i="1"/>
  <c r="F4372" i="1"/>
  <c r="G4372" i="1"/>
  <c r="H4372" i="1"/>
  <c r="I4372" i="1"/>
  <c r="J4372" i="1"/>
  <c r="K4372" i="1"/>
  <c r="M4372" i="1"/>
  <c r="O4372" i="1"/>
  <c r="Q4372" i="1"/>
  <c r="R4372" i="1"/>
  <c r="W4372" i="1"/>
  <c r="AA4372" i="1"/>
  <c r="AB4372" i="1"/>
  <c r="AE4372" i="1"/>
  <c r="AF4372" i="1"/>
  <c r="AM4372" i="1"/>
  <c r="AN4372" i="1"/>
  <c r="AO4372" i="1"/>
  <c r="AQ4372" i="1"/>
  <c r="AX4372" i="1"/>
  <c r="BD4372" i="1"/>
  <c r="B4373" i="1"/>
  <c r="E4373" i="1"/>
  <c r="F4373" i="1"/>
  <c r="G4373" i="1"/>
  <c r="H4373" i="1"/>
  <c r="I4373" i="1"/>
  <c r="J4373" i="1"/>
  <c r="K4373" i="1"/>
  <c r="M4373" i="1"/>
  <c r="O4373" i="1"/>
  <c r="Q4373" i="1"/>
  <c r="R4373" i="1"/>
  <c r="W4373" i="1"/>
  <c r="AA4373" i="1"/>
  <c r="AB4373" i="1"/>
  <c r="AE4373" i="1"/>
  <c r="AF4373" i="1"/>
  <c r="AM4373" i="1"/>
  <c r="AN4373" i="1"/>
  <c r="AO4373" i="1"/>
  <c r="AQ4373" i="1"/>
  <c r="AX4373" i="1"/>
  <c r="BD4373" i="1"/>
  <c r="B4374" i="1"/>
  <c r="E4374" i="1"/>
  <c r="F4374" i="1"/>
  <c r="G4374" i="1"/>
  <c r="H4374" i="1"/>
  <c r="I4374" i="1"/>
  <c r="J4374" i="1"/>
  <c r="K4374" i="1"/>
  <c r="M4374" i="1"/>
  <c r="O4374" i="1"/>
  <c r="Q4374" i="1"/>
  <c r="R4374" i="1"/>
  <c r="W4374" i="1"/>
  <c r="AA4374" i="1"/>
  <c r="AB4374" i="1"/>
  <c r="AE4374" i="1"/>
  <c r="AF4374" i="1"/>
  <c r="AM4374" i="1"/>
  <c r="AN4374" i="1"/>
  <c r="AO4374" i="1"/>
  <c r="AQ4374" i="1"/>
  <c r="AX4374" i="1"/>
  <c r="BD4374" i="1"/>
  <c r="B4375" i="1"/>
  <c r="E4375" i="1"/>
  <c r="F4375" i="1"/>
  <c r="G4375" i="1"/>
  <c r="H4375" i="1"/>
  <c r="I4375" i="1"/>
  <c r="J4375" i="1"/>
  <c r="K4375" i="1"/>
  <c r="M4375" i="1"/>
  <c r="O4375" i="1"/>
  <c r="Q4375" i="1"/>
  <c r="R4375" i="1"/>
  <c r="W4375" i="1"/>
  <c r="AA4375" i="1"/>
  <c r="AB4375" i="1"/>
  <c r="AE4375" i="1"/>
  <c r="AF4375" i="1"/>
  <c r="AM4375" i="1"/>
  <c r="AN4375" i="1"/>
  <c r="AO4375" i="1"/>
  <c r="AQ4375" i="1"/>
  <c r="AX4375" i="1"/>
  <c r="BD4375" i="1"/>
  <c r="B4376" i="1"/>
  <c r="C4376" i="1"/>
  <c r="E4376" i="1"/>
  <c r="F4376" i="1"/>
  <c r="G4376" i="1"/>
  <c r="H4376" i="1"/>
  <c r="I4376" i="1"/>
  <c r="J4376" i="1"/>
  <c r="K4376" i="1"/>
  <c r="M4376" i="1"/>
  <c r="O4376" i="1"/>
  <c r="Q4376" i="1"/>
  <c r="R4376" i="1"/>
  <c r="W4376" i="1"/>
  <c r="AA4376" i="1"/>
  <c r="AB4376" i="1"/>
  <c r="AE4376" i="1"/>
  <c r="AF4376" i="1"/>
  <c r="AM4376" i="1"/>
  <c r="AN4376" i="1"/>
  <c r="AO4376" i="1"/>
  <c r="AQ4376" i="1"/>
  <c r="AX4376" i="1"/>
  <c r="BD4376" i="1"/>
  <c r="B4377" i="1"/>
  <c r="C4377" i="1"/>
  <c r="E4377" i="1"/>
  <c r="F4377" i="1"/>
  <c r="G4377" i="1"/>
  <c r="H4377" i="1"/>
  <c r="I4377" i="1"/>
  <c r="J4377" i="1"/>
  <c r="K4377" i="1"/>
  <c r="M4377" i="1"/>
  <c r="O4377" i="1"/>
  <c r="Q4377" i="1"/>
  <c r="R4377" i="1"/>
  <c r="W4377" i="1"/>
  <c r="AA4377" i="1"/>
  <c r="AB4377" i="1"/>
  <c r="AE4377" i="1"/>
  <c r="AF4377" i="1"/>
  <c r="AM4377" i="1"/>
  <c r="AN4377" i="1"/>
  <c r="AO4377" i="1"/>
  <c r="AQ4377" i="1"/>
  <c r="AX4377" i="1"/>
  <c r="BD4377" i="1"/>
  <c r="B4378" i="1"/>
  <c r="C4378" i="1"/>
  <c r="E4378" i="1"/>
  <c r="F4378" i="1"/>
  <c r="G4378" i="1"/>
  <c r="H4378" i="1"/>
  <c r="I4378" i="1"/>
  <c r="J4378" i="1"/>
  <c r="K4378" i="1"/>
  <c r="M4378" i="1"/>
  <c r="O4378" i="1"/>
  <c r="Q4378" i="1"/>
  <c r="R4378" i="1"/>
  <c r="W4378" i="1"/>
  <c r="AA4378" i="1"/>
  <c r="AB4378" i="1"/>
  <c r="AE4378" i="1"/>
  <c r="AF4378" i="1"/>
  <c r="AM4378" i="1"/>
  <c r="AN4378" i="1"/>
  <c r="AO4378" i="1"/>
  <c r="AQ4378" i="1"/>
  <c r="AX4378" i="1"/>
  <c r="BD4378" i="1"/>
  <c r="B4379" i="1"/>
  <c r="C4379" i="1"/>
  <c r="E4379" i="1"/>
  <c r="F4379" i="1"/>
  <c r="G4379" i="1"/>
  <c r="H4379" i="1"/>
  <c r="I4379" i="1"/>
  <c r="J4379" i="1"/>
  <c r="K4379" i="1"/>
  <c r="M4379" i="1"/>
  <c r="O4379" i="1"/>
  <c r="Q4379" i="1"/>
  <c r="R4379" i="1"/>
  <c r="W4379" i="1"/>
  <c r="AA4379" i="1"/>
  <c r="AB4379" i="1"/>
  <c r="AE4379" i="1"/>
  <c r="AF4379" i="1"/>
  <c r="AM4379" i="1"/>
  <c r="AN4379" i="1"/>
  <c r="AO4379" i="1"/>
  <c r="AQ4379" i="1"/>
  <c r="AX4379" i="1"/>
  <c r="BD4379" i="1"/>
  <c r="B4380" i="1"/>
  <c r="C4380" i="1"/>
  <c r="D4380" i="1"/>
  <c r="E4380" i="1"/>
  <c r="F4380" i="1"/>
  <c r="G4380" i="1"/>
  <c r="H4380" i="1"/>
  <c r="I4380" i="1"/>
  <c r="J4380" i="1"/>
  <c r="K4380" i="1"/>
  <c r="M4380" i="1"/>
  <c r="O4380" i="1"/>
  <c r="Q4380" i="1"/>
  <c r="R4380" i="1"/>
  <c r="W4380" i="1"/>
  <c r="AA4380" i="1"/>
  <c r="AB4380" i="1"/>
  <c r="AE4380" i="1"/>
  <c r="AF4380" i="1"/>
  <c r="AM4380" i="1"/>
  <c r="AN4380" i="1"/>
  <c r="AO4380" i="1"/>
  <c r="AQ4380" i="1"/>
  <c r="AX4380" i="1"/>
  <c r="BD4380" i="1"/>
  <c r="B4381" i="1"/>
  <c r="C4381" i="1"/>
  <c r="D4381" i="1"/>
  <c r="E4381" i="1"/>
  <c r="F4381" i="1"/>
  <c r="G4381" i="1"/>
  <c r="H4381" i="1"/>
  <c r="I4381" i="1"/>
  <c r="J4381" i="1"/>
  <c r="K4381" i="1"/>
  <c r="M4381" i="1"/>
  <c r="O4381" i="1"/>
  <c r="Q4381" i="1"/>
  <c r="R4381" i="1"/>
  <c r="W4381" i="1"/>
  <c r="AA4381" i="1"/>
  <c r="AB4381" i="1"/>
  <c r="AE4381" i="1"/>
  <c r="AF4381" i="1"/>
  <c r="AM4381" i="1"/>
  <c r="AN4381" i="1"/>
  <c r="AO4381" i="1"/>
  <c r="AQ4381" i="1"/>
  <c r="AX4381" i="1"/>
  <c r="BD4381" i="1"/>
  <c r="B4382" i="1"/>
  <c r="C4382" i="1"/>
  <c r="D4382" i="1"/>
  <c r="E4382" i="1"/>
  <c r="F4382" i="1"/>
  <c r="G4382" i="1"/>
  <c r="H4382" i="1"/>
  <c r="I4382" i="1"/>
  <c r="J4382" i="1"/>
  <c r="K4382" i="1"/>
  <c r="M4382" i="1"/>
  <c r="O4382" i="1"/>
  <c r="Q4382" i="1"/>
  <c r="R4382" i="1"/>
  <c r="W4382" i="1"/>
  <c r="AA4382" i="1"/>
  <c r="AB4382" i="1"/>
  <c r="AE4382" i="1"/>
  <c r="AF4382" i="1"/>
  <c r="AM4382" i="1"/>
  <c r="AN4382" i="1"/>
  <c r="AO4382" i="1"/>
  <c r="AQ4382" i="1"/>
  <c r="AX4382" i="1"/>
  <c r="BD4382" i="1"/>
  <c r="B4383" i="1"/>
  <c r="C4383" i="1"/>
  <c r="D4383" i="1"/>
  <c r="E4383" i="1"/>
  <c r="F4383" i="1"/>
  <c r="G4383" i="1"/>
  <c r="H4383" i="1"/>
  <c r="I4383" i="1"/>
  <c r="J4383" i="1"/>
  <c r="K4383" i="1"/>
  <c r="M4383" i="1"/>
  <c r="O4383" i="1"/>
  <c r="Q4383" i="1"/>
  <c r="R4383" i="1"/>
  <c r="W4383" i="1"/>
  <c r="AA4383" i="1"/>
  <c r="AB4383" i="1"/>
  <c r="AE4383" i="1"/>
  <c r="AF4383" i="1"/>
  <c r="AM4383" i="1"/>
  <c r="AN4383" i="1"/>
  <c r="AO4383" i="1"/>
  <c r="AQ4383" i="1"/>
  <c r="AX4383" i="1"/>
  <c r="BD4383" i="1"/>
  <c r="B4384" i="1"/>
  <c r="C4384" i="1"/>
  <c r="D4384" i="1"/>
  <c r="E4384" i="1"/>
  <c r="F4384" i="1"/>
  <c r="G4384" i="1"/>
  <c r="H4384" i="1"/>
  <c r="I4384" i="1"/>
  <c r="J4384" i="1"/>
  <c r="K4384" i="1"/>
  <c r="M4384" i="1"/>
  <c r="O4384" i="1"/>
  <c r="Q4384" i="1"/>
  <c r="R4384" i="1"/>
  <c r="W4384" i="1"/>
  <c r="AA4384" i="1"/>
  <c r="AB4384" i="1"/>
  <c r="AE4384" i="1"/>
  <c r="AF4384" i="1"/>
  <c r="AM4384" i="1"/>
  <c r="AN4384" i="1"/>
  <c r="AO4384" i="1"/>
  <c r="AQ4384" i="1"/>
  <c r="AX4384" i="1"/>
  <c r="BD4384" i="1"/>
  <c r="B4385" i="1"/>
  <c r="C4385" i="1"/>
  <c r="D4385" i="1"/>
  <c r="E4385" i="1"/>
  <c r="F4385" i="1"/>
  <c r="G4385" i="1"/>
  <c r="H4385" i="1"/>
  <c r="I4385" i="1"/>
  <c r="J4385" i="1"/>
  <c r="K4385" i="1"/>
  <c r="M4385" i="1"/>
  <c r="O4385" i="1"/>
  <c r="Q4385" i="1"/>
  <c r="R4385" i="1"/>
  <c r="W4385" i="1"/>
  <c r="AA4385" i="1"/>
  <c r="AB4385" i="1"/>
  <c r="AE4385" i="1"/>
  <c r="AF4385" i="1"/>
  <c r="AM4385" i="1"/>
  <c r="AN4385" i="1"/>
  <c r="AO4385" i="1"/>
  <c r="AQ4385" i="1"/>
  <c r="AX4385" i="1"/>
  <c r="BD4385" i="1"/>
  <c r="B4386" i="1"/>
  <c r="C4386" i="1"/>
  <c r="D4386" i="1"/>
  <c r="E4386" i="1"/>
  <c r="F4386" i="1"/>
  <c r="G4386" i="1"/>
  <c r="H4386" i="1"/>
  <c r="I4386" i="1"/>
  <c r="J4386" i="1"/>
  <c r="K4386" i="1"/>
  <c r="M4386" i="1"/>
  <c r="O4386" i="1"/>
  <c r="Q4386" i="1"/>
  <c r="R4386" i="1"/>
  <c r="W4386" i="1"/>
  <c r="AA4386" i="1"/>
  <c r="AB4386" i="1"/>
  <c r="AM4386" i="1"/>
  <c r="AN4386" i="1"/>
  <c r="AO4386" i="1"/>
  <c r="AQ4386" i="1"/>
  <c r="AX4386" i="1"/>
  <c r="BD4386" i="1"/>
  <c r="B4387" i="1"/>
  <c r="C4387" i="1"/>
  <c r="E4387" i="1"/>
  <c r="F4387" i="1"/>
  <c r="G4387" i="1"/>
  <c r="H4387" i="1"/>
  <c r="I4387" i="1"/>
  <c r="J4387" i="1"/>
  <c r="K4387" i="1"/>
  <c r="M4387" i="1"/>
  <c r="O4387" i="1"/>
  <c r="Q4387" i="1"/>
  <c r="R4387" i="1"/>
  <c r="W4387" i="1"/>
  <c r="AA4387" i="1"/>
  <c r="AM4387" i="1"/>
  <c r="AN4387" i="1"/>
  <c r="AO4387" i="1"/>
  <c r="AQ4387" i="1"/>
  <c r="BB4387" i="1"/>
  <c r="BD4387" i="1"/>
  <c r="B4388" i="1"/>
  <c r="C4388" i="1"/>
  <c r="E4388" i="1"/>
  <c r="F4388" i="1"/>
  <c r="G4388" i="1"/>
  <c r="H4388" i="1"/>
  <c r="I4388" i="1"/>
  <c r="J4388" i="1"/>
  <c r="K4388" i="1"/>
  <c r="M4388" i="1"/>
  <c r="O4388" i="1"/>
  <c r="Q4388" i="1"/>
  <c r="R4388" i="1"/>
  <c r="W4388" i="1"/>
  <c r="AA4388" i="1"/>
  <c r="AM4388" i="1"/>
  <c r="AN4388" i="1"/>
  <c r="AO4388" i="1"/>
  <c r="AQ4388" i="1"/>
  <c r="BB4388" i="1"/>
  <c r="BD4388" i="1"/>
  <c r="B4389" i="1"/>
  <c r="C4389" i="1"/>
  <c r="D4389" i="1"/>
  <c r="E4389" i="1"/>
  <c r="F4389" i="1"/>
  <c r="G4389" i="1"/>
  <c r="H4389" i="1"/>
  <c r="I4389" i="1"/>
  <c r="J4389" i="1"/>
  <c r="K4389" i="1"/>
  <c r="M4389" i="1"/>
  <c r="O4389" i="1"/>
  <c r="Q4389" i="1"/>
  <c r="R4389" i="1"/>
  <c r="W4389" i="1"/>
  <c r="AA4389" i="1"/>
  <c r="AB4389" i="1"/>
  <c r="AE4389" i="1"/>
  <c r="AF4389" i="1"/>
  <c r="AM4389" i="1"/>
  <c r="AN4389" i="1"/>
  <c r="AO4389" i="1"/>
  <c r="AQ4389" i="1"/>
  <c r="AX4389" i="1"/>
  <c r="BD4389" i="1"/>
  <c r="B4390" i="1"/>
  <c r="C4390" i="1"/>
  <c r="E4390" i="1"/>
  <c r="F4390" i="1"/>
  <c r="G4390" i="1"/>
  <c r="H4390" i="1"/>
  <c r="I4390" i="1"/>
  <c r="J4390" i="1"/>
  <c r="K4390" i="1"/>
  <c r="M4390" i="1"/>
  <c r="O4390" i="1"/>
  <c r="Q4390" i="1"/>
  <c r="R4390" i="1"/>
  <c r="W4390" i="1"/>
  <c r="AA4390" i="1"/>
  <c r="AB4390" i="1"/>
  <c r="AE4390" i="1"/>
  <c r="AF4390" i="1"/>
  <c r="AM4390" i="1"/>
  <c r="AN4390" i="1"/>
  <c r="AO4390" i="1"/>
  <c r="AQ4390" i="1"/>
  <c r="AX4390" i="1"/>
  <c r="BD4390" i="1"/>
  <c r="B4391" i="1"/>
  <c r="E4391" i="1"/>
  <c r="F4391" i="1"/>
  <c r="G4391" i="1"/>
  <c r="H4391" i="1"/>
  <c r="I4391" i="1"/>
  <c r="J4391" i="1"/>
  <c r="K4391" i="1"/>
  <c r="M4391" i="1"/>
  <c r="O4391" i="1"/>
  <c r="Q4391" i="1"/>
  <c r="R4391" i="1"/>
  <c r="W4391" i="1"/>
  <c r="AA4391" i="1"/>
  <c r="AB4391" i="1"/>
  <c r="AE4391" i="1"/>
  <c r="AF4391" i="1"/>
  <c r="AM4391" i="1"/>
  <c r="AN4391" i="1"/>
  <c r="AO4391" i="1"/>
  <c r="AQ4391" i="1"/>
  <c r="AX4391" i="1"/>
  <c r="BD4391" i="1"/>
  <c r="B4392" i="1"/>
  <c r="E4392" i="1"/>
  <c r="F4392" i="1"/>
  <c r="G4392" i="1"/>
  <c r="H4392" i="1"/>
  <c r="I4392" i="1"/>
  <c r="J4392" i="1"/>
  <c r="K4392" i="1"/>
  <c r="M4392" i="1"/>
  <c r="O4392" i="1"/>
  <c r="Q4392" i="1"/>
  <c r="R4392" i="1"/>
  <c r="W4392" i="1"/>
  <c r="AA4392" i="1"/>
  <c r="AB4392" i="1"/>
  <c r="AE4392" i="1"/>
  <c r="AF4392" i="1"/>
  <c r="AM4392" i="1"/>
  <c r="AN4392" i="1"/>
  <c r="AO4392" i="1"/>
  <c r="AQ4392" i="1"/>
  <c r="AX4392" i="1"/>
  <c r="BD4392" i="1"/>
  <c r="B4393" i="1"/>
  <c r="E4393" i="1"/>
  <c r="F4393" i="1"/>
  <c r="G4393" i="1"/>
  <c r="H4393" i="1"/>
  <c r="I4393" i="1"/>
  <c r="J4393" i="1"/>
  <c r="K4393" i="1"/>
  <c r="M4393" i="1"/>
  <c r="O4393" i="1"/>
  <c r="Q4393" i="1"/>
  <c r="R4393" i="1"/>
  <c r="W4393" i="1"/>
  <c r="AA4393" i="1"/>
  <c r="AB4393" i="1"/>
  <c r="AE4393" i="1"/>
  <c r="AF4393" i="1"/>
  <c r="AM4393" i="1"/>
  <c r="AN4393" i="1"/>
  <c r="AO4393" i="1"/>
  <c r="AQ4393" i="1"/>
  <c r="AX4393" i="1"/>
  <c r="BD4393" i="1"/>
  <c r="B4394" i="1"/>
  <c r="C4394" i="1"/>
  <c r="D4394" i="1"/>
  <c r="E4394" i="1"/>
  <c r="F4394" i="1"/>
  <c r="G4394" i="1"/>
  <c r="H4394" i="1"/>
  <c r="I4394" i="1"/>
  <c r="J4394" i="1"/>
  <c r="K4394" i="1"/>
  <c r="M4394" i="1"/>
  <c r="O4394" i="1"/>
  <c r="Q4394" i="1"/>
  <c r="R4394" i="1"/>
  <c r="W4394" i="1"/>
  <c r="AA4394" i="1"/>
  <c r="AB4394" i="1"/>
  <c r="AE4394" i="1"/>
  <c r="AF4394" i="1"/>
  <c r="AM4394" i="1"/>
  <c r="AN4394" i="1"/>
  <c r="AO4394" i="1"/>
  <c r="AQ4394" i="1"/>
  <c r="AX4394" i="1"/>
  <c r="BD4394" i="1"/>
  <c r="B4395" i="1"/>
  <c r="C4395" i="1"/>
  <c r="E4395" i="1"/>
  <c r="F4395" i="1"/>
  <c r="G4395" i="1"/>
  <c r="H4395" i="1"/>
  <c r="I4395" i="1"/>
  <c r="J4395" i="1"/>
  <c r="K4395" i="1"/>
  <c r="M4395" i="1"/>
  <c r="O4395" i="1"/>
  <c r="Q4395" i="1"/>
  <c r="R4395" i="1"/>
  <c r="W4395" i="1"/>
  <c r="AA4395" i="1"/>
  <c r="AM4395" i="1"/>
  <c r="AN4395" i="1"/>
  <c r="AO4395" i="1"/>
  <c r="AQ4395" i="1"/>
  <c r="BB4395" i="1"/>
  <c r="BD4395" i="1"/>
  <c r="B4396" i="1"/>
  <c r="C4396" i="1"/>
  <c r="E4396" i="1"/>
  <c r="F4396" i="1"/>
  <c r="G4396" i="1"/>
  <c r="H4396" i="1"/>
  <c r="I4396" i="1"/>
  <c r="J4396" i="1"/>
  <c r="K4396" i="1"/>
  <c r="M4396" i="1"/>
  <c r="O4396" i="1"/>
  <c r="Q4396" i="1"/>
  <c r="R4396" i="1"/>
  <c r="W4396" i="1"/>
  <c r="AA4396" i="1"/>
  <c r="AM4396" i="1"/>
  <c r="AN4396" i="1"/>
  <c r="AO4396" i="1"/>
  <c r="AQ4396" i="1"/>
  <c r="BB4396" i="1"/>
  <c r="BD4396" i="1"/>
  <c r="B4397" i="1"/>
  <c r="C4397" i="1"/>
  <c r="E4397" i="1"/>
  <c r="F4397" i="1"/>
  <c r="G4397" i="1"/>
  <c r="H4397" i="1"/>
  <c r="I4397" i="1"/>
  <c r="J4397" i="1"/>
  <c r="K4397" i="1"/>
  <c r="M4397" i="1"/>
  <c r="O4397" i="1"/>
  <c r="Q4397" i="1"/>
  <c r="R4397" i="1"/>
  <c r="W4397" i="1"/>
  <c r="AA4397" i="1"/>
  <c r="AB4397" i="1"/>
  <c r="AE4397" i="1"/>
  <c r="AF4397" i="1"/>
  <c r="AM4397" i="1"/>
  <c r="AN4397" i="1"/>
  <c r="AO4397" i="1"/>
  <c r="AQ4397" i="1"/>
  <c r="AX4397" i="1"/>
  <c r="BD4397" i="1"/>
  <c r="B4398" i="1"/>
  <c r="C4398" i="1"/>
  <c r="D4398" i="1"/>
  <c r="E4398" i="1"/>
  <c r="F4398" i="1"/>
  <c r="G4398" i="1"/>
  <c r="H4398" i="1"/>
  <c r="I4398" i="1"/>
  <c r="J4398" i="1"/>
  <c r="K4398" i="1"/>
  <c r="M4398" i="1"/>
  <c r="O4398" i="1"/>
  <c r="Q4398" i="1"/>
  <c r="R4398" i="1"/>
  <c r="W4398" i="1"/>
  <c r="AA4398" i="1"/>
  <c r="AB4398" i="1"/>
  <c r="AE4398" i="1"/>
  <c r="AF4398" i="1"/>
  <c r="AM4398" i="1"/>
  <c r="AN4398" i="1"/>
  <c r="AO4398" i="1"/>
  <c r="AQ4398" i="1"/>
  <c r="AX4398" i="1"/>
  <c r="BD4398" i="1"/>
  <c r="B4399" i="1"/>
  <c r="E4399" i="1"/>
  <c r="F4399" i="1"/>
  <c r="G4399" i="1"/>
  <c r="H4399" i="1"/>
  <c r="I4399" i="1"/>
  <c r="J4399" i="1"/>
  <c r="K4399" i="1"/>
  <c r="M4399" i="1"/>
  <c r="O4399" i="1"/>
  <c r="Q4399" i="1"/>
  <c r="R4399" i="1"/>
  <c r="W4399" i="1"/>
  <c r="AA4399" i="1"/>
  <c r="AB4399" i="1"/>
  <c r="AE4399" i="1"/>
  <c r="AF4399" i="1"/>
  <c r="AM4399" i="1"/>
  <c r="AN4399" i="1"/>
  <c r="AO4399" i="1"/>
  <c r="AQ4399" i="1"/>
  <c r="AX4399" i="1"/>
  <c r="BD4399" i="1"/>
  <c r="B4400" i="1"/>
  <c r="E4400" i="1"/>
  <c r="F4400" i="1"/>
  <c r="G4400" i="1"/>
  <c r="H4400" i="1"/>
  <c r="I4400" i="1"/>
  <c r="J4400" i="1"/>
  <c r="K4400" i="1"/>
  <c r="M4400" i="1"/>
  <c r="O4400" i="1"/>
  <c r="Q4400" i="1"/>
  <c r="R4400" i="1"/>
  <c r="W4400" i="1"/>
  <c r="AA4400" i="1"/>
  <c r="AB4400" i="1"/>
  <c r="AE4400" i="1"/>
  <c r="AF4400" i="1"/>
  <c r="AM4400" i="1"/>
  <c r="AN4400" i="1"/>
  <c r="AO4400" i="1"/>
  <c r="AQ4400" i="1"/>
  <c r="AX4400" i="1"/>
  <c r="BD4400" i="1"/>
  <c r="B4401" i="1"/>
  <c r="E4401" i="1"/>
  <c r="F4401" i="1"/>
  <c r="G4401" i="1"/>
  <c r="H4401" i="1"/>
  <c r="I4401" i="1"/>
  <c r="J4401" i="1"/>
  <c r="K4401" i="1"/>
  <c r="M4401" i="1"/>
  <c r="O4401" i="1"/>
  <c r="Q4401" i="1"/>
  <c r="R4401" i="1"/>
  <c r="W4401" i="1"/>
  <c r="AA4401" i="1"/>
  <c r="AB4401" i="1"/>
  <c r="AE4401" i="1"/>
  <c r="AF4401" i="1"/>
  <c r="AM4401" i="1"/>
  <c r="AN4401" i="1"/>
  <c r="AO4401" i="1"/>
  <c r="AQ4401" i="1"/>
  <c r="AX4401" i="1"/>
  <c r="BD4401" i="1"/>
  <c r="B4402" i="1"/>
  <c r="E4402" i="1"/>
  <c r="F4402" i="1"/>
  <c r="G4402" i="1"/>
  <c r="H4402" i="1"/>
  <c r="I4402" i="1"/>
  <c r="J4402" i="1"/>
  <c r="K4402" i="1"/>
  <c r="M4402" i="1"/>
  <c r="O4402" i="1"/>
  <c r="Q4402" i="1"/>
  <c r="R4402" i="1"/>
  <c r="W4402" i="1"/>
  <c r="AA4402" i="1"/>
  <c r="AB4402" i="1"/>
  <c r="AE4402" i="1"/>
  <c r="AF4402" i="1"/>
  <c r="AM4402" i="1"/>
  <c r="AN4402" i="1"/>
  <c r="AO4402" i="1"/>
  <c r="AQ4402" i="1"/>
  <c r="AX4402" i="1"/>
  <c r="BD4402" i="1"/>
  <c r="B4403" i="1"/>
  <c r="E4403" i="1"/>
  <c r="F4403" i="1"/>
  <c r="G4403" i="1"/>
  <c r="H4403" i="1"/>
  <c r="I4403" i="1"/>
  <c r="J4403" i="1"/>
  <c r="K4403" i="1"/>
  <c r="M4403" i="1"/>
  <c r="O4403" i="1"/>
  <c r="Q4403" i="1"/>
  <c r="R4403" i="1"/>
  <c r="W4403" i="1"/>
  <c r="AA4403" i="1"/>
  <c r="AB4403" i="1"/>
  <c r="AE4403" i="1"/>
  <c r="AF4403" i="1"/>
  <c r="AM4403" i="1"/>
  <c r="AN4403" i="1"/>
  <c r="AO4403" i="1"/>
  <c r="AQ4403" i="1"/>
  <c r="AX4403" i="1"/>
  <c r="BD4403" i="1"/>
  <c r="B4404" i="1"/>
  <c r="E4404" i="1"/>
  <c r="F4404" i="1"/>
  <c r="G4404" i="1"/>
  <c r="H4404" i="1"/>
  <c r="I4404" i="1"/>
  <c r="J4404" i="1"/>
  <c r="K4404" i="1"/>
  <c r="M4404" i="1"/>
  <c r="O4404" i="1"/>
  <c r="Q4404" i="1"/>
  <c r="R4404" i="1"/>
  <c r="W4404" i="1"/>
  <c r="AA4404" i="1"/>
  <c r="AB4404" i="1"/>
  <c r="AE4404" i="1"/>
  <c r="AF4404" i="1"/>
  <c r="AM4404" i="1"/>
  <c r="AN4404" i="1"/>
  <c r="AO4404" i="1"/>
  <c r="AQ4404" i="1"/>
  <c r="AX4404" i="1"/>
  <c r="BD4404" i="1"/>
  <c r="B4405" i="1"/>
  <c r="C4405" i="1"/>
  <c r="E4405" i="1"/>
  <c r="F4405" i="1"/>
  <c r="G4405" i="1"/>
  <c r="H4405" i="1"/>
  <c r="I4405" i="1"/>
  <c r="J4405" i="1"/>
  <c r="K4405" i="1"/>
  <c r="M4405" i="1"/>
  <c r="O4405" i="1"/>
  <c r="Q4405" i="1"/>
  <c r="R4405" i="1"/>
  <c r="W4405" i="1"/>
  <c r="AA4405" i="1"/>
  <c r="AB4405" i="1"/>
  <c r="AE4405" i="1"/>
  <c r="AF4405" i="1"/>
  <c r="AM4405" i="1"/>
  <c r="AN4405" i="1"/>
  <c r="AO4405" i="1"/>
  <c r="AQ4405" i="1"/>
  <c r="AX4405" i="1"/>
  <c r="BD4405" i="1"/>
  <c r="B4406" i="1"/>
  <c r="C4406" i="1"/>
  <c r="D4406" i="1"/>
  <c r="E4406" i="1"/>
  <c r="F4406" i="1"/>
  <c r="G4406" i="1"/>
  <c r="H4406" i="1"/>
  <c r="I4406" i="1"/>
  <c r="J4406" i="1"/>
  <c r="K4406" i="1"/>
  <c r="M4406" i="1"/>
  <c r="O4406" i="1"/>
  <c r="Q4406" i="1"/>
  <c r="R4406" i="1"/>
  <c r="W4406" i="1"/>
  <c r="AA4406" i="1"/>
  <c r="AB4406" i="1"/>
  <c r="AE4406" i="1"/>
  <c r="AF4406" i="1"/>
  <c r="AM4406" i="1"/>
  <c r="AN4406" i="1"/>
  <c r="AO4406" i="1"/>
  <c r="AQ4406" i="1"/>
  <c r="AX4406" i="1"/>
  <c r="BD4406" i="1"/>
  <c r="B4407" i="1"/>
  <c r="C4407" i="1"/>
  <c r="D4407" i="1"/>
  <c r="E4407" i="1"/>
  <c r="F4407" i="1"/>
  <c r="G4407" i="1"/>
  <c r="H4407" i="1"/>
  <c r="I4407" i="1"/>
  <c r="J4407" i="1"/>
  <c r="K4407" i="1"/>
  <c r="M4407" i="1"/>
  <c r="O4407" i="1"/>
  <c r="Q4407" i="1"/>
  <c r="R4407" i="1"/>
  <c r="W4407" i="1"/>
  <c r="AA4407" i="1"/>
  <c r="AB4407" i="1"/>
  <c r="AE4407" i="1"/>
  <c r="AF4407" i="1"/>
  <c r="AM4407" i="1"/>
  <c r="AN4407" i="1"/>
  <c r="AO4407" i="1"/>
  <c r="AQ4407" i="1"/>
  <c r="AX4407" i="1"/>
  <c r="BD4407" i="1"/>
  <c r="B4408" i="1"/>
  <c r="E4408" i="1"/>
  <c r="F4408" i="1"/>
  <c r="G4408" i="1"/>
  <c r="H4408" i="1"/>
  <c r="I4408" i="1"/>
  <c r="J4408" i="1"/>
  <c r="K4408" i="1"/>
  <c r="M4408" i="1"/>
  <c r="O4408" i="1"/>
  <c r="Q4408" i="1"/>
  <c r="R4408" i="1"/>
  <c r="W4408" i="1"/>
  <c r="AA4408" i="1"/>
  <c r="AB4408" i="1"/>
  <c r="AE4408" i="1"/>
  <c r="AF4408" i="1"/>
  <c r="AM4408" i="1"/>
  <c r="AN4408" i="1"/>
  <c r="AO4408" i="1"/>
  <c r="AQ4408" i="1"/>
  <c r="AX4408" i="1"/>
  <c r="BD4408" i="1"/>
  <c r="B4409" i="1"/>
  <c r="E4409" i="1"/>
  <c r="F4409" i="1"/>
  <c r="G4409" i="1"/>
  <c r="H4409" i="1"/>
  <c r="I4409" i="1"/>
  <c r="J4409" i="1"/>
  <c r="K4409" i="1"/>
  <c r="M4409" i="1"/>
  <c r="O4409" i="1"/>
  <c r="Q4409" i="1"/>
  <c r="R4409" i="1"/>
  <c r="W4409" i="1"/>
  <c r="AA4409" i="1"/>
  <c r="AB4409" i="1"/>
  <c r="AE4409" i="1"/>
  <c r="AF4409" i="1"/>
  <c r="AM4409" i="1"/>
  <c r="AN4409" i="1"/>
  <c r="AO4409" i="1"/>
  <c r="AQ4409" i="1"/>
  <c r="AX4409" i="1"/>
  <c r="BD4409" i="1"/>
  <c r="B4410" i="1"/>
  <c r="E4410" i="1"/>
  <c r="F4410" i="1"/>
  <c r="G4410" i="1"/>
  <c r="H4410" i="1"/>
  <c r="I4410" i="1"/>
  <c r="J4410" i="1"/>
  <c r="K4410" i="1"/>
  <c r="M4410" i="1"/>
  <c r="O4410" i="1"/>
  <c r="Q4410" i="1"/>
  <c r="R4410" i="1"/>
  <c r="W4410" i="1"/>
  <c r="AA4410" i="1"/>
  <c r="AB4410" i="1"/>
  <c r="AE4410" i="1"/>
  <c r="AF4410" i="1"/>
  <c r="AM4410" i="1"/>
  <c r="AN4410" i="1"/>
  <c r="AO4410" i="1"/>
  <c r="AQ4410" i="1"/>
  <c r="AX4410" i="1"/>
  <c r="BD4410" i="1"/>
  <c r="B4411" i="1"/>
  <c r="E4411" i="1"/>
  <c r="F4411" i="1"/>
  <c r="G4411" i="1"/>
  <c r="H4411" i="1"/>
  <c r="I4411" i="1"/>
  <c r="J4411" i="1"/>
  <c r="K4411" i="1"/>
  <c r="M4411" i="1"/>
  <c r="O4411" i="1"/>
  <c r="Q4411" i="1"/>
  <c r="R4411" i="1"/>
  <c r="W4411" i="1"/>
  <c r="AA4411" i="1"/>
  <c r="AB4411" i="1"/>
  <c r="AE4411" i="1"/>
  <c r="AF4411" i="1"/>
  <c r="AM4411" i="1"/>
  <c r="AN4411" i="1"/>
  <c r="AO4411" i="1"/>
  <c r="AQ4411" i="1"/>
  <c r="AX4411" i="1"/>
  <c r="BD4411" i="1"/>
  <c r="B4412" i="1"/>
  <c r="E4412" i="1"/>
  <c r="F4412" i="1"/>
  <c r="G4412" i="1"/>
  <c r="H4412" i="1"/>
  <c r="I4412" i="1"/>
  <c r="J4412" i="1"/>
  <c r="K4412" i="1"/>
  <c r="M4412" i="1"/>
  <c r="O4412" i="1"/>
  <c r="Q4412" i="1"/>
  <c r="R4412" i="1"/>
  <c r="W4412" i="1"/>
  <c r="AA4412" i="1"/>
  <c r="AB4412" i="1"/>
  <c r="AE4412" i="1"/>
  <c r="AF4412" i="1"/>
  <c r="AM4412" i="1"/>
  <c r="AN4412" i="1"/>
  <c r="AO4412" i="1"/>
  <c r="AQ4412" i="1"/>
  <c r="AX4412" i="1"/>
  <c r="BD4412" i="1"/>
  <c r="B4413" i="1"/>
  <c r="E4413" i="1"/>
  <c r="F4413" i="1"/>
  <c r="G4413" i="1"/>
  <c r="H4413" i="1"/>
  <c r="I4413" i="1"/>
  <c r="J4413" i="1"/>
  <c r="K4413" i="1"/>
  <c r="M4413" i="1"/>
  <c r="O4413" i="1"/>
  <c r="Q4413" i="1"/>
  <c r="R4413" i="1"/>
  <c r="W4413" i="1"/>
  <c r="AA4413" i="1"/>
  <c r="AB4413" i="1"/>
  <c r="AE4413" i="1"/>
  <c r="AF4413" i="1"/>
  <c r="AM4413" i="1"/>
  <c r="AN4413" i="1"/>
  <c r="AO4413" i="1"/>
  <c r="AQ4413" i="1"/>
  <c r="AX4413" i="1"/>
  <c r="BD4413" i="1"/>
  <c r="B4414" i="1"/>
  <c r="E4414" i="1"/>
  <c r="F4414" i="1"/>
  <c r="G4414" i="1"/>
  <c r="H4414" i="1"/>
  <c r="I4414" i="1"/>
  <c r="J4414" i="1"/>
  <c r="K4414" i="1"/>
  <c r="M4414" i="1"/>
  <c r="O4414" i="1"/>
  <c r="Q4414" i="1"/>
  <c r="R4414" i="1"/>
  <c r="W4414" i="1"/>
  <c r="AA4414" i="1"/>
  <c r="AB4414" i="1"/>
  <c r="AE4414" i="1"/>
  <c r="AF4414" i="1"/>
  <c r="AM4414" i="1"/>
  <c r="AN4414" i="1"/>
  <c r="AO4414" i="1"/>
  <c r="AQ4414" i="1"/>
  <c r="AX4414" i="1"/>
  <c r="BD4414" i="1"/>
  <c r="B4415" i="1"/>
  <c r="C4415" i="1"/>
  <c r="D4415" i="1"/>
  <c r="E4415" i="1"/>
  <c r="F4415" i="1"/>
  <c r="G4415" i="1"/>
  <c r="H4415" i="1"/>
  <c r="I4415" i="1"/>
  <c r="J4415" i="1"/>
  <c r="K4415" i="1"/>
  <c r="M4415" i="1"/>
  <c r="O4415" i="1"/>
  <c r="Q4415" i="1"/>
  <c r="R4415" i="1"/>
  <c r="W4415" i="1"/>
  <c r="AA4415" i="1"/>
  <c r="AB4415" i="1"/>
  <c r="AE4415" i="1"/>
  <c r="AF4415" i="1"/>
  <c r="AM4415" i="1"/>
  <c r="AN4415" i="1"/>
  <c r="AO4415" i="1"/>
  <c r="AQ4415" i="1"/>
  <c r="AX4415" i="1"/>
  <c r="BD4415" i="1"/>
  <c r="B4416" i="1"/>
  <c r="C4416" i="1"/>
  <c r="D4416" i="1"/>
  <c r="E4416" i="1"/>
  <c r="F4416" i="1"/>
  <c r="G4416" i="1"/>
  <c r="H4416" i="1"/>
  <c r="I4416" i="1"/>
  <c r="J4416" i="1"/>
  <c r="K4416" i="1"/>
  <c r="M4416" i="1"/>
  <c r="O4416" i="1"/>
  <c r="Q4416" i="1"/>
  <c r="R4416" i="1"/>
  <c r="W4416" i="1"/>
  <c r="AA4416" i="1"/>
  <c r="AB4416" i="1"/>
  <c r="AE4416" i="1"/>
  <c r="AF4416" i="1"/>
  <c r="AM4416" i="1"/>
  <c r="AN4416" i="1"/>
  <c r="AO4416" i="1"/>
  <c r="AQ4416" i="1"/>
  <c r="AX4416" i="1"/>
  <c r="BD4416" i="1"/>
  <c r="B4417" i="1"/>
  <c r="E4417" i="1"/>
  <c r="F4417" i="1"/>
  <c r="G4417" i="1"/>
  <c r="H4417" i="1"/>
  <c r="I4417" i="1"/>
  <c r="J4417" i="1"/>
  <c r="K4417" i="1"/>
  <c r="M4417" i="1"/>
  <c r="O4417" i="1"/>
  <c r="Q4417" i="1"/>
  <c r="R4417" i="1"/>
  <c r="W4417" i="1"/>
  <c r="AA4417" i="1"/>
  <c r="AB4417" i="1"/>
  <c r="AE4417" i="1"/>
  <c r="AF4417" i="1"/>
  <c r="AM4417" i="1"/>
  <c r="AN4417" i="1"/>
  <c r="AO4417" i="1"/>
  <c r="AQ4417" i="1"/>
  <c r="AX4417" i="1"/>
  <c r="BD4417" i="1"/>
  <c r="B4418" i="1"/>
  <c r="E4418" i="1"/>
  <c r="F4418" i="1"/>
  <c r="G4418" i="1"/>
  <c r="H4418" i="1"/>
  <c r="I4418" i="1"/>
  <c r="J4418" i="1"/>
  <c r="K4418" i="1"/>
  <c r="M4418" i="1"/>
  <c r="O4418" i="1"/>
  <c r="Q4418" i="1"/>
  <c r="R4418" i="1"/>
  <c r="W4418" i="1"/>
  <c r="AA4418" i="1"/>
  <c r="AB4418" i="1"/>
  <c r="AE4418" i="1"/>
  <c r="AF4418" i="1"/>
  <c r="AM4418" i="1"/>
  <c r="AN4418" i="1"/>
  <c r="AO4418" i="1"/>
  <c r="AQ4418" i="1"/>
  <c r="AX4418" i="1"/>
  <c r="BD4418" i="1"/>
  <c r="B4419" i="1"/>
  <c r="E4419" i="1"/>
  <c r="F4419" i="1"/>
  <c r="G4419" i="1"/>
  <c r="H4419" i="1"/>
  <c r="I4419" i="1"/>
  <c r="J4419" i="1"/>
  <c r="K4419" i="1"/>
  <c r="M4419" i="1"/>
  <c r="O4419" i="1"/>
  <c r="Q4419" i="1"/>
  <c r="R4419" i="1"/>
  <c r="W4419" i="1"/>
  <c r="AA4419" i="1"/>
  <c r="AB4419" i="1"/>
  <c r="AE4419" i="1"/>
  <c r="AF4419" i="1"/>
  <c r="AM4419" i="1"/>
  <c r="AN4419" i="1"/>
  <c r="AO4419" i="1"/>
  <c r="AQ4419" i="1"/>
  <c r="AX4419" i="1"/>
  <c r="BD4419" i="1"/>
  <c r="B4420" i="1"/>
  <c r="C4420" i="1"/>
  <c r="D4420" i="1"/>
  <c r="E4420" i="1"/>
  <c r="F4420" i="1"/>
  <c r="G4420" i="1"/>
  <c r="H4420" i="1"/>
  <c r="I4420" i="1"/>
  <c r="J4420" i="1"/>
  <c r="K4420" i="1"/>
  <c r="M4420" i="1"/>
  <c r="O4420" i="1"/>
  <c r="Q4420" i="1"/>
  <c r="R4420" i="1"/>
  <c r="W4420" i="1"/>
  <c r="AA4420" i="1"/>
  <c r="AB4420" i="1"/>
  <c r="AE4420" i="1"/>
  <c r="AF4420" i="1"/>
  <c r="AM4420" i="1"/>
  <c r="AN4420" i="1"/>
  <c r="AO4420" i="1"/>
  <c r="AQ4420" i="1"/>
  <c r="AX4420" i="1"/>
  <c r="BD4420" i="1"/>
  <c r="B4421" i="1"/>
  <c r="E4421" i="1"/>
  <c r="F4421" i="1"/>
  <c r="G4421" i="1"/>
  <c r="H4421" i="1"/>
  <c r="I4421" i="1"/>
  <c r="J4421" i="1"/>
  <c r="K4421" i="1"/>
  <c r="M4421" i="1"/>
  <c r="O4421" i="1"/>
  <c r="Q4421" i="1"/>
  <c r="R4421" i="1"/>
  <c r="W4421" i="1"/>
  <c r="AA4421" i="1"/>
  <c r="AB4421" i="1"/>
  <c r="AE4421" i="1"/>
  <c r="AF4421" i="1"/>
  <c r="AM4421" i="1"/>
  <c r="AN4421" i="1"/>
  <c r="AO4421" i="1"/>
  <c r="AQ4421" i="1"/>
  <c r="AX4421" i="1"/>
  <c r="BD4421" i="1"/>
  <c r="B4422" i="1"/>
  <c r="E4422" i="1"/>
  <c r="F4422" i="1"/>
  <c r="G4422" i="1"/>
  <c r="H4422" i="1"/>
  <c r="I4422" i="1"/>
  <c r="J4422" i="1"/>
  <c r="K4422" i="1"/>
  <c r="M4422" i="1"/>
  <c r="O4422" i="1"/>
  <c r="Q4422" i="1"/>
  <c r="R4422" i="1"/>
  <c r="W4422" i="1"/>
  <c r="AA4422" i="1"/>
  <c r="AB4422" i="1"/>
  <c r="AE4422" i="1"/>
  <c r="AF4422" i="1"/>
  <c r="AM4422" i="1"/>
  <c r="AN4422" i="1"/>
  <c r="AO4422" i="1"/>
  <c r="AQ4422" i="1"/>
  <c r="AX4422" i="1"/>
  <c r="BD4422" i="1"/>
  <c r="B4423" i="1"/>
  <c r="E4423" i="1"/>
  <c r="F4423" i="1"/>
  <c r="G4423" i="1"/>
  <c r="H4423" i="1"/>
  <c r="I4423" i="1"/>
  <c r="J4423" i="1"/>
  <c r="K4423" i="1"/>
  <c r="M4423" i="1"/>
  <c r="O4423" i="1"/>
  <c r="Q4423" i="1"/>
  <c r="R4423" i="1"/>
  <c r="W4423" i="1"/>
  <c r="AA4423" i="1"/>
  <c r="AB4423" i="1"/>
  <c r="AE4423" i="1"/>
  <c r="AF4423" i="1"/>
  <c r="AM4423" i="1"/>
  <c r="AN4423" i="1"/>
  <c r="AO4423" i="1"/>
  <c r="AQ4423" i="1"/>
  <c r="AX4423" i="1"/>
  <c r="BD4423" i="1"/>
  <c r="B4424" i="1"/>
  <c r="C4424" i="1"/>
  <c r="D4424" i="1"/>
  <c r="E4424" i="1"/>
  <c r="F4424" i="1"/>
  <c r="G4424" i="1"/>
  <c r="H4424" i="1"/>
  <c r="I4424" i="1"/>
  <c r="J4424" i="1"/>
  <c r="K4424" i="1"/>
  <c r="M4424" i="1"/>
  <c r="O4424" i="1"/>
  <c r="Q4424" i="1"/>
  <c r="R4424" i="1"/>
  <c r="W4424" i="1"/>
  <c r="AA4424" i="1"/>
  <c r="AB4424" i="1"/>
  <c r="AE4424" i="1"/>
  <c r="AF4424" i="1"/>
  <c r="AM4424" i="1"/>
  <c r="AN4424" i="1"/>
  <c r="AO4424" i="1"/>
  <c r="AQ4424" i="1"/>
  <c r="AX4424" i="1"/>
  <c r="BD4424" i="1"/>
  <c r="B4425" i="1"/>
  <c r="C4425" i="1"/>
  <c r="D4425" i="1"/>
  <c r="E4425" i="1"/>
  <c r="F4425" i="1"/>
  <c r="G4425" i="1"/>
  <c r="H4425" i="1"/>
  <c r="I4425" i="1"/>
  <c r="J4425" i="1"/>
  <c r="K4425" i="1"/>
  <c r="M4425" i="1"/>
  <c r="O4425" i="1"/>
  <c r="Q4425" i="1"/>
  <c r="R4425" i="1"/>
  <c r="W4425" i="1"/>
  <c r="AA4425" i="1"/>
  <c r="AB4425" i="1"/>
  <c r="AM4425" i="1"/>
  <c r="AN4425" i="1"/>
  <c r="AO4425" i="1"/>
  <c r="AQ4425" i="1"/>
  <c r="AX4425" i="1"/>
  <c r="BD4425" i="1"/>
  <c r="B4426" i="1"/>
  <c r="C4426" i="1"/>
  <c r="D4426" i="1"/>
  <c r="E4426" i="1"/>
  <c r="F4426" i="1"/>
  <c r="G4426" i="1"/>
  <c r="H4426" i="1"/>
  <c r="I4426" i="1"/>
  <c r="J4426" i="1"/>
  <c r="K4426" i="1"/>
  <c r="M4426" i="1"/>
  <c r="O4426" i="1"/>
  <c r="Q4426" i="1"/>
  <c r="R4426" i="1"/>
  <c r="W4426" i="1"/>
  <c r="AA4426" i="1"/>
  <c r="AB4426" i="1"/>
  <c r="AE4426" i="1"/>
  <c r="AF4426" i="1"/>
  <c r="AM4426" i="1"/>
  <c r="AN4426" i="1"/>
  <c r="AO4426" i="1"/>
  <c r="AQ4426" i="1"/>
  <c r="AX4426" i="1"/>
  <c r="BD4426" i="1"/>
  <c r="B4427" i="1"/>
  <c r="C4427" i="1"/>
  <c r="E4427" i="1"/>
  <c r="F4427" i="1"/>
  <c r="G4427" i="1"/>
  <c r="H4427" i="1"/>
  <c r="I4427" i="1"/>
  <c r="J4427" i="1"/>
  <c r="K4427" i="1"/>
  <c r="M4427" i="1"/>
  <c r="O4427" i="1"/>
  <c r="Q4427" i="1"/>
  <c r="R4427" i="1"/>
  <c r="W4427" i="1"/>
  <c r="AA4427" i="1"/>
  <c r="AM4427" i="1"/>
  <c r="AN4427" i="1"/>
  <c r="AO4427" i="1"/>
  <c r="AQ4427" i="1"/>
  <c r="BB4427" i="1"/>
  <c r="BD4427" i="1"/>
  <c r="B4428" i="1"/>
  <c r="C4428" i="1"/>
  <c r="E4428" i="1"/>
  <c r="F4428" i="1"/>
  <c r="G4428" i="1"/>
  <c r="H4428" i="1"/>
  <c r="I4428" i="1"/>
  <c r="J4428" i="1"/>
  <c r="K4428" i="1"/>
  <c r="M4428" i="1"/>
  <c r="O4428" i="1"/>
  <c r="Q4428" i="1"/>
  <c r="R4428" i="1"/>
  <c r="W4428" i="1"/>
  <c r="AA4428" i="1"/>
  <c r="AM4428" i="1"/>
  <c r="AN4428" i="1"/>
  <c r="AO4428" i="1"/>
  <c r="AQ4428" i="1"/>
  <c r="BB4428" i="1"/>
  <c r="BD4428" i="1"/>
  <c r="B4429" i="1"/>
  <c r="C4429" i="1"/>
  <c r="E4429" i="1"/>
  <c r="F4429" i="1"/>
  <c r="G4429" i="1"/>
  <c r="H4429" i="1"/>
  <c r="I4429" i="1"/>
  <c r="J4429" i="1"/>
  <c r="K4429" i="1"/>
  <c r="M4429" i="1"/>
  <c r="O4429" i="1"/>
  <c r="Q4429" i="1"/>
  <c r="R4429" i="1"/>
  <c r="W4429" i="1"/>
  <c r="AA4429" i="1"/>
  <c r="AM4429" i="1"/>
  <c r="AN4429" i="1"/>
  <c r="AO4429" i="1"/>
  <c r="AQ4429" i="1"/>
  <c r="BB4429" i="1"/>
  <c r="BD4429" i="1"/>
  <c r="B4430" i="1"/>
  <c r="C4430" i="1"/>
  <c r="E4430" i="1"/>
  <c r="F4430" i="1"/>
  <c r="G4430" i="1"/>
  <c r="H4430" i="1"/>
  <c r="I4430" i="1"/>
  <c r="J4430" i="1"/>
  <c r="K4430" i="1"/>
  <c r="M4430" i="1"/>
  <c r="O4430" i="1"/>
  <c r="Q4430" i="1"/>
  <c r="R4430" i="1"/>
  <c r="W4430" i="1"/>
  <c r="AA4430" i="1"/>
  <c r="AM4430" i="1"/>
  <c r="AN4430" i="1"/>
  <c r="AO4430" i="1"/>
  <c r="AQ4430" i="1"/>
  <c r="BB4430" i="1"/>
  <c r="BD4430" i="1"/>
  <c r="B4431" i="1"/>
  <c r="C4431" i="1"/>
  <c r="D4431" i="1"/>
  <c r="E4431" i="1"/>
  <c r="F4431" i="1"/>
  <c r="G4431" i="1"/>
  <c r="H4431" i="1"/>
  <c r="I4431" i="1"/>
  <c r="J4431" i="1"/>
  <c r="K4431" i="1"/>
  <c r="M4431" i="1"/>
  <c r="O4431" i="1"/>
  <c r="Q4431" i="1"/>
  <c r="R4431" i="1"/>
  <c r="W4431" i="1"/>
  <c r="AA4431" i="1"/>
  <c r="AB4431" i="1"/>
  <c r="AE4431" i="1"/>
  <c r="AF4431" i="1"/>
  <c r="AM4431" i="1"/>
  <c r="AN4431" i="1"/>
  <c r="AO4431" i="1"/>
  <c r="AQ4431" i="1"/>
  <c r="AX4431" i="1"/>
  <c r="BD4431" i="1"/>
  <c r="B4432" i="1"/>
  <c r="C4432" i="1"/>
  <c r="D4432" i="1"/>
  <c r="E4432" i="1"/>
  <c r="F4432" i="1"/>
  <c r="G4432" i="1"/>
  <c r="H4432" i="1"/>
  <c r="I4432" i="1"/>
  <c r="J4432" i="1"/>
  <c r="K4432" i="1"/>
  <c r="M4432" i="1"/>
  <c r="O4432" i="1"/>
  <c r="Q4432" i="1"/>
  <c r="R4432" i="1"/>
  <c r="W4432" i="1"/>
  <c r="AA4432" i="1"/>
  <c r="AB4432" i="1"/>
  <c r="AE4432" i="1"/>
  <c r="AF4432" i="1"/>
  <c r="AM4432" i="1"/>
  <c r="AN4432" i="1"/>
  <c r="AO4432" i="1"/>
  <c r="AQ4432" i="1"/>
  <c r="AX4432" i="1"/>
  <c r="BD4432" i="1"/>
  <c r="B4433" i="1"/>
  <c r="C4433" i="1"/>
  <c r="D4433" i="1"/>
  <c r="E4433" i="1"/>
  <c r="F4433" i="1"/>
  <c r="G4433" i="1"/>
  <c r="H4433" i="1"/>
  <c r="I4433" i="1"/>
  <c r="J4433" i="1"/>
  <c r="K4433" i="1"/>
  <c r="M4433" i="1"/>
  <c r="O4433" i="1"/>
  <c r="Q4433" i="1"/>
  <c r="R4433" i="1"/>
  <c r="W4433" i="1"/>
  <c r="AA4433" i="1"/>
  <c r="AB4433" i="1"/>
  <c r="AE4433" i="1"/>
  <c r="AF4433" i="1"/>
  <c r="AM4433" i="1"/>
  <c r="AN4433" i="1"/>
  <c r="AO4433" i="1"/>
  <c r="AQ4433" i="1"/>
  <c r="AX4433" i="1"/>
  <c r="BD4433" i="1"/>
  <c r="B4434" i="1"/>
  <c r="C4434" i="1"/>
  <c r="D4434" i="1"/>
  <c r="E4434" i="1"/>
  <c r="F4434" i="1"/>
  <c r="G4434" i="1"/>
  <c r="H4434" i="1"/>
  <c r="I4434" i="1"/>
  <c r="J4434" i="1"/>
  <c r="K4434" i="1"/>
  <c r="M4434" i="1"/>
  <c r="O4434" i="1"/>
  <c r="Q4434" i="1"/>
  <c r="R4434" i="1"/>
  <c r="W4434" i="1"/>
  <c r="AA4434" i="1"/>
  <c r="AB4434" i="1"/>
  <c r="AE4434" i="1"/>
  <c r="AF4434" i="1"/>
  <c r="AM4434" i="1"/>
  <c r="AN4434" i="1"/>
  <c r="AO4434" i="1"/>
  <c r="AQ4434" i="1"/>
  <c r="AX4434" i="1"/>
  <c r="BD4434" i="1"/>
  <c r="B4435" i="1"/>
  <c r="C4435" i="1"/>
  <c r="D4435" i="1"/>
  <c r="E4435" i="1"/>
  <c r="F4435" i="1"/>
  <c r="G4435" i="1"/>
  <c r="H4435" i="1"/>
  <c r="I4435" i="1"/>
  <c r="J4435" i="1"/>
  <c r="K4435" i="1"/>
  <c r="M4435" i="1"/>
  <c r="O4435" i="1"/>
  <c r="Q4435" i="1"/>
  <c r="R4435" i="1"/>
  <c r="W4435" i="1"/>
  <c r="AA4435" i="1"/>
  <c r="AB4435" i="1"/>
  <c r="AE4435" i="1"/>
  <c r="AF4435" i="1"/>
  <c r="AM4435" i="1"/>
  <c r="AN4435" i="1"/>
  <c r="AO4435" i="1"/>
  <c r="AQ4435" i="1"/>
  <c r="AX4435" i="1"/>
  <c r="BD4435" i="1"/>
  <c r="B4436" i="1"/>
  <c r="C4436" i="1"/>
  <c r="D4436" i="1"/>
  <c r="E4436" i="1"/>
  <c r="F4436" i="1"/>
  <c r="G4436" i="1"/>
  <c r="H4436" i="1"/>
  <c r="I4436" i="1"/>
  <c r="J4436" i="1"/>
  <c r="K4436" i="1"/>
  <c r="M4436" i="1"/>
  <c r="O4436" i="1"/>
  <c r="Q4436" i="1"/>
  <c r="R4436" i="1"/>
  <c r="W4436" i="1"/>
  <c r="AA4436" i="1"/>
  <c r="AB4436" i="1"/>
  <c r="AE4436" i="1"/>
  <c r="AF4436" i="1"/>
  <c r="AM4436" i="1"/>
  <c r="AN4436" i="1"/>
  <c r="AO4436" i="1"/>
  <c r="AQ4436" i="1"/>
  <c r="AX4436" i="1"/>
  <c r="BD4436" i="1"/>
  <c r="B4437" i="1"/>
  <c r="C4437" i="1"/>
  <c r="D4437" i="1"/>
  <c r="E4437" i="1"/>
  <c r="F4437" i="1"/>
  <c r="G4437" i="1"/>
  <c r="H4437" i="1"/>
  <c r="I4437" i="1"/>
  <c r="J4437" i="1"/>
  <c r="K4437" i="1"/>
  <c r="M4437" i="1"/>
  <c r="O4437" i="1"/>
  <c r="Q4437" i="1"/>
  <c r="R4437" i="1"/>
  <c r="W4437" i="1"/>
  <c r="AA4437" i="1"/>
  <c r="AB4437" i="1"/>
  <c r="AE4437" i="1"/>
  <c r="AF4437" i="1"/>
  <c r="AM4437" i="1"/>
  <c r="AN4437" i="1"/>
  <c r="AO4437" i="1"/>
  <c r="AQ4437" i="1"/>
  <c r="AX4437" i="1"/>
  <c r="BD4437" i="1"/>
  <c r="B4438" i="1"/>
  <c r="E4438" i="1"/>
  <c r="F4438" i="1"/>
  <c r="G4438" i="1"/>
  <c r="H4438" i="1"/>
  <c r="I4438" i="1"/>
  <c r="J4438" i="1"/>
  <c r="K4438" i="1"/>
  <c r="M4438" i="1"/>
  <c r="O4438" i="1"/>
  <c r="Q4438" i="1"/>
  <c r="R4438" i="1"/>
  <c r="W4438" i="1"/>
  <c r="AA4438" i="1"/>
  <c r="AB4438" i="1"/>
  <c r="AE4438" i="1"/>
  <c r="AF4438" i="1"/>
  <c r="AM4438" i="1"/>
  <c r="AN4438" i="1"/>
  <c r="AO4438" i="1"/>
  <c r="AQ4438" i="1"/>
  <c r="AX4438" i="1"/>
  <c r="BD4438" i="1"/>
  <c r="B4439" i="1"/>
  <c r="E4439" i="1"/>
  <c r="F4439" i="1"/>
  <c r="G4439" i="1"/>
  <c r="H4439" i="1"/>
  <c r="I4439" i="1"/>
  <c r="J4439" i="1"/>
  <c r="K4439" i="1"/>
  <c r="M4439" i="1"/>
  <c r="O4439" i="1"/>
  <c r="Q4439" i="1"/>
  <c r="R4439" i="1"/>
  <c r="W4439" i="1"/>
  <c r="AA4439" i="1"/>
  <c r="AB4439" i="1"/>
  <c r="AE4439" i="1"/>
  <c r="AF4439" i="1"/>
  <c r="AM4439" i="1"/>
  <c r="AN4439" i="1"/>
  <c r="AO4439" i="1"/>
  <c r="AQ4439" i="1"/>
  <c r="AX4439" i="1"/>
  <c r="BD4439" i="1"/>
  <c r="B4440" i="1"/>
  <c r="E4440" i="1"/>
  <c r="F4440" i="1"/>
  <c r="G4440" i="1"/>
  <c r="H4440" i="1"/>
  <c r="I4440" i="1"/>
  <c r="J4440" i="1"/>
  <c r="K4440" i="1"/>
  <c r="M4440" i="1"/>
  <c r="O4440" i="1"/>
  <c r="Q4440" i="1"/>
  <c r="R4440" i="1"/>
  <c r="W4440" i="1"/>
  <c r="AA4440" i="1"/>
  <c r="AB4440" i="1"/>
  <c r="AE4440" i="1"/>
  <c r="AF4440" i="1"/>
  <c r="AM4440" i="1"/>
  <c r="AN4440" i="1"/>
  <c r="AO4440" i="1"/>
  <c r="AQ4440" i="1"/>
  <c r="AX4440" i="1"/>
  <c r="BD4440" i="1"/>
  <c r="B4441" i="1"/>
  <c r="E4441" i="1"/>
  <c r="F4441" i="1"/>
  <c r="G4441" i="1"/>
  <c r="H4441" i="1"/>
  <c r="I4441" i="1"/>
  <c r="J4441" i="1"/>
  <c r="K4441" i="1"/>
  <c r="M4441" i="1"/>
  <c r="O4441" i="1"/>
  <c r="Q4441" i="1"/>
  <c r="R4441" i="1"/>
  <c r="W4441" i="1"/>
  <c r="AA4441" i="1"/>
  <c r="AB4441" i="1"/>
  <c r="AE4441" i="1"/>
  <c r="AF4441" i="1"/>
  <c r="AM4441" i="1"/>
  <c r="AN4441" i="1"/>
  <c r="AO4441" i="1"/>
  <c r="AQ4441" i="1"/>
  <c r="AX4441" i="1"/>
  <c r="BD4441" i="1"/>
  <c r="B4442" i="1"/>
  <c r="C4442" i="1"/>
  <c r="D4442" i="1"/>
  <c r="E4442" i="1"/>
  <c r="F4442" i="1"/>
  <c r="G4442" i="1"/>
  <c r="H4442" i="1"/>
  <c r="I4442" i="1"/>
  <c r="J4442" i="1"/>
  <c r="K4442" i="1"/>
  <c r="M4442" i="1"/>
  <c r="O4442" i="1"/>
  <c r="Q4442" i="1"/>
  <c r="R4442" i="1"/>
  <c r="W4442" i="1"/>
  <c r="AA4442" i="1"/>
  <c r="AB4442" i="1"/>
  <c r="AE4442" i="1"/>
  <c r="AF4442" i="1"/>
  <c r="AM4442" i="1"/>
  <c r="AN4442" i="1"/>
  <c r="AO4442" i="1"/>
  <c r="AQ4442" i="1"/>
  <c r="AX4442" i="1"/>
  <c r="BD4442" i="1"/>
  <c r="B4443" i="1"/>
  <c r="C4443" i="1"/>
  <c r="D4443" i="1"/>
  <c r="E4443" i="1"/>
  <c r="F4443" i="1"/>
  <c r="G4443" i="1"/>
  <c r="H4443" i="1"/>
  <c r="I4443" i="1"/>
  <c r="J4443" i="1"/>
  <c r="K4443" i="1"/>
  <c r="M4443" i="1"/>
  <c r="O4443" i="1"/>
  <c r="Q4443" i="1"/>
  <c r="R4443" i="1"/>
  <c r="W4443" i="1"/>
  <c r="AA4443" i="1"/>
  <c r="AB4443" i="1"/>
  <c r="AE4443" i="1"/>
  <c r="AF4443" i="1"/>
  <c r="AM4443" i="1"/>
  <c r="AN4443" i="1"/>
  <c r="AO4443" i="1"/>
  <c r="AQ4443" i="1"/>
  <c r="AX4443" i="1"/>
  <c r="BD4443" i="1"/>
  <c r="B4444" i="1"/>
  <c r="C4444" i="1"/>
  <c r="D4444" i="1"/>
  <c r="E4444" i="1"/>
  <c r="F4444" i="1"/>
  <c r="G4444" i="1"/>
  <c r="H4444" i="1"/>
  <c r="I4444" i="1"/>
  <c r="J4444" i="1"/>
  <c r="K4444" i="1"/>
  <c r="M4444" i="1"/>
  <c r="O4444" i="1"/>
  <c r="Q4444" i="1"/>
  <c r="R4444" i="1"/>
  <c r="W4444" i="1"/>
  <c r="AA4444" i="1"/>
  <c r="AB4444" i="1"/>
  <c r="AE4444" i="1"/>
  <c r="AF4444" i="1"/>
  <c r="AM4444" i="1"/>
  <c r="AN4444" i="1"/>
  <c r="AO4444" i="1"/>
  <c r="AQ4444" i="1"/>
  <c r="AX4444" i="1"/>
  <c r="BD4444" i="1"/>
  <c r="B4445" i="1"/>
  <c r="C4445" i="1"/>
  <c r="D4445" i="1"/>
  <c r="E4445" i="1"/>
  <c r="F4445" i="1"/>
  <c r="G4445" i="1"/>
  <c r="H4445" i="1"/>
  <c r="I4445" i="1"/>
  <c r="J4445" i="1"/>
  <c r="K4445" i="1"/>
  <c r="M4445" i="1"/>
  <c r="O4445" i="1"/>
  <c r="Q4445" i="1"/>
  <c r="R4445" i="1"/>
  <c r="W4445" i="1"/>
  <c r="AA4445" i="1"/>
  <c r="AB4445" i="1"/>
  <c r="AE4445" i="1"/>
  <c r="AF4445" i="1"/>
  <c r="AM4445" i="1"/>
  <c r="AN4445" i="1"/>
  <c r="AO4445" i="1"/>
  <c r="AQ4445" i="1"/>
  <c r="AX4445" i="1"/>
  <c r="BD4445" i="1"/>
  <c r="B4446" i="1"/>
  <c r="C4446" i="1"/>
  <c r="D4446" i="1"/>
  <c r="E4446" i="1"/>
  <c r="F4446" i="1"/>
  <c r="G4446" i="1"/>
  <c r="H4446" i="1"/>
  <c r="I4446" i="1"/>
  <c r="J4446" i="1"/>
  <c r="K4446" i="1"/>
  <c r="M4446" i="1"/>
  <c r="O4446" i="1"/>
  <c r="Q4446" i="1"/>
  <c r="R4446" i="1"/>
  <c r="W4446" i="1"/>
  <c r="AA4446" i="1"/>
  <c r="AB4446" i="1"/>
  <c r="AE4446" i="1"/>
  <c r="AF4446" i="1"/>
  <c r="AM4446" i="1"/>
  <c r="AN4446" i="1"/>
  <c r="AO4446" i="1"/>
  <c r="AQ4446" i="1"/>
  <c r="AX4446" i="1"/>
  <c r="BD4446" i="1"/>
  <c r="B4447" i="1"/>
  <c r="C4447" i="1"/>
  <c r="D4447" i="1"/>
  <c r="E4447" i="1"/>
  <c r="F4447" i="1"/>
  <c r="G4447" i="1"/>
  <c r="H4447" i="1"/>
  <c r="I4447" i="1"/>
  <c r="J4447" i="1"/>
  <c r="K4447" i="1"/>
  <c r="M4447" i="1"/>
  <c r="O4447" i="1"/>
  <c r="Q4447" i="1"/>
  <c r="R4447" i="1"/>
  <c r="W4447" i="1"/>
  <c r="AA4447" i="1"/>
  <c r="AB4447" i="1"/>
  <c r="AE4447" i="1"/>
  <c r="AF4447" i="1"/>
  <c r="AM4447" i="1"/>
  <c r="AN4447" i="1"/>
  <c r="AO4447" i="1"/>
  <c r="AQ4447" i="1"/>
  <c r="AX4447" i="1"/>
  <c r="BD4447" i="1"/>
  <c r="B4448" i="1"/>
  <c r="E4448" i="1"/>
  <c r="F4448" i="1"/>
  <c r="G4448" i="1"/>
  <c r="H4448" i="1"/>
  <c r="I4448" i="1"/>
  <c r="J4448" i="1"/>
  <c r="K4448" i="1"/>
  <c r="M4448" i="1"/>
  <c r="O4448" i="1"/>
  <c r="Q4448" i="1"/>
  <c r="R4448" i="1"/>
  <c r="W4448" i="1"/>
  <c r="AA4448" i="1"/>
  <c r="AB4448" i="1"/>
  <c r="AE4448" i="1"/>
  <c r="AF4448" i="1"/>
  <c r="AM4448" i="1"/>
  <c r="AN4448" i="1"/>
  <c r="AO4448" i="1"/>
  <c r="AQ4448" i="1"/>
  <c r="AX4448" i="1"/>
  <c r="BD4448" i="1"/>
  <c r="B4449" i="1"/>
  <c r="E4449" i="1"/>
  <c r="F4449" i="1"/>
  <c r="G4449" i="1"/>
  <c r="H4449" i="1"/>
  <c r="I4449" i="1"/>
  <c r="J4449" i="1"/>
  <c r="K4449" i="1"/>
  <c r="M4449" i="1"/>
  <c r="O4449" i="1"/>
  <c r="Q4449" i="1"/>
  <c r="R4449" i="1"/>
  <c r="W4449" i="1"/>
  <c r="AA4449" i="1"/>
  <c r="AB4449" i="1"/>
  <c r="AE4449" i="1"/>
  <c r="AF4449" i="1"/>
  <c r="AM4449" i="1"/>
  <c r="AN4449" i="1"/>
  <c r="AO4449" i="1"/>
  <c r="AQ4449" i="1"/>
  <c r="AX4449" i="1"/>
  <c r="BD4449" i="1"/>
  <c r="B4450" i="1"/>
  <c r="E4450" i="1"/>
  <c r="F4450" i="1"/>
  <c r="G4450" i="1"/>
  <c r="H4450" i="1"/>
  <c r="I4450" i="1"/>
  <c r="J4450" i="1"/>
  <c r="K4450" i="1"/>
  <c r="M4450" i="1"/>
  <c r="O4450" i="1"/>
  <c r="Q4450" i="1"/>
  <c r="R4450" i="1"/>
  <c r="W4450" i="1"/>
  <c r="AA4450" i="1"/>
  <c r="AB4450" i="1"/>
  <c r="AE4450" i="1"/>
  <c r="AF4450" i="1"/>
  <c r="AM4450" i="1"/>
  <c r="AN4450" i="1"/>
  <c r="AO4450" i="1"/>
  <c r="AQ4450" i="1"/>
  <c r="AX4450" i="1"/>
  <c r="BD4450" i="1"/>
  <c r="B4451" i="1"/>
  <c r="C4451" i="1"/>
  <c r="D4451" i="1"/>
  <c r="E4451" i="1"/>
  <c r="F4451" i="1"/>
  <c r="G4451" i="1"/>
  <c r="H4451" i="1"/>
  <c r="I4451" i="1"/>
  <c r="J4451" i="1"/>
  <c r="K4451" i="1"/>
  <c r="M4451" i="1"/>
  <c r="O4451" i="1"/>
  <c r="Q4451" i="1"/>
  <c r="R4451" i="1"/>
  <c r="W4451" i="1"/>
  <c r="AA4451" i="1"/>
  <c r="AB4451" i="1"/>
  <c r="AE4451" i="1"/>
  <c r="AF4451" i="1"/>
  <c r="AM4451" i="1"/>
  <c r="AN4451" i="1"/>
  <c r="AO4451" i="1"/>
  <c r="AQ4451" i="1"/>
  <c r="AX4451" i="1"/>
  <c r="BD4451" i="1"/>
  <c r="B4452" i="1"/>
  <c r="C4452" i="1"/>
  <c r="D4452" i="1"/>
  <c r="E4452" i="1"/>
  <c r="F4452" i="1"/>
  <c r="G4452" i="1"/>
  <c r="H4452" i="1"/>
  <c r="I4452" i="1"/>
  <c r="J4452" i="1"/>
  <c r="K4452" i="1"/>
  <c r="M4452" i="1"/>
  <c r="O4452" i="1"/>
  <c r="Q4452" i="1"/>
  <c r="R4452" i="1"/>
  <c r="W4452" i="1"/>
  <c r="AA4452" i="1"/>
  <c r="AB4452" i="1"/>
  <c r="AE4452" i="1"/>
  <c r="AF4452" i="1"/>
  <c r="AM4452" i="1"/>
  <c r="AN4452" i="1"/>
  <c r="AO4452" i="1"/>
  <c r="AQ4452" i="1"/>
  <c r="AX4452" i="1"/>
  <c r="BD4452" i="1"/>
  <c r="B4453" i="1"/>
  <c r="C4453" i="1"/>
  <c r="D4453" i="1"/>
  <c r="E4453" i="1"/>
  <c r="F4453" i="1"/>
  <c r="G4453" i="1"/>
  <c r="H4453" i="1"/>
  <c r="I4453" i="1"/>
  <c r="J4453" i="1"/>
  <c r="K4453" i="1"/>
  <c r="M4453" i="1"/>
  <c r="O4453" i="1"/>
  <c r="Q4453" i="1"/>
  <c r="R4453" i="1"/>
  <c r="W4453" i="1"/>
  <c r="AA4453" i="1"/>
  <c r="AB4453" i="1"/>
  <c r="AE4453" i="1"/>
  <c r="AF4453" i="1"/>
  <c r="AM4453" i="1"/>
  <c r="AN4453" i="1"/>
  <c r="AO4453" i="1"/>
  <c r="AQ4453" i="1"/>
  <c r="AX4453" i="1"/>
  <c r="BD4453" i="1"/>
  <c r="B4454" i="1"/>
  <c r="C4454" i="1"/>
  <c r="D4454" i="1"/>
  <c r="E4454" i="1"/>
  <c r="F4454" i="1"/>
  <c r="G4454" i="1"/>
  <c r="H4454" i="1"/>
  <c r="I4454" i="1"/>
  <c r="J4454" i="1"/>
  <c r="K4454" i="1"/>
  <c r="M4454" i="1"/>
  <c r="O4454" i="1"/>
  <c r="Q4454" i="1"/>
  <c r="R4454" i="1"/>
  <c r="W4454" i="1"/>
  <c r="AA4454" i="1"/>
  <c r="AB4454" i="1"/>
  <c r="AE4454" i="1"/>
  <c r="AF4454" i="1"/>
  <c r="AM4454" i="1"/>
  <c r="AN4454" i="1"/>
  <c r="AO4454" i="1"/>
  <c r="AQ4454" i="1"/>
  <c r="AX4454" i="1"/>
  <c r="BD4454" i="1"/>
  <c r="B4455" i="1"/>
  <c r="C4455" i="1"/>
  <c r="D4455" i="1"/>
  <c r="E4455" i="1"/>
  <c r="F4455" i="1"/>
  <c r="G4455" i="1"/>
  <c r="H4455" i="1"/>
  <c r="I4455" i="1"/>
  <c r="J4455" i="1"/>
  <c r="K4455" i="1"/>
  <c r="M4455" i="1"/>
  <c r="O4455" i="1"/>
  <c r="Q4455" i="1"/>
  <c r="R4455" i="1"/>
  <c r="W4455" i="1"/>
  <c r="AA4455" i="1"/>
  <c r="AB4455" i="1"/>
  <c r="AM4455" i="1"/>
  <c r="AN4455" i="1"/>
  <c r="AO4455" i="1"/>
  <c r="AQ4455" i="1"/>
  <c r="AX4455" i="1"/>
  <c r="BD4455" i="1"/>
  <c r="B4456" i="1"/>
  <c r="C4456" i="1"/>
  <c r="D4456" i="1"/>
  <c r="E4456" i="1"/>
  <c r="F4456" i="1"/>
  <c r="G4456" i="1"/>
  <c r="H4456" i="1"/>
  <c r="I4456" i="1"/>
  <c r="J4456" i="1"/>
  <c r="K4456" i="1"/>
  <c r="M4456" i="1"/>
  <c r="O4456" i="1"/>
  <c r="Q4456" i="1"/>
  <c r="R4456" i="1"/>
  <c r="W4456" i="1"/>
  <c r="AA4456" i="1"/>
  <c r="AB4456" i="1"/>
  <c r="AE4456" i="1"/>
  <c r="AF4456" i="1"/>
  <c r="AM4456" i="1"/>
  <c r="AN4456" i="1"/>
  <c r="AO4456" i="1"/>
  <c r="AQ4456" i="1"/>
  <c r="AX4456" i="1"/>
  <c r="BD4456" i="1"/>
  <c r="B4457" i="1"/>
  <c r="C4457" i="1"/>
  <c r="E4457" i="1"/>
  <c r="F4457" i="1"/>
  <c r="G4457" i="1"/>
  <c r="H4457" i="1"/>
  <c r="I4457" i="1"/>
  <c r="J4457" i="1"/>
  <c r="K4457" i="1"/>
  <c r="M4457" i="1"/>
  <c r="O4457" i="1"/>
  <c r="Q4457" i="1"/>
  <c r="R4457" i="1"/>
  <c r="W4457" i="1"/>
  <c r="AA4457" i="1"/>
  <c r="AM4457" i="1"/>
  <c r="AN4457" i="1"/>
  <c r="AO4457" i="1"/>
  <c r="AQ4457" i="1"/>
  <c r="BB4457" i="1"/>
  <c r="BD4457" i="1"/>
  <c r="B4458" i="1"/>
  <c r="C4458" i="1"/>
  <c r="D4458" i="1"/>
  <c r="E4458" i="1"/>
  <c r="F4458" i="1"/>
  <c r="G4458" i="1"/>
  <c r="H4458" i="1"/>
  <c r="I4458" i="1"/>
  <c r="J4458" i="1"/>
  <c r="K4458" i="1"/>
  <c r="M4458" i="1"/>
  <c r="O4458" i="1"/>
  <c r="Q4458" i="1"/>
  <c r="R4458" i="1"/>
  <c r="W4458" i="1"/>
  <c r="AA4458" i="1"/>
  <c r="AB4458" i="1"/>
  <c r="AE4458" i="1"/>
  <c r="AF4458" i="1"/>
  <c r="AM4458" i="1"/>
  <c r="AN4458" i="1"/>
  <c r="AO4458" i="1"/>
  <c r="AQ4458" i="1"/>
  <c r="AX4458" i="1"/>
  <c r="BD4458" i="1"/>
  <c r="B4459" i="1"/>
  <c r="C4459" i="1"/>
  <c r="E4459" i="1"/>
  <c r="F4459" i="1"/>
  <c r="G4459" i="1"/>
  <c r="H4459" i="1"/>
  <c r="I4459" i="1"/>
  <c r="J4459" i="1"/>
  <c r="K4459" i="1"/>
  <c r="M4459" i="1"/>
  <c r="O4459" i="1"/>
  <c r="Q4459" i="1"/>
  <c r="R4459" i="1"/>
  <c r="W4459" i="1"/>
  <c r="AA4459" i="1"/>
  <c r="AM4459" i="1"/>
  <c r="AN4459" i="1"/>
  <c r="AO4459" i="1"/>
  <c r="AQ4459" i="1"/>
  <c r="BB4459" i="1"/>
  <c r="BD4459" i="1"/>
  <c r="B4460" i="1"/>
  <c r="E4460" i="1"/>
  <c r="F4460" i="1"/>
  <c r="G4460" i="1"/>
  <c r="H4460" i="1"/>
  <c r="I4460" i="1"/>
  <c r="J4460" i="1"/>
  <c r="K4460" i="1"/>
  <c r="M4460" i="1"/>
  <c r="O4460" i="1"/>
  <c r="Q4460" i="1"/>
  <c r="R4460" i="1"/>
  <c r="W4460" i="1"/>
  <c r="AA4460" i="1"/>
  <c r="AB4460" i="1"/>
  <c r="AE4460" i="1"/>
  <c r="AF4460" i="1"/>
  <c r="AM4460" i="1"/>
  <c r="AN4460" i="1"/>
  <c r="AO4460" i="1"/>
  <c r="AQ4460" i="1"/>
  <c r="AX4460" i="1"/>
  <c r="BD4460" i="1"/>
  <c r="B4461" i="1"/>
  <c r="E4461" i="1"/>
  <c r="F4461" i="1"/>
  <c r="G4461" i="1"/>
  <c r="H4461" i="1"/>
  <c r="I4461" i="1"/>
  <c r="J4461" i="1"/>
  <c r="K4461" i="1"/>
  <c r="M4461" i="1"/>
  <c r="O4461" i="1"/>
  <c r="Q4461" i="1"/>
  <c r="R4461" i="1"/>
  <c r="W4461" i="1"/>
  <c r="AA4461" i="1"/>
  <c r="AB4461" i="1"/>
  <c r="AE4461" i="1"/>
  <c r="AF4461" i="1"/>
  <c r="AM4461" i="1"/>
  <c r="AN4461" i="1"/>
  <c r="AO4461" i="1"/>
  <c r="AQ4461" i="1"/>
  <c r="AX4461" i="1"/>
  <c r="BD4461" i="1"/>
  <c r="B4462" i="1"/>
  <c r="E4462" i="1"/>
  <c r="F4462" i="1"/>
  <c r="G4462" i="1"/>
  <c r="H4462" i="1"/>
  <c r="I4462" i="1"/>
  <c r="J4462" i="1"/>
  <c r="K4462" i="1"/>
  <c r="M4462" i="1"/>
  <c r="O4462" i="1"/>
  <c r="Q4462" i="1"/>
  <c r="R4462" i="1"/>
  <c r="W4462" i="1"/>
  <c r="AA4462" i="1"/>
  <c r="AB4462" i="1"/>
  <c r="AE4462" i="1"/>
  <c r="AF4462" i="1"/>
  <c r="AM4462" i="1"/>
  <c r="AN4462" i="1"/>
  <c r="AO4462" i="1"/>
  <c r="AQ4462" i="1"/>
  <c r="AX4462" i="1"/>
  <c r="BD4462" i="1"/>
  <c r="B4463" i="1"/>
  <c r="E4463" i="1"/>
  <c r="F4463" i="1"/>
  <c r="G4463" i="1"/>
  <c r="H4463" i="1"/>
  <c r="I4463" i="1"/>
  <c r="J4463" i="1"/>
  <c r="K4463" i="1"/>
  <c r="M4463" i="1"/>
  <c r="O4463" i="1"/>
  <c r="Q4463" i="1"/>
  <c r="R4463" i="1"/>
  <c r="W4463" i="1"/>
  <c r="AA4463" i="1"/>
  <c r="AB4463" i="1"/>
  <c r="AE4463" i="1"/>
  <c r="AF4463" i="1"/>
  <c r="AM4463" i="1"/>
  <c r="AN4463" i="1"/>
  <c r="AO4463" i="1"/>
  <c r="AQ4463" i="1"/>
  <c r="AX4463" i="1"/>
  <c r="BD4463" i="1"/>
  <c r="B4464" i="1"/>
  <c r="E4464" i="1"/>
  <c r="F4464" i="1"/>
  <c r="G4464" i="1"/>
  <c r="H4464" i="1"/>
  <c r="I4464" i="1"/>
  <c r="J4464" i="1"/>
  <c r="K4464" i="1"/>
  <c r="M4464" i="1"/>
  <c r="O4464" i="1"/>
  <c r="Q4464" i="1"/>
  <c r="R4464" i="1"/>
  <c r="W4464" i="1"/>
  <c r="AA4464" i="1"/>
  <c r="AB4464" i="1"/>
  <c r="AE4464" i="1"/>
  <c r="AF4464" i="1"/>
  <c r="AM4464" i="1"/>
  <c r="AN4464" i="1"/>
  <c r="AO4464" i="1"/>
  <c r="AQ4464" i="1"/>
  <c r="AX4464" i="1"/>
  <c r="BD4464" i="1"/>
  <c r="B4465" i="1"/>
  <c r="E4465" i="1"/>
  <c r="F4465" i="1"/>
  <c r="G4465" i="1"/>
  <c r="H4465" i="1"/>
  <c r="I4465" i="1"/>
  <c r="J4465" i="1"/>
  <c r="K4465" i="1"/>
  <c r="M4465" i="1"/>
  <c r="O4465" i="1"/>
  <c r="Q4465" i="1"/>
  <c r="R4465" i="1"/>
  <c r="W4465" i="1"/>
  <c r="AA4465" i="1"/>
  <c r="AB4465" i="1"/>
  <c r="AE4465" i="1"/>
  <c r="AF4465" i="1"/>
  <c r="AM4465" i="1"/>
  <c r="AN4465" i="1"/>
  <c r="AO4465" i="1"/>
  <c r="AQ4465" i="1"/>
  <c r="AX4465" i="1"/>
  <c r="BD4465" i="1"/>
  <c r="B4466" i="1"/>
  <c r="E4466" i="1"/>
  <c r="F4466" i="1"/>
  <c r="G4466" i="1"/>
  <c r="H4466" i="1"/>
  <c r="I4466" i="1"/>
  <c r="J4466" i="1"/>
  <c r="K4466" i="1"/>
  <c r="M4466" i="1"/>
  <c r="O4466" i="1"/>
  <c r="Q4466" i="1"/>
  <c r="R4466" i="1"/>
  <c r="W4466" i="1"/>
  <c r="AA4466" i="1"/>
  <c r="AB4466" i="1"/>
  <c r="AE4466" i="1"/>
  <c r="AF4466" i="1"/>
  <c r="AM4466" i="1"/>
  <c r="AN4466" i="1"/>
  <c r="AO4466" i="1"/>
  <c r="AQ4466" i="1"/>
  <c r="AX4466" i="1"/>
  <c r="BD4466" i="1"/>
  <c r="B4467" i="1"/>
  <c r="E4467" i="1"/>
  <c r="F4467" i="1"/>
  <c r="G4467" i="1"/>
  <c r="H4467" i="1"/>
  <c r="I4467" i="1"/>
  <c r="J4467" i="1"/>
  <c r="K4467" i="1"/>
  <c r="M4467" i="1"/>
  <c r="O4467" i="1"/>
  <c r="Q4467" i="1"/>
  <c r="R4467" i="1"/>
  <c r="W4467" i="1"/>
  <c r="AA4467" i="1"/>
  <c r="AB4467" i="1"/>
  <c r="AE4467" i="1"/>
  <c r="AF4467" i="1"/>
  <c r="AM4467" i="1"/>
  <c r="AN4467" i="1"/>
  <c r="AO4467" i="1"/>
  <c r="AQ4467" i="1"/>
  <c r="AX4467" i="1"/>
  <c r="BD4467" i="1"/>
  <c r="B4468" i="1"/>
  <c r="E4468" i="1"/>
  <c r="F4468" i="1"/>
  <c r="G4468" i="1"/>
  <c r="H4468" i="1"/>
  <c r="I4468" i="1"/>
  <c r="J4468" i="1"/>
  <c r="K4468" i="1"/>
  <c r="M4468" i="1"/>
  <c r="O4468" i="1"/>
  <c r="Q4468" i="1"/>
  <c r="R4468" i="1"/>
  <c r="W4468" i="1"/>
  <c r="AA4468" i="1"/>
  <c r="AB4468" i="1"/>
  <c r="AE4468" i="1"/>
  <c r="AF4468" i="1"/>
  <c r="AM4468" i="1"/>
  <c r="AN4468" i="1"/>
  <c r="AO4468" i="1"/>
  <c r="AQ4468" i="1"/>
  <c r="AX4468" i="1"/>
  <c r="BD4468" i="1"/>
  <c r="B4469" i="1"/>
  <c r="E4469" i="1"/>
  <c r="F4469" i="1"/>
  <c r="G4469" i="1"/>
  <c r="H4469" i="1"/>
  <c r="I4469" i="1"/>
  <c r="J4469" i="1"/>
  <c r="K4469" i="1"/>
  <c r="M4469" i="1"/>
  <c r="O4469" i="1"/>
  <c r="Q4469" i="1"/>
  <c r="R4469" i="1"/>
  <c r="W4469" i="1"/>
  <c r="AA4469" i="1"/>
  <c r="AB4469" i="1"/>
  <c r="AE4469" i="1"/>
  <c r="AF4469" i="1"/>
  <c r="AM4469" i="1"/>
  <c r="AN4469" i="1"/>
  <c r="AO4469" i="1"/>
  <c r="AQ4469" i="1"/>
  <c r="AX4469" i="1"/>
  <c r="BD4469" i="1"/>
  <c r="B4470" i="1"/>
  <c r="E4470" i="1"/>
  <c r="F4470" i="1"/>
  <c r="G4470" i="1"/>
  <c r="H4470" i="1"/>
  <c r="I4470" i="1"/>
  <c r="J4470" i="1"/>
  <c r="K4470" i="1"/>
  <c r="M4470" i="1"/>
  <c r="O4470" i="1"/>
  <c r="Q4470" i="1"/>
  <c r="R4470" i="1"/>
  <c r="W4470" i="1"/>
  <c r="AA4470" i="1"/>
  <c r="AB4470" i="1"/>
  <c r="AE4470" i="1"/>
  <c r="AF4470" i="1"/>
  <c r="AM4470" i="1"/>
  <c r="AN4470" i="1"/>
  <c r="AO4470" i="1"/>
  <c r="AQ4470" i="1"/>
  <c r="AX4470" i="1"/>
  <c r="BD4470" i="1"/>
  <c r="B4471" i="1"/>
  <c r="E4471" i="1"/>
  <c r="F4471" i="1"/>
  <c r="G4471" i="1"/>
  <c r="H4471" i="1"/>
  <c r="I4471" i="1"/>
  <c r="J4471" i="1"/>
  <c r="K4471" i="1"/>
  <c r="M4471" i="1"/>
  <c r="O4471" i="1"/>
  <c r="Q4471" i="1"/>
  <c r="R4471" i="1"/>
  <c r="W4471" i="1"/>
  <c r="AA4471" i="1"/>
  <c r="AB4471" i="1"/>
  <c r="AE4471" i="1"/>
  <c r="AF4471" i="1"/>
  <c r="AM4471" i="1"/>
  <c r="AN4471" i="1"/>
  <c r="AO4471" i="1"/>
  <c r="AQ4471" i="1"/>
  <c r="AX4471" i="1"/>
  <c r="BD4471" i="1"/>
  <c r="B4472" i="1"/>
  <c r="E4472" i="1"/>
  <c r="F4472" i="1"/>
  <c r="G4472" i="1"/>
  <c r="H4472" i="1"/>
  <c r="I4472" i="1"/>
  <c r="J4472" i="1"/>
  <c r="K4472" i="1"/>
  <c r="M4472" i="1"/>
  <c r="O4472" i="1"/>
  <c r="Q4472" i="1"/>
  <c r="R4472" i="1"/>
  <c r="W4472" i="1"/>
  <c r="AA4472" i="1"/>
  <c r="AB4472" i="1"/>
  <c r="AE4472" i="1"/>
  <c r="AF4472" i="1"/>
  <c r="AM4472" i="1"/>
  <c r="AN4472" i="1"/>
  <c r="AO4472" i="1"/>
  <c r="AQ4472" i="1"/>
  <c r="AX4472" i="1"/>
  <c r="BD4472" i="1"/>
  <c r="B4473" i="1"/>
  <c r="E4473" i="1"/>
  <c r="F4473" i="1"/>
  <c r="G4473" i="1"/>
  <c r="H4473" i="1"/>
  <c r="I4473" i="1"/>
  <c r="J4473" i="1"/>
  <c r="K4473" i="1"/>
  <c r="M4473" i="1"/>
  <c r="O4473" i="1"/>
  <c r="Q4473" i="1"/>
  <c r="R4473" i="1"/>
  <c r="W4473" i="1"/>
  <c r="AA4473" i="1"/>
  <c r="AB4473" i="1"/>
  <c r="AE4473" i="1"/>
  <c r="AF4473" i="1"/>
  <c r="AM4473" i="1"/>
  <c r="AN4473" i="1"/>
  <c r="AO4473" i="1"/>
  <c r="AQ4473" i="1"/>
  <c r="AX4473" i="1"/>
  <c r="BD4473" i="1"/>
  <c r="B4474" i="1"/>
  <c r="E4474" i="1"/>
  <c r="F4474" i="1"/>
  <c r="G4474" i="1"/>
  <c r="H4474" i="1"/>
  <c r="I4474" i="1"/>
  <c r="J4474" i="1"/>
  <c r="K4474" i="1"/>
  <c r="M4474" i="1"/>
  <c r="O4474" i="1"/>
  <c r="Q4474" i="1"/>
  <c r="R4474" i="1"/>
  <c r="W4474" i="1"/>
  <c r="AA4474" i="1"/>
  <c r="AB4474" i="1"/>
  <c r="AE4474" i="1"/>
  <c r="AF4474" i="1"/>
  <c r="AM4474" i="1"/>
  <c r="AN4474" i="1"/>
  <c r="AO4474" i="1"/>
  <c r="AQ4474" i="1"/>
  <c r="AX4474" i="1"/>
  <c r="BD4474" i="1"/>
  <c r="B4475" i="1"/>
  <c r="E4475" i="1"/>
  <c r="F4475" i="1"/>
  <c r="G4475" i="1"/>
  <c r="H4475" i="1"/>
  <c r="I4475" i="1"/>
  <c r="J4475" i="1"/>
  <c r="K4475" i="1"/>
  <c r="M4475" i="1"/>
  <c r="O4475" i="1"/>
  <c r="Q4475" i="1"/>
  <c r="R4475" i="1"/>
  <c r="W4475" i="1"/>
  <c r="AA4475" i="1"/>
  <c r="AB4475" i="1"/>
  <c r="AE4475" i="1"/>
  <c r="AF4475" i="1"/>
  <c r="AM4475" i="1"/>
  <c r="AN4475" i="1"/>
  <c r="AO4475" i="1"/>
  <c r="AQ4475" i="1"/>
  <c r="AX4475" i="1"/>
  <c r="BD4475" i="1"/>
  <c r="B4476" i="1"/>
  <c r="C4476" i="1"/>
  <c r="E4476" i="1"/>
  <c r="F4476" i="1"/>
  <c r="G4476" i="1"/>
  <c r="H4476" i="1"/>
  <c r="I4476" i="1"/>
  <c r="J4476" i="1"/>
  <c r="K4476" i="1"/>
  <c r="M4476" i="1"/>
  <c r="O4476" i="1"/>
  <c r="Q4476" i="1"/>
  <c r="R4476" i="1"/>
  <c r="W4476" i="1"/>
  <c r="AA4476" i="1"/>
  <c r="AB4476" i="1"/>
  <c r="AE4476" i="1"/>
  <c r="AF4476" i="1"/>
  <c r="AM4476" i="1"/>
  <c r="AN4476" i="1"/>
  <c r="AO4476" i="1"/>
  <c r="AQ4476" i="1"/>
  <c r="AX4476" i="1"/>
  <c r="BD4476" i="1"/>
  <c r="B4477" i="1"/>
  <c r="C4477" i="1"/>
  <c r="D4477" i="1"/>
  <c r="E4477" i="1"/>
  <c r="F4477" i="1"/>
  <c r="G4477" i="1"/>
  <c r="H4477" i="1"/>
  <c r="I4477" i="1"/>
  <c r="J4477" i="1"/>
  <c r="K4477" i="1"/>
  <c r="M4477" i="1"/>
  <c r="O4477" i="1"/>
  <c r="Q4477" i="1"/>
  <c r="R4477" i="1"/>
  <c r="W4477" i="1"/>
  <c r="AA4477" i="1"/>
  <c r="AB4477" i="1"/>
  <c r="AE4477" i="1"/>
  <c r="AF4477" i="1"/>
  <c r="AM4477" i="1"/>
  <c r="AN4477" i="1"/>
  <c r="AO4477" i="1"/>
  <c r="AQ4477" i="1"/>
  <c r="AX4477" i="1"/>
  <c r="BD4477" i="1"/>
  <c r="B4478" i="1"/>
  <c r="C4478" i="1"/>
  <c r="E4478" i="1"/>
  <c r="F4478" i="1"/>
  <c r="G4478" i="1"/>
  <c r="H4478" i="1"/>
  <c r="I4478" i="1"/>
  <c r="J4478" i="1"/>
  <c r="K4478" i="1"/>
  <c r="M4478" i="1"/>
  <c r="O4478" i="1"/>
  <c r="Q4478" i="1"/>
  <c r="R4478" i="1"/>
  <c r="W4478" i="1"/>
  <c r="AA4478" i="1"/>
  <c r="AB4478" i="1"/>
  <c r="AE4478" i="1"/>
  <c r="AF4478" i="1"/>
  <c r="AM4478" i="1"/>
  <c r="AN4478" i="1"/>
  <c r="AO4478" i="1"/>
  <c r="AQ4478" i="1"/>
  <c r="AX4478" i="1"/>
  <c r="BD4478" i="1"/>
  <c r="B4479" i="1"/>
  <c r="C4479" i="1"/>
  <c r="E4479" i="1"/>
  <c r="F4479" i="1"/>
  <c r="G4479" i="1"/>
  <c r="H4479" i="1"/>
  <c r="I4479" i="1"/>
  <c r="J4479" i="1"/>
  <c r="K4479" i="1"/>
  <c r="M4479" i="1"/>
  <c r="O4479" i="1"/>
  <c r="Q4479" i="1"/>
  <c r="R4479" i="1"/>
  <c r="W4479" i="1"/>
  <c r="AA4479" i="1"/>
  <c r="AM4479" i="1"/>
  <c r="AN4479" i="1"/>
  <c r="AO4479" i="1"/>
  <c r="AQ4479" i="1"/>
  <c r="BB4479" i="1"/>
  <c r="BD4479" i="1"/>
  <c r="B4480" i="1"/>
  <c r="C4480" i="1"/>
  <c r="E4480" i="1"/>
  <c r="F4480" i="1"/>
  <c r="G4480" i="1"/>
  <c r="H4480" i="1"/>
  <c r="I4480" i="1"/>
  <c r="J4480" i="1"/>
  <c r="K4480" i="1"/>
  <c r="M4480" i="1"/>
  <c r="O4480" i="1"/>
  <c r="Q4480" i="1"/>
  <c r="R4480" i="1"/>
  <c r="W4480" i="1"/>
  <c r="AA4480" i="1"/>
  <c r="AB4480" i="1"/>
  <c r="AE4480" i="1"/>
  <c r="AF4480" i="1"/>
  <c r="AM4480" i="1"/>
  <c r="AN4480" i="1"/>
  <c r="AO4480" i="1"/>
  <c r="AQ4480" i="1"/>
  <c r="AX4480" i="1"/>
  <c r="BD4480" i="1"/>
  <c r="B4481" i="1"/>
  <c r="C4481" i="1"/>
  <c r="D4481" i="1"/>
  <c r="E4481" i="1"/>
  <c r="F4481" i="1"/>
  <c r="G4481" i="1"/>
  <c r="H4481" i="1"/>
  <c r="I4481" i="1"/>
  <c r="J4481" i="1"/>
  <c r="K4481" i="1"/>
  <c r="M4481" i="1"/>
  <c r="O4481" i="1"/>
  <c r="Q4481" i="1"/>
  <c r="R4481" i="1"/>
  <c r="W4481" i="1"/>
  <c r="AA4481" i="1"/>
  <c r="AB4481" i="1"/>
  <c r="AM4481" i="1"/>
  <c r="AN4481" i="1"/>
  <c r="AO4481" i="1"/>
  <c r="AQ4481" i="1"/>
  <c r="AX4481" i="1"/>
  <c r="BD4481" i="1"/>
  <c r="B4482" i="1"/>
  <c r="C4482" i="1"/>
  <c r="D4482" i="1"/>
  <c r="E4482" i="1"/>
  <c r="F4482" i="1"/>
  <c r="G4482" i="1"/>
  <c r="H4482" i="1"/>
  <c r="I4482" i="1"/>
  <c r="J4482" i="1"/>
  <c r="K4482" i="1"/>
  <c r="M4482" i="1"/>
  <c r="O4482" i="1"/>
  <c r="Q4482" i="1"/>
  <c r="R4482" i="1"/>
  <c r="W4482" i="1"/>
  <c r="AA4482" i="1"/>
  <c r="AB4482" i="1"/>
  <c r="AE4482" i="1"/>
  <c r="AF4482" i="1"/>
  <c r="AM4482" i="1"/>
  <c r="AN4482" i="1"/>
  <c r="AO4482" i="1"/>
  <c r="AQ4482" i="1"/>
  <c r="AX4482" i="1"/>
  <c r="BD4482" i="1"/>
  <c r="B4483" i="1"/>
  <c r="C4483" i="1"/>
  <c r="E4483" i="1"/>
  <c r="F4483" i="1"/>
  <c r="G4483" i="1"/>
  <c r="H4483" i="1"/>
  <c r="I4483" i="1"/>
  <c r="J4483" i="1"/>
  <c r="K4483" i="1"/>
  <c r="M4483" i="1"/>
  <c r="O4483" i="1"/>
  <c r="Q4483" i="1"/>
  <c r="R4483" i="1"/>
  <c r="W4483" i="1"/>
  <c r="AA4483" i="1"/>
  <c r="AB4483" i="1"/>
  <c r="AE4483" i="1"/>
  <c r="AF4483" i="1"/>
  <c r="AM4483" i="1"/>
  <c r="AN4483" i="1"/>
  <c r="AO4483" i="1"/>
  <c r="AQ4483" i="1"/>
  <c r="AX4483" i="1"/>
  <c r="BD4483" i="1"/>
  <c r="B4484" i="1"/>
  <c r="C4484" i="1"/>
  <c r="E4484" i="1"/>
  <c r="F4484" i="1"/>
  <c r="G4484" i="1"/>
  <c r="H4484" i="1"/>
  <c r="I4484" i="1"/>
  <c r="J4484" i="1"/>
  <c r="K4484" i="1"/>
  <c r="M4484" i="1"/>
  <c r="O4484" i="1"/>
  <c r="Q4484" i="1"/>
  <c r="R4484" i="1"/>
  <c r="W4484" i="1"/>
  <c r="AA4484" i="1"/>
  <c r="AB4484" i="1"/>
  <c r="AE4484" i="1"/>
  <c r="AF4484" i="1"/>
  <c r="AM4484" i="1"/>
  <c r="AN4484" i="1"/>
  <c r="AO4484" i="1"/>
  <c r="AQ4484" i="1"/>
  <c r="AX4484" i="1"/>
  <c r="BD4484" i="1"/>
  <c r="B4485" i="1"/>
  <c r="C4485" i="1"/>
  <c r="E4485" i="1"/>
  <c r="F4485" i="1"/>
  <c r="G4485" i="1"/>
  <c r="H4485" i="1"/>
  <c r="I4485" i="1"/>
  <c r="J4485" i="1"/>
  <c r="K4485" i="1"/>
  <c r="M4485" i="1"/>
  <c r="O4485" i="1"/>
  <c r="Q4485" i="1"/>
  <c r="R4485" i="1"/>
  <c r="W4485" i="1"/>
  <c r="AA4485" i="1"/>
  <c r="AB4485" i="1"/>
  <c r="AE4485" i="1"/>
  <c r="AF4485" i="1"/>
  <c r="AM4485" i="1"/>
  <c r="AN4485" i="1"/>
  <c r="AO4485" i="1"/>
  <c r="AQ4485" i="1"/>
  <c r="AX4485" i="1"/>
  <c r="BD4485" i="1"/>
  <c r="B4486" i="1"/>
  <c r="C4486" i="1"/>
  <c r="D4486" i="1"/>
  <c r="E4486" i="1"/>
  <c r="F4486" i="1"/>
  <c r="G4486" i="1"/>
  <c r="H4486" i="1"/>
  <c r="I4486" i="1"/>
  <c r="J4486" i="1"/>
  <c r="K4486" i="1"/>
  <c r="M4486" i="1"/>
  <c r="O4486" i="1"/>
  <c r="Q4486" i="1"/>
  <c r="R4486" i="1"/>
  <c r="W4486" i="1"/>
  <c r="AA4486" i="1"/>
  <c r="AB4486" i="1"/>
  <c r="AM4486" i="1"/>
  <c r="AN4486" i="1"/>
  <c r="AO4486" i="1"/>
  <c r="AQ4486" i="1"/>
  <c r="AX4486" i="1"/>
  <c r="BD4486" i="1"/>
  <c r="B4487" i="1"/>
  <c r="C4487" i="1"/>
  <c r="E4487" i="1"/>
  <c r="F4487" i="1"/>
  <c r="G4487" i="1"/>
  <c r="H4487" i="1"/>
  <c r="I4487" i="1"/>
  <c r="J4487" i="1"/>
  <c r="K4487" i="1"/>
  <c r="M4487" i="1"/>
  <c r="O4487" i="1"/>
  <c r="Q4487" i="1"/>
  <c r="R4487" i="1"/>
  <c r="W4487" i="1"/>
  <c r="AA4487" i="1"/>
  <c r="AB4487" i="1"/>
  <c r="AE4487" i="1"/>
  <c r="AF4487" i="1"/>
  <c r="AM4487" i="1"/>
  <c r="AN4487" i="1"/>
  <c r="AO4487" i="1"/>
  <c r="AQ4487" i="1"/>
  <c r="AX4487" i="1"/>
  <c r="BD4487" i="1"/>
  <c r="B4488" i="1"/>
  <c r="E4488" i="1"/>
  <c r="F4488" i="1"/>
  <c r="G4488" i="1"/>
  <c r="H4488" i="1"/>
  <c r="I4488" i="1"/>
  <c r="J4488" i="1"/>
  <c r="K4488" i="1"/>
  <c r="M4488" i="1"/>
  <c r="O4488" i="1"/>
  <c r="Q4488" i="1"/>
  <c r="R4488" i="1"/>
  <c r="W4488" i="1"/>
  <c r="AA4488" i="1"/>
  <c r="AB4488" i="1"/>
  <c r="AE4488" i="1"/>
  <c r="AF4488" i="1"/>
  <c r="AM4488" i="1"/>
  <c r="AN4488" i="1"/>
  <c r="AO4488" i="1"/>
  <c r="AQ4488" i="1"/>
  <c r="AX4488" i="1"/>
  <c r="BD4488" i="1"/>
  <c r="B4489" i="1"/>
  <c r="E4489" i="1"/>
  <c r="F4489" i="1"/>
  <c r="G4489" i="1"/>
  <c r="H4489" i="1"/>
  <c r="I4489" i="1"/>
  <c r="J4489" i="1"/>
  <c r="K4489" i="1"/>
  <c r="M4489" i="1"/>
  <c r="O4489" i="1"/>
  <c r="Q4489" i="1"/>
  <c r="R4489" i="1"/>
  <c r="W4489" i="1"/>
  <c r="AA4489" i="1"/>
  <c r="AB4489" i="1"/>
  <c r="AE4489" i="1"/>
  <c r="AF4489" i="1"/>
  <c r="AM4489" i="1"/>
  <c r="AN4489" i="1"/>
  <c r="AO4489" i="1"/>
  <c r="AQ4489" i="1"/>
  <c r="AX4489" i="1"/>
  <c r="BD4489" i="1"/>
  <c r="B4490" i="1"/>
  <c r="E4490" i="1"/>
  <c r="F4490" i="1"/>
  <c r="G4490" i="1"/>
  <c r="H4490" i="1"/>
  <c r="I4490" i="1"/>
  <c r="J4490" i="1"/>
  <c r="K4490" i="1"/>
  <c r="M4490" i="1"/>
  <c r="O4490" i="1"/>
  <c r="Q4490" i="1"/>
  <c r="R4490" i="1"/>
  <c r="W4490" i="1"/>
  <c r="AA4490" i="1"/>
  <c r="AB4490" i="1"/>
  <c r="AE4490" i="1"/>
  <c r="AF4490" i="1"/>
  <c r="AM4490" i="1"/>
  <c r="AN4490" i="1"/>
  <c r="AO4490" i="1"/>
  <c r="AQ4490" i="1"/>
  <c r="AX4490" i="1"/>
  <c r="BD4490" i="1"/>
  <c r="B4491" i="1"/>
  <c r="C4491" i="1"/>
  <c r="E4491" i="1"/>
  <c r="F4491" i="1"/>
  <c r="G4491" i="1"/>
  <c r="H4491" i="1"/>
  <c r="I4491" i="1"/>
  <c r="J4491" i="1"/>
  <c r="K4491" i="1"/>
  <c r="M4491" i="1"/>
  <c r="O4491" i="1"/>
  <c r="Q4491" i="1"/>
  <c r="R4491" i="1"/>
  <c r="W4491" i="1"/>
  <c r="AA4491" i="1"/>
  <c r="AB4491" i="1"/>
  <c r="AM4491" i="1"/>
  <c r="AN4491" i="1"/>
  <c r="AO4491" i="1"/>
  <c r="AQ4491" i="1"/>
  <c r="AX4491" i="1"/>
  <c r="BD4491" i="1"/>
  <c r="B4492" i="1"/>
  <c r="C4492" i="1"/>
  <c r="D4492" i="1"/>
  <c r="E4492" i="1"/>
  <c r="F4492" i="1"/>
  <c r="G4492" i="1"/>
  <c r="H4492" i="1"/>
  <c r="I4492" i="1"/>
  <c r="J4492" i="1"/>
  <c r="K4492" i="1"/>
  <c r="M4492" i="1"/>
  <c r="O4492" i="1"/>
  <c r="Q4492" i="1"/>
  <c r="R4492" i="1"/>
  <c r="W4492" i="1"/>
  <c r="AA4492" i="1"/>
  <c r="AB4492" i="1"/>
  <c r="AM4492" i="1"/>
  <c r="AN4492" i="1"/>
  <c r="AO4492" i="1"/>
  <c r="AQ4492" i="1"/>
  <c r="AX4492" i="1"/>
  <c r="BD4492" i="1"/>
  <c r="B4493" i="1"/>
  <c r="E4493" i="1"/>
  <c r="F4493" i="1"/>
  <c r="G4493" i="1"/>
  <c r="H4493" i="1"/>
  <c r="I4493" i="1"/>
  <c r="J4493" i="1"/>
  <c r="K4493" i="1"/>
  <c r="M4493" i="1"/>
  <c r="O4493" i="1"/>
  <c r="Q4493" i="1"/>
  <c r="R4493" i="1"/>
  <c r="W4493" i="1"/>
  <c r="AA4493" i="1"/>
  <c r="AB4493" i="1"/>
  <c r="AE4493" i="1"/>
  <c r="AF4493" i="1"/>
  <c r="AM4493" i="1"/>
  <c r="AN4493" i="1"/>
  <c r="AO4493" i="1"/>
  <c r="AQ4493" i="1"/>
  <c r="AX4493" i="1"/>
  <c r="BD4493" i="1"/>
  <c r="B4494" i="1"/>
  <c r="E4494" i="1"/>
  <c r="F4494" i="1"/>
  <c r="G4494" i="1"/>
  <c r="H4494" i="1"/>
  <c r="I4494" i="1"/>
  <c r="J4494" i="1"/>
  <c r="K4494" i="1"/>
  <c r="M4494" i="1"/>
  <c r="O4494" i="1"/>
  <c r="Q4494" i="1"/>
  <c r="R4494" i="1"/>
  <c r="W4494" i="1"/>
  <c r="AA4494" i="1"/>
  <c r="AB4494" i="1"/>
  <c r="AE4494" i="1"/>
  <c r="AF4494" i="1"/>
  <c r="AM4494" i="1"/>
  <c r="AN4494" i="1"/>
  <c r="AO4494" i="1"/>
  <c r="AQ4494" i="1"/>
  <c r="AX4494" i="1"/>
  <c r="BD4494" i="1"/>
  <c r="B4495" i="1"/>
  <c r="E4495" i="1"/>
  <c r="F4495" i="1"/>
  <c r="G4495" i="1"/>
  <c r="H4495" i="1"/>
  <c r="I4495" i="1"/>
  <c r="J4495" i="1"/>
  <c r="K4495" i="1"/>
  <c r="M4495" i="1"/>
  <c r="O4495" i="1"/>
  <c r="Q4495" i="1"/>
  <c r="R4495" i="1"/>
  <c r="W4495" i="1"/>
  <c r="AA4495" i="1"/>
  <c r="AB4495" i="1"/>
  <c r="AE4495" i="1"/>
  <c r="AF4495" i="1"/>
  <c r="AM4495" i="1"/>
  <c r="AN4495" i="1"/>
  <c r="AO4495" i="1"/>
  <c r="AQ4495" i="1"/>
  <c r="AX4495" i="1"/>
  <c r="BD4495" i="1"/>
  <c r="B4496" i="1"/>
  <c r="E4496" i="1"/>
  <c r="F4496" i="1"/>
  <c r="G4496" i="1"/>
  <c r="H4496" i="1"/>
  <c r="I4496" i="1"/>
  <c r="J4496" i="1"/>
  <c r="K4496" i="1"/>
  <c r="M4496" i="1"/>
  <c r="O4496" i="1"/>
  <c r="Q4496" i="1"/>
  <c r="R4496" i="1"/>
  <c r="W4496" i="1"/>
  <c r="AA4496" i="1"/>
  <c r="AB4496" i="1"/>
  <c r="AE4496" i="1"/>
  <c r="AF4496" i="1"/>
  <c r="AM4496" i="1"/>
  <c r="AN4496" i="1"/>
  <c r="AO4496" i="1"/>
  <c r="AQ4496" i="1"/>
  <c r="AX4496" i="1"/>
  <c r="BD4496" i="1"/>
  <c r="B4497" i="1"/>
  <c r="E4497" i="1"/>
  <c r="F4497" i="1"/>
  <c r="G4497" i="1"/>
  <c r="H4497" i="1"/>
  <c r="I4497" i="1"/>
  <c r="J4497" i="1"/>
  <c r="K4497" i="1"/>
  <c r="M4497" i="1"/>
  <c r="O4497" i="1"/>
  <c r="Q4497" i="1"/>
  <c r="R4497" i="1"/>
  <c r="W4497" i="1"/>
  <c r="AA4497" i="1"/>
  <c r="AB4497" i="1"/>
  <c r="AE4497" i="1"/>
  <c r="AF4497" i="1"/>
  <c r="AM4497" i="1"/>
  <c r="AN4497" i="1"/>
  <c r="AO4497" i="1"/>
  <c r="AQ4497" i="1"/>
  <c r="AX4497" i="1"/>
  <c r="BD4497" i="1"/>
  <c r="B4498" i="1"/>
  <c r="C4498" i="1"/>
  <c r="E4498" i="1"/>
  <c r="F4498" i="1"/>
  <c r="G4498" i="1"/>
  <c r="H4498" i="1"/>
  <c r="I4498" i="1"/>
  <c r="J4498" i="1"/>
  <c r="K4498" i="1"/>
  <c r="M4498" i="1"/>
  <c r="O4498" i="1"/>
  <c r="Q4498" i="1"/>
  <c r="R4498" i="1"/>
  <c r="W4498" i="1"/>
  <c r="AA4498" i="1"/>
  <c r="AM4498" i="1"/>
  <c r="AN4498" i="1"/>
  <c r="AO4498" i="1"/>
  <c r="AQ4498" i="1"/>
  <c r="BB4498" i="1"/>
  <c r="BD4498" i="1"/>
  <c r="B4499" i="1"/>
  <c r="E4499" i="1"/>
  <c r="F4499" i="1"/>
  <c r="G4499" i="1"/>
  <c r="H4499" i="1"/>
  <c r="I4499" i="1"/>
  <c r="J4499" i="1"/>
  <c r="K4499" i="1"/>
  <c r="M4499" i="1"/>
  <c r="O4499" i="1"/>
  <c r="Q4499" i="1"/>
  <c r="R4499" i="1"/>
  <c r="W4499" i="1"/>
  <c r="AA4499" i="1"/>
  <c r="AB4499" i="1"/>
  <c r="AE4499" i="1"/>
  <c r="AF4499" i="1"/>
  <c r="AM4499" i="1"/>
  <c r="AN4499" i="1"/>
  <c r="AO4499" i="1"/>
  <c r="AQ4499" i="1"/>
  <c r="AX4499" i="1"/>
  <c r="BD4499" i="1"/>
  <c r="B4500" i="1"/>
  <c r="E4500" i="1"/>
  <c r="F4500" i="1"/>
  <c r="G4500" i="1"/>
  <c r="H4500" i="1"/>
  <c r="I4500" i="1"/>
  <c r="J4500" i="1"/>
  <c r="K4500" i="1"/>
  <c r="M4500" i="1"/>
  <c r="O4500" i="1"/>
  <c r="Q4500" i="1"/>
  <c r="R4500" i="1"/>
  <c r="W4500" i="1"/>
  <c r="AA4500" i="1"/>
  <c r="AB4500" i="1"/>
  <c r="AE4500" i="1"/>
  <c r="AF4500" i="1"/>
  <c r="AM4500" i="1"/>
  <c r="AN4500" i="1"/>
  <c r="AO4500" i="1"/>
  <c r="AQ4500" i="1"/>
  <c r="AX4500" i="1"/>
  <c r="BD4500" i="1"/>
  <c r="B4501" i="1"/>
  <c r="E4501" i="1"/>
  <c r="F4501" i="1"/>
  <c r="G4501" i="1"/>
  <c r="H4501" i="1"/>
  <c r="I4501" i="1"/>
  <c r="J4501" i="1"/>
  <c r="K4501" i="1"/>
  <c r="M4501" i="1"/>
  <c r="O4501" i="1"/>
  <c r="Q4501" i="1"/>
  <c r="R4501" i="1"/>
  <c r="W4501" i="1"/>
  <c r="AA4501" i="1"/>
  <c r="AB4501" i="1"/>
  <c r="AE4501" i="1"/>
  <c r="AF4501" i="1"/>
  <c r="AM4501" i="1"/>
  <c r="AN4501" i="1"/>
  <c r="AO4501" i="1"/>
  <c r="AQ4501" i="1"/>
  <c r="AX4501" i="1"/>
  <c r="BD4501" i="1"/>
  <c r="B4502" i="1"/>
  <c r="C4502" i="1"/>
  <c r="D4502" i="1"/>
  <c r="E4502" i="1"/>
  <c r="F4502" i="1"/>
  <c r="G4502" i="1"/>
  <c r="H4502" i="1"/>
  <c r="I4502" i="1"/>
  <c r="J4502" i="1"/>
  <c r="K4502" i="1"/>
  <c r="M4502" i="1"/>
  <c r="O4502" i="1"/>
  <c r="Q4502" i="1"/>
  <c r="R4502" i="1"/>
  <c r="W4502" i="1"/>
  <c r="AA4502" i="1"/>
  <c r="AB4502" i="1"/>
  <c r="AE4502" i="1"/>
  <c r="AF4502" i="1"/>
  <c r="AM4502" i="1"/>
  <c r="AN4502" i="1"/>
  <c r="AO4502" i="1"/>
  <c r="AQ4502" i="1"/>
  <c r="AX4502" i="1"/>
  <c r="BD4502" i="1"/>
  <c r="B4503" i="1"/>
  <c r="E4503" i="1"/>
  <c r="F4503" i="1"/>
  <c r="G4503" i="1"/>
  <c r="H4503" i="1"/>
  <c r="I4503" i="1"/>
  <c r="J4503" i="1"/>
  <c r="K4503" i="1"/>
  <c r="M4503" i="1"/>
  <c r="O4503" i="1"/>
  <c r="Q4503" i="1"/>
  <c r="R4503" i="1"/>
  <c r="W4503" i="1"/>
  <c r="AA4503" i="1"/>
  <c r="AB4503" i="1"/>
  <c r="AE4503" i="1"/>
  <c r="AF4503" i="1"/>
  <c r="AM4503" i="1"/>
  <c r="AN4503" i="1"/>
  <c r="AO4503" i="1"/>
  <c r="AQ4503" i="1"/>
  <c r="AX4503" i="1"/>
  <c r="BD4503" i="1"/>
  <c r="B4504" i="1"/>
  <c r="E4504" i="1"/>
  <c r="F4504" i="1"/>
  <c r="G4504" i="1"/>
  <c r="H4504" i="1"/>
  <c r="I4504" i="1"/>
  <c r="J4504" i="1"/>
  <c r="K4504" i="1"/>
  <c r="M4504" i="1"/>
  <c r="O4504" i="1"/>
  <c r="Q4504" i="1"/>
  <c r="R4504" i="1"/>
  <c r="W4504" i="1"/>
  <c r="AA4504" i="1"/>
  <c r="AB4504" i="1"/>
  <c r="AE4504" i="1"/>
  <c r="AF4504" i="1"/>
  <c r="AM4504" i="1"/>
  <c r="AN4504" i="1"/>
  <c r="AO4504" i="1"/>
  <c r="AQ4504" i="1"/>
  <c r="AX4504" i="1"/>
  <c r="BD4504" i="1"/>
  <c r="B4505" i="1"/>
  <c r="E4505" i="1"/>
  <c r="F4505" i="1"/>
  <c r="G4505" i="1"/>
  <c r="H4505" i="1"/>
  <c r="I4505" i="1"/>
  <c r="J4505" i="1"/>
  <c r="K4505" i="1"/>
  <c r="M4505" i="1"/>
  <c r="O4505" i="1"/>
  <c r="Q4505" i="1"/>
  <c r="R4505" i="1"/>
  <c r="W4505" i="1"/>
  <c r="AA4505" i="1"/>
  <c r="AM4505" i="1"/>
  <c r="AN4505" i="1"/>
  <c r="AO4505" i="1"/>
  <c r="AQ4505" i="1"/>
  <c r="BB4505" i="1"/>
  <c r="BD4505" i="1"/>
  <c r="B4506" i="1"/>
  <c r="E4506" i="1"/>
  <c r="F4506" i="1"/>
  <c r="G4506" i="1"/>
  <c r="H4506" i="1"/>
  <c r="I4506" i="1"/>
  <c r="J4506" i="1"/>
  <c r="K4506" i="1"/>
  <c r="M4506" i="1"/>
  <c r="O4506" i="1"/>
  <c r="Q4506" i="1"/>
  <c r="R4506" i="1"/>
  <c r="W4506" i="1"/>
  <c r="AA4506" i="1"/>
  <c r="AM4506" i="1"/>
  <c r="AN4506" i="1"/>
  <c r="AO4506" i="1"/>
  <c r="AQ4506" i="1"/>
  <c r="BB4506" i="1"/>
  <c r="BD4506" i="1"/>
  <c r="B4507" i="1"/>
  <c r="E4507" i="1"/>
  <c r="F4507" i="1"/>
  <c r="G4507" i="1"/>
  <c r="H4507" i="1"/>
  <c r="I4507" i="1"/>
  <c r="J4507" i="1"/>
  <c r="K4507" i="1"/>
  <c r="M4507" i="1"/>
  <c r="O4507" i="1"/>
  <c r="Q4507" i="1"/>
  <c r="R4507" i="1"/>
  <c r="W4507" i="1"/>
  <c r="AA4507" i="1"/>
  <c r="AM4507" i="1"/>
  <c r="AN4507" i="1"/>
  <c r="AO4507" i="1"/>
  <c r="AQ4507" i="1"/>
  <c r="BB4507" i="1"/>
  <c r="BD4507" i="1"/>
  <c r="B4508" i="1"/>
  <c r="E4508" i="1"/>
  <c r="F4508" i="1"/>
  <c r="G4508" i="1"/>
  <c r="H4508" i="1"/>
  <c r="I4508" i="1"/>
  <c r="J4508" i="1"/>
  <c r="K4508" i="1"/>
  <c r="M4508" i="1"/>
  <c r="O4508" i="1"/>
  <c r="Q4508" i="1"/>
  <c r="R4508" i="1"/>
  <c r="W4508" i="1"/>
  <c r="AA4508" i="1"/>
  <c r="AM4508" i="1"/>
  <c r="AN4508" i="1"/>
  <c r="AO4508" i="1"/>
  <c r="AQ4508" i="1"/>
  <c r="BB4508" i="1"/>
  <c r="BD4508" i="1"/>
  <c r="B4509" i="1"/>
  <c r="C4509" i="1"/>
  <c r="E4509" i="1"/>
  <c r="F4509" i="1"/>
  <c r="G4509" i="1"/>
  <c r="H4509" i="1"/>
  <c r="I4509" i="1"/>
  <c r="J4509" i="1"/>
  <c r="K4509" i="1"/>
  <c r="M4509" i="1"/>
  <c r="O4509" i="1"/>
  <c r="Q4509" i="1"/>
  <c r="R4509" i="1"/>
  <c r="W4509" i="1"/>
  <c r="AA4509" i="1"/>
  <c r="AB4509" i="1"/>
  <c r="AE4509" i="1"/>
  <c r="AF4509" i="1"/>
  <c r="AM4509" i="1"/>
  <c r="AN4509" i="1"/>
  <c r="AO4509" i="1"/>
  <c r="AQ4509" i="1"/>
  <c r="AX4509" i="1"/>
  <c r="BD4509" i="1"/>
  <c r="B4510" i="1"/>
  <c r="C4510" i="1"/>
  <c r="D4510" i="1"/>
  <c r="E4510" i="1"/>
  <c r="F4510" i="1"/>
  <c r="G4510" i="1"/>
  <c r="H4510" i="1"/>
  <c r="I4510" i="1"/>
  <c r="J4510" i="1"/>
  <c r="K4510" i="1"/>
  <c r="M4510" i="1"/>
  <c r="O4510" i="1"/>
  <c r="Q4510" i="1"/>
  <c r="R4510" i="1"/>
  <c r="W4510" i="1"/>
  <c r="AA4510" i="1"/>
  <c r="AB4510" i="1"/>
  <c r="AE4510" i="1"/>
  <c r="AF4510" i="1"/>
  <c r="AM4510" i="1"/>
  <c r="AN4510" i="1"/>
  <c r="AO4510" i="1"/>
  <c r="AQ4510" i="1"/>
  <c r="AX4510" i="1"/>
  <c r="BD4510" i="1"/>
  <c r="B4511" i="1"/>
  <c r="C4511" i="1"/>
  <c r="E4511" i="1"/>
  <c r="F4511" i="1"/>
  <c r="G4511" i="1"/>
  <c r="H4511" i="1"/>
  <c r="I4511" i="1"/>
  <c r="J4511" i="1"/>
  <c r="K4511" i="1"/>
  <c r="M4511" i="1"/>
  <c r="O4511" i="1"/>
  <c r="Q4511" i="1"/>
  <c r="R4511" i="1"/>
  <c r="W4511" i="1"/>
  <c r="AA4511" i="1"/>
  <c r="AB4511" i="1"/>
  <c r="AE4511" i="1"/>
  <c r="AF4511" i="1"/>
  <c r="AM4511" i="1"/>
  <c r="AN4511" i="1"/>
  <c r="AO4511" i="1"/>
  <c r="AQ4511" i="1"/>
  <c r="AX4511" i="1"/>
  <c r="BD4511" i="1"/>
  <c r="B4512" i="1"/>
  <c r="C4512" i="1"/>
  <c r="E4512" i="1"/>
  <c r="F4512" i="1"/>
  <c r="G4512" i="1"/>
  <c r="H4512" i="1"/>
  <c r="I4512" i="1"/>
  <c r="J4512" i="1"/>
  <c r="K4512" i="1"/>
  <c r="M4512" i="1"/>
  <c r="O4512" i="1"/>
  <c r="Q4512" i="1"/>
  <c r="R4512" i="1"/>
  <c r="W4512" i="1"/>
  <c r="AA4512" i="1"/>
  <c r="AB4512" i="1"/>
  <c r="AE4512" i="1"/>
  <c r="AF4512" i="1"/>
  <c r="AM4512" i="1"/>
  <c r="AN4512" i="1"/>
  <c r="AO4512" i="1"/>
  <c r="AQ4512" i="1"/>
  <c r="AX4512" i="1"/>
  <c r="BD4512" i="1"/>
  <c r="B4513" i="1"/>
  <c r="C4513" i="1"/>
  <c r="E4513" i="1"/>
  <c r="F4513" i="1"/>
  <c r="G4513" i="1"/>
  <c r="H4513" i="1"/>
  <c r="I4513" i="1"/>
  <c r="J4513" i="1"/>
  <c r="K4513" i="1"/>
  <c r="M4513" i="1"/>
  <c r="O4513" i="1"/>
  <c r="Q4513" i="1"/>
  <c r="R4513" i="1"/>
  <c r="W4513" i="1"/>
  <c r="AA4513" i="1"/>
  <c r="AB4513" i="1"/>
  <c r="AE4513" i="1"/>
  <c r="AF4513" i="1"/>
  <c r="AM4513" i="1"/>
  <c r="AN4513" i="1"/>
  <c r="AO4513" i="1"/>
  <c r="AQ4513" i="1"/>
  <c r="AX4513" i="1"/>
  <c r="BD4513" i="1"/>
  <c r="B4514" i="1"/>
  <c r="C4514" i="1"/>
  <c r="D4514" i="1"/>
  <c r="E4514" i="1"/>
  <c r="F4514" i="1"/>
  <c r="G4514" i="1"/>
  <c r="H4514" i="1"/>
  <c r="I4514" i="1"/>
  <c r="J4514" i="1"/>
  <c r="K4514" i="1"/>
  <c r="M4514" i="1"/>
  <c r="O4514" i="1"/>
  <c r="Q4514" i="1"/>
  <c r="R4514" i="1"/>
  <c r="W4514" i="1"/>
  <c r="AA4514" i="1"/>
  <c r="AB4514" i="1"/>
  <c r="AE4514" i="1"/>
  <c r="AF4514" i="1"/>
  <c r="AM4514" i="1"/>
  <c r="AN4514" i="1"/>
  <c r="AO4514" i="1"/>
  <c r="AQ4514" i="1"/>
  <c r="AX4514" i="1"/>
  <c r="BD4514" i="1"/>
  <c r="B4515" i="1"/>
  <c r="C4515" i="1"/>
  <c r="D4515" i="1"/>
  <c r="E4515" i="1"/>
  <c r="F4515" i="1"/>
  <c r="G4515" i="1"/>
  <c r="H4515" i="1"/>
  <c r="I4515" i="1"/>
  <c r="J4515" i="1"/>
  <c r="K4515" i="1"/>
  <c r="M4515" i="1"/>
  <c r="O4515" i="1"/>
  <c r="Q4515" i="1"/>
  <c r="R4515" i="1"/>
  <c r="W4515" i="1"/>
  <c r="AA4515" i="1"/>
  <c r="AB4515" i="1"/>
  <c r="AM4515" i="1"/>
  <c r="AN4515" i="1"/>
  <c r="AO4515" i="1"/>
  <c r="AQ4515" i="1"/>
  <c r="AX4515" i="1"/>
  <c r="BD4515" i="1"/>
  <c r="B4516" i="1"/>
  <c r="C4516" i="1"/>
  <c r="D4516" i="1"/>
  <c r="E4516" i="1"/>
  <c r="F4516" i="1"/>
  <c r="G4516" i="1"/>
  <c r="H4516" i="1"/>
  <c r="I4516" i="1"/>
  <c r="J4516" i="1"/>
  <c r="K4516" i="1"/>
  <c r="M4516" i="1"/>
  <c r="O4516" i="1"/>
  <c r="Q4516" i="1"/>
  <c r="R4516" i="1"/>
  <c r="W4516" i="1"/>
  <c r="AA4516" i="1"/>
  <c r="AB4516" i="1"/>
  <c r="AM4516" i="1"/>
  <c r="AN4516" i="1"/>
  <c r="AO4516" i="1"/>
  <c r="AQ4516" i="1"/>
  <c r="AX4516" i="1"/>
  <c r="BD4516" i="1"/>
  <c r="B4517" i="1"/>
  <c r="C4517" i="1"/>
  <c r="D4517" i="1"/>
  <c r="E4517" i="1"/>
  <c r="F4517" i="1"/>
  <c r="G4517" i="1"/>
  <c r="H4517" i="1"/>
  <c r="I4517" i="1"/>
  <c r="J4517" i="1"/>
  <c r="K4517" i="1"/>
  <c r="M4517" i="1"/>
  <c r="O4517" i="1"/>
  <c r="Q4517" i="1"/>
  <c r="R4517" i="1"/>
  <c r="W4517" i="1"/>
  <c r="AA4517" i="1"/>
  <c r="AB4517" i="1"/>
  <c r="AM4517" i="1"/>
  <c r="AN4517" i="1"/>
  <c r="AO4517" i="1"/>
  <c r="AQ4517" i="1"/>
  <c r="AX4517" i="1"/>
  <c r="BD4517" i="1"/>
  <c r="B4518" i="1"/>
  <c r="C4518" i="1"/>
  <c r="D4518" i="1"/>
  <c r="E4518" i="1"/>
  <c r="F4518" i="1"/>
  <c r="G4518" i="1"/>
  <c r="H4518" i="1"/>
  <c r="I4518" i="1"/>
  <c r="J4518" i="1"/>
  <c r="K4518" i="1"/>
  <c r="M4518" i="1"/>
  <c r="O4518" i="1"/>
  <c r="Q4518" i="1"/>
  <c r="R4518" i="1"/>
  <c r="W4518" i="1"/>
  <c r="AA4518" i="1"/>
  <c r="AB4518" i="1"/>
  <c r="AM4518" i="1"/>
  <c r="AN4518" i="1"/>
  <c r="AO4518" i="1"/>
  <c r="AQ4518" i="1"/>
  <c r="AX4518" i="1"/>
  <c r="BD4518" i="1"/>
  <c r="B4519" i="1"/>
  <c r="C4519" i="1"/>
  <c r="D4519" i="1"/>
  <c r="E4519" i="1"/>
  <c r="F4519" i="1"/>
  <c r="G4519" i="1"/>
  <c r="H4519" i="1"/>
  <c r="I4519" i="1"/>
  <c r="J4519" i="1"/>
  <c r="K4519" i="1"/>
  <c r="M4519" i="1"/>
  <c r="O4519" i="1"/>
  <c r="Q4519" i="1"/>
  <c r="R4519" i="1"/>
  <c r="W4519" i="1"/>
  <c r="AA4519" i="1"/>
  <c r="AB4519" i="1"/>
  <c r="AM4519" i="1"/>
  <c r="AN4519" i="1"/>
  <c r="AO4519" i="1"/>
  <c r="AQ4519" i="1"/>
  <c r="AX4519" i="1"/>
  <c r="BD4519" i="1"/>
  <c r="B4520" i="1"/>
  <c r="C4520" i="1"/>
  <c r="D4520" i="1"/>
  <c r="E4520" i="1"/>
  <c r="F4520" i="1"/>
  <c r="G4520" i="1"/>
  <c r="H4520" i="1"/>
  <c r="I4520" i="1"/>
  <c r="J4520" i="1"/>
  <c r="K4520" i="1"/>
  <c r="M4520" i="1"/>
  <c r="O4520" i="1"/>
  <c r="Q4520" i="1"/>
  <c r="R4520" i="1"/>
  <c r="W4520" i="1"/>
  <c r="AA4520" i="1"/>
  <c r="AB4520" i="1"/>
  <c r="AM4520" i="1"/>
  <c r="AN4520" i="1"/>
  <c r="AO4520" i="1"/>
  <c r="AQ4520" i="1"/>
  <c r="AX4520" i="1"/>
  <c r="BD4520" i="1"/>
  <c r="B4521" i="1"/>
  <c r="C4521" i="1"/>
  <c r="D4521" i="1"/>
  <c r="E4521" i="1"/>
  <c r="F4521" i="1"/>
  <c r="G4521" i="1"/>
  <c r="H4521" i="1"/>
  <c r="I4521" i="1"/>
  <c r="J4521" i="1"/>
  <c r="K4521" i="1"/>
  <c r="M4521" i="1"/>
  <c r="O4521" i="1"/>
  <c r="Q4521" i="1"/>
  <c r="R4521" i="1"/>
  <c r="W4521" i="1"/>
  <c r="AA4521" i="1"/>
  <c r="AB4521" i="1"/>
  <c r="AE4521" i="1"/>
  <c r="AF4521" i="1"/>
  <c r="AM4521" i="1"/>
  <c r="AN4521" i="1"/>
  <c r="AO4521" i="1"/>
  <c r="AQ4521" i="1"/>
  <c r="AX4521" i="1"/>
  <c r="BD4521" i="1"/>
  <c r="B4522" i="1"/>
  <c r="C4522" i="1"/>
  <c r="D4522" i="1"/>
  <c r="E4522" i="1"/>
  <c r="F4522" i="1"/>
  <c r="G4522" i="1"/>
  <c r="H4522" i="1"/>
  <c r="I4522" i="1"/>
  <c r="J4522" i="1"/>
  <c r="K4522" i="1"/>
  <c r="M4522" i="1"/>
  <c r="O4522" i="1"/>
  <c r="Q4522" i="1"/>
  <c r="R4522" i="1"/>
  <c r="W4522" i="1"/>
  <c r="AA4522" i="1"/>
  <c r="AB4522" i="1"/>
  <c r="AE4522" i="1"/>
  <c r="AF4522" i="1"/>
  <c r="AM4522" i="1"/>
  <c r="AN4522" i="1"/>
  <c r="AO4522" i="1"/>
  <c r="AQ4522" i="1"/>
  <c r="AX4522" i="1"/>
  <c r="BD4522" i="1"/>
  <c r="B4523" i="1"/>
  <c r="C4523" i="1"/>
  <c r="D4523" i="1"/>
  <c r="E4523" i="1"/>
  <c r="F4523" i="1"/>
  <c r="G4523" i="1"/>
  <c r="H4523" i="1"/>
  <c r="I4523" i="1"/>
  <c r="J4523" i="1"/>
  <c r="K4523" i="1"/>
  <c r="M4523" i="1"/>
  <c r="O4523" i="1"/>
  <c r="Q4523" i="1"/>
  <c r="R4523" i="1"/>
  <c r="W4523" i="1"/>
  <c r="AA4523" i="1"/>
  <c r="AB4523" i="1"/>
  <c r="AE4523" i="1"/>
  <c r="AF4523" i="1"/>
  <c r="AM4523" i="1"/>
  <c r="AN4523" i="1"/>
  <c r="AO4523" i="1"/>
  <c r="AQ4523" i="1"/>
  <c r="AX4523" i="1"/>
  <c r="BD4523" i="1"/>
  <c r="B4524" i="1"/>
  <c r="C4524" i="1"/>
  <c r="D4524" i="1"/>
  <c r="E4524" i="1"/>
  <c r="F4524" i="1"/>
  <c r="G4524" i="1"/>
  <c r="H4524" i="1"/>
  <c r="I4524" i="1"/>
  <c r="J4524" i="1"/>
  <c r="K4524" i="1"/>
  <c r="M4524" i="1"/>
  <c r="O4524" i="1"/>
  <c r="Q4524" i="1"/>
  <c r="R4524" i="1"/>
  <c r="W4524" i="1"/>
  <c r="AA4524" i="1"/>
  <c r="AB4524" i="1"/>
  <c r="AE4524" i="1"/>
  <c r="AF4524" i="1"/>
  <c r="AM4524" i="1"/>
  <c r="AN4524" i="1"/>
  <c r="AO4524" i="1"/>
  <c r="AQ4524" i="1"/>
  <c r="AX4524" i="1"/>
  <c r="BD4524" i="1"/>
  <c r="B4525" i="1"/>
  <c r="C4525" i="1"/>
  <c r="D4525" i="1"/>
  <c r="E4525" i="1"/>
  <c r="F4525" i="1"/>
  <c r="G4525" i="1"/>
  <c r="H4525" i="1"/>
  <c r="I4525" i="1"/>
  <c r="J4525" i="1"/>
  <c r="K4525" i="1"/>
  <c r="M4525" i="1"/>
  <c r="O4525" i="1"/>
  <c r="Q4525" i="1"/>
  <c r="R4525" i="1"/>
  <c r="W4525" i="1"/>
  <c r="AA4525" i="1"/>
  <c r="AB4525" i="1"/>
  <c r="AE4525" i="1"/>
  <c r="AF4525" i="1"/>
  <c r="AM4525" i="1"/>
  <c r="AN4525" i="1"/>
  <c r="AO4525" i="1"/>
  <c r="AQ4525" i="1"/>
  <c r="AX4525" i="1"/>
  <c r="BD4525" i="1"/>
  <c r="B4526" i="1"/>
  <c r="C4526" i="1"/>
  <c r="E4526" i="1"/>
  <c r="F4526" i="1"/>
  <c r="G4526" i="1"/>
  <c r="H4526" i="1"/>
  <c r="I4526" i="1"/>
  <c r="J4526" i="1"/>
  <c r="K4526" i="1"/>
  <c r="M4526" i="1"/>
  <c r="O4526" i="1"/>
  <c r="Q4526" i="1"/>
  <c r="R4526" i="1"/>
  <c r="W4526" i="1"/>
  <c r="AA4526" i="1"/>
  <c r="AM4526" i="1"/>
  <c r="AN4526" i="1"/>
  <c r="AO4526" i="1"/>
  <c r="AQ4526" i="1"/>
  <c r="BB4526" i="1"/>
  <c r="BD4526" i="1"/>
  <c r="B4527" i="1"/>
  <c r="C4527" i="1"/>
  <c r="E4527" i="1"/>
  <c r="F4527" i="1"/>
  <c r="G4527" i="1"/>
  <c r="H4527" i="1"/>
  <c r="I4527" i="1"/>
  <c r="J4527" i="1"/>
  <c r="K4527" i="1"/>
  <c r="M4527" i="1"/>
  <c r="O4527" i="1"/>
  <c r="Q4527" i="1"/>
  <c r="R4527" i="1"/>
  <c r="W4527" i="1"/>
  <c r="AA4527" i="1"/>
  <c r="AB4527" i="1"/>
  <c r="AE4527" i="1"/>
  <c r="AF4527" i="1"/>
  <c r="AM4527" i="1"/>
  <c r="AN4527" i="1"/>
  <c r="AO4527" i="1"/>
  <c r="AQ4527" i="1"/>
  <c r="AX4527" i="1"/>
  <c r="BD4527" i="1"/>
  <c r="B4528" i="1"/>
  <c r="C4528" i="1"/>
  <c r="E4528" i="1"/>
  <c r="F4528" i="1"/>
  <c r="G4528" i="1"/>
  <c r="H4528" i="1"/>
  <c r="I4528" i="1"/>
  <c r="J4528" i="1"/>
  <c r="K4528" i="1"/>
  <c r="M4528" i="1"/>
  <c r="O4528" i="1"/>
  <c r="Q4528" i="1"/>
  <c r="R4528" i="1"/>
  <c r="W4528" i="1"/>
  <c r="AA4528" i="1"/>
  <c r="AB4528" i="1"/>
  <c r="AE4528" i="1"/>
  <c r="AF4528" i="1"/>
  <c r="AM4528" i="1"/>
  <c r="AN4528" i="1"/>
  <c r="AO4528" i="1"/>
  <c r="AQ4528" i="1"/>
  <c r="AX4528" i="1"/>
  <c r="BD4528" i="1"/>
  <c r="B4529" i="1"/>
  <c r="C4529" i="1"/>
  <c r="E4529" i="1"/>
  <c r="F4529" i="1"/>
  <c r="G4529" i="1"/>
  <c r="H4529" i="1"/>
  <c r="I4529" i="1"/>
  <c r="J4529" i="1"/>
  <c r="K4529" i="1"/>
  <c r="M4529" i="1"/>
  <c r="O4529" i="1"/>
  <c r="Q4529" i="1"/>
  <c r="R4529" i="1"/>
  <c r="W4529" i="1"/>
  <c r="AA4529" i="1"/>
  <c r="AB4529" i="1"/>
  <c r="AE4529" i="1"/>
  <c r="AF4529" i="1"/>
  <c r="AM4529" i="1"/>
  <c r="AN4529" i="1"/>
  <c r="AO4529" i="1"/>
  <c r="AQ4529" i="1"/>
  <c r="AX4529" i="1"/>
  <c r="BD4529" i="1"/>
  <c r="B4530" i="1"/>
  <c r="C4530" i="1"/>
  <c r="E4530" i="1"/>
  <c r="F4530" i="1"/>
  <c r="G4530" i="1"/>
  <c r="H4530" i="1"/>
  <c r="I4530" i="1"/>
  <c r="J4530" i="1"/>
  <c r="K4530" i="1"/>
  <c r="M4530" i="1"/>
  <c r="O4530" i="1"/>
  <c r="Q4530" i="1"/>
  <c r="R4530" i="1"/>
  <c r="W4530" i="1"/>
  <c r="AA4530" i="1"/>
  <c r="AB4530" i="1"/>
  <c r="AE4530" i="1"/>
  <c r="AF4530" i="1"/>
  <c r="AM4530" i="1"/>
  <c r="AN4530" i="1"/>
  <c r="AO4530" i="1"/>
  <c r="AQ4530" i="1"/>
  <c r="AX4530" i="1"/>
  <c r="BD4530" i="1"/>
  <c r="B4531" i="1"/>
  <c r="C4531" i="1"/>
  <c r="E4531" i="1"/>
  <c r="F4531" i="1"/>
  <c r="G4531" i="1"/>
  <c r="H4531" i="1"/>
  <c r="I4531" i="1"/>
  <c r="J4531" i="1"/>
  <c r="K4531" i="1"/>
  <c r="M4531" i="1"/>
  <c r="O4531" i="1"/>
  <c r="Q4531" i="1"/>
  <c r="R4531" i="1"/>
  <c r="W4531" i="1"/>
  <c r="AA4531" i="1"/>
  <c r="AB4531" i="1"/>
  <c r="AE4531" i="1"/>
  <c r="AF4531" i="1"/>
  <c r="AM4531" i="1"/>
  <c r="AN4531" i="1"/>
  <c r="AO4531" i="1"/>
  <c r="AQ4531" i="1"/>
  <c r="AX4531" i="1"/>
  <c r="BD4531" i="1"/>
  <c r="B4532" i="1"/>
  <c r="C4532" i="1"/>
  <c r="E4532" i="1"/>
  <c r="F4532" i="1"/>
  <c r="G4532" i="1"/>
  <c r="H4532" i="1"/>
  <c r="I4532" i="1"/>
  <c r="J4532" i="1"/>
  <c r="K4532" i="1"/>
  <c r="M4532" i="1"/>
  <c r="O4532" i="1"/>
  <c r="Q4532" i="1"/>
  <c r="R4532" i="1"/>
  <c r="W4532" i="1"/>
  <c r="AA4532" i="1"/>
  <c r="AB4532" i="1"/>
  <c r="AE4532" i="1"/>
  <c r="AF4532" i="1"/>
  <c r="AM4532" i="1"/>
  <c r="AN4532" i="1"/>
  <c r="AO4532" i="1"/>
  <c r="AQ4532" i="1"/>
  <c r="AX4532" i="1"/>
  <c r="BD4532" i="1"/>
  <c r="B4533" i="1"/>
  <c r="C4533" i="1"/>
  <c r="E4533" i="1"/>
  <c r="F4533" i="1"/>
  <c r="G4533" i="1"/>
  <c r="H4533" i="1"/>
  <c r="I4533" i="1"/>
  <c r="J4533" i="1"/>
  <c r="K4533" i="1"/>
  <c r="M4533" i="1"/>
  <c r="O4533" i="1"/>
  <c r="Q4533" i="1"/>
  <c r="R4533" i="1"/>
  <c r="W4533" i="1"/>
  <c r="AA4533" i="1"/>
  <c r="AM4533" i="1"/>
  <c r="AN4533" i="1"/>
  <c r="AO4533" i="1"/>
  <c r="AQ4533" i="1"/>
  <c r="BB4533" i="1"/>
  <c r="BD4533" i="1"/>
  <c r="B4534" i="1"/>
  <c r="C4534" i="1"/>
  <c r="E4534" i="1"/>
  <c r="F4534" i="1"/>
  <c r="G4534" i="1"/>
  <c r="H4534" i="1"/>
  <c r="I4534" i="1"/>
  <c r="J4534" i="1"/>
  <c r="K4534" i="1"/>
  <c r="M4534" i="1"/>
  <c r="O4534" i="1"/>
  <c r="Q4534" i="1"/>
  <c r="R4534" i="1"/>
  <c r="W4534" i="1"/>
  <c r="AA4534" i="1"/>
  <c r="AM4534" i="1"/>
  <c r="AN4534" i="1"/>
  <c r="AO4534" i="1"/>
  <c r="AQ4534" i="1"/>
  <c r="BB4534" i="1"/>
  <c r="BD4534" i="1"/>
  <c r="B4535" i="1"/>
  <c r="C4535" i="1"/>
  <c r="E4535" i="1"/>
  <c r="F4535" i="1"/>
  <c r="G4535" i="1"/>
  <c r="H4535" i="1"/>
  <c r="I4535" i="1"/>
  <c r="J4535" i="1"/>
  <c r="K4535" i="1"/>
  <c r="M4535" i="1"/>
  <c r="O4535" i="1"/>
  <c r="Q4535" i="1"/>
  <c r="R4535" i="1"/>
  <c r="W4535" i="1"/>
  <c r="AA4535" i="1"/>
  <c r="AB4535" i="1"/>
  <c r="AE4535" i="1"/>
  <c r="AF4535" i="1"/>
  <c r="AM4535" i="1"/>
  <c r="AN4535" i="1"/>
  <c r="AO4535" i="1"/>
  <c r="AQ4535" i="1"/>
  <c r="AX4535" i="1"/>
  <c r="BD4535" i="1"/>
  <c r="B4536" i="1"/>
  <c r="C4536" i="1"/>
  <c r="E4536" i="1"/>
  <c r="F4536" i="1"/>
  <c r="G4536" i="1"/>
  <c r="H4536" i="1"/>
  <c r="I4536" i="1"/>
  <c r="J4536" i="1"/>
  <c r="K4536" i="1"/>
  <c r="M4536" i="1"/>
  <c r="O4536" i="1"/>
  <c r="Q4536" i="1"/>
  <c r="R4536" i="1"/>
  <c r="W4536" i="1"/>
  <c r="AA4536" i="1"/>
  <c r="AB4536" i="1"/>
  <c r="AE4536" i="1"/>
  <c r="AF4536" i="1"/>
  <c r="AM4536" i="1"/>
  <c r="AN4536" i="1"/>
  <c r="AO4536" i="1"/>
  <c r="AQ4536" i="1"/>
  <c r="AX4536" i="1"/>
  <c r="BD4536" i="1"/>
  <c r="B4537" i="1"/>
  <c r="C4537" i="1"/>
  <c r="E4537" i="1"/>
  <c r="F4537" i="1"/>
  <c r="G4537" i="1"/>
  <c r="H4537" i="1"/>
  <c r="I4537" i="1"/>
  <c r="J4537" i="1"/>
  <c r="K4537" i="1"/>
  <c r="M4537" i="1"/>
  <c r="O4537" i="1"/>
  <c r="Q4537" i="1"/>
  <c r="R4537" i="1"/>
  <c r="W4537" i="1"/>
  <c r="AA4537" i="1"/>
  <c r="AB4537" i="1"/>
  <c r="AE4537" i="1"/>
  <c r="AF4537" i="1"/>
  <c r="AM4537" i="1"/>
  <c r="AN4537" i="1"/>
  <c r="AO4537" i="1"/>
  <c r="AQ4537" i="1"/>
  <c r="AX4537" i="1"/>
  <c r="BD4537" i="1"/>
  <c r="B4538" i="1"/>
  <c r="C4538" i="1"/>
  <c r="E4538" i="1"/>
  <c r="F4538" i="1"/>
  <c r="G4538" i="1"/>
  <c r="H4538" i="1"/>
  <c r="I4538" i="1"/>
  <c r="J4538" i="1"/>
  <c r="K4538" i="1"/>
  <c r="M4538" i="1"/>
  <c r="O4538" i="1"/>
  <c r="Q4538" i="1"/>
  <c r="R4538" i="1"/>
  <c r="W4538" i="1"/>
  <c r="AA4538" i="1"/>
  <c r="AB4538" i="1"/>
  <c r="AE4538" i="1"/>
  <c r="AF4538" i="1"/>
  <c r="AM4538" i="1"/>
  <c r="AN4538" i="1"/>
  <c r="AO4538" i="1"/>
  <c r="AQ4538" i="1"/>
  <c r="AX4538" i="1"/>
  <c r="BD4538" i="1"/>
  <c r="B4539" i="1"/>
  <c r="C4539" i="1"/>
  <c r="E4539" i="1"/>
  <c r="F4539" i="1"/>
  <c r="G4539" i="1"/>
  <c r="H4539" i="1"/>
  <c r="I4539" i="1"/>
  <c r="J4539" i="1"/>
  <c r="K4539" i="1"/>
  <c r="M4539" i="1"/>
  <c r="O4539" i="1"/>
  <c r="Q4539" i="1"/>
  <c r="R4539" i="1"/>
  <c r="W4539" i="1"/>
  <c r="AA4539" i="1"/>
  <c r="AB4539" i="1"/>
  <c r="AE4539" i="1"/>
  <c r="AF4539" i="1"/>
  <c r="AM4539" i="1"/>
  <c r="AN4539" i="1"/>
  <c r="AO4539" i="1"/>
  <c r="AQ4539" i="1"/>
  <c r="AX4539" i="1"/>
  <c r="BD4539" i="1"/>
  <c r="B4540" i="1"/>
  <c r="C4540" i="1"/>
  <c r="E4540" i="1"/>
  <c r="F4540" i="1"/>
  <c r="G4540" i="1"/>
  <c r="H4540" i="1"/>
  <c r="I4540" i="1"/>
  <c r="J4540" i="1"/>
  <c r="K4540" i="1"/>
  <c r="M4540" i="1"/>
  <c r="O4540" i="1"/>
  <c r="Q4540" i="1"/>
  <c r="R4540" i="1"/>
  <c r="W4540" i="1"/>
  <c r="AA4540" i="1"/>
  <c r="AB4540" i="1"/>
  <c r="AE4540" i="1"/>
  <c r="AF4540" i="1"/>
  <c r="AM4540" i="1"/>
  <c r="AN4540" i="1"/>
  <c r="AO4540" i="1"/>
  <c r="AQ4540" i="1"/>
  <c r="AX4540" i="1"/>
  <c r="BD4540" i="1"/>
  <c r="B4541" i="1"/>
  <c r="C4541" i="1"/>
  <c r="E4541" i="1"/>
  <c r="F4541" i="1"/>
  <c r="G4541" i="1"/>
  <c r="H4541" i="1"/>
  <c r="I4541" i="1"/>
  <c r="J4541" i="1"/>
  <c r="K4541" i="1"/>
  <c r="M4541" i="1"/>
  <c r="O4541" i="1"/>
  <c r="Q4541" i="1"/>
  <c r="R4541" i="1"/>
  <c r="W4541" i="1"/>
  <c r="AA4541" i="1"/>
  <c r="AB4541" i="1"/>
  <c r="AE4541" i="1"/>
  <c r="AF4541" i="1"/>
  <c r="AM4541" i="1"/>
  <c r="AN4541" i="1"/>
  <c r="AO4541" i="1"/>
  <c r="AQ4541" i="1"/>
  <c r="AX4541" i="1"/>
  <c r="BD4541" i="1"/>
  <c r="B4542" i="1"/>
  <c r="C4542" i="1"/>
  <c r="E4542" i="1"/>
  <c r="F4542" i="1"/>
  <c r="G4542" i="1"/>
  <c r="H4542" i="1"/>
  <c r="I4542" i="1"/>
  <c r="J4542" i="1"/>
  <c r="K4542" i="1"/>
  <c r="M4542" i="1"/>
  <c r="O4542" i="1"/>
  <c r="Q4542" i="1"/>
  <c r="R4542" i="1"/>
  <c r="W4542" i="1"/>
  <c r="AA4542" i="1"/>
  <c r="AB4542" i="1"/>
  <c r="AE4542" i="1"/>
  <c r="AF4542" i="1"/>
  <c r="AM4542" i="1"/>
  <c r="AN4542" i="1"/>
  <c r="AO4542" i="1"/>
  <c r="AQ4542" i="1"/>
  <c r="AX4542" i="1"/>
  <c r="BD4542" i="1"/>
  <c r="B4543" i="1"/>
  <c r="C4543" i="1"/>
  <c r="E4543" i="1"/>
  <c r="F4543" i="1"/>
  <c r="G4543" i="1"/>
  <c r="H4543" i="1"/>
  <c r="I4543" i="1"/>
  <c r="J4543" i="1"/>
  <c r="K4543" i="1"/>
  <c r="M4543" i="1"/>
  <c r="O4543" i="1"/>
  <c r="Q4543" i="1"/>
  <c r="R4543" i="1"/>
  <c r="W4543" i="1"/>
  <c r="AA4543" i="1"/>
  <c r="AB4543" i="1"/>
  <c r="AE4543" i="1"/>
  <c r="AF4543" i="1"/>
  <c r="AM4543" i="1"/>
  <c r="AN4543" i="1"/>
  <c r="AO4543" i="1"/>
  <c r="AQ4543" i="1"/>
  <c r="AX4543" i="1"/>
  <c r="BD4543" i="1"/>
  <c r="B4544" i="1"/>
  <c r="C4544" i="1"/>
  <c r="E4544" i="1"/>
  <c r="F4544" i="1"/>
  <c r="G4544" i="1"/>
  <c r="H4544" i="1"/>
  <c r="I4544" i="1"/>
  <c r="J4544" i="1"/>
  <c r="K4544" i="1"/>
  <c r="M4544" i="1"/>
  <c r="O4544" i="1"/>
  <c r="Q4544" i="1"/>
  <c r="R4544" i="1"/>
  <c r="W4544" i="1"/>
  <c r="AA4544" i="1"/>
  <c r="AM4544" i="1"/>
  <c r="AN4544" i="1"/>
  <c r="AO4544" i="1"/>
  <c r="AQ4544" i="1"/>
  <c r="BB4544" i="1"/>
  <c r="BD4544" i="1"/>
  <c r="B4545" i="1"/>
  <c r="C4545" i="1"/>
  <c r="D4545" i="1"/>
  <c r="E4545" i="1"/>
  <c r="F4545" i="1"/>
  <c r="G4545" i="1"/>
  <c r="H4545" i="1"/>
  <c r="I4545" i="1"/>
  <c r="J4545" i="1"/>
  <c r="K4545" i="1"/>
  <c r="M4545" i="1"/>
  <c r="O4545" i="1"/>
  <c r="Q4545" i="1"/>
  <c r="R4545" i="1"/>
  <c r="W4545" i="1"/>
  <c r="AA4545" i="1"/>
  <c r="AB4545" i="1"/>
  <c r="AE4545" i="1"/>
  <c r="AF4545" i="1"/>
  <c r="AM4545" i="1"/>
  <c r="AN4545" i="1"/>
  <c r="AO4545" i="1"/>
  <c r="AQ4545" i="1"/>
  <c r="AX4545" i="1"/>
  <c r="BD4545" i="1"/>
  <c r="B4546" i="1"/>
  <c r="C4546" i="1"/>
  <c r="E4546" i="1"/>
  <c r="F4546" i="1"/>
  <c r="G4546" i="1"/>
  <c r="H4546" i="1"/>
  <c r="I4546" i="1"/>
  <c r="J4546" i="1"/>
  <c r="K4546" i="1"/>
  <c r="M4546" i="1"/>
  <c r="O4546" i="1"/>
  <c r="Q4546" i="1"/>
  <c r="R4546" i="1"/>
  <c r="W4546" i="1"/>
  <c r="AA4546" i="1"/>
  <c r="AB4546" i="1"/>
  <c r="AE4546" i="1"/>
  <c r="AF4546" i="1"/>
  <c r="AM4546" i="1"/>
  <c r="AN4546" i="1"/>
  <c r="AO4546" i="1"/>
  <c r="AQ4546" i="1"/>
  <c r="AX4546" i="1"/>
  <c r="BD4546" i="1"/>
  <c r="B4547" i="1"/>
  <c r="C4547" i="1"/>
  <c r="D4547" i="1"/>
  <c r="E4547" i="1"/>
  <c r="F4547" i="1"/>
  <c r="G4547" i="1"/>
  <c r="H4547" i="1"/>
  <c r="I4547" i="1"/>
  <c r="J4547" i="1"/>
  <c r="K4547" i="1"/>
  <c r="M4547" i="1"/>
  <c r="O4547" i="1"/>
  <c r="Q4547" i="1"/>
  <c r="R4547" i="1"/>
  <c r="W4547" i="1"/>
  <c r="AA4547" i="1"/>
  <c r="AB4547" i="1"/>
  <c r="AE4547" i="1"/>
  <c r="AF4547" i="1"/>
  <c r="AM4547" i="1"/>
  <c r="AN4547" i="1"/>
  <c r="AO4547" i="1"/>
  <c r="AQ4547" i="1"/>
  <c r="AX4547" i="1"/>
  <c r="BD4547" i="1"/>
  <c r="B4548" i="1"/>
  <c r="C4548" i="1"/>
  <c r="D4548" i="1"/>
  <c r="E4548" i="1"/>
  <c r="F4548" i="1"/>
  <c r="G4548" i="1"/>
  <c r="H4548" i="1"/>
  <c r="I4548" i="1"/>
  <c r="J4548" i="1"/>
  <c r="K4548" i="1"/>
  <c r="M4548" i="1"/>
  <c r="O4548" i="1"/>
  <c r="Q4548" i="1"/>
  <c r="R4548" i="1"/>
  <c r="W4548" i="1"/>
  <c r="AA4548" i="1"/>
  <c r="AB4548" i="1"/>
  <c r="AE4548" i="1"/>
  <c r="AF4548" i="1"/>
  <c r="AM4548" i="1"/>
  <c r="AN4548" i="1"/>
  <c r="AO4548" i="1"/>
  <c r="AQ4548" i="1"/>
  <c r="AX4548" i="1"/>
  <c r="BD4548" i="1"/>
  <c r="B4549" i="1"/>
  <c r="C4549" i="1"/>
  <c r="D4549" i="1"/>
  <c r="E4549" i="1"/>
  <c r="F4549" i="1"/>
  <c r="G4549" i="1"/>
  <c r="H4549" i="1"/>
  <c r="I4549" i="1"/>
  <c r="J4549" i="1"/>
  <c r="K4549" i="1"/>
  <c r="M4549" i="1"/>
  <c r="O4549" i="1"/>
  <c r="Q4549" i="1"/>
  <c r="R4549" i="1"/>
  <c r="W4549" i="1"/>
  <c r="AA4549" i="1"/>
  <c r="AB4549" i="1"/>
  <c r="AE4549" i="1"/>
  <c r="AF4549" i="1"/>
  <c r="AM4549" i="1"/>
  <c r="AN4549" i="1"/>
  <c r="AO4549" i="1"/>
  <c r="AQ4549" i="1"/>
  <c r="AX4549" i="1"/>
  <c r="BD4549" i="1"/>
  <c r="B4550" i="1"/>
  <c r="E4550" i="1"/>
  <c r="F4550" i="1"/>
  <c r="G4550" i="1"/>
  <c r="H4550" i="1"/>
  <c r="I4550" i="1"/>
  <c r="J4550" i="1"/>
  <c r="K4550" i="1"/>
  <c r="M4550" i="1"/>
  <c r="O4550" i="1"/>
  <c r="Q4550" i="1"/>
  <c r="R4550" i="1"/>
  <c r="W4550" i="1"/>
  <c r="AA4550" i="1"/>
  <c r="AM4550" i="1"/>
  <c r="AN4550" i="1"/>
  <c r="AO4550" i="1"/>
  <c r="AQ4550" i="1"/>
  <c r="BB4550" i="1"/>
  <c r="BD4550" i="1"/>
  <c r="B4551" i="1"/>
  <c r="E4551" i="1"/>
  <c r="F4551" i="1"/>
  <c r="G4551" i="1"/>
  <c r="H4551" i="1"/>
  <c r="I4551" i="1"/>
  <c r="J4551" i="1"/>
  <c r="K4551" i="1"/>
  <c r="M4551" i="1"/>
  <c r="O4551" i="1"/>
  <c r="Q4551" i="1"/>
  <c r="R4551" i="1"/>
  <c r="W4551" i="1"/>
  <c r="AA4551" i="1"/>
  <c r="AM4551" i="1"/>
  <c r="AN4551" i="1"/>
  <c r="AO4551" i="1"/>
  <c r="AQ4551" i="1"/>
  <c r="BB4551" i="1"/>
  <c r="BD4551" i="1"/>
  <c r="B4552" i="1"/>
  <c r="E4552" i="1"/>
  <c r="F4552" i="1"/>
  <c r="G4552" i="1"/>
  <c r="H4552" i="1"/>
  <c r="I4552" i="1"/>
  <c r="J4552" i="1"/>
  <c r="K4552" i="1"/>
  <c r="M4552" i="1"/>
  <c r="O4552" i="1"/>
  <c r="Q4552" i="1"/>
  <c r="R4552" i="1"/>
  <c r="W4552" i="1"/>
  <c r="AA4552" i="1"/>
  <c r="AM4552" i="1"/>
  <c r="AN4552" i="1"/>
  <c r="AO4552" i="1"/>
  <c r="AQ4552" i="1"/>
  <c r="BB4552" i="1"/>
  <c r="BD4552" i="1"/>
  <c r="B4553" i="1"/>
  <c r="E4553" i="1"/>
  <c r="F4553" i="1"/>
  <c r="G4553" i="1"/>
  <c r="H4553" i="1"/>
  <c r="I4553" i="1"/>
  <c r="J4553" i="1"/>
  <c r="K4553" i="1"/>
  <c r="M4553" i="1"/>
  <c r="O4553" i="1"/>
  <c r="Q4553" i="1"/>
  <c r="R4553" i="1"/>
  <c r="W4553" i="1"/>
  <c r="AA4553" i="1"/>
  <c r="AM4553" i="1"/>
  <c r="AN4553" i="1"/>
  <c r="AO4553" i="1"/>
  <c r="AQ4553" i="1"/>
  <c r="BB4553" i="1"/>
  <c r="BD4553" i="1"/>
  <c r="B4554" i="1"/>
  <c r="E4554" i="1"/>
  <c r="F4554" i="1"/>
  <c r="G4554" i="1"/>
  <c r="H4554" i="1"/>
  <c r="I4554" i="1"/>
  <c r="J4554" i="1"/>
  <c r="K4554" i="1"/>
  <c r="M4554" i="1"/>
  <c r="O4554" i="1"/>
  <c r="Q4554" i="1"/>
  <c r="R4554" i="1"/>
  <c r="W4554" i="1"/>
  <c r="AA4554" i="1"/>
  <c r="AB4554" i="1"/>
  <c r="AE4554" i="1"/>
  <c r="AF4554" i="1"/>
  <c r="AM4554" i="1"/>
  <c r="AN4554" i="1"/>
  <c r="AO4554" i="1"/>
  <c r="AQ4554" i="1"/>
  <c r="AX4554" i="1"/>
  <c r="BD4554" i="1"/>
  <c r="B4555" i="1"/>
  <c r="E4555" i="1"/>
  <c r="F4555" i="1"/>
  <c r="G4555" i="1"/>
  <c r="H4555" i="1"/>
  <c r="I4555" i="1"/>
  <c r="J4555" i="1"/>
  <c r="K4555" i="1"/>
  <c r="M4555" i="1"/>
  <c r="O4555" i="1"/>
  <c r="Q4555" i="1"/>
  <c r="R4555" i="1"/>
  <c r="W4555" i="1"/>
  <c r="AA4555" i="1"/>
  <c r="AB4555" i="1"/>
  <c r="AE4555" i="1"/>
  <c r="AF4555" i="1"/>
  <c r="AM4555" i="1"/>
  <c r="AN4555" i="1"/>
  <c r="AO4555" i="1"/>
  <c r="AQ4555" i="1"/>
  <c r="AX4555" i="1"/>
  <c r="BD4555" i="1"/>
  <c r="B4556" i="1"/>
  <c r="C4556" i="1"/>
  <c r="D4556" i="1"/>
  <c r="E4556" i="1"/>
  <c r="F4556" i="1"/>
  <c r="G4556" i="1"/>
  <c r="H4556" i="1"/>
  <c r="I4556" i="1"/>
  <c r="J4556" i="1"/>
  <c r="K4556" i="1"/>
  <c r="M4556" i="1"/>
  <c r="O4556" i="1"/>
  <c r="Q4556" i="1"/>
  <c r="R4556" i="1"/>
  <c r="W4556" i="1"/>
  <c r="AA4556" i="1"/>
  <c r="AB4556" i="1"/>
  <c r="AE4556" i="1"/>
  <c r="AF4556" i="1"/>
  <c r="AM4556" i="1"/>
  <c r="AN4556" i="1"/>
  <c r="AO4556" i="1"/>
  <c r="AQ4556" i="1"/>
  <c r="AX4556" i="1"/>
  <c r="BD4556" i="1"/>
  <c r="B4557" i="1"/>
  <c r="C4557" i="1"/>
  <c r="D4557" i="1"/>
  <c r="E4557" i="1"/>
  <c r="F4557" i="1"/>
  <c r="G4557" i="1"/>
  <c r="H4557" i="1"/>
  <c r="I4557" i="1"/>
  <c r="J4557" i="1"/>
  <c r="K4557" i="1"/>
  <c r="M4557" i="1"/>
  <c r="O4557" i="1"/>
  <c r="Q4557" i="1"/>
  <c r="R4557" i="1"/>
  <c r="W4557" i="1"/>
  <c r="AA4557" i="1"/>
  <c r="AB4557" i="1"/>
  <c r="AM4557" i="1"/>
  <c r="AN4557" i="1"/>
  <c r="AO4557" i="1"/>
  <c r="AQ4557" i="1"/>
  <c r="AX4557" i="1"/>
  <c r="BD4557" i="1"/>
  <c r="B4558" i="1"/>
  <c r="C4558" i="1"/>
  <c r="D4558" i="1"/>
  <c r="E4558" i="1"/>
  <c r="F4558" i="1"/>
  <c r="G4558" i="1"/>
  <c r="H4558" i="1"/>
  <c r="I4558" i="1"/>
  <c r="J4558" i="1"/>
  <c r="K4558" i="1"/>
  <c r="M4558" i="1"/>
  <c r="O4558" i="1"/>
  <c r="Q4558" i="1"/>
  <c r="R4558" i="1"/>
  <c r="W4558" i="1"/>
  <c r="AA4558" i="1"/>
  <c r="AB4558" i="1"/>
  <c r="AM4558" i="1"/>
  <c r="AN4558" i="1"/>
  <c r="AO4558" i="1"/>
  <c r="AQ4558" i="1"/>
  <c r="AX4558" i="1"/>
  <c r="BD4558" i="1"/>
  <c r="B4559" i="1"/>
  <c r="C4559" i="1"/>
  <c r="D4559" i="1"/>
  <c r="E4559" i="1"/>
  <c r="F4559" i="1"/>
  <c r="G4559" i="1"/>
  <c r="H4559" i="1"/>
  <c r="I4559" i="1"/>
  <c r="J4559" i="1"/>
  <c r="K4559" i="1"/>
  <c r="M4559" i="1"/>
  <c r="O4559" i="1"/>
  <c r="Q4559" i="1"/>
  <c r="R4559" i="1"/>
  <c r="W4559" i="1"/>
  <c r="AA4559" i="1"/>
  <c r="AB4559" i="1"/>
  <c r="AM4559" i="1"/>
  <c r="AN4559" i="1"/>
  <c r="AO4559" i="1"/>
  <c r="AQ4559" i="1"/>
  <c r="AX4559" i="1"/>
  <c r="BD4559" i="1"/>
  <c r="B4560" i="1"/>
  <c r="C4560" i="1"/>
  <c r="D4560" i="1"/>
  <c r="E4560" i="1"/>
  <c r="F4560" i="1"/>
  <c r="G4560" i="1"/>
  <c r="H4560" i="1"/>
  <c r="I4560" i="1"/>
  <c r="J4560" i="1"/>
  <c r="K4560" i="1"/>
  <c r="M4560" i="1"/>
  <c r="O4560" i="1"/>
  <c r="Q4560" i="1"/>
  <c r="R4560" i="1"/>
  <c r="W4560" i="1"/>
  <c r="AA4560" i="1"/>
  <c r="AB4560" i="1"/>
  <c r="AM4560" i="1"/>
  <c r="AN4560" i="1"/>
  <c r="AO4560" i="1"/>
  <c r="AQ4560" i="1"/>
  <c r="AX4560" i="1"/>
  <c r="BD4560" i="1"/>
  <c r="B4561" i="1"/>
  <c r="C4561" i="1"/>
  <c r="D4561" i="1"/>
  <c r="E4561" i="1"/>
  <c r="F4561" i="1"/>
  <c r="G4561" i="1"/>
  <c r="H4561" i="1"/>
  <c r="I4561" i="1"/>
  <c r="J4561" i="1"/>
  <c r="K4561" i="1"/>
  <c r="M4561" i="1"/>
  <c r="O4561" i="1"/>
  <c r="Q4561" i="1"/>
  <c r="R4561" i="1"/>
  <c r="W4561" i="1"/>
  <c r="AA4561" i="1"/>
  <c r="AB4561" i="1"/>
  <c r="AM4561" i="1"/>
  <c r="AN4561" i="1"/>
  <c r="AO4561" i="1"/>
  <c r="AQ4561" i="1"/>
  <c r="AX4561" i="1"/>
  <c r="BD4561" i="1"/>
  <c r="B4562" i="1"/>
  <c r="C4562" i="1"/>
  <c r="D4562" i="1"/>
  <c r="E4562" i="1"/>
  <c r="F4562" i="1"/>
  <c r="G4562" i="1"/>
  <c r="H4562" i="1"/>
  <c r="I4562" i="1"/>
  <c r="J4562" i="1"/>
  <c r="K4562" i="1"/>
  <c r="M4562" i="1"/>
  <c r="O4562" i="1"/>
  <c r="Q4562" i="1"/>
  <c r="R4562" i="1"/>
  <c r="W4562" i="1"/>
  <c r="AA4562" i="1"/>
  <c r="AB4562" i="1"/>
  <c r="AM4562" i="1"/>
  <c r="AN4562" i="1"/>
  <c r="AO4562" i="1"/>
  <c r="AQ4562" i="1"/>
  <c r="AX4562" i="1"/>
  <c r="BD4562" i="1"/>
  <c r="B4563" i="1"/>
  <c r="C4563" i="1"/>
  <c r="D4563" i="1"/>
  <c r="E4563" i="1"/>
  <c r="F4563" i="1"/>
  <c r="G4563" i="1"/>
  <c r="H4563" i="1"/>
  <c r="I4563" i="1"/>
  <c r="J4563" i="1"/>
  <c r="K4563" i="1"/>
  <c r="M4563" i="1"/>
  <c r="O4563" i="1"/>
  <c r="Q4563" i="1"/>
  <c r="R4563" i="1"/>
  <c r="W4563" i="1"/>
  <c r="AA4563" i="1"/>
  <c r="AB4563" i="1"/>
  <c r="AM4563" i="1"/>
  <c r="AN4563" i="1"/>
  <c r="AO4563" i="1"/>
  <c r="AQ4563" i="1"/>
  <c r="AX4563" i="1"/>
  <c r="BD4563" i="1"/>
  <c r="B4564" i="1"/>
  <c r="C4564" i="1"/>
  <c r="D4564" i="1"/>
  <c r="E4564" i="1"/>
  <c r="F4564" i="1"/>
  <c r="G4564" i="1"/>
  <c r="H4564" i="1"/>
  <c r="I4564" i="1"/>
  <c r="J4564" i="1"/>
  <c r="K4564" i="1"/>
  <c r="M4564" i="1"/>
  <c r="O4564" i="1"/>
  <c r="Q4564" i="1"/>
  <c r="R4564" i="1"/>
  <c r="W4564" i="1"/>
  <c r="AA4564" i="1"/>
  <c r="AB4564" i="1"/>
  <c r="AM4564" i="1"/>
  <c r="AN4564" i="1"/>
  <c r="AO4564" i="1"/>
  <c r="AQ4564" i="1"/>
  <c r="AX4564" i="1"/>
  <c r="BD4564" i="1"/>
  <c r="B4565" i="1"/>
  <c r="C4565" i="1"/>
  <c r="D4565" i="1"/>
  <c r="E4565" i="1"/>
  <c r="F4565" i="1"/>
  <c r="G4565" i="1"/>
  <c r="H4565" i="1"/>
  <c r="I4565" i="1"/>
  <c r="J4565" i="1"/>
  <c r="K4565" i="1"/>
  <c r="M4565" i="1"/>
  <c r="O4565" i="1"/>
  <c r="Q4565" i="1"/>
  <c r="R4565" i="1"/>
  <c r="W4565" i="1"/>
  <c r="AA4565" i="1"/>
  <c r="AB4565" i="1"/>
  <c r="AM4565" i="1"/>
  <c r="AN4565" i="1"/>
  <c r="AO4565" i="1"/>
  <c r="AQ4565" i="1"/>
  <c r="AX4565" i="1"/>
  <c r="BD4565" i="1"/>
  <c r="B4566" i="1"/>
  <c r="C4566" i="1"/>
  <c r="D4566" i="1"/>
  <c r="E4566" i="1"/>
  <c r="F4566" i="1"/>
  <c r="G4566" i="1"/>
  <c r="H4566" i="1"/>
  <c r="I4566" i="1"/>
  <c r="J4566" i="1"/>
  <c r="K4566" i="1"/>
  <c r="M4566" i="1"/>
  <c r="O4566" i="1"/>
  <c r="Q4566" i="1"/>
  <c r="R4566" i="1"/>
  <c r="W4566" i="1"/>
  <c r="AA4566" i="1"/>
  <c r="AB4566" i="1"/>
  <c r="AM4566" i="1"/>
  <c r="AN4566" i="1"/>
  <c r="AO4566" i="1"/>
  <c r="AQ4566" i="1"/>
  <c r="AX4566" i="1"/>
  <c r="BD4566" i="1"/>
  <c r="B4567" i="1"/>
  <c r="C4567" i="1"/>
  <c r="D4567" i="1"/>
  <c r="E4567" i="1"/>
  <c r="F4567" i="1"/>
  <c r="G4567" i="1"/>
  <c r="H4567" i="1"/>
  <c r="I4567" i="1"/>
  <c r="J4567" i="1"/>
  <c r="K4567" i="1"/>
  <c r="M4567" i="1"/>
  <c r="O4567" i="1"/>
  <c r="Q4567" i="1"/>
  <c r="R4567" i="1"/>
  <c r="W4567" i="1"/>
  <c r="AA4567" i="1"/>
  <c r="AB4567" i="1"/>
  <c r="AE4567" i="1"/>
  <c r="AF4567" i="1"/>
  <c r="AM4567" i="1"/>
  <c r="AN4567" i="1"/>
  <c r="AO4567" i="1"/>
  <c r="AQ4567" i="1"/>
  <c r="AX4567" i="1"/>
  <c r="BD4567" i="1"/>
  <c r="B4568" i="1"/>
  <c r="C4568" i="1"/>
  <c r="E4568" i="1"/>
  <c r="F4568" i="1"/>
  <c r="G4568" i="1"/>
  <c r="H4568" i="1"/>
  <c r="I4568" i="1"/>
  <c r="J4568" i="1"/>
  <c r="K4568" i="1"/>
  <c r="M4568" i="1"/>
  <c r="O4568" i="1"/>
  <c r="Q4568" i="1"/>
  <c r="R4568" i="1"/>
  <c r="W4568" i="1"/>
  <c r="AA4568" i="1"/>
  <c r="AM4568" i="1"/>
  <c r="AN4568" i="1"/>
  <c r="AO4568" i="1"/>
  <c r="AQ4568" i="1"/>
  <c r="BB4568" i="1"/>
  <c r="BD4568" i="1"/>
  <c r="B4569" i="1"/>
  <c r="C4569" i="1"/>
  <c r="E4569" i="1"/>
  <c r="F4569" i="1"/>
  <c r="G4569" i="1"/>
  <c r="H4569" i="1"/>
  <c r="I4569" i="1"/>
  <c r="J4569" i="1"/>
  <c r="K4569" i="1"/>
  <c r="M4569" i="1"/>
  <c r="O4569" i="1"/>
  <c r="Q4569" i="1"/>
  <c r="R4569" i="1"/>
  <c r="W4569" i="1"/>
  <c r="AA4569" i="1"/>
  <c r="AM4569" i="1"/>
  <c r="AN4569" i="1"/>
  <c r="AO4569" i="1"/>
  <c r="AQ4569" i="1"/>
  <c r="BB4569" i="1"/>
  <c r="BD4569" i="1"/>
  <c r="B4570" i="1"/>
  <c r="C4570" i="1"/>
  <c r="E4570" i="1"/>
  <c r="F4570" i="1"/>
  <c r="G4570" i="1"/>
  <c r="H4570" i="1"/>
  <c r="I4570" i="1"/>
  <c r="J4570" i="1"/>
  <c r="K4570" i="1"/>
  <c r="M4570" i="1"/>
  <c r="O4570" i="1"/>
  <c r="Q4570" i="1"/>
  <c r="R4570" i="1"/>
  <c r="W4570" i="1"/>
  <c r="AA4570" i="1"/>
  <c r="AM4570" i="1"/>
  <c r="AN4570" i="1"/>
  <c r="AO4570" i="1"/>
  <c r="AQ4570" i="1"/>
  <c r="BB4570" i="1"/>
  <c r="BD4570" i="1"/>
  <c r="B4571" i="1"/>
  <c r="C4571" i="1"/>
  <c r="E4571" i="1"/>
  <c r="F4571" i="1"/>
  <c r="G4571" i="1"/>
  <c r="H4571" i="1"/>
  <c r="I4571" i="1"/>
  <c r="J4571" i="1"/>
  <c r="K4571" i="1"/>
  <c r="M4571" i="1"/>
  <c r="O4571" i="1"/>
  <c r="Q4571" i="1"/>
  <c r="R4571" i="1"/>
  <c r="W4571" i="1"/>
  <c r="AA4571" i="1"/>
  <c r="AM4571" i="1"/>
  <c r="AN4571" i="1"/>
  <c r="AO4571" i="1"/>
  <c r="AQ4571" i="1"/>
  <c r="BB4571" i="1"/>
  <c r="BD4571" i="1"/>
  <c r="B4572" i="1"/>
  <c r="C4572" i="1"/>
  <c r="D4572" i="1"/>
  <c r="E4572" i="1"/>
  <c r="F4572" i="1"/>
  <c r="G4572" i="1"/>
  <c r="H4572" i="1"/>
  <c r="I4572" i="1"/>
  <c r="J4572" i="1"/>
  <c r="K4572" i="1"/>
  <c r="M4572" i="1"/>
  <c r="O4572" i="1"/>
  <c r="Q4572" i="1"/>
  <c r="R4572" i="1"/>
  <c r="W4572" i="1"/>
  <c r="AA4572" i="1"/>
  <c r="AB4572" i="1"/>
  <c r="AE4572" i="1"/>
  <c r="AF4572" i="1"/>
  <c r="AM4572" i="1"/>
  <c r="AN4572" i="1"/>
  <c r="AO4572" i="1"/>
  <c r="AQ4572" i="1"/>
  <c r="AX4572" i="1"/>
  <c r="BD4572" i="1"/>
  <c r="B4573" i="1"/>
  <c r="C4573" i="1"/>
  <c r="E4573" i="1"/>
  <c r="F4573" i="1"/>
  <c r="G4573" i="1"/>
  <c r="H4573" i="1"/>
  <c r="I4573" i="1"/>
  <c r="J4573" i="1"/>
  <c r="K4573" i="1"/>
  <c r="M4573" i="1"/>
  <c r="O4573" i="1"/>
  <c r="Q4573" i="1"/>
  <c r="R4573" i="1"/>
  <c r="W4573" i="1"/>
  <c r="AA4573" i="1"/>
  <c r="AB4573" i="1"/>
  <c r="AE4573" i="1"/>
  <c r="AF4573" i="1"/>
  <c r="AM4573" i="1"/>
  <c r="AN4573" i="1"/>
  <c r="AO4573" i="1"/>
  <c r="AQ4573" i="1"/>
  <c r="AX4573" i="1"/>
  <c r="BD4573" i="1"/>
  <c r="B4574" i="1"/>
  <c r="C4574" i="1"/>
  <c r="E4574" i="1"/>
  <c r="F4574" i="1"/>
  <c r="G4574" i="1"/>
  <c r="H4574" i="1"/>
  <c r="I4574" i="1"/>
  <c r="J4574" i="1"/>
  <c r="K4574" i="1"/>
  <c r="M4574" i="1"/>
  <c r="O4574" i="1"/>
  <c r="Q4574" i="1"/>
  <c r="R4574" i="1"/>
  <c r="W4574" i="1"/>
  <c r="AA4574" i="1"/>
  <c r="AM4574" i="1"/>
  <c r="AN4574" i="1"/>
  <c r="AO4574" i="1"/>
  <c r="AQ4574" i="1"/>
  <c r="BB4574" i="1"/>
  <c r="BD4574" i="1"/>
  <c r="B4575" i="1"/>
  <c r="C4575" i="1"/>
  <c r="E4575" i="1"/>
  <c r="F4575" i="1"/>
  <c r="G4575" i="1"/>
  <c r="H4575" i="1"/>
  <c r="I4575" i="1"/>
  <c r="J4575" i="1"/>
  <c r="K4575" i="1"/>
  <c r="M4575" i="1"/>
  <c r="O4575" i="1"/>
  <c r="Q4575" i="1"/>
  <c r="R4575" i="1"/>
  <c r="W4575" i="1"/>
  <c r="AA4575" i="1"/>
  <c r="AM4575" i="1"/>
  <c r="AN4575" i="1"/>
  <c r="AO4575" i="1"/>
  <c r="AQ4575" i="1"/>
  <c r="BB4575" i="1"/>
  <c r="BD4575" i="1"/>
  <c r="B4576" i="1"/>
  <c r="C4576" i="1"/>
  <c r="E4576" i="1"/>
  <c r="F4576" i="1"/>
  <c r="G4576" i="1"/>
  <c r="H4576" i="1"/>
  <c r="I4576" i="1"/>
  <c r="J4576" i="1"/>
  <c r="K4576" i="1"/>
  <c r="M4576" i="1"/>
  <c r="O4576" i="1"/>
  <c r="Q4576" i="1"/>
  <c r="R4576" i="1"/>
  <c r="W4576" i="1"/>
  <c r="AA4576" i="1"/>
  <c r="AM4576" i="1"/>
  <c r="AN4576" i="1"/>
  <c r="AO4576" i="1"/>
  <c r="AQ4576" i="1"/>
  <c r="BB4576" i="1"/>
  <c r="BD4576" i="1"/>
  <c r="B4577" i="1"/>
  <c r="C4577" i="1"/>
  <c r="E4577" i="1"/>
  <c r="F4577" i="1"/>
  <c r="G4577" i="1"/>
  <c r="H4577" i="1"/>
  <c r="I4577" i="1"/>
  <c r="J4577" i="1"/>
  <c r="K4577" i="1"/>
  <c r="M4577" i="1"/>
  <c r="O4577" i="1"/>
  <c r="Q4577" i="1"/>
  <c r="R4577" i="1"/>
  <c r="W4577" i="1"/>
  <c r="AA4577" i="1"/>
  <c r="AM4577" i="1"/>
  <c r="AN4577" i="1"/>
  <c r="AO4577" i="1"/>
  <c r="AQ4577" i="1"/>
  <c r="BB4577" i="1"/>
  <c r="BD4577" i="1"/>
  <c r="B4578" i="1"/>
  <c r="C4578" i="1"/>
  <c r="E4578" i="1"/>
  <c r="F4578" i="1"/>
  <c r="G4578" i="1"/>
  <c r="H4578" i="1"/>
  <c r="I4578" i="1"/>
  <c r="J4578" i="1"/>
  <c r="K4578" i="1"/>
  <c r="M4578" i="1"/>
  <c r="O4578" i="1"/>
  <c r="Q4578" i="1"/>
  <c r="R4578" i="1"/>
  <c r="W4578" i="1"/>
  <c r="AA4578" i="1"/>
  <c r="AB4578" i="1"/>
  <c r="AE4578" i="1"/>
  <c r="AF4578" i="1"/>
  <c r="AM4578" i="1"/>
  <c r="AN4578" i="1"/>
  <c r="AO4578" i="1"/>
  <c r="AQ4578" i="1"/>
  <c r="AX4578" i="1"/>
  <c r="BD4578" i="1"/>
  <c r="B4579" i="1"/>
  <c r="C4579" i="1"/>
  <c r="D4579" i="1"/>
  <c r="E4579" i="1"/>
  <c r="F4579" i="1"/>
  <c r="G4579" i="1"/>
  <c r="H4579" i="1"/>
  <c r="I4579" i="1"/>
  <c r="J4579" i="1"/>
  <c r="K4579" i="1"/>
  <c r="M4579" i="1"/>
  <c r="O4579" i="1"/>
  <c r="Q4579" i="1"/>
  <c r="R4579" i="1"/>
  <c r="W4579" i="1"/>
  <c r="AA4579" i="1"/>
  <c r="AB4579" i="1"/>
  <c r="AE4579" i="1"/>
  <c r="AF4579" i="1"/>
  <c r="AM4579" i="1"/>
  <c r="AN4579" i="1"/>
  <c r="AO4579" i="1"/>
  <c r="AQ4579" i="1"/>
  <c r="AX4579" i="1"/>
  <c r="BD4579" i="1"/>
  <c r="B4580" i="1"/>
  <c r="C4580" i="1"/>
  <c r="E4580" i="1"/>
  <c r="F4580" i="1"/>
  <c r="G4580" i="1"/>
  <c r="H4580" i="1"/>
  <c r="I4580" i="1"/>
  <c r="J4580" i="1"/>
  <c r="K4580" i="1"/>
  <c r="M4580" i="1"/>
  <c r="O4580" i="1"/>
  <c r="Q4580" i="1"/>
  <c r="R4580" i="1"/>
  <c r="W4580" i="1"/>
  <c r="AA4580" i="1"/>
  <c r="AB4580" i="1"/>
  <c r="AE4580" i="1"/>
  <c r="AF4580" i="1"/>
  <c r="AM4580" i="1"/>
  <c r="AN4580" i="1"/>
  <c r="AO4580" i="1"/>
  <c r="AQ4580" i="1"/>
  <c r="AX4580" i="1"/>
  <c r="BD4580" i="1"/>
  <c r="B4581" i="1"/>
  <c r="C4581" i="1"/>
  <c r="E4581" i="1"/>
  <c r="F4581" i="1"/>
  <c r="G4581" i="1"/>
  <c r="H4581" i="1"/>
  <c r="I4581" i="1"/>
  <c r="J4581" i="1"/>
  <c r="K4581" i="1"/>
  <c r="M4581" i="1"/>
  <c r="O4581" i="1"/>
  <c r="Q4581" i="1"/>
  <c r="R4581" i="1"/>
  <c r="W4581" i="1"/>
  <c r="AA4581" i="1"/>
  <c r="AM4581" i="1"/>
  <c r="AN4581" i="1"/>
  <c r="AO4581" i="1"/>
  <c r="B4582" i="1"/>
  <c r="C4582" i="1"/>
  <c r="E4582" i="1"/>
  <c r="F4582" i="1"/>
  <c r="G4582" i="1"/>
  <c r="H4582" i="1"/>
  <c r="I4582" i="1"/>
  <c r="J4582" i="1"/>
  <c r="K4582" i="1"/>
  <c r="M4582" i="1"/>
  <c r="O4582" i="1"/>
  <c r="Q4582" i="1"/>
  <c r="R4582" i="1"/>
  <c r="W4582" i="1"/>
  <c r="AA4582" i="1"/>
  <c r="AB4582" i="1"/>
  <c r="AE4582" i="1"/>
  <c r="AF4582" i="1"/>
  <c r="AM4582" i="1"/>
  <c r="AN4582" i="1"/>
  <c r="AO4582" i="1"/>
  <c r="AQ4582" i="1"/>
  <c r="AX4582" i="1"/>
  <c r="BD4582" i="1"/>
  <c r="B4583" i="1"/>
  <c r="C4583" i="1"/>
  <c r="E4583" i="1"/>
  <c r="F4583" i="1"/>
  <c r="G4583" i="1"/>
  <c r="H4583" i="1"/>
  <c r="I4583" i="1"/>
  <c r="J4583" i="1"/>
  <c r="K4583" i="1"/>
  <c r="M4583" i="1"/>
  <c r="O4583" i="1"/>
  <c r="Q4583" i="1"/>
  <c r="R4583" i="1"/>
  <c r="W4583" i="1"/>
  <c r="AA4583" i="1"/>
  <c r="AB4583" i="1"/>
  <c r="AE4583" i="1"/>
  <c r="AF4583" i="1"/>
  <c r="AM4583" i="1"/>
  <c r="AN4583" i="1"/>
  <c r="AO4583" i="1"/>
  <c r="AQ4583" i="1"/>
  <c r="AX4583" i="1"/>
  <c r="BD4583" i="1"/>
  <c r="B4584" i="1"/>
  <c r="C4584" i="1"/>
  <c r="E4584" i="1"/>
  <c r="F4584" i="1"/>
  <c r="G4584" i="1"/>
  <c r="H4584" i="1"/>
  <c r="I4584" i="1"/>
  <c r="J4584" i="1"/>
  <c r="K4584" i="1"/>
  <c r="M4584" i="1"/>
  <c r="O4584" i="1"/>
  <c r="Q4584" i="1"/>
  <c r="R4584" i="1"/>
  <c r="W4584" i="1"/>
  <c r="AA4584" i="1"/>
  <c r="AB4584" i="1"/>
  <c r="AE4584" i="1"/>
  <c r="AF4584" i="1"/>
  <c r="AM4584" i="1"/>
  <c r="AN4584" i="1"/>
  <c r="AO4584" i="1"/>
  <c r="AQ4584" i="1"/>
  <c r="AX4584" i="1"/>
  <c r="BD4584" i="1"/>
  <c r="B4585" i="1"/>
  <c r="C4585" i="1"/>
  <c r="E4585" i="1"/>
  <c r="F4585" i="1"/>
  <c r="G4585" i="1"/>
  <c r="H4585" i="1"/>
  <c r="I4585" i="1"/>
  <c r="J4585" i="1"/>
  <c r="K4585" i="1"/>
  <c r="M4585" i="1"/>
  <c r="O4585" i="1"/>
  <c r="Q4585" i="1"/>
  <c r="R4585" i="1"/>
  <c r="W4585" i="1"/>
  <c r="AA4585" i="1"/>
  <c r="AB4585" i="1"/>
  <c r="AE4585" i="1"/>
  <c r="AF4585" i="1"/>
  <c r="AM4585" i="1"/>
  <c r="AN4585" i="1"/>
  <c r="AO4585" i="1"/>
  <c r="AQ4585" i="1"/>
  <c r="AX4585" i="1"/>
  <c r="BD4585" i="1"/>
  <c r="B4586" i="1"/>
  <c r="C4586" i="1"/>
  <c r="D4586" i="1"/>
  <c r="E4586" i="1"/>
  <c r="F4586" i="1"/>
  <c r="G4586" i="1"/>
  <c r="H4586" i="1"/>
  <c r="I4586" i="1"/>
  <c r="J4586" i="1"/>
  <c r="K4586" i="1"/>
  <c r="M4586" i="1"/>
  <c r="O4586" i="1"/>
  <c r="Q4586" i="1"/>
  <c r="R4586" i="1"/>
  <c r="W4586" i="1"/>
  <c r="AA4586" i="1"/>
  <c r="AB4586" i="1"/>
  <c r="AE4586" i="1"/>
  <c r="AF4586" i="1"/>
  <c r="AM4586" i="1"/>
  <c r="AN4586" i="1"/>
  <c r="AO4586" i="1"/>
  <c r="AQ4586" i="1"/>
  <c r="AX4586" i="1"/>
  <c r="BD4586" i="1"/>
  <c r="B4587" i="1"/>
  <c r="C4587" i="1"/>
  <c r="E4587" i="1"/>
  <c r="F4587" i="1"/>
  <c r="G4587" i="1"/>
  <c r="H4587" i="1"/>
  <c r="I4587" i="1"/>
  <c r="J4587" i="1"/>
  <c r="K4587" i="1"/>
  <c r="M4587" i="1"/>
  <c r="O4587" i="1"/>
  <c r="Q4587" i="1"/>
  <c r="R4587" i="1"/>
  <c r="W4587" i="1"/>
  <c r="AA4587" i="1"/>
  <c r="AB4587" i="1"/>
  <c r="AE4587" i="1"/>
  <c r="AF4587" i="1"/>
  <c r="AM4587" i="1"/>
  <c r="AN4587" i="1"/>
  <c r="AO4587" i="1"/>
  <c r="AQ4587" i="1"/>
  <c r="AX4587" i="1"/>
  <c r="BD4587" i="1"/>
  <c r="B4588" i="1"/>
  <c r="C4588" i="1"/>
  <c r="E4588" i="1"/>
  <c r="F4588" i="1"/>
  <c r="G4588" i="1"/>
  <c r="H4588" i="1"/>
  <c r="I4588" i="1"/>
  <c r="J4588" i="1"/>
  <c r="K4588" i="1"/>
  <c r="M4588" i="1"/>
  <c r="O4588" i="1"/>
  <c r="Q4588" i="1"/>
  <c r="R4588" i="1"/>
  <c r="W4588" i="1"/>
  <c r="AA4588" i="1"/>
  <c r="AM4588" i="1"/>
  <c r="AN4588" i="1"/>
  <c r="AO4588" i="1"/>
  <c r="AQ4588" i="1"/>
  <c r="BB4588" i="1"/>
  <c r="BD4588" i="1"/>
  <c r="B4589" i="1"/>
  <c r="C4589" i="1"/>
  <c r="E4589" i="1"/>
  <c r="F4589" i="1"/>
  <c r="G4589" i="1"/>
  <c r="H4589" i="1"/>
  <c r="I4589" i="1"/>
  <c r="J4589" i="1"/>
  <c r="K4589" i="1"/>
  <c r="M4589" i="1"/>
  <c r="O4589" i="1"/>
  <c r="Q4589" i="1"/>
  <c r="R4589" i="1"/>
  <c r="W4589" i="1"/>
  <c r="AA4589" i="1"/>
  <c r="AM4589" i="1"/>
  <c r="AN4589" i="1"/>
  <c r="AO4589" i="1"/>
  <c r="AQ4589" i="1"/>
  <c r="BB4589" i="1"/>
  <c r="BD4589" i="1"/>
  <c r="B4590" i="1"/>
  <c r="C4590" i="1"/>
  <c r="E4590" i="1"/>
  <c r="F4590" i="1"/>
  <c r="G4590" i="1"/>
  <c r="H4590" i="1"/>
  <c r="I4590" i="1"/>
  <c r="J4590" i="1"/>
  <c r="K4590" i="1"/>
  <c r="M4590" i="1"/>
  <c r="O4590" i="1"/>
  <c r="Q4590" i="1"/>
  <c r="R4590" i="1"/>
  <c r="W4590" i="1"/>
  <c r="AA4590" i="1"/>
  <c r="AM4590" i="1"/>
  <c r="AN4590" i="1"/>
  <c r="AO4590" i="1"/>
  <c r="AQ4590" i="1"/>
  <c r="BB4590" i="1"/>
  <c r="BD4590" i="1"/>
  <c r="B4591" i="1"/>
  <c r="C4591" i="1"/>
  <c r="E4591" i="1"/>
  <c r="F4591" i="1"/>
  <c r="G4591" i="1"/>
  <c r="H4591" i="1"/>
  <c r="I4591" i="1"/>
  <c r="J4591" i="1"/>
  <c r="K4591" i="1"/>
  <c r="M4591" i="1"/>
  <c r="O4591" i="1"/>
  <c r="Q4591" i="1"/>
  <c r="R4591" i="1"/>
  <c r="W4591" i="1"/>
  <c r="AA4591" i="1"/>
  <c r="AM4591" i="1"/>
  <c r="AN4591" i="1"/>
  <c r="AO4591" i="1"/>
  <c r="AQ4591" i="1"/>
  <c r="BB4591" i="1"/>
  <c r="BD4591" i="1"/>
  <c r="B4592" i="1"/>
  <c r="C4592" i="1"/>
  <c r="E4592" i="1"/>
  <c r="F4592" i="1"/>
  <c r="G4592" i="1"/>
  <c r="H4592" i="1"/>
  <c r="I4592" i="1"/>
  <c r="J4592" i="1"/>
  <c r="K4592" i="1"/>
  <c r="M4592" i="1"/>
  <c r="O4592" i="1"/>
  <c r="Q4592" i="1"/>
  <c r="R4592" i="1"/>
  <c r="W4592" i="1"/>
  <c r="AA4592" i="1"/>
  <c r="AB4592" i="1"/>
  <c r="AE4592" i="1"/>
  <c r="AF4592" i="1"/>
  <c r="AM4592" i="1"/>
  <c r="AN4592" i="1"/>
  <c r="AO4592" i="1"/>
  <c r="AQ4592" i="1"/>
  <c r="AX4592" i="1"/>
  <c r="BD4592" i="1"/>
  <c r="B4593" i="1"/>
  <c r="C4593" i="1"/>
  <c r="E4593" i="1"/>
  <c r="F4593" i="1"/>
  <c r="G4593" i="1"/>
  <c r="H4593" i="1"/>
  <c r="I4593" i="1"/>
  <c r="J4593" i="1"/>
  <c r="K4593" i="1"/>
  <c r="M4593" i="1"/>
  <c r="O4593" i="1"/>
  <c r="Q4593" i="1"/>
  <c r="R4593" i="1"/>
  <c r="W4593" i="1"/>
  <c r="AA4593" i="1"/>
  <c r="AB4593" i="1"/>
  <c r="AE4593" i="1"/>
  <c r="AF4593" i="1"/>
  <c r="AM4593" i="1"/>
  <c r="AN4593" i="1"/>
  <c r="AO4593" i="1"/>
  <c r="AQ4593" i="1"/>
  <c r="AX4593" i="1"/>
  <c r="BD4593" i="1"/>
  <c r="B4594" i="1"/>
  <c r="C4594" i="1"/>
  <c r="E4594" i="1"/>
  <c r="F4594" i="1"/>
  <c r="G4594" i="1"/>
  <c r="H4594" i="1"/>
  <c r="I4594" i="1"/>
  <c r="J4594" i="1"/>
  <c r="K4594" i="1"/>
  <c r="M4594" i="1"/>
  <c r="O4594" i="1"/>
  <c r="Q4594" i="1"/>
  <c r="R4594" i="1"/>
  <c r="W4594" i="1"/>
  <c r="AA4594" i="1"/>
  <c r="AM4594" i="1"/>
  <c r="AN4594" i="1"/>
  <c r="AO4594" i="1"/>
  <c r="AQ4594" i="1"/>
  <c r="BB4594" i="1"/>
  <c r="BD4594" i="1"/>
  <c r="B4595" i="1"/>
  <c r="C4595" i="1"/>
  <c r="E4595" i="1"/>
  <c r="F4595" i="1"/>
  <c r="G4595" i="1"/>
  <c r="H4595" i="1"/>
  <c r="I4595" i="1"/>
  <c r="J4595" i="1"/>
  <c r="K4595" i="1"/>
  <c r="M4595" i="1"/>
  <c r="O4595" i="1"/>
  <c r="Q4595" i="1"/>
  <c r="R4595" i="1"/>
  <c r="W4595" i="1"/>
  <c r="AA4595" i="1"/>
  <c r="AM4595" i="1"/>
  <c r="AN4595" i="1"/>
  <c r="AO4595" i="1"/>
  <c r="AQ4595" i="1"/>
  <c r="BB4595" i="1"/>
  <c r="BD4595" i="1"/>
  <c r="B4596" i="1"/>
  <c r="C4596" i="1"/>
  <c r="D4596" i="1"/>
  <c r="E4596" i="1"/>
  <c r="F4596" i="1"/>
  <c r="G4596" i="1"/>
  <c r="H4596" i="1"/>
  <c r="I4596" i="1"/>
  <c r="J4596" i="1"/>
  <c r="K4596" i="1"/>
  <c r="M4596" i="1"/>
  <c r="O4596" i="1"/>
  <c r="Q4596" i="1"/>
  <c r="R4596" i="1"/>
  <c r="W4596" i="1"/>
  <c r="AA4596" i="1"/>
  <c r="AB4596" i="1"/>
  <c r="AM4596" i="1"/>
  <c r="AN4596" i="1"/>
  <c r="AO4596" i="1"/>
  <c r="AQ4596" i="1"/>
  <c r="AX4596" i="1"/>
  <c r="BD4596" i="1"/>
  <c r="B4597" i="1"/>
  <c r="C4597" i="1"/>
  <c r="D4597" i="1"/>
  <c r="E4597" i="1"/>
  <c r="F4597" i="1"/>
  <c r="G4597" i="1"/>
  <c r="H4597" i="1"/>
  <c r="I4597" i="1"/>
  <c r="J4597" i="1"/>
  <c r="K4597" i="1"/>
  <c r="M4597" i="1"/>
  <c r="O4597" i="1"/>
  <c r="Q4597" i="1"/>
  <c r="R4597" i="1"/>
  <c r="W4597" i="1"/>
  <c r="AA4597" i="1"/>
  <c r="AB4597" i="1"/>
  <c r="AM4597" i="1"/>
  <c r="AN4597" i="1"/>
  <c r="AO4597" i="1"/>
  <c r="AQ4597" i="1"/>
  <c r="AX4597" i="1"/>
  <c r="BD4597" i="1"/>
  <c r="B4598" i="1"/>
  <c r="C4598" i="1"/>
  <c r="D4598" i="1"/>
  <c r="E4598" i="1"/>
  <c r="F4598" i="1"/>
  <c r="G4598" i="1"/>
  <c r="H4598" i="1"/>
  <c r="I4598" i="1"/>
  <c r="J4598" i="1"/>
  <c r="K4598" i="1"/>
  <c r="M4598" i="1"/>
  <c r="O4598" i="1"/>
  <c r="Q4598" i="1"/>
  <c r="R4598" i="1"/>
  <c r="W4598" i="1"/>
  <c r="AA4598" i="1"/>
  <c r="AB4598" i="1"/>
  <c r="AM4598" i="1"/>
  <c r="AN4598" i="1"/>
  <c r="AO4598" i="1"/>
  <c r="AQ4598" i="1"/>
  <c r="AX4598" i="1"/>
  <c r="BD4598" i="1"/>
  <c r="B4599" i="1"/>
  <c r="C4599" i="1"/>
  <c r="D4599" i="1"/>
  <c r="E4599" i="1"/>
  <c r="F4599" i="1"/>
  <c r="G4599" i="1"/>
  <c r="H4599" i="1"/>
  <c r="I4599" i="1"/>
  <c r="J4599" i="1"/>
  <c r="K4599" i="1"/>
  <c r="M4599" i="1"/>
  <c r="O4599" i="1"/>
  <c r="Q4599" i="1"/>
  <c r="R4599" i="1"/>
  <c r="W4599" i="1"/>
  <c r="AA4599" i="1"/>
  <c r="AB4599" i="1"/>
  <c r="AM4599" i="1"/>
  <c r="AN4599" i="1"/>
  <c r="AO4599" i="1"/>
  <c r="AQ4599" i="1"/>
  <c r="AX4599" i="1"/>
  <c r="BD4599" i="1"/>
  <c r="B4600" i="1"/>
  <c r="C4600" i="1"/>
  <c r="D4600" i="1"/>
  <c r="E4600" i="1"/>
  <c r="F4600" i="1"/>
  <c r="G4600" i="1"/>
  <c r="H4600" i="1"/>
  <c r="I4600" i="1"/>
  <c r="J4600" i="1"/>
  <c r="K4600" i="1"/>
  <c r="M4600" i="1"/>
  <c r="O4600" i="1"/>
  <c r="Q4600" i="1"/>
  <c r="R4600" i="1"/>
  <c r="W4600" i="1"/>
  <c r="AA4600" i="1"/>
  <c r="AB4600" i="1"/>
  <c r="AM4600" i="1"/>
  <c r="AN4600" i="1"/>
  <c r="AO4600" i="1"/>
  <c r="AQ4600" i="1"/>
  <c r="AX4600" i="1"/>
  <c r="BD4600" i="1"/>
  <c r="B4601" i="1"/>
  <c r="C4601" i="1"/>
  <c r="D4601" i="1"/>
  <c r="E4601" i="1"/>
  <c r="F4601" i="1"/>
  <c r="G4601" i="1"/>
  <c r="H4601" i="1"/>
  <c r="I4601" i="1"/>
  <c r="J4601" i="1"/>
  <c r="K4601" i="1"/>
  <c r="M4601" i="1"/>
  <c r="O4601" i="1"/>
  <c r="Q4601" i="1"/>
  <c r="R4601" i="1"/>
  <c r="W4601" i="1"/>
  <c r="AA4601" i="1"/>
  <c r="AB4601" i="1"/>
  <c r="AM4601" i="1"/>
  <c r="AN4601" i="1"/>
  <c r="AO4601" i="1"/>
  <c r="AQ4601" i="1"/>
  <c r="AX4601" i="1"/>
  <c r="BD4601" i="1"/>
  <c r="B4602" i="1"/>
  <c r="C4602" i="1"/>
  <c r="E4602" i="1"/>
  <c r="F4602" i="1"/>
  <c r="G4602" i="1"/>
  <c r="H4602" i="1"/>
  <c r="I4602" i="1"/>
  <c r="J4602" i="1"/>
  <c r="K4602" i="1"/>
  <c r="M4602" i="1"/>
  <c r="O4602" i="1"/>
  <c r="Q4602" i="1"/>
  <c r="R4602" i="1"/>
  <c r="W4602" i="1"/>
  <c r="AA4602" i="1"/>
  <c r="AB4602" i="1"/>
  <c r="AM4602" i="1"/>
  <c r="AN4602" i="1"/>
  <c r="AO4602" i="1"/>
  <c r="AQ4602" i="1"/>
  <c r="AX4602" i="1"/>
  <c r="BD4602" i="1"/>
  <c r="B4603" i="1"/>
  <c r="C4603" i="1"/>
  <c r="E4603" i="1"/>
  <c r="F4603" i="1"/>
  <c r="G4603" i="1"/>
  <c r="H4603" i="1"/>
  <c r="I4603" i="1"/>
  <c r="J4603" i="1"/>
  <c r="K4603" i="1"/>
  <c r="M4603" i="1"/>
  <c r="O4603" i="1"/>
  <c r="Q4603" i="1"/>
  <c r="R4603" i="1"/>
  <c r="W4603" i="1"/>
  <c r="AA4603" i="1"/>
  <c r="AB4603" i="1"/>
  <c r="AM4603" i="1"/>
  <c r="AN4603" i="1"/>
  <c r="AO4603" i="1"/>
  <c r="AQ4603" i="1"/>
  <c r="AX4603" i="1"/>
  <c r="BD4603" i="1"/>
  <c r="B4604" i="1"/>
  <c r="C4604" i="1"/>
  <c r="D4604" i="1"/>
  <c r="E4604" i="1"/>
  <c r="F4604" i="1"/>
  <c r="G4604" i="1"/>
  <c r="H4604" i="1"/>
  <c r="I4604" i="1"/>
  <c r="J4604" i="1"/>
  <c r="K4604" i="1"/>
  <c r="M4604" i="1"/>
  <c r="O4604" i="1"/>
  <c r="Q4604" i="1"/>
  <c r="R4604" i="1"/>
  <c r="W4604" i="1"/>
  <c r="AA4604" i="1"/>
  <c r="AB4604" i="1"/>
  <c r="AM4604" i="1"/>
  <c r="AN4604" i="1"/>
  <c r="AO4604" i="1"/>
  <c r="AQ4604" i="1"/>
  <c r="AX4604" i="1"/>
  <c r="BD4604" i="1"/>
  <c r="B4605" i="1"/>
  <c r="C4605" i="1"/>
  <c r="D4605" i="1"/>
  <c r="E4605" i="1"/>
  <c r="F4605" i="1"/>
  <c r="G4605" i="1"/>
  <c r="H4605" i="1"/>
  <c r="I4605" i="1"/>
  <c r="J4605" i="1"/>
  <c r="K4605" i="1"/>
  <c r="M4605" i="1"/>
  <c r="O4605" i="1"/>
  <c r="Q4605" i="1"/>
  <c r="R4605" i="1"/>
  <c r="W4605" i="1"/>
  <c r="AA4605" i="1"/>
  <c r="AB4605" i="1"/>
  <c r="AM4605" i="1"/>
  <c r="AN4605" i="1"/>
  <c r="AO4605" i="1"/>
  <c r="AQ4605" i="1"/>
  <c r="AX4605" i="1"/>
  <c r="BD4605" i="1"/>
  <c r="B4606" i="1"/>
  <c r="C4606" i="1"/>
  <c r="D4606" i="1"/>
  <c r="E4606" i="1"/>
  <c r="F4606" i="1"/>
  <c r="G4606" i="1"/>
  <c r="H4606" i="1"/>
  <c r="I4606" i="1"/>
  <c r="J4606" i="1"/>
  <c r="K4606" i="1"/>
  <c r="M4606" i="1"/>
  <c r="O4606" i="1"/>
  <c r="Q4606" i="1"/>
  <c r="R4606" i="1"/>
  <c r="W4606" i="1"/>
  <c r="AA4606" i="1"/>
  <c r="AB4606" i="1"/>
  <c r="AM4606" i="1"/>
  <c r="AN4606" i="1"/>
  <c r="AO4606" i="1"/>
  <c r="AQ4606" i="1"/>
  <c r="AX4606" i="1"/>
  <c r="BD4606" i="1"/>
  <c r="B4607" i="1"/>
  <c r="C4607" i="1"/>
  <c r="D4607" i="1"/>
  <c r="E4607" i="1"/>
  <c r="F4607" i="1"/>
  <c r="G4607" i="1"/>
  <c r="H4607" i="1"/>
  <c r="I4607" i="1"/>
  <c r="J4607" i="1"/>
  <c r="K4607" i="1"/>
  <c r="M4607" i="1"/>
  <c r="O4607" i="1"/>
  <c r="Q4607" i="1"/>
  <c r="R4607" i="1"/>
  <c r="W4607" i="1"/>
  <c r="AA4607" i="1"/>
  <c r="AB4607" i="1"/>
  <c r="AM4607" i="1"/>
  <c r="AN4607" i="1"/>
  <c r="AO4607" i="1"/>
  <c r="AQ4607" i="1"/>
  <c r="AX4607" i="1"/>
  <c r="BD4607" i="1"/>
  <c r="B4608" i="1"/>
  <c r="C4608" i="1"/>
  <c r="D4608" i="1"/>
  <c r="E4608" i="1"/>
  <c r="F4608" i="1"/>
  <c r="G4608" i="1"/>
  <c r="H4608" i="1"/>
  <c r="I4608" i="1"/>
  <c r="J4608" i="1"/>
  <c r="K4608" i="1"/>
  <c r="M4608" i="1"/>
  <c r="O4608" i="1"/>
  <c r="Q4608" i="1"/>
  <c r="R4608" i="1"/>
  <c r="W4608" i="1"/>
  <c r="AA4608" i="1"/>
  <c r="AB4608" i="1"/>
  <c r="AM4608" i="1"/>
  <c r="AN4608" i="1"/>
  <c r="AO4608" i="1"/>
  <c r="AQ4608" i="1"/>
  <c r="AX4608" i="1"/>
  <c r="BD4608" i="1"/>
  <c r="B4609" i="1"/>
  <c r="C4609" i="1"/>
  <c r="D4609" i="1"/>
  <c r="E4609" i="1"/>
  <c r="F4609" i="1"/>
  <c r="G4609" i="1"/>
  <c r="H4609" i="1"/>
  <c r="I4609" i="1"/>
  <c r="J4609" i="1"/>
  <c r="K4609" i="1"/>
  <c r="M4609" i="1"/>
  <c r="O4609" i="1"/>
  <c r="Q4609" i="1"/>
  <c r="R4609" i="1"/>
  <c r="W4609" i="1"/>
  <c r="AA4609" i="1"/>
  <c r="AB4609" i="1"/>
  <c r="AM4609" i="1"/>
  <c r="AN4609" i="1"/>
  <c r="AO4609" i="1"/>
  <c r="AQ4609" i="1"/>
  <c r="AX4609" i="1"/>
  <c r="BD4609" i="1"/>
  <c r="B4610" i="1"/>
  <c r="C4610" i="1"/>
  <c r="D4610" i="1"/>
  <c r="E4610" i="1"/>
  <c r="F4610" i="1"/>
  <c r="G4610" i="1"/>
  <c r="H4610" i="1"/>
  <c r="I4610" i="1"/>
  <c r="J4610" i="1"/>
  <c r="K4610" i="1"/>
  <c r="M4610" i="1"/>
  <c r="O4610" i="1"/>
  <c r="Q4610" i="1"/>
  <c r="R4610" i="1"/>
  <c r="W4610" i="1"/>
  <c r="AA4610" i="1"/>
  <c r="AB4610" i="1"/>
  <c r="AE4610" i="1"/>
  <c r="AF4610" i="1"/>
  <c r="AM4610" i="1"/>
  <c r="AN4610" i="1"/>
  <c r="AO4610" i="1"/>
  <c r="AQ4610" i="1"/>
  <c r="AX4610" i="1"/>
  <c r="BD4610" i="1"/>
  <c r="B4611" i="1"/>
  <c r="C4611" i="1"/>
  <c r="D4611" i="1"/>
  <c r="E4611" i="1"/>
  <c r="F4611" i="1"/>
  <c r="G4611" i="1"/>
  <c r="H4611" i="1"/>
  <c r="I4611" i="1"/>
  <c r="J4611" i="1"/>
  <c r="K4611" i="1"/>
  <c r="M4611" i="1"/>
  <c r="O4611" i="1"/>
  <c r="Q4611" i="1"/>
  <c r="R4611" i="1"/>
  <c r="W4611" i="1"/>
  <c r="AA4611" i="1"/>
  <c r="AB4611" i="1"/>
  <c r="AE4611" i="1"/>
  <c r="AF4611" i="1"/>
  <c r="AM4611" i="1"/>
  <c r="AN4611" i="1"/>
  <c r="AO4611" i="1"/>
  <c r="AQ4611" i="1"/>
  <c r="AX4611" i="1"/>
  <c r="BD4611" i="1"/>
  <c r="B4612" i="1"/>
  <c r="C4612" i="1"/>
  <c r="D4612" i="1"/>
  <c r="E4612" i="1"/>
  <c r="F4612" i="1"/>
  <c r="G4612" i="1"/>
  <c r="H4612" i="1"/>
  <c r="I4612" i="1"/>
  <c r="J4612" i="1"/>
  <c r="K4612" i="1"/>
  <c r="M4612" i="1"/>
  <c r="O4612" i="1"/>
  <c r="Q4612" i="1"/>
  <c r="R4612" i="1"/>
  <c r="W4612" i="1"/>
  <c r="AA4612" i="1"/>
  <c r="AB4612" i="1"/>
  <c r="AE4612" i="1"/>
  <c r="AF4612" i="1"/>
  <c r="AM4612" i="1"/>
  <c r="AN4612" i="1"/>
  <c r="AO4612" i="1"/>
  <c r="AQ4612" i="1"/>
  <c r="AX4612" i="1"/>
  <c r="BD4612" i="1"/>
  <c r="B4613" i="1"/>
  <c r="C4613" i="1"/>
  <c r="D4613" i="1"/>
  <c r="E4613" i="1"/>
  <c r="F4613" i="1"/>
  <c r="G4613" i="1"/>
  <c r="H4613" i="1"/>
  <c r="I4613" i="1"/>
  <c r="J4613" i="1"/>
  <c r="K4613" i="1"/>
  <c r="M4613" i="1"/>
  <c r="O4613" i="1"/>
  <c r="Q4613" i="1"/>
  <c r="R4613" i="1"/>
  <c r="W4613" i="1"/>
  <c r="AA4613" i="1"/>
  <c r="AB4613" i="1"/>
  <c r="AE4613" i="1"/>
  <c r="AF4613" i="1"/>
  <c r="AM4613" i="1"/>
  <c r="AN4613" i="1"/>
  <c r="AO4613" i="1"/>
  <c r="AQ4613" i="1"/>
  <c r="AX4613" i="1"/>
  <c r="BD4613" i="1"/>
  <c r="B4614" i="1"/>
  <c r="C4614" i="1"/>
  <c r="D4614" i="1"/>
  <c r="E4614" i="1"/>
  <c r="F4614" i="1"/>
  <c r="G4614" i="1"/>
  <c r="H4614" i="1"/>
  <c r="I4614" i="1"/>
  <c r="J4614" i="1"/>
  <c r="K4614" i="1"/>
  <c r="M4614" i="1"/>
  <c r="O4614" i="1"/>
  <c r="Q4614" i="1"/>
  <c r="R4614" i="1"/>
  <c r="W4614" i="1"/>
  <c r="AA4614" i="1"/>
  <c r="AB4614" i="1"/>
  <c r="AE4614" i="1"/>
  <c r="AF4614" i="1"/>
  <c r="AM4614" i="1"/>
  <c r="AN4614" i="1"/>
  <c r="AO4614" i="1"/>
  <c r="AQ4614" i="1"/>
  <c r="AX4614" i="1"/>
  <c r="BD4614" i="1"/>
  <c r="B4615" i="1"/>
  <c r="C4615" i="1"/>
  <c r="D4615" i="1"/>
  <c r="E4615" i="1"/>
  <c r="F4615" i="1"/>
  <c r="G4615" i="1"/>
  <c r="H4615" i="1"/>
  <c r="I4615" i="1"/>
  <c r="J4615" i="1"/>
  <c r="K4615" i="1"/>
  <c r="M4615" i="1"/>
  <c r="O4615" i="1"/>
  <c r="Q4615" i="1"/>
  <c r="R4615" i="1"/>
  <c r="W4615" i="1"/>
  <c r="AA4615" i="1"/>
  <c r="AB4615" i="1"/>
  <c r="AE4615" i="1"/>
  <c r="AF4615" i="1"/>
  <c r="AM4615" i="1"/>
  <c r="AN4615" i="1"/>
  <c r="AO4615" i="1"/>
  <c r="AQ4615" i="1"/>
  <c r="AX4615" i="1"/>
  <c r="BD4615" i="1"/>
  <c r="B4616" i="1"/>
  <c r="C4616" i="1"/>
  <c r="D4616" i="1"/>
  <c r="E4616" i="1"/>
  <c r="F4616" i="1"/>
  <c r="G4616" i="1"/>
  <c r="H4616" i="1"/>
  <c r="I4616" i="1"/>
  <c r="J4616" i="1"/>
  <c r="K4616" i="1"/>
  <c r="M4616" i="1"/>
  <c r="O4616" i="1"/>
  <c r="Q4616" i="1"/>
  <c r="R4616" i="1"/>
  <c r="W4616" i="1"/>
  <c r="AA4616" i="1"/>
  <c r="AB4616" i="1"/>
  <c r="AE4616" i="1"/>
  <c r="AF4616" i="1"/>
  <c r="AM4616" i="1"/>
  <c r="AN4616" i="1"/>
  <c r="AO4616" i="1"/>
  <c r="AQ4616" i="1"/>
  <c r="AX4616" i="1"/>
  <c r="BD4616" i="1"/>
  <c r="B4617" i="1"/>
  <c r="C4617" i="1"/>
  <c r="D4617" i="1"/>
  <c r="E4617" i="1"/>
  <c r="F4617" i="1"/>
  <c r="G4617" i="1"/>
  <c r="H4617" i="1"/>
  <c r="I4617" i="1"/>
  <c r="J4617" i="1"/>
  <c r="K4617" i="1"/>
  <c r="M4617" i="1"/>
  <c r="O4617" i="1"/>
  <c r="Q4617" i="1"/>
  <c r="R4617" i="1"/>
  <c r="W4617" i="1"/>
  <c r="AA4617" i="1"/>
  <c r="AB4617" i="1"/>
  <c r="AE4617" i="1"/>
  <c r="AF4617" i="1"/>
  <c r="AM4617" i="1"/>
  <c r="AN4617" i="1"/>
  <c r="AO4617" i="1"/>
  <c r="AQ4617" i="1"/>
  <c r="AX4617" i="1"/>
  <c r="BD4617" i="1"/>
  <c r="B4618" i="1"/>
  <c r="C4618" i="1"/>
  <c r="D4618" i="1"/>
  <c r="E4618" i="1"/>
  <c r="F4618" i="1"/>
  <c r="G4618" i="1"/>
  <c r="H4618" i="1"/>
  <c r="I4618" i="1"/>
  <c r="J4618" i="1"/>
  <c r="K4618" i="1"/>
  <c r="M4618" i="1"/>
  <c r="O4618" i="1"/>
  <c r="Q4618" i="1"/>
  <c r="R4618" i="1"/>
  <c r="W4618" i="1"/>
  <c r="AA4618" i="1"/>
  <c r="AB4618" i="1"/>
  <c r="AE4618" i="1"/>
  <c r="AF4618" i="1"/>
  <c r="AM4618" i="1"/>
  <c r="AN4618" i="1"/>
  <c r="AO4618" i="1"/>
  <c r="AQ4618" i="1"/>
  <c r="AX4618" i="1"/>
  <c r="BD4618" i="1"/>
  <c r="B4619" i="1"/>
  <c r="C4619" i="1"/>
  <c r="D4619" i="1"/>
  <c r="E4619" i="1"/>
  <c r="F4619" i="1"/>
  <c r="G4619" i="1"/>
  <c r="H4619" i="1"/>
  <c r="I4619" i="1"/>
  <c r="J4619" i="1"/>
  <c r="K4619" i="1"/>
  <c r="M4619" i="1"/>
  <c r="O4619" i="1"/>
  <c r="Q4619" i="1"/>
  <c r="R4619" i="1"/>
  <c r="W4619" i="1"/>
  <c r="AA4619" i="1"/>
  <c r="AB4619" i="1"/>
  <c r="AE4619" i="1"/>
  <c r="AF4619" i="1"/>
  <c r="AM4619" i="1"/>
  <c r="AN4619" i="1"/>
  <c r="AO4619" i="1"/>
  <c r="AQ4619" i="1"/>
  <c r="AX4619" i="1"/>
  <c r="BD4619" i="1"/>
  <c r="B4620" i="1"/>
  <c r="C4620" i="1"/>
  <c r="D4620" i="1"/>
  <c r="E4620" i="1"/>
  <c r="F4620" i="1"/>
  <c r="G4620" i="1"/>
  <c r="H4620" i="1"/>
  <c r="I4620" i="1"/>
  <c r="J4620" i="1"/>
  <c r="K4620" i="1"/>
  <c r="M4620" i="1"/>
  <c r="O4620" i="1"/>
  <c r="Q4620" i="1"/>
  <c r="R4620" i="1"/>
  <c r="W4620" i="1"/>
  <c r="AA4620" i="1"/>
  <c r="AB4620" i="1"/>
  <c r="AE4620" i="1"/>
  <c r="AF4620" i="1"/>
  <c r="AM4620" i="1"/>
  <c r="AN4620" i="1"/>
  <c r="AO4620" i="1"/>
  <c r="AQ4620" i="1"/>
  <c r="AX4620" i="1"/>
  <c r="BD4620" i="1"/>
  <c r="B4621" i="1"/>
  <c r="C4621" i="1"/>
  <c r="E4621" i="1"/>
  <c r="F4621" i="1"/>
  <c r="G4621" i="1"/>
  <c r="H4621" i="1"/>
  <c r="I4621" i="1"/>
  <c r="J4621" i="1"/>
  <c r="K4621" i="1"/>
  <c r="M4621" i="1"/>
  <c r="O4621" i="1"/>
  <c r="Q4621" i="1"/>
  <c r="R4621" i="1"/>
  <c r="W4621" i="1"/>
  <c r="AA4621" i="1"/>
  <c r="AM4621" i="1"/>
  <c r="AN4621" i="1"/>
  <c r="AO4621" i="1"/>
  <c r="AQ4621" i="1"/>
  <c r="BB4621" i="1"/>
  <c r="BD4621" i="1"/>
  <c r="B4622" i="1"/>
  <c r="C4622" i="1"/>
  <c r="E4622" i="1"/>
  <c r="F4622" i="1"/>
  <c r="G4622" i="1"/>
  <c r="H4622" i="1"/>
  <c r="I4622" i="1"/>
  <c r="J4622" i="1"/>
  <c r="K4622" i="1"/>
  <c r="M4622" i="1"/>
  <c r="O4622" i="1"/>
  <c r="Q4622" i="1"/>
  <c r="R4622" i="1"/>
  <c r="W4622" i="1"/>
  <c r="AA4622" i="1"/>
  <c r="AM4622" i="1"/>
  <c r="AN4622" i="1"/>
  <c r="AO4622" i="1"/>
  <c r="AQ4622" i="1"/>
  <c r="BB4622" i="1"/>
  <c r="BD4622" i="1"/>
  <c r="B4623" i="1"/>
  <c r="C4623" i="1"/>
  <c r="E4623" i="1"/>
  <c r="F4623" i="1"/>
  <c r="G4623" i="1"/>
  <c r="H4623" i="1"/>
  <c r="I4623" i="1"/>
  <c r="J4623" i="1"/>
  <c r="K4623" i="1"/>
  <c r="M4623" i="1"/>
  <c r="O4623" i="1"/>
  <c r="Q4623" i="1"/>
  <c r="R4623" i="1"/>
  <c r="W4623" i="1"/>
  <c r="AA4623" i="1"/>
  <c r="AM4623" i="1"/>
  <c r="AN4623" i="1"/>
  <c r="AO4623" i="1"/>
  <c r="AQ4623" i="1"/>
  <c r="BB4623" i="1"/>
  <c r="BD4623" i="1"/>
  <c r="B4624" i="1"/>
  <c r="C4624" i="1"/>
  <c r="E4624" i="1"/>
  <c r="F4624" i="1"/>
  <c r="G4624" i="1"/>
  <c r="H4624" i="1"/>
  <c r="I4624" i="1"/>
  <c r="J4624" i="1"/>
  <c r="K4624" i="1"/>
  <c r="M4624" i="1"/>
  <c r="O4624" i="1"/>
  <c r="Q4624" i="1"/>
  <c r="R4624" i="1"/>
  <c r="W4624" i="1"/>
  <c r="AA4624" i="1"/>
  <c r="AM4624" i="1"/>
  <c r="AN4624" i="1"/>
  <c r="AO4624" i="1"/>
  <c r="AQ4624" i="1"/>
  <c r="BB4624" i="1"/>
  <c r="BD4624" i="1"/>
  <c r="B4625" i="1"/>
  <c r="C4625" i="1"/>
  <c r="E4625" i="1"/>
  <c r="F4625" i="1"/>
  <c r="G4625" i="1"/>
  <c r="H4625" i="1"/>
  <c r="I4625" i="1"/>
  <c r="J4625" i="1"/>
  <c r="K4625" i="1"/>
  <c r="M4625" i="1"/>
  <c r="O4625" i="1"/>
  <c r="Q4625" i="1"/>
  <c r="R4625" i="1"/>
  <c r="W4625" i="1"/>
  <c r="AA4625" i="1"/>
  <c r="AM4625" i="1"/>
  <c r="AN4625" i="1"/>
  <c r="AO4625" i="1"/>
  <c r="AQ4625" i="1"/>
  <c r="BB4625" i="1"/>
  <c r="BD4625" i="1"/>
  <c r="B4626" i="1"/>
  <c r="C4626" i="1"/>
  <c r="E4626" i="1"/>
  <c r="F4626" i="1"/>
  <c r="G4626" i="1"/>
  <c r="H4626" i="1"/>
  <c r="I4626" i="1"/>
  <c r="J4626" i="1"/>
  <c r="K4626" i="1"/>
  <c r="M4626" i="1"/>
  <c r="O4626" i="1"/>
  <c r="Q4626" i="1"/>
  <c r="R4626" i="1"/>
  <c r="W4626" i="1"/>
  <c r="AA4626" i="1"/>
  <c r="AM4626" i="1"/>
  <c r="AN4626" i="1"/>
  <c r="AO4626" i="1"/>
  <c r="AQ4626" i="1"/>
  <c r="BB4626" i="1"/>
  <c r="BD4626" i="1"/>
  <c r="B4627" i="1"/>
  <c r="C4627" i="1"/>
  <c r="D4627" i="1"/>
  <c r="E4627" i="1"/>
  <c r="F4627" i="1"/>
  <c r="G4627" i="1"/>
  <c r="H4627" i="1"/>
  <c r="I4627" i="1"/>
  <c r="J4627" i="1"/>
  <c r="K4627" i="1"/>
  <c r="M4627" i="1"/>
  <c r="O4627" i="1"/>
  <c r="Q4627" i="1"/>
  <c r="R4627" i="1"/>
  <c r="W4627" i="1"/>
  <c r="AA4627" i="1"/>
  <c r="AB4627" i="1"/>
  <c r="AM4627" i="1"/>
  <c r="AN4627" i="1"/>
  <c r="AO4627" i="1"/>
  <c r="AQ4627" i="1"/>
  <c r="AX4627" i="1"/>
  <c r="BD4627" i="1"/>
  <c r="B4628" i="1"/>
  <c r="C4628" i="1"/>
  <c r="D4628" i="1"/>
  <c r="E4628" i="1"/>
  <c r="F4628" i="1"/>
  <c r="G4628" i="1"/>
  <c r="H4628" i="1"/>
  <c r="I4628" i="1"/>
  <c r="J4628" i="1"/>
  <c r="K4628" i="1"/>
  <c r="M4628" i="1"/>
  <c r="O4628" i="1"/>
  <c r="Q4628" i="1"/>
  <c r="R4628" i="1"/>
  <c r="W4628" i="1"/>
  <c r="AA4628" i="1"/>
  <c r="AB4628" i="1"/>
  <c r="AE4628" i="1"/>
  <c r="AF4628" i="1"/>
  <c r="AM4628" i="1"/>
  <c r="AN4628" i="1"/>
  <c r="AO4628" i="1"/>
  <c r="AQ4628" i="1"/>
  <c r="AX4628" i="1"/>
  <c r="BD4628" i="1"/>
  <c r="B4629" i="1"/>
  <c r="C4629" i="1"/>
  <c r="D4629" i="1"/>
  <c r="E4629" i="1"/>
  <c r="F4629" i="1"/>
  <c r="G4629" i="1"/>
  <c r="H4629" i="1"/>
  <c r="I4629" i="1"/>
  <c r="J4629" i="1"/>
  <c r="K4629" i="1"/>
  <c r="M4629" i="1"/>
  <c r="O4629" i="1"/>
  <c r="Q4629" i="1"/>
  <c r="R4629" i="1"/>
  <c r="W4629" i="1"/>
  <c r="AA4629" i="1"/>
  <c r="AB4629" i="1"/>
  <c r="AE4629" i="1"/>
  <c r="AF4629" i="1"/>
  <c r="AM4629" i="1"/>
  <c r="AN4629" i="1"/>
  <c r="AO4629" i="1"/>
  <c r="AQ4629" i="1"/>
  <c r="AX4629" i="1"/>
  <c r="BD4629" i="1"/>
  <c r="B4630" i="1"/>
  <c r="C4630" i="1"/>
  <c r="D4630" i="1"/>
  <c r="E4630" i="1"/>
  <c r="F4630" i="1"/>
  <c r="G4630" i="1"/>
  <c r="H4630" i="1"/>
  <c r="I4630" i="1"/>
  <c r="J4630" i="1"/>
  <c r="K4630" i="1"/>
  <c r="M4630" i="1"/>
  <c r="O4630" i="1"/>
  <c r="Q4630" i="1"/>
  <c r="R4630" i="1"/>
  <c r="W4630" i="1"/>
  <c r="AA4630" i="1"/>
  <c r="AB4630" i="1"/>
  <c r="AE4630" i="1"/>
  <c r="AF4630" i="1"/>
  <c r="AM4630" i="1"/>
  <c r="AN4630" i="1"/>
  <c r="AO4630" i="1"/>
  <c r="AQ4630" i="1"/>
  <c r="AX4630" i="1"/>
  <c r="BD4630" i="1"/>
  <c r="B4631" i="1"/>
  <c r="C4631" i="1"/>
  <c r="D4631" i="1"/>
  <c r="E4631" i="1"/>
  <c r="F4631" i="1"/>
  <c r="G4631" i="1"/>
  <c r="H4631" i="1"/>
  <c r="I4631" i="1"/>
  <c r="J4631" i="1"/>
  <c r="K4631" i="1"/>
  <c r="M4631" i="1"/>
  <c r="O4631" i="1"/>
  <c r="Q4631" i="1"/>
  <c r="R4631" i="1"/>
  <c r="W4631" i="1"/>
  <c r="AA4631" i="1"/>
  <c r="AB4631" i="1"/>
  <c r="AM4631" i="1"/>
  <c r="AN4631" i="1"/>
  <c r="AO4631" i="1"/>
  <c r="AQ4631" i="1"/>
  <c r="AX4631" i="1"/>
  <c r="BD4631" i="1"/>
  <c r="B4632" i="1"/>
  <c r="C4632" i="1"/>
  <c r="D4632" i="1"/>
  <c r="E4632" i="1"/>
  <c r="F4632" i="1"/>
  <c r="G4632" i="1"/>
  <c r="H4632" i="1"/>
  <c r="I4632" i="1"/>
  <c r="J4632" i="1"/>
  <c r="K4632" i="1"/>
  <c r="M4632" i="1"/>
  <c r="O4632" i="1"/>
  <c r="Q4632" i="1"/>
  <c r="R4632" i="1"/>
  <c r="W4632" i="1"/>
  <c r="AA4632" i="1"/>
  <c r="AB4632" i="1"/>
  <c r="AE4632" i="1"/>
  <c r="AF4632" i="1"/>
  <c r="AM4632" i="1"/>
  <c r="AN4632" i="1"/>
  <c r="AO4632" i="1"/>
  <c r="AQ4632" i="1"/>
  <c r="AX4632" i="1"/>
  <c r="BD4632" i="1"/>
  <c r="B4633" i="1"/>
  <c r="C4633" i="1"/>
  <c r="D4633" i="1"/>
  <c r="E4633" i="1"/>
  <c r="F4633" i="1"/>
  <c r="G4633" i="1"/>
  <c r="H4633" i="1"/>
  <c r="I4633" i="1"/>
  <c r="J4633" i="1"/>
  <c r="K4633" i="1"/>
  <c r="M4633" i="1"/>
  <c r="O4633" i="1"/>
  <c r="Q4633" i="1"/>
  <c r="R4633" i="1"/>
  <c r="W4633" i="1"/>
  <c r="AA4633" i="1"/>
  <c r="AB4633" i="1"/>
  <c r="AE4633" i="1"/>
  <c r="AF4633" i="1"/>
  <c r="AM4633" i="1"/>
  <c r="AN4633" i="1"/>
  <c r="AO4633" i="1"/>
  <c r="AQ4633" i="1"/>
  <c r="AX4633" i="1"/>
  <c r="BD4633" i="1"/>
  <c r="B4634" i="1"/>
  <c r="C4634" i="1"/>
  <c r="D4634" i="1"/>
  <c r="E4634" i="1"/>
  <c r="F4634" i="1"/>
  <c r="G4634" i="1"/>
  <c r="H4634" i="1"/>
  <c r="I4634" i="1"/>
  <c r="J4634" i="1"/>
  <c r="K4634" i="1"/>
  <c r="M4634" i="1"/>
  <c r="O4634" i="1"/>
  <c r="Q4634" i="1"/>
  <c r="R4634" i="1"/>
  <c r="W4634" i="1"/>
  <c r="AA4634" i="1"/>
  <c r="AB4634" i="1"/>
  <c r="AE4634" i="1"/>
  <c r="AF4634" i="1"/>
  <c r="AM4634" i="1"/>
  <c r="AN4634" i="1"/>
  <c r="AO4634" i="1"/>
  <c r="AQ4634" i="1"/>
  <c r="AX4634" i="1"/>
  <c r="BD4634" i="1"/>
  <c r="B4635" i="1"/>
  <c r="C4635" i="1"/>
  <c r="D4635" i="1"/>
  <c r="E4635" i="1"/>
  <c r="F4635" i="1"/>
  <c r="G4635" i="1"/>
  <c r="H4635" i="1"/>
  <c r="I4635" i="1"/>
  <c r="J4635" i="1"/>
  <c r="K4635" i="1"/>
  <c r="M4635" i="1"/>
  <c r="O4635" i="1"/>
  <c r="Q4635" i="1"/>
  <c r="R4635" i="1"/>
  <c r="W4635" i="1"/>
  <c r="AA4635" i="1"/>
  <c r="AB4635" i="1"/>
  <c r="AE4635" i="1"/>
  <c r="AF4635" i="1"/>
  <c r="AM4635" i="1"/>
  <c r="AN4635" i="1"/>
  <c r="AO4635" i="1"/>
  <c r="AQ4635" i="1"/>
  <c r="AX4635" i="1"/>
  <c r="BD4635" i="1"/>
  <c r="B4636" i="1"/>
  <c r="C4636" i="1"/>
  <c r="D4636" i="1"/>
  <c r="E4636" i="1"/>
  <c r="F4636" i="1"/>
  <c r="G4636" i="1"/>
  <c r="H4636" i="1"/>
  <c r="I4636" i="1"/>
  <c r="J4636" i="1"/>
  <c r="K4636" i="1"/>
  <c r="M4636" i="1"/>
  <c r="O4636" i="1"/>
  <c r="Q4636" i="1"/>
  <c r="R4636" i="1"/>
  <c r="W4636" i="1"/>
  <c r="AA4636" i="1"/>
  <c r="AB4636" i="1"/>
  <c r="AE4636" i="1"/>
  <c r="AF4636" i="1"/>
  <c r="AM4636" i="1"/>
  <c r="AN4636" i="1"/>
  <c r="AO4636" i="1"/>
  <c r="AQ4636" i="1"/>
  <c r="AX4636" i="1"/>
  <c r="BD4636" i="1"/>
  <c r="B4637" i="1"/>
  <c r="C4637" i="1"/>
  <c r="E4637" i="1"/>
  <c r="F4637" i="1"/>
  <c r="G4637" i="1"/>
  <c r="H4637" i="1"/>
  <c r="I4637" i="1"/>
  <c r="J4637" i="1"/>
  <c r="K4637" i="1"/>
  <c r="M4637" i="1"/>
  <c r="O4637" i="1"/>
  <c r="Q4637" i="1"/>
  <c r="R4637" i="1"/>
  <c r="W4637" i="1"/>
  <c r="AA4637" i="1"/>
  <c r="AM4637" i="1"/>
  <c r="AN4637" i="1"/>
  <c r="AO4637" i="1"/>
  <c r="AQ4637" i="1"/>
  <c r="BB4637" i="1"/>
  <c r="BD4637" i="1"/>
  <c r="B4638" i="1"/>
  <c r="C4638" i="1"/>
  <c r="E4638" i="1"/>
  <c r="F4638" i="1"/>
  <c r="G4638" i="1"/>
  <c r="H4638" i="1"/>
  <c r="I4638" i="1"/>
  <c r="J4638" i="1"/>
  <c r="K4638" i="1"/>
  <c r="M4638" i="1"/>
  <c r="O4638" i="1"/>
  <c r="Q4638" i="1"/>
  <c r="R4638" i="1"/>
  <c r="W4638" i="1"/>
  <c r="AA4638" i="1"/>
  <c r="AM4638" i="1"/>
  <c r="AN4638" i="1"/>
  <c r="AO4638" i="1"/>
  <c r="AQ4638" i="1"/>
  <c r="BB4638" i="1"/>
  <c r="BD4638" i="1"/>
  <c r="B4639" i="1"/>
  <c r="C4639" i="1"/>
  <c r="E4639" i="1"/>
  <c r="F4639" i="1"/>
  <c r="G4639" i="1"/>
  <c r="H4639" i="1"/>
  <c r="I4639" i="1"/>
  <c r="J4639" i="1"/>
  <c r="K4639" i="1"/>
  <c r="M4639" i="1"/>
  <c r="O4639" i="1"/>
  <c r="Q4639" i="1"/>
  <c r="R4639" i="1"/>
  <c r="W4639" i="1"/>
  <c r="AA4639" i="1"/>
  <c r="AM4639" i="1"/>
  <c r="AN4639" i="1"/>
  <c r="AO4639" i="1"/>
  <c r="AQ4639" i="1"/>
  <c r="BB4639" i="1"/>
  <c r="BD4639" i="1"/>
  <c r="B4640" i="1"/>
  <c r="C4640" i="1"/>
  <c r="E4640" i="1"/>
  <c r="F4640" i="1"/>
  <c r="G4640" i="1"/>
  <c r="H4640" i="1"/>
  <c r="I4640" i="1"/>
  <c r="J4640" i="1"/>
  <c r="K4640" i="1"/>
  <c r="M4640" i="1"/>
  <c r="O4640" i="1"/>
  <c r="Q4640" i="1"/>
  <c r="R4640" i="1"/>
  <c r="W4640" i="1"/>
  <c r="AA4640" i="1"/>
  <c r="AM4640" i="1"/>
  <c r="AN4640" i="1"/>
  <c r="AO4640" i="1"/>
  <c r="AQ4640" i="1"/>
  <c r="BB4640" i="1"/>
  <c r="BD4640" i="1"/>
  <c r="B4641" i="1"/>
  <c r="C4641" i="1"/>
  <c r="E4641" i="1"/>
  <c r="F4641" i="1"/>
  <c r="G4641" i="1"/>
  <c r="H4641" i="1"/>
  <c r="I4641" i="1"/>
  <c r="J4641" i="1"/>
  <c r="K4641" i="1"/>
  <c r="M4641" i="1"/>
  <c r="O4641" i="1"/>
  <c r="Q4641" i="1"/>
  <c r="R4641" i="1"/>
  <c r="W4641" i="1"/>
  <c r="AA4641" i="1"/>
  <c r="AM4641" i="1"/>
  <c r="AN4641" i="1"/>
  <c r="AO4641" i="1"/>
  <c r="AQ4641" i="1"/>
  <c r="BB4641" i="1"/>
  <c r="BD4641" i="1"/>
  <c r="B4642" i="1"/>
  <c r="C4642" i="1"/>
  <c r="E4642" i="1"/>
  <c r="F4642" i="1"/>
  <c r="G4642" i="1"/>
  <c r="H4642" i="1"/>
  <c r="I4642" i="1"/>
  <c r="J4642" i="1"/>
  <c r="K4642" i="1"/>
  <c r="M4642" i="1"/>
  <c r="O4642" i="1"/>
  <c r="Q4642" i="1"/>
  <c r="R4642" i="1"/>
  <c r="W4642" i="1"/>
  <c r="AA4642" i="1"/>
  <c r="AM4642" i="1"/>
  <c r="AN4642" i="1"/>
  <c r="AO4642" i="1"/>
  <c r="AQ4642" i="1"/>
  <c r="BB4642" i="1"/>
  <c r="BD4642" i="1"/>
  <c r="B4643" i="1"/>
  <c r="E4643" i="1"/>
  <c r="F4643" i="1"/>
  <c r="G4643" i="1"/>
  <c r="H4643" i="1"/>
  <c r="I4643" i="1"/>
  <c r="J4643" i="1"/>
  <c r="K4643" i="1"/>
  <c r="M4643" i="1"/>
  <c r="O4643" i="1"/>
  <c r="Q4643" i="1"/>
  <c r="R4643" i="1"/>
  <c r="W4643" i="1"/>
  <c r="AA4643" i="1"/>
  <c r="AB4643" i="1"/>
  <c r="AM4643" i="1"/>
  <c r="AN4643" i="1"/>
  <c r="AO4643" i="1"/>
  <c r="AQ4643" i="1"/>
  <c r="AX4643" i="1"/>
  <c r="BD4643" i="1"/>
  <c r="B4644" i="1"/>
  <c r="E4644" i="1"/>
  <c r="F4644" i="1"/>
  <c r="G4644" i="1"/>
  <c r="H4644" i="1"/>
  <c r="I4644" i="1"/>
  <c r="J4644" i="1"/>
  <c r="K4644" i="1"/>
  <c r="M4644" i="1"/>
  <c r="O4644" i="1"/>
  <c r="Q4644" i="1"/>
  <c r="R4644" i="1"/>
  <c r="W4644" i="1"/>
  <c r="AA4644" i="1"/>
  <c r="AB4644" i="1"/>
  <c r="AM4644" i="1"/>
  <c r="AN4644" i="1"/>
  <c r="AO4644" i="1"/>
  <c r="AQ4644" i="1"/>
  <c r="AX4644" i="1"/>
  <c r="BD4644" i="1"/>
  <c r="B4645" i="1"/>
  <c r="E4645" i="1"/>
  <c r="F4645" i="1"/>
  <c r="G4645" i="1"/>
  <c r="H4645" i="1"/>
  <c r="I4645" i="1"/>
  <c r="J4645" i="1"/>
  <c r="K4645" i="1"/>
  <c r="M4645" i="1"/>
  <c r="O4645" i="1"/>
  <c r="Q4645" i="1"/>
  <c r="R4645" i="1"/>
  <c r="W4645" i="1"/>
  <c r="AA4645" i="1"/>
  <c r="AB4645" i="1"/>
  <c r="AM4645" i="1"/>
  <c r="AN4645" i="1"/>
  <c r="AO4645" i="1"/>
  <c r="AQ4645" i="1"/>
  <c r="AX4645" i="1"/>
  <c r="BD4645" i="1"/>
  <c r="B4646" i="1"/>
  <c r="E4646" i="1"/>
  <c r="F4646" i="1"/>
  <c r="G4646" i="1"/>
  <c r="H4646" i="1"/>
  <c r="I4646" i="1"/>
  <c r="J4646" i="1"/>
  <c r="K4646" i="1"/>
  <c r="M4646" i="1"/>
  <c r="O4646" i="1"/>
  <c r="Q4646" i="1"/>
  <c r="R4646" i="1"/>
  <c r="W4646" i="1"/>
  <c r="AA4646" i="1"/>
  <c r="AB4646" i="1"/>
  <c r="AE4646" i="1"/>
  <c r="AF4646" i="1"/>
  <c r="AM4646" i="1"/>
  <c r="AN4646" i="1"/>
  <c r="AO4646" i="1"/>
  <c r="AQ4646" i="1"/>
  <c r="AX4646" i="1"/>
  <c r="BD4646" i="1"/>
  <c r="B4647" i="1"/>
  <c r="E4647" i="1"/>
  <c r="F4647" i="1"/>
  <c r="G4647" i="1"/>
  <c r="H4647" i="1"/>
  <c r="I4647" i="1"/>
  <c r="J4647" i="1"/>
  <c r="K4647" i="1"/>
  <c r="M4647" i="1"/>
  <c r="O4647" i="1"/>
  <c r="Q4647" i="1"/>
  <c r="R4647" i="1"/>
  <c r="W4647" i="1"/>
  <c r="AA4647" i="1"/>
  <c r="AB4647" i="1"/>
  <c r="AE4647" i="1"/>
  <c r="AF4647" i="1"/>
  <c r="AM4647" i="1"/>
  <c r="AN4647" i="1"/>
  <c r="AO4647" i="1"/>
  <c r="AQ4647" i="1"/>
  <c r="AX4647" i="1"/>
  <c r="BD4647" i="1"/>
  <c r="B4648" i="1"/>
  <c r="C4648" i="1"/>
  <c r="D4648" i="1"/>
  <c r="E4648" i="1"/>
  <c r="F4648" i="1"/>
  <c r="G4648" i="1"/>
  <c r="H4648" i="1"/>
  <c r="I4648" i="1"/>
  <c r="J4648" i="1"/>
  <c r="K4648" i="1"/>
  <c r="M4648" i="1"/>
  <c r="O4648" i="1"/>
  <c r="Q4648" i="1"/>
  <c r="R4648" i="1"/>
  <c r="W4648" i="1"/>
  <c r="AA4648" i="1"/>
  <c r="AB4648" i="1"/>
  <c r="AE4648" i="1"/>
  <c r="AF4648" i="1"/>
  <c r="AM4648" i="1"/>
  <c r="AN4648" i="1"/>
  <c r="AO4648" i="1"/>
  <c r="AQ4648" i="1"/>
  <c r="AX4648" i="1"/>
  <c r="BD4648" i="1"/>
  <c r="B4649" i="1"/>
  <c r="C4649" i="1"/>
  <c r="E4649" i="1"/>
  <c r="F4649" i="1"/>
  <c r="G4649" i="1"/>
  <c r="H4649" i="1"/>
  <c r="I4649" i="1"/>
  <c r="J4649" i="1"/>
  <c r="K4649" i="1"/>
  <c r="M4649" i="1"/>
  <c r="O4649" i="1"/>
  <c r="Q4649" i="1"/>
  <c r="R4649" i="1"/>
  <c r="W4649" i="1"/>
  <c r="AA4649" i="1"/>
  <c r="AE4649" i="1"/>
  <c r="AF4649" i="1"/>
  <c r="AM4649" i="1"/>
  <c r="AN4649" i="1"/>
  <c r="AO4649" i="1"/>
  <c r="AQ4649" i="1"/>
  <c r="BD4649" i="1"/>
  <c r="B4650" i="1"/>
  <c r="C4650" i="1"/>
  <c r="E4650" i="1"/>
  <c r="F4650" i="1"/>
  <c r="G4650" i="1"/>
  <c r="H4650" i="1"/>
  <c r="I4650" i="1"/>
  <c r="J4650" i="1"/>
  <c r="K4650" i="1"/>
  <c r="M4650" i="1"/>
  <c r="O4650" i="1"/>
  <c r="Q4650" i="1"/>
  <c r="R4650" i="1"/>
  <c r="W4650" i="1"/>
  <c r="AA4650" i="1"/>
  <c r="AM4650" i="1"/>
  <c r="AN4650" i="1"/>
  <c r="AO4650" i="1"/>
  <c r="AQ4650" i="1"/>
  <c r="BB4650" i="1"/>
  <c r="BD4650" i="1"/>
  <c r="B4651" i="1"/>
  <c r="C4651" i="1"/>
  <c r="E4651" i="1"/>
  <c r="F4651" i="1"/>
  <c r="G4651" i="1"/>
  <c r="H4651" i="1"/>
  <c r="I4651" i="1"/>
  <c r="J4651" i="1"/>
  <c r="K4651" i="1"/>
  <c r="M4651" i="1"/>
  <c r="O4651" i="1"/>
  <c r="Q4651" i="1"/>
  <c r="R4651" i="1"/>
  <c r="W4651" i="1"/>
  <c r="AA4651" i="1"/>
  <c r="AM4651" i="1"/>
  <c r="AN4651" i="1"/>
  <c r="AO4651" i="1"/>
  <c r="AQ4651" i="1"/>
  <c r="BB4651" i="1"/>
  <c r="BD4651" i="1"/>
  <c r="B4652" i="1"/>
  <c r="C4652" i="1"/>
  <c r="D4652" i="1"/>
  <c r="E4652" i="1"/>
  <c r="F4652" i="1"/>
  <c r="G4652" i="1"/>
  <c r="H4652" i="1"/>
  <c r="I4652" i="1"/>
  <c r="J4652" i="1"/>
  <c r="K4652" i="1"/>
  <c r="M4652" i="1"/>
  <c r="O4652" i="1"/>
  <c r="Q4652" i="1"/>
  <c r="R4652" i="1"/>
  <c r="W4652" i="1"/>
  <c r="AA4652" i="1"/>
  <c r="AB4652" i="1"/>
  <c r="AE4652" i="1"/>
  <c r="AF4652" i="1"/>
  <c r="AM4652" i="1"/>
  <c r="AN4652" i="1"/>
  <c r="AO4652" i="1"/>
  <c r="AQ4652" i="1"/>
  <c r="AX4652" i="1"/>
  <c r="BD4652" i="1"/>
  <c r="B4653" i="1"/>
  <c r="C4653" i="1"/>
  <c r="E4653" i="1"/>
  <c r="F4653" i="1"/>
  <c r="G4653" i="1"/>
  <c r="H4653" i="1"/>
  <c r="I4653" i="1"/>
  <c r="J4653" i="1"/>
  <c r="K4653" i="1"/>
  <c r="M4653" i="1"/>
  <c r="O4653" i="1"/>
  <c r="Q4653" i="1"/>
  <c r="R4653" i="1"/>
  <c r="W4653" i="1"/>
  <c r="AA4653" i="1"/>
  <c r="AM4653" i="1"/>
  <c r="AN4653" i="1"/>
  <c r="AO4653" i="1"/>
  <c r="AQ4653" i="1"/>
  <c r="BB4653" i="1"/>
  <c r="BD4653" i="1"/>
  <c r="B4654" i="1"/>
  <c r="C4654" i="1"/>
  <c r="D4654" i="1"/>
  <c r="E4654" i="1"/>
  <c r="F4654" i="1"/>
  <c r="G4654" i="1"/>
  <c r="H4654" i="1"/>
  <c r="I4654" i="1"/>
  <c r="J4654" i="1"/>
  <c r="K4654" i="1"/>
  <c r="M4654" i="1"/>
  <c r="O4654" i="1"/>
  <c r="Q4654" i="1"/>
  <c r="R4654" i="1"/>
  <c r="W4654" i="1"/>
  <c r="AA4654" i="1"/>
  <c r="AB4654" i="1"/>
  <c r="AE4654" i="1"/>
  <c r="AF4654" i="1"/>
  <c r="AM4654" i="1"/>
  <c r="AN4654" i="1"/>
  <c r="AO4654" i="1"/>
  <c r="AQ4654" i="1"/>
  <c r="AX4654" i="1"/>
  <c r="BD4654" i="1"/>
  <c r="B4655" i="1"/>
  <c r="C4655" i="1"/>
  <c r="E4655" i="1"/>
  <c r="F4655" i="1"/>
  <c r="G4655" i="1"/>
  <c r="H4655" i="1"/>
  <c r="I4655" i="1"/>
  <c r="J4655" i="1"/>
  <c r="K4655" i="1"/>
  <c r="M4655" i="1"/>
  <c r="O4655" i="1"/>
  <c r="Q4655" i="1"/>
  <c r="R4655" i="1"/>
  <c r="W4655" i="1"/>
  <c r="AA4655" i="1"/>
  <c r="AM4655" i="1"/>
  <c r="AN4655" i="1"/>
  <c r="AO4655" i="1"/>
  <c r="AQ4655" i="1"/>
  <c r="BB4655" i="1"/>
  <c r="BD4655" i="1"/>
  <c r="B4656" i="1"/>
  <c r="C4656" i="1"/>
  <c r="E4656" i="1"/>
  <c r="F4656" i="1"/>
  <c r="G4656" i="1"/>
  <c r="H4656" i="1"/>
  <c r="I4656" i="1"/>
  <c r="J4656" i="1"/>
  <c r="K4656" i="1"/>
  <c r="M4656" i="1"/>
  <c r="O4656" i="1"/>
  <c r="Q4656" i="1"/>
  <c r="R4656" i="1"/>
  <c r="W4656" i="1"/>
  <c r="AA4656" i="1"/>
  <c r="AB4656" i="1"/>
  <c r="AE4656" i="1"/>
  <c r="AF4656" i="1"/>
  <c r="AM4656" i="1"/>
  <c r="AN4656" i="1"/>
  <c r="AO4656" i="1"/>
  <c r="AQ4656" i="1"/>
  <c r="AX4656" i="1"/>
  <c r="BD4656" i="1"/>
  <c r="B4657" i="1"/>
  <c r="C4657" i="1"/>
  <c r="E4657" i="1"/>
  <c r="F4657" i="1"/>
  <c r="G4657" i="1"/>
  <c r="H4657" i="1"/>
  <c r="I4657" i="1"/>
  <c r="J4657" i="1"/>
  <c r="K4657" i="1"/>
  <c r="M4657" i="1"/>
  <c r="O4657" i="1"/>
  <c r="Q4657" i="1"/>
  <c r="R4657" i="1"/>
  <c r="W4657" i="1"/>
  <c r="AA4657" i="1"/>
  <c r="AB4657" i="1"/>
  <c r="AE4657" i="1"/>
  <c r="AF4657" i="1"/>
  <c r="AM4657" i="1"/>
  <c r="AN4657" i="1"/>
  <c r="AO4657" i="1"/>
  <c r="AQ4657" i="1"/>
  <c r="AX4657" i="1"/>
  <c r="BD4657" i="1"/>
  <c r="B4658" i="1"/>
  <c r="C4658" i="1"/>
  <c r="E4658" i="1"/>
  <c r="F4658" i="1"/>
  <c r="G4658" i="1"/>
  <c r="H4658" i="1"/>
  <c r="I4658" i="1"/>
  <c r="J4658" i="1"/>
  <c r="K4658" i="1"/>
  <c r="M4658" i="1"/>
  <c r="O4658" i="1"/>
  <c r="Q4658" i="1"/>
  <c r="R4658" i="1"/>
  <c r="W4658" i="1"/>
  <c r="AA4658" i="1"/>
  <c r="AM4658" i="1"/>
  <c r="AN4658" i="1"/>
  <c r="AO4658" i="1"/>
  <c r="BB4658" i="1"/>
  <c r="B4659" i="1"/>
  <c r="C4659" i="1"/>
  <c r="E4659" i="1"/>
  <c r="F4659" i="1"/>
  <c r="G4659" i="1"/>
  <c r="H4659" i="1"/>
  <c r="I4659" i="1"/>
  <c r="J4659" i="1"/>
  <c r="K4659" i="1"/>
  <c r="M4659" i="1"/>
  <c r="O4659" i="1"/>
  <c r="Q4659" i="1"/>
  <c r="R4659" i="1"/>
  <c r="W4659" i="1"/>
  <c r="AA4659" i="1"/>
  <c r="AM4659" i="1"/>
  <c r="AN4659" i="1"/>
  <c r="AO4659" i="1"/>
  <c r="BB4659" i="1"/>
  <c r="B4660" i="1"/>
  <c r="C4660" i="1"/>
  <c r="D4660" i="1"/>
  <c r="E4660" i="1"/>
  <c r="F4660" i="1"/>
  <c r="G4660" i="1"/>
  <c r="H4660" i="1"/>
  <c r="I4660" i="1"/>
  <c r="J4660" i="1"/>
  <c r="K4660" i="1"/>
  <c r="M4660" i="1"/>
  <c r="O4660" i="1"/>
  <c r="Q4660" i="1"/>
  <c r="R4660" i="1"/>
  <c r="W4660" i="1"/>
  <c r="AA4660" i="1"/>
  <c r="AB4660" i="1"/>
  <c r="AE4660" i="1"/>
  <c r="AF4660" i="1"/>
  <c r="AM4660" i="1"/>
  <c r="AN4660" i="1"/>
  <c r="AO4660" i="1"/>
  <c r="AX4660" i="1"/>
  <c r="B4661" i="1"/>
  <c r="C4661" i="1"/>
  <c r="E4661" i="1"/>
  <c r="F4661" i="1"/>
  <c r="G4661" i="1"/>
  <c r="H4661" i="1"/>
  <c r="I4661" i="1"/>
  <c r="J4661" i="1"/>
  <c r="K4661" i="1"/>
  <c r="M4661" i="1"/>
  <c r="O4661" i="1"/>
  <c r="Q4661" i="1"/>
  <c r="R4661" i="1"/>
  <c r="W4661" i="1"/>
  <c r="AA4661" i="1"/>
  <c r="AB4661" i="1"/>
  <c r="AE4661" i="1"/>
  <c r="AF4661" i="1"/>
  <c r="AM4661" i="1"/>
  <c r="AN4661" i="1"/>
  <c r="AO4661" i="1"/>
  <c r="AQ4661" i="1"/>
  <c r="AX4661" i="1"/>
  <c r="BD4661" i="1"/>
  <c r="B4662" i="1"/>
  <c r="C4662" i="1"/>
  <c r="E4662" i="1"/>
  <c r="F4662" i="1"/>
  <c r="G4662" i="1"/>
  <c r="H4662" i="1"/>
  <c r="I4662" i="1"/>
  <c r="J4662" i="1"/>
  <c r="K4662" i="1"/>
  <c r="M4662" i="1"/>
  <c r="O4662" i="1"/>
  <c r="Q4662" i="1"/>
  <c r="R4662" i="1"/>
  <c r="W4662" i="1"/>
  <c r="AA4662" i="1"/>
  <c r="AB4662" i="1"/>
  <c r="AE4662" i="1"/>
  <c r="AF4662" i="1"/>
  <c r="AM4662" i="1"/>
  <c r="AN4662" i="1"/>
  <c r="AO4662" i="1"/>
  <c r="AQ4662" i="1"/>
  <c r="AX4662" i="1"/>
  <c r="BD4662" i="1"/>
  <c r="B4663" i="1"/>
  <c r="C4663" i="1"/>
  <c r="E4663" i="1"/>
  <c r="F4663" i="1"/>
  <c r="G4663" i="1"/>
  <c r="H4663" i="1"/>
  <c r="I4663" i="1"/>
  <c r="J4663" i="1"/>
  <c r="K4663" i="1"/>
  <c r="M4663" i="1"/>
  <c r="O4663" i="1"/>
  <c r="Q4663" i="1"/>
  <c r="R4663" i="1"/>
  <c r="W4663" i="1"/>
  <c r="AA4663" i="1"/>
  <c r="AB4663" i="1"/>
  <c r="AE4663" i="1"/>
  <c r="AF4663" i="1"/>
  <c r="AM4663" i="1"/>
  <c r="AN4663" i="1"/>
  <c r="AO4663" i="1"/>
  <c r="AQ4663" i="1"/>
  <c r="AX4663" i="1"/>
  <c r="BD4663" i="1"/>
  <c r="B4664" i="1"/>
  <c r="C4664" i="1"/>
  <c r="E4664" i="1"/>
  <c r="F4664" i="1"/>
  <c r="G4664" i="1"/>
  <c r="H4664" i="1"/>
  <c r="I4664" i="1"/>
  <c r="J4664" i="1"/>
  <c r="K4664" i="1"/>
  <c r="M4664" i="1"/>
  <c r="O4664" i="1"/>
  <c r="Q4664" i="1"/>
  <c r="R4664" i="1"/>
  <c r="W4664" i="1"/>
  <c r="AA4664" i="1"/>
  <c r="AM4664" i="1"/>
  <c r="AN4664" i="1"/>
  <c r="AO4664" i="1"/>
  <c r="AQ4664" i="1"/>
  <c r="BB4664" i="1"/>
  <c r="BD4664" i="1"/>
  <c r="B4665" i="1"/>
  <c r="C4665" i="1"/>
  <c r="E4665" i="1"/>
  <c r="F4665" i="1"/>
  <c r="G4665" i="1"/>
  <c r="H4665" i="1"/>
  <c r="I4665" i="1"/>
  <c r="J4665" i="1"/>
  <c r="K4665" i="1"/>
  <c r="M4665" i="1"/>
  <c r="O4665" i="1"/>
  <c r="Q4665" i="1"/>
  <c r="R4665" i="1"/>
  <c r="W4665" i="1"/>
  <c r="AA4665" i="1"/>
  <c r="AM4665" i="1"/>
  <c r="AN4665" i="1"/>
  <c r="AO4665" i="1"/>
  <c r="AQ4665" i="1"/>
  <c r="BB4665" i="1"/>
  <c r="BD4665" i="1"/>
  <c r="B4666" i="1"/>
  <c r="C4666" i="1"/>
  <c r="E4666" i="1"/>
  <c r="F4666" i="1"/>
  <c r="G4666" i="1"/>
  <c r="H4666" i="1"/>
  <c r="I4666" i="1"/>
  <c r="J4666" i="1"/>
  <c r="K4666" i="1"/>
  <c r="M4666" i="1"/>
  <c r="O4666" i="1"/>
  <c r="Q4666" i="1"/>
  <c r="R4666" i="1"/>
  <c r="W4666" i="1"/>
  <c r="AA4666" i="1"/>
  <c r="AM4666" i="1"/>
  <c r="AN4666" i="1"/>
  <c r="AO4666" i="1"/>
  <c r="AQ4666" i="1"/>
  <c r="BB4666" i="1"/>
  <c r="BD4666" i="1"/>
  <c r="B4667" i="1"/>
  <c r="C4667" i="1"/>
  <c r="E4667" i="1"/>
  <c r="F4667" i="1"/>
  <c r="G4667" i="1"/>
  <c r="H4667" i="1"/>
  <c r="I4667" i="1"/>
  <c r="J4667" i="1"/>
  <c r="K4667" i="1"/>
  <c r="M4667" i="1"/>
  <c r="O4667" i="1"/>
  <c r="Q4667" i="1"/>
  <c r="R4667" i="1"/>
  <c r="W4667" i="1"/>
  <c r="AA4667" i="1"/>
  <c r="AM4667" i="1"/>
  <c r="AN4667" i="1"/>
  <c r="AO4667" i="1"/>
  <c r="AQ4667" i="1"/>
  <c r="BB4667" i="1"/>
  <c r="BD4667" i="1"/>
  <c r="B4668" i="1"/>
  <c r="C4668" i="1"/>
  <c r="E4668" i="1"/>
  <c r="F4668" i="1"/>
  <c r="G4668" i="1"/>
  <c r="H4668" i="1"/>
  <c r="I4668" i="1"/>
  <c r="J4668" i="1"/>
  <c r="K4668" i="1"/>
  <c r="M4668" i="1"/>
  <c r="O4668" i="1"/>
  <c r="Q4668" i="1"/>
  <c r="R4668" i="1"/>
  <c r="W4668" i="1"/>
  <c r="AA4668" i="1"/>
  <c r="AM4668" i="1"/>
  <c r="AN4668" i="1"/>
  <c r="AO4668" i="1"/>
  <c r="AQ4668" i="1"/>
  <c r="BB4668" i="1"/>
  <c r="BD4668" i="1"/>
  <c r="B4669" i="1"/>
  <c r="C4669" i="1"/>
  <c r="E4669" i="1"/>
  <c r="F4669" i="1"/>
  <c r="G4669" i="1"/>
  <c r="H4669" i="1"/>
  <c r="I4669" i="1"/>
  <c r="J4669" i="1"/>
  <c r="K4669" i="1"/>
  <c r="M4669" i="1"/>
  <c r="O4669" i="1"/>
  <c r="Q4669" i="1"/>
  <c r="R4669" i="1"/>
  <c r="W4669" i="1"/>
  <c r="AA4669" i="1"/>
  <c r="AM4669" i="1"/>
  <c r="AN4669" i="1"/>
  <c r="AO4669" i="1"/>
  <c r="AQ4669" i="1"/>
  <c r="BB4669" i="1"/>
  <c r="BD4669" i="1"/>
  <c r="B4670" i="1"/>
  <c r="C4670" i="1"/>
  <c r="D4670" i="1"/>
  <c r="E4670" i="1"/>
  <c r="F4670" i="1"/>
  <c r="G4670" i="1"/>
  <c r="H4670" i="1"/>
  <c r="I4670" i="1"/>
  <c r="J4670" i="1"/>
  <c r="K4670" i="1"/>
  <c r="M4670" i="1"/>
  <c r="O4670" i="1"/>
  <c r="Q4670" i="1"/>
  <c r="R4670" i="1"/>
  <c r="W4670" i="1"/>
  <c r="AA4670" i="1"/>
  <c r="AB4670" i="1"/>
  <c r="AM4670" i="1"/>
  <c r="AN4670" i="1"/>
  <c r="AO4670" i="1"/>
  <c r="AQ4670" i="1"/>
  <c r="AX4670" i="1"/>
  <c r="BD4670" i="1"/>
  <c r="B4671" i="1"/>
  <c r="C4671" i="1"/>
  <c r="D4671" i="1"/>
  <c r="E4671" i="1"/>
  <c r="F4671" i="1"/>
  <c r="G4671" i="1"/>
  <c r="H4671" i="1"/>
  <c r="I4671" i="1"/>
  <c r="J4671" i="1"/>
  <c r="K4671" i="1"/>
  <c r="M4671" i="1"/>
  <c r="O4671" i="1"/>
  <c r="Q4671" i="1"/>
  <c r="R4671" i="1"/>
  <c r="W4671" i="1"/>
  <c r="AA4671" i="1"/>
  <c r="AB4671" i="1"/>
  <c r="AE4671" i="1"/>
  <c r="AF4671" i="1"/>
  <c r="AM4671" i="1"/>
  <c r="AN4671" i="1"/>
  <c r="AO4671" i="1"/>
  <c r="AQ4671" i="1"/>
  <c r="AX4671" i="1"/>
  <c r="BD4671" i="1"/>
  <c r="B4672" i="1"/>
  <c r="C4672" i="1"/>
  <c r="D4672" i="1"/>
  <c r="E4672" i="1"/>
  <c r="F4672" i="1"/>
  <c r="G4672" i="1"/>
  <c r="H4672" i="1"/>
  <c r="I4672" i="1"/>
  <c r="J4672" i="1"/>
  <c r="K4672" i="1"/>
  <c r="M4672" i="1"/>
  <c r="O4672" i="1"/>
  <c r="Q4672" i="1"/>
  <c r="R4672" i="1"/>
  <c r="W4672" i="1"/>
  <c r="AA4672" i="1"/>
  <c r="AB4672" i="1"/>
  <c r="AE4672" i="1"/>
  <c r="AF4672" i="1"/>
  <c r="AM4672" i="1"/>
  <c r="AN4672" i="1"/>
  <c r="AO4672" i="1"/>
  <c r="AQ4672" i="1"/>
  <c r="AX4672" i="1"/>
  <c r="BD4672" i="1"/>
  <c r="B4673" i="1"/>
  <c r="C4673" i="1"/>
  <c r="D4673" i="1"/>
  <c r="E4673" i="1"/>
  <c r="F4673" i="1"/>
  <c r="G4673" i="1"/>
  <c r="H4673" i="1"/>
  <c r="I4673" i="1"/>
  <c r="J4673" i="1"/>
  <c r="K4673" i="1"/>
  <c r="M4673" i="1"/>
  <c r="O4673" i="1"/>
  <c r="Q4673" i="1"/>
  <c r="R4673" i="1"/>
  <c r="W4673" i="1"/>
  <c r="AA4673" i="1"/>
  <c r="AB4673" i="1"/>
  <c r="AE4673" i="1"/>
  <c r="AF4673" i="1"/>
  <c r="AM4673" i="1"/>
  <c r="AN4673" i="1"/>
  <c r="AO4673" i="1"/>
  <c r="AQ4673" i="1"/>
  <c r="AX4673" i="1"/>
  <c r="BD4673" i="1"/>
  <c r="B4674" i="1"/>
  <c r="C4674" i="1"/>
  <c r="E4674" i="1"/>
  <c r="F4674" i="1"/>
  <c r="G4674" i="1"/>
  <c r="H4674" i="1"/>
  <c r="I4674" i="1"/>
  <c r="J4674" i="1"/>
  <c r="K4674" i="1"/>
  <c r="M4674" i="1"/>
  <c r="O4674" i="1"/>
  <c r="Q4674" i="1"/>
  <c r="R4674" i="1"/>
  <c r="W4674" i="1"/>
  <c r="AA4674" i="1"/>
  <c r="AM4674" i="1"/>
  <c r="AN4674" i="1"/>
  <c r="AO4674" i="1"/>
  <c r="AQ4674" i="1"/>
  <c r="BD4674" i="1"/>
  <c r="B4675" i="1"/>
  <c r="C4675" i="1"/>
  <c r="E4675" i="1"/>
  <c r="F4675" i="1"/>
  <c r="G4675" i="1"/>
  <c r="H4675" i="1"/>
  <c r="I4675" i="1"/>
  <c r="J4675" i="1"/>
  <c r="K4675" i="1"/>
  <c r="M4675" i="1"/>
  <c r="O4675" i="1"/>
  <c r="Q4675" i="1"/>
  <c r="R4675" i="1"/>
  <c r="W4675" i="1"/>
  <c r="AA4675" i="1"/>
  <c r="AB4675" i="1"/>
  <c r="AE4675" i="1"/>
  <c r="AF4675" i="1"/>
  <c r="AM4675" i="1"/>
  <c r="AN4675" i="1"/>
  <c r="AO4675" i="1"/>
  <c r="AQ4675" i="1"/>
  <c r="AX4675" i="1"/>
  <c r="BD4675" i="1"/>
  <c r="B4676" i="1"/>
  <c r="C4676" i="1"/>
  <c r="E4676" i="1"/>
  <c r="F4676" i="1"/>
  <c r="G4676" i="1"/>
  <c r="H4676" i="1"/>
  <c r="I4676" i="1"/>
  <c r="J4676" i="1"/>
  <c r="K4676" i="1"/>
  <c r="M4676" i="1"/>
  <c r="O4676" i="1"/>
  <c r="Q4676" i="1"/>
  <c r="R4676" i="1"/>
  <c r="W4676" i="1"/>
  <c r="AA4676" i="1"/>
  <c r="AM4676" i="1"/>
  <c r="AN4676" i="1"/>
  <c r="AO4676" i="1"/>
  <c r="AQ4676" i="1"/>
  <c r="BB4676" i="1"/>
  <c r="BD4676" i="1"/>
  <c r="B4677" i="1"/>
  <c r="C4677" i="1"/>
  <c r="E4677" i="1"/>
  <c r="F4677" i="1"/>
  <c r="G4677" i="1"/>
  <c r="H4677" i="1"/>
  <c r="I4677" i="1"/>
  <c r="J4677" i="1"/>
  <c r="K4677" i="1"/>
  <c r="M4677" i="1"/>
  <c r="O4677" i="1"/>
  <c r="Q4677" i="1"/>
  <c r="R4677" i="1"/>
  <c r="W4677" i="1"/>
  <c r="AA4677" i="1"/>
  <c r="AM4677" i="1"/>
  <c r="AN4677" i="1"/>
  <c r="AO4677" i="1"/>
  <c r="AQ4677" i="1"/>
  <c r="BB4677" i="1"/>
  <c r="BD4677" i="1"/>
  <c r="B4678" i="1"/>
  <c r="C4678" i="1"/>
  <c r="D4678" i="1"/>
  <c r="E4678" i="1"/>
  <c r="F4678" i="1"/>
  <c r="G4678" i="1"/>
  <c r="H4678" i="1"/>
  <c r="I4678" i="1"/>
  <c r="J4678" i="1"/>
  <c r="K4678" i="1"/>
  <c r="M4678" i="1"/>
  <c r="O4678" i="1"/>
  <c r="Q4678" i="1"/>
  <c r="R4678" i="1"/>
  <c r="W4678" i="1"/>
  <c r="AA4678" i="1"/>
  <c r="AB4678" i="1"/>
  <c r="AM4678" i="1"/>
  <c r="AN4678" i="1"/>
  <c r="AO4678" i="1"/>
  <c r="AQ4678" i="1"/>
  <c r="AX4678" i="1"/>
  <c r="BD4678" i="1"/>
  <c r="B4679" i="1"/>
  <c r="C4679" i="1"/>
  <c r="E4679" i="1"/>
  <c r="F4679" i="1"/>
  <c r="G4679" i="1"/>
  <c r="H4679" i="1"/>
  <c r="I4679" i="1"/>
  <c r="J4679" i="1"/>
  <c r="K4679" i="1"/>
  <c r="M4679" i="1"/>
  <c r="O4679" i="1"/>
  <c r="Q4679" i="1"/>
  <c r="R4679" i="1"/>
  <c r="W4679" i="1"/>
  <c r="AA4679" i="1"/>
  <c r="AB4679" i="1"/>
  <c r="AE4679" i="1"/>
  <c r="AF4679" i="1"/>
  <c r="AM4679" i="1"/>
  <c r="AN4679" i="1"/>
  <c r="AO4679" i="1"/>
  <c r="AQ4679" i="1"/>
  <c r="AX4679" i="1"/>
  <c r="BD4679" i="1"/>
  <c r="B4680" i="1"/>
  <c r="C4680" i="1"/>
  <c r="E4680" i="1"/>
  <c r="F4680" i="1"/>
  <c r="G4680" i="1"/>
  <c r="H4680" i="1"/>
  <c r="I4680" i="1"/>
  <c r="J4680" i="1"/>
  <c r="K4680" i="1"/>
  <c r="M4680" i="1"/>
  <c r="O4680" i="1"/>
  <c r="Q4680" i="1"/>
  <c r="R4680" i="1"/>
  <c r="W4680" i="1"/>
  <c r="AA4680" i="1"/>
  <c r="AM4680" i="1"/>
  <c r="AN4680" i="1"/>
  <c r="AO4680" i="1"/>
  <c r="AQ4680" i="1"/>
  <c r="BB4680" i="1"/>
  <c r="BD4680" i="1"/>
  <c r="B4681" i="1"/>
  <c r="C4681" i="1"/>
  <c r="E4681" i="1"/>
  <c r="F4681" i="1"/>
  <c r="G4681" i="1"/>
  <c r="H4681" i="1"/>
  <c r="I4681" i="1"/>
  <c r="J4681" i="1"/>
  <c r="K4681" i="1"/>
  <c r="M4681" i="1"/>
  <c r="O4681" i="1"/>
  <c r="Q4681" i="1"/>
  <c r="R4681" i="1"/>
  <c r="W4681" i="1"/>
  <c r="AA4681" i="1"/>
  <c r="AM4681" i="1"/>
  <c r="AN4681" i="1"/>
  <c r="AO4681" i="1"/>
  <c r="AQ4681" i="1"/>
  <c r="BB4681" i="1"/>
  <c r="BD4681" i="1"/>
  <c r="B4682" i="1"/>
  <c r="C4682" i="1"/>
  <c r="D4682" i="1"/>
  <c r="E4682" i="1"/>
  <c r="F4682" i="1"/>
  <c r="G4682" i="1"/>
  <c r="H4682" i="1"/>
  <c r="I4682" i="1"/>
  <c r="J4682" i="1"/>
  <c r="K4682" i="1"/>
  <c r="M4682" i="1"/>
  <c r="O4682" i="1"/>
  <c r="Q4682" i="1"/>
  <c r="R4682" i="1"/>
  <c r="W4682" i="1"/>
  <c r="AA4682" i="1"/>
  <c r="AB4682" i="1"/>
  <c r="AE4682" i="1"/>
  <c r="AF4682" i="1"/>
  <c r="AM4682" i="1"/>
  <c r="AN4682" i="1"/>
  <c r="AO4682" i="1"/>
  <c r="AQ4682" i="1"/>
  <c r="AX4682" i="1"/>
  <c r="BD4682" i="1"/>
  <c r="B4683" i="1"/>
  <c r="C4683" i="1"/>
  <c r="E4683" i="1"/>
  <c r="F4683" i="1"/>
  <c r="G4683" i="1"/>
  <c r="H4683" i="1"/>
  <c r="I4683" i="1"/>
  <c r="J4683" i="1"/>
  <c r="K4683" i="1"/>
  <c r="M4683" i="1"/>
  <c r="O4683" i="1"/>
  <c r="Q4683" i="1"/>
  <c r="R4683" i="1"/>
  <c r="W4683" i="1"/>
  <c r="AA4683" i="1"/>
  <c r="AB4683" i="1"/>
  <c r="AE4683" i="1"/>
  <c r="AF4683" i="1"/>
  <c r="AM4683" i="1"/>
  <c r="AN4683" i="1"/>
  <c r="AO4683" i="1"/>
  <c r="AQ4683" i="1"/>
  <c r="AX4683" i="1"/>
  <c r="BD4683" i="1"/>
  <c r="B4684" i="1"/>
  <c r="C4684" i="1"/>
  <c r="E4684" i="1"/>
  <c r="F4684" i="1"/>
  <c r="G4684" i="1"/>
  <c r="H4684" i="1"/>
  <c r="I4684" i="1"/>
  <c r="J4684" i="1"/>
  <c r="K4684" i="1"/>
  <c r="M4684" i="1"/>
  <c r="O4684" i="1"/>
  <c r="Q4684" i="1"/>
  <c r="R4684" i="1"/>
  <c r="W4684" i="1"/>
  <c r="AA4684" i="1"/>
  <c r="AB4684" i="1"/>
  <c r="AE4684" i="1"/>
  <c r="AF4684" i="1"/>
  <c r="AM4684" i="1"/>
  <c r="AN4684" i="1"/>
  <c r="AO4684" i="1"/>
  <c r="AQ4684" i="1"/>
  <c r="AX4684" i="1"/>
  <c r="BD4684" i="1"/>
  <c r="B4685" i="1"/>
  <c r="C4685" i="1"/>
  <c r="E4685" i="1"/>
  <c r="F4685" i="1"/>
  <c r="G4685" i="1"/>
  <c r="H4685" i="1"/>
  <c r="I4685" i="1"/>
  <c r="J4685" i="1"/>
  <c r="K4685" i="1"/>
  <c r="M4685" i="1"/>
  <c r="O4685" i="1"/>
  <c r="Q4685" i="1"/>
  <c r="R4685" i="1"/>
  <c r="W4685" i="1"/>
  <c r="AA4685" i="1"/>
  <c r="AB4685" i="1"/>
  <c r="AE4685" i="1"/>
  <c r="AF4685" i="1"/>
  <c r="AM4685" i="1"/>
  <c r="AN4685" i="1"/>
  <c r="AO4685" i="1"/>
  <c r="AQ4685" i="1"/>
  <c r="AX4685" i="1"/>
  <c r="BD4685" i="1"/>
  <c r="B4686" i="1"/>
  <c r="C4686" i="1"/>
  <c r="E4686" i="1"/>
  <c r="F4686" i="1"/>
  <c r="G4686" i="1"/>
  <c r="H4686" i="1"/>
  <c r="I4686" i="1"/>
  <c r="J4686" i="1"/>
  <c r="K4686" i="1"/>
  <c r="M4686" i="1"/>
  <c r="O4686" i="1"/>
  <c r="Q4686" i="1"/>
  <c r="R4686" i="1"/>
  <c r="W4686" i="1"/>
  <c r="AA4686" i="1"/>
  <c r="AB4686" i="1"/>
  <c r="AE4686" i="1"/>
  <c r="AF4686" i="1"/>
  <c r="AM4686" i="1"/>
  <c r="AN4686" i="1"/>
  <c r="AO4686" i="1"/>
  <c r="AQ4686" i="1"/>
  <c r="AX4686" i="1"/>
  <c r="BD4686" i="1"/>
  <c r="B4687" i="1"/>
  <c r="C4687" i="1"/>
  <c r="D4687" i="1"/>
  <c r="E4687" i="1"/>
  <c r="F4687" i="1"/>
  <c r="G4687" i="1"/>
  <c r="H4687" i="1"/>
  <c r="I4687" i="1"/>
  <c r="J4687" i="1"/>
  <c r="K4687" i="1"/>
  <c r="M4687" i="1"/>
  <c r="O4687" i="1"/>
  <c r="Q4687" i="1"/>
  <c r="R4687" i="1"/>
  <c r="W4687" i="1"/>
  <c r="AA4687" i="1"/>
  <c r="AB4687" i="1"/>
  <c r="AE4687" i="1"/>
  <c r="AF4687" i="1"/>
  <c r="AM4687" i="1"/>
  <c r="AN4687" i="1"/>
  <c r="AO4687" i="1"/>
  <c r="AQ4687" i="1"/>
  <c r="AX4687" i="1"/>
  <c r="BD4687" i="1"/>
  <c r="B4688" i="1"/>
  <c r="C4688" i="1"/>
  <c r="D4688" i="1"/>
  <c r="E4688" i="1"/>
  <c r="F4688" i="1"/>
  <c r="G4688" i="1"/>
  <c r="H4688" i="1"/>
  <c r="I4688" i="1"/>
  <c r="J4688" i="1"/>
  <c r="K4688" i="1"/>
  <c r="M4688" i="1"/>
  <c r="O4688" i="1"/>
  <c r="Q4688" i="1"/>
  <c r="R4688" i="1"/>
  <c r="W4688" i="1"/>
  <c r="AA4688" i="1"/>
  <c r="AB4688" i="1"/>
  <c r="AE4688" i="1"/>
  <c r="AF4688" i="1"/>
  <c r="AM4688" i="1"/>
  <c r="AN4688" i="1"/>
  <c r="AO4688" i="1"/>
  <c r="AQ4688" i="1"/>
  <c r="AX4688" i="1"/>
  <c r="BD4688" i="1"/>
  <c r="B4689" i="1"/>
  <c r="E4689" i="1"/>
  <c r="F4689" i="1"/>
  <c r="G4689" i="1"/>
  <c r="H4689" i="1"/>
  <c r="I4689" i="1"/>
  <c r="J4689" i="1"/>
  <c r="K4689" i="1"/>
  <c r="M4689" i="1"/>
  <c r="O4689" i="1"/>
  <c r="Q4689" i="1"/>
  <c r="R4689" i="1"/>
  <c r="W4689" i="1"/>
  <c r="AA4689" i="1"/>
  <c r="AB4689" i="1"/>
  <c r="AM4689" i="1"/>
  <c r="AN4689" i="1"/>
  <c r="AO4689" i="1"/>
  <c r="AQ4689" i="1"/>
  <c r="AX4689" i="1"/>
  <c r="BD4689" i="1"/>
  <c r="B4690" i="1"/>
  <c r="C4690" i="1"/>
  <c r="D4690" i="1"/>
  <c r="E4690" i="1"/>
  <c r="F4690" i="1"/>
  <c r="G4690" i="1"/>
  <c r="H4690" i="1"/>
  <c r="I4690" i="1"/>
  <c r="J4690" i="1"/>
  <c r="K4690" i="1"/>
  <c r="M4690" i="1"/>
  <c r="O4690" i="1"/>
  <c r="Q4690" i="1"/>
  <c r="R4690" i="1"/>
  <c r="W4690" i="1"/>
  <c r="AA4690" i="1"/>
  <c r="AB4690" i="1"/>
  <c r="AM4690" i="1"/>
  <c r="AN4690" i="1"/>
  <c r="AO4690" i="1"/>
  <c r="AQ4690" i="1"/>
  <c r="AX4690" i="1"/>
  <c r="BD4690" i="1"/>
  <c r="B4691" i="1"/>
  <c r="C4691" i="1"/>
  <c r="D4691" i="1"/>
  <c r="E4691" i="1"/>
  <c r="F4691" i="1"/>
  <c r="G4691" i="1"/>
  <c r="H4691" i="1"/>
  <c r="I4691" i="1"/>
  <c r="J4691" i="1"/>
  <c r="K4691" i="1"/>
  <c r="M4691" i="1"/>
  <c r="O4691" i="1"/>
  <c r="Q4691" i="1"/>
  <c r="R4691" i="1"/>
  <c r="W4691" i="1"/>
  <c r="AA4691" i="1"/>
  <c r="AB4691" i="1"/>
  <c r="AM4691" i="1"/>
  <c r="AN4691" i="1"/>
  <c r="AO4691" i="1"/>
  <c r="AQ4691" i="1"/>
  <c r="AX4691" i="1"/>
  <c r="BD4691" i="1"/>
  <c r="B4692" i="1"/>
  <c r="E4692" i="1"/>
  <c r="F4692" i="1"/>
  <c r="G4692" i="1"/>
  <c r="H4692" i="1"/>
  <c r="I4692" i="1"/>
  <c r="J4692" i="1"/>
  <c r="K4692" i="1"/>
  <c r="M4692" i="1"/>
  <c r="O4692" i="1"/>
  <c r="Q4692" i="1"/>
  <c r="R4692" i="1"/>
  <c r="W4692" i="1"/>
  <c r="AA4692" i="1"/>
  <c r="AB4692" i="1"/>
  <c r="AM4692" i="1"/>
  <c r="AN4692" i="1"/>
  <c r="AO4692" i="1"/>
  <c r="AQ4692" i="1"/>
  <c r="AX4692" i="1"/>
  <c r="BD4692" i="1"/>
  <c r="B4693" i="1"/>
  <c r="C4693" i="1"/>
  <c r="E4693" i="1"/>
  <c r="F4693" i="1"/>
  <c r="G4693" i="1"/>
  <c r="H4693" i="1"/>
  <c r="I4693" i="1"/>
  <c r="J4693" i="1"/>
  <c r="K4693" i="1"/>
  <c r="M4693" i="1"/>
  <c r="O4693" i="1"/>
  <c r="Q4693" i="1"/>
  <c r="R4693" i="1"/>
  <c r="W4693" i="1"/>
  <c r="AA4693" i="1"/>
  <c r="AB4693" i="1"/>
  <c r="AM4693" i="1"/>
  <c r="AN4693" i="1"/>
  <c r="AO4693" i="1"/>
  <c r="AQ4693" i="1"/>
  <c r="AX4693" i="1"/>
  <c r="BD4693" i="1"/>
  <c r="B4694" i="1"/>
  <c r="C4694" i="1"/>
  <c r="D4694" i="1"/>
  <c r="E4694" i="1"/>
  <c r="F4694" i="1"/>
  <c r="G4694" i="1"/>
  <c r="H4694" i="1"/>
  <c r="I4694" i="1"/>
  <c r="J4694" i="1"/>
  <c r="K4694" i="1"/>
  <c r="M4694" i="1"/>
  <c r="O4694" i="1"/>
  <c r="Q4694" i="1"/>
  <c r="R4694" i="1"/>
  <c r="W4694" i="1"/>
  <c r="AA4694" i="1"/>
  <c r="AB4694" i="1"/>
  <c r="AE4694" i="1"/>
  <c r="AF4694" i="1"/>
  <c r="AM4694" i="1"/>
  <c r="AN4694" i="1"/>
  <c r="AO4694" i="1"/>
  <c r="AQ4694" i="1"/>
  <c r="AX4694" i="1"/>
  <c r="BD4694" i="1"/>
  <c r="B4695" i="1"/>
  <c r="E4695" i="1"/>
  <c r="F4695" i="1"/>
  <c r="G4695" i="1"/>
  <c r="H4695" i="1"/>
  <c r="I4695" i="1"/>
  <c r="J4695" i="1"/>
  <c r="K4695" i="1"/>
  <c r="M4695" i="1"/>
  <c r="O4695" i="1"/>
  <c r="Q4695" i="1"/>
  <c r="R4695" i="1"/>
  <c r="W4695" i="1"/>
  <c r="AA4695" i="1"/>
  <c r="AB4695" i="1"/>
  <c r="AM4695" i="1"/>
  <c r="AN4695" i="1"/>
  <c r="AO4695" i="1"/>
  <c r="AQ4695" i="1"/>
  <c r="AX4695" i="1"/>
  <c r="BD4695" i="1"/>
  <c r="B4696" i="1"/>
  <c r="C4696" i="1"/>
  <c r="D4696" i="1"/>
  <c r="E4696" i="1"/>
  <c r="F4696" i="1"/>
  <c r="G4696" i="1"/>
  <c r="H4696" i="1"/>
  <c r="I4696" i="1"/>
  <c r="J4696" i="1"/>
  <c r="K4696" i="1"/>
  <c r="M4696" i="1"/>
  <c r="O4696" i="1"/>
  <c r="Q4696" i="1"/>
  <c r="R4696" i="1"/>
  <c r="W4696" i="1"/>
  <c r="AA4696" i="1"/>
  <c r="AB4696" i="1"/>
  <c r="AE4696" i="1"/>
  <c r="AF4696" i="1"/>
  <c r="AM4696" i="1"/>
  <c r="AN4696" i="1"/>
  <c r="AO4696" i="1"/>
  <c r="AQ4696" i="1"/>
  <c r="AX4696" i="1"/>
  <c r="BD4696" i="1"/>
  <c r="B4697" i="1"/>
  <c r="C4697" i="1"/>
  <c r="E4697" i="1"/>
  <c r="F4697" i="1"/>
  <c r="G4697" i="1"/>
  <c r="H4697" i="1"/>
  <c r="I4697" i="1"/>
  <c r="J4697" i="1"/>
  <c r="K4697" i="1"/>
  <c r="M4697" i="1"/>
  <c r="O4697" i="1"/>
  <c r="Q4697" i="1"/>
  <c r="R4697" i="1"/>
  <c r="W4697" i="1"/>
  <c r="AA4697" i="1"/>
  <c r="AB4697" i="1"/>
  <c r="AE4697" i="1"/>
  <c r="AF4697" i="1"/>
  <c r="AM4697" i="1"/>
  <c r="AN4697" i="1"/>
  <c r="AO4697" i="1"/>
  <c r="AQ4697" i="1"/>
  <c r="AX4697" i="1"/>
  <c r="BD4697" i="1"/>
  <c r="B4698" i="1"/>
  <c r="C4698" i="1"/>
  <c r="D4698" i="1"/>
  <c r="E4698" i="1"/>
  <c r="F4698" i="1"/>
  <c r="G4698" i="1"/>
  <c r="H4698" i="1"/>
  <c r="I4698" i="1"/>
  <c r="J4698" i="1"/>
  <c r="K4698" i="1"/>
  <c r="M4698" i="1"/>
  <c r="O4698" i="1"/>
  <c r="Q4698" i="1"/>
  <c r="R4698" i="1"/>
  <c r="W4698" i="1"/>
  <c r="AA4698" i="1"/>
  <c r="AB4698" i="1"/>
  <c r="AE4698" i="1"/>
  <c r="AF4698" i="1"/>
  <c r="AM4698" i="1"/>
  <c r="AN4698" i="1"/>
  <c r="AO4698" i="1"/>
  <c r="AQ4698" i="1"/>
  <c r="AX4698" i="1"/>
  <c r="BD4698" i="1"/>
  <c r="B4699" i="1"/>
  <c r="E4699" i="1"/>
  <c r="F4699" i="1"/>
  <c r="G4699" i="1"/>
  <c r="H4699" i="1"/>
  <c r="I4699" i="1"/>
  <c r="J4699" i="1"/>
  <c r="K4699" i="1"/>
  <c r="M4699" i="1"/>
  <c r="O4699" i="1"/>
  <c r="Q4699" i="1"/>
  <c r="R4699" i="1"/>
  <c r="W4699" i="1"/>
  <c r="AA4699" i="1"/>
  <c r="AB4699" i="1"/>
  <c r="AM4699" i="1"/>
  <c r="AN4699" i="1"/>
  <c r="AO4699" i="1"/>
  <c r="AQ4699" i="1"/>
  <c r="AX4699" i="1"/>
  <c r="BD4699" i="1"/>
  <c r="B4700" i="1"/>
  <c r="C4700" i="1"/>
  <c r="D4700" i="1"/>
  <c r="E4700" i="1"/>
  <c r="F4700" i="1"/>
  <c r="G4700" i="1"/>
  <c r="H4700" i="1"/>
  <c r="I4700" i="1"/>
  <c r="J4700" i="1"/>
  <c r="K4700" i="1"/>
  <c r="M4700" i="1"/>
  <c r="O4700" i="1"/>
  <c r="Q4700" i="1"/>
  <c r="R4700" i="1"/>
  <c r="W4700" i="1"/>
  <c r="AA4700" i="1"/>
  <c r="AB4700" i="1"/>
  <c r="AE4700" i="1"/>
  <c r="AF4700" i="1"/>
  <c r="AM4700" i="1"/>
  <c r="AN4700" i="1"/>
  <c r="AO4700" i="1"/>
  <c r="AQ4700" i="1"/>
  <c r="AX4700" i="1"/>
  <c r="BD4700" i="1"/>
  <c r="B4701" i="1"/>
  <c r="C4701" i="1"/>
  <c r="D4701" i="1"/>
  <c r="E4701" i="1"/>
  <c r="F4701" i="1"/>
  <c r="G4701" i="1"/>
  <c r="H4701" i="1"/>
  <c r="I4701" i="1"/>
  <c r="J4701" i="1"/>
  <c r="K4701" i="1"/>
  <c r="M4701" i="1"/>
  <c r="O4701" i="1"/>
  <c r="Q4701" i="1"/>
  <c r="R4701" i="1"/>
  <c r="W4701" i="1"/>
  <c r="AA4701" i="1"/>
  <c r="AB4701" i="1"/>
  <c r="AM4701" i="1"/>
  <c r="AN4701" i="1"/>
  <c r="AO4701" i="1"/>
  <c r="AQ4701" i="1"/>
  <c r="AX4701" i="1"/>
  <c r="BD4701" i="1"/>
  <c r="B4702" i="1"/>
  <c r="C4702" i="1"/>
  <c r="D4702" i="1"/>
  <c r="E4702" i="1"/>
  <c r="F4702" i="1"/>
  <c r="G4702" i="1"/>
  <c r="H4702" i="1"/>
  <c r="I4702" i="1"/>
  <c r="J4702" i="1"/>
  <c r="K4702" i="1"/>
  <c r="M4702" i="1"/>
  <c r="O4702" i="1"/>
  <c r="Q4702" i="1"/>
  <c r="R4702" i="1"/>
  <c r="W4702" i="1"/>
  <c r="AA4702" i="1"/>
  <c r="AB4702" i="1"/>
  <c r="AM4702" i="1"/>
  <c r="AN4702" i="1"/>
  <c r="AO4702" i="1"/>
  <c r="AQ4702" i="1"/>
  <c r="AX4702" i="1"/>
  <c r="BD4702" i="1"/>
  <c r="B4703" i="1"/>
  <c r="C4703" i="1"/>
  <c r="E4703" i="1"/>
  <c r="F4703" i="1"/>
  <c r="G4703" i="1"/>
  <c r="H4703" i="1"/>
  <c r="I4703" i="1"/>
  <c r="J4703" i="1"/>
  <c r="K4703" i="1"/>
  <c r="M4703" i="1"/>
  <c r="O4703" i="1"/>
  <c r="Q4703" i="1"/>
  <c r="R4703" i="1"/>
  <c r="W4703" i="1"/>
  <c r="AA4703" i="1"/>
  <c r="AM4703" i="1"/>
  <c r="AN4703" i="1"/>
  <c r="AO4703" i="1"/>
  <c r="AQ4703" i="1"/>
  <c r="BB4703" i="1"/>
  <c r="BD4703" i="1"/>
  <c r="B4704" i="1"/>
  <c r="C4704" i="1"/>
  <c r="E4704" i="1"/>
  <c r="F4704" i="1"/>
  <c r="G4704" i="1"/>
  <c r="H4704" i="1"/>
  <c r="I4704" i="1"/>
  <c r="J4704" i="1"/>
  <c r="K4704" i="1"/>
  <c r="M4704" i="1"/>
  <c r="O4704" i="1"/>
  <c r="Q4704" i="1"/>
  <c r="R4704" i="1"/>
  <c r="W4704" i="1"/>
  <c r="AA4704" i="1"/>
  <c r="AM4704" i="1"/>
  <c r="AN4704" i="1"/>
  <c r="AO4704" i="1"/>
  <c r="AQ4704" i="1"/>
  <c r="BB4704" i="1"/>
  <c r="BD4704" i="1"/>
  <c r="B4705" i="1"/>
  <c r="C4705" i="1"/>
  <c r="E4705" i="1"/>
  <c r="F4705" i="1"/>
  <c r="G4705" i="1"/>
  <c r="H4705" i="1"/>
  <c r="I4705" i="1"/>
  <c r="J4705" i="1"/>
  <c r="K4705" i="1"/>
  <c r="M4705" i="1"/>
  <c r="O4705" i="1"/>
  <c r="Q4705" i="1"/>
  <c r="R4705" i="1"/>
  <c r="W4705" i="1"/>
  <c r="AA4705" i="1"/>
  <c r="AM4705" i="1"/>
  <c r="AN4705" i="1"/>
  <c r="AO4705" i="1"/>
  <c r="AQ4705" i="1"/>
  <c r="BB4705" i="1"/>
  <c r="BD4705" i="1"/>
  <c r="B4706" i="1"/>
  <c r="C4706" i="1"/>
  <c r="E4706" i="1"/>
  <c r="F4706" i="1"/>
  <c r="G4706" i="1"/>
  <c r="H4706" i="1"/>
  <c r="I4706" i="1"/>
  <c r="J4706" i="1"/>
  <c r="K4706" i="1"/>
  <c r="M4706" i="1"/>
  <c r="O4706" i="1"/>
  <c r="Q4706" i="1"/>
  <c r="R4706" i="1"/>
  <c r="W4706" i="1"/>
  <c r="AA4706" i="1"/>
  <c r="AM4706" i="1"/>
  <c r="AN4706" i="1"/>
  <c r="AO4706" i="1"/>
  <c r="AQ4706" i="1"/>
  <c r="BB4706" i="1"/>
  <c r="BD4706" i="1"/>
  <c r="B4707" i="1"/>
  <c r="C4707" i="1"/>
  <c r="E4707" i="1"/>
  <c r="F4707" i="1"/>
  <c r="G4707" i="1"/>
  <c r="H4707" i="1"/>
  <c r="I4707" i="1"/>
  <c r="J4707" i="1"/>
  <c r="K4707" i="1"/>
  <c r="M4707" i="1"/>
  <c r="O4707" i="1"/>
  <c r="Q4707" i="1"/>
  <c r="R4707" i="1"/>
  <c r="W4707" i="1"/>
  <c r="AA4707" i="1"/>
  <c r="AM4707" i="1"/>
  <c r="AN4707" i="1"/>
  <c r="AO4707" i="1"/>
  <c r="AQ4707" i="1"/>
  <c r="BB4707" i="1"/>
  <c r="BD4707" i="1"/>
  <c r="B4708" i="1"/>
  <c r="C4708" i="1"/>
  <c r="E4708" i="1"/>
  <c r="F4708" i="1"/>
  <c r="G4708" i="1"/>
  <c r="H4708" i="1"/>
  <c r="I4708" i="1"/>
  <c r="J4708" i="1"/>
  <c r="K4708" i="1"/>
  <c r="M4708" i="1"/>
  <c r="O4708" i="1"/>
  <c r="Q4708" i="1"/>
  <c r="R4708" i="1"/>
  <c r="W4708" i="1"/>
  <c r="AA4708" i="1"/>
  <c r="AM4708" i="1"/>
  <c r="AN4708" i="1"/>
  <c r="AO4708" i="1"/>
  <c r="AQ4708" i="1"/>
  <c r="BB4708" i="1"/>
  <c r="BD4708" i="1"/>
  <c r="B4709" i="1"/>
  <c r="C4709" i="1"/>
  <c r="D4709" i="1"/>
  <c r="E4709" i="1"/>
  <c r="F4709" i="1"/>
  <c r="G4709" i="1"/>
  <c r="H4709" i="1"/>
  <c r="I4709" i="1"/>
  <c r="J4709" i="1"/>
  <c r="K4709" i="1"/>
  <c r="M4709" i="1"/>
  <c r="O4709" i="1"/>
  <c r="Q4709" i="1"/>
  <c r="R4709" i="1"/>
  <c r="W4709" i="1"/>
  <c r="AA4709" i="1"/>
  <c r="AB4709" i="1"/>
  <c r="AE4709" i="1"/>
  <c r="AF4709" i="1"/>
  <c r="AM4709" i="1"/>
  <c r="AN4709" i="1"/>
  <c r="AO4709" i="1"/>
  <c r="AQ4709" i="1"/>
  <c r="AX4709" i="1"/>
  <c r="BD4709" i="1"/>
  <c r="B4710" i="1"/>
  <c r="C4710" i="1"/>
  <c r="D4710" i="1"/>
  <c r="E4710" i="1"/>
  <c r="F4710" i="1"/>
  <c r="G4710" i="1"/>
  <c r="H4710" i="1"/>
  <c r="I4710" i="1"/>
  <c r="J4710" i="1"/>
  <c r="K4710" i="1"/>
  <c r="M4710" i="1"/>
  <c r="O4710" i="1"/>
  <c r="Q4710" i="1"/>
  <c r="R4710" i="1"/>
  <c r="W4710" i="1"/>
  <c r="AA4710" i="1"/>
  <c r="AB4710" i="1"/>
  <c r="AE4710" i="1"/>
  <c r="AF4710" i="1"/>
  <c r="AM4710" i="1"/>
  <c r="AN4710" i="1"/>
  <c r="AO4710" i="1"/>
  <c r="AQ4710" i="1"/>
  <c r="AX4710" i="1"/>
  <c r="BD4710" i="1"/>
  <c r="B4711" i="1"/>
  <c r="C4711" i="1"/>
  <c r="D4711" i="1"/>
  <c r="E4711" i="1"/>
  <c r="F4711" i="1"/>
  <c r="G4711" i="1"/>
  <c r="H4711" i="1"/>
  <c r="I4711" i="1"/>
  <c r="J4711" i="1"/>
  <c r="K4711" i="1"/>
  <c r="M4711" i="1"/>
  <c r="O4711" i="1"/>
  <c r="Q4711" i="1"/>
  <c r="R4711" i="1"/>
  <c r="W4711" i="1"/>
  <c r="AA4711" i="1"/>
  <c r="AB4711" i="1"/>
  <c r="AE4711" i="1"/>
  <c r="AF4711" i="1"/>
  <c r="AM4711" i="1"/>
  <c r="AN4711" i="1"/>
  <c r="AO4711" i="1"/>
  <c r="AQ4711" i="1"/>
  <c r="AX4711" i="1"/>
  <c r="BD4711" i="1"/>
  <c r="B4712" i="1"/>
  <c r="C4712" i="1"/>
  <c r="D4712" i="1"/>
  <c r="E4712" i="1"/>
  <c r="F4712" i="1"/>
  <c r="G4712" i="1"/>
  <c r="H4712" i="1"/>
  <c r="I4712" i="1"/>
  <c r="J4712" i="1"/>
  <c r="K4712" i="1"/>
  <c r="M4712" i="1"/>
  <c r="O4712" i="1"/>
  <c r="Q4712" i="1"/>
  <c r="R4712" i="1"/>
  <c r="W4712" i="1"/>
  <c r="AA4712" i="1"/>
  <c r="AB4712" i="1"/>
  <c r="AE4712" i="1"/>
  <c r="AF4712" i="1"/>
  <c r="AM4712" i="1"/>
  <c r="AN4712" i="1"/>
  <c r="AO4712" i="1"/>
  <c r="AQ4712" i="1"/>
  <c r="AX4712" i="1"/>
  <c r="BD4712" i="1"/>
  <c r="B4713" i="1"/>
  <c r="C4713" i="1"/>
  <c r="D4713" i="1"/>
  <c r="E4713" i="1"/>
  <c r="F4713" i="1"/>
  <c r="G4713" i="1"/>
  <c r="H4713" i="1"/>
  <c r="I4713" i="1"/>
  <c r="J4713" i="1"/>
  <c r="K4713" i="1"/>
  <c r="M4713" i="1"/>
  <c r="O4713" i="1"/>
  <c r="Q4713" i="1"/>
  <c r="R4713" i="1"/>
  <c r="W4713" i="1"/>
  <c r="AA4713" i="1"/>
  <c r="AB4713" i="1"/>
  <c r="AE4713" i="1"/>
  <c r="AF4713" i="1"/>
  <c r="AM4713" i="1"/>
  <c r="AN4713" i="1"/>
  <c r="AO4713" i="1"/>
  <c r="AQ4713" i="1"/>
  <c r="AX4713" i="1"/>
  <c r="BD4713" i="1"/>
  <c r="B4714" i="1"/>
  <c r="C4714" i="1"/>
  <c r="E4714" i="1"/>
  <c r="F4714" i="1"/>
  <c r="G4714" i="1"/>
  <c r="H4714" i="1"/>
  <c r="I4714" i="1"/>
  <c r="J4714" i="1"/>
  <c r="K4714" i="1"/>
  <c r="M4714" i="1"/>
  <c r="O4714" i="1"/>
  <c r="Q4714" i="1"/>
  <c r="R4714" i="1"/>
  <c r="W4714" i="1"/>
  <c r="AA4714" i="1"/>
  <c r="AB4714" i="1"/>
  <c r="AE4714" i="1"/>
  <c r="AF4714" i="1"/>
  <c r="AM4714" i="1"/>
  <c r="AN4714" i="1"/>
  <c r="AO4714" i="1"/>
  <c r="AQ4714" i="1"/>
  <c r="AX4714" i="1"/>
  <c r="BD4714" i="1"/>
  <c r="B4715" i="1"/>
  <c r="C4715" i="1"/>
  <c r="D4715" i="1"/>
  <c r="E4715" i="1"/>
  <c r="F4715" i="1"/>
  <c r="G4715" i="1"/>
  <c r="H4715" i="1"/>
  <c r="I4715" i="1"/>
  <c r="J4715" i="1"/>
  <c r="K4715" i="1"/>
  <c r="M4715" i="1"/>
  <c r="O4715" i="1"/>
  <c r="Q4715" i="1"/>
  <c r="R4715" i="1"/>
  <c r="W4715" i="1"/>
  <c r="AA4715" i="1"/>
  <c r="AB4715" i="1"/>
  <c r="AM4715" i="1"/>
  <c r="AN4715" i="1"/>
  <c r="AO4715" i="1"/>
  <c r="AQ4715" i="1"/>
  <c r="AX4715" i="1"/>
  <c r="BD4715" i="1"/>
  <c r="B4716" i="1"/>
  <c r="C4716" i="1"/>
  <c r="E4716" i="1"/>
  <c r="F4716" i="1"/>
  <c r="G4716" i="1"/>
  <c r="H4716" i="1"/>
  <c r="I4716" i="1"/>
  <c r="J4716" i="1"/>
  <c r="K4716" i="1"/>
  <c r="M4716" i="1"/>
  <c r="O4716" i="1"/>
  <c r="Q4716" i="1"/>
  <c r="R4716" i="1"/>
  <c r="W4716" i="1"/>
  <c r="AA4716" i="1"/>
  <c r="AM4716" i="1"/>
  <c r="AN4716" i="1"/>
  <c r="AO4716" i="1"/>
  <c r="AQ4716" i="1"/>
  <c r="BB4716" i="1"/>
  <c r="BD4716" i="1"/>
  <c r="B4717" i="1"/>
  <c r="C4717" i="1"/>
  <c r="E4717" i="1"/>
  <c r="F4717" i="1"/>
  <c r="G4717" i="1"/>
  <c r="H4717" i="1"/>
  <c r="I4717" i="1"/>
  <c r="J4717" i="1"/>
  <c r="K4717" i="1"/>
  <c r="M4717" i="1"/>
  <c r="O4717" i="1"/>
  <c r="Q4717" i="1"/>
  <c r="R4717" i="1"/>
  <c r="W4717" i="1"/>
  <c r="AA4717" i="1"/>
  <c r="AM4717" i="1"/>
  <c r="AN4717" i="1"/>
  <c r="AO4717" i="1"/>
  <c r="AQ4717" i="1"/>
  <c r="BB4717" i="1"/>
  <c r="BD4717" i="1"/>
  <c r="B4718" i="1"/>
  <c r="C4718" i="1"/>
  <c r="E4718" i="1"/>
  <c r="F4718" i="1"/>
  <c r="G4718" i="1"/>
  <c r="H4718" i="1"/>
  <c r="I4718" i="1"/>
  <c r="J4718" i="1"/>
  <c r="K4718" i="1"/>
  <c r="M4718" i="1"/>
  <c r="O4718" i="1"/>
  <c r="Q4718" i="1"/>
  <c r="R4718" i="1"/>
  <c r="W4718" i="1"/>
  <c r="AA4718" i="1"/>
  <c r="AM4718" i="1"/>
  <c r="AN4718" i="1"/>
  <c r="AO4718" i="1"/>
  <c r="AQ4718" i="1"/>
  <c r="BB4718" i="1"/>
  <c r="BD4718" i="1"/>
  <c r="B4719" i="1"/>
  <c r="C4719" i="1"/>
  <c r="E4719" i="1"/>
  <c r="F4719" i="1"/>
  <c r="G4719" i="1"/>
  <c r="H4719" i="1"/>
  <c r="I4719" i="1"/>
  <c r="J4719" i="1"/>
  <c r="K4719" i="1"/>
  <c r="M4719" i="1"/>
  <c r="O4719" i="1"/>
  <c r="Q4719" i="1"/>
  <c r="R4719" i="1"/>
  <c r="W4719" i="1"/>
  <c r="AA4719" i="1"/>
  <c r="AM4719" i="1"/>
  <c r="AN4719" i="1"/>
  <c r="AO4719" i="1"/>
  <c r="AQ4719" i="1"/>
  <c r="BB4719" i="1"/>
  <c r="BD4719" i="1"/>
  <c r="B4720" i="1"/>
  <c r="C4720" i="1"/>
  <c r="E4720" i="1"/>
  <c r="F4720" i="1"/>
  <c r="G4720" i="1"/>
  <c r="H4720" i="1"/>
  <c r="I4720" i="1"/>
  <c r="J4720" i="1"/>
  <c r="K4720" i="1"/>
  <c r="M4720" i="1"/>
  <c r="O4720" i="1"/>
  <c r="Q4720" i="1"/>
  <c r="R4720" i="1"/>
  <c r="W4720" i="1"/>
  <c r="AA4720" i="1"/>
  <c r="AM4720" i="1"/>
  <c r="AN4720" i="1"/>
  <c r="AO4720" i="1"/>
  <c r="AQ4720" i="1"/>
  <c r="BB4720" i="1"/>
  <c r="BD4720" i="1"/>
  <c r="B4721" i="1"/>
  <c r="C4721" i="1"/>
  <c r="E4721" i="1"/>
  <c r="F4721" i="1"/>
  <c r="G4721" i="1"/>
  <c r="H4721" i="1"/>
  <c r="I4721" i="1"/>
  <c r="J4721" i="1"/>
  <c r="K4721" i="1"/>
  <c r="M4721" i="1"/>
  <c r="O4721" i="1"/>
  <c r="Q4721" i="1"/>
  <c r="R4721" i="1"/>
  <c r="W4721" i="1"/>
  <c r="AA4721" i="1"/>
  <c r="AM4721" i="1"/>
  <c r="AN4721" i="1"/>
  <c r="AO4721" i="1"/>
  <c r="AQ4721" i="1"/>
  <c r="BB4721" i="1"/>
  <c r="BD4721" i="1"/>
  <c r="B4722" i="1"/>
  <c r="C4722" i="1"/>
  <c r="E4722" i="1"/>
  <c r="F4722" i="1"/>
  <c r="G4722" i="1"/>
  <c r="H4722" i="1"/>
  <c r="I4722" i="1"/>
  <c r="J4722" i="1"/>
  <c r="K4722" i="1"/>
  <c r="M4722" i="1"/>
  <c r="O4722" i="1"/>
  <c r="Q4722" i="1"/>
  <c r="R4722" i="1"/>
  <c r="W4722" i="1"/>
  <c r="AA4722" i="1"/>
  <c r="AM4722" i="1"/>
  <c r="AN4722" i="1"/>
  <c r="AO4722" i="1"/>
  <c r="AQ4722" i="1"/>
  <c r="BB4722" i="1"/>
  <c r="BD4722" i="1"/>
  <c r="B4723" i="1"/>
  <c r="C4723" i="1"/>
  <c r="E4723" i="1"/>
  <c r="F4723" i="1"/>
  <c r="G4723" i="1"/>
  <c r="H4723" i="1"/>
  <c r="I4723" i="1"/>
  <c r="J4723" i="1"/>
  <c r="K4723" i="1"/>
  <c r="M4723" i="1"/>
  <c r="O4723" i="1"/>
  <c r="Q4723" i="1"/>
  <c r="R4723" i="1"/>
  <c r="W4723" i="1"/>
  <c r="AA4723" i="1"/>
  <c r="AM4723" i="1"/>
  <c r="AN4723" i="1"/>
  <c r="AO4723" i="1"/>
  <c r="AQ4723" i="1"/>
  <c r="BB4723" i="1"/>
  <c r="BD4723" i="1"/>
  <c r="B4724" i="1"/>
  <c r="C4724" i="1"/>
  <c r="E4724" i="1"/>
  <c r="F4724" i="1"/>
  <c r="G4724" i="1"/>
  <c r="H4724" i="1"/>
  <c r="I4724" i="1"/>
  <c r="J4724" i="1"/>
  <c r="K4724" i="1"/>
  <c r="M4724" i="1"/>
  <c r="O4724" i="1"/>
  <c r="Q4724" i="1"/>
  <c r="R4724" i="1"/>
  <c r="W4724" i="1"/>
  <c r="AA4724" i="1"/>
  <c r="AM4724" i="1"/>
  <c r="AN4724" i="1"/>
  <c r="AO4724" i="1"/>
  <c r="AQ4724" i="1"/>
  <c r="BB4724" i="1"/>
  <c r="BD4724" i="1"/>
  <c r="B4725" i="1"/>
  <c r="C4725" i="1"/>
  <c r="E4725" i="1"/>
  <c r="F4725" i="1"/>
  <c r="G4725" i="1"/>
  <c r="H4725" i="1"/>
  <c r="I4725" i="1"/>
  <c r="J4725" i="1"/>
  <c r="K4725" i="1"/>
  <c r="M4725" i="1"/>
  <c r="O4725" i="1"/>
  <c r="Q4725" i="1"/>
  <c r="R4725" i="1"/>
  <c r="W4725" i="1"/>
  <c r="AA4725" i="1"/>
  <c r="AM4725" i="1"/>
  <c r="AN4725" i="1"/>
  <c r="AO4725" i="1"/>
  <c r="AQ4725" i="1"/>
  <c r="BB4725" i="1"/>
  <c r="BD4725" i="1"/>
  <c r="B4726" i="1"/>
  <c r="C4726" i="1"/>
  <c r="E4726" i="1"/>
  <c r="F4726" i="1"/>
  <c r="G4726" i="1"/>
  <c r="H4726" i="1"/>
  <c r="I4726" i="1"/>
  <c r="J4726" i="1"/>
  <c r="K4726" i="1"/>
  <c r="M4726" i="1"/>
  <c r="O4726" i="1"/>
  <c r="Q4726" i="1"/>
  <c r="R4726" i="1"/>
  <c r="W4726" i="1"/>
  <c r="AA4726" i="1"/>
  <c r="AM4726" i="1"/>
  <c r="AN4726" i="1"/>
  <c r="AO4726" i="1"/>
  <c r="AQ4726" i="1"/>
  <c r="BB4726" i="1"/>
  <c r="BD4726" i="1"/>
  <c r="B4727" i="1"/>
  <c r="C4727" i="1"/>
  <c r="E4727" i="1"/>
  <c r="F4727" i="1"/>
  <c r="G4727" i="1"/>
  <c r="H4727" i="1"/>
  <c r="I4727" i="1"/>
  <c r="J4727" i="1"/>
  <c r="K4727" i="1"/>
  <c r="M4727" i="1"/>
  <c r="O4727" i="1"/>
  <c r="Q4727" i="1"/>
  <c r="R4727" i="1"/>
  <c r="W4727" i="1"/>
  <c r="AA4727" i="1"/>
  <c r="AM4727" i="1"/>
  <c r="AN4727" i="1"/>
  <c r="AO4727" i="1"/>
  <c r="AQ4727" i="1"/>
  <c r="BB4727" i="1"/>
  <c r="BD4727" i="1"/>
  <c r="B4728" i="1"/>
  <c r="C4728" i="1"/>
  <c r="E4728" i="1"/>
  <c r="F4728" i="1"/>
  <c r="G4728" i="1"/>
  <c r="H4728" i="1"/>
  <c r="I4728" i="1"/>
  <c r="J4728" i="1"/>
  <c r="K4728" i="1"/>
  <c r="M4728" i="1"/>
  <c r="O4728" i="1"/>
  <c r="Q4728" i="1"/>
  <c r="R4728" i="1"/>
  <c r="W4728" i="1"/>
  <c r="AA4728" i="1"/>
  <c r="AM4728" i="1"/>
  <c r="AN4728" i="1"/>
  <c r="AO4728" i="1"/>
  <c r="AQ4728" i="1"/>
  <c r="BD4728" i="1"/>
  <c r="B4729" i="1"/>
  <c r="C4729" i="1"/>
  <c r="E4729" i="1"/>
  <c r="F4729" i="1"/>
  <c r="G4729" i="1"/>
  <c r="H4729" i="1"/>
  <c r="I4729" i="1"/>
  <c r="J4729" i="1"/>
  <c r="K4729" i="1"/>
  <c r="M4729" i="1"/>
  <c r="O4729" i="1"/>
  <c r="Q4729" i="1"/>
  <c r="R4729" i="1"/>
  <c r="W4729" i="1"/>
  <c r="AA4729" i="1"/>
  <c r="AB4729" i="1"/>
  <c r="AE4729" i="1"/>
  <c r="AF4729" i="1"/>
  <c r="AM4729" i="1"/>
  <c r="AN4729" i="1"/>
  <c r="AO4729" i="1"/>
  <c r="AQ4729" i="1"/>
  <c r="AX4729" i="1"/>
  <c r="BD4729" i="1"/>
  <c r="B4730" i="1"/>
  <c r="C4730" i="1"/>
  <c r="E4730" i="1"/>
  <c r="F4730" i="1"/>
  <c r="G4730" i="1"/>
  <c r="H4730" i="1"/>
  <c r="I4730" i="1"/>
  <c r="J4730" i="1"/>
  <c r="K4730" i="1"/>
  <c r="M4730" i="1"/>
  <c r="O4730" i="1"/>
  <c r="Q4730" i="1"/>
  <c r="R4730" i="1"/>
  <c r="W4730" i="1"/>
  <c r="AA4730" i="1"/>
  <c r="AM4730" i="1"/>
  <c r="AN4730" i="1"/>
  <c r="AO4730" i="1"/>
  <c r="AQ4730" i="1"/>
  <c r="BB4730" i="1"/>
  <c r="BD4730" i="1"/>
  <c r="B4731" i="1"/>
  <c r="C4731" i="1"/>
  <c r="E4731" i="1"/>
  <c r="F4731" i="1"/>
  <c r="G4731" i="1"/>
  <c r="H4731" i="1"/>
  <c r="I4731" i="1"/>
  <c r="J4731" i="1"/>
  <c r="K4731" i="1"/>
  <c r="M4731" i="1"/>
  <c r="O4731" i="1"/>
  <c r="Q4731" i="1"/>
  <c r="R4731" i="1"/>
  <c r="W4731" i="1"/>
  <c r="AA4731" i="1"/>
  <c r="AM4731" i="1"/>
  <c r="AN4731" i="1"/>
  <c r="AO4731" i="1"/>
  <c r="AQ4731" i="1"/>
  <c r="BB4731" i="1"/>
  <c r="BD4731" i="1"/>
  <c r="B4732" i="1"/>
  <c r="C4732" i="1"/>
  <c r="D4732" i="1"/>
  <c r="E4732" i="1"/>
  <c r="F4732" i="1"/>
  <c r="G4732" i="1"/>
  <c r="H4732" i="1"/>
  <c r="I4732" i="1"/>
  <c r="J4732" i="1"/>
  <c r="K4732" i="1"/>
  <c r="M4732" i="1"/>
  <c r="O4732" i="1"/>
  <c r="Q4732" i="1"/>
  <c r="R4732" i="1"/>
  <c r="W4732" i="1"/>
  <c r="AA4732" i="1"/>
  <c r="AB4732" i="1"/>
  <c r="AE4732" i="1"/>
  <c r="AF4732" i="1"/>
  <c r="AM4732" i="1"/>
  <c r="AN4732" i="1"/>
  <c r="AO4732" i="1"/>
  <c r="AQ4732" i="1"/>
  <c r="AX4732" i="1"/>
  <c r="BD4732" i="1"/>
  <c r="B4733" i="1"/>
  <c r="E4733" i="1"/>
  <c r="F4733" i="1"/>
  <c r="G4733" i="1"/>
  <c r="H4733" i="1"/>
  <c r="I4733" i="1"/>
  <c r="J4733" i="1"/>
  <c r="K4733" i="1"/>
  <c r="M4733" i="1"/>
  <c r="O4733" i="1"/>
  <c r="Q4733" i="1"/>
  <c r="R4733" i="1"/>
  <c r="W4733" i="1"/>
  <c r="AA4733" i="1"/>
  <c r="AB4733" i="1"/>
  <c r="AM4733" i="1"/>
  <c r="AN4733" i="1"/>
  <c r="AO4733" i="1"/>
  <c r="AQ4733" i="1"/>
  <c r="AX4733" i="1"/>
  <c r="BD4733" i="1"/>
  <c r="B4734" i="1"/>
  <c r="E4734" i="1"/>
  <c r="F4734" i="1"/>
  <c r="G4734" i="1"/>
  <c r="H4734" i="1"/>
  <c r="I4734" i="1"/>
  <c r="J4734" i="1"/>
  <c r="K4734" i="1"/>
  <c r="M4734" i="1"/>
  <c r="O4734" i="1"/>
  <c r="Q4734" i="1"/>
  <c r="R4734" i="1"/>
  <c r="W4734" i="1"/>
  <c r="AA4734" i="1"/>
  <c r="AB4734" i="1"/>
  <c r="AM4734" i="1"/>
  <c r="AN4734" i="1"/>
  <c r="AO4734" i="1"/>
  <c r="AQ4734" i="1"/>
  <c r="AX4734" i="1"/>
  <c r="BD4734" i="1"/>
  <c r="B4735" i="1"/>
  <c r="E4735" i="1"/>
  <c r="F4735" i="1"/>
  <c r="G4735" i="1"/>
  <c r="H4735" i="1"/>
  <c r="I4735" i="1"/>
  <c r="J4735" i="1"/>
  <c r="K4735" i="1"/>
  <c r="M4735" i="1"/>
  <c r="O4735" i="1"/>
  <c r="Q4735" i="1"/>
  <c r="R4735" i="1"/>
  <c r="W4735" i="1"/>
  <c r="AA4735" i="1"/>
  <c r="AB4735" i="1"/>
  <c r="AM4735" i="1"/>
  <c r="AN4735" i="1"/>
  <c r="AO4735" i="1"/>
  <c r="AQ4735" i="1"/>
  <c r="AX4735" i="1"/>
  <c r="BD4735" i="1"/>
  <c r="B4736" i="1"/>
  <c r="C4736" i="1"/>
  <c r="D4736" i="1"/>
  <c r="E4736" i="1"/>
  <c r="F4736" i="1"/>
  <c r="G4736" i="1"/>
  <c r="H4736" i="1"/>
  <c r="I4736" i="1"/>
  <c r="J4736" i="1"/>
  <c r="K4736" i="1"/>
  <c r="M4736" i="1"/>
  <c r="O4736" i="1"/>
  <c r="Q4736" i="1"/>
  <c r="R4736" i="1"/>
  <c r="W4736" i="1"/>
  <c r="AA4736" i="1"/>
  <c r="AB4736" i="1"/>
  <c r="AE4736" i="1"/>
  <c r="AF4736" i="1"/>
  <c r="AM4736" i="1"/>
  <c r="AN4736" i="1"/>
  <c r="AO4736" i="1"/>
  <c r="AQ4736" i="1"/>
  <c r="AX4736" i="1"/>
  <c r="BD4736" i="1"/>
  <c r="B4737" i="1"/>
  <c r="C4737" i="1"/>
  <c r="D4737" i="1"/>
  <c r="E4737" i="1"/>
  <c r="F4737" i="1"/>
  <c r="G4737" i="1"/>
  <c r="H4737" i="1"/>
  <c r="I4737" i="1"/>
  <c r="J4737" i="1"/>
  <c r="K4737" i="1"/>
  <c r="M4737" i="1"/>
  <c r="O4737" i="1"/>
  <c r="Q4737" i="1"/>
  <c r="R4737" i="1"/>
  <c r="W4737" i="1"/>
  <c r="AA4737" i="1"/>
  <c r="AB4737" i="1"/>
  <c r="AE4737" i="1"/>
  <c r="AF4737" i="1"/>
  <c r="AM4737" i="1"/>
  <c r="AN4737" i="1"/>
  <c r="AO4737" i="1"/>
  <c r="AQ4737" i="1"/>
  <c r="AX4737" i="1"/>
  <c r="BD4737" i="1"/>
  <c r="B4738" i="1"/>
  <c r="C4738" i="1"/>
  <c r="D4738" i="1"/>
  <c r="E4738" i="1"/>
  <c r="F4738" i="1"/>
  <c r="G4738" i="1"/>
  <c r="H4738" i="1"/>
  <c r="I4738" i="1"/>
  <c r="J4738" i="1"/>
  <c r="K4738" i="1"/>
  <c r="M4738" i="1"/>
  <c r="O4738" i="1"/>
  <c r="Q4738" i="1"/>
  <c r="R4738" i="1"/>
  <c r="W4738" i="1"/>
  <c r="AA4738" i="1"/>
  <c r="AB4738" i="1"/>
  <c r="AE4738" i="1"/>
  <c r="AF4738" i="1"/>
  <c r="AM4738" i="1"/>
  <c r="AN4738" i="1"/>
  <c r="AO4738" i="1"/>
  <c r="AQ4738" i="1"/>
  <c r="AX4738" i="1"/>
  <c r="BD4738" i="1"/>
  <c r="B4739" i="1"/>
  <c r="C4739" i="1"/>
  <c r="D4739" i="1"/>
  <c r="E4739" i="1"/>
  <c r="F4739" i="1"/>
  <c r="G4739" i="1"/>
  <c r="H4739" i="1"/>
  <c r="I4739" i="1"/>
  <c r="J4739" i="1"/>
  <c r="K4739" i="1"/>
  <c r="M4739" i="1"/>
  <c r="O4739" i="1"/>
  <c r="Q4739" i="1"/>
  <c r="R4739" i="1"/>
  <c r="W4739" i="1"/>
  <c r="AA4739" i="1"/>
  <c r="AB4739" i="1"/>
  <c r="AM4739" i="1"/>
  <c r="AN4739" i="1"/>
  <c r="AO4739" i="1"/>
  <c r="AQ4739" i="1"/>
  <c r="AX4739" i="1"/>
  <c r="BD4739" i="1"/>
  <c r="B4740" i="1"/>
  <c r="C4740" i="1"/>
  <c r="D4740" i="1"/>
  <c r="E4740" i="1"/>
  <c r="F4740" i="1"/>
  <c r="G4740" i="1"/>
  <c r="H4740" i="1"/>
  <c r="I4740" i="1"/>
  <c r="J4740" i="1"/>
  <c r="K4740" i="1"/>
  <c r="M4740" i="1"/>
  <c r="O4740" i="1"/>
  <c r="Q4740" i="1"/>
  <c r="R4740" i="1"/>
  <c r="W4740" i="1"/>
  <c r="AA4740" i="1"/>
  <c r="AB4740" i="1"/>
  <c r="AM4740" i="1"/>
  <c r="AN4740" i="1"/>
  <c r="AO4740" i="1"/>
  <c r="AQ4740" i="1"/>
  <c r="AX4740" i="1"/>
  <c r="BD4740" i="1"/>
  <c r="B4741" i="1"/>
  <c r="C4741" i="1"/>
  <c r="D4741" i="1"/>
  <c r="E4741" i="1"/>
  <c r="F4741" i="1"/>
  <c r="G4741" i="1"/>
  <c r="H4741" i="1"/>
  <c r="I4741" i="1"/>
  <c r="J4741" i="1"/>
  <c r="K4741" i="1"/>
  <c r="M4741" i="1"/>
  <c r="O4741" i="1"/>
  <c r="Q4741" i="1"/>
  <c r="R4741" i="1"/>
  <c r="W4741" i="1"/>
  <c r="AA4741" i="1"/>
  <c r="AB4741" i="1"/>
  <c r="AE4741" i="1"/>
  <c r="AF4741" i="1"/>
  <c r="AM4741" i="1"/>
  <c r="AN4741" i="1"/>
  <c r="AO4741" i="1"/>
  <c r="AQ4741" i="1"/>
  <c r="AX4741" i="1"/>
  <c r="BD4741" i="1"/>
  <c r="B4742" i="1"/>
  <c r="C4742" i="1"/>
  <c r="E4742" i="1"/>
  <c r="F4742" i="1"/>
  <c r="G4742" i="1"/>
  <c r="H4742" i="1"/>
  <c r="I4742" i="1"/>
  <c r="J4742" i="1"/>
  <c r="K4742" i="1"/>
  <c r="M4742" i="1"/>
  <c r="O4742" i="1"/>
  <c r="Q4742" i="1"/>
  <c r="R4742" i="1"/>
  <c r="W4742" i="1"/>
  <c r="AA4742" i="1"/>
  <c r="AM4742" i="1"/>
  <c r="AN4742" i="1"/>
  <c r="AO4742" i="1"/>
  <c r="AQ4742" i="1"/>
  <c r="BB4742" i="1"/>
  <c r="BD4742" i="1"/>
  <c r="B4743" i="1"/>
  <c r="C4743" i="1"/>
  <c r="E4743" i="1"/>
  <c r="F4743" i="1"/>
  <c r="G4743" i="1"/>
  <c r="H4743" i="1"/>
  <c r="I4743" i="1"/>
  <c r="J4743" i="1"/>
  <c r="K4743" i="1"/>
  <c r="M4743" i="1"/>
  <c r="O4743" i="1"/>
  <c r="Q4743" i="1"/>
  <c r="R4743" i="1"/>
  <c r="W4743" i="1"/>
  <c r="AA4743" i="1"/>
  <c r="AM4743" i="1"/>
  <c r="AN4743" i="1"/>
  <c r="AO4743" i="1"/>
  <c r="AQ4743" i="1"/>
  <c r="BB4743" i="1"/>
  <c r="BD4743" i="1"/>
  <c r="B4744" i="1"/>
  <c r="C4744" i="1"/>
  <c r="D4744" i="1"/>
  <c r="E4744" i="1"/>
  <c r="F4744" i="1"/>
  <c r="G4744" i="1"/>
  <c r="H4744" i="1"/>
  <c r="I4744" i="1"/>
  <c r="J4744" i="1"/>
  <c r="K4744" i="1"/>
  <c r="M4744" i="1"/>
  <c r="O4744" i="1"/>
  <c r="Q4744" i="1"/>
  <c r="R4744" i="1"/>
  <c r="W4744" i="1"/>
  <c r="AA4744" i="1"/>
  <c r="AB4744" i="1"/>
  <c r="AE4744" i="1"/>
  <c r="AF4744" i="1"/>
  <c r="AM4744" i="1"/>
  <c r="AN4744" i="1"/>
  <c r="AO4744" i="1"/>
  <c r="AQ4744" i="1"/>
  <c r="AX4744" i="1"/>
  <c r="BD4744" i="1"/>
  <c r="B4745" i="1"/>
  <c r="C4745" i="1"/>
  <c r="D4745" i="1"/>
  <c r="E4745" i="1"/>
  <c r="F4745" i="1"/>
  <c r="G4745" i="1"/>
  <c r="H4745" i="1"/>
  <c r="I4745" i="1"/>
  <c r="J4745" i="1"/>
  <c r="K4745" i="1"/>
  <c r="M4745" i="1"/>
  <c r="O4745" i="1"/>
  <c r="Q4745" i="1"/>
  <c r="R4745" i="1"/>
  <c r="W4745" i="1"/>
  <c r="AA4745" i="1"/>
  <c r="AB4745" i="1"/>
  <c r="AE4745" i="1"/>
  <c r="AF4745" i="1"/>
  <c r="AM4745" i="1"/>
  <c r="AN4745" i="1"/>
  <c r="AO4745" i="1"/>
  <c r="AQ4745" i="1"/>
  <c r="AX4745" i="1"/>
  <c r="BD4745" i="1"/>
  <c r="B4746" i="1"/>
  <c r="C4746" i="1"/>
  <c r="D4746" i="1"/>
  <c r="E4746" i="1"/>
  <c r="F4746" i="1"/>
  <c r="G4746" i="1"/>
  <c r="H4746" i="1"/>
  <c r="I4746" i="1"/>
  <c r="J4746" i="1"/>
  <c r="K4746" i="1"/>
  <c r="M4746" i="1"/>
  <c r="O4746" i="1"/>
  <c r="Q4746" i="1"/>
  <c r="R4746" i="1"/>
  <c r="W4746" i="1"/>
  <c r="AA4746" i="1"/>
  <c r="AB4746" i="1"/>
  <c r="AE4746" i="1"/>
  <c r="AF4746" i="1"/>
  <c r="AM4746" i="1"/>
  <c r="AN4746" i="1"/>
  <c r="AO4746" i="1"/>
  <c r="AQ4746" i="1"/>
  <c r="AX4746" i="1"/>
  <c r="BD4746" i="1"/>
  <c r="B4747" i="1"/>
  <c r="C4747" i="1"/>
  <c r="D4747" i="1"/>
  <c r="E4747" i="1"/>
  <c r="F4747" i="1"/>
  <c r="G4747" i="1"/>
  <c r="H4747" i="1"/>
  <c r="I4747" i="1"/>
  <c r="J4747" i="1"/>
  <c r="K4747" i="1"/>
  <c r="M4747" i="1"/>
  <c r="O4747" i="1"/>
  <c r="Q4747" i="1"/>
  <c r="R4747" i="1"/>
  <c r="W4747" i="1"/>
  <c r="AA4747" i="1"/>
  <c r="AB4747" i="1"/>
  <c r="AE4747" i="1"/>
  <c r="AF4747" i="1"/>
  <c r="AM4747" i="1"/>
  <c r="AN4747" i="1"/>
  <c r="AO4747" i="1"/>
  <c r="AQ4747" i="1"/>
  <c r="AX4747" i="1"/>
  <c r="BD4747" i="1"/>
  <c r="B4748" i="1"/>
  <c r="C4748" i="1"/>
  <c r="E4748" i="1"/>
  <c r="F4748" i="1"/>
  <c r="G4748" i="1"/>
  <c r="H4748" i="1"/>
  <c r="I4748" i="1"/>
  <c r="J4748" i="1"/>
  <c r="K4748" i="1"/>
  <c r="M4748" i="1"/>
  <c r="O4748" i="1"/>
  <c r="Q4748" i="1"/>
  <c r="R4748" i="1"/>
  <c r="W4748" i="1"/>
  <c r="AA4748" i="1"/>
  <c r="AB4748" i="1"/>
  <c r="AE4748" i="1"/>
  <c r="AF4748" i="1"/>
  <c r="AM4748" i="1"/>
  <c r="AN4748" i="1"/>
  <c r="AO4748" i="1"/>
  <c r="AQ4748" i="1"/>
  <c r="AX4748" i="1"/>
  <c r="BD4748" i="1"/>
  <c r="B4749" i="1"/>
  <c r="C4749" i="1"/>
  <c r="E4749" i="1"/>
  <c r="F4749" i="1"/>
  <c r="G4749" i="1"/>
  <c r="H4749" i="1"/>
  <c r="I4749" i="1"/>
  <c r="J4749" i="1"/>
  <c r="K4749" i="1"/>
  <c r="M4749" i="1"/>
  <c r="O4749" i="1"/>
  <c r="Q4749" i="1"/>
  <c r="R4749" i="1"/>
  <c r="W4749" i="1"/>
  <c r="AA4749" i="1"/>
  <c r="AB4749" i="1"/>
  <c r="AE4749" i="1"/>
  <c r="AF4749" i="1"/>
  <c r="AM4749" i="1"/>
  <c r="AN4749" i="1"/>
  <c r="AO4749" i="1"/>
  <c r="AQ4749" i="1"/>
  <c r="AX4749" i="1"/>
  <c r="BD4749" i="1"/>
  <c r="B4750" i="1"/>
  <c r="C4750" i="1"/>
  <c r="E4750" i="1"/>
  <c r="F4750" i="1"/>
  <c r="G4750" i="1"/>
  <c r="H4750" i="1"/>
  <c r="I4750" i="1"/>
  <c r="J4750" i="1"/>
  <c r="K4750" i="1"/>
  <c r="M4750" i="1"/>
  <c r="O4750" i="1"/>
  <c r="Q4750" i="1"/>
  <c r="R4750" i="1"/>
  <c r="W4750" i="1"/>
  <c r="AA4750" i="1"/>
  <c r="AM4750" i="1"/>
  <c r="AN4750" i="1"/>
  <c r="AO4750" i="1"/>
  <c r="AQ4750" i="1"/>
  <c r="BD4750" i="1"/>
  <c r="B4751" i="1"/>
  <c r="C4751" i="1"/>
  <c r="D4751" i="1"/>
  <c r="E4751" i="1"/>
  <c r="F4751" i="1"/>
  <c r="G4751" i="1"/>
  <c r="H4751" i="1"/>
  <c r="I4751" i="1"/>
  <c r="J4751" i="1"/>
  <c r="K4751" i="1"/>
  <c r="M4751" i="1"/>
  <c r="O4751" i="1"/>
  <c r="Q4751" i="1"/>
  <c r="R4751" i="1"/>
  <c r="W4751" i="1"/>
  <c r="AA4751" i="1"/>
  <c r="AB4751" i="1"/>
  <c r="AM4751" i="1"/>
  <c r="AN4751" i="1"/>
  <c r="AO4751" i="1"/>
  <c r="AQ4751" i="1"/>
  <c r="AX4751" i="1"/>
  <c r="BD4751" i="1"/>
  <c r="B4752" i="1"/>
  <c r="C4752" i="1"/>
  <c r="D4752" i="1"/>
  <c r="E4752" i="1"/>
  <c r="F4752" i="1"/>
  <c r="G4752" i="1"/>
  <c r="H4752" i="1"/>
  <c r="I4752" i="1"/>
  <c r="J4752" i="1"/>
  <c r="K4752" i="1"/>
  <c r="M4752" i="1"/>
  <c r="O4752" i="1"/>
  <c r="Q4752" i="1"/>
  <c r="R4752" i="1"/>
  <c r="W4752" i="1"/>
  <c r="AA4752" i="1"/>
  <c r="AB4752" i="1"/>
  <c r="AM4752" i="1"/>
  <c r="AN4752" i="1"/>
  <c r="AO4752" i="1"/>
  <c r="AQ4752" i="1"/>
  <c r="AX4752" i="1"/>
  <c r="BD4752" i="1"/>
  <c r="B4753" i="1"/>
  <c r="C4753" i="1"/>
  <c r="D4753" i="1"/>
  <c r="E4753" i="1"/>
  <c r="F4753" i="1"/>
  <c r="G4753" i="1"/>
  <c r="H4753" i="1"/>
  <c r="I4753" i="1"/>
  <c r="J4753" i="1"/>
  <c r="K4753" i="1"/>
  <c r="M4753" i="1"/>
  <c r="O4753" i="1"/>
  <c r="Q4753" i="1"/>
  <c r="R4753" i="1"/>
  <c r="W4753" i="1"/>
  <c r="AA4753" i="1"/>
  <c r="AB4753" i="1"/>
  <c r="AM4753" i="1"/>
  <c r="AN4753" i="1"/>
  <c r="AO4753" i="1"/>
  <c r="AQ4753" i="1"/>
  <c r="AX4753" i="1"/>
  <c r="BD4753" i="1"/>
  <c r="B4754" i="1"/>
  <c r="C4754" i="1"/>
  <c r="E4754" i="1"/>
  <c r="F4754" i="1"/>
  <c r="G4754" i="1"/>
  <c r="H4754" i="1"/>
  <c r="I4754" i="1"/>
  <c r="J4754" i="1"/>
  <c r="K4754" i="1"/>
  <c r="M4754" i="1"/>
  <c r="O4754" i="1"/>
  <c r="Q4754" i="1"/>
  <c r="R4754" i="1"/>
  <c r="W4754" i="1"/>
  <c r="AA4754" i="1"/>
  <c r="AM4754" i="1"/>
  <c r="AN4754" i="1"/>
  <c r="AO4754" i="1"/>
  <c r="AQ4754" i="1"/>
  <c r="BD4754" i="1"/>
  <c r="B4755" i="1"/>
  <c r="E4755" i="1"/>
  <c r="F4755" i="1"/>
  <c r="G4755" i="1"/>
  <c r="H4755" i="1"/>
  <c r="I4755" i="1"/>
  <c r="J4755" i="1"/>
  <c r="K4755" i="1"/>
  <c r="M4755" i="1"/>
  <c r="O4755" i="1"/>
  <c r="Q4755" i="1"/>
  <c r="R4755" i="1"/>
  <c r="W4755" i="1"/>
  <c r="AA4755" i="1"/>
  <c r="AB4755" i="1"/>
  <c r="AM4755" i="1"/>
  <c r="AN4755" i="1"/>
  <c r="AO4755" i="1"/>
  <c r="AQ4755" i="1"/>
  <c r="AX4755" i="1"/>
  <c r="BD4755" i="1"/>
  <c r="B4756" i="1"/>
  <c r="C4756" i="1"/>
  <c r="D4756" i="1"/>
  <c r="E4756" i="1"/>
  <c r="F4756" i="1"/>
  <c r="G4756" i="1"/>
  <c r="H4756" i="1"/>
  <c r="I4756" i="1"/>
  <c r="J4756" i="1"/>
  <c r="K4756" i="1"/>
  <c r="M4756" i="1"/>
  <c r="O4756" i="1"/>
  <c r="Q4756" i="1"/>
  <c r="R4756" i="1"/>
  <c r="W4756" i="1"/>
  <c r="AA4756" i="1"/>
  <c r="AB4756" i="1"/>
  <c r="AE4756" i="1"/>
  <c r="AF4756" i="1"/>
  <c r="AM4756" i="1"/>
  <c r="AN4756" i="1"/>
  <c r="AO4756" i="1"/>
  <c r="AQ4756" i="1"/>
  <c r="AX4756" i="1"/>
  <c r="BD4756" i="1"/>
  <c r="B4757" i="1"/>
  <c r="C4757" i="1"/>
  <c r="E4757" i="1"/>
  <c r="F4757" i="1"/>
  <c r="G4757" i="1"/>
  <c r="H4757" i="1"/>
  <c r="I4757" i="1"/>
  <c r="J4757" i="1"/>
  <c r="K4757" i="1"/>
  <c r="M4757" i="1"/>
  <c r="O4757" i="1"/>
  <c r="Q4757" i="1"/>
  <c r="R4757" i="1"/>
  <c r="W4757" i="1"/>
  <c r="AA4757" i="1"/>
  <c r="AM4757" i="1"/>
  <c r="AN4757" i="1"/>
  <c r="AO4757" i="1"/>
  <c r="AQ4757" i="1"/>
  <c r="BB4757" i="1"/>
  <c r="BD4757" i="1"/>
  <c r="B4758" i="1"/>
  <c r="C4758" i="1"/>
  <c r="E4758" i="1"/>
  <c r="F4758" i="1"/>
  <c r="G4758" i="1"/>
  <c r="H4758" i="1"/>
  <c r="I4758" i="1"/>
  <c r="J4758" i="1"/>
  <c r="K4758" i="1"/>
  <c r="M4758" i="1"/>
  <c r="O4758" i="1"/>
  <c r="Q4758" i="1"/>
  <c r="R4758" i="1"/>
  <c r="W4758" i="1"/>
  <c r="AA4758" i="1"/>
  <c r="AM4758" i="1"/>
  <c r="AN4758" i="1"/>
  <c r="AO4758" i="1"/>
  <c r="AQ4758" i="1"/>
  <c r="BB4758" i="1"/>
  <c r="BD4758" i="1"/>
  <c r="B4759" i="1"/>
  <c r="C4759" i="1"/>
  <c r="E4759" i="1"/>
  <c r="F4759" i="1"/>
  <c r="G4759" i="1"/>
  <c r="H4759" i="1"/>
  <c r="I4759" i="1"/>
  <c r="J4759" i="1"/>
  <c r="K4759" i="1"/>
  <c r="M4759" i="1"/>
  <c r="O4759" i="1"/>
  <c r="Q4759" i="1"/>
  <c r="R4759" i="1"/>
  <c r="W4759" i="1"/>
  <c r="AA4759" i="1"/>
  <c r="AB4759" i="1"/>
  <c r="AE4759" i="1"/>
  <c r="AF4759" i="1"/>
  <c r="AM4759" i="1"/>
  <c r="AN4759" i="1"/>
  <c r="AO4759" i="1"/>
  <c r="AQ4759" i="1"/>
  <c r="AX4759" i="1"/>
  <c r="BD4759" i="1"/>
  <c r="B4760" i="1"/>
  <c r="C4760" i="1"/>
  <c r="E4760" i="1"/>
  <c r="F4760" i="1"/>
  <c r="G4760" i="1"/>
  <c r="H4760" i="1"/>
  <c r="I4760" i="1"/>
  <c r="J4760" i="1"/>
  <c r="K4760" i="1"/>
  <c r="M4760" i="1"/>
  <c r="O4760" i="1"/>
  <c r="Q4760" i="1"/>
  <c r="R4760" i="1"/>
  <c r="W4760" i="1"/>
  <c r="AA4760" i="1"/>
  <c r="AB4760" i="1"/>
  <c r="AE4760" i="1"/>
  <c r="AF4760" i="1"/>
  <c r="AM4760" i="1"/>
  <c r="AN4760" i="1"/>
  <c r="AO4760" i="1"/>
  <c r="AQ4760" i="1"/>
  <c r="AX4760" i="1"/>
  <c r="BD4760" i="1"/>
  <c r="B4761" i="1"/>
  <c r="C4761" i="1"/>
  <c r="E4761" i="1"/>
  <c r="F4761" i="1"/>
  <c r="G4761" i="1"/>
  <c r="H4761" i="1"/>
  <c r="I4761" i="1"/>
  <c r="J4761" i="1"/>
  <c r="K4761" i="1"/>
  <c r="M4761" i="1"/>
  <c r="O4761" i="1"/>
  <c r="Q4761" i="1"/>
  <c r="R4761" i="1"/>
  <c r="W4761" i="1"/>
  <c r="AA4761" i="1"/>
  <c r="AM4761" i="1"/>
  <c r="AN4761" i="1"/>
  <c r="AO4761" i="1"/>
  <c r="AQ4761" i="1"/>
  <c r="BD4761" i="1"/>
  <c r="B4762" i="1"/>
  <c r="E4762" i="1"/>
  <c r="F4762" i="1"/>
  <c r="G4762" i="1"/>
  <c r="H4762" i="1"/>
  <c r="I4762" i="1"/>
  <c r="J4762" i="1"/>
  <c r="K4762" i="1"/>
  <c r="M4762" i="1"/>
  <c r="O4762" i="1"/>
  <c r="Q4762" i="1"/>
  <c r="R4762" i="1"/>
  <c r="W4762" i="1"/>
  <c r="AA4762" i="1"/>
  <c r="AM4762" i="1"/>
  <c r="AN4762" i="1"/>
  <c r="AO4762" i="1"/>
  <c r="BB4762" i="1"/>
  <c r="B4763" i="1"/>
  <c r="E4763" i="1"/>
  <c r="F4763" i="1"/>
  <c r="G4763" i="1"/>
  <c r="H4763" i="1"/>
  <c r="I4763" i="1"/>
  <c r="J4763" i="1"/>
  <c r="K4763" i="1"/>
  <c r="M4763" i="1"/>
  <c r="O4763" i="1"/>
  <c r="Q4763" i="1"/>
  <c r="R4763" i="1"/>
  <c r="W4763" i="1"/>
  <c r="AA4763" i="1"/>
  <c r="AM4763" i="1"/>
  <c r="AN4763" i="1"/>
  <c r="AO4763" i="1"/>
  <c r="BB4763" i="1"/>
  <c r="B4764" i="1"/>
  <c r="C4764" i="1"/>
  <c r="E4764" i="1"/>
  <c r="F4764" i="1"/>
  <c r="G4764" i="1"/>
  <c r="H4764" i="1"/>
  <c r="I4764" i="1"/>
  <c r="J4764" i="1"/>
  <c r="K4764" i="1"/>
  <c r="M4764" i="1"/>
  <c r="O4764" i="1"/>
  <c r="Q4764" i="1"/>
  <c r="R4764" i="1"/>
  <c r="W4764" i="1"/>
  <c r="AA4764" i="1"/>
  <c r="AB4764" i="1"/>
  <c r="AM4764" i="1"/>
  <c r="AN4764" i="1"/>
  <c r="AO4764" i="1"/>
  <c r="AQ4764" i="1"/>
  <c r="AX4764" i="1"/>
  <c r="BD4764" i="1"/>
  <c r="B4765" i="1"/>
  <c r="C4765" i="1"/>
  <c r="E4765" i="1"/>
  <c r="F4765" i="1"/>
  <c r="G4765" i="1"/>
  <c r="H4765" i="1"/>
  <c r="I4765" i="1"/>
  <c r="J4765" i="1"/>
  <c r="K4765" i="1"/>
  <c r="M4765" i="1"/>
  <c r="O4765" i="1"/>
  <c r="Q4765" i="1"/>
  <c r="R4765" i="1"/>
  <c r="W4765" i="1"/>
  <c r="AA4765" i="1"/>
  <c r="AB4765" i="1"/>
  <c r="AE4765" i="1"/>
  <c r="AF4765" i="1"/>
  <c r="AM4765" i="1"/>
  <c r="AN4765" i="1"/>
  <c r="AO4765" i="1"/>
  <c r="AQ4765" i="1"/>
  <c r="AX4765" i="1"/>
  <c r="BD4765" i="1"/>
  <c r="B4766" i="1"/>
  <c r="C4766" i="1"/>
  <c r="E4766" i="1"/>
  <c r="F4766" i="1"/>
  <c r="G4766" i="1"/>
  <c r="H4766" i="1"/>
  <c r="I4766" i="1"/>
  <c r="J4766" i="1"/>
  <c r="K4766" i="1"/>
  <c r="M4766" i="1"/>
  <c r="O4766" i="1"/>
  <c r="Q4766" i="1"/>
  <c r="R4766" i="1"/>
  <c r="W4766" i="1"/>
  <c r="AA4766" i="1"/>
  <c r="AB4766" i="1"/>
  <c r="AE4766" i="1"/>
  <c r="AF4766" i="1"/>
  <c r="AM4766" i="1"/>
  <c r="AN4766" i="1"/>
  <c r="AO4766" i="1"/>
  <c r="AQ4766" i="1"/>
  <c r="AX4766" i="1"/>
  <c r="BD4766" i="1"/>
  <c r="B4767" i="1"/>
  <c r="C4767" i="1"/>
  <c r="D4767" i="1"/>
  <c r="E4767" i="1"/>
  <c r="F4767" i="1"/>
  <c r="G4767" i="1"/>
  <c r="H4767" i="1"/>
  <c r="I4767" i="1"/>
  <c r="J4767" i="1"/>
  <c r="K4767" i="1"/>
  <c r="M4767" i="1"/>
  <c r="O4767" i="1"/>
  <c r="Q4767" i="1"/>
  <c r="R4767" i="1"/>
  <c r="W4767" i="1"/>
  <c r="AA4767" i="1"/>
  <c r="AB4767" i="1"/>
  <c r="AE4767" i="1"/>
  <c r="AF4767" i="1"/>
  <c r="AM4767" i="1"/>
  <c r="AN4767" i="1"/>
  <c r="AO4767" i="1"/>
  <c r="AQ4767" i="1"/>
  <c r="AX4767" i="1"/>
  <c r="BD4767" i="1"/>
  <c r="B4768" i="1"/>
  <c r="E4768" i="1"/>
  <c r="F4768" i="1"/>
  <c r="G4768" i="1"/>
  <c r="H4768" i="1"/>
  <c r="I4768" i="1"/>
  <c r="J4768" i="1"/>
  <c r="K4768" i="1"/>
  <c r="M4768" i="1"/>
  <c r="O4768" i="1"/>
  <c r="Q4768" i="1"/>
  <c r="R4768" i="1"/>
  <c r="W4768" i="1"/>
  <c r="AA4768" i="1"/>
  <c r="AM4768" i="1"/>
  <c r="AN4768" i="1"/>
  <c r="AO4768" i="1"/>
  <c r="B4769" i="1"/>
  <c r="C4769" i="1"/>
  <c r="D4769" i="1"/>
  <c r="E4769" i="1"/>
  <c r="F4769" i="1"/>
  <c r="G4769" i="1"/>
  <c r="H4769" i="1"/>
  <c r="I4769" i="1"/>
  <c r="J4769" i="1"/>
  <c r="K4769" i="1"/>
  <c r="M4769" i="1"/>
  <c r="O4769" i="1"/>
  <c r="Q4769" i="1"/>
  <c r="R4769" i="1"/>
  <c r="W4769" i="1"/>
  <c r="AA4769" i="1"/>
  <c r="AB4769" i="1"/>
  <c r="AM4769" i="1"/>
  <c r="AN4769" i="1"/>
  <c r="AO4769" i="1"/>
  <c r="AQ4769" i="1"/>
  <c r="AX4769" i="1"/>
  <c r="BD4769" i="1"/>
  <c r="B4770" i="1"/>
  <c r="C4770" i="1"/>
  <c r="D4770" i="1"/>
  <c r="E4770" i="1"/>
  <c r="F4770" i="1"/>
  <c r="G4770" i="1"/>
  <c r="H4770" i="1"/>
  <c r="I4770" i="1"/>
  <c r="J4770" i="1"/>
  <c r="K4770" i="1"/>
  <c r="M4770" i="1"/>
  <c r="O4770" i="1"/>
  <c r="Q4770" i="1"/>
  <c r="R4770" i="1"/>
  <c r="W4770" i="1"/>
  <c r="AA4770" i="1"/>
  <c r="AB4770" i="1"/>
  <c r="AM4770" i="1"/>
  <c r="AN4770" i="1"/>
  <c r="AO4770" i="1"/>
  <c r="AQ4770" i="1"/>
  <c r="AX4770" i="1"/>
  <c r="BD4770" i="1"/>
  <c r="B4771" i="1"/>
  <c r="C4771" i="1"/>
  <c r="E4771" i="1"/>
  <c r="F4771" i="1"/>
  <c r="G4771" i="1"/>
  <c r="H4771" i="1"/>
  <c r="I4771" i="1"/>
  <c r="J4771" i="1"/>
  <c r="K4771" i="1"/>
  <c r="M4771" i="1"/>
  <c r="O4771" i="1"/>
  <c r="Q4771" i="1"/>
  <c r="R4771" i="1"/>
  <c r="W4771" i="1"/>
  <c r="AA4771" i="1"/>
  <c r="AB4771" i="1"/>
  <c r="AM4771" i="1"/>
  <c r="AN4771" i="1"/>
  <c r="AO4771" i="1"/>
  <c r="AQ4771" i="1"/>
  <c r="AX4771" i="1"/>
  <c r="BD4771" i="1"/>
  <c r="B4772" i="1"/>
  <c r="E4772" i="1"/>
  <c r="F4772" i="1"/>
  <c r="G4772" i="1"/>
  <c r="H4772" i="1"/>
  <c r="I4772" i="1"/>
  <c r="J4772" i="1"/>
  <c r="K4772" i="1"/>
  <c r="M4772" i="1"/>
  <c r="O4772" i="1"/>
  <c r="Q4772" i="1"/>
  <c r="R4772" i="1"/>
  <c r="W4772" i="1"/>
  <c r="AA4772" i="1"/>
  <c r="AM4772" i="1"/>
  <c r="AN4772" i="1"/>
  <c r="AO4772" i="1"/>
  <c r="AQ4772" i="1"/>
  <c r="BB4772" i="1"/>
  <c r="BD4772" i="1"/>
  <c r="B4773" i="1"/>
  <c r="E4773" i="1"/>
  <c r="F4773" i="1"/>
  <c r="G4773" i="1"/>
  <c r="H4773" i="1"/>
  <c r="I4773" i="1"/>
  <c r="J4773" i="1"/>
  <c r="K4773" i="1"/>
  <c r="M4773" i="1"/>
  <c r="O4773" i="1"/>
  <c r="Q4773" i="1"/>
  <c r="R4773" i="1"/>
  <c r="W4773" i="1"/>
  <c r="AA4773" i="1"/>
  <c r="AM4773" i="1"/>
  <c r="AN4773" i="1"/>
  <c r="AO4773" i="1"/>
  <c r="AQ4773" i="1"/>
  <c r="BB4773" i="1"/>
  <c r="BD4773" i="1"/>
  <c r="B4774" i="1"/>
  <c r="E4774" i="1"/>
  <c r="F4774" i="1"/>
  <c r="G4774" i="1"/>
  <c r="H4774" i="1"/>
  <c r="I4774" i="1"/>
  <c r="J4774" i="1"/>
  <c r="K4774" i="1"/>
  <c r="M4774" i="1"/>
  <c r="O4774" i="1"/>
  <c r="Q4774" i="1"/>
  <c r="R4774" i="1"/>
  <c r="W4774" i="1"/>
  <c r="AA4774" i="1"/>
  <c r="AM4774" i="1"/>
  <c r="AN4774" i="1"/>
  <c r="AO4774" i="1"/>
  <c r="AQ4774" i="1"/>
  <c r="BB4774" i="1"/>
  <c r="BD4774" i="1"/>
  <c r="B4775" i="1"/>
  <c r="E4775" i="1"/>
  <c r="F4775" i="1"/>
  <c r="G4775" i="1"/>
  <c r="H4775" i="1"/>
  <c r="I4775" i="1"/>
  <c r="J4775" i="1"/>
  <c r="K4775" i="1"/>
  <c r="M4775" i="1"/>
  <c r="O4775" i="1"/>
  <c r="Q4775" i="1"/>
  <c r="R4775" i="1"/>
  <c r="W4775" i="1"/>
  <c r="AA4775" i="1"/>
  <c r="AM4775" i="1"/>
  <c r="AN4775" i="1"/>
  <c r="AO4775" i="1"/>
  <c r="AQ4775" i="1"/>
  <c r="BB4775" i="1"/>
  <c r="BD4775" i="1"/>
  <c r="B4776" i="1"/>
  <c r="E4776" i="1"/>
  <c r="F4776" i="1"/>
  <c r="G4776" i="1"/>
  <c r="H4776" i="1"/>
  <c r="I4776" i="1"/>
  <c r="J4776" i="1"/>
  <c r="K4776" i="1"/>
  <c r="M4776" i="1"/>
  <c r="O4776" i="1"/>
  <c r="Q4776" i="1"/>
  <c r="R4776" i="1"/>
  <c r="W4776" i="1"/>
  <c r="AA4776" i="1"/>
  <c r="AM4776" i="1"/>
  <c r="AN4776" i="1"/>
  <c r="AO4776" i="1"/>
  <c r="AQ4776" i="1"/>
  <c r="BB4776" i="1"/>
  <c r="BD4776" i="1"/>
  <c r="B4777" i="1"/>
  <c r="E4777" i="1"/>
  <c r="F4777" i="1"/>
  <c r="G4777" i="1"/>
  <c r="H4777" i="1"/>
  <c r="I4777" i="1"/>
  <c r="J4777" i="1"/>
  <c r="K4777" i="1"/>
  <c r="M4777" i="1"/>
  <c r="O4777" i="1"/>
  <c r="Q4777" i="1"/>
  <c r="R4777" i="1"/>
  <c r="W4777" i="1"/>
  <c r="AA4777" i="1"/>
  <c r="AM4777" i="1"/>
  <c r="AN4777" i="1"/>
  <c r="AO4777" i="1"/>
  <c r="AQ4777" i="1"/>
  <c r="BB4777" i="1"/>
  <c r="BD4777" i="1"/>
  <c r="B4778" i="1"/>
  <c r="E4778" i="1"/>
  <c r="F4778" i="1"/>
  <c r="G4778" i="1"/>
  <c r="H4778" i="1"/>
  <c r="I4778" i="1"/>
  <c r="J4778" i="1"/>
  <c r="K4778" i="1"/>
  <c r="M4778" i="1"/>
  <c r="O4778" i="1"/>
  <c r="Q4778" i="1"/>
  <c r="R4778" i="1"/>
  <c r="W4778" i="1"/>
  <c r="AA4778" i="1"/>
  <c r="AM4778" i="1"/>
  <c r="AN4778" i="1"/>
  <c r="AO4778" i="1"/>
  <c r="AQ4778" i="1"/>
  <c r="BB4778" i="1"/>
  <c r="BD4778" i="1"/>
  <c r="B4779" i="1"/>
  <c r="E4779" i="1"/>
  <c r="F4779" i="1"/>
  <c r="G4779" i="1"/>
  <c r="H4779" i="1"/>
  <c r="I4779" i="1"/>
  <c r="J4779" i="1"/>
  <c r="K4779" i="1"/>
  <c r="M4779" i="1"/>
  <c r="O4779" i="1"/>
  <c r="Q4779" i="1"/>
  <c r="R4779" i="1"/>
  <c r="W4779" i="1"/>
  <c r="AA4779" i="1"/>
  <c r="AM4779" i="1"/>
  <c r="AN4779" i="1"/>
  <c r="AO4779" i="1"/>
  <c r="AQ4779" i="1"/>
  <c r="BB4779" i="1"/>
  <c r="BD4779" i="1"/>
  <c r="B4780" i="1"/>
  <c r="E4780" i="1"/>
  <c r="F4780" i="1"/>
  <c r="G4780" i="1"/>
  <c r="H4780" i="1"/>
  <c r="I4780" i="1"/>
  <c r="J4780" i="1"/>
  <c r="K4780" i="1"/>
  <c r="M4780" i="1"/>
  <c r="O4780" i="1"/>
  <c r="Q4780" i="1"/>
  <c r="R4780" i="1"/>
  <c r="W4780" i="1"/>
  <c r="AA4780" i="1"/>
  <c r="AM4780" i="1"/>
  <c r="AN4780" i="1"/>
  <c r="AO4780" i="1"/>
  <c r="AQ4780" i="1"/>
  <c r="BB4780" i="1"/>
  <c r="BD4780" i="1"/>
  <c r="B4781" i="1"/>
  <c r="E4781" i="1"/>
  <c r="F4781" i="1"/>
  <c r="G4781" i="1"/>
  <c r="H4781" i="1"/>
  <c r="I4781" i="1"/>
  <c r="J4781" i="1"/>
  <c r="K4781" i="1"/>
  <c r="M4781" i="1"/>
  <c r="O4781" i="1"/>
  <c r="Q4781" i="1"/>
  <c r="R4781" i="1"/>
  <c r="W4781" i="1"/>
  <c r="AA4781" i="1"/>
  <c r="AM4781" i="1"/>
  <c r="AN4781" i="1"/>
  <c r="AO4781" i="1"/>
  <c r="AQ4781" i="1"/>
  <c r="BB4781" i="1"/>
  <c r="BD4781" i="1"/>
  <c r="B4782" i="1"/>
  <c r="E4782" i="1"/>
  <c r="F4782" i="1"/>
  <c r="G4782" i="1"/>
  <c r="H4782" i="1"/>
  <c r="I4782" i="1"/>
  <c r="J4782" i="1"/>
  <c r="K4782" i="1"/>
  <c r="M4782" i="1"/>
  <c r="O4782" i="1"/>
  <c r="Q4782" i="1"/>
  <c r="R4782" i="1"/>
  <c r="W4782" i="1"/>
  <c r="AA4782" i="1"/>
  <c r="AM4782" i="1"/>
  <c r="AN4782" i="1"/>
  <c r="AO4782" i="1"/>
  <c r="AQ4782" i="1"/>
  <c r="BB4782" i="1"/>
  <c r="BD4782" i="1"/>
  <c r="B4783" i="1"/>
  <c r="E4783" i="1"/>
  <c r="F4783" i="1"/>
  <c r="G4783" i="1"/>
  <c r="H4783" i="1"/>
  <c r="I4783" i="1"/>
  <c r="J4783" i="1"/>
  <c r="K4783" i="1"/>
  <c r="M4783" i="1"/>
  <c r="O4783" i="1"/>
  <c r="Q4783" i="1"/>
  <c r="R4783" i="1"/>
  <c r="W4783" i="1"/>
  <c r="AA4783" i="1"/>
  <c r="AM4783" i="1"/>
  <c r="AN4783" i="1"/>
  <c r="AO4783" i="1"/>
  <c r="AQ4783" i="1"/>
  <c r="BB4783" i="1"/>
  <c r="BD4783" i="1"/>
  <c r="B4784" i="1"/>
  <c r="C4784" i="1"/>
  <c r="E4784" i="1"/>
  <c r="F4784" i="1"/>
  <c r="G4784" i="1"/>
  <c r="H4784" i="1"/>
  <c r="I4784" i="1"/>
  <c r="J4784" i="1"/>
  <c r="K4784" i="1"/>
  <c r="M4784" i="1"/>
  <c r="O4784" i="1"/>
  <c r="Q4784" i="1"/>
  <c r="R4784" i="1"/>
  <c r="W4784" i="1"/>
  <c r="AA4784" i="1"/>
  <c r="AB4784" i="1"/>
  <c r="AE4784" i="1"/>
  <c r="AF4784" i="1"/>
  <c r="AM4784" i="1"/>
  <c r="AN4784" i="1"/>
  <c r="AO4784" i="1"/>
  <c r="AQ4784" i="1"/>
  <c r="AX4784" i="1"/>
  <c r="BD4784" i="1"/>
  <c r="B4785" i="1"/>
  <c r="C4785" i="1"/>
  <c r="E4785" i="1"/>
  <c r="F4785" i="1"/>
  <c r="G4785" i="1"/>
  <c r="H4785" i="1"/>
  <c r="I4785" i="1"/>
  <c r="J4785" i="1"/>
  <c r="K4785" i="1"/>
  <c r="M4785" i="1"/>
  <c r="O4785" i="1"/>
  <c r="Q4785" i="1"/>
  <c r="R4785" i="1"/>
  <c r="W4785" i="1"/>
  <c r="AA4785" i="1"/>
  <c r="AB4785" i="1"/>
  <c r="AE4785" i="1"/>
  <c r="AF4785" i="1"/>
  <c r="AM4785" i="1"/>
  <c r="AN4785" i="1"/>
  <c r="AO4785" i="1"/>
  <c r="AQ4785" i="1"/>
  <c r="AX4785" i="1"/>
  <c r="BD4785" i="1"/>
  <c r="B4786" i="1"/>
  <c r="C4786" i="1"/>
  <c r="E4786" i="1"/>
  <c r="F4786" i="1"/>
  <c r="G4786" i="1"/>
  <c r="H4786" i="1"/>
  <c r="I4786" i="1"/>
  <c r="J4786" i="1"/>
  <c r="K4786" i="1"/>
  <c r="M4786" i="1"/>
  <c r="O4786" i="1"/>
  <c r="Q4786" i="1"/>
  <c r="R4786" i="1"/>
  <c r="W4786" i="1"/>
  <c r="AA4786" i="1"/>
  <c r="AB4786" i="1"/>
  <c r="AE4786" i="1"/>
  <c r="AF4786" i="1"/>
  <c r="AM4786" i="1"/>
  <c r="AN4786" i="1"/>
  <c r="AO4786" i="1"/>
  <c r="AQ4786" i="1"/>
  <c r="AX4786" i="1"/>
  <c r="BD4786" i="1"/>
  <c r="B4787" i="1"/>
  <c r="C4787" i="1"/>
  <c r="E4787" i="1"/>
  <c r="F4787" i="1"/>
  <c r="G4787" i="1"/>
  <c r="H4787" i="1"/>
  <c r="I4787" i="1"/>
  <c r="J4787" i="1"/>
  <c r="K4787" i="1"/>
  <c r="M4787" i="1"/>
  <c r="O4787" i="1"/>
  <c r="Q4787" i="1"/>
  <c r="R4787" i="1"/>
  <c r="W4787" i="1"/>
  <c r="AA4787" i="1"/>
  <c r="AB4787" i="1"/>
  <c r="AE4787" i="1"/>
  <c r="AF4787" i="1"/>
  <c r="AM4787" i="1"/>
  <c r="AN4787" i="1"/>
  <c r="AO4787" i="1"/>
  <c r="AQ4787" i="1"/>
  <c r="AX4787" i="1"/>
  <c r="BD4787" i="1"/>
  <c r="B4788" i="1"/>
  <c r="C4788" i="1"/>
  <c r="E4788" i="1"/>
  <c r="F4788" i="1"/>
  <c r="G4788" i="1"/>
  <c r="H4788" i="1"/>
  <c r="I4788" i="1"/>
  <c r="J4788" i="1"/>
  <c r="K4788" i="1"/>
  <c r="M4788" i="1"/>
  <c r="O4788" i="1"/>
  <c r="Q4788" i="1"/>
  <c r="R4788" i="1"/>
  <c r="W4788" i="1"/>
  <c r="AA4788" i="1"/>
  <c r="AM4788" i="1"/>
  <c r="AN4788" i="1"/>
  <c r="AO4788" i="1"/>
  <c r="AQ4788" i="1"/>
  <c r="BB4788" i="1"/>
  <c r="BD4788" i="1"/>
  <c r="B4789" i="1"/>
  <c r="C4789" i="1"/>
  <c r="E4789" i="1"/>
  <c r="F4789" i="1"/>
  <c r="G4789" i="1"/>
  <c r="H4789" i="1"/>
  <c r="I4789" i="1"/>
  <c r="J4789" i="1"/>
  <c r="K4789" i="1"/>
  <c r="M4789" i="1"/>
  <c r="O4789" i="1"/>
  <c r="Q4789" i="1"/>
  <c r="R4789" i="1"/>
  <c r="W4789" i="1"/>
  <c r="AA4789" i="1"/>
  <c r="AM4789" i="1"/>
  <c r="AN4789" i="1"/>
  <c r="AO4789" i="1"/>
  <c r="AQ4789" i="1"/>
  <c r="BB4789" i="1"/>
  <c r="BD4789" i="1"/>
  <c r="B4790" i="1"/>
  <c r="C4790" i="1"/>
  <c r="E4790" i="1"/>
  <c r="F4790" i="1"/>
  <c r="G4790" i="1"/>
  <c r="H4790" i="1"/>
  <c r="I4790" i="1"/>
  <c r="J4790" i="1"/>
  <c r="K4790" i="1"/>
  <c r="M4790" i="1"/>
  <c r="O4790" i="1"/>
  <c r="Q4790" i="1"/>
  <c r="R4790" i="1"/>
  <c r="W4790" i="1"/>
  <c r="AA4790" i="1"/>
  <c r="AM4790" i="1"/>
  <c r="AN4790" i="1"/>
  <c r="AO4790" i="1"/>
  <c r="AQ4790" i="1"/>
  <c r="BB4790" i="1"/>
  <c r="BD4790" i="1"/>
  <c r="B4791" i="1"/>
  <c r="C4791" i="1"/>
  <c r="E4791" i="1"/>
  <c r="F4791" i="1"/>
  <c r="G4791" i="1"/>
  <c r="H4791" i="1"/>
  <c r="I4791" i="1"/>
  <c r="J4791" i="1"/>
  <c r="K4791" i="1"/>
  <c r="M4791" i="1"/>
  <c r="O4791" i="1"/>
  <c r="Q4791" i="1"/>
  <c r="R4791" i="1"/>
  <c r="W4791" i="1"/>
  <c r="AA4791" i="1"/>
  <c r="AM4791" i="1"/>
  <c r="AN4791" i="1"/>
  <c r="AO4791" i="1"/>
  <c r="AQ4791" i="1"/>
  <c r="BB4791" i="1"/>
  <c r="BD4791" i="1"/>
  <c r="B4792" i="1"/>
  <c r="C4792" i="1"/>
  <c r="E4792" i="1"/>
  <c r="F4792" i="1"/>
  <c r="G4792" i="1"/>
  <c r="H4792" i="1"/>
  <c r="I4792" i="1"/>
  <c r="J4792" i="1"/>
  <c r="K4792" i="1"/>
  <c r="M4792" i="1"/>
  <c r="O4792" i="1"/>
  <c r="Q4792" i="1"/>
  <c r="R4792" i="1"/>
  <c r="W4792" i="1"/>
  <c r="AA4792" i="1"/>
  <c r="AM4792" i="1"/>
  <c r="AN4792" i="1"/>
  <c r="AO4792" i="1"/>
  <c r="AQ4792" i="1"/>
  <c r="BB4792" i="1"/>
  <c r="BD4792" i="1"/>
  <c r="B4793" i="1"/>
  <c r="C4793" i="1"/>
  <c r="E4793" i="1"/>
  <c r="F4793" i="1"/>
  <c r="G4793" i="1"/>
  <c r="H4793" i="1"/>
  <c r="I4793" i="1"/>
  <c r="J4793" i="1"/>
  <c r="K4793" i="1"/>
  <c r="M4793" i="1"/>
  <c r="O4793" i="1"/>
  <c r="Q4793" i="1"/>
  <c r="R4793" i="1"/>
  <c r="W4793" i="1"/>
  <c r="AA4793" i="1"/>
  <c r="AM4793" i="1"/>
  <c r="AN4793" i="1"/>
  <c r="AO4793" i="1"/>
  <c r="AQ4793" i="1"/>
  <c r="BB4793" i="1"/>
  <c r="BD4793" i="1"/>
  <c r="B4794" i="1"/>
  <c r="C4794" i="1"/>
  <c r="E4794" i="1"/>
  <c r="F4794" i="1"/>
  <c r="G4794" i="1"/>
  <c r="H4794" i="1"/>
  <c r="I4794" i="1"/>
  <c r="J4794" i="1"/>
  <c r="K4794" i="1"/>
  <c r="M4794" i="1"/>
  <c r="O4794" i="1"/>
  <c r="Q4794" i="1"/>
  <c r="R4794" i="1"/>
  <c r="W4794" i="1"/>
  <c r="AA4794" i="1"/>
  <c r="AM4794" i="1"/>
  <c r="AN4794" i="1"/>
  <c r="AO4794" i="1"/>
  <c r="AQ4794" i="1"/>
  <c r="BB4794" i="1"/>
  <c r="BD4794" i="1"/>
  <c r="B4795" i="1"/>
  <c r="C4795" i="1"/>
  <c r="E4795" i="1"/>
  <c r="F4795" i="1"/>
  <c r="G4795" i="1"/>
  <c r="H4795" i="1"/>
  <c r="I4795" i="1"/>
  <c r="J4795" i="1"/>
  <c r="K4795" i="1"/>
  <c r="M4795" i="1"/>
  <c r="O4795" i="1"/>
  <c r="Q4795" i="1"/>
  <c r="R4795" i="1"/>
  <c r="W4795" i="1"/>
  <c r="AA4795" i="1"/>
  <c r="AM4795" i="1"/>
  <c r="AN4795" i="1"/>
  <c r="AO4795" i="1"/>
  <c r="AQ4795" i="1"/>
  <c r="BB4795" i="1"/>
  <c r="BD4795" i="1"/>
  <c r="B4796" i="1"/>
  <c r="C4796" i="1"/>
  <c r="E4796" i="1"/>
  <c r="F4796" i="1"/>
  <c r="G4796" i="1"/>
  <c r="H4796" i="1"/>
  <c r="I4796" i="1"/>
  <c r="J4796" i="1"/>
  <c r="K4796" i="1"/>
  <c r="M4796" i="1"/>
  <c r="O4796" i="1"/>
  <c r="Q4796" i="1"/>
  <c r="R4796" i="1"/>
  <c r="W4796" i="1"/>
  <c r="AA4796" i="1"/>
  <c r="AM4796" i="1"/>
  <c r="AN4796" i="1"/>
  <c r="AO4796" i="1"/>
  <c r="AQ4796" i="1"/>
  <c r="BB4796" i="1"/>
  <c r="BD4796" i="1"/>
  <c r="B4797" i="1"/>
  <c r="C4797" i="1"/>
  <c r="E4797" i="1"/>
  <c r="F4797" i="1"/>
  <c r="G4797" i="1"/>
  <c r="H4797" i="1"/>
  <c r="I4797" i="1"/>
  <c r="J4797" i="1"/>
  <c r="K4797" i="1"/>
  <c r="M4797" i="1"/>
  <c r="O4797" i="1"/>
  <c r="Q4797" i="1"/>
  <c r="R4797" i="1"/>
  <c r="W4797" i="1"/>
  <c r="AA4797" i="1"/>
  <c r="AM4797" i="1"/>
  <c r="AN4797" i="1"/>
  <c r="AO4797" i="1"/>
  <c r="AQ4797" i="1"/>
  <c r="BB4797" i="1"/>
  <c r="BD4797" i="1"/>
  <c r="B4798" i="1"/>
  <c r="C4798" i="1"/>
  <c r="E4798" i="1"/>
  <c r="F4798" i="1"/>
  <c r="G4798" i="1"/>
  <c r="H4798" i="1"/>
  <c r="I4798" i="1"/>
  <c r="J4798" i="1"/>
  <c r="K4798" i="1"/>
  <c r="M4798" i="1"/>
  <c r="O4798" i="1"/>
  <c r="Q4798" i="1"/>
  <c r="R4798" i="1"/>
  <c r="W4798" i="1"/>
  <c r="AA4798" i="1"/>
  <c r="AM4798" i="1"/>
  <c r="AN4798" i="1"/>
  <c r="AO4798" i="1"/>
  <c r="AQ4798" i="1"/>
  <c r="BB4798" i="1"/>
  <c r="BD4798" i="1"/>
  <c r="B4799" i="1"/>
  <c r="C4799" i="1"/>
  <c r="E4799" i="1"/>
  <c r="F4799" i="1"/>
  <c r="G4799" i="1"/>
  <c r="H4799" i="1"/>
  <c r="I4799" i="1"/>
  <c r="J4799" i="1"/>
  <c r="K4799" i="1"/>
  <c r="M4799" i="1"/>
  <c r="O4799" i="1"/>
  <c r="Q4799" i="1"/>
  <c r="R4799" i="1"/>
  <c r="W4799" i="1"/>
  <c r="AA4799" i="1"/>
  <c r="AM4799" i="1"/>
  <c r="AN4799" i="1"/>
  <c r="AO4799" i="1"/>
  <c r="AQ4799" i="1"/>
  <c r="BB4799" i="1"/>
  <c r="BD4799" i="1"/>
  <c r="B4800" i="1"/>
  <c r="C4800" i="1"/>
  <c r="E4800" i="1"/>
  <c r="F4800" i="1"/>
  <c r="G4800" i="1"/>
  <c r="H4800" i="1"/>
  <c r="I4800" i="1"/>
  <c r="J4800" i="1"/>
  <c r="K4800" i="1"/>
  <c r="M4800" i="1"/>
  <c r="O4800" i="1"/>
  <c r="Q4800" i="1"/>
  <c r="R4800" i="1"/>
  <c r="W4800" i="1"/>
  <c r="AA4800" i="1"/>
  <c r="AM4800" i="1"/>
  <c r="AN4800" i="1"/>
  <c r="AO4800" i="1"/>
  <c r="AQ4800" i="1"/>
  <c r="BB4800" i="1"/>
  <c r="BD4800" i="1"/>
  <c r="B4801" i="1"/>
  <c r="C4801" i="1"/>
  <c r="E4801" i="1"/>
  <c r="F4801" i="1"/>
  <c r="G4801" i="1"/>
  <c r="H4801" i="1"/>
  <c r="I4801" i="1"/>
  <c r="J4801" i="1"/>
  <c r="K4801" i="1"/>
  <c r="M4801" i="1"/>
  <c r="O4801" i="1"/>
  <c r="Q4801" i="1"/>
  <c r="R4801" i="1"/>
  <c r="W4801" i="1"/>
  <c r="AA4801" i="1"/>
  <c r="AM4801" i="1"/>
  <c r="AN4801" i="1"/>
  <c r="AO4801" i="1"/>
  <c r="AQ4801" i="1"/>
  <c r="BB4801" i="1"/>
  <c r="BD4801" i="1"/>
  <c r="B4802" i="1"/>
  <c r="C4802" i="1"/>
  <c r="D4802" i="1"/>
  <c r="E4802" i="1"/>
  <c r="F4802" i="1"/>
  <c r="G4802" i="1"/>
  <c r="H4802" i="1"/>
  <c r="I4802" i="1"/>
  <c r="J4802" i="1"/>
  <c r="K4802" i="1"/>
  <c r="M4802" i="1"/>
  <c r="O4802" i="1"/>
  <c r="Q4802" i="1"/>
  <c r="R4802" i="1"/>
  <c r="W4802" i="1"/>
  <c r="AA4802" i="1"/>
  <c r="AB4802" i="1"/>
  <c r="AE4802" i="1"/>
  <c r="AF4802" i="1"/>
  <c r="AM4802" i="1"/>
  <c r="AN4802" i="1"/>
  <c r="AO4802" i="1"/>
  <c r="AQ4802" i="1"/>
  <c r="AX4802" i="1"/>
  <c r="BD4802" i="1"/>
  <c r="B4803" i="1"/>
  <c r="E4803" i="1"/>
  <c r="F4803" i="1"/>
  <c r="G4803" i="1"/>
  <c r="H4803" i="1"/>
  <c r="I4803" i="1"/>
  <c r="J4803" i="1"/>
  <c r="K4803" i="1"/>
  <c r="M4803" i="1"/>
  <c r="O4803" i="1"/>
  <c r="Q4803" i="1"/>
  <c r="R4803" i="1"/>
  <c r="W4803" i="1"/>
  <c r="AA4803" i="1"/>
  <c r="AB4803" i="1"/>
  <c r="AM4803" i="1"/>
  <c r="AN4803" i="1"/>
  <c r="AO4803" i="1"/>
  <c r="AQ4803" i="1"/>
  <c r="AX4803" i="1"/>
  <c r="BD4803" i="1"/>
  <c r="B4804" i="1"/>
  <c r="E4804" i="1"/>
  <c r="F4804" i="1"/>
  <c r="G4804" i="1"/>
  <c r="H4804" i="1"/>
  <c r="I4804" i="1"/>
  <c r="J4804" i="1"/>
  <c r="K4804" i="1"/>
  <c r="M4804" i="1"/>
  <c r="O4804" i="1"/>
  <c r="Q4804" i="1"/>
  <c r="R4804" i="1"/>
  <c r="W4804" i="1"/>
  <c r="AA4804" i="1"/>
  <c r="AB4804" i="1"/>
  <c r="AM4804" i="1"/>
  <c r="AN4804" i="1"/>
  <c r="AO4804" i="1"/>
  <c r="AQ4804" i="1"/>
  <c r="AX4804" i="1"/>
  <c r="BD4804" i="1"/>
  <c r="B4805" i="1"/>
  <c r="E4805" i="1"/>
  <c r="F4805" i="1"/>
  <c r="G4805" i="1"/>
  <c r="H4805" i="1"/>
  <c r="I4805" i="1"/>
  <c r="J4805" i="1"/>
  <c r="K4805" i="1"/>
  <c r="M4805" i="1"/>
  <c r="O4805" i="1"/>
  <c r="Q4805" i="1"/>
  <c r="R4805" i="1"/>
  <c r="W4805" i="1"/>
  <c r="AA4805" i="1"/>
  <c r="AB4805" i="1"/>
  <c r="AM4805" i="1"/>
  <c r="AN4805" i="1"/>
  <c r="AO4805" i="1"/>
  <c r="AQ4805" i="1"/>
  <c r="AX4805" i="1"/>
  <c r="BD4805" i="1"/>
  <c r="B4806" i="1"/>
  <c r="E4806" i="1"/>
  <c r="F4806" i="1"/>
  <c r="G4806" i="1"/>
  <c r="H4806" i="1"/>
  <c r="I4806" i="1"/>
  <c r="J4806" i="1"/>
  <c r="K4806" i="1"/>
  <c r="M4806" i="1"/>
  <c r="O4806" i="1"/>
  <c r="Q4806" i="1"/>
  <c r="R4806" i="1"/>
  <c r="W4806" i="1"/>
  <c r="AA4806" i="1"/>
  <c r="AB4806" i="1"/>
  <c r="AM4806" i="1"/>
  <c r="AN4806" i="1"/>
  <c r="AO4806" i="1"/>
  <c r="AQ4806" i="1"/>
  <c r="AX4806" i="1"/>
  <c r="BD4806" i="1"/>
  <c r="B4807" i="1"/>
  <c r="C4807" i="1"/>
  <c r="D4807" i="1"/>
  <c r="E4807" i="1"/>
  <c r="F4807" i="1"/>
  <c r="G4807" i="1"/>
  <c r="H4807" i="1"/>
  <c r="I4807" i="1"/>
  <c r="J4807" i="1"/>
  <c r="K4807" i="1"/>
  <c r="M4807" i="1"/>
  <c r="O4807" i="1"/>
  <c r="Q4807" i="1"/>
  <c r="R4807" i="1"/>
  <c r="W4807" i="1"/>
  <c r="AA4807" i="1"/>
  <c r="AB4807" i="1"/>
  <c r="AE4807" i="1"/>
  <c r="AF4807" i="1"/>
  <c r="AM4807" i="1"/>
  <c r="AN4807" i="1"/>
  <c r="AO4807" i="1"/>
  <c r="AQ4807" i="1"/>
  <c r="AX4807" i="1"/>
  <c r="BD4807" i="1"/>
  <c r="B4808" i="1"/>
  <c r="C4808" i="1"/>
  <c r="D4808" i="1"/>
  <c r="E4808" i="1"/>
  <c r="F4808" i="1"/>
  <c r="G4808" i="1"/>
  <c r="H4808" i="1"/>
  <c r="I4808" i="1"/>
  <c r="J4808" i="1"/>
  <c r="K4808" i="1"/>
  <c r="M4808" i="1"/>
  <c r="O4808" i="1"/>
  <c r="Q4808" i="1"/>
  <c r="R4808" i="1"/>
  <c r="W4808" i="1"/>
  <c r="AA4808" i="1"/>
  <c r="AB4808" i="1"/>
  <c r="AE4808" i="1"/>
  <c r="AF4808" i="1"/>
  <c r="AM4808" i="1"/>
  <c r="AN4808" i="1"/>
  <c r="AO4808" i="1"/>
  <c r="AQ4808" i="1"/>
  <c r="AX4808" i="1"/>
  <c r="BD4808" i="1"/>
  <c r="B4809" i="1"/>
  <c r="C4809" i="1"/>
  <c r="D4809" i="1"/>
  <c r="E4809" i="1"/>
  <c r="F4809" i="1"/>
  <c r="G4809" i="1"/>
  <c r="H4809" i="1"/>
  <c r="I4809" i="1"/>
  <c r="J4809" i="1"/>
  <c r="K4809" i="1"/>
  <c r="M4809" i="1"/>
  <c r="O4809" i="1"/>
  <c r="Q4809" i="1"/>
  <c r="R4809" i="1"/>
  <c r="W4809" i="1"/>
  <c r="AA4809" i="1"/>
  <c r="AB4809" i="1"/>
  <c r="AE4809" i="1"/>
  <c r="AF4809" i="1"/>
  <c r="AM4809" i="1"/>
  <c r="AN4809" i="1"/>
  <c r="AO4809" i="1"/>
  <c r="AQ4809" i="1"/>
  <c r="AX4809" i="1"/>
  <c r="BD4809" i="1"/>
  <c r="B4810" i="1"/>
  <c r="C4810" i="1"/>
  <c r="D4810" i="1"/>
  <c r="E4810" i="1"/>
  <c r="F4810" i="1"/>
  <c r="G4810" i="1"/>
  <c r="H4810" i="1"/>
  <c r="I4810" i="1"/>
  <c r="J4810" i="1"/>
  <c r="K4810" i="1"/>
  <c r="M4810" i="1"/>
  <c r="O4810" i="1"/>
  <c r="Q4810" i="1"/>
  <c r="R4810" i="1"/>
  <c r="W4810" i="1"/>
  <c r="AA4810" i="1"/>
  <c r="AB4810" i="1"/>
  <c r="AM4810" i="1"/>
  <c r="AN4810" i="1"/>
  <c r="AO4810" i="1"/>
  <c r="AQ4810" i="1"/>
  <c r="AX4810" i="1"/>
  <c r="BD4810" i="1"/>
  <c r="B4811" i="1"/>
  <c r="E4811" i="1"/>
  <c r="F4811" i="1"/>
  <c r="G4811" i="1"/>
  <c r="H4811" i="1"/>
  <c r="I4811" i="1"/>
  <c r="J4811" i="1"/>
  <c r="K4811" i="1"/>
  <c r="M4811" i="1"/>
  <c r="O4811" i="1"/>
  <c r="Q4811" i="1"/>
  <c r="R4811" i="1"/>
  <c r="W4811" i="1"/>
  <c r="AA4811" i="1"/>
  <c r="AB4811" i="1"/>
  <c r="AM4811" i="1"/>
  <c r="AN4811" i="1"/>
  <c r="AO4811" i="1"/>
  <c r="AQ4811" i="1"/>
  <c r="AX4811" i="1"/>
  <c r="BD4811" i="1"/>
  <c r="B4812" i="1"/>
  <c r="C4812" i="1"/>
  <c r="D4812" i="1"/>
  <c r="E4812" i="1"/>
  <c r="F4812" i="1"/>
  <c r="G4812" i="1"/>
  <c r="H4812" i="1"/>
  <c r="I4812" i="1"/>
  <c r="J4812" i="1"/>
  <c r="K4812" i="1"/>
  <c r="M4812" i="1"/>
  <c r="O4812" i="1"/>
  <c r="Q4812" i="1"/>
  <c r="R4812" i="1"/>
  <c r="W4812" i="1"/>
  <c r="AA4812" i="1"/>
  <c r="AB4812" i="1"/>
  <c r="AE4812" i="1"/>
  <c r="AF4812" i="1"/>
  <c r="AM4812" i="1"/>
  <c r="AN4812" i="1"/>
  <c r="AO4812" i="1"/>
  <c r="AQ4812" i="1"/>
  <c r="AX4812" i="1"/>
  <c r="BD4812" i="1"/>
  <c r="B4813" i="1"/>
  <c r="C4813" i="1"/>
  <c r="D4813" i="1"/>
  <c r="E4813" i="1"/>
  <c r="F4813" i="1"/>
  <c r="G4813" i="1"/>
  <c r="H4813" i="1"/>
  <c r="I4813" i="1"/>
  <c r="J4813" i="1"/>
  <c r="K4813" i="1"/>
  <c r="M4813" i="1"/>
  <c r="O4813" i="1"/>
  <c r="Q4813" i="1"/>
  <c r="R4813" i="1"/>
  <c r="W4813" i="1"/>
  <c r="AA4813" i="1"/>
  <c r="AB4813" i="1"/>
  <c r="AM4813" i="1"/>
  <c r="AN4813" i="1"/>
  <c r="AO4813" i="1"/>
  <c r="AQ4813" i="1"/>
  <c r="AX4813" i="1"/>
  <c r="BD4813" i="1"/>
  <c r="B4814" i="1"/>
  <c r="C4814" i="1"/>
  <c r="E4814" i="1"/>
  <c r="F4814" i="1"/>
  <c r="G4814" i="1"/>
  <c r="H4814" i="1"/>
  <c r="I4814" i="1"/>
  <c r="J4814" i="1"/>
  <c r="K4814" i="1"/>
  <c r="M4814" i="1"/>
  <c r="O4814" i="1"/>
  <c r="Q4814" i="1"/>
  <c r="R4814" i="1"/>
  <c r="W4814" i="1"/>
  <c r="AA4814" i="1"/>
  <c r="AM4814" i="1"/>
  <c r="AN4814" i="1"/>
  <c r="AO4814" i="1"/>
  <c r="AQ4814" i="1"/>
  <c r="BB4814" i="1"/>
  <c r="BD4814" i="1"/>
  <c r="B4815" i="1"/>
  <c r="C4815" i="1"/>
  <c r="E4815" i="1"/>
  <c r="F4815" i="1"/>
  <c r="G4815" i="1"/>
  <c r="H4815" i="1"/>
  <c r="I4815" i="1"/>
  <c r="J4815" i="1"/>
  <c r="K4815" i="1"/>
  <c r="M4815" i="1"/>
  <c r="O4815" i="1"/>
  <c r="Q4815" i="1"/>
  <c r="R4815" i="1"/>
  <c r="W4815" i="1"/>
  <c r="AA4815" i="1"/>
  <c r="AM4815" i="1"/>
  <c r="AN4815" i="1"/>
  <c r="AO4815" i="1"/>
  <c r="AQ4815" i="1"/>
  <c r="BB4815" i="1"/>
  <c r="BD4815" i="1"/>
  <c r="B4816" i="1"/>
  <c r="C4816" i="1"/>
  <c r="E4816" i="1"/>
  <c r="F4816" i="1"/>
  <c r="G4816" i="1"/>
  <c r="H4816" i="1"/>
  <c r="I4816" i="1"/>
  <c r="J4816" i="1"/>
  <c r="K4816" i="1"/>
  <c r="M4816" i="1"/>
  <c r="O4816" i="1"/>
  <c r="Q4816" i="1"/>
  <c r="R4816" i="1"/>
  <c r="W4816" i="1"/>
  <c r="AA4816" i="1"/>
  <c r="AM4816" i="1"/>
  <c r="AN4816" i="1"/>
  <c r="AO4816" i="1"/>
  <c r="AQ4816" i="1"/>
  <c r="BB4816" i="1"/>
  <c r="BD4816" i="1"/>
  <c r="B4817" i="1"/>
  <c r="C4817" i="1"/>
  <c r="E4817" i="1"/>
  <c r="F4817" i="1"/>
  <c r="G4817" i="1"/>
  <c r="H4817" i="1"/>
  <c r="I4817" i="1"/>
  <c r="J4817" i="1"/>
  <c r="K4817" i="1"/>
  <c r="M4817" i="1"/>
  <c r="O4817" i="1"/>
  <c r="Q4817" i="1"/>
  <c r="R4817" i="1"/>
  <c r="W4817" i="1"/>
  <c r="AA4817" i="1"/>
  <c r="AM4817" i="1"/>
  <c r="AN4817" i="1"/>
  <c r="AO4817" i="1"/>
  <c r="AQ4817" i="1"/>
  <c r="BB4817" i="1"/>
  <c r="BD4817" i="1"/>
  <c r="B4818" i="1"/>
  <c r="C4818" i="1"/>
  <c r="E4818" i="1"/>
  <c r="F4818" i="1"/>
  <c r="G4818" i="1"/>
  <c r="H4818" i="1"/>
  <c r="I4818" i="1"/>
  <c r="J4818" i="1"/>
  <c r="K4818" i="1"/>
  <c r="M4818" i="1"/>
  <c r="O4818" i="1"/>
  <c r="Q4818" i="1"/>
  <c r="R4818" i="1"/>
  <c r="W4818" i="1"/>
  <c r="AA4818" i="1"/>
  <c r="AM4818" i="1"/>
  <c r="AN4818" i="1"/>
  <c r="AO4818" i="1"/>
  <c r="AQ4818" i="1"/>
  <c r="BB4818" i="1"/>
  <c r="BD4818" i="1"/>
  <c r="B4819" i="1"/>
  <c r="C4819" i="1"/>
  <c r="E4819" i="1"/>
  <c r="F4819" i="1"/>
  <c r="G4819" i="1"/>
  <c r="H4819" i="1"/>
  <c r="I4819" i="1"/>
  <c r="J4819" i="1"/>
  <c r="K4819" i="1"/>
  <c r="M4819" i="1"/>
  <c r="O4819" i="1"/>
  <c r="Q4819" i="1"/>
  <c r="R4819" i="1"/>
  <c r="W4819" i="1"/>
  <c r="AA4819" i="1"/>
  <c r="AM4819" i="1"/>
  <c r="AN4819" i="1"/>
  <c r="AO4819" i="1"/>
  <c r="AQ4819" i="1"/>
  <c r="BB4819" i="1"/>
  <c r="BD4819" i="1"/>
  <c r="B4820" i="1"/>
  <c r="C4820" i="1"/>
  <c r="E4820" i="1"/>
  <c r="F4820" i="1"/>
  <c r="G4820" i="1"/>
  <c r="H4820" i="1"/>
  <c r="I4820" i="1"/>
  <c r="J4820" i="1"/>
  <c r="K4820" i="1"/>
  <c r="M4820" i="1"/>
  <c r="O4820" i="1"/>
  <c r="Q4820" i="1"/>
  <c r="R4820" i="1"/>
  <c r="W4820" i="1"/>
  <c r="AA4820" i="1"/>
  <c r="AM4820" i="1"/>
  <c r="AN4820" i="1"/>
  <c r="AO4820" i="1"/>
  <c r="AQ4820" i="1"/>
  <c r="BB4820" i="1"/>
  <c r="BD4820" i="1"/>
  <c r="B4821" i="1"/>
  <c r="C4821" i="1"/>
  <c r="E4821" i="1"/>
  <c r="F4821" i="1"/>
  <c r="G4821" i="1"/>
  <c r="H4821" i="1"/>
  <c r="I4821" i="1"/>
  <c r="J4821" i="1"/>
  <c r="K4821" i="1"/>
  <c r="M4821" i="1"/>
  <c r="O4821" i="1"/>
  <c r="Q4821" i="1"/>
  <c r="R4821" i="1"/>
  <c r="W4821" i="1"/>
  <c r="AA4821" i="1"/>
  <c r="AM4821" i="1"/>
  <c r="AN4821" i="1"/>
  <c r="AO4821" i="1"/>
  <c r="AQ4821" i="1"/>
  <c r="BB4821" i="1"/>
  <c r="BD4821" i="1"/>
  <c r="B4822" i="1"/>
  <c r="C4822" i="1"/>
  <c r="E4822" i="1"/>
  <c r="F4822" i="1"/>
  <c r="G4822" i="1"/>
  <c r="H4822" i="1"/>
  <c r="I4822" i="1"/>
  <c r="J4822" i="1"/>
  <c r="K4822" i="1"/>
  <c r="M4822" i="1"/>
  <c r="O4822" i="1"/>
  <c r="Q4822" i="1"/>
  <c r="R4822" i="1"/>
  <c r="W4822" i="1"/>
  <c r="AA4822" i="1"/>
  <c r="AM4822" i="1"/>
  <c r="AN4822" i="1"/>
  <c r="AO4822" i="1"/>
  <c r="AQ4822" i="1"/>
  <c r="BB4822" i="1"/>
  <c r="BD4822" i="1"/>
  <c r="B4823" i="1"/>
  <c r="C4823" i="1"/>
  <c r="E4823" i="1"/>
  <c r="F4823" i="1"/>
  <c r="G4823" i="1"/>
  <c r="H4823" i="1"/>
  <c r="I4823" i="1"/>
  <c r="J4823" i="1"/>
  <c r="K4823" i="1"/>
  <c r="M4823" i="1"/>
  <c r="O4823" i="1"/>
  <c r="Q4823" i="1"/>
  <c r="R4823" i="1"/>
  <c r="W4823" i="1"/>
  <c r="AA4823" i="1"/>
  <c r="AM4823" i="1"/>
  <c r="AN4823" i="1"/>
  <c r="AO4823" i="1"/>
  <c r="AQ4823" i="1"/>
  <c r="BB4823" i="1"/>
  <c r="BD4823" i="1"/>
  <c r="B4824" i="1"/>
  <c r="C4824" i="1"/>
  <c r="E4824" i="1"/>
  <c r="F4824" i="1"/>
  <c r="G4824" i="1"/>
  <c r="H4824" i="1"/>
  <c r="I4824" i="1"/>
  <c r="J4824" i="1"/>
  <c r="K4824" i="1"/>
  <c r="M4824" i="1"/>
  <c r="O4824" i="1"/>
  <c r="Q4824" i="1"/>
  <c r="R4824" i="1"/>
  <c r="W4824" i="1"/>
  <c r="AA4824" i="1"/>
  <c r="AM4824" i="1"/>
  <c r="AN4824" i="1"/>
  <c r="AO4824" i="1"/>
  <c r="AQ4824" i="1"/>
  <c r="BB4824" i="1"/>
  <c r="BD4824" i="1"/>
  <c r="B4825" i="1"/>
  <c r="C4825" i="1"/>
  <c r="E4825" i="1"/>
  <c r="F4825" i="1"/>
  <c r="G4825" i="1"/>
  <c r="H4825" i="1"/>
  <c r="I4825" i="1"/>
  <c r="J4825" i="1"/>
  <c r="K4825" i="1"/>
  <c r="M4825" i="1"/>
  <c r="O4825" i="1"/>
  <c r="Q4825" i="1"/>
  <c r="R4825" i="1"/>
  <c r="W4825" i="1"/>
  <c r="AA4825" i="1"/>
  <c r="AM4825" i="1"/>
  <c r="AN4825" i="1"/>
  <c r="AO4825" i="1"/>
  <c r="AQ4825" i="1"/>
  <c r="BB4825" i="1"/>
  <c r="BD4825" i="1"/>
  <c r="B4826" i="1"/>
  <c r="C4826" i="1"/>
  <c r="D4826" i="1"/>
  <c r="E4826" i="1"/>
  <c r="F4826" i="1"/>
  <c r="G4826" i="1"/>
  <c r="H4826" i="1"/>
  <c r="I4826" i="1"/>
  <c r="J4826" i="1"/>
  <c r="K4826" i="1"/>
  <c r="M4826" i="1"/>
  <c r="O4826" i="1"/>
  <c r="Q4826" i="1"/>
  <c r="R4826" i="1"/>
  <c r="W4826" i="1"/>
  <c r="AA4826" i="1"/>
  <c r="AB4826" i="1"/>
  <c r="AM4826" i="1"/>
  <c r="AN4826" i="1"/>
  <c r="AO4826" i="1"/>
  <c r="AQ4826" i="1"/>
  <c r="AX4826" i="1"/>
  <c r="BD4826" i="1"/>
  <c r="B4827" i="1"/>
  <c r="C4827" i="1"/>
  <c r="D4827" i="1"/>
  <c r="E4827" i="1"/>
  <c r="F4827" i="1"/>
  <c r="G4827" i="1"/>
  <c r="H4827" i="1"/>
  <c r="I4827" i="1"/>
  <c r="J4827" i="1"/>
  <c r="K4827" i="1"/>
  <c r="M4827" i="1"/>
  <c r="O4827" i="1"/>
  <c r="Q4827" i="1"/>
  <c r="R4827" i="1"/>
  <c r="W4827" i="1"/>
  <c r="AA4827" i="1"/>
  <c r="AB4827" i="1"/>
  <c r="AM4827" i="1"/>
  <c r="AN4827" i="1"/>
  <c r="AO4827" i="1"/>
  <c r="AQ4827" i="1"/>
  <c r="AX4827" i="1"/>
  <c r="BD4827" i="1"/>
  <c r="B4828" i="1"/>
  <c r="C4828" i="1"/>
  <c r="D4828" i="1"/>
  <c r="E4828" i="1"/>
  <c r="F4828" i="1"/>
  <c r="G4828" i="1"/>
  <c r="H4828" i="1"/>
  <c r="I4828" i="1"/>
  <c r="J4828" i="1"/>
  <c r="K4828" i="1"/>
  <c r="M4828" i="1"/>
  <c r="O4828" i="1"/>
  <c r="Q4828" i="1"/>
  <c r="R4828" i="1"/>
  <c r="W4828" i="1"/>
  <c r="AA4828" i="1"/>
  <c r="AB4828" i="1"/>
  <c r="AE4828" i="1"/>
  <c r="AF4828" i="1"/>
  <c r="AM4828" i="1"/>
  <c r="AN4828" i="1"/>
  <c r="AO4828" i="1"/>
  <c r="AQ4828" i="1"/>
  <c r="AX4828" i="1"/>
  <c r="BD4828" i="1"/>
  <c r="B4829" i="1"/>
  <c r="C4829" i="1"/>
  <c r="E4829" i="1"/>
  <c r="F4829" i="1"/>
  <c r="G4829" i="1"/>
  <c r="H4829" i="1"/>
  <c r="I4829" i="1"/>
  <c r="J4829" i="1"/>
  <c r="K4829" i="1"/>
  <c r="M4829" i="1"/>
  <c r="O4829" i="1"/>
  <c r="Q4829" i="1"/>
  <c r="R4829" i="1"/>
  <c r="W4829" i="1"/>
  <c r="AA4829" i="1"/>
  <c r="AB4829" i="1"/>
  <c r="AE4829" i="1"/>
  <c r="AF4829" i="1"/>
  <c r="AM4829" i="1"/>
  <c r="AN4829" i="1"/>
  <c r="AO4829" i="1"/>
  <c r="AQ4829" i="1"/>
  <c r="AX4829" i="1"/>
  <c r="BD4829" i="1"/>
  <c r="B4830" i="1"/>
  <c r="C4830" i="1"/>
  <c r="E4830" i="1"/>
  <c r="F4830" i="1"/>
  <c r="G4830" i="1"/>
  <c r="H4830" i="1"/>
  <c r="I4830" i="1"/>
  <c r="J4830" i="1"/>
  <c r="K4830" i="1"/>
  <c r="M4830" i="1"/>
  <c r="O4830" i="1"/>
  <c r="Q4830" i="1"/>
  <c r="R4830" i="1"/>
  <c r="W4830" i="1"/>
  <c r="AA4830" i="1"/>
  <c r="AB4830" i="1"/>
  <c r="AE4830" i="1"/>
  <c r="AF4830" i="1"/>
  <c r="AM4830" i="1"/>
  <c r="AN4830" i="1"/>
  <c r="AO4830" i="1"/>
  <c r="AQ4830" i="1"/>
  <c r="AX4830" i="1"/>
  <c r="BD4830" i="1"/>
  <c r="B4831" i="1"/>
  <c r="C4831" i="1"/>
  <c r="E4831" i="1"/>
  <c r="F4831" i="1"/>
  <c r="G4831" i="1"/>
  <c r="H4831" i="1"/>
  <c r="I4831" i="1"/>
  <c r="J4831" i="1"/>
  <c r="K4831" i="1"/>
  <c r="M4831" i="1"/>
  <c r="O4831" i="1"/>
  <c r="Q4831" i="1"/>
  <c r="R4831" i="1"/>
  <c r="W4831" i="1"/>
  <c r="AA4831" i="1"/>
  <c r="AB4831" i="1"/>
  <c r="AE4831" i="1"/>
  <c r="AF4831" i="1"/>
  <c r="AM4831" i="1"/>
  <c r="AN4831" i="1"/>
  <c r="AO4831" i="1"/>
  <c r="AQ4831" i="1"/>
  <c r="AX4831" i="1"/>
  <c r="BD4831" i="1"/>
  <c r="B4832" i="1"/>
  <c r="C4832" i="1"/>
  <c r="E4832" i="1"/>
  <c r="F4832" i="1"/>
  <c r="G4832" i="1"/>
  <c r="H4832" i="1"/>
  <c r="I4832" i="1"/>
  <c r="J4832" i="1"/>
  <c r="K4832" i="1"/>
  <c r="M4832" i="1"/>
  <c r="O4832" i="1"/>
  <c r="Q4832" i="1"/>
  <c r="R4832" i="1"/>
  <c r="W4832" i="1"/>
  <c r="AA4832" i="1"/>
  <c r="AB4832" i="1"/>
  <c r="AE4832" i="1"/>
  <c r="AF4832" i="1"/>
  <c r="AM4832" i="1"/>
  <c r="AN4832" i="1"/>
  <c r="AO4832" i="1"/>
  <c r="AQ4832" i="1"/>
  <c r="AX4832" i="1"/>
  <c r="BD4832" i="1"/>
  <c r="B4833" i="1"/>
  <c r="C4833" i="1"/>
  <c r="E4833" i="1"/>
  <c r="F4833" i="1"/>
  <c r="G4833" i="1"/>
  <c r="H4833" i="1"/>
  <c r="I4833" i="1"/>
  <c r="J4833" i="1"/>
  <c r="K4833" i="1"/>
  <c r="M4833" i="1"/>
  <c r="O4833" i="1"/>
  <c r="Q4833" i="1"/>
  <c r="R4833" i="1"/>
  <c r="W4833" i="1"/>
  <c r="AA4833" i="1"/>
  <c r="AB4833" i="1"/>
  <c r="AE4833" i="1"/>
  <c r="AF4833" i="1"/>
  <c r="AM4833" i="1"/>
  <c r="AN4833" i="1"/>
  <c r="AO4833" i="1"/>
  <c r="AQ4833" i="1"/>
  <c r="AX4833" i="1"/>
  <c r="BD4833" i="1"/>
  <c r="B4834" i="1"/>
  <c r="C4834" i="1"/>
  <c r="E4834" i="1"/>
  <c r="F4834" i="1"/>
  <c r="G4834" i="1"/>
  <c r="H4834" i="1"/>
  <c r="I4834" i="1"/>
  <c r="J4834" i="1"/>
  <c r="K4834" i="1"/>
  <c r="M4834" i="1"/>
  <c r="O4834" i="1"/>
  <c r="Q4834" i="1"/>
  <c r="R4834" i="1"/>
  <c r="W4834" i="1"/>
  <c r="AA4834" i="1"/>
  <c r="AB4834" i="1"/>
  <c r="AE4834" i="1"/>
  <c r="AF4834" i="1"/>
  <c r="AM4834" i="1"/>
  <c r="AN4834" i="1"/>
  <c r="AO4834" i="1"/>
  <c r="AQ4834" i="1"/>
  <c r="AX4834" i="1"/>
  <c r="BD4834" i="1"/>
  <c r="B4835" i="1"/>
  <c r="C4835" i="1"/>
  <c r="D4835" i="1"/>
  <c r="E4835" i="1"/>
  <c r="F4835" i="1"/>
  <c r="G4835" i="1"/>
  <c r="H4835" i="1"/>
  <c r="I4835" i="1"/>
  <c r="J4835" i="1"/>
  <c r="K4835" i="1"/>
  <c r="M4835" i="1"/>
  <c r="O4835" i="1"/>
  <c r="Q4835" i="1"/>
  <c r="R4835" i="1"/>
  <c r="W4835" i="1"/>
  <c r="AA4835" i="1"/>
  <c r="AB4835" i="1"/>
  <c r="AE4835" i="1"/>
  <c r="AF4835" i="1"/>
  <c r="AM4835" i="1"/>
  <c r="AN4835" i="1"/>
  <c r="AO4835" i="1"/>
  <c r="AQ4835" i="1"/>
  <c r="AX4835" i="1"/>
  <c r="BD4835" i="1"/>
  <c r="B4836" i="1"/>
  <c r="E4836" i="1"/>
  <c r="F4836" i="1"/>
  <c r="G4836" i="1"/>
  <c r="H4836" i="1"/>
  <c r="I4836" i="1"/>
  <c r="J4836" i="1"/>
  <c r="K4836" i="1"/>
  <c r="M4836" i="1"/>
  <c r="O4836" i="1"/>
  <c r="Q4836" i="1"/>
  <c r="R4836" i="1"/>
  <c r="W4836" i="1"/>
  <c r="AA4836" i="1"/>
  <c r="AM4836" i="1"/>
  <c r="AN4836" i="1"/>
  <c r="AO4836" i="1"/>
  <c r="AQ4836" i="1"/>
  <c r="BD4836" i="1"/>
  <c r="B4837" i="1"/>
  <c r="E4837" i="1"/>
  <c r="F4837" i="1"/>
  <c r="G4837" i="1"/>
  <c r="H4837" i="1"/>
  <c r="I4837" i="1"/>
  <c r="J4837" i="1"/>
  <c r="K4837" i="1"/>
  <c r="M4837" i="1"/>
  <c r="O4837" i="1"/>
  <c r="Q4837" i="1"/>
  <c r="R4837" i="1"/>
  <c r="W4837" i="1"/>
  <c r="AA4837" i="1"/>
  <c r="AM4837" i="1"/>
  <c r="AN4837" i="1"/>
  <c r="AO4837" i="1"/>
  <c r="AQ4837" i="1"/>
  <c r="BD4837" i="1"/>
  <c r="B4838" i="1"/>
  <c r="E4838" i="1"/>
  <c r="F4838" i="1"/>
  <c r="G4838" i="1"/>
  <c r="H4838" i="1"/>
  <c r="I4838" i="1"/>
  <c r="J4838" i="1"/>
  <c r="K4838" i="1"/>
  <c r="M4838" i="1"/>
  <c r="O4838" i="1"/>
  <c r="Q4838" i="1"/>
  <c r="R4838" i="1"/>
  <c r="W4838" i="1"/>
  <c r="AA4838" i="1"/>
  <c r="AM4838" i="1"/>
  <c r="AN4838" i="1"/>
  <c r="AO4838" i="1"/>
  <c r="AQ4838" i="1"/>
  <c r="BD4838" i="1"/>
  <c r="B4839" i="1"/>
  <c r="E4839" i="1"/>
  <c r="F4839" i="1"/>
  <c r="G4839" i="1"/>
  <c r="H4839" i="1"/>
  <c r="I4839" i="1"/>
  <c r="J4839" i="1"/>
  <c r="K4839" i="1"/>
  <c r="M4839" i="1"/>
  <c r="O4839" i="1"/>
  <c r="Q4839" i="1"/>
  <c r="R4839" i="1"/>
  <c r="W4839" i="1"/>
  <c r="AA4839" i="1"/>
  <c r="AM4839" i="1"/>
  <c r="AN4839" i="1"/>
  <c r="AO4839" i="1"/>
  <c r="AQ4839" i="1"/>
  <c r="BB4839" i="1"/>
  <c r="BD4839" i="1"/>
  <c r="B4840" i="1"/>
  <c r="E4840" i="1"/>
  <c r="F4840" i="1"/>
  <c r="G4840" i="1"/>
  <c r="H4840" i="1"/>
  <c r="I4840" i="1"/>
  <c r="J4840" i="1"/>
  <c r="K4840" i="1"/>
  <c r="M4840" i="1"/>
  <c r="O4840" i="1"/>
  <c r="Q4840" i="1"/>
  <c r="R4840" i="1"/>
  <c r="W4840" i="1"/>
  <c r="AA4840" i="1"/>
  <c r="AM4840" i="1"/>
  <c r="AN4840" i="1"/>
  <c r="AO4840" i="1"/>
  <c r="AQ4840" i="1"/>
  <c r="BD4840" i="1"/>
  <c r="B4841" i="1"/>
  <c r="E4841" i="1"/>
  <c r="F4841" i="1"/>
  <c r="G4841" i="1"/>
  <c r="H4841" i="1"/>
  <c r="I4841" i="1"/>
  <c r="J4841" i="1"/>
  <c r="K4841" i="1"/>
  <c r="M4841" i="1"/>
  <c r="O4841" i="1"/>
  <c r="Q4841" i="1"/>
  <c r="R4841" i="1"/>
  <c r="W4841" i="1"/>
  <c r="AA4841" i="1"/>
  <c r="AM4841" i="1"/>
  <c r="AN4841" i="1"/>
  <c r="AO4841" i="1"/>
  <c r="AQ4841" i="1"/>
  <c r="BB4841" i="1"/>
  <c r="BD4841" i="1"/>
  <c r="B4842" i="1"/>
  <c r="E4842" i="1"/>
  <c r="F4842" i="1"/>
  <c r="G4842" i="1"/>
  <c r="H4842" i="1"/>
  <c r="I4842" i="1"/>
  <c r="J4842" i="1"/>
  <c r="K4842" i="1"/>
  <c r="M4842" i="1"/>
  <c r="O4842" i="1"/>
  <c r="Q4842" i="1"/>
  <c r="R4842" i="1"/>
  <c r="W4842" i="1"/>
  <c r="AA4842" i="1"/>
  <c r="AM4842" i="1"/>
  <c r="AN4842" i="1"/>
  <c r="AO4842" i="1"/>
  <c r="AQ4842" i="1"/>
  <c r="BD4842" i="1"/>
  <c r="B4843" i="1"/>
  <c r="E4843" i="1"/>
  <c r="F4843" i="1"/>
  <c r="G4843" i="1"/>
  <c r="H4843" i="1"/>
  <c r="I4843" i="1"/>
  <c r="J4843" i="1"/>
  <c r="K4843" i="1"/>
  <c r="M4843" i="1"/>
  <c r="O4843" i="1"/>
  <c r="Q4843" i="1"/>
  <c r="R4843" i="1"/>
  <c r="W4843" i="1"/>
  <c r="AA4843" i="1"/>
  <c r="AM4843" i="1"/>
  <c r="AN4843" i="1"/>
  <c r="AO4843" i="1"/>
  <c r="AQ4843" i="1"/>
  <c r="BB4843" i="1"/>
  <c r="BD4843" i="1"/>
  <c r="B4844" i="1"/>
  <c r="E4844" i="1"/>
  <c r="F4844" i="1"/>
  <c r="G4844" i="1"/>
  <c r="H4844" i="1"/>
  <c r="I4844" i="1"/>
  <c r="J4844" i="1"/>
  <c r="K4844" i="1"/>
  <c r="M4844" i="1"/>
  <c r="O4844" i="1"/>
  <c r="Q4844" i="1"/>
  <c r="R4844" i="1"/>
  <c r="W4844" i="1"/>
  <c r="AA4844" i="1"/>
  <c r="AM4844" i="1"/>
  <c r="AN4844" i="1"/>
  <c r="AO4844" i="1"/>
  <c r="AQ4844" i="1"/>
  <c r="BD4844" i="1"/>
  <c r="B4845" i="1"/>
  <c r="E4845" i="1"/>
  <c r="F4845" i="1"/>
  <c r="G4845" i="1"/>
  <c r="H4845" i="1"/>
  <c r="I4845" i="1"/>
  <c r="J4845" i="1"/>
  <c r="K4845" i="1"/>
  <c r="M4845" i="1"/>
  <c r="O4845" i="1"/>
  <c r="Q4845" i="1"/>
  <c r="R4845" i="1"/>
  <c r="W4845" i="1"/>
  <c r="AA4845" i="1"/>
  <c r="AM4845" i="1"/>
  <c r="AN4845" i="1"/>
  <c r="AO4845" i="1"/>
  <c r="AQ4845" i="1"/>
  <c r="BB4845" i="1"/>
  <c r="BD4845" i="1"/>
  <c r="B4846" i="1"/>
  <c r="C4846" i="1"/>
  <c r="E4846" i="1"/>
  <c r="F4846" i="1"/>
  <c r="G4846" i="1"/>
  <c r="H4846" i="1"/>
  <c r="I4846" i="1"/>
  <c r="J4846" i="1"/>
  <c r="K4846" i="1"/>
  <c r="M4846" i="1"/>
  <c r="O4846" i="1"/>
  <c r="Q4846" i="1"/>
  <c r="R4846" i="1"/>
  <c r="W4846" i="1"/>
  <c r="AA4846" i="1"/>
  <c r="AB4846" i="1"/>
  <c r="AE4846" i="1"/>
  <c r="AF4846" i="1"/>
  <c r="AM4846" i="1"/>
  <c r="AN4846" i="1"/>
  <c r="AO4846" i="1"/>
  <c r="AQ4846" i="1"/>
  <c r="AX4846" i="1"/>
  <c r="BD4846" i="1"/>
  <c r="B4847" i="1"/>
  <c r="C4847" i="1"/>
  <c r="E4847" i="1"/>
  <c r="F4847" i="1"/>
  <c r="G4847" i="1"/>
  <c r="H4847" i="1"/>
  <c r="I4847" i="1"/>
  <c r="J4847" i="1"/>
  <c r="K4847" i="1"/>
  <c r="M4847" i="1"/>
  <c r="O4847" i="1"/>
  <c r="Q4847" i="1"/>
  <c r="R4847" i="1"/>
  <c r="W4847" i="1"/>
  <c r="AA4847" i="1"/>
  <c r="AB4847" i="1"/>
  <c r="AE4847" i="1"/>
  <c r="AF4847" i="1"/>
  <c r="AM4847" i="1"/>
  <c r="AN4847" i="1"/>
  <c r="AO4847" i="1"/>
  <c r="AQ4847" i="1"/>
  <c r="AX4847" i="1"/>
  <c r="BD4847" i="1"/>
  <c r="B4848" i="1"/>
  <c r="C4848" i="1"/>
  <c r="E4848" i="1"/>
  <c r="F4848" i="1"/>
  <c r="G4848" i="1"/>
  <c r="H4848" i="1"/>
  <c r="I4848" i="1"/>
  <c r="J4848" i="1"/>
  <c r="K4848" i="1"/>
  <c r="M4848" i="1"/>
  <c r="O4848" i="1"/>
  <c r="Q4848" i="1"/>
  <c r="R4848" i="1"/>
  <c r="W4848" i="1"/>
  <c r="AA4848" i="1"/>
  <c r="AB4848" i="1"/>
  <c r="AE4848" i="1"/>
  <c r="AF4848" i="1"/>
  <c r="AM4848" i="1"/>
  <c r="AN4848" i="1"/>
  <c r="AO4848" i="1"/>
  <c r="AQ4848" i="1"/>
  <c r="AX4848" i="1"/>
  <c r="BD4848" i="1"/>
  <c r="B4849" i="1"/>
  <c r="C4849" i="1"/>
  <c r="E4849" i="1"/>
  <c r="F4849" i="1"/>
  <c r="G4849" i="1"/>
  <c r="H4849" i="1"/>
  <c r="I4849" i="1"/>
  <c r="J4849" i="1"/>
  <c r="K4849" i="1"/>
  <c r="M4849" i="1"/>
  <c r="O4849" i="1"/>
  <c r="Q4849" i="1"/>
  <c r="R4849" i="1"/>
  <c r="W4849" i="1"/>
  <c r="AA4849" i="1"/>
  <c r="AB4849" i="1"/>
  <c r="AE4849" i="1"/>
  <c r="AF4849" i="1"/>
  <c r="AM4849" i="1"/>
  <c r="AN4849" i="1"/>
  <c r="AO4849" i="1"/>
  <c r="AQ4849" i="1"/>
  <c r="AX4849" i="1"/>
  <c r="BD4849" i="1"/>
  <c r="B4850" i="1"/>
  <c r="E4850" i="1"/>
  <c r="F4850" i="1"/>
  <c r="G4850" i="1"/>
  <c r="H4850" i="1"/>
  <c r="I4850" i="1"/>
  <c r="J4850" i="1"/>
  <c r="K4850" i="1"/>
  <c r="M4850" i="1"/>
  <c r="O4850" i="1"/>
  <c r="Q4850" i="1"/>
  <c r="R4850" i="1"/>
  <c r="W4850" i="1"/>
  <c r="AA4850" i="1"/>
  <c r="AM4850" i="1"/>
  <c r="AN4850" i="1"/>
  <c r="AO4850" i="1"/>
  <c r="AQ4850" i="1"/>
  <c r="BD4850" i="1"/>
  <c r="B4851" i="1"/>
  <c r="E4851" i="1"/>
  <c r="F4851" i="1"/>
  <c r="G4851" i="1"/>
  <c r="H4851" i="1"/>
  <c r="I4851" i="1"/>
  <c r="J4851" i="1"/>
  <c r="K4851" i="1"/>
  <c r="M4851" i="1"/>
  <c r="O4851" i="1"/>
  <c r="Q4851" i="1"/>
  <c r="R4851" i="1"/>
  <c r="W4851" i="1"/>
  <c r="AA4851" i="1"/>
  <c r="AM4851" i="1"/>
  <c r="AN4851" i="1"/>
  <c r="AO4851" i="1"/>
  <c r="AQ4851" i="1"/>
  <c r="BD4851" i="1"/>
  <c r="B4852" i="1"/>
  <c r="C4852" i="1"/>
  <c r="D4852" i="1"/>
  <c r="E4852" i="1"/>
  <c r="F4852" i="1"/>
  <c r="G4852" i="1"/>
  <c r="H4852" i="1"/>
  <c r="I4852" i="1"/>
  <c r="J4852" i="1"/>
  <c r="K4852" i="1"/>
  <c r="M4852" i="1"/>
  <c r="O4852" i="1"/>
  <c r="Q4852" i="1"/>
  <c r="R4852" i="1"/>
  <c r="W4852" i="1"/>
  <c r="AA4852" i="1"/>
  <c r="AB4852" i="1"/>
  <c r="AM4852" i="1"/>
  <c r="AN4852" i="1"/>
  <c r="AO4852" i="1"/>
  <c r="AQ4852" i="1"/>
  <c r="AX4852" i="1"/>
  <c r="BD4852" i="1"/>
  <c r="B4853" i="1"/>
  <c r="C4853" i="1"/>
  <c r="D4853" i="1"/>
  <c r="E4853" i="1"/>
  <c r="F4853" i="1"/>
  <c r="G4853" i="1"/>
  <c r="H4853" i="1"/>
  <c r="I4853" i="1"/>
  <c r="J4853" i="1"/>
  <c r="K4853" i="1"/>
  <c r="M4853" i="1"/>
  <c r="O4853" i="1"/>
  <c r="Q4853" i="1"/>
  <c r="R4853" i="1"/>
  <c r="W4853" i="1"/>
  <c r="AA4853" i="1"/>
  <c r="AB4853" i="1"/>
  <c r="AM4853" i="1"/>
  <c r="AN4853" i="1"/>
  <c r="AO4853" i="1"/>
  <c r="AQ4853" i="1"/>
  <c r="AX4853" i="1"/>
  <c r="BD4853" i="1"/>
  <c r="B4854" i="1"/>
  <c r="C4854" i="1"/>
  <c r="E4854" i="1"/>
  <c r="F4854" i="1"/>
  <c r="G4854" i="1"/>
  <c r="H4854" i="1"/>
  <c r="I4854" i="1"/>
  <c r="J4854" i="1"/>
  <c r="K4854" i="1"/>
  <c r="M4854" i="1"/>
  <c r="O4854" i="1"/>
  <c r="Q4854" i="1"/>
  <c r="R4854" i="1"/>
  <c r="W4854" i="1"/>
  <c r="AA4854" i="1"/>
  <c r="AM4854" i="1"/>
  <c r="AN4854" i="1"/>
  <c r="AO4854" i="1"/>
  <c r="AQ4854" i="1"/>
  <c r="BB4854" i="1"/>
  <c r="BD4854" i="1"/>
  <c r="B4855" i="1"/>
  <c r="C4855" i="1"/>
  <c r="E4855" i="1"/>
  <c r="F4855" i="1"/>
  <c r="G4855" i="1"/>
  <c r="H4855" i="1"/>
  <c r="I4855" i="1"/>
  <c r="J4855" i="1"/>
  <c r="K4855" i="1"/>
  <c r="M4855" i="1"/>
  <c r="O4855" i="1"/>
  <c r="Q4855" i="1"/>
  <c r="R4855" i="1"/>
  <c r="W4855" i="1"/>
  <c r="AA4855" i="1"/>
  <c r="AM4855" i="1"/>
  <c r="AN4855" i="1"/>
  <c r="AO4855" i="1"/>
  <c r="AQ4855" i="1"/>
  <c r="BB4855" i="1"/>
  <c r="BD4855" i="1"/>
  <c r="B4856" i="1"/>
  <c r="C4856" i="1"/>
  <c r="E4856" i="1"/>
  <c r="F4856" i="1"/>
  <c r="G4856" i="1"/>
  <c r="H4856" i="1"/>
  <c r="I4856" i="1"/>
  <c r="J4856" i="1"/>
  <c r="K4856" i="1"/>
  <c r="M4856" i="1"/>
  <c r="O4856" i="1"/>
  <c r="Q4856" i="1"/>
  <c r="R4856" i="1"/>
  <c r="W4856" i="1"/>
  <c r="AA4856" i="1"/>
  <c r="AM4856" i="1"/>
  <c r="AN4856" i="1"/>
  <c r="AO4856" i="1"/>
  <c r="AQ4856" i="1"/>
  <c r="BB4856" i="1"/>
  <c r="BD4856" i="1"/>
  <c r="B4857" i="1"/>
  <c r="C4857" i="1"/>
  <c r="E4857" i="1"/>
  <c r="F4857" i="1"/>
  <c r="G4857" i="1"/>
  <c r="H4857" i="1"/>
  <c r="I4857" i="1"/>
  <c r="J4857" i="1"/>
  <c r="K4857" i="1"/>
  <c r="M4857" i="1"/>
  <c r="O4857" i="1"/>
  <c r="Q4857" i="1"/>
  <c r="R4857" i="1"/>
  <c r="W4857" i="1"/>
  <c r="AA4857" i="1"/>
  <c r="AM4857" i="1"/>
  <c r="AN4857" i="1"/>
  <c r="AO4857" i="1"/>
  <c r="AQ4857" i="1"/>
  <c r="BB4857" i="1"/>
  <c r="BD4857" i="1"/>
  <c r="B4858" i="1"/>
  <c r="C4858" i="1"/>
  <c r="E4858" i="1"/>
  <c r="F4858" i="1"/>
  <c r="G4858" i="1"/>
  <c r="H4858" i="1"/>
  <c r="J4858" i="1"/>
  <c r="K4858" i="1"/>
  <c r="M4858" i="1"/>
  <c r="O4858" i="1"/>
  <c r="Q4858" i="1"/>
  <c r="R4858" i="1"/>
  <c r="W4858" i="1"/>
  <c r="AA4858" i="1"/>
  <c r="AQ4858" i="1"/>
  <c r="BD4858" i="1"/>
  <c r="B4859" i="1"/>
  <c r="C4859" i="1"/>
  <c r="E4859" i="1"/>
  <c r="F4859" i="1"/>
  <c r="G4859" i="1"/>
  <c r="H4859" i="1"/>
  <c r="I4859" i="1"/>
  <c r="J4859" i="1"/>
  <c r="K4859" i="1"/>
  <c r="M4859" i="1"/>
  <c r="O4859" i="1"/>
  <c r="Q4859" i="1"/>
  <c r="R4859" i="1"/>
  <c r="W4859" i="1"/>
  <c r="AA4859" i="1"/>
  <c r="AM4859" i="1"/>
  <c r="AN4859" i="1"/>
  <c r="AO4859" i="1"/>
  <c r="AQ4859" i="1"/>
  <c r="BB4859" i="1"/>
  <c r="BD4859" i="1"/>
  <c r="B4860" i="1"/>
  <c r="C4860" i="1"/>
  <c r="E4860" i="1"/>
  <c r="F4860" i="1"/>
  <c r="G4860" i="1"/>
  <c r="H4860" i="1"/>
  <c r="I4860" i="1"/>
  <c r="J4860" i="1"/>
  <c r="K4860" i="1"/>
  <c r="M4860" i="1"/>
  <c r="O4860" i="1"/>
  <c r="Q4860" i="1"/>
  <c r="R4860" i="1"/>
  <c r="W4860" i="1"/>
  <c r="AA4860" i="1"/>
  <c r="AM4860" i="1"/>
  <c r="AN4860" i="1"/>
  <c r="AO4860" i="1"/>
  <c r="AQ4860" i="1"/>
  <c r="BB4860" i="1"/>
  <c r="BD4860" i="1"/>
  <c r="B4861" i="1"/>
  <c r="C4861" i="1"/>
  <c r="D4861" i="1"/>
  <c r="E4861" i="1"/>
  <c r="F4861" i="1"/>
  <c r="G4861" i="1"/>
  <c r="H4861" i="1"/>
  <c r="I4861" i="1"/>
  <c r="J4861" i="1"/>
  <c r="K4861" i="1"/>
  <c r="M4861" i="1"/>
  <c r="O4861" i="1"/>
  <c r="Q4861" i="1"/>
  <c r="R4861" i="1"/>
  <c r="W4861" i="1"/>
  <c r="AA4861" i="1"/>
  <c r="AB4861" i="1"/>
  <c r="AM4861" i="1"/>
  <c r="AN4861" i="1"/>
  <c r="AO4861" i="1"/>
  <c r="AQ4861" i="1"/>
  <c r="AX4861" i="1"/>
  <c r="BD4861" i="1"/>
  <c r="B4862" i="1"/>
  <c r="C4862" i="1"/>
  <c r="D4862" i="1"/>
  <c r="E4862" i="1"/>
  <c r="F4862" i="1"/>
  <c r="G4862" i="1"/>
  <c r="H4862" i="1"/>
  <c r="I4862" i="1"/>
  <c r="J4862" i="1"/>
  <c r="K4862" i="1"/>
  <c r="M4862" i="1"/>
  <c r="O4862" i="1"/>
  <c r="Q4862" i="1"/>
  <c r="R4862" i="1"/>
  <c r="W4862" i="1"/>
  <c r="AA4862" i="1"/>
  <c r="AB4862" i="1"/>
  <c r="AM4862" i="1"/>
  <c r="AN4862" i="1"/>
  <c r="AO4862" i="1"/>
  <c r="AQ4862" i="1"/>
  <c r="AX4862" i="1"/>
  <c r="BD4862" i="1"/>
  <c r="B4863" i="1"/>
  <c r="C4863" i="1"/>
  <c r="D4863" i="1"/>
  <c r="E4863" i="1"/>
  <c r="F4863" i="1"/>
  <c r="G4863" i="1"/>
  <c r="H4863" i="1"/>
  <c r="I4863" i="1"/>
  <c r="J4863" i="1"/>
  <c r="K4863" i="1"/>
  <c r="M4863" i="1"/>
  <c r="O4863" i="1"/>
  <c r="Q4863" i="1"/>
  <c r="R4863" i="1"/>
  <c r="W4863" i="1"/>
  <c r="AA4863" i="1"/>
  <c r="AB4863" i="1"/>
  <c r="AM4863" i="1"/>
  <c r="AN4863" i="1"/>
  <c r="AO4863" i="1"/>
  <c r="AQ4863" i="1"/>
  <c r="AX4863" i="1"/>
  <c r="BD4863" i="1"/>
  <c r="B4864" i="1"/>
  <c r="C4864" i="1"/>
  <c r="E4864" i="1"/>
  <c r="F4864" i="1"/>
  <c r="G4864" i="1"/>
  <c r="H4864" i="1"/>
  <c r="I4864" i="1"/>
  <c r="J4864" i="1"/>
  <c r="K4864" i="1"/>
  <c r="M4864" i="1"/>
  <c r="O4864" i="1"/>
  <c r="Q4864" i="1"/>
  <c r="R4864" i="1"/>
  <c r="W4864" i="1"/>
  <c r="AA4864" i="1"/>
  <c r="AB4864" i="1"/>
  <c r="AM4864" i="1"/>
  <c r="AN4864" i="1"/>
  <c r="AO4864" i="1"/>
  <c r="AQ4864" i="1"/>
  <c r="AX4864" i="1"/>
  <c r="BD4864" i="1"/>
  <c r="B4865" i="1"/>
  <c r="C4865" i="1"/>
  <c r="D4865" i="1"/>
  <c r="E4865" i="1"/>
  <c r="F4865" i="1"/>
  <c r="G4865" i="1"/>
  <c r="H4865" i="1"/>
  <c r="I4865" i="1"/>
  <c r="J4865" i="1"/>
  <c r="K4865" i="1"/>
  <c r="M4865" i="1"/>
  <c r="O4865" i="1"/>
  <c r="Q4865" i="1"/>
  <c r="R4865" i="1"/>
  <c r="W4865" i="1"/>
  <c r="AA4865" i="1"/>
  <c r="AB4865" i="1"/>
  <c r="AE4865" i="1"/>
  <c r="AF4865" i="1"/>
  <c r="AM4865" i="1"/>
  <c r="AN4865" i="1"/>
  <c r="AO4865" i="1"/>
  <c r="AQ4865" i="1"/>
  <c r="AX4865" i="1"/>
  <c r="BD4865" i="1"/>
  <c r="B4866" i="1"/>
  <c r="C4866" i="1"/>
  <c r="E4866" i="1"/>
  <c r="F4866" i="1"/>
  <c r="G4866" i="1"/>
  <c r="H4866" i="1"/>
  <c r="I4866" i="1"/>
  <c r="J4866" i="1"/>
  <c r="K4866" i="1"/>
  <c r="M4866" i="1"/>
  <c r="O4866" i="1"/>
  <c r="Q4866" i="1"/>
  <c r="R4866" i="1"/>
  <c r="W4866" i="1"/>
  <c r="AA4866" i="1"/>
  <c r="AB4866" i="1"/>
  <c r="AE4866" i="1"/>
  <c r="AF4866" i="1"/>
  <c r="AM4866" i="1"/>
  <c r="AN4866" i="1"/>
  <c r="AO4866" i="1"/>
  <c r="AQ4866" i="1"/>
  <c r="AX4866" i="1"/>
  <c r="BD4866" i="1"/>
  <c r="B4867" i="1"/>
  <c r="C4867" i="1"/>
  <c r="E4867" i="1"/>
  <c r="F4867" i="1"/>
  <c r="G4867" i="1"/>
  <c r="H4867" i="1"/>
  <c r="I4867" i="1"/>
  <c r="J4867" i="1"/>
  <c r="K4867" i="1"/>
  <c r="M4867" i="1"/>
  <c r="O4867" i="1"/>
  <c r="Q4867" i="1"/>
  <c r="R4867" i="1"/>
  <c r="W4867" i="1"/>
  <c r="AA4867" i="1"/>
  <c r="AB4867" i="1"/>
  <c r="AE4867" i="1"/>
  <c r="AF4867" i="1"/>
  <c r="AM4867" i="1"/>
  <c r="AN4867" i="1"/>
  <c r="AO4867" i="1"/>
  <c r="AQ4867" i="1"/>
  <c r="AX4867" i="1"/>
  <c r="BD4867" i="1"/>
  <c r="B4868" i="1"/>
  <c r="C4868" i="1"/>
  <c r="E4868" i="1"/>
  <c r="F4868" i="1"/>
  <c r="G4868" i="1"/>
  <c r="H4868" i="1"/>
  <c r="I4868" i="1"/>
  <c r="J4868" i="1"/>
  <c r="K4868" i="1"/>
  <c r="M4868" i="1"/>
  <c r="O4868" i="1"/>
  <c r="Q4868" i="1"/>
  <c r="R4868" i="1"/>
  <c r="W4868" i="1"/>
  <c r="AA4868" i="1"/>
  <c r="AB4868" i="1"/>
  <c r="AE4868" i="1"/>
  <c r="AF4868" i="1"/>
  <c r="AM4868" i="1"/>
  <c r="AN4868" i="1"/>
  <c r="AO4868" i="1"/>
  <c r="AQ4868" i="1"/>
  <c r="AX4868" i="1"/>
  <c r="BD4868" i="1"/>
  <c r="B4869" i="1"/>
  <c r="C4869" i="1"/>
  <c r="D4869" i="1"/>
  <c r="E4869" i="1"/>
  <c r="F4869" i="1"/>
  <c r="G4869" i="1"/>
  <c r="H4869" i="1"/>
  <c r="I4869" i="1"/>
  <c r="J4869" i="1"/>
  <c r="K4869" i="1"/>
  <c r="M4869" i="1"/>
  <c r="O4869" i="1"/>
  <c r="Q4869" i="1"/>
  <c r="R4869" i="1"/>
  <c r="W4869" i="1"/>
  <c r="AA4869" i="1"/>
  <c r="AB4869" i="1"/>
  <c r="AE4869" i="1"/>
  <c r="AF4869" i="1"/>
  <c r="AM4869" i="1"/>
  <c r="AN4869" i="1"/>
  <c r="AO4869" i="1"/>
  <c r="AQ4869" i="1"/>
  <c r="AX4869" i="1"/>
  <c r="BD4869" i="1"/>
  <c r="B4870" i="1"/>
  <c r="C4870" i="1"/>
  <c r="E4870" i="1"/>
  <c r="F4870" i="1"/>
  <c r="G4870" i="1"/>
  <c r="H4870" i="1"/>
  <c r="I4870" i="1"/>
  <c r="J4870" i="1"/>
  <c r="K4870" i="1"/>
  <c r="M4870" i="1"/>
  <c r="O4870" i="1"/>
  <c r="Q4870" i="1"/>
  <c r="R4870" i="1"/>
  <c r="W4870" i="1"/>
  <c r="AA4870" i="1"/>
  <c r="AB4870" i="1"/>
  <c r="AE4870" i="1"/>
  <c r="AF4870" i="1"/>
  <c r="AM4870" i="1"/>
  <c r="AN4870" i="1"/>
  <c r="AO4870" i="1"/>
  <c r="AQ4870" i="1"/>
  <c r="AX4870" i="1"/>
  <c r="BD4870" i="1"/>
  <c r="B4871" i="1"/>
  <c r="C4871" i="1"/>
  <c r="D4871" i="1"/>
  <c r="E4871" i="1"/>
  <c r="F4871" i="1"/>
  <c r="G4871" i="1"/>
  <c r="H4871" i="1"/>
  <c r="I4871" i="1"/>
  <c r="J4871" i="1"/>
  <c r="K4871" i="1"/>
  <c r="M4871" i="1"/>
  <c r="O4871" i="1"/>
  <c r="Q4871" i="1"/>
  <c r="R4871" i="1"/>
  <c r="W4871" i="1"/>
  <c r="AA4871" i="1"/>
  <c r="AB4871" i="1"/>
  <c r="AM4871" i="1"/>
  <c r="AN4871" i="1"/>
  <c r="AO4871" i="1"/>
  <c r="AQ4871" i="1"/>
  <c r="AX4871" i="1"/>
  <c r="BD4871" i="1"/>
  <c r="B4872" i="1"/>
  <c r="C4872" i="1"/>
  <c r="D4872" i="1"/>
  <c r="E4872" i="1"/>
  <c r="F4872" i="1"/>
  <c r="G4872" i="1"/>
  <c r="H4872" i="1"/>
  <c r="I4872" i="1"/>
  <c r="J4872" i="1"/>
  <c r="K4872" i="1"/>
  <c r="M4872" i="1"/>
  <c r="O4872" i="1"/>
  <c r="Q4872" i="1"/>
  <c r="R4872" i="1"/>
  <c r="W4872" i="1"/>
  <c r="AA4872" i="1"/>
  <c r="AB4872" i="1"/>
  <c r="AM4872" i="1"/>
  <c r="AN4872" i="1"/>
  <c r="AO4872" i="1"/>
  <c r="AQ4872" i="1"/>
  <c r="AX4872" i="1"/>
  <c r="BD4872" i="1"/>
  <c r="B4873" i="1"/>
  <c r="C4873" i="1"/>
  <c r="D4873" i="1"/>
  <c r="E4873" i="1"/>
  <c r="F4873" i="1"/>
  <c r="G4873" i="1"/>
  <c r="H4873" i="1"/>
  <c r="I4873" i="1"/>
  <c r="J4873" i="1"/>
  <c r="K4873" i="1"/>
  <c r="M4873" i="1"/>
  <c r="O4873" i="1"/>
  <c r="Q4873" i="1"/>
  <c r="R4873" i="1"/>
  <c r="W4873" i="1"/>
  <c r="AA4873" i="1"/>
  <c r="AB4873" i="1"/>
  <c r="AM4873" i="1"/>
  <c r="AN4873" i="1"/>
  <c r="AO4873" i="1"/>
  <c r="AQ4873" i="1"/>
  <c r="AX4873" i="1"/>
  <c r="BD4873" i="1"/>
  <c r="B4874" i="1"/>
  <c r="C4874" i="1"/>
  <c r="D4874" i="1"/>
  <c r="E4874" i="1"/>
  <c r="F4874" i="1"/>
  <c r="G4874" i="1"/>
  <c r="H4874" i="1"/>
  <c r="I4874" i="1"/>
  <c r="J4874" i="1"/>
  <c r="K4874" i="1"/>
  <c r="M4874" i="1"/>
  <c r="O4874" i="1"/>
  <c r="Q4874" i="1"/>
  <c r="R4874" i="1"/>
  <c r="W4874" i="1"/>
  <c r="AA4874" i="1"/>
  <c r="AB4874" i="1"/>
  <c r="AM4874" i="1"/>
  <c r="AN4874" i="1"/>
  <c r="AO4874" i="1"/>
  <c r="AQ4874" i="1"/>
  <c r="AX4874" i="1"/>
  <c r="BD4874" i="1"/>
  <c r="B4875" i="1"/>
  <c r="C4875" i="1"/>
  <c r="D4875" i="1"/>
  <c r="E4875" i="1"/>
  <c r="F4875" i="1"/>
  <c r="G4875" i="1"/>
  <c r="H4875" i="1"/>
  <c r="I4875" i="1"/>
  <c r="J4875" i="1"/>
  <c r="K4875" i="1"/>
  <c r="M4875" i="1"/>
  <c r="O4875" i="1"/>
  <c r="Q4875" i="1"/>
  <c r="R4875" i="1"/>
  <c r="W4875" i="1"/>
  <c r="AA4875" i="1"/>
  <c r="AB4875" i="1"/>
  <c r="AM4875" i="1"/>
  <c r="AN4875" i="1"/>
  <c r="AO4875" i="1"/>
  <c r="AQ4875" i="1"/>
  <c r="AX4875" i="1"/>
  <c r="BD4875" i="1"/>
  <c r="B4876" i="1"/>
  <c r="E4876" i="1"/>
  <c r="F4876" i="1"/>
  <c r="G4876" i="1"/>
  <c r="H4876" i="1"/>
  <c r="J4876" i="1"/>
  <c r="K4876" i="1"/>
  <c r="M4876" i="1"/>
  <c r="O4876" i="1"/>
  <c r="Q4876" i="1"/>
  <c r="R4876" i="1"/>
  <c r="W4876" i="1"/>
  <c r="AA4876" i="1"/>
  <c r="AB4876" i="1"/>
  <c r="AN4876" i="1"/>
  <c r="AO4876" i="1"/>
  <c r="AQ4876" i="1"/>
  <c r="AX4876" i="1"/>
  <c r="BD4876" i="1"/>
  <c r="B4877" i="1"/>
  <c r="C4877" i="1"/>
  <c r="D4877" i="1"/>
  <c r="E4877" i="1"/>
  <c r="F4877" i="1"/>
  <c r="G4877" i="1"/>
  <c r="H4877" i="1"/>
  <c r="J4877" i="1"/>
  <c r="K4877" i="1"/>
  <c r="M4877" i="1"/>
  <c r="O4877" i="1"/>
  <c r="Q4877" i="1"/>
  <c r="R4877" i="1"/>
  <c r="W4877" i="1"/>
  <c r="AA4877" i="1"/>
  <c r="AB4877" i="1"/>
  <c r="AE4877" i="1"/>
  <c r="AF4877" i="1"/>
  <c r="AN4877" i="1"/>
  <c r="AO4877" i="1"/>
  <c r="AQ4877" i="1"/>
  <c r="AX4877" i="1"/>
  <c r="BD4877" i="1"/>
  <c r="B4878" i="1"/>
  <c r="C4878" i="1"/>
  <c r="D4878" i="1"/>
  <c r="E4878" i="1"/>
  <c r="F4878" i="1"/>
  <c r="G4878" i="1"/>
  <c r="H4878" i="1"/>
  <c r="J4878" i="1"/>
  <c r="K4878" i="1"/>
  <c r="M4878" i="1"/>
  <c r="O4878" i="1"/>
  <c r="Q4878" i="1"/>
  <c r="R4878" i="1"/>
  <c r="W4878" i="1"/>
  <c r="AA4878" i="1"/>
  <c r="AB4878" i="1"/>
  <c r="AE4878" i="1"/>
  <c r="AF4878" i="1"/>
  <c r="AN4878" i="1"/>
  <c r="AO4878" i="1"/>
  <c r="AQ4878" i="1"/>
  <c r="AX4878" i="1"/>
  <c r="BD4878" i="1"/>
  <c r="B4879" i="1"/>
  <c r="C4879" i="1"/>
  <c r="D4879" i="1"/>
  <c r="E4879" i="1"/>
  <c r="F4879" i="1"/>
  <c r="G4879" i="1"/>
  <c r="H4879" i="1"/>
  <c r="J4879" i="1"/>
  <c r="K4879" i="1"/>
  <c r="M4879" i="1"/>
  <c r="O4879" i="1"/>
  <c r="Q4879" i="1"/>
  <c r="R4879" i="1"/>
  <c r="W4879" i="1"/>
  <c r="AA4879" i="1"/>
  <c r="AB4879" i="1"/>
  <c r="AE4879" i="1"/>
  <c r="AF4879" i="1"/>
  <c r="AN4879" i="1"/>
  <c r="AO4879" i="1"/>
  <c r="AQ4879" i="1"/>
  <c r="AX4879" i="1"/>
  <c r="BD4879" i="1"/>
  <c r="B4880" i="1"/>
  <c r="C4880" i="1"/>
  <c r="D4880" i="1"/>
  <c r="E4880" i="1"/>
  <c r="F4880" i="1"/>
  <c r="G4880" i="1"/>
  <c r="H4880" i="1"/>
  <c r="J4880" i="1"/>
  <c r="K4880" i="1"/>
  <c r="M4880" i="1"/>
  <c r="O4880" i="1"/>
  <c r="Q4880" i="1"/>
  <c r="R4880" i="1"/>
  <c r="W4880" i="1"/>
  <c r="AA4880" i="1"/>
  <c r="AB4880" i="1"/>
  <c r="AE4880" i="1"/>
  <c r="AF4880" i="1"/>
  <c r="AN4880" i="1"/>
  <c r="AO4880" i="1"/>
  <c r="AQ4880" i="1"/>
  <c r="AX4880" i="1"/>
  <c r="BD4880" i="1"/>
  <c r="B4881" i="1"/>
  <c r="C4881" i="1"/>
  <c r="D4881" i="1"/>
  <c r="E4881" i="1"/>
  <c r="F4881" i="1"/>
  <c r="G4881" i="1"/>
  <c r="H4881" i="1"/>
  <c r="J4881" i="1"/>
  <c r="K4881" i="1"/>
  <c r="M4881" i="1"/>
  <c r="O4881" i="1"/>
  <c r="Q4881" i="1"/>
  <c r="R4881" i="1"/>
  <c r="W4881" i="1"/>
  <c r="AA4881" i="1"/>
  <c r="AB4881" i="1"/>
  <c r="AE4881" i="1"/>
  <c r="AF4881" i="1"/>
  <c r="AN4881" i="1"/>
  <c r="AO4881" i="1"/>
  <c r="AQ4881" i="1"/>
  <c r="AX4881" i="1"/>
  <c r="BD4881" i="1"/>
  <c r="B4882" i="1"/>
  <c r="C4882" i="1"/>
  <c r="D4882" i="1"/>
  <c r="E4882" i="1"/>
  <c r="F4882" i="1"/>
  <c r="G4882" i="1"/>
  <c r="H4882" i="1"/>
  <c r="J4882" i="1"/>
  <c r="K4882" i="1"/>
  <c r="M4882" i="1"/>
  <c r="O4882" i="1"/>
  <c r="Q4882" i="1"/>
  <c r="R4882" i="1"/>
  <c r="W4882" i="1"/>
  <c r="AA4882" i="1"/>
  <c r="AB4882" i="1"/>
  <c r="AE4882" i="1"/>
  <c r="AF4882" i="1"/>
  <c r="AN4882" i="1"/>
  <c r="AO4882" i="1"/>
  <c r="AQ4882" i="1"/>
  <c r="AX4882" i="1"/>
  <c r="BD4882" i="1"/>
  <c r="B4883" i="1"/>
  <c r="C4883" i="1"/>
  <c r="D4883" i="1"/>
  <c r="E4883" i="1"/>
  <c r="F4883" i="1"/>
  <c r="G4883" i="1"/>
  <c r="H4883" i="1"/>
  <c r="J4883" i="1"/>
  <c r="K4883" i="1"/>
  <c r="M4883" i="1"/>
  <c r="O4883" i="1"/>
  <c r="Q4883" i="1"/>
  <c r="R4883" i="1"/>
  <c r="W4883" i="1"/>
  <c r="AA4883" i="1"/>
  <c r="AB4883" i="1"/>
  <c r="AE4883" i="1"/>
  <c r="AF4883" i="1"/>
  <c r="AN4883" i="1"/>
  <c r="AO4883" i="1"/>
  <c r="AQ4883" i="1"/>
  <c r="AX4883" i="1"/>
  <c r="BD4883" i="1"/>
  <c r="B4884" i="1"/>
  <c r="C4884" i="1"/>
  <c r="D4884" i="1"/>
  <c r="E4884" i="1"/>
  <c r="F4884" i="1"/>
  <c r="G4884" i="1"/>
  <c r="H4884" i="1"/>
  <c r="J4884" i="1"/>
  <c r="K4884" i="1"/>
  <c r="M4884" i="1"/>
  <c r="O4884" i="1"/>
  <c r="Q4884" i="1"/>
  <c r="R4884" i="1"/>
  <c r="W4884" i="1"/>
  <c r="AA4884" i="1"/>
  <c r="AB4884" i="1"/>
  <c r="AE4884" i="1"/>
  <c r="AF4884" i="1"/>
  <c r="AN4884" i="1"/>
  <c r="AO4884" i="1"/>
  <c r="AQ4884" i="1"/>
  <c r="AX4884" i="1"/>
  <c r="BD4884" i="1"/>
  <c r="B4885" i="1"/>
  <c r="C4885" i="1"/>
  <c r="D4885" i="1"/>
  <c r="E4885" i="1"/>
  <c r="F4885" i="1"/>
  <c r="G4885" i="1"/>
  <c r="H4885" i="1"/>
  <c r="J4885" i="1"/>
  <c r="K4885" i="1"/>
  <c r="M4885" i="1"/>
  <c r="O4885" i="1"/>
  <c r="Q4885" i="1"/>
  <c r="R4885" i="1"/>
  <c r="W4885" i="1"/>
  <c r="AA4885" i="1"/>
  <c r="AB4885" i="1"/>
  <c r="AE4885" i="1"/>
  <c r="AF4885" i="1"/>
  <c r="AN4885" i="1"/>
  <c r="AO4885" i="1"/>
  <c r="AQ4885" i="1"/>
  <c r="AX4885" i="1"/>
  <c r="BD4885" i="1"/>
  <c r="B4886" i="1"/>
  <c r="C4886" i="1"/>
  <c r="D4886" i="1"/>
  <c r="E4886" i="1"/>
  <c r="F4886" i="1"/>
  <c r="G4886" i="1"/>
  <c r="H4886" i="1"/>
  <c r="J4886" i="1"/>
  <c r="K4886" i="1"/>
  <c r="M4886" i="1"/>
  <c r="O4886" i="1"/>
  <c r="Q4886" i="1"/>
  <c r="R4886" i="1"/>
  <c r="W4886" i="1"/>
  <c r="AA4886" i="1"/>
  <c r="AB4886" i="1"/>
  <c r="AE4886" i="1"/>
  <c r="AF4886" i="1"/>
  <c r="AN4886" i="1"/>
  <c r="AO4886" i="1"/>
  <c r="AQ4886" i="1"/>
  <c r="AX4886" i="1"/>
  <c r="BD4886" i="1"/>
  <c r="B4887" i="1"/>
  <c r="C4887" i="1"/>
  <c r="D4887" i="1"/>
  <c r="E4887" i="1"/>
  <c r="F4887" i="1"/>
  <c r="G4887" i="1"/>
  <c r="H4887" i="1"/>
  <c r="J4887" i="1"/>
  <c r="K4887" i="1"/>
  <c r="M4887" i="1"/>
  <c r="O4887" i="1"/>
  <c r="Q4887" i="1"/>
  <c r="R4887" i="1"/>
  <c r="W4887" i="1"/>
  <c r="AA4887" i="1"/>
  <c r="AB4887" i="1"/>
  <c r="AE4887" i="1"/>
  <c r="AF4887" i="1"/>
  <c r="AN4887" i="1"/>
  <c r="AO4887" i="1"/>
  <c r="AQ4887" i="1"/>
  <c r="AX4887" i="1"/>
  <c r="BD4887" i="1"/>
  <c r="B4888" i="1"/>
  <c r="C4888" i="1"/>
  <c r="D4888" i="1"/>
  <c r="E4888" i="1"/>
  <c r="F4888" i="1"/>
  <c r="G4888" i="1"/>
  <c r="H4888" i="1"/>
  <c r="J4888" i="1"/>
  <c r="K4888" i="1"/>
  <c r="M4888" i="1"/>
  <c r="O4888" i="1"/>
  <c r="Q4888" i="1"/>
  <c r="R4888" i="1"/>
  <c r="W4888" i="1"/>
  <c r="AA4888" i="1"/>
  <c r="AB4888" i="1"/>
  <c r="AE4888" i="1"/>
  <c r="AF4888" i="1"/>
  <c r="AN4888" i="1"/>
  <c r="AO4888" i="1"/>
  <c r="AQ4888" i="1"/>
  <c r="AX4888" i="1"/>
  <c r="BD4888" i="1"/>
  <c r="B4889" i="1"/>
  <c r="C4889" i="1"/>
  <c r="D4889" i="1"/>
  <c r="E4889" i="1"/>
  <c r="F4889" i="1"/>
  <c r="G4889" i="1"/>
  <c r="H4889" i="1"/>
  <c r="J4889" i="1"/>
  <c r="K4889" i="1"/>
  <c r="M4889" i="1"/>
  <c r="O4889" i="1"/>
  <c r="Q4889" i="1"/>
  <c r="R4889" i="1"/>
  <c r="W4889" i="1"/>
  <c r="AA4889" i="1"/>
  <c r="AB4889" i="1"/>
  <c r="AE4889" i="1"/>
  <c r="AF4889" i="1"/>
  <c r="AN4889" i="1"/>
  <c r="AO4889" i="1"/>
  <c r="AQ4889" i="1"/>
  <c r="AX4889" i="1"/>
  <c r="BD4889" i="1"/>
  <c r="B4890" i="1"/>
  <c r="C4890" i="1"/>
  <c r="D4890" i="1"/>
  <c r="E4890" i="1"/>
  <c r="F4890" i="1"/>
  <c r="G4890" i="1"/>
  <c r="H4890" i="1"/>
  <c r="J4890" i="1"/>
  <c r="K4890" i="1"/>
  <c r="M4890" i="1"/>
  <c r="O4890" i="1"/>
  <c r="Q4890" i="1"/>
  <c r="R4890" i="1"/>
  <c r="W4890" i="1"/>
  <c r="AA4890" i="1"/>
  <c r="AB4890" i="1"/>
  <c r="AE4890" i="1"/>
  <c r="AF4890" i="1"/>
  <c r="AN4890" i="1"/>
  <c r="AO4890" i="1"/>
  <c r="AQ4890" i="1"/>
  <c r="AX4890" i="1"/>
  <c r="BD4890" i="1"/>
  <c r="B4891" i="1"/>
  <c r="C4891" i="1"/>
  <c r="D4891" i="1"/>
  <c r="E4891" i="1"/>
  <c r="F4891" i="1"/>
  <c r="G4891" i="1"/>
  <c r="H4891" i="1"/>
  <c r="J4891" i="1"/>
  <c r="K4891" i="1"/>
  <c r="M4891" i="1"/>
  <c r="O4891" i="1"/>
  <c r="Q4891" i="1"/>
  <c r="R4891" i="1"/>
  <c r="W4891" i="1"/>
  <c r="AA4891" i="1"/>
  <c r="AB4891" i="1"/>
  <c r="AN4891" i="1"/>
  <c r="AO4891" i="1"/>
  <c r="AQ4891" i="1"/>
  <c r="AX4891" i="1"/>
  <c r="BD4891" i="1"/>
  <c r="B4892" i="1"/>
  <c r="C4892" i="1"/>
  <c r="D4892" i="1"/>
  <c r="E4892" i="1"/>
  <c r="F4892" i="1"/>
  <c r="G4892" i="1"/>
  <c r="H4892" i="1"/>
  <c r="J4892" i="1"/>
  <c r="K4892" i="1"/>
  <c r="M4892" i="1"/>
  <c r="O4892" i="1"/>
  <c r="Q4892" i="1"/>
  <c r="R4892" i="1"/>
  <c r="W4892" i="1"/>
  <c r="AA4892" i="1"/>
  <c r="AB4892" i="1"/>
  <c r="AN4892" i="1"/>
  <c r="AO4892" i="1"/>
  <c r="AQ4892" i="1"/>
  <c r="AX4892" i="1"/>
  <c r="BD4892" i="1"/>
  <c r="B4893" i="1"/>
  <c r="C4893" i="1"/>
  <c r="D4893" i="1"/>
  <c r="E4893" i="1"/>
  <c r="F4893" i="1"/>
  <c r="G4893" i="1"/>
  <c r="H4893" i="1"/>
  <c r="J4893" i="1"/>
  <c r="K4893" i="1"/>
  <c r="M4893" i="1"/>
  <c r="O4893" i="1"/>
  <c r="Q4893" i="1"/>
  <c r="R4893" i="1"/>
  <c r="W4893" i="1"/>
  <c r="AA4893" i="1"/>
  <c r="AB4893" i="1"/>
  <c r="AN4893" i="1"/>
  <c r="AO4893" i="1"/>
  <c r="AQ4893" i="1"/>
  <c r="AX4893" i="1"/>
  <c r="BD4893" i="1"/>
  <c r="B4894" i="1"/>
  <c r="C4894" i="1"/>
  <c r="D4894" i="1"/>
  <c r="E4894" i="1"/>
  <c r="F4894" i="1"/>
  <c r="G4894" i="1"/>
  <c r="H4894" i="1"/>
  <c r="J4894" i="1"/>
  <c r="K4894" i="1"/>
  <c r="M4894" i="1"/>
  <c r="O4894" i="1"/>
  <c r="Q4894" i="1"/>
  <c r="R4894" i="1"/>
  <c r="W4894" i="1"/>
  <c r="AA4894" i="1"/>
  <c r="AB4894" i="1"/>
  <c r="AN4894" i="1"/>
  <c r="AO4894" i="1"/>
  <c r="AQ4894" i="1"/>
  <c r="AX4894" i="1"/>
  <c r="BD4894" i="1"/>
  <c r="B4895" i="1"/>
  <c r="C4895" i="1"/>
  <c r="D4895" i="1"/>
  <c r="E4895" i="1"/>
  <c r="F4895" i="1"/>
  <c r="G4895" i="1"/>
  <c r="H4895" i="1"/>
  <c r="J4895" i="1"/>
  <c r="K4895" i="1"/>
  <c r="M4895" i="1"/>
  <c r="O4895" i="1"/>
  <c r="Q4895" i="1"/>
  <c r="R4895" i="1"/>
  <c r="W4895" i="1"/>
  <c r="AA4895" i="1"/>
  <c r="AB4895" i="1"/>
  <c r="AN4895" i="1"/>
  <c r="AO4895" i="1"/>
  <c r="AQ4895" i="1"/>
  <c r="AX4895" i="1"/>
  <c r="BD4895" i="1"/>
  <c r="B4896" i="1"/>
  <c r="C4896" i="1"/>
  <c r="D4896" i="1"/>
  <c r="E4896" i="1"/>
  <c r="F4896" i="1"/>
  <c r="G4896" i="1"/>
  <c r="H4896" i="1"/>
  <c r="I4896" i="1"/>
  <c r="J4896" i="1"/>
  <c r="K4896" i="1"/>
  <c r="M4896" i="1"/>
  <c r="O4896" i="1"/>
  <c r="Q4896" i="1"/>
  <c r="R4896" i="1"/>
  <c r="W4896" i="1"/>
  <c r="AA4896" i="1"/>
  <c r="AB4896" i="1"/>
  <c r="AE4896" i="1"/>
  <c r="AF4896" i="1"/>
  <c r="AM4896" i="1"/>
  <c r="AN4896" i="1"/>
  <c r="AO4896" i="1"/>
  <c r="AQ4896" i="1"/>
  <c r="AX4896" i="1"/>
  <c r="BD4896" i="1"/>
  <c r="B4897" i="1"/>
  <c r="C4897" i="1"/>
  <c r="D4897" i="1"/>
  <c r="E4897" i="1"/>
  <c r="F4897" i="1"/>
  <c r="G4897" i="1"/>
  <c r="H4897" i="1"/>
  <c r="J4897" i="1"/>
  <c r="K4897" i="1"/>
  <c r="M4897" i="1"/>
  <c r="O4897" i="1"/>
  <c r="Q4897" i="1"/>
  <c r="R4897" i="1"/>
  <c r="W4897" i="1"/>
  <c r="AA4897" i="1"/>
  <c r="AB4897" i="1"/>
  <c r="AE4897" i="1"/>
  <c r="AF4897" i="1"/>
  <c r="AN4897" i="1"/>
  <c r="AO4897" i="1"/>
  <c r="AQ4897" i="1"/>
  <c r="AX4897" i="1"/>
  <c r="BD4897" i="1"/>
  <c r="B4898" i="1"/>
  <c r="C4898" i="1"/>
  <c r="D4898" i="1"/>
  <c r="E4898" i="1"/>
  <c r="F4898" i="1"/>
  <c r="G4898" i="1"/>
  <c r="H4898" i="1"/>
  <c r="I4898" i="1"/>
  <c r="J4898" i="1"/>
  <c r="K4898" i="1"/>
  <c r="M4898" i="1"/>
  <c r="O4898" i="1"/>
  <c r="Q4898" i="1"/>
  <c r="R4898" i="1"/>
  <c r="W4898" i="1"/>
  <c r="AA4898" i="1"/>
  <c r="AB4898" i="1"/>
  <c r="AE4898" i="1"/>
  <c r="AF4898" i="1"/>
  <c r="AM4898" i="1"/>
  <c r="AN4898" i="1"/>
  <c r="AO4898" i="1"/>
  <c r="AQ4898" i="1"/>
  <c r="AX4898" i="1"/>
  <c r="BD4898" i="1"/>
  <c r="B4899" i="1"/>
  <c r="C4899" i="1"/>
  <c r="D4899" i="1"/>
  <c r="E4899" i="1"/>
  <c r="F4899" i="1"/>
  <c r="G4899" i="1"/>
  <c r="H4899" i="1"/>
  <c r="I4899" i="1"/>
  <c r="J4899" i="1"/>
  <c r="K4899" i="1"/>
  <c r="M4899" i="1"/>
  <c r="O4899" i="1"/>
  <c r="Q4899" i="1"/>
  <c r="R4899" i="1"/>
  <c r="W4899" i="1"/>
  <c r="AA4899" i="1"/>
  <c r="AB4899" i="1"/>
  <c r="AE4899" i="1"/>
  <c r="AF4899" i="1"/>
  <c r="AM4899" i="1"/>
  <c r="AN4899" i="1"/>
  <c r="AO4899" i="1"/>
  <c r="AQ4899" i="1"/>
  <c r="AX4899" i="1"/>
  <c r="BD4899" i="1"/>
  <c r="B4900" i="1"/>
  <c r="C4900" i="1"/>
  <c r="D4900" i="1"/>
  <c r="E4900" i="1"/>
  <c r="F4900" i="1"/>
  <c r="G4900" i="1"/>
  <c r="H4900" i="1"/>
  <c r="I4900" i="1"/>
  <c r="J4900" i="1"/>
  <c r="K4900" i="1"/>
  <c r="M4900" i="1"/>
  <c r="O4900" i="1"/>
  <c r="Q4900" i="1"/>
  <c r="R4900" i="1"/>
  <c r="W4900" i="1"/>
  <c r="AA4900" i="1"/>
  <c r="AB4900" i="1"/>
  <c r="AE4900" i="1"/>
  <c r="AF4900" i="1"/>
  <c r="AM4900" i="1"/>
  <c r="AN4900" i="1"/>
  <c r="AO4900" i="1"/>
  <c r="AQ4900" i="1"/>
  <c r="AX4900" i="1"/>
  <c r="BD4900" i="1"/>
  <c r="B4901" i="1"/>
  <c r="C4901" i="1"/>
  <c r="D4901" i="1"/>
  <c r="E4901" i="1"/>
  <c r="F4901" i="1"/>
  <c r="G4901" i="1"/>
  <c r="H4901" i="1"/>
  <c r="I4901" i="1"/>
  <c r="J4901" i="1"/>
  <c r="K4901" i="1"/>
  <c r="M4901" i="1"/>
  <c r="O4901" i="1"/>
  <c r="Q4901" i="1"/>
  <c r="R4901" i="1"/>
  <c r="W4901" i="1"/>
  <c r="AA4901" i="1"/>
  <c r="AB4901" i="1"/>
  <c r="AE4901" i="1"/>
  <c r="AF4901" i="1"/>
  <c r="AM4901" i="1"/>
  <c r="AN4901" i="1"/>
  <c r="AO4901" i="1"/>
  <c r="AQ4901" i="1"/>
  <c r="AX4901" i="1"/>
  <c r="BD4901" i="1"/>
  <c r="B4902" i="1"/>
  <c r="C4902" i="1"/>
  <c r="D4902" i="1"/>
  <c r="E4902" i="1"/>
  <c r="F4902" i="1"/>
  <c r="G4902" i="1"/>
  <c r="H4902" i="1"/>
  <c r="I4902" i="1"/>
  <c r="J4902" i="1"/>
  <c r="K4902" i="1"/>
  <c r="M4902" i="1"/>
  <c r="O4902" i="1"/>
  <c r="Q4902" i="1"/>
  <c r="R4902" i="1"/>
  <c r="W4902" i="1"/>
  <c r="AA4902" i="1"/>
  <c r="AB4902" i="1"/>
  <c r="AE4902" i="1"/>
  <c r="AF4902" i="1"/>
  <c r="AM4902" i="1"/>
  <c r="AN4902" i="1"/>
  <c r="AO4902" i="1"/>
  <c r="AQ4902" i="1"/>
  <c r="AX4902" i="1"/>
  <c r="BD4902" i="1"/>
  <c r="B4903" i="1"/>
  <c r="C4903" i="1"/>
  <c r="E4903" i="1"/>
  <c r="F4903" i="1"/>
  <c r="G4903" i="1"/>
  <c r="H4903" i="1"/>
  <c r="I4903" i="1"/>
  <c r="J4903" i="1"/>
  <c r="K4903" i="1"/>
  <c r="M4903" i="1"/>
  <c r="O4903" i="1"/>
  <c r="Q4903" i="1"/>
  <c r="R4903" i="1"/>
  <c r="W4903" i="1"/>
  <c r="AA4903" i="1"/>
  <c r="AB4903" i="1"/>
  <c r="AE4903" i="1"/>
  <c r="AF4903" i="1"/>
  <c r="AM4903" i="1"/>
  <c r="AN4903" i="1"/>
  <c r="AO4903" i="1"/>
  <c r="AQ4903" i="1"/>
  <c r="AX4903" i="1"/>
  <c r="BD490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F996-DCA0-46CC-9304-13BBC3C6C226}">
  <dimension ref="A1:BD4903"/>
  <sheetViews>
    <sheetView rightToLeft="1" tabSelected="1" topLeftCell="P1" workbookViewId="0">
      <selection sqref="A1:BD4903"/>
    </sheetView>
  </sheetViews>
  <sheetFormatPr defaultRowHeight="14" x14ac:dyDescent="0.3"/>
  <cols>
    <col min="1" max="1" width="9.75" bestFit="1" customWidth="1"/>
    <col min="2" max="2" width="12.4140625" bestFit="1" customWidth="1"/>
    <col min="3" max="3" width="18.1640625" bestFit="1" customWidth="1"/>
    <col min="4" max="4" width="11.33203125" bestFit="1" customWidth="1"/>
    <col min="5" max="5" width="5" bestFit="1" customWidth="1"/>
    <col min="6" max="6" width="13.1640625" bestFit="1" customWidth="1"/>
    <col min="7" max="7" width="7.33203125" bestFit="1" customWidth="1"/>
    <col min="8" max="8" width="15.08203125" bestFit="1" customWidth="1"/>
    <col min="9" max="9" width="7.75" bestFit="1" customWidth="1"/>
    <col min="10" max="10" width="14.5" bestFit="1" customWidth="1"/>
    <col min="11" max="11" width="61.08203125" bestFit="1" customWidth="1"/>
    <col min="12" max="12" width="6.33203125" bestFit="1" customWidth="1"/>
    <col min="13" max="13" width="3.83203125" bestFit="1" customWidth="1"/>
    <col min="14" max="14" width="8.75" bestFit="1" customWidth="1"/>
    <col min="15" max="15" width="7.08203125" bestFit="1" customWidth="1"/>
    <col min="16" max="16" width="9.75" bestFit="1" customWidth="1"/>
    <col min="17" max="17" width="9.1640625" bestFit="1" customWidth="1"/>
    <col min="18" max="18" width="10.75" bestFit="1" customWidth="1"/>
    <col min="19" max="19" width="13.1640625" bestFit="1" customWidth="1"/>
    <col min="20" max="20" width="10.33203125" bestFit="1" customWidth="1"/>
    <col min="21" max="21" width="12.6640625" bestFit="1" customWidth="1"/>
    <col min="22" max="22" width="12.9140625" bestFit="1" customWidth="1"/>
    <col min="23" max="23" width="11.58203125" bestFit="1" customWidth="1"/>
    <col min="24" max="24" width="7.6640625" bestFit="1" customWidth="1"/>
    <col min="25" max="25" width="14.25" bestFit="1" customWidth="1"/>
    <col min="26" max="26" width="12.1640625" bestFit="1" customWidth="1"/>
    <col min="27" max="27" width="5.58203125" bestFit="1" customWidth="1"/>
    <col min="28" max="28" width="12.58203125" bestFit="1" customWidth="1"/>
    <col min="29" max="29" width="10.58203125" bestFit="1" customWidth="1"/>
    <col min="30" max="30" width="10.33203125" bestFit="1" customWidth="1"/>
    <col min="31" max="31" width="12.58203125" bestFit="1" customWidth="1"/>
    <col min="32" max="32" width="11.83203125" bestFit="1" customWidth="1"/>
    <col min="33" max="33" width="10.4140625" bestFit="1" customWidth="1"/>
    <col min="34" max="34" width="9.9140625" bestFit="1" customWidth="1"/>
    <col min="35" max="38" width="9.25" bestFit="1" customWidth="1"/>
    <col min="39" max="39" width="4" bestFit="1" customWidth="1"/>
    <col min="40" max="40" width="10.9140625" bestFit="1" customWidth="1"/>
    <col min="41" max="41" width="16.1640625" bestFit="1" customWidth="1"/>
    <col min="42" max="42" width="13" bestFit="1" customWidth="1"/>
    <col min="43" max="43" width="6.6640625" bestFit="1" customWidth="1"/>
    <col min="44" max="44" width="11.58203125" bestFit="1" customWidth="1"/>
    <col min="45" max="45" width="10" bestFit="1" customWidth="1"/>
    <col min="46" max="46" width="8.83203125" bestFit="1" customWidth="1"/>
    <col min="47" max="47" width="11.58203125" bestFit="1" customWidth="1"/>
    <col min="48" max="48" width="13" bestFit="1" customWidth="1"/>
    <col min="49" max="49" width="14.75" bestFit="1" customWidth="1"/>
    <col min="50" max="50" width="12.5" bestFit="1" customWidth="1"/>
    <col min="51" max="51" width="15.4140625" bestFit="1" customWidth="1"/>
    <col min="52" max="52" width="15.9140625" bestFit="1" customWidth="1"/>
    <col min="53" max="53" width="15.4140625" bestFit="1" customWidth="1"/>
    <col min="54" max="54" width="6.75" bestFit="1" customWidth="1"/>
    <col min="55" max="55" width="15.9140625" bestFit="1" customWidth="1"/>
    <col min="56" max="56" width="9.4140625" bestFit="1" customWidth="1"/>
  </cols>
  <sheetData>
    <row r="1" spans="1:56" x14ac:dyDescent="0.3">
      <c r="A1" t="str">
        <f>"תאריך"</f>
        <v>תאריך</v>
      </c>
      <c r="B1" t="str">
        <f>"חשבונית"</f>
        <v>חשבונית</v>
      </c>
      <c r="C1" t="str">
        <f>"פרויקט מכותרת החשבונ"</f>
        <v>פרויקט מכותרת החשבונ</v>
      </c>
      <c r="D1" t="str">
        <f>"פרויקט"</f>
        <v>פרויקט</v>
      </c>
      <c r="E1" t="str">
        <f>"סופית"</f>
        <v>סופית</v>
      </c>
      <c r="F1" t="str">
        <f>"סוג חשבונית"</f>
        <v>סוג חשבונית</v>
      </c>
      <c r="G1" t="str">
        <f>"מס. לקוח"</f>
        <v>מס. לקוח</v>
      </c>
      <c r="H1" t="str">
        <f>"שם לקוח"</f>
        <v>שם לקוח</v>
      </c>
      <c r="I1" t="str">
        <f>"מרכז רווח"</f>
        <v>מרכז רווח</v>
      </c>
      <c r="J1" t="str">
        <f>"מק""ט"</f>
        <v>מק"ט</v>
      </c>
      <c r="K1" t="str">
        <f>"תאור מוצר"</f>
        <v>תאור מוצר</v>
      </c>
      <c r="L1" t="str">
        <f>"כמות"</f>
        <v>כמות</v>
      </c>
      <c r="M1" t="str">
        <f>"יח'"</f>
        <v>יח'</v>
      </c>
      <c r="N1" t="str">
        <f>"כמות מפעל"</f>
        <v>כמות מפעל</v>
      </c>
      <c r="O1" t="str">
        <f>"יח' מפעל"</f>
        <v>יח' מפעל</v>
      </c>
      <c r="P1" t="str">
        <f>"מחיר ליחידה"</f>
        <v>מחיר ליחידה</v>
      </c>
      <c r="Q1" t="str">
        <f>"מטבע שורה"</f>
        <v>מטבע שורה</v>
      </c>
      <c r="R1" t="str">
        <f>"מקור מחיר"</f>
        <v>מקור מחיר</v>
      </c>
      <c r="S1" t="str">
        <f>"הנחה לשורה (%)"</f>
        <v>הנחה לשורה (%)</v>
      </c>
      <c r="T1" t="str">
        <f>"סה""כ מחיר"</f>
        <v>סה"כ מחיר</v>
      </c>
      <c r="U1" t="str">
        <f>"הנחה כללית (%)"</f>
        <v>הנחה כללית (%)</v>
      </c>
      <c r="V1" t="str">
        <f>"סה""כ אחרי הנחה"</f>
        <v>סה"כ אחרי הנחה</v>
      </c>
      <c r="W1" t="str">
        <f>"מטבע חשבונית"</f>
        <v>מטבע חשבונית</v>
      </c>
      <c r="X1" t="str">
        <f>"עלות יצוא"</f>
        <v>עלות יצוא</v>
      </c>
      <c r="Y1" t="str">
        <f>"עלויות נוספות ש""ח"</f>
        <v>עלויות נוספות ש"ח</v>
      </c>
      <c r="Z1" t="str">
        <f>"עלויות נוספות $"</f>
        <v>עלויות נוספות $</v>
      </c>
      <c r="AA1" t="str">
        <f>"מע""מ?"</f>
        <v>מע"מ?</v>
      </c>
      <c r="AB1" t="str">
        <f>"הזמנה"</f>
        <v>הזמנה</v>
      </c>
      <c r="AC1" t="str">
        <f>"שורה בהזמנה"</f>
        <v>שורה בהזמנה</v>
      </c>
      <c r="AD1" t="str">
        <f>"תאריך הזמנה"</f>
        <v>תאריך הזמנה</v>
      </c>
      <c r="AE1" t="str">
        <f>"תעודה"</f>
        <v>תעודה</v>
      </c>
      <c r="AF1" t="str">
        <f>"תאור תעודה"</f>
        <v>תאור תעודה</v>
      </c>
      <c r="AG1" t="str">
        <f>"תאריך תעודה"</f>
        <v>תאריך תעודה</v>
      </c>
      <c r="AH1" t="str">
        <f>"סעיף תקציבי"</f>
        <v>סעיף תקציבי</v>
      </c>
      <c r="AI1" t="str">
        <f>"מרכז רווח 2"</f>
        <v>מרכז רווח 2</v>
      </c>
      <c r="AJ1" t="str">
        <f>"מרכז רווח 3"</f>
        <v>מרכז רווח 3</v>
      </c>
      <c r="AK1" t="str">
        <f>"מרכז רווח 4"</f>
        <v>מרכז רווח 4</v>
      </c>
      <c r="AL1" t="str">
        <f>"מרכז רווח 5"</f>
        <v>מרכז רווח 5</v>
      </c>
      <c r="AM1" t="str">
        <f>"סניף"</f>
        <v>סניף</v>
      </c>
      <c r="AN1" t="str">
        <f>"חשבון הכנסות"</f>
        <v>חשבון הכנסות</v>
      </c>
      <c r="AO1" t="str">
        <f>"תאור חשבון"</f>
        <v>תאור חשבון</v>
      </c>
      <c r="AP1" t="str">
        <f>"זיכוי כספי בלבד?"</f>
        <v>זיכוי כספי בלבד?</v>
      </c>
      <c r="AQ1" t="str">
        <f>"מס' סוכן"</f>
        <v>מס' סוכן</v>
      </c>
      <c r="AR1" t="str">
        <f>"עמלת סוכן (%)"</f>
        <v>עמלת סוכן (%)</v>
      </c>
      <c r="AS1" t="str">
        <f>"מס קניה (%)"</f>
        <v>מס קניה (%)</v>
      </c>
      <c r="AT1" t="str">
        <f>"שער חליפין"</f>
        <v>שער חליפין</v>
      </c>
      <c r="AU1" t="str">
        <f>"מתאריך הכנסה"</f>
        <v>מתאריך הכנסה</v>
      </c>
      <c r="AV1" t="str">
        <f>"עד תאריך הכנסה"</f>
        <v>עד תאריך הכנסה</v>
      </c>
      <c r="AW1" t="str">
        <f>"חשבון יעד להכנסות"</f>
        <v>חשבון יעד להכנסות</v>
      </c>
      <c r="AX1" t="str">
        <f>"הז. רכש (לקוח)"</f>
        <v>הז. רכש (לקוח)</v>
      </c>
      <c r="AY1" t="str">
        <f>"עקרון הכרה בהכנסה"</f>
        <v>עקרון הכרה בהכנסה</v>
      </c>
      <c r="AZ1" t="str">
        <f>"עקרון ההכרה - תיאור"</f>
        <v>עקרון ההכרה - תיאור</v>
      </c>
      <c r="BA1" t="str">
        <f>"תזמון הכרה בהכנסה"</f>
        <v>תזמון הכרה בהכנסה</v>
      </c>
      <c r="BB1" t="str">
        <f>"מבוטל ?"</f>
        <v>מבוטל ?</v>
      </c>
      <c r="BC1" t="str">
        <f>"תזמון ההכרה - תיאור"</f>
        <v>תזמון ההכרה - תיאור</v>
      </c>
      <c r="BD1" t="str">
        <f>"שם סוכן"</f>
        <v>שם סוכן</v>
      </c>
    </row>
    <row r="2" spans="1:56" x14ac:dyDescent="0.3">
      <c r="A2" s="1">
        <v>45195</v>
      </c>
      <c r="B2" t="str">
        <f>"T22526"</f>
        <v>T22526</v>
      </c>
      <c r="C2" t="str">
        <f>"PR22000828"</f>
        <v>PR22000828</v>
      </c>
      <c r="F2" t="str">
        <f>"חשבוניות מרכזות"</f>
        <v>חשבוניות מרכזות</v>
      </c>
      <c r="G2" t="str">
        <f>"700065"</f>
        <v>700065</v>
      </c>
      <c r="H2" t="str">
        <f>"אלתא מערכות בע""מ"</f>
        <v>אלתא מערכות בע"מ</v>
      </c>
      <c r="I2" t="str">
        <f>"15"</f>
        <v>15</v>
      </c>
      <c r="J2" t="str">
        <f>"OP-AR02163"</f>
        <v>OP-AR02163</v>
      </c>
      <c r="K2" t="str">
        <f>"1039H818-001   HARNESS WY018 - PDU TO IFF SHEL"</f>
        <v>1039H818-001   HARNESS WY018 - PDU TO IFF SHEL</v>
      </c>
      <c r="L2">
        <v>2</v>
      </c>
      <c r="M2" t="str">
        <f>"יח"</f>
        <v>יח</v>
      </c>
      <c r="N2">
        <v>2</v>
      </c>
      <c r="O2" t="str">
        <f>"יח"</f>
        <v>יח</v>
      </c>
      <c r="P2">
        <v>0</v>
      </c>
      <c r="Q2" t="str">
        <f>"$"</f>
        <v>$</v>
      </c>
      <c r="R2" t="str">
        <f>"הזמנה"</f>
        <v>הזמנה</v>
      </c>
      <c r="S2">
        <v>0</v>
      </c>
      <c r="T2">
        <v>0</v>
      </c>
      <c r="U2">
        <v>0</v>
      </c>
      <c r="V2">
        <v>0</v>
      </c>
      <c r="W2" t="str">
        <f>"$"</f>
        <v>$</v>
      </c>
      <c r="X2">
        <v>0</v>
      </c>
      <c r="Y2">
        <v>0</v>
      </c>
      <c r="Z2">
        <v>0</v>
      </c>
      <c r="AA2" t="str">
        <f>"Y"</f>
        <v>Y</v>
      </c>
      <c r="AB2" t="str">
        <f>"SO23000326"</f>
        <v>SO23000326</v>
      </c>
      <c r="AC2">
        <v>3</v>
      </c>
      <c r="AD2" s="1">
        <v>45123</v>
      </c>
      <c r="AE2" t="str">
        <f>"SH23001191"</f>
        <v>SH23001191</v>
      </c>
      <c r="AF2" t="str">
        <f>"משלוחים ללקוח"</f>
        <v>משלוחים ללקוח</v>
      </c>
      <c r="AG2" s="1">
        <v>45183</v>
      </c>
      <c r="AM2" t="str">
        <f>"10"</f>
        <v>10</v>
      </c>
      <c r="AN2" t="str">
        <f>"500000"</f>
        <v>500000</v>
      </c>
      <c r="AO2" t="str">
        <f>"הכנסות  מלקוחות"</f>
        <v>הכנסות  מלקוחות</v>
      </c>
      <c r="AQ2" t="str">
        <f>"040"</f>
        <v>040</v>
      </c>
      <c r="AR2">
        <v>0</v>
      </c>
      <c r="AS2">
        <v>0</v>
      </c>
      <c r="AT2">
        <v>3.819</v>
      </c>
      <c r="AX2" t="str">
        <f>"E000398946"</f>
        <v>E000398946</v>
      </c>
      <c r="BD2" t="str">
        <f>"רחמים זרוק"</f>
        <v>רחמים זרוק</v>
      </c>
    </row>
    <row r="3" spans="1:56" x14ac:dyDescent="0.3">
      <c r="A3" s="1">
        <v>45195</v>
      </c>
      <c r="B3" t="str">
        <f>"T22526"</f>
        <v>T22526</v>
      </c>
      <c r="C3" t="str">
        <f>"PR22000828"</f>
        <v>PR22000828</v>
      </c>
      <c r="F3" t="str">
        <f>"חשבוניות מרכזות"</f>
        <v>חשבוניות מרכזות</v>
      </c>
      <c r="G3" t="str">
        <f>"700065"</f>
        <v>700065</v>
      </c>
      <c r="H3" t="str">
        <f>"אלתא מערכות בע""מ"</f>
        <v>אלתא מערכות בע"מ</v>
      </c>
      <c r="I3" t="str">
        <f>"15"</f>
        <v>15</v>
      </c>
      <c r="J3" t="str">
        <f>"OP-AR02171"</f>
        <v>OP-AR02171</v>
      </c>
      <c r="K3" t="str">
        <f>"1039H827-001/-   HARNESS WY027 - PDU TO FANS EXT"</f>
        <v>1039H827-001/-   HARNESS WY027 - PDU TO FANS EXT</v>
      </c>
      <c r="L3">
        <v>2</v>
      </c>
      <c r="M3" t="str">
        <f>"יח"</f>
        <v>יח</v>
      </c>
      <c r="N3">
        <v>2</v>
      </c>
      <c r="O3" t="str">
        <f>"יח"</f>
        <v>יח</v>
      </c>
      <c r="P3">
        <v>0</v>
      </c>
      <c r="Q3" t="str">
        <f>"$"</f>
        <v>$</v>
      </c>
      <c r="R3" t="str">
        <f>"הזמנה"</f>
        <v>הזמנה</v>
      </c>
      <c r="S3">
        <v>0</v>
      </c>
      <c r="T3">
        <v>0</v>
      </c>
      <c r="U3">
        <v>0</v>
      </c>
      <c r="V3">
        <v>0</v>
      </c>
      <c r="W3" t="str">
        <f>"$"</f>
        <v>$</v>
      </c>
      <c r="X3">
        <v>0</v>
      </c>
      <c r="Y3">
        <v>0</v>
      </c>
      <c r="Z3">
        <v>0</v>
      </c>
      <c r="AA3" t="str">
        <f>"Y"</f>
        <v>Y</v>
      </c>
      <c r="AB3" t="str">
        <f>"SO23000326"</f>
        <v>SO23000326</v>
      </c>
      <c r="AC3">
        <v>4</v>
      </c>
      <c r="AD3" s="1">
        <v>45123</v>
      </c>
      <c r="AE3" t="str">
        <f>"SH23001191"</f>
        <v>SH23001191</v>
      </c>
      <c r="AF3" t="str">
        <f>"משלוחים ללקוח"</f>
        <v>משלוחים ללקוח</v>
      </c>
      <c r="AG3" s="1">
        <v>45183</v>
      </c>
      <c r="AM3" t="str">
        <f>"10"</f>
        <v>10</v>
      </c>
      <c r="AN3" t="str">
        <f>"500000"</f>
        <v>500000</v>
      </c>
      <c r="AO3" t="str">
        <f>"הכנסות  מלקוחות"</f>
        <v>הכנסות  מלקוחות</v>
      </c>
      <c r="AQ3" t="str">
        <f>"040"</f>
        <v>040</v>
      </c>
      <c r="AR3">
        <v>0</v>
      </c>
      <c r="AS3">
        <v>0</v>
      </c>
      <c r="AT3">
        <v>3.819</v>
      </c>
      <c r="AX3" t="str">
        <f>"E000398946"</f>
        <v>E000398946</v>
      </c>
      <c r="BD3" t="str">
        <f>"רחמים זרוק"</f>
        <v>רחמים זרוק</v>
      </c>
    </row>
    <row r="4" spans="1:56" x14ac:dyDescent="0.3">
      <c r="A4" s="1">
        <v>45195</v>
      </c>
      <c r="B4" t="str">
        <f>"T22526"</f>
        <v>T22526</v>
      </c>
      <c r="C4" t="str">
        <f>"PR22000828"</f>
        <v>PR22000828</v>
      </c>
      <c r="F4" t="str">
        <f>"חשבוניות מרכזות"</f>
        <v>חשבוניות מרכזות</v>
      </c>
      <c r="G4" t="str">
        <f>"700065"</f>
        <v>700065</v>
      </c>
      <c r="H4" t="str">
        <f>"אלתא מערכות בע""מ"</f>
        <v>אלתא מערכות בע"מ</v>
      </c>
      <c r="I4" t="str">
        <f>"15"</f>
        <v>15</v>
      </c>
      <c r="J4" t="str">
        <f>"OP-AR02177"</f>
        <v>OP-AR02177</v>
      </c>
      <c r="K4" t="str">
        <f>"1039H837-001/-   HARNESS WY037 - PDU TO FANS EXT"</f>
        <v>1039H837-001/-   HARNESS WY037 - PDU TO FANS EXT</v>
      </c>
      <c r="L4">
        <v>2</v>
      </c>
      <c r="M4" t="str">
        <f>"יח"</f>
        <v>יח</v>
      </c>
      <c r="N4">
        <v>2</v>
      </c>
      <c r="O4" t="str">
        <f>"יח"</f>
        <v>יח</v>
      </c>
      <c r="P4">
        <v>0</v>
      </c>
      <c r="Q4" t="str">
        <f>"$"</f>
        <v>$</v>
      </c>
      <c r="R4" t="str">
        <f>"הזמנה"</f>
        <v>הזמנה</v>
      </c>
      <c r="S4">
        <v>0</v>
      </c>
      <c r="T4">
        <v>0</v>
      </c>
      <c r="U4">
        <v>0</v>
      </c>
      <c r="V4">
        <v>0</v>
      </c>
      <c r="W4" t="str">
        <f>"$"</f>
        <v>$</v>
      </c>
      <c r="X4">
        <v>0</v>
      </c>
      <c r="Y4">
        <v>0</v>
      </c>
      <c r="Z4">
        <v>0</v>
      </c>
      <c r="AA4" t="str">
        <f>"Y"</f>
        <v>Y</v>
      </c>
      <c r="AB4" t="str">
        <f>"SO23000326"</f>
        <v>SO23000326</v>
      </c>
      <c r="AC4">
        <v>6</v>
      </c>
      <c r="AD4" s="1">
        <v>45123</v>
      </c>
      <c r="AE4" t="str">
        <f>"SH23001191"</f>
        <v>SH23001191</v>
      </c>
      <c r="AF4" t="str">
        <f>"משלוחים ללקוח"</f>
        <v>משלוחים ללקוח</v>
      </c>
      <c r="AG4" s="1">
        <v>45183</v>
      </c>
      <c r="AM4" t="str">
        <f>"10"</f>
        <v>10</v>
      </c>
      <c r="AN4" t="str">
        <f>"500000"</f>
        <v>500000</v>
      </c>
      <c r="AO4" t="str">
        <f>"הכנסות  מלקוחות"</f>
        <v>הכנסות  מלקוחות</v>
      </c>
      <c r="AQ4" t="str">
        <f>"040"</f>
        <v>040</v>
      </c>
      <c r="AR4">
        <v>0</v>
      </c>
      <c r="AS4">
        <v>0</v>
      </c>
      <c r="AT4">
        <v>3.819</v>
      </c>
      <c r="AX4" t="str">
        <f>"E000398946"</f>
        <v>E000398946</v>
      </c>
      <c r="BD4" t="str">
        <f>"רחמים זרוק"</f>
        <v>רחמים זרוק</v>
      </c>
    </row>
    <row r="5" spans="1:56" x14ac:dyDescent="0.3">
      <c r="A5" s="1">
        <v>45195</v>
      </c>
      <c r="B5" t="str">
        <f>"T22526"</f>
        <v>T22526</v>
      </c>
      <c r="C5" t="str">
        <f>"PR22000828"</f>
        <v>PR22000828</v>
      </c>
      <c r="F5" t="str">
        <f>"חשבוניות מרכזות"</f>
        <v>חשבוניות מרכזות</v>
      </c>
      <c r="G5" t="str">
        <f>"700065"</f>
        <v>700065</v>
      </c>
      <c r="H5" t="str">
        <f>"אלתא מערכות בע""מ"</f>
        <v>אלתא מערכות בע"מ</v>
      </c>
      <c r="I5" t="str">
        <f>"15"</f>
        <v>15</v>
      </c>
      <c r="J5" t="str">
        <f>"OP-AR02162"</f>
        <v>OP-AR02162</v>
      </c>
      <c r="K5" t="str">
        <f>"1039H817-001   HARNESS WY017 - PDU TO FANS SHE"</f>
        <v>1039H817-001   HARNESS WY017 - PDU TO FANS SHE</v>
      </c>
      <c r="L5">
        <v>2</v>
      </c>
      <c r="M5" t="str">
        <f>"יח"</f>
        <v>יח</v>
      </c>
      <c r="N5">
        <v>2</v>
      </c>
      <c r="O5" t="str">
        <f>"יח"</f>
        <v>יח</v>
      </c>
      <c r="P5">
        <v>0</v>
      </c>
      <c r="Q5" t="str">
        <f>"$"</f>
        <v>$</v>
      </c>
      <c r="R5" t="str">
        <f>"הזמנה"</f>
        <v>הזמנה</v>
      </c>
      <c r="S5">
        <v>0</v>
      </c>
      <c r="T5">
        <v>0</v>
      </c>
      <c r="U5">
        <v>0</v>
      </c>
      <c r="V5">
        <v>0</v>
      </c>
      <c r="W5" t="str">
        <f>"$"</f>
        <v>$</v>
      </c>
      <c r="X5">
        <v>0</v>
      </c>
      <c r="Y5">
        <v>0</v>
      </c>
      <c r="Z5">
        <v>0</v>
      </c>
      <c r="AA5" t="str">
        <f>"Y"</f>
        <v>Y</v>
      </c>
      <c r="AB5" t="str">
        <f>"SO23000326"</f>
        <v>SO23000326</v>
      </c>
      <c r="AC5">
        <v>8</v>
      </c>
      <c r="AD5" s="1">
        <v>45123</v>
      </c>
      <c r="AE5" t="str">
        <f>"SH23001191"</f>
        <v>SH23001191</v>
      </c>
      <c r="AF5" t="str">
        <f>"משלוחים ללקוח"</f>
        <v>משלוחים ללקוח</v>
      </c>
      <c r="AG5" s="1">
        <v>45183</v>
      </c>
      <c r="AM5" t="str">
        <f>"10"</f>
        <v>10</v>
      </c>
      <c r="AN5" t="str">
        <f>"500000"</f>
        <v>500000</v>
      </c>
      <c r="AO5" t="str">
        <f>"הכנסות  מלקוחות"</f>
        <v>הכנסות  מלקוחות</v>
      </c>
      <c r="AQ5" t="str">
        <f>"040"</f>
        <v>040</v>
      </c>
      <c r="AR5">
        <v>0</v>
      </c>
      <c r="AS5">
        <v>0</v>
      </c>
      <c r="AT5">
        <v>3.819</v>
      </c>
      <c r="AX5" t="str">
        <f>"E000398946"</f>
        <v>E000398946</v>
      </c>
      <c r="BD5" t="str">
        <f>"רחמים זרוק"</f>
        <v>רחמים זרוק</v>
      </c>
    </row>
    <row r="6" spans="1:56" x14ac:dyDescent="0.3">
      <c r="A6" s="1">
        <v>45183</v>
      </c>
      <c r="B6" t="str">
        <f>"T22462"</f>
        <v>T22462</v>
      </c>
      <c r="C6" t="str">
        <f>"PR23000419"</f>
        <v>PR23000419</v>
      </c>
      <c r="D6" t="str">
        <f>"PR23000419"</f>
        <v>PR23000419</v>
      </c>
      <c r="F6" t="str">
        <f>"חשבוניות מרכזות"</f>
        <v>חשבוניות מרכזות</v>
      </c>
      <c r="G6" t="str">
        <f>"700065"</f>
        <v>700065</v>
      </c>
      <c r="H6" t="str">
        <f>"אלתא מערכות בע""מ"</f>
        <v>אלתא מערכות בע"מ</v>
      </c>
      <c r="I6" t="str">
        <f>"10"</f>
        <v>10</v>
      </c>
      <c r="J6" t="str">
        <f>"OP-AR01607"</f>
        <v>OP-AR01607</v>
      </c>
      <c r="K6" t="str">
        <f>"תיקון יחידה 1038H185-001"</f>
        <v>תיקון יחידה 1038H185-001</v>
      </c>
      <c r="L6">
        <v>0</v>
      </c>
      <c r="M6" t="str">
        <f>"יח"</f>
        <v>יח</v>
      </c>
      <c r="N6">
        <v>0</v>
      </c>
      <c r="O6" t="str">
        <f>"יח"</f>
        <v>יח</v>
      </c>
      <c r="P6" s="2">
        <v>2750</v>
      </c>
      <c r="Q6" t="str">
        <f>"$"</f>
        <v>$</v>
      </c>
      <c r="R6" t="str">
        <f>"הזמנה"</f>
        <v>הזמנה</v>
      </c>
      <c r="S6">
        <v>0</v>
      </c>
      <c r="T6">
        <v>0</v>
      </c>
      <c r="U6">
        <v>0</v>
      </c>
      <c r="V6">
        <v>0</v>
      </c>
      <c r="W6" t="str">
        <f>"$"</f>
        <v>$</v>
      </c>
      <c r="X6">
        <v>0</v>
      </c>
      <c r="Y6">
        <v>0</v>
      </c>
      <c r="Z6">
        <v>0</v>
      </c>
      <c r="AA6" t="str">
        <f>"Y"</f>
        <v>Y</v>
      </c>
      <c r="AB6" t="str">
        <f>"SO23000306"</f>
        <v>SO23000306</v>
      </c>
      <c r="AC6">
        <v>1</v>
      </c>
      <c r="AD6" s="1">
        <v>45109</v>
      </c>
      <c r="AM6" t="str">
        <f>"10"</f>
        <v>10</v>
      </c>
      <c r="AN6" t="str">
        <f>"500000"</f>
        <v>500000</v>
      </c>
      <c r="AO6" t="str">
        <f>"הכנסות  מלקוחות"</f>
        <v>הכנסות  מלקוחות</v>
      </c>
      <c r="AQ6" t="str">
        <f>"007"</f>
        <v>007</v>
      </c>
      <c r="AR6">
        <v>0</v>
      </c>
      <c r="AS6">
        <v>0</v>
      </c>
      <c r="AT6">
        <v>3.819</v>
      </c>
      <c r="AX6" t="str">
        <f>"E000397967"</f>
        <v>E000397967</v>
      </c>
      <c r="BD6" t="str">
        <f>"רוני דידי"</f>
        <v>רוני דידי</v>
      </c>
    </row>
    <row r="7" spans="1:56" x14ac:dyDescent="0.3">
      <c r="A7" s="1">
        <v>45232</v>
      </c>
      <c r="B7" t="str">
        <f>"SI236001366"</f>
        <v>SI236001366</v>
      </c>
      <c r="E7" t="str">
        <f>"Y"</f>
        <v>Y</v>
      </c>
      <c r="F7" t="str">
        <f>"חשבוניות מרכזות"</f>
        <v>חשבוניות מרכזות</v>
      </c>
      <c r="G7" t="str">
        <f>"700065"</f>
        <v>700065</v>
      </c>
      <c r="H7" t="str">
        <f>"אלתא מערכות בע""מ"</f>
        <v>אלתא מערכות בע"מ</v>
      </c>
      <c r="I7" t="str">
        <f>"10"</f>
        <v>10</v>
      </c>
      <c r="J7" t="str">
        <f>"OP-ML00217"</f>
        <v>OP-ML00217</v>
      </c>
      <c r="K7" t="str">
        <f>"1042A920-001 COMPUTER RACK"</f>
        <v>1042A920-001 COMPUTER RACK</v>
      </c>
      <c r="L7">
        <v>1</v>
      </c>
      <c r="M7" t="str">
        <f>"יח"</f>
        <v>יח</v>
      </c>
      <c r="N7">
        <v>1</v>
      </c>
      <c r="O7" t="str">
        <f>"יח"</f>
        <v>יח</v>
      </c>
      <c r="P7" s="2">
        <v>36500</v>
      </c>
      <c r="Q7" t="str">
        <f>"$"</f>
        <v>$</v>
      </c>
      <c r="R7" t="str">
        <f>"הזמנה"</f>
        <v>הזמנה</v>
      </c>
      <c r="S7">
        <v>0</v>
      </c>
      <c r="T7" s="2">
        <v>36500</v>
      </c>
      <c r="U7">
        <v>0</v>
      </c>
      <c r="V7" s="2">
        <v>36500</v>
      </c>
      <c r="W7" t="str">
        <f>"$"</f>
        <v>$</v>
      </c>
      <c r="X7">
        <v>0</v>
      </c>
      <c r="Y7">
        <v>0</v>
      </c>
      <c r="Z7">
        <v>0</v>
      </c>
      <c r="AA7" t="str">
        <f>"Y"</f>
        <v>Y</v>
      </c>
      <c r="AB7" t="str">
        <f>"SO22000181"</f>
        <v>SO22000181</v>
      </c>
      <c r="AC7">
        <v>5</v>
      </c>
      <c r="AD7" s="1">
        <v>44696</v>
      </c>
      <c r="AM7" t="str">
        <f>"10"</f>
        <v>10</v>
      </c>
      <c r="AN7" t="str">
        <f>"500000"</f>
        <v>500000</v>
      </c>
      <c r="AO7" t="str">
        <f>"הכנסות  מלקוחות"</f>
        <v>הכנסות  מלקוחות</v>
      </c>
      <c r="AQ7" t="str">
        <f>"034"</f>
        <v>034</v>
      </c>
      <c r="AR7">
        <v>0</v>
      </c>
      <c r="AS7">
        <v>0</v>
      </c>
      <c r="AT7">
        <v>4.0289999999999999</v>
      </c>
      <c r="AX7" t="str">
        <f>"E000362815"</f>
        <v>E000362815</v>
      </c>
      <c r="BD7" t="str">
        <f>"ערן שלו"</f>
        <v>ערן שלו</v>
      </c>
    </row>
    <row r="8" spans="1:56" x14ac:dyDescent="0.3">
      <c r="A8" s="1">
        <v>45232</v>
      </c>
      <c r="B8" t="str">
        <f>"SI236001365"</f>
        <v>SI236001365</v>
      </c>
      <c r="E8" t="str">
        <f>"Y"</f>
        <v>Y</v>
      </c>
      <c r="F8" t="str">
        <f>"חשבוניות מרכזות"</f>
        <v>חשבוניות מרכזות</v>
      </c>
      <c r="G8" t="str">
        <f>"700065"</f>
        <v>700065</v>
      </c>
      <c r="H8" t="str">
        <f>"אלתא מערכות בע""מ"</f>
        <v>אלתא מערכות בע"מ</v>
      </c>
      <c r="I8" t="str">
        <f>"10"</f>
        <v>10</v>
      </c>
      <c r="J8" t="str">
        <f>"OP-ML00218"</f>
        <v>OP-ML00218</v>
      </c>
      <c r="K8" t="str">
        <f>"1042A900-001 RECTIFIER RACK"</f>
        <v>1042A900-001 RECTIFIER RACK</v>
      </c>
      <c r="L8">
        <v>1</v>
      </c>
      <c r="M8" t="str">
        <f>"יח"</f>
        <v>יח</v>
      </c>
      <c r="N8">
        <v>1</v>
      </c>
      <c r="O8" t="str">
        <f>"יח"</f>
        <v>יח</v>
      </c>
      <c r="P8" s="2">
        <v>42500</v>
      </c>
      <c r="Q8" t="str">
        <f>"$"</f>
        <v>$</v>
      </c>
      <c r="R8" t="str">
        <f>"הזמנה"</f>
        <v>הזמנה</v>
      </c>
      <c r="S8">
        <v>0</v>
      </c>
      <c r="T8" s="2">
        <v>42500</v>
      </c>
      <c r="U8">
        <v>0</v>
      </c>
      <c r="V8" s="2">
        <v>42500</v>
      </c>
      <c r="W8" t="str">
        <f>"$"</f>
        <v>$</v>
      </c>
      <c r="X8">
        <v>0</v>
      </c>
      <c r="Y8">
        <v>0</v>
      </c>
      <c r="Z8">
        <v>0</v>
      </c>
      <c r="AA8" t="str">
        <f>"Y"</f>
        <v>Y</v>
      </c>
      <c r="AB8" t="str">
        <f>"SO22000181"</f>
        <v>SO22000181</v>
      </c>
      <c r="AC8">
        <v>8</v>
      </c>
      <c r="AD8" s="1">
        <v>44696</v>
      </c>
      <c r="AM8" t="str">
        <f>"10"</f>
        <v>10</v>
      </c>
      <c r="AN8" t="str">
        <f>"500000"</f>
        <v>500000</v>
      </c>
      <c r="AO8" t="str">
        <f>"הכנסות  מלקוחות"</f>
        <v>הכנסות  מלקוחות</v>
      </c>
      <c r="AQ8" t="str">
        <f>"034"</f>
        <v>034</v>
      </c>
      <c r="AR8">
        <v>0</v>
      </c>
      <c r="AS8">
        <v>0</v>
      </c>
      <c r="AT8">
        <v>4.0289999999999999</v>
      </c>
      <c r="AX8" t="str">
        <f>"E000362815"</f>
        <v>E000362815</v>
      </c>
      <c r="BD8" t="str">
        <f>"ערן שלו"</f>
        <v>ערן שלו</v>
      </c>
    </row>
    <row r="9" spans="1:56" x14ac:dyDescent="0.3">
      <c r="A9" s="1">
        <v>45232</v>
      </c>
      <c r="B9" t="str">
        <f>"SI236001364"</f>
        <v>SI236001364</v>
      </c>
      <c r="E9" t="str">
        <f>"Y"</f>
        <v>Y</v>
      </c>
      <c r="F9" t="str">
        <f>"חשבוניות מרכזות"</f>
        <v>חשבוניות מרכזות</v>
      </c>
      <c r="G9" t="str">
        <f>"700065"</f>
        <v>700065</v>
      </c>
      <c r="H9" t="str">
        <f>"אלתא מערכות בע""מ"</f>
        <v>אלתא מערכות בע"מ</v>
      </c>
      <c r="I9" t="str">
        <f>"10"</f>
        <v>10</v>
      </c>
      <c r="J9" t="str">
        <f>"OP-ML00217"</f>
        <v>OP-ML00217</v>
      </c>
      <c r="K9" t="str">
        <f>"1042A920-001 COMPUTER RACK"</f>
        <v>1042A920-001 COMPUTER RACK</v>
      </c>
      <c r="L9">
        <v>1</v>
      </c>
      <c r="M9" t="str">
        <f>"יח"</f>
        <v>יח</v>
      </c>
      <c r="N9">
        <v>1</v>
      </c>
      <c r="O9" t="str">
        <f>"יח"</f>
        <v>יח</v>
      </c>
      <c r="P9" s="2">
        <v>36500</v>
      </c>
      <c r="Q9" t="str">
        <f>"$"</f>
        <v>$</v>
      </c>
      <c r="R9" t="str">
        <f>"הזמנה"</f>
        <v>הזמנה</v>
      </c>
      <c r="S9">
        <v>0</v>
      </c>
      <c r="T9" s="2">
        <v>36500</v>
      </c>
      <c r="U9">
        <v>0</v>
      </c>
      <c r="V9" s="2">
        <v>36500</v>
      </c>
      <c r="W9" t="str">
        <f>"$"</f>
        <v>$</v>
      </c>
      <c r="X9">
        <v>0</v>
      </c>
      <c r="Y9">
        <v>0</v>
      </c>
      <c r="Z9">
        <v>0</v>
      </c>
      <c r="AA9" t="str">
        <f>"Y"</f>
        <v>Y</v>
      </c>
      <c r="AB9" t="str">
        <f>"SO22000181"</f>
        <v>SO22000181</v>
      </c>
      <c r="AC9">
        <v>4</v>
      </c>
      <c r="AD9" s="1">
        <v>44696</v>
      </c>
      <c r="AM9" t="str">
        <f>"10"</f>
        <v>10</v>
      </c>
      <c r="AN9" t="str">
        <f>"500000"</f>
        <v>500000</v>
      </c>
      <c r="AO9" t="str">
        <f>"הכנסות  מלקוחות"</f>
        <v>הכנסות  מלקוחות</v>
      </c>
      <c r="AQ9" t="str">
        <f>"034"</f>
        <v>034</v>
      </c>
      <c r="AR9">
        <v>0</v>
      </c>
      <c r="AS9">
        <v>0</v>
      </c>
      <c r="AT9">
        <v>4.0289999999999999</v>
      </c>
      <c r="AX9" t="str">
        <f>"E000362815"</f>
        <v>E000362815</v>
      </c>
      <c r="BD9" t="str">
        <f>"ערן שלו"</f>
        <v>ערן שלו</v>
      </c>
    </row>
    <row r="10" spans="1:56" x14ac:dyDescent="0.3">
      <c r="A10" s="1">
        <v>45232</v>
      </c>
      <c r="B10" t="str">
        <f>"SI236001362"</f>
        <v>SI236001362</v>
      </c>
      <c r="E10" t="str">
        <f>"Y"</f>
        <v>Y</v>
      </c>
      <c r="F10" t="str">
        <f>"חשבוניות מרכזות"</f>
        <v>חשבוניות מרכזות</v>
      </c>
      <c r="G10" t="str">
        <f>"700065"</f>
        <v>700065</v>
      </c>
      <c r="H10" t="str">
        <f>"אלתא מערכות בע""מ"</f>
        <v>אלתא מערכות בע"מ</v>
      </c>
      <c r="I10" t="str">
        <f>"10"</f>
        <v>10</v>
      </c>
      <c r="J10" t="str">
        <f>"OP-ML00217"</f>
        <v>OP-ML00217</v>
      </c>
      <c r="K10" t="str">
        <f>"1042A920-001 COMPUTER RACK"</f>
        <v>1042A920-001 COMPUTER RACK</v>
      </c>
      <c r="L10">
        <v>1</v>
      </c>
      <c r="M10" t="str">
        <f>"יח"</f>
        <v>יח</v>
      </c>
      <c r="N10">
        <v>1</v>
      </c>
      <c r="O10" t="str">
        <f>"יח"</f>
        <v>יח</v>
      </c>
      <c r="P10" s="2">
        <v>36500</v>
      </c>
      <c r="Q10" t="str">
        <f>"$"</f>
        <v>$</v>
      </c>
      <c r="R10" t="str">
        <f>"הזמנה"</f>
        <v>הזמנה</v>
      </c>
      <c r="S10">
        <v>0</v>
      </c>
      <c r="T10" s="2">
        <v>36500</v>
      </c>
      <c r="U10">
        <v>0</v>
      </c>
      <c r="V10" s="2">
        <v>36500</v>
      </c>
      <c r="W10" t="str">
        <f>"$"</f>
        <v>$</v>
      </c>
      <c r="X10">
        <v>0</v>
      </c>
      <c r="Y10">
        <v>0</v>
      </c>
      <c r="Z10">
        <v>0</v>
      </c>
      <c r="AA10" t="str">
        <f>"Y"</f>
        <v>Y</v>
      </c>
      <c r="AB10" t="str">
        <f>"SO22000181"</f>
        <v>SO22000181</v>
      </c>
      <c r="AC10">
        <v>4</v>
      </c>
      <c r="AD10" s="1">
        <v>44696</v>
      </c>
      <c r="AM10" t="str">
        <f>"10"</f>
        <v>10</v>
      </c>
      <c r="AN10" t="str">
        <f>"500000"</f>
        <v>500000</v>
      </c>
      <c r="AO10" t="str">
        <f>"הכנסות  מלקוחות"</f>
        <v>הכנסות  מלקוחות</v>
      </c>
      <c r="AQ10" t="str">
        <f>"034"</f>
        <v>034</v>
      </c>
      <c r="AR10">
        <v>0</v>
      </c>
      <c r="AS10">
        <v>0</v>
      </c>
      <c r="AT10">
        <v>4.0289999999999999</v>
      </c>
      <c r="AX10" t="str">
        <f>"E000362815"</f>
        <v>E000362815</v>
      </c>
      <c r="BD10" t="str">
        <f>"ערן שלו"</f>
        <v>ערן שלו</v>
      </c>
    </row>
    <row r="11" spans="1:56" x14ac:dyDescent="0.3">
      <c r="A11" s="1">
        <v>45232</v>
      </c>
      <c r="B11" t="str">
        <f>"SI236001361"</f>
        <v>SI236001361</v>
      </c>
      <c r="E11" t="str">
        <f>"Y"</f>
        <v>Y</v>
      </c>
      <c r="F11" t="str">
        <f>"חשבוניות מרכזות"</f>
        <v>חשבוניות מרכזות</v>
      </c>
      <c r="G11" t="str">
        <f>"700065"</f>
        <v>700065</v>
      </c>
      <c r="H11" t="str">
        <f>"אלתא מערכות בע""מ"</f>
        <v>אלתא מערכות בע"מ</v>
      </c>
      <c r="I11" t="str">
        <f>"10"</f>
        <v>10</v>
      </c>
      <c r="J11" t="str">
        <f>"OP-ML00217"</f>
        <v>OP-ML00217</v>
      </c>
      <c r="K11" t="str">
        <f>"1042A920-001 COMPUTER RACK"</f>
        <v>1042A920-001 COMPUTER RACK</v>
      </c>
      <c r="L11">
        <v>1</v>
      </c>
      <c r="M11" t="str">
        <f>"יח"</f>
        <v>יח</v>
      </c>
      <c r="N11">
        <v>1</v>
      </c>
      <c r="O11" t="str">
        <f>"יח"</f>
        <v>יח</v>
      </c>
      <c r="P11" s="2">
        <v>36500</v>
      </c>
      <c r="Q11" t="str">
        <f>"$"</f>
        <v>$</v>
      </c>
      <c r="R11" t="str">
        <f>"הזמנה"</f>
        <v>הזמנה</v>
      </c>
      <c r="S11">
        <v>0</v>
      </c>
      <c r="T11" s="2">
        <v>36500</v>
      </c>
      <c r="U11">
        <v>0</v>
      </c>
      <c r="V11" s="2">
        <v>36500</v>
      </c>
      <c r="W11" t="str">
        <f>"$"</f>
        <v>$</v>
      </c>
      <c r="X11">
        <v>0</v>
      </c>
      <c r="Y11">
        <v>0</v>
      </c>
      <c r="Z11">
        <v>0</v>
      </c>
      <c r="AA11" t="str">
        <f>"Y"</f>
        <v>Y</v>
      </c>
      <c r="AB11" t="str">
        <f>"SO22000181"</f>
        <v>SO22000181</v>
      </c>
      <c r="AC11">
        <v>4</v>
      </c>
      <c r="AD11" s="1">
        <v>44696</v>
      </c>
      <c r="AM11" t="str">
        <f>"10"</f>
        <v>10</v>
      </c>
      <c r="AN11" t="str">
        <f>"500000"</f>
        <v>500000</v>
      </c>
      <c r="AO11" t="str">
        <f>"הכנסות  מלקוחות"</f>
        <v>הכנסות  מלקוחות</v>
      </c>
      <c r="AQ11" t="str">
        <f>"034"</f>
        <v>034</v>
      </c>
      <c r="AR11">
        <v>0</v>
      </c>
      <c r="AS11">
        <v>0</v>
      </c>
      <c r="AT11">
        <v>4.0289999999999999</v>
      </c>
      <c r="AX11" t="str">
        <f>"E000362815"</f>
        <v>E000362815</v>
      </c>
      <c r="BD11" t="str">
        <f>"ערן שלו"</f>
        <v>ערן שלו</v>
      </c>
    </row>
    <row r="12" spans="1:56" x14ac:dyDescent="0.3">
      <c r="A12" s="1">
        <v>45232</v>
      </c>
      <c r="B12" t="str">
        <f>"SI236001360"</f>
        <v>SI236001360</v>
      </c>
      <c r="E12" t="str">
        <f>"Y"</f>
        <v>Y</v>
      </c>
      <c r="F12" t="str">
        <f>"חשבוניות מרכזות"</f>
        <v>חשבוניות מרכזות</v>
      </c>
      <c r="G12" t="str">
        <f>"700065"</f>
        <v>700065</v>
      </c>
      <c r="H12" t="str">
        <f>"אלתא מערכות בע""מ"</f>
        <v>אלתא מערכות בע"מ</v>
      </c>
      <c r="I12" t="str">
        <f>"10"</f>
        <v>10</v>
      </c>
      <c r="J12" t="str">
        <f>"OP-ML00217"</f>
        <v>OP-ML00217</v>
      </c>
      <c r="K12" t="str">
        <f>"1042A920-001 COMPUTER RACK"</f>
        <v>1042A920-001 COMPUTER RACK</v>
      </c>
      <c r="L12">
        <v>1</v>
      </c>
      <c r="M12" t="str">
        <f>"יח"</f>
        <v>יח</v>
      </c>
      <c r="N12">
        <v>1</v>
      </c>
      <c r="O12" t="str">
        <f>"יח"</f>
        <v>יח</v>
      </c>
      <c r="P12" s="2">
        <v>36500</v>
      </c>
      <c r="Q12" t="str">
        <f>"$"</f>
        <v>$</v>
      </c>
      <c r="R12" t="str">
        <f>"הזמנה"</f>
        <v>הזמנה</v>
      </c>
      <c r="S12">
        <v>0</v>
      </c>
      <c r="T12" s="2">
        <v>36500</v>
      </c>
      <c r="U12">
        <v>0</v>
      </c>
      <c r="V12" s="2">
        <v>36500</v>
      </c>
      <c r="W12" t="str">
        <f>"$"</f>
        <v>$</v>
      </c>
      <c r="X12">
        <v>0</v>
      </c>
      <c r="Y12">
        <v>0</v>
      </c>
      <c r="Z12">
        <v>0</v>
      </c>
      <c r="AA12" t="str">
        <f>"Y"</f>
        <v>Y</v>
      </c>
      <c r="AB12" t="str">
        <f>"SO22000181"</f>
        <v>SO22000181</v>
      </c>
      <c r="AC12">
        <v>4</v>
      </c>
      <c r="AD12" s="1">
        <v>44696</v>
      </c>
      <c r="AM12" t="str">
        <f>"10"</f>
        <v>10</v>
      </c>
      <c r="AN12" t="str">
        <f>"500000"</f>
        <v>500000</v>
      </c>
      <c r="AO12" t="str">
        <f>"הכנסות  מלקוחות"</f>
        <v>הכנסות  מלקוחות</v>
      </c>
      <c r="AQ12" t="str">
        <f>"034"</f>
        <v>034</v>
      </c>
      <c r="AR12">
        <v>0</v>
      </c>
      <c r="AS12">
        <v>0</v>
      </c>
      <c r="AT12">
        <v>4.0289999999999999</v>
      </c>
      <c r="AX12" t="str">
        <f>"E000362815"</f>
        <v>E000362815</v>
      </c>
      <c r="BD12" t="str">
        <f>"ערן שלו"</f>
        <v>ערן שלו</v>
      </c>
    </row>
    <row r="13" spans="1:56" x14ac:dyDescent="0.3">
      <c r="A13" s="1">
        <v>45227</v>
      </c>
      <c r="B13" t="str">
        <f>"SI236001346"</f>
        <v>SI236001346</v>
      </c>
      <c r="C13" t="str">
        <f>"PR23000433"</f>
        <v>PR23000433</v>
      </c>
      <c r="D13" t="str">
        <f>"PR23000433"</f>
        <v>PR23000433</v>
      </c>
      <c r="E13" t="str">
        <f>"Y"</f>
        <v>Y</v>
      </c>
      <c r="F13" t="str">
        <f>"חשבוניות מרכזות"</f>
        <v>חשבוניות מרכזות</v>
      </c>
      <c r="G13" t="str">
        <f>"700065"</f>
        <v>700065</v>
      </c>
      <c r="H13" t="str">
        <f>"אלתא מערכות בע""מ"</f>
        <v>אלתא מערכות בע"מ</v>
      </c>
      <c r="I13" t="str">
        <f>"15"</f>
        <v>15</v>
      </c>
      <c r="J13" t="str">
        <f>"OP-AR03700"</f>
        <v>OP-AR03700</v>
      </c>
      <c r="K13" t="str">
        <f>"4080H421-001    HARNESS WS421 - PDU TO MCCS - POWER"</f>
        <v>4080H421-001    HARNESS WS421 - PDU TO MCCS - POWER</v>
      </c>
      <c r="L13">
        <v>1</v>
      </c>
      <c r="M13" t="str">
        <f>"יח"</f>
        <v>יח</v>
      </c>
      <c r="N13">
        <v>1</v>
      </c>
      <c r="O13" t="str">
        <f>"יח"</f>
        <v>יח</v>
      </c>
      <c r="P13">
        <v>319</v>
      </c>
      <c r="Q13" t="str">
        <f>"$"</f>
        <v>$</v>
      </c>
      <c r="R13" t="str">
        <f>"הזמנה"</f>
        <v>הזמנה</v>
      </c>
      <c r="S13">
        <v>0</v>
      </c>
      <c r="T13">
        <v>319</v>
      </c>
      <c r="U13">
        <v>0</v>
      </c>
      <c r="V13">
        <v>319</v>
      </c>
      <c r="W13" t="str">
        <f>"$"</f>
        <v>$</v>
      </c>
      <c r="X13">
        <v>0</v>
      </c>
      <c r="Y13">
        <v>0</v>
      </c>
      <c r="Z13">
        <v>0</v>
      </c>
      <c r="AA13" t="str">
        <f>"Y"</f>
        <v>Y</v>
      </c>
      <c r="AB13" t="str">
        <f>"SO23000307"</f>
        <v>SO23000307</v>
      </c>
      <c r="AC13">
        <v>1</v>
      </c>
      <c r="AD13" s="1">
        <v>45109</v>
      </c>
      <c r="AE13" t="str">
        <f>"SH23001246"</f>
        <v>SH23001246</v>
      </c>
      <c r="AF13" t="str">
        <f>"משלוחים ללקוח"</f>
        <v>משלוחים ללקוח</v>
      </c>
      <c r="AG13" s="1">
        <v>45202</v>
      </c>
      <c r="AM13" t="str">
        <f>"10"</f>
        <v>10</v>
      </c>
      <c r="AN13" t="str">
        <f>"500000"</f>
        <v>500000</v>
      </c>
      <c r="AO13" t="str">
        <f>"הכנסות  מלקוחות"</f>
        <v>הכנסות  מלקוחות</v>
      </c>
      <c r="AQ13" t="str">
        <f>"040"</f>
        <v>040</v>
      </c>
      <c r="AR13">
        <v>0</v>
      </c>
      <c r="AS13">
        <v>0</v>
      </c>
      <c r="AT13">
        <v>4.0789999999999997</v>
      </c>
      <c r="AX13" t="str">
        <f>"E000397683"</f>
        <v>E000397683</v>
      </c>
      <c r="BD13" t="str">
        <f>"רחמים זרוק"</f>
        <v>רחמים זרוק</v>
      </c>
    </row>
    <row r="14" spans="1:56" x14ac:dyDescent="0.3">
      <c r="A14" s="1">
        <v>45227</v>
      </c>
      <c r="B14" t="str">
        <f>"SI236001346"</f>
        <v>SI236001346</v>
      </c>
      <c r="C14" t="str">
        <f>"PR23000433"</f>
        <v>PR23000433</v>
      </c>
      <c r="D14" t="str">
        <f>"PR23000433"</f>
        <v>PR23000433</v>
      </c>
      <c r="E14" t="str">
        <f>"Y"</f>
        <v>Y</v>
      </c>
      <c r="F14" t="str">
        <f>"חשבוניות מרכזות"</f>
        <v>חשבוניות מרכזות</v>
      </c>
      <c r="G14" t="str">
        <f>"700065"</f>
        <v>700065</v>
      </c>
      <c r="H14" t="str">
        <f>"אלתא מערכות בע""מ"</f>
        <v>אלתא מערכות בע"מ</v>
      </c>
      <c r="I14" t="str">
        <f>"15"</f>
        <v>15</v>
      </c>
      <c r="J14" t="str">
        <f>"OP-AR03700"</f>
        <v>OP-AR03700</v>
      </c>
      <c r="K14" t="str">
        <f>"4080H421-001    HARNESS WS421 - PDU TO MCCS - POWER"</f>
        <v>4080H421-001    HARNESS WS421 - PDU TO MCCS - POWER</v>
      </c>
      <c r="L14">
        <v>1</v>
      </c>
      <c r="M14" t="str">
        <f>"יח"</f>
        <v>יח</v>
      </c>
      <c r="N14">
        <v>1</v>
      </c>
      <c r="O14" t="str">
        <f>"יח"</f>
        <v>יח</v>
      </c>
      <c r="P14">
        <v>319</v>
      </c>
      <c r="Q14" t="str">
        <f>"$"</f>
        <v>$</v>
      </c>
      <c r="R14" t="str">
        <f>"הזמנה"</f>
        <v>הזמנה</v>
      </c>
      <c r="S14">
        <v>0</v>
      </c>
      <c r="T14">
        <v>319</v>
      </c>
      <c r="U14">
        <v>0</v>
      </c>
      <c r="V14">
        <v>319</v>
      </c>
      <c r="W14" t="str">
        <f>"$"</f>
        <v>$</v>
      </c>
      <c r="X14">
        <v>0</v>
      </c>
      <c r="Y14">
        <v>0</v>
      </c>
      <c r="Z14">
        <v>0</v>
      </c>
      <c r="AA14" t="str">
        <f>"Y"</f>
        <v>Y</v>
      </c>
      <c r="AB14" t="str">
        <f>"SO23000307"</f>
        <v>SO23000307</v>
      </c>
      <c r="AC14">
        <v>2</v>
      </c>
      <c r="AD14" s="1">
        <v>45109</v>
      </c>
      <c r="AE14" t="str">
        <f>"SH23001246"</f>
        <v>SH23001246</v>
      </c>
      <c r="AF14" t="str">
        <f>"משלוחים ללקוח"</f>
        <v>משלוחים ללקוח</v>
      </c>
      <c r="AG14" s="1">
        <v>45202</v>
      </c>
      <c r="AM14" t="str">
        <f>"10"</f>
        <v>10</v>
      </c>
      <c r="AN14" t="str">
        <f>"500000"</f>
        <v>500000</v>
      </c>
      <c r="AO14" t="str">
        <f>"הכנסות  מלקוחות"</f>
        <v>הכנסות  מלקוחות</v>
      </c>
      <c r="AQ14" t="str">
        <f>"040"</f>
        <v>040</v>
      </c>
      <c r="AR14">
        <v>0</v>
      </c>
      <c r="AS14">
        <v>0</v>
      </c>
      <c r="AT14">
        <v>4.0789999999999997</v>
      </c>
      <c r="AX14" t="str">
        <f>"E000397683"</f>
        <v>E000397683</v>
      </c>
      <c r="BD14" t="str">
        <f>"רחמים זרוק"</f>
        <v>רחמים זרוק</v>
      </c>
    </row>
    <row r="15" spans="1:56" x14ac:dyDescent="0.3">
      <c r="A15" s="1">
        <v>45227</v>
      </c>
      <c r="B15" t="str">
        <f>"SI236001346"</f>
        <v>SI236001346</v>
      </c>
      <c r="C15" t="str">
        <f>"PR23000433"</f>
        <v>PR23000433</v>
      </c>
      <c r="D15" t="str">
        <f>"PR23000433"</f>
        <v>PR23000433</v>
      </c>
      <c r="E15" t="str">
        <f>"Y"</f>
        <v>Y</v>
      </c>
      <c r="F15" t="str">
        <f>"חשבוניות מרכזות"</f>
        <v>חשבוניות מרכזות</v>
      </c>
      <c r="G15" t="str">
        <f>"700065"</f>
        <v>700065</v>
      </c>
      <c r="H15" t="str">
        <f>"אלתא מערכות בע""מ"</f>
        <v>אלתא מערכות בע"מ</v>
      </c>
      <c r="I15" t="str">
        <f>"15"</f>
        <v>15</v>
      </c>
      <c r="J15" t="str">
        <f>"OP-AR03703"</f>
        <v>OP-AR03703</v>
      </c>
      <c r="K15" t="str">
        <f>"4080H417-001    HARNESS WS417 - PDU TO EPU 1-4 - POWER"</f>
        <v>4080H417-001    HARNESS WS417 - PDU TO EPU 1-4 - POWER</v>
      </c>
      <c r="L15">
        <v>1</v>
      </c>
      <c r="M15" t="str">
        <f>"יח"</f>
        <v>יח</v>
      </c>
      <c r="N15">
        <v>1</v>
      </c>
      <c r="O15" t="str">
        <f>"יח"</f>
        <v>יח</v>
      </c>
      <c r="P15" s="2">
        <v>1496.5</v>
      </c>
      <c r="Q15" t="str">
        <f>"$"</f>
        <v>$</v>
      </c>
      <c r="R15" t="str">
        <f>"הזמנה"</f>
        <v>הזמנה</v>
      </c>
      <c r="S15">
        <v>0</v>
      </c>
      <c r="T15" s="2">
        <v>1496.5</v>
      </c>
      <c r="U15">
        <v>0</v>
      </c>
      <c r="V15" s="2">
        <v>1496.5</v>
      </c>
      <c r="W15" t="str">
        <f>"$"</f>
        <v>$</v>
      </c>
      <c r="X15">
        <v>0</v>
      </c>
      <c r="Y15">
        <v>0</v>
      </c>
      <c r="Z15">
        <v>0</v>
      </c>
      <c r="AA15" t="str">
        <f>"Y"</f>
        <v>Y</v>
      </c>
      <c r="AB15" t="str">
        <f>"SO23000307"</f>
        <v>SO23000307</v>
      </c>
      <c r="AC15">
        <v>11</v>
      </c>
      <c r="AD15" s="1">
        <v>45109</v>
      </c>
      <c r="AE15" t="str">
        <f>"SH23001246"</f>
        <v>SH23001246</v>
      </c>
      <c r="AF15" t="str">
        <f>"משלוחים ללקוח"</f>
        <v>משלוחים ללקוח</v>
      </c>
      <c r="AG15" s="1">
        <v>45202</v>
      </c>
      <c r="AM15" t="str">
        <f>"10"</f>
        <v>10</v>
      </c>
      <c r="AN15" t="str">
        <f>"500000"</f>
        <v>500000</v>
      </c>
      <c r="AO15" t="str">
        <f>"הכנסות  מלקוחות"</f>
        <v>הכנסות  מלקוחות</v>
      </c>
      <c r="AQ15" t="str">
        <f>"040"</f>
        <v>040</v>
      </c>
      <c r="AR15">
        <v>0</v>
      </c>
      <c r="AS15">
        <v>0</v>
      </c>
      <c r="AT15">
        <v>4.0789999999999997</v>
      </c>
      <c r="AX15" t="str">
        <f>"E000397683"</f>
        <v>E000397683</v>
      </c>
      <c r="BD15" t="str">
        <f>"רחמים זרוק"</f>
        <v>רחמים זרוק</v>
      </c>
    </row>
    <row r="16" spans="1:56" x14ac:dyDescent="0.3">
      <c r="A16" s="1">
        <v>45227</v>
      </c>
      <c r="B16" t="str">
        <f>"SI236001346"</f>
        <v>SI236001346</v>
      </c>
      <c r="C16" t="str">
        <f>"PR23000433"</f>
        <v>PR23000433</v>
      </c>
      <c r="D16" t="str">
        <f>"PR23000433"</f>
        <v>PR23000433</v>
      </c>
      <c r="E16" t="str">
        <f>"Y"</f>
        <v>Y</v>
      </c>
      <c r="F16" t="str">
        <f>"חשבוניות מרכזות"</f>
        <v>חשבוניות מרכזות</v>
      </c>
      <c r="G16" t="str">
        <f>"700065"</f>
        <v>700065</v>
      </c>
      <c r="H16" t="str">
        <f>"אלתא מערכות בע""מ"</f>
        <v>אלתא מערכות בע"מ</v>
      </c>
      <c r="I16" t="str">
        <f>"15"</f>
        <v>15</v>
      </c>
      <c r="J16" t="str">
        <f>"OP-AR03703"</f>
        <v>OP-AR03703</v>
      </c>
      <c r="K16" t="str">
        <f>"4080H417-001    HARNESS WS417 - PDU TO EPU 1-4 - POWER"</f>
        <v>4080H417-001    HARNESS WS417 - PDU TO EPU 1-4 - POWER</v>
      </c>
      <c r="L16">
        <v>1</v>
      </c>
      <c r="M16" t="str">
        <f>"יח"</f>
        <v>יח</v>
      </c>
      <c r="N16">
        <v>1</v>
      </c>
      <c r="O16" t="str">
        <f>"יח"</f>
        <v>יח</v>
      </c>
      <c r="P16" s="2">
        <v>1496.5</v>
      </c>
      <c r="Q16" t="str">
        <f>"$"</f>
        <v>$</v>
      </c>
      <c r="R16" t="str">
        <f>"הזמנה"</f>
        <v>הזמנה</v>
      </c>
      <c r="S16">
        <v>0</v>
      </c>
      <c r="T16" s="2">
        <v>1496.5</v>
      </c>
      <c r="U16">
        <v>0</v>
      </c>
      <c r="V16" s="2">
        <v>1496.5</v>
      </c>
      <c r="W16" t="str">
        <f>"$"</f>
        <v>$</v>
      </c>
      <c r="X16">
        <v>0</v>
      </c>
      <c r="Y16">
        <v>0</v>
      </c>
      <c r="Z16">
        <v>0</v>
      </c>
      <c r="AA16" t="str">
        <f>"Y"</f>
        <v>Y</v>
      </c>
      <c r="AB16" t="str">
        <f>"SO23000307"</f>
        <v>SO23000307</v>
      </c>
      <c r="AC16">
        <v>12</v>
      </c>
      <c r="AD16" s="1">
        <v>45109</v>
      </c>
      <c r="AE16" t="str">
        <f>"SH23001246"</f>
        <v>SH23001246</v>
      </c>
      <c r="AF16" t="str">
        <f>"משלוחים ללקוח"</f>
        <v>משלוחים ללקוח</v>
      </c>
      <c r="AG16" s="1">
        <v>45202</v>
      </c>
      <c r="AM16" t="str">
        <f>"10"</f>
        <v>10</v>
      </c>
      <c r="AN16" t="str">
        <f>"500000"</f>
        <v>500000</v>
      </c>
      <c r="AO16" t="str">
        <f>"הכנסות  מלקוחות"</f>
        <v>הכנסות  מלקוחות</v>
      </c>
      <c r="AQ16" t="str">
        <f>"040"</f>
        <v>040</v>
      </c>
      <c r="AR16">
        <v>0</v>
      </c>
      <c r="AS16">
        <v>0</v>
      </c>
      <c r="AT16">
        <v>4.0789999999999997</v>
      </c>
      <c r="AX16" t="str">
        <f>"E000397683"</f>
        <v>E000397683</v>
      </c>
      <c r="BD16" t="str">
        <f>"רחמים זרוק"</f>
        <v>רחמים זרוק</v>
      </c>
    </row>
    <row r="17" spans="1:56" x14ac:dyDescent="0.3">
      <c r="A17" s="1">
        <v>45227</v>
      </c>
      <c r="B17" t="str">
        <f>"SI236001346"</f>
        <v>SI236001346</v>
      </c>
      <c r="C17" t="str">
        <f>"PR23000433"</f>
        <v>PR23000433</v>
      </c>
      <c r="D17" t="str">
        <f>"PR23000433"</f>
        <v>PR23000433</v>
      </c>
      <c r="E17" t="str">
        <f>"Y"</f>
        <v>Y</v>
      </c>
      <c r="F17" t="str">
        <f>"חשבוניות מרכזות"</f>
        <v>חשבוניות מרכזות</v>
      </c>
      <c r="G17" t="str">
        <f>"700065"</f>
        <v>700065</v>
      </c>
      <c r="H17" t="str">
        <f>"אלתא מערכות בע""מ"</f>
        <v>אלתא מערכות בע"מ</v>
      </c>
      <c r="I17" t="str">
        <f>"15"</f>
        <v>15</v>
      </c>
      <c r="J17" t="str">
        <f>"OP-AR03704"</f>
        <v>OP-AR03704</v>
      </c>
      <c r="K17" t="str">
        <f>"4080H434-001    ETHERNET CABLE WS434 - LS2 TO RFDU - 10/"</f>
        <v>4080H434-001    ETHERNET CABLE WS434 - LS2 TO RFDU - 10/</v>
      </c>
      <c r="L17">
        <v>3</v>
      </c>
      <c r="M17" t="str">
        <f>"יח"</f>
        <v>יח</v>
      </c>
      <c r="N17">
        <v>3</v>
      </c>
      <c r="O17" t="str">
        <f>"יח"</f>
        <v>יח</v>
      </c>
      <c r="P17">
        <v>326.07</v>
      </c>
      <c r="Q17" t="str">
        <f>"$"</f>
        <v>$</v>
      </c>
      <c r="R17" t="str">
        <f>"הזמנה"</f>
        <v>הזמנה</v>
      </c>
      <c r="S17">
        <v>0</v>
      </c>
      <c r="T17">
        <v>978.21</v>
      </c>
      <c r="U17">
        <v>0</v>
      </c>
      <c r="V17">
        <v>978.21</v>
      </c>
      <c r="W17" t="str">
        <f>"$"</f>
        <v>$</v>
      </c>
      <c r="X17">
        <v>0</v>
      </c>
      <c r="Y17">
        <v>0</v>
      </c>
      <c r="Z17">
        <v>0</v>
      </c>
      <c r="AA17" t="str">
        <f>"Y"</f>
        <v>Y</v>
      </c>
      <c r="AB17" t="str">
        <f>"SO23000307"</f>
        <v>SO23000307</v>
      </c>
      <c r="AC17">
        <v>13</v>
      </c>
      <c r="AD17" s="1">
        <v>45109</v>
      </c>
      <c r="AE17" t="str">
        <f>"SH23001246"</f>
        <v>SH23001246</v>
      </c>
      <c r="AF17" t="str">
        <f>"משלוחים ללקוח"</f>
        <v>משלוחים ללקוח</v>
      </c>
      <c r="AG17" s="1">
        <v>45202</v>
      </c>
      <c r="AM17" t="str">
        <f>"10"</f>
        <v>10</v>
      </c>
      <c r="AN17" t="str">
        <f>"500000"</f>
        <v>500000</v>
      </c>
      <c r="AO17" t="str">
        <f>"הכנסות  מלקוחות"</f>
        <v>הכנסות  מלקוחות</v>
      </c>
      <c r="AQ17" t="str">
        <f>"040"</f>
        <v>040</v>
      </c>
      <c r="AR17">
        <v>0</v>
      </c>
      <c r="AS17">
        <v>0</v>
      </c>
      <c r="AT17">
        <v>4.0789999999999997</v>
      </c>
      <c r="AX17" t="str">
        <f>"E000397683"</f>
        <v>E000397683</v>
      </c>
      <c r="BD17" t="str">
        <f>"רחמים זרוק"</f>
        <v>רחמים זרוק</v>
      </c>
    </row>
    <row r="18" spans="1:56" x14ac:dyDescent="0.3">
      <c r="A18" s="1">
        <v>45227</v>
      </c>
      <c r="B18" t="str">
        <f>"SI236001346"</f>
        <v>SI236001346</v>
      </c>
      <c r="C18" t="str">
        <f>"PR23000433"</f>
        <v>PR23000433</v>
      </c>
      <c r="D18" t="str">
        <f>"PR23000433"</f>
        <v>PR23000433</v>
      </c>
      <c r="E18" t="str">
        <f>"Y"</f>
        <v>Y</v>
      </c>
      <c r="F18" t="str">
        <f>"חשבוניות מרכזות"</f>
        <v>חשבוניות מרכזות</v>
      </c>
      <c r="G18" t="str">
        <f>"700065"</f>
        <v>700065</v>
      </c>
      <c r="H18" t="str">
        <f>"אלתא מערכות בע""מ"</f>
        <v>אלתא מערכות בע"מ</v>
      </c>
      <c r="I18" t="str">
        <f>"15"</f>
        <v>15</v>
      </c>
      <c r="J18" t="str">
        <f>"OP-AR03705"</f>
        <v>OP-AR03705</v>
      </c>
      <c r="K18" t="str">
        <f>"4080H437-001    ETHERNET CABLE WS437 - LS1 TO EPU1 - 1G"</f>
        <v>4080H437-001    ETHERNET CABLE WS437 - LS1 TO EPU1 - 1G</v>
      </c>
      <c r="L18">
        <v>3</v>
      </c>
      <c r="M18" t="str">
        <f>"יח"</f>
        <v>יח</v>
      </c>
      <c r="N18">
        <v>3</v>
      </c>
      <c r="O18" t="str">
        <f>"יח"</f>
        <v>יח</v>
      </c>
      <c r="P18">
        <v>384.28</v>
      </c>
      <c r="Q18" t="str">
        <f>"$"</f>
        <v>$</v>
      </c>
      <c r="R18" t="str">
        <f>"הזמנה"</f>
        <v>הזמנה</v>
      </c>
      <c r="S18">
        <v>0</v>
      </c>
      <c r="T18" s="2">
        <v>1152.8399999999999</v>
      </c>
      <c r="U18">
        <v>0</v>
      </c>
      <c r="V18" s="2">
        <v>1152.8399999999999</v>
      </c>
      <c r="W18" t="str">
        <f>"$"</f>
        <v>$</v>
      </c>
      <c r="X18">
        <v>0</v>
      </c>
      <c r="Y18">
        <v>0</v>
      </c>
      <c r="Z18">
        <v>0</v>
      </c>
      <c r="AA18" t="str">
        <f>"Y"</f>
        <v>Y</v>
      </c>
      <c r="AB18" t="str">
        <f>"SO23000307"</f>
        <v>SO23000307</v>
      </c>
      <c r="AC18">
        <v>16</v>
      </c>
      <c r="AD18" s="1">
        <v>45109</v>
      </c>
      <c r="AE18" t="str">
        <f>"SH23001246"</f>
        <v>SH23001246</v>
      </c>
      <c r="AF18" t="str">
        <f>"משלוחים ללקוח"</f>
        <v>משלוחים ללקוח</v>
      </c>
      <c r="AG18" s="1">
        <v>45202</v>
      </c>
      <c r="AM18" t="str">
        <f>"10"</f>
        <v>10</v>
      </c>
      <c r="AN18" t="str">
        <f>"500000"</f>
        <v>500000</v>
      </c>
      <c r="AO18" t="str">
        <f>"הכנסות  מלקוחות"</f>
        <v>הכנסות  מלקוחות</v>
      </c>
      <c r="AQ18" t="str">
        <f>"040"</f>
        <v>040</v>
      </c>
      <c r="AR18">
        <v>0</v>
      </c>
      <c r="AS18">
        <v>0</v>
      </c>
      <c r="AT18">
        <v>4.0789999999999997</v>
      </c>
      <c r="AX18" t="str">
        <f>"E000397683"</f>
        <v>E000397683</v>
      </c>
      <c r="BD18" t="str">
        <f>"רחמים זרוק"</f>
        <v>רחמים זרוק</v>
      </c>
    </row>
    <row r="19" spans="1:56" x14ac:dyDescent="0.3">
      <c r="A19" s="1">
        <v>45227</v>
      </c>
      <c r="B19" t="str">
        <f>"SI236001346"</f>
        <v>SI236001346</v>
      </c>
      <c r="C19" t="str">
        <f>"PR23000433"</f>
        <v>PR23000433</v>
      </c>
      <c r="D19" t="str">
        <f>"PR23000433"</f>
        <v>PR23000433</v>
      </c>
      <c r="E19" t="str">
        <f>"Y"</f>
        <v>Y</v>
      </c>
      <c r="F19" t="str">
        <f>"חשבוניות מרכזות"</f>
        <v>חשבוניות מרכזות</v>
      </c>
      <c r="G19" t="str">
        <f>"700065"</f>
        <v>700065</v>
      </c>
      <c r="H19" t="str">
        <f>"אלתא מערכות בע""מ"</f>
        <v>אלתא מערכות בע"מ</v>
      </c>
      <c r="I19" t="str">
        <f>"15"</f>
        <v>15</v>
      </c>
      <c r="J19" t="str">
        <f>"OP-AR03705"</f>
        <v>OP-AR03705</v>
      </c>
      <c r="K19" t="str">
        <f>"4080H437-001    ETHERNET CABLE WS437 - LS1 TO EPU1 - 1G"</f>
        <v>4080H437-001    ETHERNET CABLE WS437 - LS1 TO EPU1 - 1G</v>
      </c>
      <c r="L19">
        <v>1</v>
      </c>
      <c r="M19" t="str">
        <f>"יח"</f>
        <v>יח</v>
      </c>
      <c r="N19">
        <v>1</v>
      </c>
      <c r="O19" t="str">
        <f>"יח"</f>
        <v>יח</v>
      </c>
      <c r="P19">
        <v>384.28</v>
      </c>
      <c r="Q19" t="str">
        <f>"$"</f>
        <v>$</v>
      </c>
      <c r="R19" t="str">
        <f>"הזמנה"</f>
        <v>הזמנה</v>
      </c>
      <c r="S19">
        <v>0</v>
      </c>
      <c r="T19">
        <v>384.28</v>
      </c>
      <c r="U19">
        <v>0</v>
      </c>
      <c r="V19">
        <v>384.28</v>
      </c>
      <c r="W19" t="str">
        <f>"$"</f>
        <v>$</v>
      </c>
      <c r="X19">
        <v>0</v>
      </c>
      <c r="Y19">
        <v>0</v>
      </c>
      <c r="Z19">
        <v>0</v>
      </c>
      <c r="AA19" t="str">
        <f>"Y"</f>
        <v>Y</v>
      </c>
      <c r="AB19" t="str">
        <f>"SO23000307"</f>
        <v>SO23000307</v>
      </c>
      <c r="AC19">
        <v>17</v>
      </c>
      <c r="AD19" s="1">
        <v>45109</v>
      </c>
      <c r="AE19" t="str">
        <f>"SH23001246"</f>
        <v>SH23001246</v>
      </c>
      <c r="AF19" t="str">
        <f>"משלוחים ללקוח"</f>
        <v>משלוחים ללקוח</v>
      </c>
      <c r="AG19" s="1">
        <v>45202</v>
      </c>
      <c r="AM19" t="str">
        <f>"10"</f>
        <v>10</v>
      </c>
      <c r="AN19" t="str">
        <f>"500000"</f>
        <v>500000</v>
      </c>
      <c r="AO19" t="str">
        <f>"הכנסות  מלקוחות"</f>
        <v>הכנסות  מלקוחות</v>
      </c>
      <c r="AQ19" t="str">
        <f>"040"</f>
        <v>040</v>
      </c>
      <c r="AR19">
        <v>0</v>
      </c>
      <c r="AS19">
        <v>0</v>
      </c>
      <c r="AT19">
        <v>4.0789999999999997</v>
      </c>
      <c r="AX19" t="str">
        <f>"E000397683"</f>
        <v>E000397683</v>
      </c>
      <c r="BD19" t="str">
        <f>"רחמים זרוק"</f>
        <v>רחמים זרוק</v>
      </c>
    </row>
    <row r="20" spans="1:56" x14ac:dyDescent="0.3">
      <c r="A20" s="1">
        <v>45227</v>
      </c>
      <c r="B20" t="str">
        <f>"SI236001346"</f>
        <v>SI236001346</v>
      </c>
      <c r="C20" t="str">
        <f>"PR23000433"</f>
        <v>PR23000433</v>
      </c>
      <c r="D20" t="str">
        <f>"PR23000433"</f>
        <v>PR23000433</v>
      </c>
      <c r="E20" t="str">
        <f>"Y"</f>
        <v>Y</v>
      </c>
      <c r="F20" t="str">
        <f>"חשבוניות מרכזות"</f>
        <v>חשבוניות מרכזות</v>
      </c>
      <c r="G20" t="str">
        <f>"700065"</f>
        <v>700065</v>
      </c>
      <c r="H20" t="str">
        <f>"אלתא מערכות בע""מ"</f>
        <v>אלתא מערכות בע"מ</v>
      </c>
      <c r="I20" t="str">
        <f>"15"</f>
        <v>15</v>
      </c>
      <c r="J20" t="str">
        <f>"OP-AR03705"</f>
        <v>OP-AR03705</v>
      </c>
      <c r="K20" t="str">
        <f>"4080H437-001    ETHERNET CABLE WS437 - LS1 TO EPU1 - 1G"</f>
        <v>4080H437-001    ETHERNET CABLE WS437 - LS1 TO EPU1 - 1G</v>
      </c>
      <c r="L20">
        <v>1</v>
      </c>
      <c r="M20" t="str">
        <f>"יח"</f>
        <v>יח</v>
      </c>
      <c r="N20">
        <v>1</v>
      </c>
      <c r="O20" t="str">
        <f>"יח"</f>
        <v>יח</v>
      </c>
      <c r="P20">
        <v>384.28</v>
      </c>
      <c r="Q20" t="str">
        <f>"$"</f>
        <v>$</v>
      </c>
      <c r="R20" t="str">
        <f>"הזמנה"</f>
        <v>הזמנה</v>
      </c>
      <c r="S20">
        <v>0</v>
      </c>
      <c r="T20">
        <v>384.28</v>
      </c>
      <c r="U20">
        <v>0</v>
      </c>
      <c r="V20">
        <v>384.28</v>
      </c>
      <c r="W20" t="str">
        <f>"$"</f>
        <v>$</v>
      </c>
      <c r="X20">
        <v>0</v>
      </c>
      <c r="Y20">
        <v>0</v>
      </c>
      <c r="Z20">
        <v>0</v>
      </c>
      <c r="AA20" t="str">
        <f>"Y"</f>
        <v>Y</v>
      </c>
      <c r="AB20" t="str">
        <f>"SO23000307"</f>
        <v>SO23000307</v>
      </c>
      <c r="AC20">
        <v>18</v>
      </c>
      <c r="AD20" s="1">
        <v>45109</v>
      </c>
      <c r="AE20" t="str">
        <f>"SH23001246"</f>
        <v>SH23001246</v>
      </c>
      <c r="AF20" t="str">
        <f>"משלוחים ללקוח"</f>
        <v>משלוחים ללקוח</v>
      </c>
      <c r="AG20" s="1">
        <v>45202</v>
      </c>
      <c r="AM20" t="str">
        <f>"10"</f>
        <v>10</v>
      </c>
      <c r="AN20" t="str">
        <f>"500000"</f>
        <v>500000</v>
      </c>
      <c r="AO20" t="str">
        <f>"הכנסות  מלקוחות"</f>
        <v>הכנסות  מלקוחות</v>
      </c>
      <c r="AQ20" t="str">
        <f>"040"</f>
        <v>040</v>
      </c>
      <c r="AR20">
        <v>0</v>
      </c>
      <c r="AS20">
        <v>0</v>
      </c>
      <c r="AT20">
        <v>4.0789999999999997</v>
      </c>
      <c r="AX20" t="str">
        <f>"E000397683"</f>
        <v>E000397683</v>
      </c>
      <c r="BD20" t="str">
        <f>"רחמים זרוק"</f>
        <v>רחמים זרוק</v>
      </c>
    </row>
    <row r="21" spans="1:56" x14ac:dyDescent="0.3">
      <c r="A21" s="1">
        <v>45227</v>
      </c>
      <c r="B21" t="str">
        <f>"SI236001346"</f>
        <v>SI236001346</v>
      </c>
      <c r="C21" t="str">
        <f>"PR23000433"</f>
        <v>PR23000433</v>
      </c>
      <c r="D21" t="str">
        <f>"PR23000433"</f>
        <v>PR23000433</v>
      </c>
      <c r="E21" t="str">
        <f>"Y"</f>
        <v>Y</v>
      </c>
      <c r="F21" t="str">
        <f>"חשבוניות מרכזות"</f>
        <v>חשבוניות מרכזות</v>
      </c>
      <c r="G21" t="str">
        <f>"700065"</f>
        <v>700065</v>
      </c>
      <c r="H21" t="str">
        <f>"אלתא מערכות בע""מ"</f>
        <v>אלתא מערכות בע"מ</v>
      </c>
      <c r="I21" t="str">
        <f>"15"</f>
        <v>15</v>
      </c>
      <c r="J21" t="str">
        <f>"OP-AR03706"</f>
        <v>OP-AR03706</v>
      </c>
      <c r="K21" t="str">
        <f>"4080H439-001    ETHERNET CABLE WS439 - LS1 TO EPU3 - 1G"</f>
        <v>4080H439-001    ETHERNET CABLE WS439 - LS1 TO EPU3 - 1G</v>
      </c>
      <c r="L21">
        <v>3</v>
      </c>
      <c r="M21" t="str">
        <f>"יח"</f>
        <v>יח</v>
      </c>
      <c r="N21">
        <v>3</v>
      </c>
      <c r="O21" t="str">
        <f>"יח"</f>
        <v>יח</v>
      </c>
      <c r="P21">
        <v>413.76</v>
      </c>
      <c r="Q21" t="str">
        <f>"$"</f>
        <v>$</v>
      </c>
      <c r="R21" t="str">
        <f>"הזמנה"</f>
        <v>הזמנה</v>
      </c>
      <c r="S21">
        <v>0</v>
      </c>
      <c r="T21" s="2">
        <v>1241.28</v>
      </c>
      <c r="U21">
        <v>0</v>
      </c>
      <c r="V21" s="2">
        <v>1241.28</v>
      </c>
      <c r="W21" t="str">
        <f>"$"</f>
        <v>$</v>
      </c>
      <c r="X21">
        <v>0</v>
      </c>
      <c r="Y21">
        <v>0</v>
      </c>
      <c r="Z21">
        <v>0</v>
      </c>
      <c r="AA21" t="str">
        <f>"Y"</f>
        <v>Y</v>
      </c>
      <c r="AB21" t="str">
        <f>"SO23000307"</f>
        <v>SO23000307</v>
      </c>
      <c r="AC21">
        <v>19</v>
      </c>
      <c r="AD21" s="1">
        <v>45109</v>
      </c>
      <c r="AE21" t="str">
        <f>"SH23001246"</f>
        <v>SH23001246</v>
      </c>
      <c r="AF21" t="str">
        <f>"משלוחים ללקוח"</f>
        <v>משלוחים ללקוח</v>
      </c>
      <c r="AG21" s="1">
        <v>45202</v>
      </c>
      <c r="AM21" t="str">
        <f>"10"</f>
        <v>10</v>
      </c>
      <c r="AN21" t="str">
        <f>"500000"</f>
        <v>500000</v>
      </c>
      <c r="AO21" t="str">
        <f>"הכנסות  מלקוחות"</f>
        <v>הכנסות  מלקוחות</v>
      </c>
      <c r="AQ21" t="str">
        <f>"040"</f>
        <v>040</v>
      </c>
      <c r="AR21">
        <v>0</v>
      </c>
      <c r="AS21">
        <v>0</v>
      </c>
      <c r="AT21">
        <v>4.0789999999999997</v>
      </c>
      <c r="AX21" t="str">
        <f>"E000397683"</f>
        <v>E000397683</v>
      </c>
      <c r="BD21" t="str">
        <f>"רחמים זרוק"</f>
        <v>רחמים זרוק</v>
      </c>
    </row>
    <row r="22" spans="1:56" x14ac:dyDescent="0.3">
      <c r="A22" s="1">
        <v>45227</v>
      </c>
      <c r="B22" t="str">
        <f>"SI236001346"</f>
        <v>SI236001346</v>
      </c>
      <c r="C22" t="str">
        <f>"PR23000433"</f>
        <v>PR23000433</v>
      </c>
      <c r="D22" t="str">
        <f>"PR23000433"</f>
        <v>PR23000433</v>
      </c>
      <c r="E22" t="str">
        <f>"Y"</f>
        <v>Y</v>
      </c>
      <c r="F22" t="str">
        <f>"חשבוניות מרכזות"</f>
        <v>חשבוניות מרכזות</v>
      </c>
      <c r="G22" t="str">
        <f>"700065"</f>
        <v>700065</v>
      </c>
      <c r="H22" t="str">
        <f>"אלתא מערכות בע""מ"</f>
        <v>אלתא מערכות בע"מ</v>
      </c>
      <c r="I22" t="str">
        <f>"15"</f>
        <v>15</v>
      </c>
      <c r="J22" t="str">
        <f>"OP-AR03706"</f>
        <v>OP-AR03706</v>
      </c>
      <c r="K22" t="str">
        <f>"4080H439-001    ETHERNET CABLE WS439 - LS1 TO EPU3 - 1G"</f>
        <v>4080H439-001    ETHERNET CABLE WS439 - LS1 TO EPU3 - 1G</v>
      </c>
      <c r="L22">
        <v>1</v>
      </c>
      <c r="M22" t="str">
        <f>"יח"</f>
        <v>יח</v>
      </c>
      <c r="N22">
        <v>1</v>
      </c>
      <c r="O22" t="str">
        <f>"יח"</f>
        <v>יח</v>
      </c>
      <c r="P22">
        <v>413.76</v>
      </c>
      <c r="Q22" t="str">
        <f>"$"</f>
        <v>$</v>
      </c>
      <c r="R22" t="str">
        <f>"הזמנה"</f>
        <v>הזמנה</v>
      </c>
      <c r="S22">
        <v>0</v>
      </c>
      <c r="T22">
        <v>413.76</v>
      </c>
      <c r="U22">
        <v>0</v>
      </c>
      <c r="V22">
        <v>413.76</v>
      </c>
      <c r="W22" t="str">
        <f>"$"</f>
        <v>$</v>
      </c>
      <c r="X22">
        <v>0</v>
      </c>
      <c r="Y22">
        <v>0</v>
      </c>
      <c r="Z22">
        <v>0</v>
      </c>
      <c r="AA22" t="str">
        <f>"Y"</f>
        <v>Y</v>
      </c>
      <c r="AB22" t="str">
        <f>"SO23000307"</f>
        <v>SO23000307</v>
      </c>
      <c r="AC22">
        <v>20</v>
      </c>
      <c r="AD22" s="1">
        <v>45109</v>
      </c>
      <c r="AE22" t="str">
        <f>"SH23001246"</f>
        <v>SH23001246</v>
      </c>
      <c r="AF22" t="str">
        <f>"משלוחים ללקוח"</f>
        <v>משלוחים ללקוח</v>
      </c>
      <c r="AG22" s="1">
        <v>45202</v>
      </c>
      <c r="AM22" t="str">
        <f>"10"</f>
        <v>10</v>
      </c>
      <c r="AN22" t="str">
        <f>"500000"</f>
        <v>500000</v>
      </c>
      <c r="AO22" t="str">
        <f>"הכנסות  מלקוחות"</f>
        <v>הכנסות  מלקוחות</v>
      </c>
      <c r="AQ22" t="str">
        <f>"040"</f>
        <v>040</v>
      </c>
      <c r="AR22">
        <v>0</v>
      </c>
      <c r="AS22">
        <v>0</v>
      </c>
      <c r="AT22">
        <v>4.0789999999999997</v>
      </c>
      <c r="AX22" t="str">
        <f>"E000397683"</f>
        <v>E000397683</v>
      </c>
      <c r="BD22" t="str">
        <f>"רחמים זרוק"</f>
        <v>רחמים זרוק</v>
      </c>
    </row>
    <row r="23" spans="1:56" x14ac:dyDescent="0.3">
      <c r="A23" s="1">
        <v>45227</v>
      </c>
      <c r="B23" t="str">
        <f>"SI236001346"</f>
        <v>SI236001346</v>
      </c>
      <c r="C23" t="str">
        <f>"PR23000433"</f>
        <v>PR23000433</v>
      </c>
      <c r="D23" t="str">
        <f>"PR23000433"</f>
        <v>PR23000433</v>
      </c>
      <c r="E23" t="str">
        <f>"Y"</f>
        <v>Y</v>
      </c>
      <c r="F23" t="str">
        <f>"חשבוניות מרכזות"</f>
        <v>חשבוניות מרכזות</v>
      </c>
      <c r="G23" t="str">
        <f>"700065"</f>
        <v>700065</v>
      </c>
      <c r="H23" t="str">
        <f>"אלתא מערכות בע""מ"</f>
        <v>אלתא מערכות בע"מ</v>
      </c>
      <c r="I23" t="str">
        <f>"15"</f>
        <v>15</v>
      </c>
      <c r="J23" t="str">
        <f>"OP-AR03706"</f>
        <v>OP-AR03706</v>
      </c>
      <c r="K23" t="str">
        <f>"4080H439-001    ETHERNET CABLE WS439 - LS1 TO EPU3 - 1G"</f>
        <v>4080H439-001    ETHERNET CABLE WS439 - LS1 TO EPU3 - 1G</v>
      </c>
      <c r="L23">
        <v>1</v>
      </c>
      <c r="M23" t="str">
        <f>"יח"</f>
        <v>יח</v>
      </c>
      <c r="N23">
        <v>1</v>
      </c>
      <c r="O23" t="str">
        <f>"יח"</f>
        <v>יח</v>
      </c>
      <c r="P23">
        <v>413.76</v>
      </c>
      <c r="Q23" t="str">
        <f>"$"</f>
        <v>$</v>
      </c>
      <c r="R23" t="str">
        <f>"הזמנה"</f>
        <v>הזמנה</v>
      </c>
      <c r="S23">
        <v>0</v>
      </c>
      <c r="T23">
        <v>413.76</v>
      </c>
      <c r="U23">
        <v>0</v>
      </c>
      <c r="V23">
        <v>413.76</v>
      </c>
      <c r="W23" t="str">
        <f>"$"</f>
        <v>$</v>
      </c>
      <c r="X23">
        <v>0</v>
      </c>
      <c r="Y23">
        <v>0</v>
      </c>
      <c r="Z23">
        <v>0</v>
      </c>
      <c r="AA23" t="str">
        <f>"Y"</f>
        <v>Y</v>
      </c>
      <c r="AB23" t="str">
        <f>"SO23000307"</f>
        <v>SO23000307</v>
      </c>
      <c r="AC23">
        <v>21</v>
      </c>
      <c r="AD23" s="1">
        <v>45109</v>
      </c>
      <c r="AE23" t="str">
        <f>"SH23001246"</f>
        <v>SH23001246</v>
      </c>
      <c r="AF23" t="str">
        <f>"משלוחים ללקוח"</f>
        <v>משלוחים ללקוח</v>
      </c>
      <c r="AG23" s="1">
        <v>45202</v>
      </c>
      <c r="AM23" t="str">
        <f>"10"</f>
        <v>10</v>
      </c>
      <c r="AN23" t="str">
        <f>"500000"</f>
        <v>500000</v>
      </c>
      <c r="AO23" t="str">
        <f>"הכנסות  מלקוחות"</f>
        <v>הכנסות  מלקוחות</v>
      </c>
      <c r="AQ23" t="str">
        <f>"040"</f>
        <v>040</v>
      </c>
      <c r="AR23">
        <v>0</v>
      </c>
      <c r="AS23">
        <v>0</v>
      </c>
      <c r="AT23">
        <v>4.0789999999999997</v>
      </c>
      <c r="AX23" t="str">
        <f>"E000397683"</f>
        <v>E000397683</v>
      </c>
      <c r="BD23" t="str">
        <f>"רחמים זרוק"</f>
        <v>רחמים זרוק</v>
      </c>
    </row>
    <row r="24" spans="1:56" x14ac:dyDescent="0.3">
      <c r="A24" s="1">
        <v>45227</v>
      </c>
      <c r="B24" t="str">
        <f>"SI236001346"</f>
        <v>SI236001346</v>
      </c>
      <c r="C24" t="str">
        <f>"PR23000433"</f>
        <v>PR23000433</v>
      </c>
      <c r="D24" t="str">
        <f>"PR23000433"</f>
        <v>PR23000433</v>
      </c>
      <c r="E24" t="str">
        <f>"Y"</f>
        <v>Y</v>
      </c>
      <c r="F24" t="str">
        <f>"חשבוניות מרכזות"</f>
        <v>חשבוניות מרכזות</v>
      </c>
      <c r="G24" t="str">
        <f>"700065"</f>
        <v>700065</v>
      </c>
      <c r="H24" t="str">
        <f>"אלתא מערכות בע""מ"</f>
        <v>אלתא מערכות בע"מ</v>
      </c>
      <c r="I24" t="str">
        <f>"15"</f>
        <v>15</v>
      </c>
      <c r="J24" t="str">
        <f>"OP-AR03707"</f>
        <v>OP-AR03707</v>
      </c>
      <c r="K24" t="str">
        <f>"4080H440-001    ETHERNET CABLE WS440 - LS1 TO EPU4 - 1G"</f>
        <v>4080H440-001    ETHERNET CABLE WS440 - LS1 TO EPU4 - 1G</v>
      </c>
      <c r="L24">
        <v>1</v>
      </c>
      <c r="M24" t="str">
        <f>"יח"</f>
        <v>יח</v>
      </c>
      <c r="N24">
        <v>1</v>
      </c>
      <c r="O24" t="str">
        <f>"יח"</f>
        <v>יח</v>
      </c>
      <c r="P24">
        <v>428.51</v>
      </c>
      <c r="Q24" t="str">
        <f>"$"</f>
        <v>$</v>
      </c>
      <c r="R24" t="str">
        <f>"הזמנה"</f>
        <v>הזמנה</v>
      </c>
      <c r="S24">
        <v>0</v>
      </c>
      <c r="T24">
        <v>428.51</v>
      </c>
      <c r="U24">
        <v>0</v>
      </c>
      <c r="V24">
        <v>428.51</v>
      </c>
      <c r="W24" t="str">
        <f>"$"</f>
        <v>$</v>
      </c>
      <c r="X24">
        <v>0</v>
      </c>
      <c r="Y24">
        <v>0</v>
      </c>
      <c r="Z24">
        <v>0</v>
      </c>
      <c r="AA24" t="str">
        <f>"Y"</f>
        <v>Y</v>
      </c>
      <c r="AB24" t="str">
        <f>"SO23000307"</f>
        <v>SO23000307</v>
      </c>
      <c r="AC24">
        <v>23</v>
      </c>
      <c r="AD24" s="1">
        <v>45109</v>
      </c>
      <c r="AE24" t="str">
        <f>"SH23001246"</f>
        <v>SH23001246</v>
      </c>
      <c r="AF24" t="str">
        <f>"משלוחים ללקוח"</f>
        <v>משלוחים ללקוח</v>
      </c>
      <c r="AG24" s="1">
        <v>45202</v>
      </c>
      <c r="AM24" t="str">
        <f>"10"</f>
        <v>10</v>
      </c>
      <c r="AN24" t="str">
        <f>"500000"</f>
        <v>500000</v>
      </c>
      <c r="AO24" t="str">
        <f>"הכנסות  מלקוחות"</f>
        <v>הכנסות  מלקוחות</v>
      </c>
      <c r="AQ24" t="str">
        <f>"040"</f>
        <v>040</v>
      </c>
      <c r="AR24">
        <v>0</v>
      </c>
      <c r="AS24">
        <v>0</v>
      </c>
      <c r="AT24">
        <v>4.0789999999999997</v>
      </c>
      <c r="AX24" t="str">
        <f>"E000397683"</f>
        <v>E000397683</v>
      </c>
      <c r="BD24" t="str">
        <f>"רחמים זרוק"</f>
        <v>רחמים זרוק</v>
      </c>
    </row>
    <row r="25" spans="1:56" x14ac:dyDescent="0.3">
      <c r="A25" s="1">
        <v>45227</v>
      </c>
      <c r="B25" t="str">
        <f>"SI236001346"</f>
        <v>SI236001346</v>
      </c>
      <c r="C25" t="str">
        <f>"PR23000433"</f>
        <v>PR23000433</v>
      </c>
      <c r="D25" t="str">
        <f>"PR23000433"</f>
        <v>PR23000433</v>
      </c>
      <c r="E25" t="str">
        <f>"Y"</f>
        <v>Y</v>
      </c>
      <c r="F25" t="str">
        <f>"חשבוניות מרכזות"</f>
        <v>חשבוניות מרכזות</v>
      </c>
      <c r="G25" t="str">
        <f>"700065"</f>
        <v>700065</v>
      </c>
      <c r="H25" t="str">
        <f>"אלתא מערכות בע""מ"</f>
        <v>אלתא מערכות בע"מ</v>
      </c>
      <c r="I25" t="str">
        <f>"15"</f>
        <v>15</v>
      </c>
      <c r="J25" t="str">
        <f>"OP-AR03707"</f>
        <v>OP-AR03707</v>
      </c>
      <c r="K25" t="str">
        <f>"4080H440-001    ETHERNET CABLE WS440 - LS1 TO EPU4 - 1G"</f>
        <v>4080H440-001    ETHERNET CABLE WS440 - LS1 TO EPU4 - 1G</v>
      </c>
      <c r="L25">
        <v>1</v>
      </c>
      <c r="M25" t="str">
        <f>"יח"</f>
        <v>יח</v>
      </c>
      <c r="N25">
        <v>1</v>
      </c>
      <c r="O25" t="str">
        <f>"יח"</f>
        <v>יח</v>
      </c>
      <c r="P25">
        <v>428.51</v>
      </c>
      <c r="Q25" t="str">
        <f>"$"</f>
        <v>$</v>
      </c>
      <c r="R25" t="str">
        <f>"הזמנה"</f>
        <v>הזמנה</v>
      </c>
      <c r="S25">
        <v>0</v>
      </c>
      <c r="T25">
        <v>428.51</v>
      </c>
      <c r="U25">
        <v>0</v>
      </c>
      <c r="V25">
        <v>428.51</v>
      </c>
      <c r="W25" t="str">
        <f>"$"</f>
        <v>$</v>
      </c>
      <c r="X25">
        <v>0</v>
      </c>
      <c r="Y25">
        <v>0</v>
      </c>
      <c r="Z25">
        <v>0</v>
      </c>
      <c r="AA25" t="str">
        <f>"Y"</f>
        <v>Y</v>
      </c>
      <c r="AB25" t="str">
        <f>"SO23000307"</f>
        <v>SO23000307</v>
      </c>
      <c r="AC25">
        <v>24</v>
      </c>
      <c r="AD25" s="1">
        <v>45109</v>
      </c>
      <c r="AE25" t="str">
        <f>"SH23001246"</f>
        <v>SH23001246</v>
      </c>
      <c r="AF25" t="str">
        <f>"משלוחים ללקוח"</f>
        <v>משלוחים ללקוח</v>
      </c>
      <c r="AG25" s="1">
        <v>45202</v>
      </c>
      <c r="AM25" t="str">
        <f>"10"</f>
        <v>10</v>
      </c>
      <c r="AN25" t="str">
        <f>"500000"</f>
        <v>500000</v>
      </c>
      <c r="AO25" t="str">
        <f>"הכנסות  מלקוחות"</f>
        <v>הכנסות  מלקוחות</v>
      </c>
      <c r="AQ25" t="str">
        <f>"040"</f>
        <v>040</v>
      </c>
      <c r="AR25">
        <v>0</v>
      </c>
      <c r="AS25">
        <v>0</v>
      </c>
      <c r="AT25">
        <v>4.0789999999999997</v>
      </c>
      <c r="AX25" t="str">
        <f>"E000397683"</f>
        <v>E000397683</v>
      </c>
      <c r="BD25" t="str">
        <f>"רחמים זרוק"</f>
        <v>רחמים זרוק</v>
      </c>
    </row>
    <row r="26" spans="1:56" x14ac:dyDescent="0.3">
      <c r="A26" s="1">
        <v>45227</v>
      </c>
      <c r="B26" t="str">
        <f>"SI236001346"</f>
        <v>SI236001346</v>
      </c>
      <c r="C26" t="str">
        <f>"PR23000433"</f>
        <v>PR23000433</v>
      </c>
      <c r="D26" t="str">
        <f>"PR23000433"</f>
        <v>PR23000433</v>
      </c>
      <c r="E26" t="str">
        <f>"Y"</f>
        <v>Y</v>
      </c>
      <c r="F26" t="str">
        <f>"חשבוניות מרכזות"</f>
        <v>חשבוניות מרכזות</v>
      </c>
      <c r="G26" t="str">
        <f>"700065"</f>
        <v>700065</v>
      </c>
      <c r="H26" t="str">
        <f>"אלתא מערכות בע""מ"</f>
        <v>אלתא מערכות בע"מ</v>
      </c>
      <c r="I26" t="str">
        <f>"15"</f>
        <v>15</v>
      </c>
      <c r="J26" t="str">
        <f>"OP-AR03708"</f>
        <v>OP-AR03708</v>
      </c>
      <c r="K26" t="str">
        <f>"4080H438-001    ETHERNET CABLE WS438 - LS1 TO EPU2 - 1G"</f>
        <v>4080H438-001    ETHERNET CABLE WS438 - LS1 TO EPU2 - 1G</v>
      </c>
      <c r="L26">
        <v>3</v>
      </c>
      <c r="M26" t="str">
        <f>"יח"</f>
        <v>יח</v>
      </c>
      <c r="N26">
        <v>3</v>
      </c>
      <c r="O26" t="str">
        <f>"יח"</f>
        <v>יח</v>
      </c>
      <c r="P26">
        <v>399.02</v>
      </c>
      <c r="Q26" t="str">
        <f>"$"</f>
        <v>$</v>
      </c>
      <c r="R26" t="str">
        <f>"הזמנה"</f>
        <v>הזמנה</v>
      </c>
      <c r="S26">
        <v>0</v>
      </c>
      <c r="T26" s="2">
        <v>1197.06</v>
      </c>
      <c r="U26">
        <v>0</v>
      </c>
      <c r="V26" s="2">
        <v>1197.06</v>
      </c>
      <c r="W26" t="str">
        <f>"$"</f>
        <v>$</v>
      </c>
      <c r="X26">
        <v>0</v>
      </c>
      <c r="Y26">
        <v>0</v>
      </c>
      <c r="Z26">
        <v>0</v>
      </c>
      <c r="AA26" t="str">
        <f>"Y"</f>
        <v>Y</v>
      </c>
      <c r="AB26" t="str">
        <f>"SO23000307"</f>
        <v>SO23000307</v>
      </c>
      <c r="AC26">
        <v>25</v>
      </c>
      <c r="AD26" s="1">
        <v>45109</v>
      </c>
      <c r="AE26" t="str">
        <f>"SH23001246"</f>
        <v>SH23001246</v>
      </c>
      <c r="AF26" t="str">
        <f>"משלוחים ללקוח"</f>
        <v>משלוחים ללקוח</v>
      </c>
      <c r="AG26" s="1">
        <v>45202</v>
      </c>
      <c r="AM26" t="str">
        <f>"10"</f>
        <v>10</v>
      </c>
      <c r="AN26" t="str">
        <f>"500000"</f>
        <v>500000</v>
      </c>
      <c r="AO26" t="str">
        <f>"הכנסות  מלקוחות"</f>
        <v>הכנסות  מלקוחות</v>
      </c>
      <c r="AQ26" t="str">
        <f>"040"</f>
        <v>040</v>
      </c>
      <c r="AR26">
        <v>0</v>
      </c>
      <c r="AS26">
        <v>0</v>
      </c>
      <c r="AT26">
        <v>4.0789999999999997</v>
      </c>
      <c r="AX26" t="str">
        <f>"E000397683"</f>
        <v>E000397683</v>
      </c>
      <c r="BD26" t="str">
        <f>"רחמים זרוק"</f>
        <v>רחמים זרוק</v>
      </c>
    </row>
    <row r="27" spans="1:56" x14ac:dyDescent="0.3">
      <c r="A27" s="1">
        <v>45227</v>
      </c>
      <c r="B27" t="str">
        <f>"SI236001346"</f>
        <v>SI236001346</v>
      </c>
      <c r="C27" t="str">
        <f>"PR23000433"</f>
        <v>PR23000433</v>
      </c>
      <c r="D27" t="str">
        <f>"PR23000433"</f>
        <v>PR23000433</v>
      </c>
      <c r="E27" t="str">
        <f>"Y"</f>
        <v>Y</v>
      </c>
      <c r="F27" t="str">
        <f>"חשבוניות מרכזות"</f>
        <v>חשבוניות מרכזות</v>
      </c>
      <c r="G27" t="str">
        <f>"700065"</f>
        <v>700065</v>
      </c>
      <c r="H27" t="str">
        <f>"אלתא מערכות בע""מ"</f>
        <v>אלתא מערכות בע"מ</v>
      </c>
      <c r="I27" t="str">
        <f>"15"</f>
        <v>15</v>
      </c>
      <c r="J27" t="str">
        <f>"OP-AR03708"</f>
        <v>OP-AR03708</v>
      </c>
      <c r="K27" t="str">
        <f>"4080H438-001    ETHERNET CABLE WS438 - LS1 TO EPU2 - 1G"</f>
        <v>4080H438-001    ETHERNET CABLE WS438 - LS1 TO EPU2 - 1G</v>
      </c>
      <c r="L27">
        <v>1</v>
      </c>
      <c r="M27" t="str">
        <f>"יח"</f>
        <v>יח</v>
      </c>
      <c r="N27">
        <v>1</v>
      </c>
      <c r="O27" t="str">
        <f>"יח"</f>
        <v>יח</v>
      </c>
      <c r="P27">
        <v>399.02</v>
      </c>
      <c r="Q27" t="str">
        <f>"$"</f>
        <v>$</v>
      </c>
      <c r="R27" t="str">
        <f>"הזמנה"</f>
        <v>הזמנה</v>
      </c>
      <c r="S27">
        <v>0</v>
      </c>
      <c r="T27">
        <v>399.02</v>
      </c>
      <c r="U27">
        <v>0</v>
      </c>
      <c r="V27">
        <v>399.02</v>
      </c>
      <c r="W27" t="str">
        <f>"$"</f>
        <v>$</v>
      </c>
      <c r="X27">
        <v>0</v>
      </c>
      <c r="Y27">
        <v>0</v>
      </c>
      <c r="Z27">
        <v>0</v>
      </c>
      <c r="AA27" t="str">
        <f>"Y"</f>
        <v>Y</v>
      </c>
      <c r="AB27" t="str">
        <f>"SO23000307"</f>
        <v>SO23000307</v>
      </c>
      <c r="AC27">
        <v>26</v>
      </c>
      <c r="AD27" s="1">
        <v>45109</v>
      </c>
      <c r="AE27" t="str">
        <f>"SH23001246"</f>
        <v>SH23001246</v>
      </c>
      <c r="AF27" t="str">
        <f>"משלוחים ללקוח"</f>
        <v>משלוחים ללקוח</v>
      </c>
      <c r="AG27" s="1">
        <v>45202</v>
      </c>
      <c r="AM27" t="str">
        <f>"10"</f>
        <v>10</v>
      </c>
      <c r="AN27" t="str">
        <f>"500000"</f>
        <v>500000</v>
      </c>
      <c r="AO27" t="str">
        <f>"הכנסות  מלקוחות"</f>
        <v>הכנסות  מלקוחות</v>
      </c>
      <c r="AQ27" t="str">
        <f>"040"</f>
        <v>040</v>
      </c>
      <c r="AR27">
        <v>0</v>
      </c>
      <c r="AS27">
        <v>0</v>
      </c>
      <c r="AT27">
        <v>4.0789999999999997</v>
      </c>
      <c r="AX27" t="str">
        <f>"E000397683"</f>
        <v>E000397683</v>
      </c>
      <c r="BD27" t="str">
        <f>"רחמים זרוק"</f>
        <v>רחמים זרוק</v>
      </c>
    </row>
    <row r="28" spans="1:56" x14ac:dyDescent="0.3">
      <c r="A28" s="1">
        <v>45227</v>
      </c>
      <c r="B28" t="str">
        <f>"SI236001346"</f>
        <v>SI236001346</v>
      </c>
      <c r="C28" t="str">
        <f>"PR23000433"</f>
        <v>PR23000433</v>
      </c>
      <c r="D28" t="str">
        <f>"PR23000433"</f>
        <v>PR23000433</v>
      </c>
      <c r="E28" t="str">
        <f>"Y"</f>
        <v>Y</v>
      </c>
      <c r="F28" t="str">
        <f>"חשבוניות מרכזות"</f>
        <v>חשבוניות מרכזות</v>
      </c>
      <c r="G28" t="str">
        <f>"700065"</f>
        <v>700065</v>
      </c>
      <c r="H28" t="str">
        <f>"אלתא מערכות בע""מ"</f>
        <v>אלתא מערכות בע"מ</v>
      </c>
      <c r="I28" t="str">
        <f>"15"</f>
        <v>15</v>
      </c>
      <c r="J28" t="str">
        <f>"OP-AR03708"</f>
        <v>OP-AR03708</v>
      </c>
      <c r="K28" t="str">
        <f>"4080H438-001    ETHERNET CABLE WS438 - LS1 TO EPU2 - 1G"</f>
        <v>4080H438-001    ETHERNET CABLE WS438 - LS1 TO EPU2 - 1G</v>
      </c>
      <c r="L28">
        <v>1</v>
      </c>
      <c r="M28" t="str">
        <f>"יח"</f>
        <v>יח</v>
      </c>
      <c r="N28">
        <v>1</v>
      </c>
      <c r="O28" t="str">
        <f>"יח"</f>
        <v>יח</v>
      </c>
      <c r="P28">
        <v>399.02</v>
      </c>
      <c r="Q28" t="str">
        <f>"$"</f>
        <v>$</v>
      </c>
      <c r="R28" t="str">
        <f>"הזמנה"</f>
        <v>הזמנה</v>
      </c>
      <c r="S28">
        <v>0</v>
      </c>
      <c r="T28">
        <v>399.02</v>
      </c>
      <c r="U28">
        <v>0</v>
      </c>
      <c r="V28">
        <v>399.02</v>
      </c>
      <c r="W28" t="str">
        <f>"$"</f>
        <v>$</v>
      </c>
      <c r="X28">
        <v>0</v>
      </c>
      <c r="Y28">
        <v>0</v>
      </c>
      <c r="Z28">
        <v>0</v>
      </c>
      <c r="AA28" t="str">
        <f>"Y"</f>
        <v>Y</v>
      </c>
      <c r="AB28" t="str">
        <f>"SO23000307"</f>
        <v>SO23000307</v>
      </c>
      <c r="AC28">
        <v>27</v>
      </c>
      <c r="AD28" s="1">
        <v>45109</v>
      </c>
      <c r="AE28" t="str">
        <f>"SH23001246"</f>
        <v>SH23001246</v>
      </c>
      <c r="AF28" t="str">
        <f>"משלוחים ללקוח"</f>
        <v>משלוחים ללקוח</v>
      </c>
      <c r="AG28" s="1">
        <v>45202</v>
      </c>
      <c r="AM28" t="str">
        <f>"10"</f>
        <v>10</v>
      </c>
      <c r="AN28" t="str">
        <f>"500000"</f>
        <v>500000</v>
      </c>
      <c r="AO28" t="str">
        <f>"הכנסות  מלקוחות"</f>
        <v>הכנסות  מלקוחות</v>
      </c>
      <c r="AQ28" t="str">
        <f>"040"</f>
        <v>040</v>
      </c>
      <c r="AR28">
        <v>0</v>
      </c>
      <c r="AS28">
        <v>0</v>
      </c>
      <c r="AT28">
        <v>4.0789999999999997</v>
      </c>
      <c r="AX28" t="str">
        <f>"E000397683"</f>
        <v>E000397683</v>
      </c>
      <c r="BD28" t="str">
        <f>"רחמים זרוק"</f>
        <v>רחמים זרוק</v>
      </c>
    </row>
    <row r="29" spans="1:56" x14ac:dyDescent="0.3">
      <c r="A29" s="1">
        <v>45227</v>
      </c>
      <c r="B29" t="str">
        <f>"SI236001346"</f>
        <v>SI236001346</v>
      </c>
      <c r="C29" t="str">
        <f>"PR23000433"</f>
        <v>PR23000433</v>
      </c>
      <c r="D29" t="str">
        <f>"PR23000433"</f>
        <v>PR23000433</v>
      </c>
      <c r="E29" t="str">
        <f>"Y"</f>
        <v>Y</v>
      </c>
      <c r="F29" t="str">
        <f>"חשבוניות מרכזות"</f>
        <v>חשבוניות מרכזות</v>
      </c>
      <c r="G29" t="str">
        <f>"700065"</f>
        <v>700065</v>
      </c>
      <c r="H29" t="str">
        <f>"אלתא מערכות בע""מ"</f>
        <v>אלתא מערכות בע"מ</v>
      </c>
      <c r="I29" t="str">
        <f>"15"</f>
        <v>15</v>
      </c>
      <c r="J29" t="str">
        <f>"OP-AR03711"</f>
        <v>OP-AR03711</v>
      </c>
      <c r="K29" t="str">
        <f>"4080H424-001    ETHERNET CABLE WS424 - LS1 TO MAINTENANC"</f>
        <v>4080H424-001    ETHERNET CABLE WS424 - LS1 TO MAINTENANC</v>
      </c>
      <c r="L29">
        <v>3</v>
      </c>
      <c r="M29" t="str">
        <f>"יח"</f>
        <v>יח</v>
      </c>
      <c r="N29">
        <v>3</v>
      </c>
      <c r="O29" t="str">
        <f>"יח"</f>
        <v>יח</v>
      </c>
      <c r="P29">
        <v>368.58</v>
      </c>
      <c r="Q29" t="str">
        <f>"$"</f>
        <v>$</v>
      </c>
      <c r="R29" t="str">
        <f>"הזמנה"</f>
        <v>הזמנה</v>
      </c>
      <c r="S29">
        <v>0</v>
      </c>
      <c r="T29" s="2">
        <v>1105.74</v>
      </c>
      <c r="U29">
        <v>0</v>
      </c>
      <c r="V29" s="2">
        <v>1105.74</v>
      </c>
      <c r="W29" t="str">
        <f>"$"</f>
        <v>$</v>
      </c>
      <c r="X29">
        <v>0</v>
      </c>
      <c r="Y29">
        <v>0</v>
      </c>
      <c r="Z29">
        <v>0</v>
      </c>
      <c r="AA29" t="str">
        <f>"Y"</f>
        <v>Y</v>
      </c>
      <c r="AB29" t="str">
        <f>"SO23000307"</f>
        <v>SO23000307</v>
      </c>
      <c r="AC29">
        <v>34</v>
      </c>
      <c r="AD29" s="1">
        <v>45109</v>
      </c>
      <c r="AE29" t="str">
        <f>"SH23001246"</f>
        <v>SH23001246</v>
      </c>
      <c r="AF29" t="str">
        <f>"משלוחים ללקוח"</f>
        <v>משלוחים ללקוח</v>
      </c>
      <c r="AG29" s="1">
        <v>45202</v>
      </c>
      <c r="AM29" t="str">
        <f>"10"</f>
        <v>10</v>
      </c>
      <c r="AN29" t="str">
        <f>"500000"</f>
        <v>500000</v>
      </c>
      <c r="AO29" t="str">
        <f>"הכנסות  מלקוחות"</f>
        <v>הכנסות  מלקוחות</v>
      </c>
      <c r="AQ29" t="str">
        <f>"040"</f>
        <v>040</v>
      </c>
      <c r="AR29">
        <v>0</v>
      </c>
      <c r="AS29">
        <v>0</v>
      </c>
      <c r="AT29">
        <v>4.0789999999999997</v>
      </c>
      <c r="AX29" t="str">
        <f>"E000397683"</f>
        <v>E000397683</v>
      </c>
      <c r="BD29" t="str">
        <f>"רחמים זרוק"</f>
        <v>רחמים זרוק</v>
      </c>
    </row>
    <row r="30" spans="1:56" x14ac:dyDescent="0.3">
      <c r="A30" s="1">
        <v>45227</v>
      </c>
      <c r="B30" t="str">
        <f>"SI236001346"</f>
        <v>SI236001346</v>
      </c>
      <c r="C30" t="str">
        <f>"PR23000433"</f>
        <v>PR23000433</v>
      </c>
      <c r="D30" t="str">
        <f>"PR23000433"</f>
        <v>PR23000433</v>
      </c>
      <c r="E30" t="str">
        <f>"Y"</f>
        <v>Y</v>
      </c>
      <c r="F30" t="str">
        <f>"חשבוניות מרכזות"</f>
        <v>חשבוניות מרכזות</v>
      </c>
      <c r="G30" t="str">
        <f>"700065"</f>
        <v>700065</v>
      </c>
      <c r="H30" t="str">
        <f>"אלתא מערכות בע""מ"</f>
        <v>אלתא מערכות בע"מ</v>
      </c>
      <c r="I30" t="str">
        <f>"15"</f>
        <v>15</v>
      </c>
      <c r="J30" t="str">
        <f>"OP-AR03713"</f>
        <v>OP-AR03713</v>
      </c>
      <c r="K30" t="str">
        <f>"4080H412-001    HARNESS WS412 - PDU TO RIP J1 - POWER"</f>
        <v>4080H412-001    HARNESS WS412 - PDU TO RIP J1 - POWER</v>
      </c>
      <c r="L30">
        <v>1</v>
      </c>
      <c r="M30" t="str">
        <f>"יח"</f>
        <v>יח</v>
      </c>
      <c r="N30">
        <v>1</v>
      </c>
      <c r="O30" t="str">
        <f>"יח"</f>
        <v>יח</v>
      </c>
      <c r="P30" s="2">
        <v>1547.36</v>
      </c>
      <c r="Q30" t="str">
        <f>"$"</f>
        <v>$</v>
      </c>
      <c r="R30" t="str">
        <f>"הזמנה"</f>
        <v>הזמנה</v>
      </c>
      <c r="S30">
        <v>0</v>
      </c>
      <c r="T30" s="2">
        <v>1547.36</v>
      </c>
      <c r="U30">
        <v>0</v>
      </c>
      <c r="V30" s="2">
        <v>1547.36</v>
      </c>
      <c r="W30" t="str">
        <f>"$"</f>
        <v>$</v>
      </c>
      <c r="X30">
        <v>0</v>
      </c>
      <c r="Y30">
        <v>0</v>
      </c>
      <c r="Z30">
        <v>0</v>
      </c>
      <c r="AA30" t="str">
        <f>"Y"</f>
        <v>Y</v>
      </c>
      <c r="AB30" t="str">
        <f>"SO23000307"</f>
        <v>SO23000307</v>
      </c>
      <c r="AC30">
        <v>41</v>
      </c>
      <c r="AD30" s="1">
        <v>45109</v>
      </c>
      <c r="AE30" t="str">
        <f>"SH23001246"</f>
        <v>SH23001246</v>
      </c>
      <c r="AF30" t="str">
        <f>"משלוחים ללקוח"</f>
        <v>משלוחים ללקוח</v>
      </c>
      <c r="AG30" s="1">
        <v>45202</v>
      </c>
      <c r="AM30" t="str">
        <f>"10"</f>
        <v>10</v>
      </c>
      <c r="AN30" t="str">
        <f>"500000"</f>
        <v>500000</v>
      </c>
      <c r="AO30" t="str">
        <f>"הכנסות  מלקוחות"</f>
        <v>הכנסות  מלקוחות</v>
      </c>
      <c r="AQ30" t="str">
        <f>"040"</f>
        <v>040</v>
      </c>
      <c r="AR30">
        <v>0</v>
      </c>
      <c r="AS30">
        <v>0</v>
      </c>
      <c r="AT30">
        <v>4.0789999999999997</v>
      </c>
      <c r="AX30" t="str">
        <f>"E000397683"</f>
        <v>E000397683</v>
      </c>
      <c r="BD30" t="str">
        <f>"רחמים זרוק"</f>
        <v>רחמים זרוק</v>
      </c>
    </row>
    <row r="31" spans="1:56" x14ac:dyDescent="0.3">
      <c r="A31" s="1">
        <v>45227</v>
      </c>
      <c r="B31" t="str">
        <f>"SI236001346"</f>
        <v>SI236001346</v>
      </c>
      <c r="C31" t="str">
        <f>"PR23000433"</f>
        <v>PR23000433</v>
      </c>
      <c r="D31" t="str">
        <f>"PR23000433"</f>
        <v>PR23000433</v>
      </c>
      <c r="E31" t="str">
        <f>"Y"</f>
        <v>Y</v>
      </c>
      <c r="F31" t="str">
        <f>"חשבוניות מרכזות"</f>
        <v>חשבוניות מרכזות</v>
      </c>
      <c r="G31" t="str">
        <f>"700065"</f>
        <v>700065</v>
      </c>
      <c r="H31" t="str">
        <f>"אלתא מערכות בע""מ"</f>
        <v>אלתא מערכות בע"מ</v>
      </c>
      <c r="I31" t="str">
        <f>"15"</f>
        <v>15</v>
      </c>
      <c r="J31" t="str">
        <f>"OP-AR03713"</f>
        <v>OP-AR03713</v>
      </c>
      <c r="K31" t="str">
        <f>"4080H412-001    HARNESS WS412 - PDU TO RIP J1 - POWER"</f>
        <v>4080H412-001    HARNESS WS412 - PDU TO RIP J1 - POWER</v>
      </c>
      <c r="L31">
        <v>1</v>
      </c>
      <c r="M31" t="str">
        <f>"יח"</f>
        <v>יח</v>
      </c>
      <c r="N31">
        <v>1</v>
      </c>
      <c r="O31" t="str">
        <f>"יח"</f>
        <v>יח</v>
      </c>
      <c r="P31" s="2">
        <v>1547.36</v>
      </c>
      <c r="Q31" t="str">
        <f>"$"</f>
        <v>$</v>
      </c>
      <c r="R31" t="str">
        <f>"הזמנה"</f>
        <v>הזמנה</v>
      </c>
      <c r="S31">
        <v>0</v>
      </c>
      <c r="T31" s="2">
        <v>1547.36</v>
      </c>
      <c r="U31">
        <v>0</v>
      </c>
      <c r="V31" s="2">
        <v>1547.36</v>
      </c>
      <c r="W31" t="str">
        <f>"$"</f>
        <v>$</v>
      </c>
      <c r="X31">
        <v>0</v>
      </c>
      <c r="Y31">
        <v>0</v>
      </c>
      <c r="Z31">
        <v>0</v>
      </c>
      <c r="AA31" t="str">
        <f>"Y"</f>
        <v>Y</v>
      </c>
      <c r="AB31" t="str">
        <f>"SO23000307"</f>
        <v>SO23000307</v>
      </c>
      <c r="AC31">
        <v>42</v>
      </c>
      <c r="AD31" s="1">
        <v>45109</v>
      </c>
      <c r="AE31" t="str">
        <f>"SH23001246"</f>
        <v>SH23001246</v>
      </c>
      <c r="AF31" t="str">
        <f>"משלוחים ללקוח"</f>
        <v>משלוחים ללקוח</v>
      </c>
      <c r="AG31" s="1">
        <v>45202</v>
      </c>
      <c r="AM31" t="str">
        <f>"10"</f>
        <v>10</v>
      </c>
      <c r="AN31" t="str">
        <f>"500000"</f>
        <v>500000</v>
      </c>
      <c r="AO31" t="str">
        <f>"הכנסות  מלקוחות"</f>
        <v>הכנסות  מלקוחות</v>
      </c>
      <c r="AQ31" t="str">
        <f>"040"</f>
        <v>040</v>
      </c>
      <c r="AR31">
        <v>0</v>
      </c>
      <c r="AS31">
        <v>0</v>
      </c>
      <c r="AT31">
        <v>4.0789999999999997</v>
      </c>
      <c r="AX31" t="str">
        <f>"E000397683"</f>
        <v>E000397683</v>
      </c>
      <c r="BD31" t="str">
        <f>"רחמים זרוק"</f>
        <v>רחמים זרוק</v>
      </c>
    </row>
    <row r="32" spans="1:56" x14ac:dyDescent="0.3">
      <c r="A32" s="1">
        <v>45227</v>
      </c>
      <c r="B32" t="str">
        <f>"SI236001346"</f>
        <v>SI236001346</v>
      </c>
      <c r="C32" t="str">
        <f>"PR23000433"</f>
        <v>PR23000433</v>
      </c>
      <c r="D32" t="str">
        <f>"PR23000433"</f>
        <v>PR23000433</v>
      </c>
      <c r="E32" t="str">
        <f>"Y"</f>
        <v>Y</v>
      </c>
      <c r="F32" t="str">
        <f>"חשבוניות מרכזות"</f>
        <v>חשבוניות מרכזות</v>
      </c>
      <c r="G32" t="str">
        <f>"700065"</f>
        <v>700065</v>
      </c>
      <c r="H32" t="str">
        <f>"אלתא מערכות בע""מ"</f>
        <v>אלתא מערכות בע"מ</v>
      </c>
      <c r="I32" t="str">
        <f>"15"</f>
        <v>15</v>
      </c>
      <c r="J32" t="str">
        <f>"OP-AR03714"</f>
        <v>OP-AR03714</v>
      </c>
      <c r="K32" t="str">
        <f>"4080H425-001    ETHERNET CABLE WS425 - LS1 TO MAINTENANC"</f>
        <v>4080H425-001    ETHERNET CABLE WS425 - LS1 TO MAINTENANC</v>
      </c>
      <c r="L32">
        <v>1</v>
      </c>
      <c r="M32" t="str">
        <f>"יח"</f>
        <v>יח</v>
      </c>
      <c r="N32">
        <v>1</v>
      </c>
      <c r="O32" t="str">
        <f>"יח"</f>
        <v>יח</v>
      </c>
      <c r="P32">
        <v>571.15</v>
      </c>
      <c r="Q32" t="str">
        <f>"$"</f>
        <v>$</v>
      </c>
      <c r="R32" t="str">
        <f>"הזמנה"</f>
        <v>הזמנה</v>
      </c>
      <c r="S32">
        <v>0</v>
      </c>
      <c r="T32">
        <v>571.15</v>
      </c>
      <c r="U32">
        <v>0</v>
      </c>
      <c r="V32">
        <v>571.15</v>
      </c>
      <c r="W32" t="str">
        <f>"$"</f>
        <v>$</v>
      </c>
      <c r="X32">
        <v>0</v>
      </c>
      <c r="Y32">
        <v>0</v>
      </c>
      <c r="Z32">
        <v>0</v>
      </c>
      <c r="AA32" t="str">
        <f>"Y"</f>
        <v>Y</v>
      </c>
      <c r="AB32" t="str">
        <f>"SO23000307"</f>
        <v>SO23000307</v>
      </c>
      <c r="AC32">
        <v>44</v>
      </c>
      <c r="AD32" s="1">
        <v>45109</v>
      </c>
      <c r="AE32" t="str">
        <f>"SH23001246"</f>
        <v>SH23001246</v>
      </c>
      <c r="AF32" t="str">
        <f>"משלוחים ללקוח"</f>
        <v>משלוחים ללקוח</v>
      </c>
      <c r="AG32" s="1">
        <v>45202</v>
      </c>
      <c r="AM32" t="str">
        <f>"10"</f>
        <v>10</v>
      </c>
      <c r="AN32" t="str">
        <f>"500000"</f>
        <v>500000</v>
      </c>
      <c r="AO32" t="str">
        <f>"הכנסות  מלקוחות"</f>
        <v>הכנסות  מלקוחות</v>
      </c>
      <c r="AQ32" t="str">
        <f>"040"</f>
        <v>040</v>
      </c>
      <c r="AR32">
        <v>0</v>
      </c>
      <c r="AS32">
        <v>0</v>
      </c>
      <c r="AT32">
        <v>4.0789999999999997</v>
      </c>
      <c r="AX32" t="str">
        <f>"E000397683"</f>
        <v>E000397683</v>
      </c>
      <c r="BD32" t="str">
        <f>"רחמים זרוק"</f>
        <v>רחמים זרוק</v>
      </c>
    </row>
    <row r="33" spans="1:56" x14ac:dyDescent="0.3">
      <c r="A33" s="1">
        <v>45227</v>
      </c>
      <c r="B33" t="str">
        <f>"SI236001346"</f>
        <v>SI236001346</v>
      </c>
      <c r="C33" t="str">
        <f>"PR23000433"</f>
        <v>PR23000433</v>
      </c>
      <c r="D33" t="str">
        <f>"PR23000433"</f>
        <v>PR23000433</v>
      </c>
      <c r="E33" t="str">
        <f>"Y"</f>
        <v>Y</v>
      </c>
      <c r="F33" t="str">
        <f>"חשבוניות מרכזות"</f>
        <v>חשבוניות מרכזות</v>
      </c>
      <c r="G33" t="str">
        <f>"700065"</f>
        <v>700065</v>
      </c>
      <c r="H33" t="str">
        <f>"אלתא מערכות בע""מ"</f>
        <v>אלתא מערכות בע"מ</v>
      </c>
      <c r="I33" t="str">
        <f>"15"</f>
        <v>15</v>
      </c>
      <c r="J33" t="str">
        <f>"OP-AR03714"</f>
        <v>OP-AR03714</v>
      </c>
      <c r="K33" t="str">
        <f>"4080H425-001    ETHERNET CABLE WS425 - LS1 TO MAINTENANC"</f>
        <v>4080H425-001    ETHERNET CABLE WS425 - LS1 TO MAINTENANC</v>
      </c>
      <c r="L33">
        <v>1</v>
      </c>
      <c r="M33" t="str">
        <f>"יח"</f>
        <v>יח</v>
      </c>
      <c r="N33">
        <v>1</v>
      </c>
      <c r="O33" t="str">
        <f>"יח"</f>
        <v>יח</v>
      </c>
      <c r="P33">
        <v>571.15</v>
      </c>
      <c r="Q33" t="str">
        <f>"$"</f>
        <v>$</v>
      </c>
      <c r="R33" t="str">
        <f>"הזמנה"</f>
        <v>הזמנה</v>
      </c>
      <c r="S33">
        <v>0</v>
      </c>
      <c r="T33">
        <v>571.15</v>
      </c>
      <c r="U33">
        <v>0</v>
      </c>
      <c r="V33">
        <v>571.15</v>
      </c>
      <c r="W33" t="str">
        <f>"$"</f>
        <v>$</v>
      </c>
      <c r="X33">
        <v>0</v>
      </c>
      <c r="Y33">
        <v>0</v>
      </c>
      <c r="Z33">
        <v>0</v>
      </c>
      <c r="AA33" t="str">
        <f>"Y"</f>
        <v>Y</v>
      </c>
      <c r="AB33" t="str">
        <f>"SO23000307"</f>
        <v>SO23000307</v>
      </c>
      <c r="AC33">
        <v>45</v>
      </c>
      <c r="AD33" s="1">
        <v>45109</v>
      </c>
      <c r="AE33" t="str">
        <f>"SH23001246"</f>
        <v>SH23001246</v>
      </c>
      <c r="AF33" t="str">
        <f>"משלוחים ללקוח"</f>
        <v>משלוחים ללקוח</v>
      </c>
      <c r="AG33" s="1">
        <v>45202</v>
      </c>
      <c r="AM33" t="str">
        <f>"10"</f>
        <v>10</v>
      </c>
      <c r="AN33" t="str">
        <f>"500000"</f>
        <v>500000</v>
      </c>
      <c r="AO33" t="str">
        <f>"הכנסות  מלקוחות"</f>
        <v>הכנסות  מלקוחות</v>
      </c>
      <c r="AQ33" t="str">
        <f>"040"</f>
        <v>040</v>
      </c>
      <c r="AR33">
        <v>0</v>
      </c>
      <c r="AS33">
        <v>0</v>
      </c>
      <c r="AT33">
        <v>4.0789999999999997</v>
      </c>
      <c r="AX33" t="str">
        <f>"E000397683"</f>
        <v>E000397683</v>
      </c>
      <c r="BD33" t="str">
        <f>"רחמים זרוק"</f>
        <v>רחמים זרוק</v>
      </c>
    </row>
    <row r="34" spans="1:56" x14ac:dyDescent="0.3">
      <c r="A34" s="1">
        <v>45227</v>
      </c>
      <c r="B34" t="str">
        <f>"SI236001346"</f>
        <v>SI236001346</v>
      </c>
      <c r="C34" t="str">
        <f>"PR23000433"</f>
        <v>PR23000433</v>
      </c>
      <c r="D34" t="str">
        <f>"PR23000433"</f>
        <v>PR23000433</v>
      </c>
      <c r="E34" t="str">
        <f>"Y"</f>
        <v>Y</v>
      </c>
      <c r="F34" t="str">
        <f>"חשבוניות מרכזות"</f>
        <v>חשבוניות מרכזות</v>
      </c>
      <c r="G34" t="str">
        <f>"700065"</f>
        <v>700065</v>
      </c>
      <c r="H34" t="str">
        <f>"אלתא מערכות בע""מ"</f>
        <v>אלתא מערכות בע"מ</v>
      </c>
      <c r="I34" t="str">
        <f>"15"</f>
        <v>15</v>
      </c>
      <c r="J34" t="str">
        <f>"OP-AR03716"</f>
        <v>OP-AR03716</v>
      </c>
      <c r="K34" t="str">
        <f>"4080H414-001     HARNESS WS414 - PDU TO ATRU AND IPZ - PO"</f>
        <v>4080H414-001     HARNESS WS414 - PDU TO ATRU AND IPZ - PO</v>
      </c>
      <c r="L34">
        <v>1</v>
      </c>
      <c r="M34" t="str">
        <f>"יח"</f>
        <v>יח</v>
      </c>
      <c r="N34">
        <v>1</v>
      </c>
      <c r="O34" t="str">
        <f>"יח"</f>
        <v>יח</v>
      </c>
      <c r="P34" s="2">
        <v>1287.06</v>
      </c>
      <c r="Q34" t="str">
        <f>"$"</f>
        <v>$</v>
      </c>
      <c r="R34" t="str">
        <f>"הזמנה"</f>
        <v>הזמנה</v>
      </c>
      <c r="S34">
        <v>0</v>
      </c>
      <c r="T34" s="2">
        <v>1287.06</v>
      </c>
      <c r="U34">
        <v>0</v>
      </c>
      <c r="V34" s="2">
        <v>1287.06</v>
      </c>
      <c r="W34" t="str">
        <f>"$"</f>
        <v>$</v>
      </c>
      <c r="X34">
        <v>0</v>
      </c>
      <c r="Y34">
        <v>0</v>
      </c>
      <c r="Z34">
        <v>0</v>
      </c>
      <c r="AA34" t="str">
        <f>"Y"</f>
        <v>Y</v>
      </c>
      <c r="AB34" t="str">
        <f>"SO23000307"</f>
        <v>SO23000307</v>
      </c>
      <c r="AC34">
        <v>50</v>
      </c>
      <c r="AD34" s="1">
        <v>45109</v>
      </c>
      <c r="AE34" t="str">
        <f>"SH23001246"</f>
        <v>SH23001246</v>
      </c>
      <c r="AF34" t="str">
        <f>"משלוחים ללקוח"</f>
        <v>משלוחים ללקוח</v>
      </c>
      <c r="AG34" s="1">
        <v>45202</v>
      </c>
      <c r="AM34" t="str">
        <f>"10"</f>
        <v>10</v>
      </c>
      <c r="AN34" t="str">
        <f>"500000"</f>
        <v>500000</v>
      </c>
      <c r="AO34" t="str">
        <f>"הכנסות  מלקוחות"</f>
        <v>הכנסות  מלקוחות</v>
      </c>
      <c r="AQ34" t="str">
        <f>"040"</f>
        <v>040</v>
      </c>
      <c r="AR34">
        <v>0</v>
      </c>
      <c r="AS34">
        <v>0</v>
      </c>
      <c r="AT34">
        <v>4.0789999999999997</v>
      </c>
      <c r="AX34" t="str">
        <f>"E000397683"</f>
        <v>E000397683</v>
      </c>
      <c r="BD34" t="str">
        <f>"רחמים זרוק"</f>
        <v>רחמים זרוק</v>
      </c>
    </row>
    <row r="35" spans="1:56" x14ac:dyDescent="0.3">
      <c r="A35" s="1">
        <v>45227</v>
      </c>
      <c r="B35" t="str">
        <f>"SI236001346"</f>
        <v>SI236001346</v>
      </c>
      <c r="C35" t="str">
        <f>"PR23000433"</f>
        <v>PR23000433</v>
      </c>
      <c r="D35" t="str">
        <f>"PR23000433"</f>
        <v>PR23000433</v>
      </c>
      <c r="E35" t="str">
        <f>"Y"</f>
        <v>Y</v>
      </c>
      <c r="F35" t="str">
        <f>"חשבוניות מרכזות"</f>
        <v>חשבוניות מרכזות</v>
      </c>
      <c r="G35" t="str">
        <f>"700065"</f>
        <v>700065</v>
      </c>
      <c r="H35" t="str">
        <f>"אלתא מערכות בע""מ"</f>
        <v>אלתא מערכות בע"מ</v>
      </c>
      <c r="I35" t="str">
        <f>"15"</f>
        <v>15</v>
      </c>
      <c r="J35" t="str">
        <f>"OP-AR03716"</f>
        <v>OP-AR03716</v>
      </c>
      <c r="K35" t="str">
        <f>"4080H414-001     HARNESS WS414 - PDU TO ATRU AND IPZ - PO"</f>
        <v>4080H414-001     HARNESS WS414 - PDU TO ATRU AND IPZ - PO</v>
      </c>
      <c r="L35">
        <v>1</v>
      </c>
      <c r="M35" t="str">
        <f>"יח"</f>
        <v>יח</v>
      </c>
      <c r="N35">
        <v>1</v>
      </c>
      <c r="O35" t="str">
        <f>"יח"</f>
        <v>יח</v>
      </c>
      <c r="P35" s="2">
        <v>1287.06</v>
      </c>
      <c r="Q35" t="str">
        <f>"$"</f>
        <v>$</v>
      </c>
      <c r="R35" t="str">
        <f>"הזמנה"</f>
        <v>הזמנה</v>
      </c>
      <c r="S35">
        <v>0</v>
      </c>
      <c r="T35" s="2">
        <v>1287.06</v>
      </c>
      <c r="U35">
        <v>0</v>
      </c>
      <c r="V35" s="2">
        <v>1287.06</v>
      </c>
      <c r="W35" t="str">
        <f>"$"</f>
        <v>$</v>
      </c>
      <c r="X35">
        <v>0</v>
      </c>
      <c r="Y35">
        <v>0</v>
      </c>
      <c r="Z35">
        <v>0</v>
      </c>
      <c r="AA35" t="str">
        <f>"Y"</f>
        <v>Y</v>
      </c>
      <c r="AB35" t="str">
        <f>"SO23000307"</f>
        <v>SO23000307</v>
      </c>
      <c r="AC35">
        <v>51</v>
      </c>
      <c r="AD35" s="1">
        <v>45109</v>
      </c>
      <c r="AE35" t="str">
        <f>"SH23001246"</f>
        <v>SH23001246</v>
      </c>
      <c r="AF35" t="str">
        <f>"משלוחים ללקוח"</f>
        <v>משלוחים ללקוח</v>
      </c>
      <c r="AG35" s="1">
        <v>45202</v>
      </c>
      <c r="AM35" t="str">
        <f>"10"</f>
        <v>10</v>
      </c>
      <c r="AN35" t="str">
        <f>"500000"</f>
        <v>500000</v>
      </c>
      <c r="AO35" t="str">
        <f>"הכנסות  מלקוחות"</f>
        <v>הכנסות  מלקוחות</v>
      </c>
      <c r="AQ35" t="str">
        <f>"040"</f>
        <v>040</v>
      </c>
      <c r="AR35">
        <v>0</v>
      </c>
      <c r="AS35">
        <v>0</v>
      </c>
      <c r="AT35">
        <v>4.0789999999999997</v>
      </c>
      <c r="AX35" t="str">
        <f>"E000397683"</f>
        <v>E000397683</v>
      </c>
      <c r="BD35" t="str">
        <f>"רחמים זרוק"</f>
        <v>רחמים זרוק</v>
      </c>
    </row>
    <row r="36" spans="1:56" x14ac:dyDescent="0.3">
      <c r="A36" s="1">
        <v>45224</v>
      </c>
      <c r="B36" t="str">
        <f>"SI236001339"</f>
        <v>SI236001339</v>
      </c>
      <c r="C36" t="str">
        <f>"PR23000270"</f>
        <v>PR23000270</v>
      </c>
      <c r="D36" t="str">
        <f>"PR23000270"</f>
        <v>PR23000270</v>
      </c>
      <c r="E36" t="str">
        <f>"Y"</f>
        <v>Y</v>
      </c>
      <c r="F36" t="str">
        <f>"חשבוניות מרכזות"</f>
        <v>חשבוניות מרכזות</v>
      </c>
      <c r="G36" t="str">
        <f>"700065"</f>
        <v>700065</v>
      </c>
      <c r="H36" t="str">
        <f>"אלתא מערכות בע""מ"</f>
        <v>אלתא מערכות בע"מ</v>
      </c>
      <c r="I36" t="str">
        <f>"10"</f>
        <v>10</v>
      </c>
      <c r="J36" t="str">
        <f>"OP-ML00231"</f>
        <v>OP-ML00231</v>
      </c>
      <c r="K36" t="str">
        <f>"BBD-24-40 24VDC 40A UPS WITH BATT 2U DRAWER"</f>
        <v>BBD-24-40 24VDC 40A UPS WITH BATT 2U DRAWER</v>
      </c>
      <c r="L36">
        <v>1</v>
      </c>
      <c r="M36" t="str">
        <f>"יח"</f>
        <v>יח</v>
      </c>
      <c r="N36">
        <v>1</v>
      </c>
      <c r="O36" t="str">
        <f>"יח"</f>
        <v>יח</v>
      </c>
      <c r="P36" s="2">
        <v>4350</v>
      </c>
      <c r="Q36" t="str">
        <f>"$"</f>
        <v>$</v>
      </c>
      <c r="R36" t="str">
        <f>"הזמנה"</f>
        <v>הזמנה</v>
      </c>
      <c r="S36">
        <v>0</v>
      </c>
      <c r="T36" s="2">
        <v>4350</v>
      </c>
      <c r="U36">
        <v>0</v>
      </c>
      <c r="V36" s="2">
        <v>4350</v>
      </c>
      <c r="W36" t="str">
        <f>"$"</f>
        <v>$</v>
      </c>
      <c r="X36">
        <v>0</v>
      </c>
      <c r="Y36">
        <v>0</v>
      </c>
      <c r="Z36">
        <v>0</v>
      </c>
      <c r="AA36" t="str">
        <f>"Y"</f>
        <v>Y</v>
      </c>
      <c r="AB36" t="str">
        <f>"SO23000181"</f>
        <v>SO23000181</v>
      </c>
      <c r="AC36">
        <v>1</v>
      </c>
      <c r="AD36" s="1">
        <v>45032</v>
      </c>
      <c r="AE36" t="str">
        <f>"SH23001277"</f>
        <v>SH23001277</v>
      </c>
      <c r="AF36" t="str">
        <f>"משלוחים ללקוח"</f>
        <v>משלוחים ללקוח</v>
      </c>
      <c r="AG36" s="1">
        <v>45224</v>
      </c>
      <c r="AM36" t="str">
        <f>"10"</f>
        <v>10</v>
      </c>
      <c r="AN36" t="str">
        <f>"500000"</f>
        <v>500000</v>
      </c>
      <c r="AO36" t="str">
        <f>"הכנסות  מלקוחות"</f>
        <v>הכנסות  מלקוחות</v>
      </c>
      <c r="AQ36" t="str">
        <f>"007"</f>
        <v>007</v>
      </c>
      <c r="AR36">
        <v>0</v>
      </c>
      <c r="AS36">
        <v>0</v>
      </c>
      <c r="AT36">
        <v>4.0629999999999997</v>
      </c>
      <c r="AX36" t="str">
        <f>"E000390357"</f>
        <v>E000390357</v>
      </c>
      <c r="BD36" t="str">
        <f>"רוני דידי"</f>
        <v>רוני דידי</v>
      </c>
    </row>
    <row r="37" spans="1:56" x14ac:dyDescent="0.3">
      <c r="A37" s="1">
        <v>45224</v>
      </c>
      <c r="B37" t="str">
        <f>"SI236001338"</f>
        <v>SI236001338</v>
      </c>
      <c r="C37" t="str">
        <f>"PR23000711"</f>
        <v>PR23000711</v>
      </c>
      <c r="E37" t="str">
        <f>"Y"</f>
        <v>Y</v>
      </c>
      <c r="F37" t="str">
        <f>"חשבוניות מרכזות"</f>
        <v>חשבוניות מרכזות</v>
      </c>
      <c r="G37" t="str">
        <f>"700065"</f>
        <v>700065</v>
      </c>
      <c r="H37" t="str">
        <f>"אלתא מערכות בע""מ"</f>
        <v>אלתא מערכות בע"מ</v>
      </c>
      <c r="I37" t="str">
        <f>"10"</f>
        <v>10</v>
      </c>
      <c r="J37" t="str">
        <f>"PS0300006"</f>
        <v>PS0300006</v>
      </c>
      <c r="K37" t="str">
        <f>"TSI-EPC - 380Vac-Module BRAVO"</f>
        <v>TSI-EPC - 380Vac-Module BRAVO</v>
      </c>
      <c r="L37">
        <v>12</v>
      </c>
      <c r="M37" t="str">
        <f>"יח"</f>
        <v>יח</v>
      </c>
      <c r="N37">
        <v>12</v>
      </c>
      <c r="O37" t="str">
        <f>"יח"</f>
        <v>יח</v>
      </c>
      <c r="P37" s="2">
        <v>1950</v>
      </c>
      <c r="Q37" t="str">
        <f>"$"</f>
        <v>$</v>
      </c>
      <c r="R37" t="str">
        <f>"הזמנה"</f>
        <v>הזמנה</v>
      </c>
      <c r="S37">
        <v>0</v>
      </c>
      <c r="T37" s="2">
        <v>23400</v>
      </c>
      <c r="U37">
        <v>0</v>
      </c>
      <c r="V37" s="2">
        <v>23400</v>
      </c>
      <c r="W37" t="str">
        <f>"$"</f>
        <v>$</v>
      </c>
      <c r="X37">
        <v>0</v>
      </c>
      <c r="Y37">
        <v>0</v>
      </c>
      <c r="Z37">
        <v>0</v>
      </c>
      <c r="AA37" t="str">
        <f>"Y"</f>
        <v>Y</v>
      </c>
      <c r="AB37" t="str">
        <f>"SO23000456"</f>
        <v>SO23000456</v>
      </c>
      <c r="AC37">
        <v>1</v>
      </c>
      <c r="AD37" s="1">
        <v>45183</v>
      </c>
      <c r="AE37" t="str">
        <f>"SH23001275"</f>
        <v>SH23001275</v>
      </c>
      <c r="AF37" t="str">
        <f>"משלוחים ללקוח"</f>
        <v>משלוחים ללקוח</v>
      </c>
      <c r="AG37" s="1">
        <v>45223</v>
      </c>
      <c r="AM37" t="str">
        <f>"10"</f>
        <v>10</v>
      </c>
      <c r="AN37" t="str">
        <f>"500000"</f>
        <v>500000</v>
      </c>
      <c r="AO37" t="str">
        <f>"הכנסות  מלקוחות"</f>
        <v>הכנסות  מלקוחות</v>
      </c>
      <c r="AQ37" t="str">
        <f>"007"</f>
        <v>007</v>
      </c>
      <c r="AR37">
        <v>0</v>
      </c>
      <c r="AS37">
        <v>0</v>
      </c>
      <c r="AT37">
        <v>4.0629999999999997</v>
      </c>
      <c r="AX37" t="str">
        <f>"E000404998"</f>
        <v>E000404998</v>
      </c>
      <c r="BD37" t="str">
        <f>"רוני דידי"</f>
        <v>רוני דידי</v>
      </c>
    </row>
    <row r="38" spans="1:56" x14ac:dyDescent="0.3">
      <c r="A38" s="1">
        <v>45224</v>
      </c>
      <c r="B38" t="str">
        <f>"SI236001337"</f>
        <v>SI236001337</v>
      </c>
      <c r="E38" t="str">
        <f>"Y"</f>
        <v>Y</v>
      </c>
      <c r="F38" t="str">
        <f>"חשבוניות מרכזות"</f>
        <v>חשבוניות מרכזות</v>
      </c>
      <c r="G38" t="str">
        <f>"700065"</f>
        <v>700065</v>
      </c>
      <c r="H38" t="str">
        <f>"אלתא מערכות בע""מ"</f>
        <v>אלתא מערכות בע"מ</v>
      </c>
      <c r="I38" t="str">
        <f>"10"</f>
        <v>10</v>
      </c>
      <c r="J38" t="str">
        <f>"PS0230057"</f>
        <v>PS0230057</v>
      </c>
      <c r="K38" t="str">
        <f>"(d0117478)Rectifier DPR 3500B -24 DELTA"</f>
        <v>(d0117478)Rectifier DPR 3500B -24 DELTA</v>
      </c>
      <c r="L38">
        <v>6</v>
      </c>
      <c r="M38" t="str">
        <f>"יח"</f>
        <v>יח</v>
      </c>
      <c r="N38">
        <v>6</v>
      </c>
      <c r="O38" t="str">
        <f>"יח"</f>
        <v>יח</v>
      </c>
      <c r="P38">
        <v>850</v>
      </c>
      <c r="Q38" t="str">
        <f>"$"</f>
        <v>$</v>
      </c>
      <c r="R38" t="str">
        <f>"הזמנה"</f>
        <v>הזמנה</v>
      </c>
      <c r="S38">
        <v>0</v>
      </c>
      <c r="T38" s="2">
        <v>5100</v>
      </c>
      <c r="U38">
        <v>0</v>
      </c>
      <c r="V38" s="2">
        <v>5100</v>
      </c>
      <c r="W38" t="str">
        <f>"$"</f>
        <v>$</v>
      </c>
      <c r="X38">
        <v>0</v>
      </c>
      <c r="Y38">
        <v>0</v>
      </c>
      <c r="Z38">
        <v>0</v>
      </c>
      <c r="AA38" t="str">
        <f>"Y"</f>
        <v>Y</v>
      </c>
      <c r="AB38" t="str">
        <f>"SO23000481"</f>
        <v>SO23000481</v>
      </c>
      <c r="AC38">
        <v>1</v>
      </c>
      <c r="AD38" s="1">
        <v>45223</v>
      </c>
      <c r="AE38" t="str">
        <f>"SH23001271"</f>
        <v>SH23001271</v>
      </c>
      <c r="AF38" t="str">
        <f>"משלוחים ללקוח"</f>
        <v>משלוחים ללקוח</v>
      </c>
      <c r="AG38" s="1">
        <v>45223</v>
      </c>
      <c r="AM38" t="str">
        <f>"10"</f>
        <v>10</v>
      </c>
      <c r="AN38" t="str">
        <f>"500000"</f>
        <v>500000</v>
      </c>
      <c r="AO38" t="str">
        <f>"הכנסות  מלקוחות"</f>
        <v>הכנסות  מלקוחות</v>
      </c>
      <c r="AQ38" t="str">
        <f>"034"</f>
        <v>034</v>
      </c>
      <c r="AR38">
        <v>0</v>
      </c>
      <c r="AS38">
        <v>0</v>
      </c>
      <c r="AT38">
        <v>4.0629999999999997</v>
      </c>
      <c r="AX38" t="str">
        <f>"E000407381"</f>
        <v>E000407381</v>
      </c>
      <c r="BD38" t="str">
        <f>"ערן שלו"</f>
        <v>ערן שלו</v>
      </c>
    </row>
    <row r="39" spans="1:56" x14ac:dyDescent="0.3">
      <c r="A39" s="1">
        <v>45223</v>
      </c>
      <c r="B39" t="str">
        <f>"SI236001336"</f>
        <v>SI236001336</v>
      </c>
      <c r="C39" t="str">
        <f>"PR22000303"</f>
        <v>PR22000303</v>
      </c>
      <c r="E39" t="str">
        <f>"Y"</f>
        <v>Y</v>
      </c>
      <c r="F39" t="str">
        <f>"חשבוניות מרכזות"</f>
        <v>חשבוניות מרכזות</v>
      </c>
      <c r="G39" t="str">
        <f>"700065"</f>
        <v>700065</v>
      </c>
      <c r="H39" t="str">
        <f>"אלתא מערכות בע""מ"</f>
        <v>אלתא מערכות בע"מ</v>
      </c>
      <c r="I39" t="str">
        <f>"10"</f>
        <v>10</v>
      </c>
      <c r="J39" t="str">
        <f>"OP-AR02041-1S"</f>
        <v>OP-AR02041-1S</v>
      </c>
      <c r="K39" t="str">
        <f>"SL PDB  1 1042A860-001"</f>
        <v>SL PDB  1 1042A860-001</v>
      </c>
      <c r="L39">
        <v>1</v>
      </c>
      <c r="M39" t="str">
        <f>"יח"</f>
        <v>יח</v>
      </c>
      <c r="N39">
        <v>1</v>
      </c>
      <c r="O39" t="str">
        <f>"יח"</f>
        <v>יח</v>
      </c>
      <c r="P39" s="2">
        <v>41000</v>
      </c>
      <c r="Q39" t="str">
        <f>"$"</f>
        <v>$</v>
      </c>
      <c r="R39" t="str">
        <f>"הזמנה"</f>
        <v>הזמנה</v>
      </c>
      <c r="S39">
        <v>0</v>
      </c>
      <c r="T39" s="2">
        <v>41000</v>
      </c>
      <c r="U39">
        <v>0</v>
      </c>
      <c r="V39" s="2">
        <v>41000</v>
      </c>
      <c r="W39" t="str">
        <f>"$"</f>
        <v>$</v>
      </c>
      <c r="X39">
        <v>0</v>
      </c>
      <c r="Y39">
        <v>0</v>
      </c>
      <c r="Z39">
        <v>0</v>
      </c>
      <c r="AA39" t="str">
        <f>"Y"</f>
        <v>Y</v>
      </c>
      <c r="AB39" t="str">
        <f>"SO22000016"</f>
        <v>SO22000016</v>
      </c>
      <c r="AC39">
        <v>32</v>
      </c>
      <c r="AD39" s="1">
        <v>44574</v>
      </c>
      <c r="AE39" t="str">
        <f>"SH23001267"</f>
        <v>SH23001267</v>
      </c>
      <c r="AF39" t="str">
        <f>"משלוחים ללקוח"</f>
        <v>משלוחים ללקוח</v>
      </c>
      <c r="AG39" s="1">
        <v>45222</v>
      </c>
      <c r="AM39" t="str">
        <f>"10"</f>
        <v>10</v>
      </c>
      <c r="AN39" t="str">
        <f>"500000"</f>
        <v>500000</v>
      </c>
      <c r="AO39" t="str">
        <f>"הכנסות  מלקוחות"</f>
        <v>הכנסות  מלקוחות</v>
      </c>
      <c r="AQ39" t="str">
        <f>"007"</f>
        <v>007</v>
      </c>
      <c r="AR39">
        <v>0</v>
      </c>
      <c r="AS39">
        <v>0</v>
      </c>
      <c r="AT39">
        <v>4.0629999999999997</v>
      </c>
      <c r="AX39" t="str">
        <f>"E000355064"</f>
        <v>E000355064</v>
      </c>
      <c r="BD39" t="str">
        <f>"רוני דידי"</f>
        <v>רוני דידי</v>
      </c>
    </row>
    <row r="40" spans="1:56" x14ac:dyDescent="0.3">
      <c r="A40" s="1">
        <v>45223</v>
      </c>
      <c r="B40" t="str">
        <f>"SI236001333"</f>
        <v>SI236001333</v>
      </c>
      <c r="C40" t="str">
        <f>"PR22000898"</f>
        <v>PR22000898</v>
      </c>
      <c r="E40" t="str">
        <f>"Y"</f>
        <v>Y</v>
      </c>
      <c r="F40" t="str">
        <f>"חשבוניות מרכזות"</f>
        <v>חשבוניות מרכזות</v>
      </c>
      <c r="G40" t="str">
        <f>"700065"</f>
        <v>700065</v>
      </c>
      <c r="H40" t="str">
        <f>"אלתא מערכות בע""מ"</f>
        <v>אלתא מערכות בע"מ</v>
      </c>
      <c r="I40" t="str">
        <f>"15"</f>
        <v>15</v>
      </c>
      <c r="J40" t="str">
        <f>"OP-AR03686"</f>
        <v>OP-AR03686</v>
      </c>
      <c r="K40" t="str">
        <f>"1040L238-001    P.S TO TRU D/C CABLE W18"</f>
        <v>1040L238-001    P.S TO TRU D/C CABLE W18</v>
      </c>
      <c r="L40">
        <v>2</v>
      </c>
      <c r="M40" t="str">
        <f>"יח"</f>
        <v>יח</v>
      </c>
      <c r="N40">
        <v>2</v>
      </c>
      <c r="O40" t="str">
        <f>"יח"</f>
        <v>יח</v>
      </c>
      <c r="P40">
        <v>874.91</v>
      </c>
      <c r="Q40" t="str">
        <f>"$"</f>
        <v>$</v>
      </c>
      <c r="R40" t="str">
        <f>"הזמנה"</f>
        <v>הזמנה</v>
      </c>
      <c r="S40">
        <v>0</v>
      </c>
      <c r="T40" s="2">
        <v>1749.82</v>
      </c>
      <c r="U40">
        <v>0</v>
      </c>
      <c r="V40" s="2">
        <v>1749.82</v>
      </c>
      <c r="W40" t="str">
        <f>"$"</f>
        <v>$</v>
      </c>
      <c r="X40">
        <v>0</v>
      </c>
      <c r="Y40">
        <v>0</v>
      </c>
      <c r="Z40">
        <v>0</v>
      </c>
      <c r="AA40" t="str">
        <f>"Y"</f>
        <v>Y</v>
      </c>
      <c r="AB40" t="str">
        <f>"SO22000457"</f>
        <v>SO22000457</v>
      </c>
      <c r="AC40">
        <v>10</v>
      </c>
      <c r="AD40" s="1">
        <v>44907</v>
      </c>
      <c r="AE40" t="str">
        <f>"SH23001247"</f>
        <v>SH23001247</v>
      </c>
      <c r="AF40" t="str">
        <f>"משלוחים ללקוח"</f>
        <v>משלוחים ללקוח</v>
      </c>
      <c r="AG40" s="1">
        <v>45202</v>
      </c>
      <c r="AM40" t="str">
        <f>"10"</f>
        <v>10</v>
      </c>
      <c r="AN40" t="str">
        <f>"500000"</f>
        <v>500000</v>
      </c>
      <c r="AO40" t="str">
        <f>"הכנסות  מלקוחות"</f>
        <v>הכנסות  מלקוחות</v>
      </c>
      <c r="AQ40" t="str">
        <f>"040"</f>
        <v>040</v>
      </c>
      <c r="AR40">
        <v>0</v>
      </c>
      <c r="AS40">
        <v>0</v>
      </c>
      <c r="AT40">
        <v>4.0629999999999997</v>
      </c>
      <c r="AX40" t="str">
        <f>"E000379161"</f>
        <v>E000379161</v>
      </c>
      <c r="BD40" t="str">
        <f>"רחמים זרוק"</f>
        <v>רחמים זרוק</v>
      </c>
    </row>
    <row r="41" spans="1:56" x14ac:dyDescent="0.3">
      <c r="A41" s="1">
        <v>45221</v>
      </c>
      <c r="B41" t="str">
        <f>"SI236001335"</f>
        <v>SI236001335</v>
      </c>
      <c r="C41" t="str">
        <f>"PR23000204"</f>
        <v>PR23000204</v>
      </c>
      <c r="E41" t="str">
        <f>"Y"</f>
        <v>Y</v>
      </c>
      <c r="F41" t="str">
        <f>"חשבוניות מרכזות"</f>
        <v>חשבוניות מרכזות</v>
      </c>
      <c r="G41" t="str">
        <f>"700065"</f>
        <v>700065</v>
      </c>
      <c r="H41" t="str">
        <f>"אלתא מערכות בע""מ"</f>
        <v>אלתא מערכות בע"מ</v>
      </c>
      <c r="I41" t="str">
        <f>"15"</f>
        <v>15</v>
      </c>
      <c r="J41" t="str">
        <f>"OP-AR03574"</f>
        <v>OP-AR03574</v>
      </c>
      <c r="K41" t="str">
        <f>"1032G919-001     CABLE 2W24"</f>
        <v>1032G919-001     CABLE 2W24</v>
      </c>
      <c r="L41">
        <v>2</v>
      </c>
      <c r="M41" t="str">
        <f>"יח"</f>
        <v>יח</v>
      </c>
      <c r="N41">
        <v>2</v>
      </c>
      <c r="O41" t="str">
        <f>"יח"</f>
        <v>יח</v>
      </c>
      <c r="P41">
        <v>670.32</v>
      </c>
      <c r="Q41" t="str">
        <f>"$"</f>
        <v>$</v>
      </c>
      <c r="R41" t="str">
        <f>"הזמנה"</f>
        <v>הזמנה</v>
      </c>
      <c r="S41">
        <v>0</v>
      </c>
      <c r="T41" s="2">
        <v>1340.64</v>
      </c>
      <c r="U41">
        <v>0</v>
      </c>
      <c r="V41" s="2">
        <v>1340.64</v>
      </c>
      <c r="W41" t="str">
        <f>"$"</f>
        <v>$</v>
      </c>
      <c r="X41">
        <v>0</v>
      </c>
      <c r="Y41">
        <v>0</v>
      </c>
      <c r="Z41">
        <v>0</v>
      </c>
      <c r="AA41" t="str">
        <f>"Y"</f>
        <v>Y</v>
      </c>
      <c r="AB41" t="str">
        <f>"SO23000138"</f>
        <v>SO23000138</v>
      </c>
      <c r="AC41">
        <v>19</v>
      </c>
      <c r="AD41" s="1">
        <v>44991</v>
      </c>
      <c r="AE41" t="str">
        <f>"SH23001264"</f>
        <v>SH23001264</v>
      </c>
      <c r="AF41" t="str">
        <f>"משלוחים ללקוח"</f>
        <v>משלוחים ללקוח</v>
      </c>
      <c r="AG41" s="1">
        <v>45221</v>
      </c>
      <c r="AM41" t="str">
        <f>"10"</f>
        <v>10</v>
      </c>
      <c r="AN41" t="str">
        <f>"500000"</f>
        <v>500000</v>
      </c>
      <c r="AO41" t="str">
        <f>"הכנסות  מלקוחות"</f>
        <v>הכנסות  מלקוחות</v>
      </c>
      <c r="AQ41" t="str">
        <f>"040"</f>
        <v>040</v>
      </c>
      <c r="AR41">
        <v>0</v>
      </c>
      <c r="AS41">
        <v>0</v>
      </c>
      <c r="AT41">
        <v>4.0490000000000004</v>
      </c>
      <c r="AX41" t="str">
        <f>"E000386580"</f>
        <v>E000386580</v>
      </c>
      <c r="BD41" t="str">
        <f>"רחמים זרוק"</f>
        <v>רחמים זרוק</v>
      </c>
    </row>
    <row r="42" spans="1:56" x14ac:dyDescent="0.3">
      <c r="A42" s="1">
        <v>45218</v>
      </c>
      <c r="B42" t="str">
        <f>"SI236001334"</f>
        <v>SI236001334</v>
      </c>
      <c r="C42" t="str">
        <f>"PR23000204"</f>
        <v>PR23000204</v>
      </c>
      <c r="E42" t="str">
        <f>"Y"</f>
        <v>Y</v>
      </c>
      <c r="F42" t="str">
        <f>"חשבוניות מרכזות"</f>
        <v>חשבוניות מרכזות</v>
      </c>
      <c r="G42" t="str">
        <f>"700065"</f>
        <v>700065</v>
      </c>
      <c r="H42" t="str">
        <f>"אלתא מערכות בע""מ"</f>
        <v>אלתא מערכות בע"מ</v>
      </c>
      <c r="I42" t="str">
        <f>"15"</f>
        <v>15</v>
      </c>
      <c r="J42" t="str">
        <f>"OP-AR03565"</f>
        <v>OP-AR03565</v>
      </c>
      <c r="K42" t="str">
        <f>"1032G910-001     CABLE 2W50"</f>
        <v>1032G910-001     CABLE 2W50</v>
      </c>
      <c r="L42">
        <v>2</v>
      </c>
      <c r="M42" t="str">
        <f>"יח"</f>
        <v>יח</v>
      </c>
      <c r="N42">
        <v>2</v>
      </c>
      <c r="O42" t="str">
        <f>"יח"</f>
        <v>יח</v>
      </c>
      <c r="P42">
        <v>986.63</v>
      </c>
      <c r="Q42" t="str">
        <f>"$"</f>
        <v>$</v>
      </c>
      <c r="R42" t="str">
        <f>"הזמנה"</f>
        <v>הזמנה</v>
      </c>
      <c r="S42">
        <v>0</v>
      </c>
      <c r="T42" s="2">
        <v>1973.26</v>
      </c>
      <c r="U42">
        <v>0</v>
      </c>
      <c r="V42" s="2">
        <v>1973.26</v>
      </c>
      <c r="W42" t="str">
        <f>"$"</f>
        <v>$</v>
      </c>
      <c r="X42">
        <v>0</v>
      </c>
      <c r="Y42">
        <v>0</v>
      </c>
      <c r="Z42">
        <v>0</v>
      </c>
      <c r="AA42" t="str">
        <f>"Y"</f>
        <v>Y</v>
      </c>
      <c r="AB42" t="str">
        <f>"SO23000138"</f>
        <v>SO23000138</v>
      </c>
      <c r="AC42">
        <v>10</v>
      </c>
      <c r="AD42" s="1">
        <v>44991</v>
      </c>
      <c r="AE42" t="str">
        <f>"SH23001262"</f>
        <v>SH23001262</v>
      </c>
      <c r="AF42" t="str">
        <f>"משלוחים ללקוח"</f>
        <v>משלוחים ללקוח</v>
      </c>
      <c r="AG42" s="1">
        <v>45218</v>
      </c>
      <c r="AM42" t="str">
        <f>"10"</f>
        <v>10</v>
      </c>
      <c r="AN42" t="str">
        <f>"500000"</f>
        <v>500000</v>
      </c>
      <c r="AO42" t="str">
        <f>"הכנסות  מלקוחות"</f>
        <v>הכנסות  מלקוחות</v>
      </c>
      <c r="AQ42" t="str">
        <f>"040"</f>
        <v>040</v>
      </c>
      <c r="AR42">
        <v>0</v>
      </c>
      <c r="AS42">
        <v>0</v>
      </c>
      <c r="AT42">
        <v>4.0289999999999999</v>
      </c>
      <c r="AX42" t="str">
        <f>"E000386580"</f>
        <v>E000386580</v>
      </c>
      <c r="BD42" t="str">
        <f>"רחמים זרוק"</f>
        <v>רחמים זרוק</v>
      </c>
    </row>
    <row r="43" spans="1:56" x14ac:dyDescent="0.3">
      <c r="A43" s="1">
        <v>45218</v>
      </c>
      <c r="B43" t="str">
        <f>"SI236001334"</f>
        <v>SI236001334</v>
      </c>
      <c r="C43" t="str">
        <f>"PR23000204"</f>
        <v>PR23000204</v>
      </c>
      <c r="E43" t="str">
        <f>"Y"</f>
        <v>Y</v>
      </c>
      <c r="F43" t="str">
        <f>"חשבוניות מרכזות"</f>
        <v>חשבוניות מרכזות</v>
      </c>
      <c r="G43" t="str">
        <f>"700065"</f>
        <v>700065</v>
      </c>
      <c r="H43" t="str">
        <f>"אלתא מערכות בע""מ"</f>
        <v>אלתא מערכות בע"מ</v>
      </c>
      <c r="I43" t="str">
        <f>"15"</f>
        <v>15</v>
      </c>
      <c r="J43" t="str">
        <f>"OP-AR03566"</f>
        <v>OP-AR03566</v>
      </c>
      <c r="K43" t="str">
        <f>"1032G911-001     CABLE 2W51"</f>
        <v>1032G911-001     CABLE 2W51</v>
      </c>
      <c r="L43">
        <v>2</v>
      </c>
      <c r="M43" t="str">
        <f>"יח"</f>
        <v>יח</v>
      </c>
      <c r="N43">
        <v>2</v>
      </c>
      <c r="O43" t="str">
        <f>"יח"</f>
        <v>יח</v>
      </c>
      <c r="P43">
        <v>986.63</v>
      </c>
      <c r="Q43" t="str">
        <f>"$"</f>
        <v>$</v>
      </c>
      <c r="R43" t="str">
        <f>"הזמנה"</f>
        <v>הזמנה</v>
      </c>
      <c r="S43">
        <v>0</v>
      </c>
      <c r="T43" s="2">
        <v>1973.26</v>
      </c>
      <c r="U43">
        <v>0</v>
      </c>
      <c r="V43" s="2">
        <v>1973.26</v>
      </c>
      <c r="W43" t="str">
        <f>"$"</f>
        <v>$</v>
      </c>
      <c r="X43">
        <v>0</v>
      </c>
      <c r="Y43">
        <v>0</v>
      </c>
      <c r="Z43">
        <v>0</v>
      </c>
      <c r="AA43" t="str">
        <f>"Y"</f>
        <v>Y</v>
      </c>
      <c r="AB43" t="str">
        <f>"SO23000138"</f>
        <v>SO23000138</v>
      </c>
      <c r="AC43">
        <v>11</v>
      </c>
      <c r="AD43" s="1">
        <v>44991</v>
      </c>
      <c r="AE43" t="str">
        <f>"SH23001262"</f>
        <v>SH23001262</v>
      </c>
      <c r="AF43" t="str">
        <f>"משלוחים ללקוח"</f>
        <v>משלוחים ללקוח</v>
      </c>
      <c r="AG43" s="1">
        <v>45218</v>
      </c>
      <c r="AM43" t="str">
        <f>"10"</f>
        <v>10</v>
      </c>
      <c r="AN43" t="str">
        <f>"500000"</f>
        <v>500000</v>
      </c>
      <c r="AO43" t="str">
        <f>"הכנסות  מלקוחות"</f>
        <v>הכנסות  מלקוחות</v>
      </c>
      <c r="AQ43" t="str">
        <f>"040"</f>
        <v>040</v>
      </c>
      <c r="AR43">
        <v>0</v>
      </c>
      <c r="AS43">
        <v>0</v>
      </c>
      <c r="AT43">
        <v>4.0289999999999999</v>
      </c>
      <c r="AX43" t="str">
        <f>"E000386580"</f>
        <v>E000386580</v>
      </c>
      <c r="BD43" t="str">
        <f>"רחמים זרוק"</f>
        <v>רחמים זרוק</v>
      </c>
    </row>
    <row r="44" spans="1:56" x14ac:dyDescent="0.3">
      <c r="A44" s="1">
        <v>45218</v>
      </c>
      <c r="B44" t="str">
        <f>"SI236001334"</f>
        <v>SI236001334</v>
      </c>
      <c r="C44" t="str">
        <f>"PR23000204"</f>
        <v>PR23000204</v>
      </c>
      <c r="E44" t="str">
        <f>"Y"</f>
        <v>Y</v>
      </c>
      <c r="F44" t="str">
        <f>"חשבוניות מרכזות"</f>
        <v>חשבוניות מרכזות</v>
      </c>
      <c r="G44" t="str">
        <f>"700065"</f>
        <v>700065</v>
      </c>
      <c r="H44" t="str">
        <f>"אלתא מערכות בע""מ"</f>
        <v>אלתא מערכות בע"מ</v>
      </c>
      <c r="I44" t="str">
        <f>"15"</f>
        <v>15</v>
      </c>
      <c r="J44" t="str">
        <f>"OP-AR03573"</f>
        <v>OP-AR03573</v>
      </c>
      <c r="K44" t="str">
        <f>"1032G918-001     CABLE 2W23"</f>
        <v>1032G918-001     CABLE 2W23</v>
      </c>
      <c r="L44">
        <v>2</v>
      </c>
      <c r="M44" t="str">
        <f>"יח"</f>
        <v>יח</v>
      </c>
      <c r="N44">
        <v>2</v>
      </c>
      <c r="O44" t="str">
        <f>"יח"</f>
        <v>יח</v>
      </c>
      <c r="P44">
        <v>670.32</v>
      </c>
      <c r="Q44" t="str">
        <f>"$"</f>
        <v>$</v>
      </c>
      <c r="R44" t="str">
        <f>"הזמנה"</f>
        <v>הזמנה</v>
      </c>
      <c r="S44">
        <v>0</v>
      </c>
      <c r="T44" s="2">
        <v>1340.64</v>
      </c>
      <c r="U44">
        <v>0</v>
      </c>
      <c r="V44" s="2">
        <v>1340.64</v>
      </c>
      <c r="W44" t="str">
        <f>"$"</f>
        <v>$</v>
      </c>
      <c r="X44">
        <v>0</v>
      </c>
      <c r="Y44">
        <v>0</v>
      </c>
      <c r="Z44">
        <v>0</v>
      </c>
      <c r="AA44" t="str">
        <f>"Y"</f>
        <v>Y</v>
      </c>
      <c r="AB44" t="str">
        <f>"SO23000138"</f>
        <v>SO23000138</v>
      </c>
      <c r="AC44">
        <v>18</v>
      </c>
      <c r="AD44" s="1">
        <v>44991</v>
      </c>
      <c r="AE44" t="str">
        <f>"SH23001262"</f>
        <v>SH23001262</v>
      </c>
      <c r="AF44" t="str">
        <f>"משלוחים ללקוח"</f>
        <v>משלוחים ללקוח</v>
      </c>
      <c r="AG44" s="1">
        <v>45218</v>
      </c>
      <c r="AM44" t="str">
        <f>"10"</f>
        <v>10</v>
      </c>
      <c r="AN44" t="str">
        <f>"500000"</f>
        <v>500000</v>
      </c>
      <c r="AO44" t="str">
        <f>"הכנסות  מלקוחות"</f>
        <v>הכנסות  מלקוחות</v>
      </c>
      <c r="AQ44" t="str">
        <f>"040"</f>
        <v>040</v>
      </c>
      <c r="AR44">
        <v>0</v>
      </c>
      <c r="AS44">
        <v>0</v>
      </c>
      <c r="AT44">
        <v>4.0289999999999999</v>
      </c>
      <c r="AX44" t="str">
        <f>"E000386580"</f>
        <v>E000386580</v>
      </c>
      <c r="BD44" t="str">
        <f>"רחמים זרוק"</f>
        <v>רחמים זרוק</v>
      </c>
    </row>
    <row r="45" spans="1:56" x14ac:dyDescent="0.3">
      <c r="A45" s="1">
        <v>45218</v>
      </c>
      <c r="B45" t="str">
        <f>"SI236001334"</f>
        <v>SI236001334</v>
      </c>
      <c r="C45" t="str">
        <f>"PR23000204"</f>
        <v>PR23000204</v>
      </c>
      <c r="E45" t="str">
        <f>"Y"</f>
        <v>Y</v>
      </c>
      <c r="F45" t="str">
        <f>"חשבוניות מרכזות"</f>
        <v>חשבוניות מרכזות</v>
      </c>
      <c r="G45" t="str">
        <f>"700065"</f>
        <v>700065</v>
      </c>
      <c r="H45" t="str">
        <f>"אלתא מערכות בע""מ"</f>
        <v>אלתא מערכות בע"מ</v>
      </c>
      <c r="I45" t="str">
        <f>"15"</f>
        <v>15</v>
      </c>
      <c r="J45" t="str">
        <f>"OP-AR03659"</f>
        <v>OP-AR03659</v>
      </c>
      <c r="K45" t="str">
        <f>"1032G924-001     CABLE 2W25"</f>
        <v>1032G924-001     CABLE 2W25</v>
      </c>
      <c r="L45">
        <v>2</v>
      </c>
      <c r="M45" t="str">
        <f>"יח"</f>
        <v>יח</v>
      </c>
      <c r="N45">
        <v>2</v>
      </c>
      <c r="O45" t="str">
        <f>"יח"</f>
        <v>יח</v>
      </c>
      <c r="P45" s="2">
        <v>7590</v>
      </c>
      <c r="Q45" t="str">
        <f>"$"</f>
        <v>$</v>
      </c>
      <c r="R45" t="str">
        <f>"הזמנה"</f>
        <v>הזמנה</v>
      </c>
      <c r="S45">
        <v>0</v>
      </c>
      <c r="T45" s="2">
        <v>15180</v>
      </c>
      <c r="U45">
        <v>0</v>
      </c>
      <c r="V45" s="2">
        <v>15180</v>
      </c>
      <c r="W45" t="str">
        <f>"$"</f>
        <v>$</v>
      </c>
      <c r="X45">
        <v>0</v>
      </c>
      <c r="Y45">
        <v>0</v>
      </c>
      <c r="Z45">
        <v>0</v>
      </c>
      <c r="AA45" t="str">
        <f>"Y"</f>
        <v>Y</v>
      </c>
      <c r="AB45" t="str">
        <f>"SO23000138"</f>
        <v>SO23000138</v>
      </c>
      <c r="AC45">
        <v>22</v>
      </c>
      <c r="AD45" s="1">
        <v>44991</v>
      </c>
      <c r="AE45" t="str">
        <f>"SH23001262"</f>
        <v>SH23001262</v>
      </c>
      <c r="AF45" t="str">
        <f>"משלוחים ללקוח"</f>
        <v>משלוחים ללקוח</v>
      </c>
      <c r="AG45" s="1">
        <v>45218</v>
      </c>
      <c r="AM45" t="str">
        <f>"10"</f>
        <v>10</v>
      </c>
      <c r="AN45" t="str">
        <f>"500000"</f>
        <v>500000</v>
      </c>
      <c r="AO45" t="str">
        <f>"הכנסות  מלקוחות"</f>
        <v>הכנסות  מלקוחות</v>
      </c>
      <c r="AQ45" t="str">
        <f>"040"</f>
        <v>040</v>
      </c>
      <c r="AR45">
        <v>0</v>
      </c>
      <c r="AS45">
        <v>0</v>
      </c>
      <c r="AT45">
        <v>4.0289999999999999</v>
      </c>
      <c r="AX45" t="str">
        <f>"E000386580"</f>
        <v>E000386580</v>
      </c>
      <c r="BD45" t="str">
        <f>"רחמים זרוק"</f>
        <v>רחמים זרוק</v>
      </c>
    </row>
    <row r="46" spans="1:56" x14ac:dyDescent="0.3">
      <c r="A46" s="1">
        <v>45218</v>
      </c>
      <c r="B46" t="str">
        <f>"SI236001334"</f>
        <v>SI236001334</v>
      </c>
      <c r="C46" t="str">
        <f>"PR23000204"</f>
        <v>PR23000204</v>
      </c>
      <c r="E46" t="str">
        <f>"Y"</f>
        <v>Y</v>
      </c>
      <c r="F46" t="str">
        <f>"חשבוניות מרכזות"</f>
        <v>חשבוניות מרכזות</v>
      </c>
      <c r="G46" t="str">
        <f>"700065"</f>
        <v>700065</v>
      </c>
      <c r="H46" t="str">
        <f>"אלתא מערכות בע""מ"</f>
        <v>אלתא מערכות בע"מ</v>
      </c>
      <c r="I46" t="str">
        <f>"15"</f>
        <v>15</v>
      </c>
      <c r="J46" t="str">
        <f>"OP-AR03660"</f>
        <v>OP-AR03660</v>
      </c>
      <c r="K46" t="str">
        <f>"1032G925-001     CABLE 2W26"</f>
        <v>1032G925-001     CABLE 2W26</v>
      </c>
      <c r="L46">
        <v>2</v>
      </c>
      <c r="M46" t="str">
        <f>"יח"</f>
        <v>יח</v>
      </c>
      <c r="N46">
        <v>2</v>
      </c>
      <c r="O46" t="str">
        <f>"יח"</f>
        <v>יח</v>
      </c>
      <c r="P46" s="2">
        <v>1842.64</v>
      </c>
      <c r="Q46" t="str">
        <f>"$"</f>
        <v>$</v>
      </c>
      <c r="R46" t="str">
        <f>"הזמנה"</f>
        <v>הזמנה</v>
      </c>
      <c r="S46">
        <v>0</v>
      </c>
      <c r="T46" s="2">
        <v>3685.28</v>
      </c>
      <c r="U46">
        <v>0</v>
      </c>
      <c r="V46" s="2">
        <v>3685.28</v>
      </c>
      <c r="W46" t="str">
        <f>"$"</f>
        <v>$</v>
      </c>
      <c r="X46">
        <v>0</v>
      </c>
      <c r="Y46">
        <v>0</v>
      </c>
      <c r="Z46">
        <v>0</v>
      </c>
      <c r="AA46" t="str">
        <f>"Y"</f>
        <v>Y</v>
      </c>
      <c r="AB46" t="str">
        <f>"SO23000138"</f>
        <v>SO23000138</v>
      </c>
      <c r="AC46">
        <v>23</v>
      </c>
      <c r="AD46" s="1">
        <v>44991</v>
      </c>
      <c r="AE46" t="str">
        <f>"SH23001262"</f>
        <v>SH23001262</v>
      </c>
      <c r="AF46" t="str">
        <f>"משלוחים ללקוח"</f>
        <v>משלוחים ללקוח</v>
      </c>
      <c r="AG46" s="1">
        <v>45218</v>
      </c>
      <c r="AM46" t="str">
        <f>"10"</f>
        <v>10</v>
      </c>
      <c r="AN46" t="str">
        <f>"500000"</f>
        <v>500000</v>
      </c>
      <c r="AO46" t="str">
        <f>"הכנסות  מלקוחות"</f>
        <v>הכנסות  מלקוחות</v>
      </c>
      <c r="AQ46" t="str">
        <f>"040"</f>
        <v>040</v>
      </c>
      <c r="AR46">
        <v>0</v>
      </c>
      <c r="AS46">
        <v>0</v>
      </c>
      <c r="AT46">
        <v>4.0289999999999999</v>
      </c>
      <c r="AX46" t="str">
        <f>"E000386580"</f>
        <v>E000386580</v>
      </c>
      <c r="BD46" t="str">
        <f>"רחמים זרוק"</f>
        <v>רחמים זרוק</v>
      </c>
    </row>
    <row r="47" spans="1:56" x14ac:dyDescent="0.3">
      <c r="A47" s="1">
        <v>45215</v>
      </c>
      <c r="B47" t="str">
        <f>"SI236001307"</f>
        <v>SI236001307</v>
      </c>
      <c r="C47" t="str">
        <f>"PR22000632"</f>
        <v>PR22000632</v>
      </c>
      <c r="D47" t="str">
        <f>"PR22000632"</f>
        <v>PR22000632</v>
      </c>
      <c r="E47" t="str">
        <f>"Y"</f>
        <v>Y</v>
      </c>
      <c r="F47" t="str">
        <f>"חשבוניות מרכזות"</f>
        <v>חשבוניות מרכזות</v>
      </c>
      <c r="G47" t="str">
        <f>"700065"</f>
        <v>700065</v>
      </c>
      <c r="H47" t="str">
        <f>"אלתא מערכות בע""מ"</f>
        <v>אלתא מערכות בע"מ</v>
      </c>
      <c r="I47" t="str">
        <f>"15"</f>
        <v>15</v>
      </c>
      <c r="J47" t="str">
        <f>"OP-AR03352"</f>
        <v>OP-AR03352</v>
      </c>
      <c r="K47" t="str">
        <f>"1036U472-001    WP472 - PYLON RIGHT SW2"</f>
        <v>1036U472-001    WP472 - PYLON RIGHT SW2</v>
      </c>
      <c r="L47">
        <v>2</v>
      </c>
      <c r="M47" t="str">
        <f>"יח"</f>
        <v>יח</v>
      </c>
      <c r="N47">
        <v>2</v>
      </c>
      <c r="O47" t="str">
        <f>"יח"</f>
        <v>יח</v>
      </c>
      <c r="P47">
        <v>554.51</v>
      </c>
      <c r="Q47" t="str">
        <f>"$"</f>
        <v>$</v>
      </c>
      <c r="R47" t="str">
        <f>"הזמנה"</f>
        <v>הזמנה</v>
      </c>
      <c r="S47">
        <v>0</v>
      </c>
      <c r="T47" s="2">
        <v>1109.02</v>
      </c>
      <c r="U47">
        <v>0</v>
      </c>
      <c r="V47" s="2">
        <v>1109.02</v>
      </c>
      <c r="W47" t="str">
        <f>"$"</f>
        <v>$</v>
      </c>
      <c r="X47">
        <v>0</v>
      </c>
      <c r="Y47">
        <v>0</v>
      </c>
      <c r="Z47">
        <v>0</v>
      </c>
      <c r="AA47" t="str">
        <f>"Y"</f>
        <v>Y</v>
      </c>
      <c r="AB47" t="str">
        <f>"SO22000370"</f>
        <v>SO22000370</v>
      </c>
      <c r="AC47">
        <v>4</v>
      </c>
      <c r="AD47" s="1">
        <v>44833</v>
      </c>
      <c r="AE47" t="str">
        <f>"SH23001228"</f>
        <v>SH23001228</v>
      </c>
      <c r="AF47" t="str">
        <f>"משלוחים ללקוח"</f>
        <v>משלוחים ללקוח</v>
      </c>
      <c r="AG47" s="1">
        <v>45196</v>
      </c>
      <c r="AM47" t="str">
        <f>"10"</f>
        <v>10</v>
      </c>
      <c r="AN47" t="str">
        <f>"500000"</f>
        <v>500000</v>
      </c>
      <c r="AO47" t="str">
        <f>"הכנסות  מלקוחות"</f>
        <v>הכנסות  מלקוחות</v>
      </c>
      <c r="AQ47" t="str">
        <f>"040"</f>
        <v>040</v>
      </c>
      <c r="AR47">
        <v>0</v>
      </c>
      <c r="AS47">
        <v>0</v>
      </c>
      <c r="AT47">
        <v>3.9689999999999999</v>
      </c>
      <c r="AX47" t="str">
        <f>"E000374958"</f>
        <v>E000374958</v>
      </c>
      <c r="BD47" t="str">
        <f>"רחמים זרוק"</f>
        <v>רחמים זרוק</v>
      </c>
    </row>
    <row r="48" spans="1:56" x14ac:dyDescent="0.3">
      <c r="A48" s="1">
        <v>45215</v>
      </c>
      <c r="B48" t="str">
        <f>"SI236001307"</f>
        <v>SI236001307</v>
      </c>
      <c r="C48" t="str">
        <f>"PR22000632"</f>
        <v>PR22000632</v>
      </c>
      <c r="D48" t="str">
        <f>"PR22000632"</f>
        <v>PR22000632</v>
      </c>
      <c r="E48" t="str">
        <f>"Y"</f>
        <v>Y</v>
      </c>
      <c r="F48" t="str">
        <f>"חשבוניות מרכזות"</f>
        <v>חשבוניות מרכזות</v>
      </c>
      <c r="G48" t="str">
        <f>"700065"</f>
        <v>700065</v>
      </c>
      <c r="H48" t="str">
        <f>"אלתא מערכות בע""מ"</f>
        <v>אלתא מערכות בע"מ</v>
      </c>
      <c r="I48" t="str">
        <f>"15"</f>
        <v>15</v>
      </c>
      <c r="J48" t="str">
        <f>"OP-AR03352"</f>
        <v>OP-AR03352</v>
      </c>
      <c r="K48" t="str">
        <f>"1036U472-001    WP472 - PYLON RIGHT SW2"</f>
        <v>1036U472-001    WP472 - PYLON RIGHT SW2</v>
      </c>
      <c r="L48">
        <v>5</v>
      </c>
      <c r="M48" t="str">
        <f>"יח"</f>
        <v>יח</v>
      </c>
      <c r="N48">
        <v>5</v>
      </c>
      <c r="O48" t="str">
        <f>"יח"</f>
        <v>יח</v>
      </c>
      <c r="P48">
        <v>554.51</v>
      </c>
      <c r="Q48" t="str">
        <f>"$"</f>
        <v>$</v>
      </c>
      <c r="R48" t="str">
        <f>"הזמנה"</f>
        <v>הזמנה</v>
      </c>
      <c r="S48">
        <v>0</v>
      </c>
      <c r="T48" s="2">
        <v>2772.55</v>
      </c>
      <c r="U48">
        <v>0</v>
      </c>
      <c r="V48" s="2">
        <v>2772.55</v>
      </c>
      <c r="W48" t="str">
        <f>"$"</f>
        <v>$</v>
      </c>
      <c r="X48">
        <v>0</v>
      </c>
      <c r="Y48">
        <v>0</v>
      </c>
      <c r="Z48">
        <v>0</v>
      </c>
      <c r="AA48" t="str">
        <f>"Y"</f>
        <v>Y</v>
      </c>
      <c r="AB48" t="str">
        <f>"SO22000370"</f>
        <v>SO22000370</v>
      </c>
      <c r="AC48">
        <v>5</v>
      </c>
      <c r="AD48" s="1">
        <v>44833</v>
      </c>
      <c r="AE48" t="str">
        <f>"SH23001228"</f>
        <v>SH23001228</v>
      </c>
      <c r="AF48" t="str">
        <f>"משלוחים ללקוח"</f>
        <v>משלוחים ללקוח</v>
      </c>
      <c r="AG48" s="1">
        <v>45196</v>
      </c>
      <c r="AM48" t="str">
        <f>"10"</f>
        <v>10</v>
      </c>
      <c r="AN48" t="str">
        <f>"500000"</f>
        <v>500000</v>
      </c>
      <c r="AO48" t="str">
        <f>"הכנסות  מלקוחות"</f>
        <v>הכנסות  מלקוחות</v>
      </c>
      <c r="AQ48" t="str">
        <f>"040"</f>
        <v>040</v>
      </c>
      <c r="AR48">
        <v>0</v>
      </c>
      <c r="AS48">
        <v>0</v>
      </c>
      <c r="AT48">
        <v>3.9689999999999999</v>
      </c>
      <c r="AX48" t="str">
        <f>"E000374958"</f>
        <v>E000374958</v>
      </c>
      <c r="BD48" t="str">
        <f>"רחמים זרוק"</f>
        <v>רחמים זרוק</v>
      </c>
    </row>
    <row r="49" spans="1:56" x14ac:dyDescent="0.3">
      <c r="A49" s="1">
        <v>45200</v>
      </c>
      <c r="B49" t="str">
        <f>"CR237000097"</f>
        <v>CR237000097</v>
      </c>
      <c r="C49" t="str">
        <f>"PR23000127"</f>
        <v>PR23000127</v>
      </c>
      <c r="E49" t="str">
        <f>"Y"</f>
        <v>Y</v>
      </c>
      <c r="F49" t="str">
        <f>"חשבוניות זיכוי"</f>
        <v>חשבוניות זיכוי</v>
      </c>
      <c r="G49" t="str">
        <f>"700065"</f>
        <v>700065</v>
      </c>
      <c r="H49" t="str">
        <f>"אלתא מערכות בע""מ"</f>
        <v>אלתא מערכות בע"מ</v>
      </c>
      <c r="I49" t="str">
        <f>"10"</f>
        <v>10</v>
      </c>
      <c r="J49" t="str">
        <f>"999"</f>
        <v>999</v>
      </c>
      <c r="K49" t="str">
        <f>"זיכוי בגין איחור באספקה"</f>
        <v>זיכוי בגין איחור באספקה</v>
      </c>
      <c r="L49">
        <v>1</v>
      </c>
      <c r="M49" t="str">
        <f>"חל"</f>
        <v>חל</v>
      </c>
      <c r="N49">
        <v>1</v>
      </c>
      <c r="O49" t="str">
        <f>"חל"</f>
        <v>חל</v>
      </c>
      <c r="P49" s="2">
        <v>3000.48</v>
      </c>
      <c r="Q49" t="str">
        <f>"$"</f>
        <v>$</v>
      </c>
      <c r="R49" t="str">
        <f>"ידני"</f>
        <v>ידני</v>
      </c>
      <c r="S49">
        <v>0</v>
      </c>
      <c r="T49" s="2">
        <v>3000.48</v>
      </c>
      <c r="U49">
        <v>0</v>
      </c>
      <c r="V49" s="2">
        <v>3000.48</v>
      </c>
      <c r="W49" t="str">
        <f>"$"</f>
        <v>$</v>
      </c>
      <c r="X49">
        <v>0</v>
      </c>
      <c r="Y49">
        <v>0</v>
      </c>
      <c r="Z49">
        <v>0</v>
      </c>
      <c r="AA49" t="str">
        <f>"Y"</f>
        <v>Y</v>
      </c>
      <c r="AC49">
        <v>0</v>
      </c>
      <c r="AM49" t="str">
        <f>"10"</f>
        <v>10</v>
      </c>
      <c r="AN49" t="str">
        <f>"500000"</f>
        <v>500000</v>
      </c>
      <c r="AO49" t="str">
        <f>"הכנסות  מלקוחות"</f>
        <v>הכנסות  מלקוחות</v>
      </c>
      <c r="AP49" t="str">
        <f>"Y"</f>
        <v>Y</v>
      </c>
      <c r="AQ49" t="str">
        <f>"034"</f>
        <v>034</v>
      </c>
      <c r="AR49">
        <v>0</v>
      </c>
      <c r="AS49">
        <v>0</v>
      </c>
      <c r="AT49">
        <v>3.6564999999999999</v>
      </c>
      <c r="BD49" t="str">
        <f>"ערן שלו"</f>
        <v>ערן שלו</v>
      </c>
    </row>
    <row r="50" spans="1:56" x14ac:dyDescent="0.3">
      <c r="A50" s="1">
        <v>45197</v>
      </c>
      <c r="B50" t="str">
        <f>"SI236001345"</f>
        <v>SI236001345</v>
      </c>
      <c r="C50" t="str">
        <f>"PR22000302"</f>
        <v>PR22000302</v>
      </c>
      <c r="E50" t="str">
        <f>"Y"</f>
        <v>Y</v>
      </c>
      <c r="F50" t="str">
        <f>"חשבוניות מרכזות"</f>
        <v>חשבוניות מרכזות</v>
      </c>
      <c r="G50" t="str">
        <f>"700065"</f>
        <v>700065</v>
      </c>
      <c r="H50" t="str">
        <f>"אלתא מערכות בע""מ"</f>
        <v>אלתא מערכות בע"מ</v>
      </c>
      <c r="I50" t="str">
        <f>"10"</f>
        <v>10</v>
      </c>
      <c r="J50" t="str">
        <f>"OP-AR02041-1S"</f>
        <v>OP-AR02041-1S</v>
      </c>
      <c r="K50" t="str">
        <f>"SL PDB  1 1042A860-001"</f>
        <v>SL PDB  1 1042A860-001</v>
      </c>
      <c r="L50">
        <v>1</v>
      </c>
      <c r="M50" t="str">
        <f>"יח"</f>
        <v>יח</v>
      </c>
      <c r="N50">
        <v>1</v>
      </c>
      <c r="O50" t="str">
        <f>"יח"</f>
        <v>יח</v>
      </c>
      <c r="P50" s="2">
        <v>41000</v>
      </c>
      <c r="Q50" t="str">
        <f>"$"</f>
        <v>$</v>
      </c>
      <c r="R50" t="str">
        <f>"הזמנה"</f>
        <v>הזמנה</v>
      </c>
      <c r="S50">
        <v>0</v>
      </c>
      <c r="T50" s="2">
        <v>41000</v>
      </c>
      <c r="U50">
        <v>0</v>
      </c>
      <c r="V50" s="2">
        <v>41000</v>
      </c>
      <c r="W50" t="str">
        <f>"$"</f>
        <v>$</v>
      </c>
      <c r="X50">
        <v>0</v>
      </c>
      <c r="Y50">
        <v>0</v>
      </c>
      <c r="Z50">
        <v>0</v>
      </c>
      <c r="AA50" t="str">
        <f>"Y"</f>
        <v>Y</v>
      </c>
      <c r="AB50" t="str">
        <f>"SO22000016"</f>
        <v>SO22000016</v>
      </c>
      <c r="AC50">
        <v>33</v>
      </c>
      <c r="AD50" s="1">
        <v>44574</v>
      </c>
      <c r="AE50" t="str">
        <f>"SH23001232"</f>
        <v>SH23001232</v>
      </c>
      <c r="AF50" t="str">
        <f>"משלוחים ללקוח"</f>
        <v>משלוחים ללקוח</v>
      </c>
      <c r="AG50" s="1">
        <v>45196</v>
      </c>
      <c r="AM50" t="str">
        <f>"10"</f>
        <v>10</v>
      </c>
      <c r="AN50" t="str">
        <f>"500000"</f>
        <v>500000</v>
      </c>
      <c r="AO50" t="str">
        <f>"הכנסות  מלקוחות"</f>
        <v>הכנסות  מלקוחות</v>
      </c>
      <c r="AQ50" t="str">
        <f>"007"</f>
        <v>007</v>
      </c>
      <c r="AR50">
        <v>0</v>
      </c>
      <c r="AS50">
        <v>0</v>
      </c>
      <c r="AT50">
        <v>3.8490000000000002</v>
      </c>
      <c r="AX50" t="str">
        <f>"E000355064"</f>
        <v>E000355064</v>
      </c>
      <c r="BD50" t="str">
        <f>"רוני דידי"</f>
        <v>רוני דידי</v>
      </c>
    </row>
    <row r="51" spans="1:56" x14ac:dyDescent="0.3">
      <c r="A51" s="1">
        <v>45197</v>
      </c>
      <c r="B51" t="str">
        <f>"SI236001332"</f>
        <v>SI236001332</v>
      </c>
      <c r="C51" t="str">
        <f>"PR23000433"</f>
        <v>PR23000433</v>
      </c>
      <c r="D51" t="str">
        <f>"PR23000433"</f>
        <v>PR23000433</v>
      </c>
      <c r="E51" t="str">
        <f>"Y"</f>
        <v>Y</v>
      </c>
      <c r="F51" t="str">
        <f>"חשבוניות מרכזות"</f>
        <v>חשבוניות מרכזות</v>
      </c>
      <c r="G51" t="str">
        <f>"700065"</f>
        <v>700065</v>
      </c>
      <c r="H51" t="str">
        <f>"אלתא מערכות בע""מ"</f>
        <v>אלתא מערכות בע"מ</v>
      </c>
      <c r="I51" t="str">
        <f>"15"</f>
        <v>15</v>
      </c>
      <c r="J51" t="str">
        <f>"OP-AR03701"</f>
        <v>OP-AR03701</v>
      </c>
      <c r="K51" t="str">
        <f>"4080H411-001    HARNESS WS411 - PDU TO RIP J2 - POWER"</f>
        <v>4080H411-001    HARNESS WS411 - PDU TO RIP J2 - POWER</v>
      </c>
      <c r="L51">
        <v>1</v>
      </c>
      <c r="M51" t="str">
        <f>"יח"</f>
        <v>יח</v>
      </c>
      <c r="N51">
        <v>1</v>
      </c>
      <c r="O51" t="str">
        <f>"יח"</f>
        <v>יח</v>
      </c>
      <c r="P51">
        <v>775.58</v>
      </c>
      <c r="Q51" t="str">
        <f>"$"</f>
        <v>$</v>
      </c>
      <c r="R51" t="str">
        <f>"הזמנה"</f>
        <v>הזמנה</v>
      </c>
      <c r="S51">
        <v>0</v>
      </c>
      <c r="T51">
        <v>775.58</v>
      </c>
      <c r="U51">
        <v>0</v>
      </c>
      <c r="V51">
        <v>775.58</v>
      </c>
      <c r="W51" t="str">
        <f>"$"</f>
        <v>$</v>
      </c>
      <c r="X51">
        <v>0</v>
      </c>
      <c r="Y51">
        <v>0</v>
      </c>
      <c r="Z51">
        <v>0</v>
      </c>
      <c r="AA51" t="str">
        <f>"Y"</f>
        <v>Y</v>
      </c>
      <c r="AB51" t="str">
        <f>"SO23000307"</f>
        <v>SO23000307</v>
      </c>
      <c r="AC51">
        <v>4</v>
      </c>
      <c r="AD51" s="1">
        <v>45109</v>
      </c>
      <c r="AE51" t="str">
        <f>"SH23001180"</f>
        <v>SH23001180</v>
      </c>
      <c r="AF51" t="str">
        <f>"משלוחים ללקוח"</f>
        <v>משלוחים ללקוח</v>
      </c>
      <c r="AG51" s="1">
        <v>45183</v>
      </c>
      <c r="AM51" t="str">
        <f>"10"</f>
        <v>10</v>
      </c>
      <c r="AN51" t="str">
        <f>"500000"</f>
        <v>500000</v>
      </c>
      <c r="AO51" t="str">
        <f>"הכנסות  מלקוחות"</f>
        <v>הכנסות  מלקוחות</v>
      </c>
      <c r="AQ51" t="str">
        <f>"040"</f>
        <v>040</v>
      </c>
      <c r="AR51">
        <v>0</v>
      </c>
      <c r="AS51">
        <v>0</v>
      </c>
      <c r="AT51">
        <v>3.8490000000000002</v>
      </c>
      <c r="AX51" t="str">
        <f>"E000397683"</f>
        <v>E000397683</v>
      </c>
      <c r="BD51" t="str">
        <f>"רחמים זרוק"</f>
        <v>רחמים זרוק</v>
      </c>
    </row>
    <row r="52" spans="1:56" x14ac:dyDescent="0.3">
      <c r="A52" s="1">
        <v>45197</v>
      </c>
      <c r="B52" t="str">
        <f>"SI236001332"</f>
        <v>SI236001332</v>
      </c>
      <c r="C52" t="str">
        <f>"PR23000433"</f>
        <v>PR23000433</v>
      </c>
      <c r="D52" t="str">
        <f>"PR23000433"</f>
        <v>PR23000433</v>
      </c>
      <c r="E52" t="str">
        <f>"Y"</f>
        <v>Y</v>
      </c>
      <c r="F52" t="str">
        <f>"חשבוניות מרכזות"</f>
        <v>חשבוניות מרכזות</v>
      </c>
      <c r="G52" t="str">
        <f>"700065"</f>
        <v>700065</v>
      </c>
      <c r="H52" t="str">
        <f>"אלתא מערכות בע""מ"</f>
        <v>אלתא מערכות בע"מ</v>
      </c>
      <c r="I52" t="str">
        <f>"15"</f>
        <v>15</v>
      </c>
      <c r="J52" t="str">
        <f>"OP-AR03701"</f>
        <v>OP-AR03701</v>
      </c>
      <c r="K52" t="str">
        <f>"4080H411-001    HARNESS WS411 - PDU TO RIP J2 - POWER"</f>
        <v>4080H411-001    HARNESS WS411 - PDU TO RIP J2 - POWER</v>
      </c>
      <c r="L52">
        <v>1</v>
      </c>
      <c r="M52" t="str">
        <f>"יח"</f>
        <v>יח</v>
      </c>
      <c r="N52">
        <v>1</v>
      </c>
      <c r="O52" t="str">
        <f>"יח"</f>
        <v>יח</v>
      </c>
      <c r="P52">
        <v>775.58</v>
      </c>
      <c r="Q52" t="str">
        <f>"$"</f>
        <v>$</v>
      </c>
      <c r="R52" t="str">
        <f>"הזמנה"</f>
        <v>הזמנה</v>
      </c>
      <c r="S52">
        <v>0</v>
      </c>
      <c r="T52">
        <v>775.58</v>
      </c>
      <c r="U52">
        <v>0</v>
      </c>
      <c r="V52">
        <v>775.58</v>
      </c>
      <c r="W52" t="str">
        <f>"$"</f>
        <v>$</v>
      </c>
      <c r="X52">
        <v>0</v>
      </c>
      <c r="Y52">
        <v>0</v>
      </c>
      <c r="Z52">
        <v>0</v>
      </c>
      <c r="AA52" t="str">
        <f>"Y"</f>
        <v>Y</v>
      </c>
      <c r="AB52" t="str">
        <f>"SO23000307"</f>
        <v>SO23000307</v>
      </c>
      <c r="AC52">
        <v>5</v>
      </c>
      <c r="AD52" s="1">
        <v>45109</v>
      </c>
      <c r="AE52" t="str">
        <f>"SH23001180"</f>
        <v>SH23001180</v>
      </c>
      <c r="AF52" t="str">
        <f>"משלוחים ללקוח"</f>
        <v>משלוחים ללקוח</v>
      </c>
      <c r="AG52" s="1">
        <v>45183</v>
      </c>
      <c r="AM52" t="str">
        <f>"10"</f>
        <v>10</v>
      </c>
      <c r="AN52" t="str">
        <f>"500000"</f>
        <v>500000</v>
      </c>
      <c r="AO52" t="str">
        <f>"הכנסות  מלקוחות"</f>
        <v>הכנסות  מלקוחות</v>
      </c>
      <c r="AQ52" t="str">
        <f>"040"</f>
        <v>040</v>
      </c>
      <c r="AR52">
        <v>0</v>
      </c>
      <c r="AS52">
        <v>0</v>
      </c>
      <c r="AT52">
        <v>3.8490000000000002</v>
      </c>
      <c r="AX52" t="str">
        <f>"E000397683"</f>
        <v>E000397683</v>
      </c>
      <c r="BD52" t="str">
        <f>"רחמים זרוק"</f>
        <v>רחמים זרוק</v>
      </c>
    </row>
    <row r="53" spans="1:56" x14ac:dyDescent="0.3">
      <c r="A53" s="1">
        <v>45197</v>
      </c>
      <c r="B53" t="str">
        <f>"SI236001332"</f>
        <v>SI236001332</v>
      </c>
      <c r="C53" t="str">
        <f>"PR23000433"</f>
        <v>PR23000433</v>
      </c>
      <c r="D53" t="str">
        <f>"PR23000433"</f>
        <v>PR23000433</v>
      </c>
      <c r="E53" t="str">
        <f>"Y"</f>
        <v>Y</v>
      </c>
      <c r="F53" t="str">
        <f>"חשבוניות מרכזות"</f>
        <v>חשבוניות מרכזות</v>
      </c>
      <c r="G53" t="str">
        <f>"700065"</f>
        <v>700065</v>
      </c>
      <c r="H53" t="str">
        <f>"אלתא מערכות בע""מ"</f>
        <v>אלתא מערכות בע"מ</v>
      </c>
      <c r="I53" t="str">
        <f>"15"</f>
        <v>15</v>
      </c>
      <c r="J53" t="str">
        <f>"OP-AR03702"</f>
        <v>OP-AR03702</v>
      </c>
      <c r="K53" t="str">
        <f>"4080H416-001    HARNESS WS416 - PDU TO LAN SWITH 1&amp;2 - P"</f>
        <v>4080H416-001    HARNESS WS416 - PDU TO LAN SWITH 1&amp;2 - P</v>
      </c>
      <c r="L53">
        <v>1</v>
      </c>
      <c r="M53" t="str">
        <f>"יח"</f>
        <v>יח</v>
      </c>
      <c r="N53">
        <v>1</v>
      </c>
      <c r="O53" t="str">
        <f>"יח"</f>
        <v>יח</v>
      </c>
      <c r="P53">
        <v>539.66999999999996</v>
      </c>
      <c r="Q53" t="str">
        <f>"$"</f>
        <v>$</v>
      </c>
      <c r="R53" t="str">
        <f>"הזמנה"</f>
        <v>הזמנה</v>
      </c>
      <c r="S53">
        <v>0</v>
      </c>
      <c r="T53">
        <v>539.66999999999996</v>
      </c>
      <c r="U53">
        <v>0</v>
      </c>
      <c r="V53">
        <v>539.66999999999996</v>
      </c>
      <c r="W53" t="str">
        <f>"$"</f>
        <v>$</v>
      </c>
      <c r="X53">
        <v>0</v>
      </c>
      <c r="Y53">
        <v>0</v>
      </c>
      <c r="Z53">
        <v>0</v>
      </c>
      <c r="AA53" t="str">
        <f>"Y"</f>
        <v>Y</v>
      </c>
      <c r="AB53" t="str">
        <f>"SO23000307"</f>
        <v>SO23000307</v>
      </c>
      <c r="AC53">
        <v>7</v>
      </c>
      <c r="AD53" s="1">
        <v>45109</v>
      </c>
      <c r="AE53" t="str">
        <f>"SH23001180"</f>
        <v>SH23001180</v>
      </c>
      <c r="AF53" t="str">
        <f>"משלוחים ללקוח"</f>
        <v>משלוחים ללקוח</v>
      </c>
      <c r="AG53" s="1">
        <v>45183</v>
      </c>
      <c r="AM53" t="str">
        <f>"10"</f>
        <v>10</v>
      </c>
      <c r="AN53" t="str">
        <f>"500000"</f>
        <v>500000</v>
      </c>
      <c r="AO53" t="str">
        <f>"הכנסות  מלקוחות"</f>
        <v>הכנסות  מלקוחות</v>
      </c>
      <c r="AQ53" t="str">
        <f>"040"</f>
        <v>040</v>
      </c>
      <c r="AR53">
        <v>0</v>
      </c>
      <c r="AS53">
        <v>0</v>
      </c>
      <c r="AT53">
        <v>3.8490000000000002</v>
      </c>
      <c r="AX53" t="str">
        <f>"E000397683"</f>
        <v>E000397683</v>
      </c>
      <c r="BD53" t="str">
        <f>"רחמים זרוק"</f>
        <v>רחמים זרוק</v>
      </c>
    </row>
    <row r="54" spans="1:56" x14ac:dyDescent="0.3">
      <c r="A54" s="1">
        <v>45197</v>
      </c>
      <c r="B54" t="str">
        <f>"SI236001332"</f>
        <v>SI236001332</v>
      </c>
      <c r="C54" t="str">
        <f>"PR23000433"</f>
        <v>PR23000433</v>
      </c>
      <c r="D54" t="str">
        <f>"PR23000433"</f>
        <v>PR23000433</v>
      </c>
      <c r="E54" t="str">
        <f>"Y"</f>
        <v>Y</v>
      </c>
      <c r="F54" t="str">
        <f>"חשבוניות מרכזות"</f>
        <v>חשבוניות מרכזות</v>
      </c>
      <c r="G54" t="str">
        <f>"700065"</f>
        <v>700065</v>
      </c>
      <c r="H54" t="str">
        <f>"אלתא מערכות בע""מ"</f>
        <v>אלתא מערכות בע"מ</v>
      </c>
      <c r="I54" t="str">
        <f>"15"</f>
        <v>15</v>
      </c>
      <c r="J54" t="str">
        <f>"OP-AR03702"</f>
        <v>OP-AR03702</v>
      </c>
      <c r="K54" t="str">
        <f>"4080H416-001    HARNESS WS416 - PDU TO LAN SWITH 1&amp;2 - P"</f>
        <v>4080H416-001    HARNESS WS416 - PDU TO LAN SWITH 1&amp;2 - P</v>
      </c>
      <c r="L54">
        <v>1</v>
      </c>
      <c r="M54" t="str">
        <f>"יח"</f>
        <v>יח</v>
      </c>
      <c r="N54">
        <v>1</v>
      </c>
      <c r="O54" t="str">
        <f>"יח"</f>
        <v>יח</v>
      </c>
      <c r="P54">
        <v>539.66999999999996</v>
      </c>
      <c r="Q54" t="str">
        <f>"$"</f>
        <v>$</v>
      </c>
      <c r="R54" t="str">
        <f>"הזמנה"</f>
        <v>הזמנה</v>
      </c>
      <c r="S54">
        <v>0</v>
      </c>
      <c r="T54">
        <v>539.66999999999996</v>
      </c>
      <c r="U54">
        <v>0</v>
      </c>
      <c r="V54">
        <v>539.66999999999996</v>
      </c>
      <c r="W54" t="str">
        <f>"$"</f>
        <v>$</v>
      </c>
      <c r="X54">
        <v>0</v>
      </c>
      <c r="Y54">
        <v>0</v>
      </c>
      <c r="Z54">
        <v>0</v>
      </c>
      <c r="AA54" t="str">
        <f>"Y"</f>
        <v>Y</v>
      </c>
      <c r="AB54" t="str">
        <f>"SO23000307"</f>
        <v>SO23000307</v>
      </c>
      <c r="AC54">
        <v>8</v>
      </c>
      <c r="AD54" s="1">
        <v>45109</v>
      </c>
      <c r="AE54" t="str">
        <f>"SH23001180"</f>
        <v>SH23001180</v>
      </c>
      <c r="AF54" t="str">
        <f>"משלוחים ללקוח"</f>
        <v>משלוחים ללקוח</v>
      </c>
      <c r="AG54" s="1">
        <v>45183</v>
      </c>
      <c r="AM54" t="str">
        <f>"10"</f>
        <v>10</v>
      </c>
      <c r="AN54" t="str">
        <f>"500000"</f>
        <v>500000</v>
      </c>
      <c r="AO54" t="str">
        <f>"הכנסות  מלקוחות"</f>
        <v>הכנסות  מלקוחות</v>
      </c>
      <c r="AQ54" t="str">
        <f>"040"</f>
        <v>040</v>
      </c>
      <c r="AR54">
        <v>0</v>
      </c>
      <c r="AS54">
        <v>0</v>
      </c>
      <c r="AT54">
        <v>3.8490000000000002</v>
      </c>
      <c r="AX54" t="str">
        <f>"E000397683"</f>
        <v>E000397683</v>
      </c>
      <c r="BD54" t="str">
        <f>"רחמים זרוק"</f>
        <v>רחמים זרוק</v>
      </c>
    </row>
    <row r="55" spans="1:56" x14ac:dyDescent="0.3">
      <c r="A55" s="1">
        <v>45197</v>
      </c>
      <c r="B55" t="str">
        <f>"SI236001332"</f>
        <v>SI236001332</v>
      </c>
      <c r="C55" t="str">
        <f>"PR23000433"</f>
        <v>PR23000433</v>
      </c>
      <c r="D55" t="str">
        <f>"PR23000433"</f>
        <v>PR23000433</v>
      </c>
      <c r="E55" t="str">
        <f>"Y"</f>
        <v>Y</v>
      </c>
      <c r="F55" t="str">
        <f>"חשבוניות מרכזות"</f>
        <v>חשבוניות מרכזות</v>
      </c>
      <c r="G55" t="str">
        <f>"700065"</f>
        <v>700065</v>
      </c>
      <c r="H55" t="str">
        <f>"אלתא מערכות בע""מ"</f>
        <v>אלתא מערכות בע"מ</v>
      </c>
      <c r="I55" t="str">
        <f>"15"</f>
        <v>15</v>
      </c>
      <c r="J55" t="str">
        <f>"OP-AR03704"</f>
        <v>OP-AR03704</v>
      </c>
      <c r="K55" t="str">
        <f>"4080H434-001    ETHERNET CABLE WS434 - LS2 TO RFDU - 10/"</f>
        <v>4080H434-001    ETHERNET CABLE WS434 - LS2 TO RFDU - 10/</v>
      </c>
      <c r="L55">
        <v>1</v>
      </c>
      <c r="M55" t="str">
        <f>"יח"</f>
        <v>יח</v>
      </c>
      <c r="N55">
        <v>1</v>
      </c>
      <c r="O55" t="str">
        <f>"יח"</f>
        <v>יח</v>
      </c>
      <c r="P55">
        <v>326.07</v>
      </c>
      <c r="Q55" t="str">
        <f>"$"</f>
        <v>$</v>
      </c>
      <c r="R55" t="str">
        <f>"הזמנה"</f>
        <v>הזמנה</v>
      </c>
      <c r="S55">
        <v>0</v>
      </c>
      <c r="T55">
        <v>326.07</v>
      </c>
      <c r="U55">
        <v>0</v>
      </c>
      <c r="V55">
        <v>326.07</v>
      </c>
      <c r="W55" t="str">
        <f>"$"</f>
        <v>$</v>
      </c>
      <c r="X55">
        <v>0</v>
      </c>
      <c r="Y55">
        <v>0</v>
      </c>
      <c r="Z55">
        <v>0</v>
      </c>
      <c r="AA55" t="str">
        <f>"Y"</f>
        <v>Y</v>
      </c>
      <c r="AB55" t="str">
        <f>"SO23000307"</f>
        <v>SO23000307</v>
      </c>
      <c r="AC55">
        <v>14</v>
      </c>
      <c r="AD55" s="1">
        <v>45109</v>
      </c>
      <c r="AE55" t="str">
        <f>"SH23001180"</f>
        <v>SH23001180</v>
      </c>
      <c r="AF55" t="str">
        <f>"משלוחים ללקוח"</f>
        <v>משלוחים ללקוח</v>
      </c>
      <c r="AG55" s="1">
        <v>45183</v>
      </c>
      <c r="AM55" t="str">
        <f>"10"</f>
        <v>10</v>
      </c>
      <c r="AN55" t="str">
        <f>"500000"</f>
        <v>500000</v>
      </c>
      <c r="AO55" t="str">
        <f>"הכנסות  מלקוחות"</f>
        <v>הכנסות  מלקוחות</v>
      </c>
      <c r="AQ55" t="str">
        <f>"040"</f>
        <v>040</v>
      </c>
      <c r="AR55">
        <v>0</v>
      </c>
      <c r="AS55">
        <v>0</v>
      </c>
      <c r="AT55">
        <v>3.8490000000000002</v>
      </c>
      <c r="AX55" t="str">
        <f>"E000397683"</f>
        <v>E000397683</v>
      </c>
      <c r="BD55" t="str">
        <f>"רחמים זרוק"</f>
        <v>רחמים זרוק</v>
      </c>
    </row>
    <row r="56" spans="1:56" x14ac:dyDescent="0.3">
      <c r="A56" s="1">
        <v>45197</v>
      </c>
      <c r="B56" t="str">
        <f>"SI236001332"</f>
        <v>SI236001332</v>
      </c>
      <c r="C56" t="str">
        <f>"PR23000433"</f>
        <v>PR23000433</v>
      </c>
      <c r="D56" t="str">
        <f>"PR23000433"</f>
        <v>PR23000433</v>
      </c>
      <c r="E56" t="str">
        <f>"Y"</f>
        <v>Y</v>
      </c>
      <c r="F56" t="str">
        <f>"חשבוניות מרכזות"</f>
        <v>חשבוניות מרכזות</v>
      </c>
      <c r="G56" t="str">
        <f>"700065"</f>
        <v>700065</v>
      </c>
      <c r="H56" t="str">
        <f>"אלתא מערכות בע""מ"</f>
        <v>אלתא מערכות בע"מ</v>
      </c>
      <c r="I56" t="str">
        <f>"15"</f>
        <v>15</v>
      </c>
      <c r="J56" t="str">
        <f>"OP-AR03704"</f>
        <v>OP-AR03704</v>
      </c>
      <c r="K56" t="str">
        <f>"4080H434-001    ETHERNET CABLE WS434 - LS2 TO RFDU - 10/"</f>
        <v>4080H434-001    ETHERNET CABLE WS434 - LS2 TO RFDU - 10/</v>
      </c>
      <c r="L56">
        <v>1</v>
      </c>
      <c r="M56" t="str">
        <f>"יח"</f>
        <v>יח</v>
      </c>
      <c r="N56">
        <v>1</v>
      </c>
      <c r="O56" t="str">
        <f>"יח"</f>
        <v>יח</v>
      </c>
      <c r="P56">
        <v>326.07</v>
      </c>
      <c r="Q56" t="str">
        <f>"$"</f>
        <v>$</v>
      </c>
      <c r="R56" t="str">
        <f>"הזמנה"</f>
        <v>הזמנה</v>
      </c>
      <c r="S56">
        <v>0</v>
      </c>
      <c r="T56">
        <v>326.07</v>
      </c>
      <c r="U56">
        <v>0</v>
      </c>
      <c r="V56">
        <v>326.07</v>
      </c>
      <c r="W56" t="str">
        <f>"$"</f>
        <v>$</v>
      </c>
      <c r="X56">
        <v>0</v>
      </c>
      <c r="Y56">
        <v>0</v>
      </c>
      <c r="Z56">
        <v>0</v>
      </c>
      <c r="AA56" t="str">
        <f>"Y"</f>
        <v>Y</v>
      </c>
      <c r="AB56" t="str">
        <f>"SO23000307"</f>
        <v>SO23000307</v>
      </c>
      <c r="AC56">
        <v>15</v>
      </c>
      <c r="AD56" s="1">
        <v>45109</v>
      </c>
      <c r="AE56" t="str">
        <f>"SH23001180"</f>
        <v>SH23001180</v>
      </c>
      <c r="AF56" t="str">
        <f>"משלוחים ללקוח"</f>
        <v>משלוחים ללקוח</v>
      </c>
      <c r="AG56" s="1">
        <v>45183</v>
      </c>
      <c r="AM56" t="str">
        <f>"10"</f>
        <v>10</v>
      </c>
      <c r="AN56" t="str">
        <f>"500000"</f>
        <v>500000</v>
      </c>
      <c r="AO56" t="str">
        <f>"הכנסות  מלקוחות"</f>
        <v>הכנסות  מלקוחות</v>
      </c>
      <c r="AQ56" t="str">
        <f>"040"</f>
        <v>040</v>
      </c>
      <c r="AR56">
        <v>0</v>
      </c>
      <c r="AS56">
        <v>0</v>
      </c>
      <c r="AT56">
        <v>3.8490000000000002</v>
      </c>
      <c r="AX56" t="str">
        <f>"E000397683"</f>
        <v>E000397683</v>
      </c>
      <c r="BD56" t="str">
        <f>"רחמים זרוק"</f>
        <v>רחמים זרוק</v>
      </c>
    </row>
    <row r="57" spans="1:56" x14ac:dyDescent="0.3">
      <c r="A57" s="1">
        <v>45197</v>
      </c>
      <c r="B57" t="str">
        <f>"SI236001332"</f>
        <v>SI236001332</v>
      </c>
      <c r="C57" t="str">
        <f>"PR23000433"</f>
        <v>PR23000433</v>
      </c>
      <c r="D57" t="str">
        <f>"PR23000433"</f>
        <v>PR23000433</v>
      </c>
      <c r="E57" t="str">
        <f>"Y"</f>
        <v>Y</v>
      </c>
      <c r="F57" t="str">
        <f>"חשבוניות מרכזות"</f>
        <v>חשבוניות מרכזות</v>
      </c>
      <c r="G57" t="str">
        <f>"700065"</f>
        <v>700065</v>
      </c>
      <c r="H57" t="str">
        <f>"אלתא מערכות בע""מ"</f>
        <v>אלתא מערכות בע"מ</v>
      </c>
      <c r="I57" t="str">
        <f>"15"</f>
        <v>15</v>
      </c>
      <c r="J57" t="str">
        <f>"OP-AR03710"</f>
        <v>OP-AR03710</v>
      </c>
      <c r="K57" t="str">
        <f>"4080H435-001    ETHERNET CABLE WS435 - LS2 TO PDU - 10/1"</f>
        <v>4080H435-001    ETHERNET CABLE WS435 - LS2 TO PDU - 10/1</v>
      </c>
      <c r="L57">
        <v>1</v>
      </c>
      <c r="M57" t="str">
        <f>"יח"</f>
        <v>יח</v>
      </c>
      <c r="N57">
        <v>1</v>
      </c>
      <c r="O57" t="str">
        <f>"יח"</f>
        <v>יח</v>
      </c>
      <c r="P57">
        <v>352.95</v>
      </c>
      <c r="Q57" t="str">
        <f>"$"</f>
        <v>$</v>
      </c>
      <c r="R57" t="str">
        <f>"הזמנה"</f>
        <v>הזמנה</v>
      </c>
      <c r="S57">
        <v>0</v>
      </c>
      <c r="T57">
        <v>352.95</v>
      </c>
      <c r="U57">
        <v>0</v>
      </c>
      <c r="V57">
        <v>352.95</v>
      </c>
      <c r="W57" t="str">
        <f>"$"</f>
        <v>$</v>
      </c>
      <c r="X57">
        <v>0</v>
      </c>
      <c r="Y57">
        <v>0</v>
      </c>
      <c r="Z57">
        <v>0</v>
      </c>
      <c r="AA57" t="str">
        <f>"Y"</f>
        <v>Y</v>
      </c>
      <c r="AB57" t="str">
        <f>"SO23000307"</f>
        <v>SO23000307</v>
      </c>
      <c r="AC57">
        <v>32</v>
      </c>
      <c r="AD57" s="1">
        <v>45109</v>
      </c>
      <c r="AE57" t="str">
        <f>"SH23001180"</f>
        <v>SH23001180</v>
      </c>
      <c r="AF57" t="str">
        <f>"משלוחים ללקוח"</f>
        <v>משלוחים ללקוח</v>
      </c>
      <c r="AG57" s="1">
        <v>45183</v>
      </c>
      <c r="AM57" t="str">
        <f>"10"</f>
        <v>10</v>
      </c>
      <c r="AN57" t="str">
        <f>"500000"</f>
        <v>500000</v>
      </c>
      <c r="AO57" t="str">
        <f>"הכנסות  מלקוחות"</f>
        <v>הכנסות  מלקוחות</v>
      </c>
      <c r="AQ57" t="str">
        <f>"040"</f>
        <v>040</v>
      </c>
      <c r="AR57">
        <v>0</v>
      </c>
      <c r="AS57">
        <v>0</v>
      </c>
      <c r="AT57">
        <v>3.8490000000000002</v>
      </c>
      <c r="AX57" t="str">
        <f>"E000397683"</f>
        <v>E000397683</v>
      </c>
      <c r="BD57" t="str">
        <f>"רחמים זרוק"</f>
        <v>רחמים זרוק</v>
      </c>
    </row>
    <row r="58" spans="1:56" x14ac:dyDescent="0.3">
      <c r="A58" s="1">
        <v>45197</v>
      </c>
      <c r="B58" t="str">
        <f>"SI236001332"</f>
        <v>SI236001332</v>
      </c>
      <c r="C58" t="str">
        <f>"PR23000433"</f>
        <v>PR23000433</v>
      </c>
      <c r="D58" t="str">
        <f>"PR23000433"</f>
        <v>PR23000433</v>
      </c>
      <c r="E58" t="str">
        <f>"Y"</f>
        <v>Y</v>
      </c>
      <c r="F58" t="str">
        <f>"חשבוניות מרכזות"</f>
        <v>חשבוניות מרכזות</v>
      </c>
      <c r="G58" t="str">
        <f>"700065"</f>
        <v>700065</v>
      </c>
      <c r="H58" t="str">
        <f>"אלתא מערכות בע""מ"</f>
        <v>אלתא מערכות בע"מ</v>
      </c>
      <c r="I58" t="str">
        <f>"15"</f>
        <v>15</v>
      </c>
      <c r="J58" t="str">
        <f>"OP-AR03710"</f>
        <v>OP-AR03710</v>
      </c>
      <c r="K58" t="str">
        <f>"4080H435-001    ETHERNET CABLE WS435 - LS2 TO PDU - 10/1"</f>
        <v>4080H435-001    ETHERNET CABLE WS435 - LS2 TO PDU - 10/1</v>
      </c>
      <c r="L58">
        <v>1</v>
      </c>
      <c r="M58" t="str">
        <f>"יח"</f>
        <v>יח</v>
      </c>
      <c r="N58">
        <v>1</v>
      </c>
      <c r="O58" t="str">
        <f>"יח"</f>
        <v>יח</v>
      </c>
      <c r="P58">
        <v>352.95</v>
      </c>
      <c r="Q58" t="str">
        <f>"$"</f>
        <v>$</v>
      </c>
      <c r="R58" t="str">
        <f>"הזמנה"</f>
        <v>הזמנה</v>
      </c>
      <c r="S58">
        <v>0</v>
      </c>
      <c r="T58">
        <v>352.95</v>
      </c>
      <c r="U58">
        <v>0</v>
      </c>
      <c r="V58">
        <v>352.95</v>
      </c>
      <c r="W58" t="str">
        <f>"$"</f>
        <v>$</v>
      </c>
      <c r="X58">
        <v>0</v>
      </c>
      <c r="Y58">
        <v>0</v>
      </c>
      <c r="Z58">
        <v>0</v>
      </c>
      <c r="AA58" t="str">
        <f>"Y"</f>
        <v>Y</v>
      </c>
      <c r="AB58" t="str">
        <f>"SO23000307"</f>
        <v>SO23000307</v>
      </c>
      <c r="AC58">
        <v>33</v>
      </c>
      <c r="AD58" s="1">
        <v>45109</v>
      </c>
      <c r="AE58" t="str">
        <f>"SH23001180"</f>
        <v>SH23001180</v>
      </c>
      <c r="AF58" t="str">
        <f>"משלוחים ללקוח"</f>
        <v>משלוחים ללקוח</v>
      </c>
      <c r="AG58" s="1">
        <v>45183</v>
      </c>
      <c r="AM58" t="str">
        <f>"10"</f>
        <v>10</v>
      </c>
      <c r="AN58" t="str">
        <f>"500000"</f>
        <v>500000</v>
      </c>
      <c r="AO58" t="str">
        <f>"הכנסות  מלקוחות"</f>
        <v>הכנסות  מלקוחות</v>
      </c>
      <c r="AQ58" t="str">
        <f>"040"</f>
        <v>040</v>
      </c>
      <c r="AR58">
        <v>0</v>
      </c>
      <c r="AS58">
        <v>0</v>
      </c>
      <c r="AT58">
        <v>3.8490000000000002</v>
      </c>
      <c r="AX58" t="str">
        <f>"E000397683"</f>
        <v>E000397683</v>
      </c>
      <c r="BD58" t="str">
        <f>"רחמים זרוק"</f>
        <v>רחמים זרוק</v>
      </c>
    </row>
    <row r="59" spans="1:56" x14ac:dyDescent="0.3">
      <c r="A59" s="1">
        <v>45197</v>
      </c>
      <c r="B59" t="str">
        <f>"SI236001332"</f>
        <v>SI236001332</v>
      </c>
      <c r="C59" t="str">
        <f>"PR23000433"</f>
        <v>PR23000433</v>
      </c>
      <c r="D59" t="str">
        <f>"PR23000433"</f>
        <v>PR23000433</v>
      </c>
      <c r="E59" t="str">
        <f>"Y"</f>
        <v>Y</v>
      </c>
      <c r="F59" t="str">
        <f>"חשבוניות מרכזות"</f>
        <v>חשבוניות מרכזות</v>
      </c>
      <c r="G59" t="str">
        <f>"700065"</f>
        <v>700065</v>
      </c>
      <c r="H59" t="str">
        <f>"אלתא מערכות בע""מ"</f>
        <v>אלתא מערכות בע"מ</v>
      </c>
      <c r="I59" t="str">
        <f>"15"</f>
        <v>15</v>
      </c>
      <c r="J59" t="str">
        <f>"OP-AR03711"</f>
        <v>OP-AR03711</v>
      </c>
      <c r="K59" t="str">
        <f>"4080H424-001    ETHERNET CABLE WS424 - LS1 TO MAINTENANC"</f>
        <v>4080H424-001    ETHERNET CABLE WS424 - LS1 TO MAINTENANC</v>
      </c>
      <c r="L59">
        <v>1</v>
      </c>
      <c r="M59" t="str">
        <f>"יח"</f>
        <v>יח</v>
      </c>
      <c r="N59">
        <v>1</v>
      </c>
      <c r="O59" t="str">
        <f>"יח"</f>
        <v>יח</v>
      </c>
      <c r="P59">
        <v>368.58</v>
      </c>
      <c r="Q59" t="str">
        <f>"$"</f>
        <v>$</v>
      </c>
      <c r="R59" t="str">
        <f>"הזמנה"</f>
        <v>הזמנה</v>
      </c>
      <c r="S59">
        <v>0</v>
      </c>
      <c r="T59">
        <v>368.58</v>
      </c>
      <c r="U59">
        <v>0</v>
      </c>
      <c r="V59">
        <v>368.58</v>
      </c>
      <c r="W59" t="str">
        <f>"$"</f>
        <v>$</v>
      </c>
      <c r="X59">
        <v>0</v>
      </c>
      <c r="Y59">
        <v>0</v>
      </c>
      <c r="Z59">
        <v>0</v>
      </c>
      <c r="AA59" t="str">
        <f>"Y"</f>
        <v>Y</v>
      </c>
      <c r="AB59" t="str">
        <f>"SO23000307"</f>
        <v>SO23000307</v>
      </c>
      <c r="AC59">
        <v>35</v>
      </c>
      <c r="AD59" s="1">
        <v>45109</v>
      </c>
      <c r="AE59" t="str">
        <f>"SH23001180"</f>
        <v>SH23001180</v>
      </c>
      <c r="AF59" t="str">
        <f>"משלוחים ללקוח"</f>
        <v>משלוחים ללקוח</v>
      </c>
      <c r="AG59" s="1">
        <v>45183</v>
      </c>
      <c r="AM59" t="str">
        <f>"10"</f>
        <v>10</v>
      </c>
      <c r="AN59" t="str">
        <f>"500000"</f>
        <v>500000</v>
      </c>
      <c r="AO59" t="str">
        <f>"הכנסות  מלקוחות"</f>
        <v>הכנסות  מלקוחות</v>
      </c>
      <c r="AQ59" t="str">
        <f>"040"</f>
        <v>040</v>
      </c>
      <c r="AR59">
        <v>0</v>
      </c>
      <c r="AS59">
        <v>0</v>
      </c>
      <c r="AT59">
        <v>3.8490000000000002</v>
      </c>
      <c r="AX59" t="str">
        <f>"E000397683"</f>
        <v>E000397683</v>
      </c>
      <c r="BD59" t="str">
        <f>"רחמים זרוק"</f>
        <v>רחמים זרוק</v>
      </c>
    </row>
    <row r="60" spans="1:56" x14ac:dyDescent="0.3">
      <c r="A60" s="1">
        <v>45197</v>
      </c>
      <c r="B60" t="str">
        <f>"SI236001332"</f>
        <v>SI236001332</v>
      </c>
      <c r="C60" t="str">
        <f>"PR23000433"</f>
        <v>PR23000433</v>
      </c>
      <c r="D60" t="str">
        <f>"PR23000433"</f>
        <v>PR23000433</v>
      </c>
      <c r="E60" t="str">
        <f>"Y"</f>
        <v>Y</v>
      </c>
      <c r="F60" t="str">
        <f>"חשבוניות מרכזות"</f>
        <v>חשבוניות מרכזות</v>
      </c>
      <c r="G60" t="str">
        <f>"700065"</f>
        <v>700065</v>
      </c>
      <c r="H60" t="str">
        <f>"אלתא מערכות בע""מ"</f>
        <v>אלתא מערכות בע"מ</v>
      </c>
      <c r="I60" t="str">
        <f>"15"</f>
        <v>15</v>
      </c>
      <c r="J60" t="str">
        <f>"OP-AR03711"</f>
        <v>OP-AR03711</v>
      </c>
      <c r="K60" t="str">
        <f>"4080H424-001    ETHERNET CABLE WS424 - LS1 TO MAINTENANC"</f>
        <v>4080H424-001    ETHERNET CABLE WS424 - LS1 TO MAINTENANC</v>
      </c>
      <c r="L60">
        <v>1</v>
      </c>
      <c r="M60" t="str">
        <f>"יח"</f>
        <v>יח</v>
      </c>
      <c r="N60">
        <v>1</v>
      </c>
      <c r="O60" t="str">
        <f>"יח"</f>
        <v>יח</v>
      </c>
      <c r="P60">
        <v>368.58</v>
      </c>
      <c r="Q60" t="str">
        <f>"$"</f>
        <v>$</v>
      </c>
      <c r="R60" t="str">
        <f>"הזמנה"</f>
        <v>הזמנה</v>
      </c>
      <c r="S60">
        <v>0</v>
      </c>
      <c r="T60">
        <v>368.58</v>
      </c>
      <c r="U60">
        <v>0</v>
      </c>
      <c r="V60">
        <v>368.58</v>
      </c>
      <c r="W60" t="str">
        <f>"$"</f>
        <v>$</v>
      </c>
      <c r="X60">
        <v>0</v>
      </c>
      <c r="Y60">
        <v>0</v>
      </c>
      <c r="Z60">
        <v>0</v>
      </c>
      <c r="AA60" t="str">
        <f>"Y"</f>
        <v>Y</v>
      </c>
      <c r="AB60" t="str">
        <f>"SO23000307"</f>
        <v>SO23000307</v>
      </c>
      <c r="AC60">
        <v>36</v>
      </c>
      <c r="AD60" s="1">
        <v>45109</v>
      </c>
      <c r="AE60" t="str">
        <f>"SH23001180"</f>
        <v>SH23001180</v>
      </c>
      <c r="AF60" t="str">
        <f>"משלוחים ללקוח"</f>
        <v>משלוחים ללקוח</v>
      </c>
      <c r="AG60" s="1">
        <v>45183</v>
      </c>
      <c r="AM60" t="str">
        <f>"10"</f>
        <v>10</v>
      </c>
      <c r="AN60" t="str">
        <f>"500000"</f>
        <v>500000</v>
      </c>
      <c r="AO60" t="str">
        <f>"הכנסות  מלקוחות"</f>
        <v>הכנסות  מלקוחות</v>
      </c>
      <c r="AQ60" t="str">
        <f>"040"</f>
        <v>040</v>
      </c>
      <c r="AR60">
        <v>0</v>
      </c>
      <c r="AS60">
        <v>0</v>
      </c>
      <c r="AT60">
        <v>3.8490000000000002</v>
      </c>
      <c r="AX60" t="str">
        <f>"E000397683"</f>
        <v>E000397683</v>
      </c>
      <c r="BD60" t="str">
        <f>"רחמים זרוק"</f>
        <v>רחמים זרוק</v>
      </c>
    </row>
    <row r="61" spans="1:56" x14ac:dyDescent="0.3">
      <c r="A61" s="1">
        <v>45197</v>
      </c>
      <c r="B61" t="str">
        <f>"SI236001332"</f>
        <v>SI236001332</v>
      </c>
      <c r="C61" t="str">
        <f>"PR23000433"</f>
        <v>PR23000433</v>
      </c>
      <c r="D61" t="str">
        <f>"PR23000433"</f>
        <v>PR23000433</v>
      </c>
      <c r="E61" t="str">
        <f>"Y"</f>
        <v>Y</v>
      </c>
      <c r="F61" t="str">
        <f>"חשבוניות מרכזות"</f>
        <v>חשבוניות מרכזות</v>
      </c>
      <c r="G61" t="str">
        <f>"700065"</f>
        <v>700065</v>
      </c>
      <c r="H61" t="str">
        <f>"אלתא מערכות בע""מ"</f>
        <v>אלתא מערכות בע"מ</v>
      </c>
      <c r="I61" t="str">
        <f>"15"</f>
        <v>15</v>
      </c>
      <c r="J61" t="str">
        <f>"OP-AR03715"</f>
        <v>OP-AR03715</v>
      </c>
      <c r="K61" t="str">
        <f>"4080H426-001    ETHERNET CABLE WS426 - LS1 TO LS2 - 1G"</f>
        <v>4080H426-001    ETHERNET CABLE WS426 - LS1 TO LS2 - 1G</v>
      </c>
      <c r="L61">
        <v>2</v>
      </c>
      <c r="M61" t="str">
        <f>"יח"</f>
        <v>יח</v>
      </c>
      <c r="N61">
        <v>2</v>
      </c>
      <c r="O61" t="str">
        <f>"יח"</f>
        <v>יח</v>
      </c>
      <c r="P61">
        <v>139.32</v>
      </c>
      <c r="Q61" t="str">
        <f>"$"</f>
        <v>$</v>
      </c>
      <c r="R61" t="str">
        <f>"הזמנה"</f>
        <v>הזמנה</v>
      </c>
      <c r="S61">
        <v>0</v>
      </c>
      <c r="T61">
        <v>278.64</v>
      </c>
      <c r="U61">
        <v>0</v>
      </c>
      <c r="V61">
        <v>278.64</v>
      </c>
      <c r="W61" t="str">
        <f>"$"</f>
        <v>$</v>
      </c>
      <c r="X61">
        <v>0</v>
      </c>
      <c r="Y61">
        <v>0</v>
      </c>
      <c r="Z61">
        <v>0</v>
      </c>
      <c r="AA61" t="str">
        <f>"Y"</f>
        <v>Y</v>
      </c>
      <c r="AB61" t="str">
        <f>"SO23000307"</f>
        <v>SO23000307</v>
      </c>
      <c r="AC61">
        <v>46</v>
      </c>
      <c r="AD61" s="1">
        <v>45109</v>
      </c>
      <c r="AE61" t="str">
        <f>"SH23001180"</f>
        <v>SH23001180</v>
      </c>
      <c r="AF61" t="str">
        <f>"משלוחים ללקוח"</f>
        <v>משלוחים ללקוח</v>
      </c>
      <c r="AG61" s="1">
        <v>45183</v>
      </c>
      <c r="AM61" t="str">
        <f>"10"</f>
        <v>10</v>
      </c>
      <c r="AN61" t="str">
        <f>"500000"</f>
        <v>500000</v>
      </c>
      <c r="AO61" t="str">
        <f>"הכנסות  מלקוחות"</f>
        <v>הכנסות  מלקוחות</v>
      </c>
      <c r="AQ61" t="str">
        <f>"040"</f>
        <v>040</v>
      </c>
      <c r="AR61">
        <v>0</v>
      </c>
      <c r="AS61">
        <v>0</v>
      </c>
      <c r="AT61">
        <v>3.8490000000000002</v>
      </c>
      <c r="AX61" t="str">
        <f>"E000397683"</f>
        <v>E000397683</v>
      </c>
      <c r="BD61" t="str">
        <f>"רחמים זרוק"</f>
        <v>רחמים זרוק</v>
      </c>
    </row>
    <row r="62" spans="1:56" x14ac:dyDescent="0.3">
      <c r="A62" s="1">
        <v>45197</v>
      </c>
      <c r="B62" t="str">
        <f>"SI236001332"</f>
        <v>SI236001332</v>
      </c>
      <c r="C62" t="str">
        <f>"PR23000433"</f>
        <v>PR23000433</v>
      </c>
      <c r="D62" t="str">
        <f>"PR23000433"</f>
        <v>PR23000433</v>
      </c>
      <c r="E62" t="str">
        <f>"Y"</f>
        <v>Y</v>
      </c>
      <c r="F62" t="str">
        <f>"חשבוניות מרכזות"</f>
        <v>חשבוניות מרכזות</v>
      </c>
      <c r="G62" t="str">
        <f>"700065"</f>
        <v>700065</v>
      </c>
      <c r="H62" t="str">
        <f>"אלתא מערכות בע""מ"</f>
        <v>אלתא מערכות בע"מ</v>
      </c>
      <c r="I62" t="str">
        <f>"15"</f>
        <v>15</v>
      </c>
      <c r="J62" t="str">
        <f>"OP-AR03715"</f>
        <v>OP-AR03715</v>
      </c>
      <c r="K62" t="str">
        <f>"4080H426-001    ETHERNET CABLE WS426 - LS1 TO LS2 - 1G"</f>
        <v>4080H426-001    ETHERNET CABLE WS426 - LS1 TO LS2 - 1G</v>
      </c>
      <c r="L62">
        <v>1</v>
      </c>
      <c r="M62" t="str">
        <f>"יח"</f>
        <v>יח</v>
      </c>
      <c r="N62">
        <v>1</v>
      </c>
      <c r="O62" t="str">
        <f>"יח"</f>
        <v>יח</v>
      </c>
      <c r="P62">
        <v>139.32</v>
      </c>
      <c r="Q62" t="str">
        <f>"$"</f>
        <v>$</v>
      </c>
      <c r="R62" t="str">
        <f>"הזמנה"</f>
        <v>הזמנה</v>
      </c>
      <c r="S62">
        <v>0</v>
      </c>
      <c r="T62">
        <v>139.32</v>
      </c>
      <c r="U62">
        <v>0</v>
      </c>
      <c r="V62">
        <v>139.32</v>
      </c>
      <c r="W62" t="str">
        <f>"$"</f>
        <v>$</v>
      </c>
      <c r="X62">
        <v>0</v>
      </c>
      <c r="Y62">
        <v>0</v>
      </c>
      <c r="Z62">
        <v>0</v>
      </c>
      <c r="AA62" t="str">
        <f>"Y"</f>
        <v>Y</v>
      </c>
      <c r="AB62" t="str">
        <f>"SO23000307"</f>
        <v>SO23000307</v>
      </c>
      <c r="AC62">
        <v>48</v>
      </c>
      <c r="AD62" s="1">
        <v>45109</v>
      </c>
      <c r="AE62" t="str">
        <f>"SH23001180"</f>
        <v>SH23001180</v>
      </c>
      <c r="AF62" t="str">
        <f>"משלוחים ללקוח"</f>
        <v>משלוחים ללקוח</v>
      </c>
      <c r="AG62" s="1">
        <v>45183</v>
      </c>
      <c r="AM62" t="str">
        <f>"10"</f>
        <v>10</v>
      </c>
      <c r="AN62" t="str">
        <f>"500000"</f>
        <v>500000</v>
      </c>
      <c r="AO62" t="str">
        <f>"הכנסות  מלקוחות"</f>
        <v>הכנסות  מלקוחות</v>
      </c>
      <c r="AQ62" t="str">
        <f>"040"</f>
        <v>040</v>
      </c>
      <c r="AR62">
        <v>0</v>
      </c>
      <c r="AS62">
        <v>0</v>
      </c>
      <c r="AT62">
        <v>3.8490000000000002</v>
      </c>
      <c r="AX62" t="str">
        <f>"E000397683"</f>
        <v>E000397683</v>
      </c>
      <c r="BD62" t="str">
        <f>"רחמים זרוק"</f>
        <v>רחמים זרוק</v>
      </c>
    </row>
    <row r="63" spans="1:56" x14ac:dyDescent="0.3">
      <c r="A63" s="1">
        <v>45197</v>
      </c>
      <c r="B63" t="str">
        <f>"SI236001332"</f>
        <v>SI236001332</v>
      </c>
      <c r="C63" t="str">
        <f>"PR23000433"</f>
        <v>PR23000433</v>
      </c>
      <c r="D63" t="str">
        <f>"PR23000433"</f>
        <v>PR23000433</v>
      </c>
      <c r="E63" t="str">
        <f>"Y"</f>
        <v>Y</v>
      </c>
      <c r="F63" t="str">
        <f>"חשבוניות מרכזות"</f>
        <v>חשבוניות מרכזות</v>
      </c>
      <c r="G63" t="str">
        <f>"700065"</f>
        <v>700065</v>
      </c>
      <c r="H63" t="str">
        <f>"אלתא מערכות בע""מ"</f>
        <v>אלתא מערכות בע"מ</v>
      </c>
      <c r="I63" t="str">
        <f>"15"</f>
        <v>15</v>
      </c>
      <c r="J63" t="str">
        <f>"OP-AR03717"</f>
        <v>OP-AR03717</v>
      </c>
      <c r="K63" t="str">
        <f>"4080H419-001     HARNESS WS419 - PDU TO TU/PU AND RFDU -"</f>
        <v>4080H419-001     HARNESS WS419 - PDU TO TU/PU AND RFDU -</v>
      </c>
      <c r="L63">
        <v>1</v>
      </c>
      <c r="M63" t="str">
        <f>"יח"</f>
        <v>יח</v>
      </c>
      <c r="N63">
        <v>1</v>
      </c>
      <c r="O63" t="str">
        <f>"יח"</f>
        <v>יח</v>
      </c>
      <c r="P63" s="2">
        <v>1097.53</v>
      </c>
      <c r="Q63" t="str">
        <f>"$"</f>
        <v>$</v>
      </c>
      <c r="R63" t="str">
        <f>"הזמנה"</f>
        <v>הזמנה</v>
      </c>
      <c r="S63">
        <v>0</v>
      </c>
      <c r="T63" s="2">
        <v>1097.53</v>
      </c>
      <c r="U63">
        <v>0</v>
      </c>
      <c r="V63" s="2">
        <v>1097.53</v>
      </c>
      <c r="W63" t="str">
        <f>"$"</f>
        <v>$</v>
      </c>
      <c r="X63">
        <v>0</v>
      </c>
      <c r="Y63">
        <v>0</v>
      </c>
      <c r="Z63">
        <v>0</v>
      </c>
      <c r="AA63" t="str">
        <f>"Y"</f>
        <v>Y</v>
      </c>
      <c r="AB63" t="str">
        <f>"SO23000307"</f>
        <v>SO23000307</v>
      </c>
      <c r="AC63">
        <v>53</v>
      </c>
      <c r="AD63" s="1">
        <v>45109</v>
      </c>
      <c r="AE63" t="str">
        <f>"SH23001180"</f>
        <v>SH23001180</v>
      </c>
      <c r="AF63" t="str">
        <f>"משלוחים ללקוח"</f>
        <v>משלוחים ללקוח</v>
      </c>
      <c r="AG63" s="1">
        <v>45183</v>
      </c>
      <c r="AM63" t="str">
        <f>"10"</f>
        <v>10</v>
      </c>
      <c r="AN63" t="str">
        <f>"500000"</f>
        <v>500000</v>
      </c>
      <c r="AO63" t="str">
        <f>"הכנסות  מלקוחות"</f>
        <v>הכנסות  מלקוחות</v>
      </c>
      <c r="AQ63" t="str">
        <f>"040"</f>
        <v>040</v>
      </c>
      <c r="AR63">
        <v>0</v>
      </c>
      <c r="AS63">
        <v>0</v>
      </c>
      <c r="AT63">
        <v>3.8490000000000002</v>
      </c>
      <c r="AX63" t="str">
        <f>"E000397683"</f>
        <v>E000397683</v>
      </c>
      <c r="BD63" t="str">
        <f>"רחמים זרוק"</f>
        <v>רחמים זרוק</v>
      </c>
    </row>
    <row r="64" spans="1:56" x14ac:dyDescent="0.3">
      <c r="A64" s="1">
        <v>45197</v>
      </c>
      <c r="B64" t="str">
        <f>"SI236001332"</f>
        <v>SI236001332</v>
      </c>
      <c r="C64" t="str">
        <f>"PR23000433"</f>
        <v>PR23000433</v>
      </c>
      <c r="D64" t="str">
        <f>"PR23000433"</f>
        <v>PR23000433</v>
      </c>
      <c r="E64" t="str">
        <f>"Y"</f>
        <v>Y</v>
      </c>
      <c r="F64" t="str">
        <f>"חשבוניות מרכזות"</f>
        <v>חשבוניות מרכזות</v>
      </c>
      <c r="G64" t="str">
        <f>"700065"</f>
        <v>700065</v>
      </c>
      <c r="H64" t="str">
        <f>"אלתא מערכות בע""מ"</f>
        <v>אלתא מערכות בע"מ</v>
      </c>
      <c r="I64" t="str">
        <f>"15"</f>
        <v>15</v>
      </c>
      <c r="J64" t="str">
        <f>"OP-AR03717"</f>
        <v>OP-AR03717</v>
      </c>
      <c r="K64" t="str">
        <f>"4080H419-001     HARNESS WS419 - PDU TO TU/PU AND RFDU -"</f>
        <v>4080H419-001     HARNESS WS419 - PDU TO TU/PU AND RFDU -</v>
      </c>
      <c r="L64">
        <v>1</v>
      </c>
      <c r="M64" t="str">
        <f>"יח"</f>
        <v>יח</v>
      </c>
      <c r="N64">
        <v>1</v>
      </c>
      <c r="O64" t="str">
        <f>"יח"</f>
        <v>יח</v>
      </c>
      <c r="P64" s="2">
        <v>1097.53</v>
      </c>
      <c r="Q64" t="str">
        <f>"$"</f>
        <v>$</v>
      </c>
      <c r="R64" t="str">
        <f>"הזמנה"</f>
        <v>הזמנה</v>
      </c>
      <c r="S64">
        <v>0</v>
      </c>
      <c r="T64" s="2">
        <v>1097.53</v>
      </c>
      <c r="U64">
        <v>0</v>
      </c>
      <c r="V64" s="2">
        <v>1097.53</v>
      </c>
      <c r="W64" t="str">
        <f>"$"</f>
        <v>$</v>
      </c>
      <c r="X64">
        <v>0</v>
      </c>
      <c r="Y64">
        <v>0</v>
      </c>
      <c r="Z64">
        <v>0</v>
      </c>
      <c r="AA64" t="str">
        <f>"Y"</f>
        <v>Y</v>
      </c>
      <c r="AB64" t="str">
        <f>"SO23000307"</f>
        <v>SO23000307</v>
      </c>
      <c r="AC64">
        <v>54</v>
      </c>
      <c r="AD64" s="1">
        <v>45109</v>
      </c>
      <c r="AE64" t="str">
        <f>"SH23001180"</f>
        <v>SH23001180</v>
      </c>
      <c r="AF64" t="str">
        <f>"משלוחים ללקוח"</f>
        <v>משלוחים ללקוח</v>
      </c>
      <c r="AG64" s="1">
        <v>45183</v>
      </c>
      <c r="AM64" t="str">
        <f>"10"</f>
        <v>10</v>
      </c>
      <c r="AN64" t="str">
        <f>"500000"</f>
        <v>500000</v>
      </c>
      <c r="AO64" t="str">
        <f>"הכנסות  מלקוחות"</f>
        <v>הכנסות  מלקוחות</v>
      </c>
      <c r="AQ64" t="str">
        <f>"040"</f>
        <v>040</v>
      </c>
      <c r="AR64">
        <v>0</v>
      </c>
      <c r="AS64">
        <v>0</v>
      </c>
      <c r="AT64">
        <v>3.8490000000000002</v>
      </c>
      <c r="AX64" t="str">
        <f>"E000397683"</f>
        <v>E000397683</v>
      </c>
      <c r="BD64" t="str">
        <f>"רחמים זרוק"</f>
        <v>רחמים זרוק</v>
      </c>
    </row>
    <row r="65" spans="1:56" x14ac:dyDescent="0.3">
      <c r="A65" s="1">
        <v>45197</v>
      </c>
      <c r="B65" t="str">
        <f>"SI236001331"</f>
        <v>SI236001331</v>
      </c>
      <c r="C65" t="str">
        <f>"PR22000674"</f>
        <v>PR22000674</v>
      </c>
      <c r="E65" t="str">
        <f>"Y"</f>
        <v>Y</v>
      </c>
      <c r="F65" t="str">
        <f>"חשבוניות מרכזות"</f>
        <v>חשבוניות מרכזות</v>
      </c>
      <c r="G65" t="str">
        <f>"700065"</f>
        <v>700065</v>
      </c>
      <c r="H65" t="str">
        <f>"אלתא מערכות בע""מ"</f>
        <v>אלתא מערכות בע"מ</v>
      </c>
      <c r="I65" t="str">
        <f>"15"</f>
        <v>15</v>
      </c>
      <c r="J65" t="str">
        <f>"OP-AR03381"</f>
        <v>OP-AR03381</v>
      </c>
      <c r="K65" t="str">
        <f>"1094F820-001    CABLE W10"</f>
        <v>1094F820-001    CABLE W10</v>
      </c>
      <c r="L65">
        <v>1</v>
      </c>
      <c r="M65" t="str">
        <f>"יח"</f>
        <v>יח</v>
      </c>
      <c r="N65">
        <v>1</v>
      </c>
      <c r="O65" t="str">
        <f>"יח"</f>
        <v>יח</v>
      </c>
      <c r="P65">
        <v>784.23</v>
      </c>
      <c r="Q65" t="str">
        <f>"$"</f>
        <v>$</v>
      </c>
      <c r="R65" t="str">
        <f>"הזמנה"</f>
        <v>הזמנה</v>
      </c>
      <c r="S65">
        <v>0</v>
      </c>
      <c r="T65">
        <v>784.23</v>
      </c>
      <c r="U65">
        <v>0</v>
      </c>
      <c r="V65">
        <v>784.23</v>
      </c>
      <c r="W65" t="str">
        <f>"$"</f>
        <v>$</v>
      </c>
      <c r="X65">
        <v>0</v>
      </c>
      <c r="Y65">
        <v>0</v>
      </c>
      <c r="Z65">
        <v>0</v>
      </c>
      <c r="AA65" t="str">
        <f>"Y"</f>
        <v>Y</v>
      </c>
      <c r="AB65" t="str">
        <f>"SO22000389"</f>
        <v>SO22000389</v>
      </c>
      <c r="AC65">
        <v>3</v>
      </c>
      <c r="AD65" s="1">
        <v>44864</v>
      </c>
      <c r="AE65" t="str">
        <f>"SH23001181"</f>
        <v>SH23001181</v>
      </c>
      <c r="AF65" t="str">
        <f>"משלוחים ללקוח"</f>
        <v>משלוחים ללקוח</v>
      </c>
      <c r="AG65" s="1">
        <v>45183</v>
      </c>
      <c r="AM65" t="str">
        <f>"10"</f>
        <v>10</v>
      </c>
      <c r="AN65" t="str">
        <f>"500000"</f>
        <v>500000</v>
      </c>
      <c r="AO65" t="str">
        <f>"הכנסות  מלקוחות"</f>
        <v>הכנסות  מלקוחות</v>
      </c>
      <c r="AQ65" t="str">
        <f>"040"</f>
        <v>040</v>
      </c>
      <c r="AR65">
        <v>0</v>
      </c>
      <c r="AS65">
        <v>0</v>
      </c>
      <c r="AT65">
        <v>3.8490000000000002</v>
      </c>
      <c r="AX65" t="str">
        <f>"E000377324"</f>
        <v>E000377324</v>
      </c>
      <c r="BD65" t="str">
        <f>"רחמים זרוק"</f>
        <v>רחמים זרוק</v>
      </c>
    </row>
    <row r="66" spans="1:56" x14ac:dyDescent="0.3">
      <c r="A66" s="1">
        <v>45197</v>
      </c>
      <c r="B66" t="str">
        <f>"SI236001294"</f>
        <v>SI236001294</v>
      </c>
      <c r="E66" t="str">
        <f>"Y"</f>
        <v>Y</v>
      </c>
      <c r="F66" t="str">
        <f>"חשבוניות מרכזות"</f>
        <v>חשבוניות מרכזות</v>
      </c>
      <c r="G66" t="str">
        <f>"700065"</f>
        <v>700065</v>
      </c>
      <c r="H66" t="str">
        <f>"אלתא מערכות בע""מ"</f>
        <v>אלתא מערכות בע"מ</v>
      </c>
      <c r="I66" t="str">
        <f>"10"</f>
        <v>10</v>
      </c>
      <c r="J66" t="str">
        <f>"000"</f>
        <v>000</v>
      </c>
      <c r="K66" t="str">
        <f>"ימי הכנת תכן הדרכה למערכות BEL"</f>
        <v>ימי הכנת תכן הדרכה למערכות BEL</v>
      </c>
      <c r="L66">
        <v>1</v>
      </c>
      <c r="M66" t="str">
        <f>"יח"</f>
        <v>יח</v>
      </c>
      <c r="N66">
        <v>1</v>
      </c>
      <c r="O66" t="str">
        <f>"יח"</f>
        <v>יח</v>
      </c>
      <c r="P66" s="2">
        <v>2400</v>
      </c>
      <c r="Q66" t="str">
        <f>"$"</f>
        <v>$</v>
      </c>
      <c r="R66" t="str">
        <f>"הזמנה"</f>
        <v>הזמנה</v>
      </c>
      <c r="S66">
        <v>0</v>
      </c>
      <c r="T66" s="2">
        <v>2400</v>
      </c>
      <c r="U66">
        <v>0</v>
      </c>
      <c r="V66" s="2">
        <v>2400</v>
      </c>
      <c r="W66" t="str">
        <f>"$"</f>
        <v>$</v>
      </c>
      <c r="X66">
        <v>0</v>
      </c>
      <c r="Y66">
        <v>0</v>
      </c>
      <c r="Z66">
        <v>0</v>
      </c>
      <c r="AA66" t="str">
        <f>"Y"</f>
        <v>Y</v>
      </c>
      <c r="AB66" t="str">
        <f>"SO23000405"</f>
        <v>SO23000405</v>
      </c>
      <c r="AC66">
        <v>1</v>
      </c>
      <c r="AD66" s="1">
        <v>45159</v>
      </c>
      <c r="AM66" t="str">
        <f>"10"</f>
        <v>10</v>
      </c>
      <c r="AN66" t="str">
        <f>"500000"</f>
        <v>500000</v>
      </c>
      <c r="AO66" t="str">
        <f>"הכנסות  מלקוחות"</f>
        <v>הכנסות  מלקוחות</v>
      </c>
      <c r="AQ66" t="str">
        <f>"007"</f>
        <v>007</v>
      </c>
      <c r="AR66">
        <v>0</v>
      </c>
      <c r="AS66">
        <v>0</v>
      </c>
      <c r="AT66">
        <v>3.8479999999999999</v>
      </c>
      <c r="AX66" t="str">
        <f>"E000402864"</f>
        <v>E000402864</v>
      </c>
      <c r="BD66" t="str">
        <f>"רוני דידי"</f>
        <v>רוני דידי</v>
      </c>
    </row>
    <row r="67" spans="1:56" x14ac:dyDescent="0.3">
      <c r="A67" s="1">
        <v>45197</v>
      </c>
      <c r="B67" t="str">
        <f>"SI236001294"</f>
        <v>SI236001294</v>
      </c>
      <c r="E67" t="str">
        <f>"Y"</f>
        <v>Y</v>
      </c>
      <c r="F67" t="str">
        <f>"חשבוניות מרכזות"</f>
        <v>חשבוניות מרכזות</v>
      </c>
      <c r="G67" t="str">
        <f>"700065"</f>
        <v>700065</v>
      </c>
      <c r="H67" t="str">
        <f>"אלתא מערכות בע""מ"</f>
        <v>אלתא מערכות בע"מ</v>
      </c>
      <c r="I67" t="str">
        <f>"10"</f>
        <v>10</v>
      </c>
      <c r="J67" t="str">
        <f>"000"</f>
        <v>000</v>
      </c>
      <c r="K67" t="str">
        <f>"ימי הכנה תכן הדרכה למערכת IAC"</f>
        <v>ימי הכנה תכן הדרכה למערכת IAC</v>
      </c>
      <c r="L67">
        <v>1</v>
      </c>
      <c r="M67" t="str">
        <f>"יח"</f>
        <v>יח</v>
      </c>
      <c r="N67">
        <v>1</v>
      </c>
      <c r="O67" t="str">
        <f>"יח"</f>
        <v>יח</v>
      </c>
      <c r="P67" s="2">
        <v>2400</v>
      </c>
      <c r="Q67" t="str">
        <f>"$"</f>
        <v>$</v>
      </c>
      <c r="R67" t="str">
        <f>"הזמנה"</f>
        <v>הזמנה</v>
      </c>
      <c r="S67">
        <v>0</v>
      </c>
      <c r="T67" s="2">
        <v>2400</v>
      </c>
      <c r="U67">
        <v>0</v>
      </c>
      <c r="V67" s="2">
        <v>2400</v>
      </c>
      <c r="W67" t="str">
        <f>"$"</f>
        <v>$</v>
      </c>
      <c r="X67">
        <v>0</v>
      </c>
      <c r="Y67">
        <v>0</v>
      </c>
      <c r="Z67">
        <v>0</v>
      </c>
      <c r="AA67" t="str">
        <f>"Y"</f>
        <v>Y</v>
      </c>
      <c r="AB67" t="str">
        <f>"SO23000405"</f>
        <v>SO23000405</v>
      </c>
      <c r="AC67">
        <v>2</v>
      </c>
      <c r="AD67" s="1">
        <v>45159</v>
      </c>
      <c r="AM67" t="str">
        <f>"10"</f>
        <v>10</v>
      </c>
      <c r="AN67" t="str">
        <f>"500000"</f>
        <v>500000</v>
      </c>
      <c r="AO67" t="str">
        <f>"הכנסות  מלקוחות"</f>
        <v>הכנסות  מלקוחות</v>
      </c>
      <c r="AQ67" t="str">
        <f>"007"</f>
        <v>007</v>
      </c>
      <c r="AR67">
        <v>0</v>
      </c>
      <c r="AS67">
        <v>0</v>
      </c>
      <c r="AT67">
        <v>3.8479999999999999</v>
      </c>
      <c r="AX67" t="str">
        <f>"E000402864"</f>
        <v>E000402864</v>
      </c>
      <c r="BD67" t="str">
        <f>"רוני דידי"</f>
        <v>רוני דידי</v>
      </c>
    </row>
    <row r="68" spans="1:56" x14ac:dyDescent="0.3">
      <c r="A68" s="1">
        <v>45197</v>
      </c>
      <c r="B68" t="str">
        <f>"SI236001293"</f>
        <v>SI236001293</v>
      </c>
      <c r="E68" t="str">
        <f>"Y"</f>
        <v>Y</v>
      </c>
      <c r="F68" t="str">
        <f>"חשבוניות מרכזות"</f>
        <v>חשבוניות מרכזות</v>
      </c>
      <c r="G68" t="str">
        <f>"700065"</f>
        <v>700065</v>
      </c>
      <c r="H68" t="str">
        <f>"אלתא מערכות בע""מ"</f>
        <v>אלתא מערכות בע"מ</v>
      </c>
      <c r="I68" t="str">
        <f>"10"</f>
        <v>10</v>
      </c>
      <c r="J68" t="str">
        <f>"000"</f>
        <v>000</v>
      </c>
      <c r="K68" t="str">
        <f>"ימי הכנת תכן הדרכה למערכות BEL"</f>
        <v>ימי הכנת תכן הדרכה למערכות BEL</v>
      </c>
      <c r="L68">
        <v>-1</v>
      </c>
      <c r="M68" t="str">
        <f>"יח"</f>
        <v>יח</v>
      </c>
      <c r="N68">
        <v>-1</v>
      </c>
      <c r="O68" t="str">
        <f>"יח"</f>
        <v>יח</v>
      </c>
      <c r="P68" s="2">
        <v>2400</v>
      </c>
      <c r="Q68" t="str">
        <f>"$"</f>
        <v>$</v>
      </c>
      <c r="R68" t="str">
        <f>"הזמנה"</f>
        <v>הזמנה</v>
      </c>
      <c r="S68">
        <v>0</v>
      </c>
      <c r="T68" s="2">
        <v>-2400</v>
      </c>
      <c r="U68">
        <v>0</v>
      </c>
      <c r="V68" s="2">
        <v>-2400</v>
      </c>
      <c r="W68" t="str">
        <f>"$"</f>
        <v>$</v>
      </c>
      <c r="X68">
        <v>0</v>
      </c>
      <c r="Y68">
        <v>0</v>
      </c>
      <c r="Z68">
        <v>0</v>
      </c>
      <c r="AA68" t="str">
        <f>"Y"</f>
        <v>Y</v>
      </c>
      <c r="AC68">
        <v>0</v>
      </c>
      <c r="AM68" t="str">
        <f>"10"</f>
        <v>10</v>
      </c>
      <c r="AN68" t="str">
        <f>"500000"</f>
        <v>500000</v>
      </c>
      <c r="AO68" t="str">
        <f>"הכנסות  מלקוחות"</f>
        <v>הכנסות  מלקוחות</v>
      </c>
      <c r="AQ68" t="str">
        <f>"007"</f>
        <v>007</v>
      </c>
      <c r="AR68">
        <v>0</v>
      </c>
      <c r="AS68">
        <v>0</v>
      </c>
      <c r="AT68">
        <v>3.8479999999999999</v>
      </c>
      <c r="BB68" t="str">
        <f>"Y"</f>
        <v>Y</v>
      </c>
      <c r="BD68" t="str">
        <f>"רוני דידי"</f>
        <v>רוני דידי</v>
      </c>
    </row>
    <row r="69" spans="1:56" x14ac:dyDescent="0.3">
      <c r="A69" s="1">
        <v>45197</v>
      </c>
      <c r="B69" t="str">
        <f>"SI236001293"</f>
        <v>SI236001293</v>
      </c>
      <c r="E69" t="str">
        <f>"Y"</f>
        <v>Y</v>
      </c>
      <c r="F69" t="str">
        <f>"חשבוניות מרכזות"</f>
        <v>חשבוניות מרכזות</v>
      </c>
      <c r="G69" t="str">
        <f>"700065"</f>
        <v>700065</v>
      </c>
      <c r="H69" t="str">
        <f>"אלתא מערכות בע""מ"</f>
        <v>אלתא מערכות בע"מ</v>
      </c>
      <c r="I69" t="str">
        <f>"10"</f>
        <v>10</v>
      </c>
      <c r="J69" t="str">
        <f>"000"</f>
        <v>000</v>
      </c>
      <c r="K69" t="str">
        <f>"ימי הכנה תכן הדרכה למערכת IAC"</f>
        <v>ימי הכנה תכן הדרכה למערכת IAC</v>
      </c>
      <c r="L69">
        <v>-1</v>
      </c>
      <c r="M69" t="str">
        <f>"יח"</f>
        <v>יח</v>
      </c>
      <c r="N69">
        <v>-1</v>
      </c>
      <c r="O69" t="str">
        <f>"יח"</f>
        <v>יח</v>
      </c>
      <c r="P69" s="2">
        <v>2400</v>
      </c>
      <c r="Q69" t="str">
        <f>"$"</f>
        <v>$</v>
      </c>
      <c r="R69" t="str">
        <f>"הזמנה"</f>
        <v>הזמנה</v>
      </c>
      <c r="S69">
        <v>0</v>
      </c>
      <c r="T69" s="2">
        <v>-2400</v>
      </c>
      <c r="U69">
        <v>0</v>
      </c>
      <c r="V69" s="2">
        <v>-2400</v>
      </c>
      <c r="W69" t="str">
        <f>"$"</f>
        <v>$</v>
      </c>
      <c r="X69">
        <v>0</v>
      </c>
      <c r="Y69">
        <v>0</v>
      </c>
      <c r="Z69">
        <v>0</v>
      </c>
      <c r="AA69" t="str">
        <f>"Y"</f>
        <v>Y</v>
      </c>
      <c r="AC69">
        <v>0</v>
      </c>
      <c r="AM69" t="str">
        <f>"10"</f>
        <v>10</v>
      </c>
      <c r="AN69" t="str">
        <f>"500000"</f>
        <v>500000</v>
      </c>
      <c r="AO69" t="str">
        <f>"הכנסות  מלקוחות"</f>
        <v>הכנסות  מלקוחות</v>
      </c>
      <c r="AQ69" t="str">
        <f>"007"</f>
        <v>007</v>
      </c>
      <c r="AR69">
        <v>0</v>
      </c>
      <c r="AS69">
        <v>0</v>
      </c>
      <c r="AT69">
        <v>3.8479999999999999</v>
      </c>
      <c r="BB69" t="str">
        <f>"Y"</f>
        <v>Y</v>
      </c>
      <c r="BD69" t="str">
        <f>"רוני דידי"</f>
        <v>רוני דידי</v>
      </c>
    </row>
    <row r="70" spans="1:56" x14ac:dyDescent="0.3">
      <c r="A70" s="1">
        <v>45197</v>
      </c>
      <c r="B70" t="str">
        <f>"SI236001293"</f>
        <v>SI236001293</v>
      </c>
      <c r="E70" t="str">
        <f>"Y"</f>
        <v>Y</v>
      </c>
      <c r="F70" t="str">
        <f>"חשבוניות מרכזות"</f>
        <v>חשבוניות מרכזות</v>
      </c>
      <c r="G70" t="str">
        <f>"700065"</f>
        <v>700065</v>
      </c>
      <c r="H70" t="str">
        <f>"אלתא מערכות בע""מ"</f>
        <v>אלתא מערכות בע"מ</v>
      </c>
      <c r="I70" t="str">
        <f>"10"</f>
        <v>10</v>
      </c>
      <c r="J70" t="str">
        <f>"000"</f>
        <v>000</v>
      </c>
      <c r="K70" t="str">
        <f>"ימי הדרכה BEL"</f>
        <v>ימי הדרכה BEL</v>
      </c>
      <c r="L70">
        <v>-1</v>
      </c>
      <c r="M70" t="str">
        <f>"יח"</f>
        <v>יח</v>
      </c>
      <c r="N70">
        <v>-1</v>
      </c>
      <c r="O70" t="str">
        <f>"יח"</f>
        <v>יח</v>
      </c>
      <c r="P70" s="2">
        <v>12000</v>
      </c>
      <c r="Q70" t="str">
        <f>"$"</f>
        <v>$</v>
      </c>
      <c r="R70" t="str">
        <f>"הזמנה"</f>
        <v>הזמנה</v>
      </c>
      <c r="S70">
        <v>0</v>
      </c>
      <c r="T70" s="2">
        <v>-12000</v>
      </c>
      <c r="U70">
        <v>0</v>
      </c>
      <c r="V70" s="2">
        <v>-12000</v>
      </c>
      <c r="W70" t="str">
        <f>"$"</f>
        <v>$</v>
      </c>
      <c r="X70">
        <v>0</v>
      </c>
      <c r="Y70">
        <v>0</v>
      </c>
      <c r="Z70">
        <v>0</v>
      </c>
      <c r="AA70" t="str">
        <f>"Y"</f>
        <v>Y</v>
      </c>
      <c r="AC70">
        <v>0</v>
      </c>
      <c r="AM70" t="str">
        <f>"10"</f>
        <v>10</v>
      </c>
      <c r="AN70" t="str">
        <f>"500000"</f>
        <v>500000</v>
      </c>
      <c r="AO70" t="str">
        <f>"הכנסות  מלקוחות"</f>
        <v>הכנסות  מלקוחות</v>
      </c>
      <c r="AQ70" t="str">
        <f>"007"</f>
        <v>007</v>
      </c>
      <c r="AR70">
        <v>0</v>
      </c>
      <c r="AS70">
        <v>0</v>
      </c>
      <c r="AT70">
        <v>3.8479999999999999</v>
      </c>
      <c r="BB70" t="str">
        <f>"Y"</f>
        <v>Y</v>
      </c>
      <c r="BD70" t="str">
        <f>"רוני דידי"</f>
        <v>רוני דידי</v>
      </c>
    </row>
    <row r="71" spans="1:56" x14ac:dyDescent="0.3">
      <c r="A71" s="1">
        <v>45197</v>
      </c>
      <c r="B71" t="str">
        <f>"SI236001293"</f>
        <v>SI236001293</v>
      </c>
      <c r="E71" t="str">
        <f>"Y"</f>
        <v>Y</v>
      </c>
      <c r="F71" t="str">
        <f>"חשבוניות מרכזות"</f>
        <v>חשבוניות מרכזות</v>
      </c>
      <c r="G71" t="str">
        <f>"700065"</f>
        <v>700065</v>
      </c>
      <c r="H71" t="str">
        <f>"אלתא מערכות בע""מ"</f>
        <v>אלתא מערכות בע"מ</v>
      </c>
      <c r="I71" t="str">
        <f>"10"</f>
        <v>10</v>
      </c>
      <c r="J71" t="str">
        <f>"000"</f>
        <v>000</v>
      </c>
      <c r="K71" t="str">
        <f>"ימי הדרכה KAI"</f>
        <v>ימי הדרכה KAI</v>
      </c>
      <c r="L71">
        <v>-1</v>
      </c>
      <c r="M71" t="str">
        <f>"יח"</f>
        <v>יח</v>
      </c>
      <c r="N71">
        <v>-1</v>
      </c>
      <c r="O71" t="str">
        <f>"יח"</f>
        <v>יח</v>
      </c>
      <c r="P71" s="2">
        <v>12000</v>
      </c>
      <c r="Q71" t="str">
        <f>"$"</f>
        <v>$</v>
      </c>
      <c r="R71" t="str">
        <f>"הזמנה"</f>
        <v>הזמנה</v>
      </c>
      <c r="S71">
        <v>0</v>
      </c>
      <c r="T71" s="2">
        <v>-12000</v>
      </c>
      <c r="U71">
        <v>0</v>
      </c>
      <c r="V71" s="2">
        <v>-12000</v>
      </c>
      <c r="W71" t="str">
        <f>"$"</f>
        <v>$</v>
      </c>
      <c r="X71">
        <v>0</v>
      </c>
      <c r="Y71">
        <v>0</v>
      </c>
      <c r="Z71">
        <v>0</v>
      </c>
      <c r="AA71" t="str">
        <f>"Y"</f>
        <v>Y</v>
      </c>
      <c r="AC71">
        <v>0</v>
      </c>
      <c r="AM71" t="str">
        <f>"10"</f>
        <v>10</v>
      </c>
      <c r="AN71" t="str">
        <f>"500000"</f>
        <v>500000</v>
      </c>
      <c r="AO71" t="str">
        <f>"הכנסות  מלקוחות"</f>
        <v>הכנסות  מלקוחות</v>
      </c>
      <c r="AQ71" t="str">
        <f>"007"</f>
        <v>007</v>
      </c>
      <c r="AR71">
        <v>0</v>
      </c>
      <c r="AS71">
        <v>0</v>
      </c>
      <c r="AT71">
        <v>3.8479999999999999</v>
      </c>
      <c r="BB71" t="str">
        <f>"Y"</f>
        <v>Y</v>
      </c>
      <c r="BD71" t="str">
        <f>"רוני דידי"</f>
        <v>רוני דידי</v>
      </c>
    </row>
    <row r="72" spans="1:56" x14ac:dyDescent="0.3">
      <c r="A72" s="1">
        <v>45197</v>
      </c>
      <c r="B72" t="str">
        <f>"SI236001292"</f>
        <v>SI236001292</v>
      </c>
      <c r="E72" t="str">
        <f>"Y"</f>
        <v>Y</v>
      </c>
      <c r="F72" t="str">
        <f>"חשבוניות מרכזות"</f>
        <v>חשבוניות מרכזות</v>
      </c>
      <c r="G72" t="str">
        <f>"700065"</f>
        <v>700065</v>
      </c>
      <c r="H72" t="str">
        <f>"אלתא מערכות בע""מ"</f>
        <v>אלתא מערכות בע"מ</v>
      </c>
      <c r="I72" t="str">
        <f>"10"</f>
        <v>10</v>
      </c>
      <c r="J72" t="str">
        <f>"000"</f>
        <v>000</v>
      </c>
      <c r="K72" t="str">
        <f>"ימי הכנת תכן הדרכה למערכות BEL"</f>
        <v>ימי הכנת תכן הדרכה למערכות BEL</v>
      </c>
      <c r="L72">
        <v>1</v>
      </c>
      <c r="M72" t="str">
        <f>"יח"</f>
        <v>יח</v>
      </c>
      <c r="N72">
        <v>1</v>
      </c>
      <c r="O72" t="str">
        <f>"יח"</f>
        <v>יח</v>
      </c>
      <c r="P72" s="2">
        <v>2400</v>
      </c>
      <c r="Q72" t="str">
        <f>"$"</f>
        <v>$</v>
      </c>
      <c r="R72" t="str">
        <f>"הזמנה"</f>
        <v>הזמנה</v>
      </c>
      <c r="S72">
        <v>0</v>
      </c>
      <c r="T72" s="2">
        <v>2400</v>
      </c>
      <c r="U72">
        <v>0</v>
      </c>
      <c r="V72" s="2">
        <v>2400</v>
      </c>
      <c r="W72" t="str">
        <f>"$"</f>
        <v>$</v>
      </c>
      <c r="X72">
        <v>0</v>
      </c>
      <c r="Y72">
        <v>0</v>
      </c>
      <c r="Z72">
        <v>0</v>
      </c>
      <c r="AA72" t="str">
        <f>"Y"</f>
        <v>Y</v>
      </c>
      <c r="AC72">
        <v>0</v>
      </c>
      <c r="AM72" t="str">
        <f>"10"</f>
        <v>10</v>
      </c>
      <c r="AN72" t="str">
        <f>"500000"</f>
        <v>500000</v>
      </c>
      <c r="AO72" t="str">
        <f>"הכנסות  מלקוחות"</f>
        <v>הכנסות  מלקוחות</v>
      </c>
      <c r="AQ72" t="str">
        <f>"007"</f>
        <v>007</v>
      </c>
      <c r="AR72">
        <v>0</v>
      </c>
      <c r="AS72">
        <v>0</v>
      </c>
      <c r="AT72">
        <v>3.8479999999999999</v>
      </c>
      <c r="BB72" t="str">
        <f>"Y"</f>
        <v>Y</v>
      </c>
      <c r="BD72" t="str">
        <f>"רוני דידי"</f>
        <v>רוני דידי</v>
      </c>
    </row>
    <row r="73" spans="1:56" x14ac:dyDescent="0.3">
      <c r="A73" s="1">
        <v>45197</v>
      </c>
      <c r="B73" t="str">
        <f>"SI236001292"</f>
        <v>SI236001292</v>
      </c>
      <c r="E73" t="str">
        <f>"Y"</f>
        <v>Y</v>
      </c>
      <c r="F73" t="str">
        <f>"חשבוניות מרכזות"</f>
        <v>חשבוניות מרכזות</v>
      </c>
      <c r="G73" t="str">
        <f>"700065"</f>
        <v>700065</v>
      </c>
      <c r="H73" t="str">
        <f>"אלתא מערכות בע""מ"</f>
        <v>אלתא מערכות בע"מ</v>
      </c>
      <c r="I73" t="str">
        <f>"10"</f>
        <v>10</v>
      </c>
      <c r="J73" t="str">
        <f>"000"</f>
        <v>000</v>
      </c>
      <c r="K73" t="str">
        <f>"ימי הכנה תכן הדרכה למערכת IAC"</f>
        <v>ימי הכנה תכן הדרכה למערכת IAC</v>
      </c>
      <c r="L73">
        <v>1</v>
      </c>
      <c r="M73" t="str">
        <f>"יח"</f>
        <v>יח</v>
      </c>
      <c r="N73">
        <v>1</v>
      </c>
      <c r="O73" t="str">
        <f>"יח"</f>
        <v>יח</v>
      </c>
      <c r="P73" s="2">
        <v>2400</v>
      </c>
      <c r="Q73" t="str">
        <f>"$"</f>
        <v>$</v>
      </c>
      <c r="R73" t="str">
        <f>"הזמנה"</f>
        <v>הזמנה</v>
      </c>
      <c r="S73">
        <v>0</v>
      </c>
      <c r="T73" s="2">
        <v>2400</v>
      </c>
      <c r="U73">
        <v>0</v>
      </c>
      <c r="V73" s="2">
        <v>2400</v>
      </c>
      <c r="W73" t="str">
        <f>"$"</f>
        <v>$</v>
      </c>
      <c r="X73">
        <v>0</v>
      </c>
      <c r="Y73">
        <v>0</v>
      </c>
      <c r="Z73">
        <v>0</v>
      </c>
      <c r="AA73" t="str">
        <f>"Y"</f>
        <v>Y</v>
      </c>
      <c r="AC73">
        <v>0</v>
      </c>
      <c r="AM73" t="str">
        <f>"10"</f>
        <v>10</v>
      </c>
      <c r="AN73" t="str">
        <f>"500000"</f>
        <v>500000</v>
      </c>
      <c r="AO73" t="str">
        <f>"הכנסות  מלקוחות"</f>
        <v>הכנסות  מלקוחות</v>
      </c>
      <c r="AQ73" t="str">
        <f>"007"</f>
        <v>007</v>
      </c>
      <c r="AR73">
        <v>0</v>
      </c>
      <c r="AS73">
        <v>0</v>
      </c>
      <c r="AT73">
        <v>3.8479999999999999</v>
      </c>
      <c r="BB73" t="str">
        <f>"Y"</f>
        <v>Y</v>
      </c>
      <c r="BD73" t="str">
        <f>"רוני דידי"</f>
        <v>רוני דידי</v>
      </c>
    </row>
    <row r="74" spans="1:56" x14ac:dyDescent="0.3">
      <c r="A74" s="1">
        <v>45197</v>
      </c>
      <c r="B74" t="str">
        <f>"SI236001292"</f>
        <v>SI236001292</v>
      </c>
      <c r="E74" t="str">
        <f>"Y"</f>
        <v>Y</v>
      </c>
      <c r="F74" t="str">
        <f>"חשבוניות מרכזות"</f>
        <v>חשבוניות מרכזות</v>
      </c>
      <c r="G74" t="str">
        <f>"700065"</f>
        <v>700065</v>
      </c>
      <c r="H74" t="str">
        <f>"אלתא מערכות בע""מ"</f>
        <v>אלתא מערכות בע"מ</v>
      </c>
      <c r="I74" t="str">
        <f>"10"</f>
        <v>10</v>
      </c>
      <c r="J74" t="str">
        <f>"000"</f>
        <v>000</v>
      </c>
      <c r="K74" t="str">
        <f>"ימי הדרכה BEL"</f>
        <v>ימי הדרכה BEL</v>
      </c>
      <c r="L74">
        <v>1</v>
      </c>
      <c r="M74" t="str">
        <f>"יח"</f>
        <v>יח</v>
      </c>
      <c r="N74">
        <v>1</v>
      </c>
      <c r="O74" t="str">
        <f>"יח"</f>
        <v>יח</v>
      </c>
      <c r="P74" s="2">
        <v>12000</v>
      </c>
      <c r="Q74" t="str">
        <f>"$"</f>
        <v>$</v>
      </c>
      <c r="R74" t="str">
        <f>"הזמנה"</f>
        <v>הזמנה</v>
      </c>
      <c r="S74">
        <v>0</v>
      </c>
      <c r="T74" s="2">
        <v>12000</v>
      </c>
      <c r="U74">
        <v>0</v>
      </c>
      <c r="V74" s="2">
        <v>12000</v>
      </c>
      <c r="W74" t="str">
        <f>"$"</f>
        <v>$</v>
      </c>
      <c r="X74">
        <v>0</v>
      </c>
      <c r="Y74">
        <v>0</v>
      </c>
      <c r="Z74">
        <v>0</v>
      </c>
      <c r="AA74" t="str">
        <f>"Y"</f>
        <v>Y</v>
      </c>
      <c r="AC74">
        <v>0</v>
      </c>
      <c r="AM74" t="str">
        <f>"10"</f>
        <v>10</v>
      </c>
      <c r="AN74" t="str">
        <f>"500000"</f>
        <v>500000</v>
      </c>
      <c r="AO74" t="str">
        <f>"הכנסות  מלקוחות"</f>
        <v>הכנסות  מלקוחות</v>
      </c>
      <c r="AQ74" t="str">
        <f>"007"</f>
        <v>007</v>
      </c>
      <c r="AR74">
        <v>0</v>
      </c>
      <c r="AS74">
        <v>0</v>
      </c>
      <c r="AT74">
        <v>3.8479999999999999</v>
      </c>
      <c r="BB74" t="str">
        <f>"Y"</f>
        <v>Y</v>
      </c>
      <c r="BD74" t="str">
        <f>"רוני דידי"</f>
        <v>רוני דידי</v>
      </c>
    </row>
    <row r="75" spans="1:56" x14ac:dyDescent="0.3">
      <c r="A75" s="1">
        <v>45197</v>
      </c>
      <c r="B75" t="str">
        <f>"SI236001292"</f>
        <v>SI236001292</v>
      </c>
      <c r="E75" t="str">
        <f>"Y"</f>
        <v>Y</v>
      </c>
      <c r="F75" t="str">
        <f>"חשבוניות מרכזות"</f>
        <v>חשבוניות מרכזות</v>
      </c>
      <c r="G75" t="str">
        <f>"700065"</f>
        <v>700065</v>
      </c>
      <c r="H75" t="str">
        <f>"אלתא מערכות בע""מ"</f>
        <v>אלתא מערכות בע"מ</v>
      </c>
      <c r="I75" t="str">
        <f>"10"</f>
        <v>10</v>
      </c>
      <c r="J75" t="str">
        <f>"000"</f>
        <v>000</v>
      </c>
      <c r="K75" t="str">
        <f>"ימי הדרכה KAI"</f>
        <v>ימי הדרכה KAI</v>
      </c>
      <c r="L75">
        <v>1</v>
      </c>
      <c r="M75" t="str">
        <f>"יח"</f>
        <v>יח</v>
      </c>
      <c r="N75">
        <v>1</v>
      </c>
      <c r="O75" t="str">
        <f>"יח"</f>
        <v>יח</v>
      </c>
      <c r="P75" s="2">
        <v>12000</v>
      </c>
      <c r="Q75" t="str">
        <f>"$"</f>
        <v>$</v>
      </c>
      <c r="R75" t="str">
        <f>"הזמנה"</f>
        <v>הזמנה</v>
      </c>
      <c r="S75">
        <v>0</v>
      </c>
      <c r="T75" s="2">
        <v>12000</v>
      </c>
      <c r="U75">
        <v>0</v>
      </c>
      <c r="V75" s="2">
        <v>12000</v>
      </c>
      <c r="W75" t="str">
        <f>"$"</f>
        <v>$</v>
      </c>
      <c r="X75">
        <v>0</v>
      </c>
      <c r="Y75">
        <v>0</v>
      </c>
      <c r="Z75">
        <v>0</v>
      </c>
      <c r="AA75" t="str">
        <f>"Y"</f>
        <v>Y</v>
      </c>
      <c r="AC75">
        <v>0</v>
      </c>
      <c r="AM75" t="str">
        <f>"10"</f>
        <v>10</v>
      </c>
      <c r="AN75" t="str">
        <f>"500000"</f>
        <v>500000</v>
      </c>
      <c r="AO75" t="str">
        <f>"הכנסות  מלקוחות"</f>
        <v>הכנסות  מלקוחות</v>
      </c>
      <c r="AQ75" t="str">
        <f>"007"</f>
        <v>007</v>
      </c>
      <c r="AR75">
        <v>0</v>
      </c>
      <c r="AS75">
        <v>0</v>
      </c>
      <c r="AT75">
        <v>3.8479999999999999</v>
      </c>
      <c r="BB75" t="str">
        <f>"Y"</f>
        <v>Y</v>
      </c>
      <c r="BD75" t="str">
        <f>"רוני דידי"</f>
        <v>רוני דידי</v>
      </c>
    </row>
    <row r="76" spans="1:56" x14ac:dyDescent="0.3">
      <c r="A76" s="1">
        <v>45197</v>
      </c>
      <c r="B76" t="str">
        <f>"SI236001291"</f>
        <v>SI236001291</v>
      </c>
      <c r="E76" t="str">
        <f>"Y"</f>
        <v>Y</v>
      </c>
      <c r="F76" t="str">
        <f>"חשבוניות מרכזות"</f>
        <v>חשבוניות מרכזות</v>
      </c>
      <c r="G76" t="str">
        <f>"700065"</f>
        <v>700065</v>
      </c>
      <c r="H76" t="str">
        <f>"אלתא מערכות בע""מ"</f>
        <v>אלתא מערכות בע"מ</v>
      </c>
      <c r="I76" t="str">
        <f>"10"</f>
        <v>10</v>
      </c>
      <c r="J76" t="str">
        <f>"000"</f>
        <v>000</v>
      </c>
      <c r="K76" t="str">
        <f>"ימי הכנת תכן הדרכה למערכות BEL"</f>
        <v>ימי הכנת תכן הדרכה למערכות BEL</v>
      </c>
      <c r="L76">
        <v>-1</v>
      </c>
      <c r="M76" t="str">
        <f>"יח"</f>
        <v>יח</v>
      </c>
      <c r="N76">
        <v>-1</v>
      </c>
      <c r="O76" t="str">
        <f>"יח"</f>
        <v>יח</v>
      </c>
      <c r="P76" s="2">
        <v>2400</v>
      </c>
      <c r="Q76" t="str">
        <f>"$"</f>
        <v>$</v>
      </c>
      <c r="R76" t="str">
        <f>"הזמנה"</f>
        <v>הזמנה</v>
      </c>
      <c r="S76">
        <v>0</v>
      </c>
      <c r="T76" s="2">
        <v>-2400</v>
      </c>
      <c r="U76">
        <v>0</v>
      </c>
      <c r="V76" s="2">
        <v>-2400</v>
      </c>
      <c r="W76" t="str">
        <f>"$"</f>
        <v>$</v>
      </c>
      <c r="X76">
        <v>0</v>
      </c>
      <c r="Y76">
        <v>0</v>
      </c>
      <c r="Z76">
        <v>0</v>
      </c>
      <c r="AA76" t="str">
        <f>"Y"</f>
        <v>Y</v>
      </c>
      <c r="AC76">
        <v>0</v>
      </c>
      <c r="AM76" t="str">
        <f>"10"</f>
        <v>10</v>
      </c>
      <c r="AN76" t="str">
        <f>"500000"</f>
        <v>500000</v>
      </c>
      <c r="AO76" t="str">
        <f>"הכנסות  מלקוחות"</f>
        <v>הכנסות  מלקוחות</v>
      </c>
      <c r="AQ76" t="str">
        <f>"007"</f>
        <v>007</v>
      </c>
      <c r="AR76">
        <v>0</v>
      </c>
      <c r="AS76">
        <v>0</v>
      </c>
      <c r="AT76">
        <v>3.8479999999999999</v>
      </c>
      <c r="BB76" t="str">
        <f>"Y"</f>
        <v>Y</v>
      </c>
      <c r="BD76" t="str">
        <f>"רוני דידי"</f>
        <v>רוני דידי</v>
      </c>
    </row>
    <row r="77" spans="1:56" x14ac:dyDescent="0.3">
      <c r="A77" s="1">
        <v>45197</v>
      </c>
      <c r="B77" t="str">
        <f>"SI236001291"</f>
        <v>SI236001291</v>
      </c>
      <c r="E77" t="str">
        <f>"Y"</f>
        <v>Y</v>
      </c>
      <c r="F77" t="str">
        <f>"חשבוניות מרכזות"</f>
        <v>חשבוניות מרכזות</v>
      </c>
      <c r="G77" t="str">
        <f>"700065"</f>
        <v>700065</v>
      </c>
      <c r="H77" t="str">
        <f>"אלתא מערכות בע""מ"</f>
        <v>אלתא מערכות בע"מ</v>
      </c>
      <c r="I77" t="str">
        <f>"10"</f>
        <v>10</v>
      </c>
      <c r="J77" t="str">
        <f>"000"</f>
        <v>000</v>
      </c>
      <c r="K77" t="str">
        <f>"ימי הכנה תכן הדרכה למערכת IAC"</f>
        <v>ימי הכנה תכן הדרכה למערכת IAC</v>
      </c>
      <c r="L77">
        <v>-1</v>
      </c>
      <c r="M77" t="str">
        <f>"יח"</f>
        <v>יח</v>
      </c>
      <c r="N77">
        <v>-1</v>
      </c>
      <c r="O77" t="str">
        <f>"יח"</f>
        <v>יח</v>
      </c>
      <c r="P77" s="2">
        <v>2400</v>
      </c>
      <c r="Q77" t="str">
        <f>"$"</f>
        <v>$</v>
      </c>
      <c r="R77" t="str">
        <f>"הזמנה"</f>
        <v>הזמנה</v>
      </c>
      <c r="S77">
        <v>0</v>
      </c>
      <c r="T77" s="2">
        <v>-2400</v>
      </c>
      <c r="U77">
        <v>0</v>
      </c>
      <c r="V77" s="2">
        <v>-2400</v>
      </c>
      <c r="W77" t="str">
        <f>"$"</f>
        <v>$</v>
      </c>
      <c r="X77">
        <v>0</v>
      </c>
      <c r="Y77">
        <v>0</v>
      </c>
      <c r="Z77">
        <v>0</v>
      </c>
      <c r="AA77" t="str">
        <f>"Y"</f>
        <v>Y</v>
      </c>
      <c r="AC77">
        <v>0</v>
      </c>
      <c r="AM77" t="str">
        <f>"10"</f>
        <v>10</v>
      </c>
      <c r="AN77" t="str">
        <f>"500000"</f>
        <v>500000</v>
      </c>
      <c r="AO77" t="str">
        <f>"הכנסות  מלקוחות"</f>
        <v>הכנסות  מלקוחות</v>
      </c>
      <c r="AQ77" t="str">
        <f>"007"</f>
        <v>007</v>
      </c>
      <c r="AR77">
        <v>0</v>
      </c>
      <c r="AS77">
        <v>0</v>
      </c>
      <c r="AT77">
        <v>3.8479999999999999</v>
      </c>
      <c r="BB77" t="str">
        <f>"Y"</f>
        <v>Y</v>
      </c>
      <c r="BD77" t="str">
        <f>"רוני דידי"</f>
        <v>רוני דידי</v>
      </c>
    </row>
    <row r="78" spans="1:56" x14ac:dyDescent="0.3">
      <c r="A78" s="1">
        <v>45197</v>
      </c>
      <c r="B78" t="str">
        <f>"SI236001290"</f>
        <v>SI236001290</v>
      </c>
      <c r="E78" t="str">
        <f>"Y"</f>
        <v>Y</v>
      </c>
      <c r="F78" t="str">
        <f>"חשבוניות מרכזות"</f>
        <v>חשבוניות מרכזות</v>
      </c>
      <c r="G78" t="str">
        <f>"700065"</f>
        <v>700065</v>
      </c>
      <c r="H78" t="str">
        <f>"אלתא מערכות בע""מ"</f>
        <v>אלתא מערכות בע"מ</v>
      </c>
      <c r="I78" t="str">
        <f>"10"</f>
        <v>10</v>
      </c>
      <c r="J78" t="str">
        <f>"000"</f>
        <v>000</v>
      </c>
      <c r="K78" t="str">
        <f>"ימי הכנת תכן הדרכה למערכות BEL"</f>
        <v>ימי הכנת תכן הדרכה למערכות BEL</v>
      </c>
      <c r="L78">
        <v>1</v>
      </c>
      <c r="M78" t="str">
        <f>"יח"</f>
        <v>יח</v>
      </c>
      <c r="N78">
        <v>1</v>
      </c>
      <c r="O78" t="str">
        <f>"יח"</f>
        <v>יח</v>
      </c>
      <c r="P78" s="2">
        <v>2400</v>
      </c>
      <c r="Q78" t="str">
        <f>"$"</f>
        <v>$</v>
      </c>
      <c r="R78" t="str">
        <f>"הזמנה"</f>
        <v>הזמנה</v>
      </c>
      <c r="S78">
        <v>0</v>
      </c>
      <c r="T78" s="2">
        <v>2400</v>
      </c>
      <c r="U78">
        <v>0</v>
      </c>
      <c r="V78" s="2">
        <v>2400</v>
      </c>
      <c r="W78" t="str">
        <f>"$"</f>
        <v>$</v>
      </c>
      <c r="X78">
        <v>0</v>
      </c>
      <c r="Y78">
        <v>0</v>
      </c>
      <c r="Z78">
        <v>0</v>
      </c>
      <c r="AA78" t="str">
        <f>"Y"</f>
        <v>Y</v>
      </c>
      <c r="AC78">
        <v>0</v>
      </c>
      <c r="AM78" t="str">
        <f>"10"</f>
        <v>10</v>
      </c>
      <c r="AN78" t="str">
        <f>"500000"</f>
        <v>500000</v>
      </c>
      <c r="AO78" t="str">
        <f>"הכנסות  מלקוחות"</f>
        <v>הכנסות  מלקוחות</v>
      </c>
      <c r="AQ78" t="str">
        <f>"007"</f>
        <v>007</v>
      </c>
      <c r="AR78">
        <v>0</v>
      </c>
      <c r="AS78">
        <v>0</v>
      </c>
      <c r="AT78">
        <v>3.8479999999999999</v>
      </c>
      <c r="BB78" t="str">
        <f>"Y"</f>
        <v>Y</v>
      </c>
      <c r="BD78" t="str">
        <f>"רוני דידי"</f>
        <v>רוני דידי</v>
      </c>
    </row>
    <row r="79" spans="1:56" x14ac:dyDescent="0.3">
      <c r="A79" s="1">
        <v>45197</v>
      </c>
      <c r="B79" t="str">
        <f>"SI236001290"</f>
        <v>SI236001290</v>
      </c>
      <c r="E79" t="str">
        <f>"Y"</f>
        <v>Y</v>
      </c>
      <c r="F79" t="str">
        <f>"חשבוניות מרכזות"</f>
        <v>חשבוניות מרכזות</v>
      </c>
      <c r="G79" t="str">
        <f>"700065"</f>
        <v>700065</v>
      </c>
      <c r="H79" t="str">
        <f>"אלתא מערכות בע""מ"</f>
        <v>אלתא מערכות בע"מ</v>
      </c>
      <c r="I79" t="str">
        <f>"10"</f>
        <v>10</v>
      </c>
      <c r="J79" t="str">
        <f>"000"</f>
        <v>000</v>
      </c>
      <c r="K79" t="str">
        <f>"ימי הכנה תכן הדרכה למערכת IAC"</f>
        <v>ימי הכנה תכן הדרכה למערכת IAC</v>
      </c>
      <c r="L79">
        <v>1</v>
      </c>
      <c r="M79" t="str">
        <f>"יח"</f>
        <v>יח</v>
      </c>
      <c r="N79">
        <v>1</v>
      </c>
      <c r="O79" t="str">
        <f>"יח"</f>
        <v>יח</v>
      </c>
      <c r="P79" s="2">
        <v>2400</v>
      </c>
      <c r="Q79" t="str">
        <f>"$"</f>
        <v>$</v>
      </c>
      <c r="R79" t="str">
        <f>"הזמנה"</f>
        <v>הזמנה</v>
      </c>
      <c r="S79">
        <v>0</v>
      </c>
      <c r="T79" s="2">
        <v>2400</v>
      </c>
      <c r="U79">
        <v>0</v>
      </c>
      <c r="V79" s="2">
        <v>2400</v>
      </c>
      <c r="W79" t="str">
        <f>"$"</f>
        <v>$</v>
      </c>
      <c r="X79">
        <v>0</v>
      </c>
      <c r="Y79">
        <v>0</v>
      </c>
      <c r="Z79">
        <v>0</v>
      </c>
      <c r="AA79" t="str">
        <f>"Y"</f>
        <v>Y</v>
      </c>
      <c r="AC79">
        <v>0</v>
      </c>
      <c r="AM79" t="str">
        <f>"10"</f>
        <v>10</v>
      </c>
      <c r="AN79" t="str">
        <f>"500000"</f>
        <v>500000</v>
      </c>
      <c r="AO79" t="str">
        <f>"הכנסות  מלקוחות"</f>
        <v>הכנסות  מלקוחות</v>
      </c>
      <c r="AQ79" t="str">
        <f>"007"</f>
        <v>007</v>
      </c>
      <c r="AR79">
        <v>0</v>
      </c>
      <c r="AS79">
        <v>0</v>
      </c>
      <c r="AT79">
        <v>3.8479999999999999</v>
      </c>
      <c r="BB79" t="str">
        <f>"Y"</f>
        <v>Y</v>
      </c>
      <c r="BD79" t="str">
        <f>"רוני דידי"</f>
        <v>רוני דידי</v>
      </c>
    </row>
    <row r="80" spans="1:56" x14ac:dyDescent="0.3">
      <c r="A80" s="1">
        <v>45197</v>
      </c>
      <c r="B80" t="str">
        <f>"SI236001289"</f>
        <v>SI236001289</v>
      </c>
      <c r="E80" t="str">
        <f>"Y"</f>
        <v>Y</v>
      </c>
      <c r="F80" t="str">
        <f>"חשבוניות מרכזות"</f>
        <v>חשבוניות מרכזות</v>
      </c>
      <c r="G80" t="str">
        <f>"700065"</f>
        <v>700065</v>
      </c>
      <c r="H80" t="str">
        <f>"אלתא מערכות בע""מ"</f>
        <v>אלתא מערכות בע"מ</v>
      </c>
      <c r="I80" t="str">
        <f>"10"</f>
        <v>10</v>
      </c>
      <c r="J80" t="str">
        <f>"000"</f>
        <v>000</v>
      </c>
      <c r="K80" t="str">
        <f>"אספקה והחלפה של 2 מפסקים באתר הלקוח"</f>
        <v>אספקה והחלפה של 2 מפסקים באתר הלקוח</v>
      </c>
      <c r="L80">
        <v>1</v>
      </c>
      <c r="M80" t="str">
        <f>"יח"</f>
        <v>יח</v>
      </c>
      <c r="N80">
        <v>1</v>
      </c>
      <c r="O80" t="str">
        <f>"יח"</f>
        <v>יח</v>
      </c>
      <c r="P80">
        <v>170</v>
      </c>
      <c r="Q80" t="str">
        <f>"$"</f>
        <v>$</v>
      </c>
      <c r="R80" t="str">
        <f>"הזמנה"</f>
        <v>הזמנה</v>
      </c>
      <c r="S80">
        <v>0</v>
      </c>
      <c r="T80">
        <v>170</v>
      </c>
      <c r="U80">
        <v>0</v>
      </c>
      <c r="V80">
        <v>170</v>
      </c>
      <c r="W80" t="str">
        <f>"$"</f>
        <v>$</v>
      </c>
      <c r="X80">
        <v>0</v>
      </c>
      <c r="Y80">
        <v>0</v>
      </c>
      <c r="Z80">
        <v>0</v>
      </c>
      <c r="AA80" t="str">
        <f>"Y"</f>
        <v>Y</v>
      </c>
      <c r="AB80" t="str">
        <f>"SO23000476"</f>
        <v>SO23000476</v>
      </c>
      <c r="AC80">
        <v>1</v>
      </c>
      <c r="AD80" s="1">
        <v>45197</v>
      </c>
      <c r="AM80" t="str">
        <f>"10"</f>
        <v>10</v>
      </c>
      <c r="AN80" t="str">
        <f>"500000"</f>
        <v>500000</v>
      </c>
      <c r="AO80" t="str">
        <f>"הכנסות  מלקוחות"</f>
        <v>הכנסות  מלקוחות</v>
      </c>
      <c r="AQ80" t="str">
        <f>"007"</f>
        <v>007</v>
      </c>
      <c r="AR80">
        <v>0</v>
      </c>
      <c r="AS80">
        <v>0</v>
      </c>
      <c r="AT80">
        <v>3.8479999999999999</v>
      </c>
      <c r="AX80" t="str">
        <f>"E000405777"</f>
        <v>E000405777</v>
      </c>
      <c r="BD80" t="str">
        <f>"רוני דידי"</f>
        <v>רוני דידי</v>
      </c>
    </row>
    <row r="81" spans="1:56" x14ac:dyDescent="0.3">
      <c r="A81" s="1">
        <v>45195</v>
      </c>
      <c r="B81" t="str">
        <f>"SI236001281"</f>
        <v>SI236001281</v>
      </c>
      <c r="C81" t="str">
        <f>"PR22000592"</f>
        <v>PR22000592</v>
      </c>
      <c r="E81" t="str">
        <f>"Y"</f>
        <v>Y</v>
      </c>
      <c r="F81" t="str">
        <f>"חשבוניות מרכזות"</f>
        <v>חשבוניות מרכזות</v>
      </c>
      <c r="G81" t="str">
        <f>"700065"</f>
        <v>700065</v>
      </c>
      <c r="H81" t="str">
        <f>"אלתא מערכות בע""מ"</f>
        <v>אלתא מערכות בע"מ</v>
      </c>
      <c r="I81" t="str">
        <f>"15"</f>
        <v>15</v>
      </c>
      <c r="J81" t="str">
        <f>"OP-AR03288"</f>
        <v>OP-AR03288</v>
      </c>
      <c r="K81" t="str">
        <f>"1035C312-001    HARNESS 3W012 - 440VAC/60HZ FROM PSU TO"</f>
        <v>1035C312-001    HARNESS 3W012 - 440VAC/60HZ FROM PSU TO</v>
      </c>
      <c r="L81">
        <v>2</v>
      </c>
      <c r="M81" t="str">
        <f>"יח"</f>
        <v>יח</v>
      </c>
      <c r="N81">
        <v>2</v>
      </c>
      <c r="O81" t="str">
        <f>"יח"</f>
        <v>יח</v>
      </c>
      <c r="P81">
        <v>425.95</v>
      </c>
      <c r="Q81" t="str">
        <f>"$"</f>
        <v>$</v>
      </c>
      <c r="R81" t="str">
        <f>"הזמנה"</f>
        <v>הזמנה</v>
      </c>
      <c r="S81">
        <v>0</v>
      </c>
      <c r="T81">
        <v>851.9</v>
      </c>
      <c r="U81">
        <v>0</v>
      </c>
      <c r="V81">
        <v>851.9</v>
      </c>
      <c r="W81" t="str">
        <f>"$"</f>
        <v>$</v>
      </c>
      <c r="X81">
        <v>0</v>
      </c>
      <c r="Y81">
        <v>0</v>
      </c>
      <c r="Z81">
        <v>0</v>
      </c>
      <c r="AA81" t="str">
        <f>"Y"</f>
        <v>Y</v>
      </c>
      <c r="AB81" t="str">
        <f>"SO22000346"</f>
        <v>SO22000346</v>
      </c>
      <c r="AC81">
        <v>12</v>
      </c>
      <c r="AD81" s="1">
        <v>44802</v>
      </c>
      <c r="AE81" t="str">
        <f>"SH23001183"</f>
        <v>SH23001183</v>
      </c>
      <c r="AF81" t="str">
        <f>"משלוחים ללקוח"</f>
        <v>משלוחים ללקוח</v>
      </c>
      <c r="AG81" s="1">
        <v>45183</v>
      </c>
      <c r="AM81" t="str">
        <f>"10"</f>
        <v>10</v>
      </c>
      <c r="AN81" t="str">
        <f>"500000"</f>
        <v>500000</v>
      </c>
      <c r="AO81" t="str">
        <f>"הכנסות  מלקוחות"</f>
        <v>הכנסות  מלקוחות</v>
      </c>
      <c r="AQ81" t="str">
        <f>"040"</f>
        <v>040</v>
      </c>
      <c r="AR81">
        <v>0</v>
      </c>
      <c r="AS81">
        <v>0</v>
      </c>
      <c r="AT81">
        <v>3.819</v>
      </c>
      <c r="AX81" t="str">
        <f>"E000372162"</f>
        <v>E000372162</v>
      </c>
      <c r="BD81" t="str">
        <f>"רחמים זרוק"</f>
        <v>רחמים זרוק</v>
      </c>
    </row>
    <row r="82" spans="1:56" x14ac:dyDescent="0.3">
      <c r="A82" s="1">
        <v>45195</v>
      </c>
      <c r="B82" t="str">
        <f>"SI236001281"</f>
        <v>SI236001281</v>
      </c>
      <c r="C82" t="str">
        <f>"PR22000592"</f>
        <v>PR22000592</v>
      </c>
      <c r="E82" t="str">
        <f>"Y"</f>
        <v>Y</v>
      </c>
      <c r="F82" t="str">
        <f>"חשבוניות מרכזות"</f>
        <v>חשבוניות מרכזות</v>
      </c>
      <c r="G82" t="str">
        <f>"700065"</f>
        <v>700065</v>
      </c>
      <c r="H82" t="str">
        <f>"אלתא מערכות בע""מ"</f>
        <v>אלתא מערכות בע"מ</v>
      </c>
      <c r="I82" t="str">
        <f>"15"</f>
        <v>15</v>
      </c>
      <c r="J82" t="str">
        <f>"OP-AR03296"</f>
        <v>OP-AR03296</v>
      </c>
      <c r="K82" t="str">
        <f>"1035C332-001    HARNESS 3W032 - INTERLOCK,LIQUID SENSE a"</f>
        <v>1035C332-001    HARNESS 3W032 - INTERLOCK,LIQUID SENSE a</v>
      </c>
      <c r="L82">
        <v>2</v>
      </c>
      <c r="M82" t="str">
        <f>"יח"</f>
        <v>יח</v>
      </c>
      <c r="N82">
        <v>2</v>
      </c>
      <c r="O82" t="str">
        <f>"יח"</f>
        <v>יח</v>
      </c>
      <c r="P82">
        <v>489.64</v>
      </c>
      <c r="Q82" t="str">
        <f>"$"</f>
        <v>$</v>
      </c>
      <c r="R82" t="str">
        <f>"הזמנה"</f>
        <v>הזמנה</v>
      </c>
      <c r="S82">
        <v>0</v>
      </c>
      <c r="T82">
        <v>979.28</v>
      </c>
      <c r="U82">
        <v>0</v>
      </c>
      <c r="V82">
        <v>979.28</v>
      </c>
      <c r="W82" t="str">
        <f>"$"</f>
        <v>$</v>
      </c>
      <c r="X82">
        <v>0</v>
      </c>
      <c r="Y82">
        <v>0</v>
      </c>
      <c r="Z82">
        <v>0</v>
      </c>
      <c r="AA82" t="str">
        <f>"Y"</f>
        <v>Y</v>
      </c>
      <c r="AB82" t="str">
        <f>"SO22000346"</f>
        <v>SO22000346</v>
      </c>
      <c r="AC82">
        <v>20</v>
      </c>
      <c r="AD82" s="1">
        <v>44802</v>
      </c>
      <c r="AE82" t="str">
        <f>"SH23001183"</f>
        <v>SH23001183</v>
      </c>
      <c r="AF82" t="str">
        <f>"משלוחים ללקוח"</f>
        <v>משלוחים ללקוח</v>
      </c>
      <c r="AG82" s="1">
        <v>45183</v>
      </c>
      <c r="AM82" t="str">
        <f>"10"</f>
        <v>10</v>
      </c>
      <c r="AN82" t="str">
        <f>"500000"</f>
        <v>500000</v>
      </c>
      <c r="AO82" t="str">
        <f>"הכנסות  מלקוחות"</f>
        <v>הכנסות  מלקוחות</v>
      </c>
      <c r="AQ82" t="str">
        <f>"040"</f>
        <v>040</v>
      </c>
      <c r="AR82">
        <v>0</v>
      </c>
      <c r="AS82">
        <v>0</v>
      </c>
      <c r="AT82">
        <v>3.819</v>
      </c>
      <c r="AX82" t="str">
        <f>"E000372162"</f>
        <v>E000372162</v>
      </c>
      <c r="BD82" t="str">
        <f>"רחמים זרוק"</f>
        <v>רחמים זרוק</v>
      </c>
    </row>
    <row r="83" spans="1:56" x14ac:dyDescent="0.3">
      <c r="A83" s="1">
        <v>45195</v>
      </c>
      <c r="B83" t="str">
        <f>"SI236001281"</f>
        <v>SI236001281</v>
      </c>
      <c r="C83" t="str">
        <f>"PR22000592"</f>
        <v>PR22000592</v>
      </c>
      <c r="E83" t="str">
        <f>"Y"</f>
        <v>Y</v>
      </c>
      <c r="F83" t="str">
        <f>"חשבוניות מרכזות"</f>
        <v>חשבוניות מרכזות</v>
      </c>
      <c r="G83" t="str">
        <f>"700065"</f>
        <v>700065</v>
      </c>
      <c r="H83" t="str">
        <f>"אלתא מערכות בע""מ"</f>
        <v>אלתא מערכות בע"מ</v>
      </c>
      <c r="I83" t="str">
        <f>"15"</f>
        <v>15</v>
      </c>
      <c r="J83" t="str">
        <f>"OP-AR03297"</f>
        <v>OP-AR03297</v>
      </c>
      <c r="K83" t="str">
        <f>"1035C333-001    HARNESS 3W033 - DATA FROM EXTERNAL SYST"</f>
        <v>1035C333-001    HARNESS 3W033 - DATA FROM EXTERNAL SYST</v>
      </c>
      <c r="L83">
        <v>1</v>
      </c>
      <c r="M83" t="str">
        <f>"יח"</f>
        <v>יח</v>
      </c>
      <c r="N83">
        <v>1</v>
      </c>
      <c r="O83" t="str">
        <f>"יח"</f>
        <v>יח</v>
      </c>
      <c r="P83" s="2">
        <v>1202.47</v>
      </c>
      <c r="Q83" t="str">
        <f>"$"</f>
        <v>$</v>
      </c>
      <c r="R83" t="str">
        <f>"הזמנה"</f>
        <v>הזמנה</v>
      </c>
      <c r="S83">
        <v>0</v>
      </c>
      <c r="T83" s="2">
        <v>1202.47</v>
      </c>
      <c r="U83">
        <v>0</v>
      </c>
      <c r="V83" s="2">
        <v>1202.47</v>
      </c>
      <c r="W83" t="str">
        <f>"$"</f>
        <v>$</v>
      </c>
      <c r="X83">
        <v>0</v>
      </c>
      <c r="Y83">
        <v>0</v>
      </c>
      <c r="Z83">
        <v>0</v>
      </c>
      <c r="AA83" t="str">
        <f>"Y"</f>
        <v>Y</v>
      </c>
      <c r="AB83" t="str">
        <f>"SO22000346"</f>
        <v>SO22000346</v>
      </c>
      <c r="AC83">
        <v>21</v>
      </c>
      <c r="AD83" s="1">
        <v>44802</v>
      </c>
      <c r="AE83" t="str">
        <f>"SH23001183"</f>
        <v>SH23001183</v>
      </c>
      <c r="AF83" t="str">
        <f>"משלוחים ללקוח"</f>
        <v>משלוחים ללקוח</v>
      </c>
      <c r="AG83" s="1">
        <v>45183</v>
      </c>
      <c r="AM83" t="str">
        <f>"10"</f>
        <v>10</v>
      </c>
      <c r="AN83" t="str">
        <f>"500000"</f>
        <v>500000</v>
      </c>
      <c r="AO83" t="str">
        <f>"הכנסות  מלקוחות"</f>
        <v>הכנסות  מלקוחות</v>
      </c>
      <c r="AQ83" t="str">
        <f>"040"</f>
        <v>040</v>
      </c>
      <c r="AR83">
        <v>0</v>
      </c>
      <c r="AS83">
        <v>0</v>
      </c>
      <c r="AT83">
        <v>3.819</v>
      </c>
      <c r="AX83" t="str">
        <f>"E000372162"</f>
        <v>E000372162</v>
      </c>
      <c r="BD83" t="str">
        <f>"רחמים זרוק"</f>
        <v>רחמים זרוק</v>
      </c>
    </row>
    <row r="84" spans="1:56" x14ac:dyDescent="0.3">
      <c r="A84" s="1">
        <v>45195</v>
      </c>
      <c r="B84" t="str">
        <f>"SI236001280"</f>
        <v>SI236001280</v>
      </c>
      <c r="C84" t="str">
        <f>"PR22000592"</f>
        <v>PR22000592</v>
      </c>
      <c r="E84" t="str">
        <f>"Y"</f>
        <v>Y</v>
      </c>
      <c r="F84" t="str">
        <f>"חשבוניות מרכזות"</f>
        <v>חשבוניות מרכזות</v>
      </c>
      <c r="G84" t="str">
        <f>"700065"</f>
        <v>700065</v>
      </c>
      <c r="H84" t="str">
        <f>"אלתא מערכות בע""מ"</f>
        <v>אלתא מערכות בע"מ</v>
      </c>
      <c r="I84" t="str">
        <f>"15"</f>
        <v>15</v>
      </c>
      <c r="J84" t="str">
        <f>"OP-AR03288"</f>
        <v>OP-AR03288</v>
      </c>
      <c r="K84" t="str">
        <f>"1035C312-001    HARNESS 3W012 - 440VAC/60HZ FROM PSU TO"</f>
        <v>1035C312-001    HARNESS 3W012 - 440VAC/60HZ FROM PSU TO</v>
      </c>
      <c r="L84">
        <v>-2</v>
      </c>
      <c r="M84" t="str">
        <f>"יח"</f>
        <v>יח</v>
      </c>
      <c r="N84">
        <v>-2</v>
      </c>
      <c r="O84" t="str">
        <f>"יח"</f>
        <v>יח</v>
      </c>
      <c r="P84">
        <v>425.95</v>
      </c>
      <c r="Q84" t="str">
        <f>"$"</f>
        <v>$</v>
      </c>
      <c r="R84" t="str">
        <f>"הזמנה"</f>
        <v>הזמנה</v>
      </c>
      <c r="S84">
        <v>0</v>
      </c>
      <c r="T84">
        <v>-851.9</v>
      </c>
      <c r="U84">
        <v>0</v>
      </c>
      <c r="V84">
        <v>-851.9</v>
      </c>
      <c r="W84" t="str">
        <f>"$"</f>
        <v>$</v>
      </c>
      <c r="X84">
        <v>0</v>
      </c>
      <c r="Y84">
        <v>0</v>
      </c>
      <c r="Z84">
        <v>0</v>
      </c>
      <c r="AA84" t="str">
        <f>"Y"</f>
        <v>Y</v>
      </c>
      <c r="AC84">
        <v>0</v>
      </c>
      <c r="AM84" t="str">
        <f>"10"</f>
        <v>10</v>
      </c>
      <c r="AN84" t="str">
        <f>"500000"</f>
        <v>500000</v>
      </c>
      <c r="AO84" t="str">
        <f>"הכנסות  מלקוחות"</f>
        <v>הכנסות  מלקוחות</v>
      </c>
      <c r="AQ84" t="str">
        <f>"040"</f>
        <v>040</v>
      </c>
      <c r="AR84">
        <v>0</v>
      </c>
      <c r="AS84">
        <v>0</v>
      </c>
      <c r="AT84">
        <v>3.819</v>
      </c>
      <c r="BB84" t="str">
        <f>"Y"</f>
        <v>Y</v>
      </c>
      <c r="BD84" t="str">
        <f>"רחמים זרוק"</f>
        <v>רחמים זרוק</v>
      </c>
    </row>
    <row r="85" spans="1:56" x14ac:dyDescent="0.3">
      <c r="A85" s="1">
        <v>45195</v>
      </c>
      <c r="B85" t="str">
        <f>"SI236001280"</f>
        <v>SI236001280</v>
      </c>
      <c r="C85" t="str">
        <f>"PR22000592"</f>
        <v>PR22000592</v>
      </c>
      <c r="E85" t="str">
        <f>"Y"</f>
        <v>Y</v>
      </c>
      <c r="F85" t="str">
        <f>"חשבוניות מרכזות"</f>
        <v>חשבוניות מרכזות</v>
      </c>
      <c r="G85" t="str">
        <f>"700065"</f>
        <v>700065</v>
      </c>
      <c r="H85" t="str">
        <f>"אלתא מערכות בע""מ"</f>
        <v>אלתא מערכות בע"מ</v>
      </c>
      <c r="I85" t="str">
        <f>"15"</f>
        <v>15</v>
      </c>
      <c r="J85" t="str">
        <f>"OP-AR03296"</f>
        <v>OP-AR03296</v>
      </c>
      <c r="K85" t="str">
        <f>"1035C332-001    HARNESS 3W032 - INTERLOCK,LIQUID SENSE a"</f>
        <v>1035C332-001    HARNESS 3W032 - INTERLOCK,LIQUID SENSE a</v>
      </c>
      <c r="L85">
        <v>-2</v>
      </c>
      <c r="M85" t="str">
        <f>"יח"</f>
        <v>יח</v>
      </c>
      <c r="N85">
        <v>-2</v>
      </c>
      <c r="O85" t="str">
        <f>"יח"</f>
        <v>יח</v>
      </c>
      <c r="P85">
        <v>489.64</v>
      </c>
      <c r="Q85" t="str">
        <f>"$"</f>
        <v>$</v>
      </c>
      <c r="R85" t="str">
        <f>"הזמנה"</f>
        <v>הזמנה</v>
      </c>
      <c r="S85">
        <v>0</v>
      </c>
      <c r="T85">
        <v>-979.28</v>
      </c>
      <c r="U85">
        <v>0</v>
      </c>
      <c r="V85">
        <v>-979.28</v>
      </c>
      <c r="W85" t="str">
        <f>"$"</f>
        <v>$</v>
      </c>
      <c r="X85">
        <v>0</v>
      </c>
      <c r="Y85">
        <v>0</v>
      </c>
      <c r="Z85">
        <v>0</v>
      </c>
      <c r="AA85" t="str">
        <f>"Y"</f>
        <v>Y</v>
      </c>
      <c r="AC85">
        <v>0</v>
      </c>
      <c r="AM85" t="str">
        <f>"10"</f>
        <v>10</v>
      </c>
      <c r="AN85" t="str">
        <f>"500000"</f>
        <v>500000</v>
      </c>
      <c r="AO85" t="str">
        <f>"הכנסות  מלקוחות"</f>
        <v>הכנסות  מלקוחות</v>
      </c>
      <c r="AQ85" t="str">
        <f>"040"</f>
        <v>040</v>
      </c>
      <c r="AR85">
        <v>0</v>
      </c>
      <c r="AS85">
        <v>0</v>
      </c>
      <c r="AT85">
        <v>3.819</v>
      </c>
      <c r="BB85" t="str">
        <f>"Y"</f>
        <v>Y</v>
      </c>
      <c r="BD85" t="str">
        <f>"רחמים זרוק"</f>
        <v>רחמים זרוק</v>
      </c>
    </row>
    <row r="86" spans="1:56" x14ac:dyDescent="0.3">
      <c r="A86" s="1">
        <v>45195</v>
      </c>
      <c r="B86" t="str">
        <f>"SI236001280"</f>
        <v>SI236001280</v>
      </c>
      <c r="C86" t="str">
        <f>"PR22000592"</f>
        <v>PR22000592</v>
      </c>
      <c r="E86" t="str">
        <f>"Y"</f>
        <v>Y</v>
      </c>
      <c r="F86" t="str">
        <f>"חשבוניות מרכזות"</f>
        <v>חשבוניות מרכזות</v>
      </c>
      <c r="G86" t="str">
        <f>"700065"</f>
        <v>700065</v>
      </c>
      <c r="H86" t="str">
        <f>"אלתא מערכות בע""מ"</f>
        <v>אלתא מערכות בע"מ</v>
      </c>
      <c r="I86" t="str">
        <f>"15"</f>
        <v>15</v>
      </c>
      <c r="J86" t="str">
        <f>"OP-AR03297"</f>
        <v>OP-AR03297</v>
      </c>
      <c r="K86" t="str">
        <f>"1035C333-001    HARNESS 3W033 - DATA FROM EXTERNAL SYST"</f>
        <v>1035C333-001    HARNESS 3W033 - DATA FROM EXTERNAL SYST</v>
      </c>
      <c r="L86">
        <v>-1</v>
      </c>
      <c r="M86" t="str">
        <f>"יח"</f>
        <v>יח</v>
      </c>
      <c r="N86">
        <v>-1</v>
      </c>
      <c r="O86" t="str">
        <f>"יח"</f>
        <v>יח</v>
      </c>
      <c r="P86" s="2">
        <v>1202.47</v>
      </c>
      <c r="Q86" t="str">
        <f>"$"</f>
        <v>$</v>
      </c>
      <c r="R86" t="str">
        <f>"הזמנה"</f>
        <v>הזמנה</v>
      </c>
      <c r="S86">
        <v>0</v>
      </c>
      <c r="T86" s="2">
        <v>-1202.47</v>
      </c>
      <c r="U86">
        <v>0</v>
      </c>
      <c r="V86" s="2">
        <v>-1202.47</v>
      </c>
      <c r="W86" t="str">
        <f>"$"</f>
        <v>$</v>
      </c>
      <c r="X86">
        <v>0</v>
      </c>
      <c r="Y86">
        <v>0</v>
      </c>
      <c r="Z86">
        <v>0</v>
      </c>
      <c r="AA86" t="str">
        <f>"Y"</f>
        <v>Y</v>
      </c>
      <c r="AC86">
        <v>0</v>
      </c>
      <c r="AM86" t="str">
        <f>"10"</f>
        <v>10</v>
      </c>
      <c r="AN86" t="str">
        <f>"500000"</f>
        <v>500000</v>
      </c>
      <c r="AO86" t="str">
        <f>"הכנסות  מלקוחות"</f>
        <v>הכנסות  מלקוחות</v>
      </c>
      <c r="AQ86" t="str">
        <f>"040"</f>
        <v>040</v>
      </c>
      <c r="AR86">
        <v>0</v>
      </c>
      <c r="AS86">
        <v>0</v>
      </c>
      <c r="AT86">
        <v>3.819</v>
      </c>
      <c r="BB86" t="str">
        <f>"Y"</f>
        <v>Y</v>
      </c>
      <c r="BD86" t="str">
        <f>"רחמים זרוק"</f>
        <v>רחמים זרוק</v>
      </c>
    </row>
    <row r="87" spans="1:56" x14ac:dyDescent="0.3">
      <c r="A87" s="1">
        <v>45195</v>
      </c>
      <c r="B87" t="str">
        <f>"SI236001279"</f>
        <v>SI236001279</v>
      </c>
      <c r="C87" t="str">
        <f>"PR23000330"</f>
        <v>PR23000330</v>
      </c>
      <c r="D87" t="str">
        <f>"PR23000330"</f>
        <v>PR23000330</v>
      </c>
      <c r="E87" t="str">
        <f>"Y"</f>
        <v>Y</v>
      </c>
      <c r="F87" t="str">
        <f>"חשבוניות מרכזות"</f>
        <v>חשבוניות מרכזות</v>
      </c>
      <c r="G87" t="str">
        <f>"700065"</f>
        <v>700065</v>
      </c>
      <c r="H87" t="str">
        <f>"אלתא מערכות בע""מ"</f>
        <v>אלתא מערכות בע"מ</v>
      </c>
      <c r="I87" t="str">
        <f>"15"</f>
        <v>15</v>
      </c>
      <c r="J87" t="str">
        <f>"OP-AR03647"</f>
        <v>OP-AR03647</v>
      </c>
      <c r="K87" t="str">
        <f>"3034F670-001    HARNESS W670 - MTX TO FRONT END FWD"</f>
        <v>3034F670-001    HARNESS W670 - MTX TO FRONT END FWD</v>
      </c>
      <c r="L87">
        <v>4</v>
      </c>
      <c r="M87" t="str">
        <f>"יח"</f>
        <v>יח</v>
      </c>
      <c r="N87">
        <v>4</v>
      </c>
      <c r="O87" t="str">
        <f>"יח"</f>
        <v>יח</v>
      </c>
      <c r="P87">
        <v>607.65</v>
      </c>
      <c r="Q87" t="str">
        <f>"$"</f>
        <v>$</v>
      </c>
      <c r="R87" t="str">
        <f>"הזמנה"</f>
        <v>הזמנה</v>
      </c>
      <c r="S87">
        <v>0</v>
      </c>
      <c r="T87" s="2">
        <v>2430.6</v>
      </c>
      <c r="U87">
        <v>0</v>
      </c>
      <c r="V87" s="2">
        <v>2430.6</v>
      </c>
      <c r="W87" t="str">
        <f>"$"</f>
        <v>$</v>
      </c>
      <c r="X87">
        <v>0</v>
      </c>
      <c r="Y87">
        <v>0</v>
      </c>
      <c r="Z87">
        <v>0</v>
      </c>
      <c r="AA87" t="str">
        <f>"Y"</f>
        <v>Y</v>
      </c>
      <c r="AB87" t="str">
        <f>"SO23000236"</f>
        <v>SO23000236</v>
      </c>
      <c r="AC87">
        <v>3</v>
      </c>
      <c r="AD87" s="1">
        <v>45062</v>
      </c>
      <c r="AE87" t="str">
        <f>"SH23001187"</f>
        <v>SH23001187</v>
      </c>
      <c r="AF87" t="str">
        <f>"משלוחים ללקוח"</f>
        <v>משלוחים ללקוח</v>
      </c>
      <c r="AG87" s="1">
        <v>45183</v>
      </c>
      <c r="AM87" t="str">
        <f>"10"</f>
        <v>10</v>
      </c>
      <c r="AN87" t="str">
        <f>"500000"</f>
        <v>500000</v>
      </c>
      <c r="AO87" t="str">
        <f>"הכנסות  מלקוחות"</f>
        <v>הכנסות  מלקוחות</v>
      </c>
      <c r="AQ87" t="str">
        <f>"040"</f>
        <v>040</v>
      </c>
      <c r="AR87">
        <v>0</v>
      </c>
      <c r="AS87">
        <v>0</v>
      </c>
      <c r="AT87">
        <v>3.819</v>
      </c>
      <c r="AX87" t="str">
        <f>"E000393939"</f>
        <v>E000393939</v>
      </c>
      <c r="BD87" t="str">
        <f>"רחמים זרוק"</f>
        <v>רחמים זרוק</v>
      </c>
    </row>
    <row r="88" spans="1:56" x14ac:dyDescent="0.3">
      <c r="A88" s="1">
        <v>45195</v>
      </c>
      <c r="B88" t="str">
        <f>"SI236001279"</f>
        <v>SI236001279</v>
      </c>
      <c r="C88" t="str">
        <f>"PR23000330"</f>
        <v>PR23000330</v>
      </c>
      <c r="D88" t="str">
        <f>"PR23000330"</f>
        <v>PR23000330</v>
      </c>
      <c r="E88" t="str">
        <f>"Y"</f>
        <v>Y</v>
      </c>
      <c r="F88" t="str">
        <f>"חשבוניות מרכזות"</f>
        <v>חשבוניות מרכזות</v>
      </c>
      <c r="G88" t="str">
        <f>"700065"</f>
        <v>700065</v>
      </c>
      <c r="H88" t="str">
        <f>"אלתא מערכות בע""מ"</f>
        <v>אלתא מערכות בע"מ</v>
      </c>
      <c r="I88" t="str">
        <f>"15"</f>
        <v>15</v>
      </c>
      <c r="J88" t="str">
        <f>"OP-AR03651"</f>
        <v>OP-AR03651</v>
      </c>
      <c r="K88" t="str">
        <f>"3034F740-001    HARNESS W740 - QMDC TO MMW FE RIGHT"</f>
        <v>3034F740-001    HARNESS W740 - QMDC TO MMW FE RIGHT</v>
      </c>
      <c r="L88">
        <v>4</v>
      </c>
      <c r="M88" t="str">
        <f>"יח"</f>
        <v>יח</v>
      </c>
      <c r="N88">
        <v>4</v>
      </c>
      <c r="O88" t="str">
        <f>"יח"</f>
        <v>יח</v>
      </c>
      <c r="P88">
        <v>469.11</v>
      </c>
      <c r="Q88" t="str">
        <f>"$"</f>
        <v>$</v>
      </c>
      <c r="R88" t="str">
        <f>"הזמנה"</f>
        <v>הזמנה</v>
      </c>
      <c r="S88">
        <v>0</v>
      </c>
      <c r="T88" s="2">
        <v>1876.44</v>
      </c>
      <c r="U88">
        <v>0</v>
      </c>
      <c r="V88" s="2">
        <v>1876.44</v>
      </c>
      <c r="W88" t="str">
        <f>"$"</f>
        <v>$</v>
      </c>
      <c r="X88">
        <v>0</v>
      </c>
      <c r="Y88">
        <v>0</v>
      </c>
      <c r="Z88">
        <v>0</v>
      </c>
      <c r="AA88" t="str">
        <f>"Y"</f>
        <v>Y</v>
      </c>
      <c r="AB88" t="str">
        <f>"SO23000236"</f>
        <v>SO23000236</v>
      </c>
      <c r="AC88">
        <v>7</v>
      </c>
      <c r="AD88" s="1">
        <v>45062</v>
      </c>
      <c r="AE88" t="str">
        <f>"SH23001187"</f>
        <v>SH23001187</v>
      </c>
      <c r="AF88" t="str">
        <f>"משלוחים ללקוח"</f>
        <v>משלוחים ללקוח</v>
      </c>
      <c r="AG88" s="1">
        <v>45183</v>
      </c>
      <c r="AM88" t="str">
        <f>"10"</f>
        <v>10</v>
      </c>
      <c r="AN88" t="str">
        <f>"500000"</f>
        <v>500000</v>
      </c>
      <c r="AO88" t="str">
        <f>"הכנסות  מלקוחות"</f>
        <v>הכנסות  מלקוחות</v>
      </c>
      <c r="AQ88" t="str">
        <f>"040"</f>
        <v>040</v>
      </c>
      <c r="AR88">
        <v>0</v>
      </c>
      <c r="AS88">
        <v>0</v>
      </c>
      <c r="AT88">
        <v>3.819</v>
      </c>
      <c r="AX88" t="str">
        <f>"E000393939"</f>
        <v>E000393939</v>
      </c>
      <c r="BD88" t="str">
        <f>"רחמים זרוק"</f>
        <v>רחמים זרוק</v>
      </c>
    </row>
    <row r="89" spans="1:56" x14ac:dyDescent="0.3">
      <c r="A89" s="1">
        <v>45195</v>
      </c>
      <c r="B89" t="str">
        <f>"SI236001278"</f>
        <v>SI236001278</v>
      </c>
      <c r="C89" t="str">
        <f>"PR23000493"</f>
        <v>PR23000493</v>
      </c>
      <c r="E89" t="str">
        <f>"Y"</f>
        <v>Y</v>
      </c>
      <c r="F89" t="str">
        <f>"חשבוניות מרכזות"</f>
        <v>חשבוניות מרכזות</v>
      </c>
      <c r="G89" t="str">
        <f>"700065"</f>
        <v>700065</v>
      </c>
      <c r="H89" t="str">
        <f>"אלתא מערכות בע""מ"</f>
        <v>אלתא מערכות בע"מ</v>
      </c>
      <c r="I89" t="str">
        <f>"15"</f>
        <v>15</v>
      </c>
      <c r="J89" t="str">
        <f>"OP-AR03752"</f>
        <v>OP-AR03752</v>
      </c>
      <c r="K89" t="str">
        <f>"1044A858-001    HARNESS W858 - DC POWER AFT COMMAND TO E"</f>
        <v>1044A858-001    HARNESS W858 - DC POWER AFT COMMAND TO E</v>
      </c>
      <c r="L89">
        <v>1</v>
      </c>
      <c r="M89" t="str">
        <f>"יח"</f>
        <v>יח</v>
      </c>
      <c r="N89">
        <v>1</v>
      </c>
      <c r="O89" t="str">
        <f>"יח"</f>
        <v>יח</v>
      </c>
      <c r="P89">
        <v>564.94000000000005</v>
      </c>
      <c r="Q89" t="str">
        <f>"$"</f>
        <v>$</v>
      </c>
      <c r="R89" t="str">
        <f>"הזמנה"</f>
        <v>הזמנה</v>
      </c>
      <c r="S89">
        <v>0</v>
      </c>
      <c r="T89">
        <v>564.94000000000005</v>
      </c>
      <c r="U89">
        <v>0</v>
      </c>
      <c r="V89">
        <v>564.94000000000005</v>
      </c>
      <c r="W89" t="str">
        <f>"$"</f>
        <v>$</v>
      </c>
      <c r="X89">
        <v>0</v>
      </c>
      <c r="Y89">
        <v>0</v>
      </c>
      <c r="Z89">
        <v>0</v>
      </c>
      <c r="AA89" t="str">
        <f>"Y"</f>
        <v>Y</v>
      </c>
      <c r="AB89" t="str">
        <f>"SO23000324"</f>
        <v>SO23000324</v>
      </c>
      <c r="AC89">
        <v>1</v>
      </c>
      <c r="AD89" s="1">
        <v>45123</v>
      </c>
      <c r="AE89" t="str">
        <f>"SH23001189"</f>
        <v>SH23001189</v>
      </c>
      <c r="AF89" t="str">
        <f>"משלוחים ללקוח"</f>
        <v>משלוחים ללקוח</v>
      </c>
      <c r="AG89" s="1">
        <v>45183</v>
      </c>
      <c r="AM89" t="str">
        <f>"10"</f>
        <v>10</v>
      </c>
      <c r="AN89" t="str">
        <f>"500000"</f>
        <v>500000</v>
      </c>
      <c r="AO89" t="str">
        <f>"הכנסות  מלקוחות"</f>
        <v>הכנסות  מלקוחות</v>
      </c>
      <c r="AQ89" t="str">
        <f>"040"</f>
        <v>040</v>
      </c>
      <c r="AR89">
        <v>0</v>
      </c>
      <c r="AS89">
        <v>0</v>
      </c>
      <c r="AT89">
        <v>3.819</v>
      </c>
      <c r="AX89" t="str">
        <f>"E000399643"</f>
        <v>E000399643</v>
      </c>
      <c r="BD89" t="str">
        <f>"רחמים זרוק"</f>
        <v>רחמים זרוק</v>
      </c>
    </row>
    <row r="90" spans="1:56" x14ac:dyDescent="0.3">
      <c r="A90" s="1">
        <v>45195</v>
      </c>
      <c r="B90" t="str">
        <f>"SI236001278"</f>
        <v>SI236001278</v>
      </c>
      <c r="C90" t="str">
        <f>"PR23000493"</f>
        <v>PR23000493</v>
      </c>
      <c r="E90" t="str">
        <f>"Y"</f>
        <v>Y</v>
      </c>
      <c r="F90" t="str">
        <f>"חשבוניות מרכזות"</f>
        <v>חשבוניות מרכזות</v>
      </c>
      <c r="G90" t="str">
        <f>"700065"</f>
        <v>700065</v>
      </c>
      <c r="H90" t="str">
        <f>"אלתא מערכות בע""מ"</f>
        <v>אלתא מערכות בע"מ</v>
      </c>
      <c r="I90" t="str">
        <f>"15"</f>
        <v>15</v>
      </c>
      <c r="J90" t="str">
        <f>"OP-AR03753"</f>
        <v>OP-AR03753</v>
      </c>
      <c r="K90" t="str">
        <f>"1044A859-001    ETH SW TO CONTROL BOX DATA AFT COMD TO P"</f>
        <v>1044A859-001    ETH SW TO CONTROL BOX DATA AFT COMD TO P</v>
      </c>
      <c r="L90">
        <v>1</v>
      </c>
      <c r="M90" t="str">
        <f>"יח"</f>
        <v>יח</v>
      </c>
      <c r="N90">
        <v>1</v>
      </c>
      <c r="O90" t="str">
        <f>"יח"</f>
        <v>יח</v>
      </c>
      <c r="P90" s="2">
        <v>1523.72</v>
      </c>
      <c r="Q90" t="str">
        <f>"$"</f>
        <v>$</v>
      </c>
      <c r="R90" t="str">
        <f>"הזמנה"</f>
        <v>הזמנה</v>
      </c>
      <c r="S90">
        <v>0</v>
      </c>
      <c r="T90" s="2">
        <v>1523.72</v>
      </c>
      <c r="U90">
        <v>0</v>
      </c>
      <c r="V90" s="2">
        <v>1523.72</v>
      </c>
      <c r="W90" t="str">
        <f>"$"</f>
        <v>$</v>
      </c>
      <c r="X90">
        <v>0</v>
      </c>
      <c r="Y90">
        <v>0</v>
      </c>
      <c r="Z90">
        <v>0</v>
      </c>
      <c r="AA90" t="str">
        <f>"Y"</f>
        <v>Y</v>
      </c>
      <c r="AB90" t="str">
        <f>"SO23000324"</f>
        <v>SO23000324</v>
      </c>
      <c r="AC90">
        <v>2</v>
      </c>
      <c r="AD90" s="1">
        <v>45123</v>
      </c>
      <c r="AE90" t="str">
        <f>"SH23001189"</f>
        <v>SH23001189</v>
      </c>
      <c r="AF90" t="str">
        <f>"משלוחים ללקוח"</f>
        <v>משלוחים ללקוח</v>
      </c>
      <c r="AG90" s="1">
        <v>45183</v>
      </c>
      <c r="AM90" t="str">
        <f>"10"</f>
        <v>10</v>
      </c>
      <c r="AN90" t="str">
        <f>"500000"</f>
        <v>500000</v>
      </c>
      <c r="AO90" t="str">
        <f>"הכנסות  מלקוחות"</f>
        <v>הכנסות  מלקוחות</v>
      </c>
      <c r="AQ90" t="str">
        <f>"040"</f>
        <v>040</v>
      </c>
      <c r="AR90">
        <v>0</v>
      </c>
      <c r="AS90">
        <v>0</v>
      </c>
      <c r="AT90">
        <v>3.819</v>
      </c>
      <c r="AX90" t="str">
        <f>"E000399643"</f>
        <v>E000399643</v>
      </c>
      <c r="BD90" t="str">
        <f>"רחמים זרוק"</f>
        <v>רחמים זרוק</v>
      </c>
    </row>
    <row r="91" spans="1:56" x14ac:dyDescent="0.3">
      <c r="A91" s="1">
        <v>45195</v>
      </c>
      <c r="B91" t="str">
        <f>"SI236001278"</f>
        <v>SI236001278</v>
      </c>
      <c r="C91" t="str">
        <f>"PR23000493"</f>
        <v>PR23000493</v>
      </c>
      <c r="E91" t="str">
        <f>"Y"</f>
        <v>Y</v>
      </c>
      <c r="F91" t="str">
        <f>"חשבוניות מרכזות"</f>
        <v>חשבוניות מרכזות</v>
      </c>
      <c r="G91" t="str">
        <f>"700065"</f>
        <v>700065</v>
      </c>
      <c r="H91" t="str">
        <f>"אלתא מערכות בע""מ"</f>
        <v>אלתא מערכות בע"מ</v>
      </c>
      <c r="I91" t="str">
        <f>"15"</f>
        <v>15</v>
      </c>
      <c r="J91" t="str">
        <f>"OP-AR01690"</f>
        <v>OP-AR01690</v>
      </c>
      <c r="K91" t="str">
        <f>"1032F971-001 HARNESS WB971 LAB RSU NG P7 DEBUG"</f>
        <v>1032F971-001 HARNESS WB971 LAB RSU NG P7 DEBUG</v>
      </c>
      <c r="L91">
        <v>1</v>
      </c>
      <c r="M91" t="str">
        <f>"יח"</f>
        <v>יח</v>
      </c>
      <c r="N91">
        <v>1</v>
      </c>
      <c r="O91" t="str">
        <f>"יח"</f>
        <v>יח</v>
      </c>
      <c r="P91">
        <v>693.77</v>
      </c>
      <c r="Q91" t="str">
        <f>"$"</f>
        <v>$</v>
      </c>
      <c r="R91" t="str">
        <f>"הזמנה"</f>
        <v>הזמנה</v>
      </c>
      <c r="S91">
        <v>0</v>
      </c>
      <c r="T91">
        <v>693.77</v>
      </c>
      <c r="U91">
        <v>0</v>
      </c>
      <c r="V91">
        <v>693.77</v>
      </c>
      <c r="W91" t="str">
        <f>"$"</f>
        <v>$</v>
      </c>
      <c r="X91">
        <v>0</v>
      </c>
      <c r="Y91">
        <v>0</v>
      </c>
      <c r="Z91">
        <v>0</v>
      </c>
      <c r="AA91" t="str">
        <f>"Y"</f>
        <v>Y</v>
      </c>
      <c r="AB91" t="str">
        <f>"SO23000324"</f>
        <v>SO23000324</v>
      </c>
      <c r="AC91">
        <v>4</v>
      </c>
      <c r="AD91" s="1">
        <v>45123</v>
      </c>
      <c r="AE91" t="str">
        <f>"SH23001189"</f>
        <v>SH23001189</v>
      </c>
      <c r="AF91" t="str">
        <f>"משלוחים ללקוח"</f>
        <v>משלוחים ללקוח</v>
      </c>
      <c r="AG91" s="1">
        <v>45183</v>
      </c>
      <c r="AM91" t="str">
        <f>"10"</f>
        <v>10</v>
      </c>
      <c r="AN91" t="str">
        <f>"500000"</f>
        <v>500000</v>
      </c>
      <c r="AO91" t="str">
        <f>"הכנסות  מלקוחות"</f>
        <v>הכנסות  מלקוחות</v>
      </c>
      <c r="AQ91" t="str">
        <f>"040"</f>
        <v>040</v>
      </c>
      <c r="AR91">
        <v>0</v>
      </c>
      <c r="AS91">
        <v>0</v>
      </c>
      <c r="AT91">
        <v>3.819</v>
      </c>
      <c r="AX91" t="str">
        <f>"E000399643"</f>
        <v>E000399643</v>
      </c>
      <c r="BD91" t="str">
        <f>"רחמים זרוק"</f>
        <v>רחמים זרוק</v>
      </c>
    </row>
    <row r="92" spans="1:56" x14ac:dyDescent="0.3">
      <c r="A92" s="1">
        <v>45195</v>
      </c>
      <c r="B92" t="str">
        <f>"SI236001278"</f>
        <v>SI236001278</v>
      </c>
      <c r="C92" t="str">
        <f>"PR23000493"</f>
        <v>PR23000493</v>
      </c>
      <c r="E92" t="str">
        <f>"Y"</f>
        <v>Y</v>
      </c>
      <c r="F92" t="str">
        <f>"חשבוניות מרכזות"</f>
        <v>חשבוניות מרכזות</v>
      </c>
      <c r="G92" t="str">
        <f>"700065"</f>
        <v>700065</v>
      </c>
      <c r="H92" t="str">
        <f>"אלתא מערכות בע""מ"</f>
        <v>אלתא מערכות בע"מ</v>
      </c>
      <c r="I92" t="str">
        <f>"15"</f>
        <v>15</v>
      </c>
      <c r="J92" t="str">
        <f>"OP-AR01690"</f>
        <v>OP-AR01690</v>
      </c>
      <c r="K92" t="str">
        <f>"1032F971-001 HARNESS WB971 LAB RSU NG P7 DEBUG"</f>
        <v>1032F971-001 HARNESS WB971 LAB RSU NG P7 DEBUG</v>
      </c>
      <c r="L92">
        <v>2</v>
      </c>
      <c r="M92" t="str">
        <f>"יח"</f>
        <v>יח</v>
      </c>
      <c r="N92">
        <v>2</v>
      </c>
      <c r="O92" t="str">
        <f>"יח"</f>
        <v>יח</v>
      </c>
      <c r="P92">
        <v>693.77</v>
      </c>
      <c r="Q92" t="str">
        <f>"$"</f>
        <v>$</v>
      </c>
      <c r="R92" t="str">
        <f>"הזמנה"</f>
        <v>הזמנה</v>
      </c>
      <c r="S92">
        <v>0</v>
      </c>
      <c r="T92" s="2">
        <v>1387.54</v>
      </c>
      <c r="U92">
        <v>0</v>
      </c>
      <c r="V92" s="2">
        <v>1387.54</v>
      </c>
      <c r="W92" t="str">
        <f>"$"</f>
        <v>$</v>
      </c>
      <c r="X92">
        <v>0</v>
      </c>
      <c r="Y92">
        <v>0</v>
      </c>
      <c r="Z92">
        <v>0</v>
      </c>
      <c r="AA92" t="str">
        <f>"Y"</f>
        <v>Y</v>
      </c>
      <c r="AB92" t="str">
        <f>"SO23000324"</f>
        <v>SO23000324</v>
      </c>
      <c r="AC92">
        <v>5</v>
      </c>
      <c r="AD92" s="1">
        <v>45123</v>
      </c>
      <c r="AE92" t="str">
        <f>"SH23001189"</f>
        <v>SH23001189</v>
      </c>
      <c r="AF92" t="str">
        <f>"משלוחים ללקוח"</f>
        <v>משלוחים ללקוח</v>
      </c>
      <c r="AG92" s="1">
        <v>45183</v>
      </c>
      <c r="AM92" t="str">
        <f>"10"</f>
        <v>10</v>
      </c>
      <c r="AN92" t="str">
        <f>"500000"</f>
        <v>500000</v>
      </c>
      <c r="AO92" t="str">
        <f>"הכנסות  מלקוחות"</f>
        <v>הכנסות  מלקוחות</v>
      </c>
      <c r="AQ92" t="str">
        <f>"040"</f>
        <v>040</v>
      </c>
      <c r="AR92">
        <v>0</v>
      </c>
      <c r="AS92">
        <v>0</v>
      </c>
      <c r="AT92">
        <v>3.819</v>
      </c>
      <c r="AX92" t="str">
        <f>"E000399643"</f>
        <v>E000399643</v>
      </c>
      <c r="BD92" t="str">
        <f>"רחמים זרוק"</f>
        <v>רחמים זרוק</v>
      </c>
    </row>
    <row r="93" spans="1:56" x14ac:dyDescent="0.3">
      <c r="A93" s="1">
        <v>45195</v>
      </c>
      <c r="B93" t="str">
        <f>"SI236001277"</f>
        <v>SI236001277</v>
      </c>
      <c r="C93" t="str">
        <f>"PR23000386"</f>
        <v>PR23000386</v>
      </c>
      <c r="E93" t="str">
        <f>"Y"</f>
        <v>Y</v>
      </c>
      <c r="F93" t="str">
        <f>"חשבוניות מרכזות"</f>
        <v>חשבוניות מרכזות</v>
      </c>
      <c r="G93" t="str">
        <f>"700065"</f>
        <v>700065</v>
      </c>
      <c r="H93" t="str">
        <f>"אלתא מערכות בע""מ"</f>
        <v>אלתא מערכות בע"מ</v>
      </c>
      <c r="I93" t="str">
        <f>"15"</f>
        <v>15</v>
      </c>
      <c r="J93" t="str">
        <f>"OP-AR03335"</f>
        <v>OP-AR03335</v>
      </c>
      <c r="K93" t="str">
        <f>"1041G802-001    CONTROL KVM NOVA (W802)"</f>
        <v>1041G802-001    CONTROL KVM NOVA (W802)</v>
      </c>
      <c r="L93">
        <v>1</v>
      </c>
      <c r="M93" t="str">
        <f>"יח"</f>
        <v>יח</v>
      </c>
      <c r="N93">
        <v>1</v>
      </c>
      <c r="O93" t="str">
        <f>"יח"</f>
        <v>יח</v>
      </c>
      <c r="P93">
        <v>585.62</v>
      </c>
      <c r="Q93" t="str">
        <f>"$"</f>
        <v>$</v>
      </c>
      <c r="R93" t="str">
        <f>"הזמנה"</f>
        <v>הזמנה</v>
      </c>
      <c r="S93">
        <v>0</v>
      </c>
      <c r="T93">
        <v>585.62</v>
      </c>
      <c r="U93">
        <v>0</v>
      </c>
      <c r="V93">
        <v>585.62</v>
      </c>
      <c r="W93" t="str">
        <f>"$"</f>
        <v>$</v>
      </c>
      <c r="X93">
        <v>0</v>
      </c>
      <c r="Y93">
        <v>0</v>
      </c>
      <c r="Z93">
        <v>0</v>
      </c>
      <c r="AA93" t="str">
        <f>"Y"</f>
        <v>Y</v>
      </c>
      <c r="AB93" t="str">
        <f>"SO23000275"</f>
        <v>SO23000275</v>
      </c>
      <c r="AC93">
        <v>1</v>
      </c>
      <c r="AD93" s="1">
        <v>45091</v>
      </c>
      <c r="AE93" t="str">
        <f>"SH23001203"</f>
        <v>SH23001203</v>
      </c>
      <c r="AF93" t="str">
        <f>"משלוחים ללקוח"</f>
        <v>משלוחים ללקוח</v>
      </c>
      <c r="AG93" s="1">
        <v>45188</v>
      </c>
      <c r="AM93" t="str">
        <f>"10"</f>
        <v>10</v>
      </c>
      <c r="AN93" t="str">
        <f>"500000"</f>
        <v>500000</v>
      </c>
      <c r="AO93" t="str">
        <f>"הכנסות  מלקוחות"</f>
        <v>הכנסות  מלקוחות</v>
      </c>
      <c r="AQ93" t="str">
        <f>"040"</f>
        <v>040</v>
      </c>
      <c r="AR93">
        <v>0</v>
      </c>
      <c r="AS93">
        <v>0</v>
      </c>
      <c r="AT93">
        <v>3.819</v>
      </c>
      <c r="AX93" t="str">
        <f>"E000396800"</f>
        <v>E000396800</v>
      </c>
      <c r="BD93" t="str">
        <f>"רחמים זרוק"</f>
        <v>רחמים זרוק</v>
      </c>
    </row>
    <row r="94" spans="1:56" x14ac:dyDescent="0.3">
      <c r="A94" s="1">
        <v>45195</v>
      </c>
      <c r="B94" t="str">
        <f>"SI236001276"</f>
        <v>SI236001276</v>
      </c>
      <c r="C94" t="str">
        <f>"PR23000317"</f>
        <v>PR23000317</v>
      </c>
      <c r="E94" t="str">
        <f>"Y"</f>
        <v>Y</v>
      </c>
      <c r="F94" t="str">
        <f>"חשבוניות מרכזות"</f>
        <v>חשבוניות מרכזות</v>
      </c>
      <c r="G94" t="str">
        <f>"700065"</f>
        <v>700065</v>
      </c>
      <c r="H94" t="str">
        <f>"אלתא מערכות בע""מ"</f>
        <v>אלתא מערכות בע"מ</v>
      </c>
      <c r="I94" t="str">
        <f>"15"</f>
        <v>15</v>
      </c>
      <c r="J94" t="str">
        <f>"OP-AR03628"</f>
        <v>OP-AR03628</v>
      </c>
      <c r="K94" t="str">
        <f>"2088B217-001    RSU LB-MRSAM ETH CABLE ASSY"</f>
        <v>2088B217-001    RSU LB-MRSAM ETH CABLE ASSY</v>
      </c>
      <c r="L94">
        <v>1</v>
      </c>
      <c r="M94" t="str">
        <f>"יח"</f>
        <v>יח</v>
      </c>
      <c r="N94">
        <v>1</v>
      </c>
      <c r="O94" t="str">
        <f>"יח"</f>
        <v>יח</v>
      </c>
      <c r="P94">
        <v>387.5</v>
      </c>
      <c r="Q94" t="str">
        <f>"$"</f>
        <v>$</v>
      </c>
      <c r="R94" t="str">
        <f>"הזמנה"</f>
        <v>הזמנה</v>
      </c>
      <c r="S94">
        <v>0</v>
      </c>
      <c r="T94">
        <v>387.5</v>
      </c>
      <c r="U94">
        <v>0</v>
      </c>
      <c r="V94">
        <v>387.5</v>
      </c>
      <c r="W94" t="str">
        <f>"$"</f>
        <v>$</v>
      </c>
      <c r="X94">
        <v>0</v>
      </c>
      <c r="Y94">
        <v>0</v>
      </c>
      <c r="Z94">
        <v>0</v>
      </c>
      <c r="AA94" t="str">
        <f>"Y"</f>
        <v>Y</v>
      </c>
      <c r="AB94" t="str">
        <f>"SO23000226"</f>
        <v>SO23000226</v>
      </c>
      <c r="AC94">
        <v>1</v>
      </c>
      <c r="AD94" s="1">
        <v>45054</v>
      </c>
      <c r="AE94" t="str">
        <f>"SH23001195"</f>
        <v>SH23001195</v>
      </c>
      <c r="AF94" t="str">
        <f>"משלוחים ללקוח"</f>
        <v>משלוחים ללקוח</v>
      </c>
      <c r="AG94" s="1">
        <v>45183</v>
      </c>
      <c r="AM94" t="str">
        <f>"10"</f>
        <v>10</v>
      </c>
      <c r="AN94" t="str">
        <f>"500000"</f>
        <v>500000</v>
      </c>
      <c r="AO94" t="str">
        <f>"הכנסות  מלקוחות"</f>
        <v>הכנסות  מלקוחות</v>
      </c>
      <c r="AQ94" t="str">
        <f>"040"</f>
        <v>040</v>
      </c>
      <c r="AR94">
        <v>0</v>
      </c>
      <c r="AS94">
        <v>0</v>
      </c>
      <c r="AT94">
        <v>3.819</v>
      </c>
      <c r="AX94" t="str">
        <f>"E000393606"</f>
        <v>E000393606</v>
      </c>
      <c r="BD94" t="str">
        <f>"רחמים זרוק"</f>
        <v>רחמים זרוק</v>
      </c>
    </row>
    <row r="95" spans="1:56" x14ac:dyDescent="0.3">
      <c r="A95" s="1">
        <v>45195</v>
      </c>
      <c r="B95" t="str">
        <f>"SI236001275"</f>
        <v>SI236001275</v>
      </c>
      <c r="C95" t="str">
        <f>"PR23000013"</f>
        <v>PR23000013</v>
      </c>
      <c r="E95" t="str">
        <f>"Y"</f>
        <v>Y</v>
      </c>
      <c r="F95" t="str">
        <f>"חשבוניות מרכזות"</f>
        <v>חשבוניות מרכזות</v>
      </c>
      <c r="G95" t="str">
        <f>"700065"</f>
        <v>700065</v>
      </c>
      <c r="H95" t="str">
        <f>"אלתא מערכות בע""מ"</f>
        <v>אלתא מערכות בע"מ</v>
      </c>
      <c r="I95" t="str">
        <f>"15"</f>
        <v>15</v>
      </c>
      <c r="J95" t="str">
        <f>"OP-AR03529"</f>
        <v>OP-AR03529</v>
      </c>
      <c r="K95" t="str">
        <f>"1026K218-001    CABLE ASSY W201 (TX POWER)"</f>
        <v>1026K218-001    CABLE ASSY W201 (TX POWER)</v>
      </c>
      <c r="L95">
        <v>1</v>
      </c>
      <c r="M95" t="str">
        <f>"יח"</f>
        <v>יח</v>
      </c>
      <c r="N95">
        <v>1</v>
      </c>
      <c r="O95" t="str">
        <f>"יח"</f>
        <v>יח</v>
      </c>
      <c r="P95" s="2">
        <v>1352.23</v>
      </c>
      <c r="Q95" t="str">
        <f>"$"</f>
        <v>$</v>
      </c>
      <c r="R95" t="str">
        <f>"הזמנה"</f>
        <v>הזמנה</v>
      </c>
      <c r="S95">
        <v>0</v>
      </c>
      <c r="T95" s="2">
        <v>1352.23</v>
      </c>
      <c r="U95">
        <v>0</v>
      </c>
      <c r="V95" s="2">
        <v>1352.23</v>
      </c>
      <c r="W95" t="str">
        <f>"$"</f>
        <v>$</v>
      </c>
      <c r="X95">
        <v>0</v>
      </c>
      <c r="Y95">
        <v>0</v>
      </c>
      <c r="Z95">
        <v>0</v>
      </c>
      <c r="AA95" t="str">
        <f>"Y"</f>
        <v>Y</v>
      </c>
      <c r="AB95" t="str">
        <f>"SO22000475"</f>
        <v>SO22000475</v>
      </c>
      <c r="AC95">
        <v>1</v>
      </c>
      <c r="AD95" s="1">
        <v>44917</v>
      </c>
      <c r="AE95" t="str">
        <f>"SH23001188"</f>
        <v>SH23001188</v>
      </c>
      <c r="AF95" t="str">
        <f>"משלוחים ללקוח"</f>
        <v>משלוחים ללקוח</v>
      </c>
      <c r="AG95" s="1">
        <v>45183</v>
      </c>
      <c r="AM95" t="str">
        <f>"10"</f>
        <v>10</v>
      </c>
      <c r="AN95" t="str">
        <f>"500000"</f>
        <v>500000</v>
      </c>
      <c r="AO95" t="str">
        <f>"הכנסות  מלקוחות"</f>
        <v>הכנסות  מלקוחות</v>
      </c>
      <c r="AQ95" t="str">
        <f>"040"</f>
        <v>040</v>
      </c>
      <c r="AR95">
        <v>0</v>
      </c>
      <c r="AS95">
        <v>0</v>
      </c>
      <c r="AT95">
        <v>3.819</v>
      </c>
      <c r="AX95" t="str">
        <f>"E000380913"</f>
        <v>E000380913</v>
      </c>
      <c r="BD95" t="str">
        <f>"רחמים זרוק"</f>
        <v>רחמים זרוק</v>
      </c>
    </row>
    <row r="96" spans="1:56" x14ac:dyDescent="0.3">
      <c r="A96" s="1">
        <v>45195</v>
      </c>
      <c r="B96" t="str">
        <f>"SI236001275"</f>
        <v>SI236001275</v>
      </c>
      <c r="C96" t="str">
        <f>"PR23000013"</f>
        <v>PR23000013</v>
      </c>
      <c r="E96" t="str">
        <f>"Y"</f>
        <v>Y</v>
      </c>
      <c r="F96" t="str">
        <f>"חשבוניות מרכזות"</f>
        <v>חשבוניות מרכזות</v>
      </c>
      <c r="G96" t="str">
        <f>"700065"</f>
        <v>700065</v>
      </c>
      <c r="H96" t="str">
        <f>"אלתא מערכות בע""מ"</f>
        <v>אלתא מערכות בע"מ</v>
      </c>
      <c r="I96" t="str">
        <f>"15"</f>
        <v>15</v>
      </c>
      <c r="J96" t="str">
        <f>"OP-AR03529"</f>
        <v>OP-AR03529</v>
      </c>
      <c r="K96" t="str">
        <f>"1026K218-001    CABLE ASSY W201 (TX POWER)"</f>
        <v>1026K218-001    CABLE ASSY W201 (TX POWER)</v>
      </c>
      <c r="L96">
        <v>2</v>
      </c>
      <c r="M96" t="str">
        <f>"יח"</f>
        <v>יח</v>
      </c>
      <c r="N96">
        <v>2</v>
      </c>
      <c r="O96" t="str">
        <f>"יח"</f>
        <v>יח</v>
      </c>
      <c r="P96" s="2">
        <v>1352.23</v>
      </c>
      <c r="Q96" t="str">
        <f>"$"</f>
        <v>$</v>
      </c>
      <c r="R96" t="str">
        <f>"הזמנה"</f>
        <v>הזמנה</v>
      </c>
      <c r="S96">
        <v>0</v>
      </c>
      <c r="T96" s="2">
        <v>2704.46</v>
      </c>
      <c r="U96">
        <v>0</v>
      </c>
      <c r="V96" s="2">
        <v>2704.46</v>
      </c>
      <c r="W96" t="str">
        <f>"$"</f>
        <v>$</v>
      </c>
      <c r="X96">
        <v>0</v>
      </c>
      <c r="Y96">
        <v>0</v>
      </c>
      <c r="Z96">
        <v>0</v>
      </c>
      <c r="AA96" t="str">
        <f>"Y"</f>
        <v>Y</v>
      </c>
      <c r="AB96" t="str">
        <f>"SO22000475"</f>
        <v>SO22000475</v>
      </c>
      <c r="AC96">
        <v>2</v>
      </c>
      <c r="AD96" s="1">
        <v>44917</v>
      </c>
      <c r="AE96" t="str">
        <f>"SH23001188"</f>
        <v>SH23001188</v>
      </c>
      <c r="AF96" t="str">
        <f>"משלוחים ללקוח"</f>
        <v>משלוחים ללקוח</v>
      </c>
      <c r="AG96" s="1">
        <v>45183</v>
      </c>
      <c r="AM96" t="str">
        <f>"10"</f>
        <v>10</v>
      </c>
      <c r="AN96" t="str">
        <f>"500000"</f>
        <v>500000</v>
      </c>
      <c r="AO96" t="str">
        <f>"הכנסות  מלקוחות"</f>
        <v>הכנסות  מלקוחות</v>
      </c>
      <c r="AQ96" t="str">
        <f>"040"</f>
        <v>040</v>
      </c>
      <c r="AR96">
        <v>0</v>
      </c>
      <c r="AS96">
        <v>0</v>
      </c>
      <c r="AT96">
        <v>3.819</v>
      </c>
      <c r="AX96" t="str">
        <f>"E000380913"</f>
        <v>E000380913</v>
      </c>
      <c r="BD96" t="str">
        <f>"רחמים זרוק"</f>
        <v>רחמים זרוק</v>
      </c>
    </row>
    <row r="97" spans="1:56" x14ac:dyDescent="0.3">
      <c r="A97" s="1">
        <v>45195</v>
      </c>
      <c r="B97" t="str">
        <f>"SI236001275"</f>
        <v>SI236001275</v>
      </c>
      <c r="C97" t="str">
        <f>"PR23000013"</f>
        <v>PR23000013</v>
      </c>
      <c r="E97" t="str">
        <f>"Y"</f>
        <v>Y</v>
      </c>
      <c r="F97" t="str">
        <f>"חשבוניות מרכזות"</f>
        <v>חשבוניות מרכזות</v>
      </c>
      <c r="G97" t="str">
        <f>"700065"</f>
        <v>700065</v>
      </c>
      <c r="H97" t="str">
        <f>"אלתא מערכות בע""מ"</f>
        <v>אלתא מערכות בע"מ</v>
      </c>
      <c r="I97" t="str">
        <f>"15"</f>
        <v>15</v>
      </c>
      <c r="J97" t="str">
        <f>"OP-AR03529"</f>
        <v>OP-AR03529</v>
      </c>
      <c r="K97" t="str">
        <f>"1026K218-001    CABLE ASSY W201 (TX POWER)"</f>
        <v>1026K218-001    CABLE ASSY W201 (TX POWER)</v>
      </c>
      <c r="L97">
        <v>3</v>
      </c>
      <c r="M97" t="str">
        <f>"יח"</f>
        <v>יח</v>
      </c>
      <c r="N97">
        <v>3</v>
      </c>
      <c r="O97" t="str">
        <f>"יח"</f>
        <v>יח</v>
      </c>
      <c r="P97" s="2">
        <v>1352.23</v>
      </c>
      <c r="Q97" t="str">
        <f>"$"</f>
        <v>$</v>
      </c>
      <c r="R97" t="str">
        <f>"הזמנה"</f>
        <v>הזמנה</v>
      </c>
      <c r="S97">
        <v>0</v>
      </c>
      <c r="T97" s="2">
        <v>4056.69</v>
      </c>
      <c r="U97">
        <v>0</v>
      </c>
      <c r="V97" s="2">
        <v>4056.69</v>
      </c>
      <c r="W97" t="str">
        <f>"$"</f>
        <v>$</v>
      </c>
      <c r="X97">
        <v>0</v>
      </c>
      <c r="Y97">
        <v>0</v>
      </c>
      <c r="Z97">
        <v>0</v>
      </c>
      <c r="AA97" t="str">
        <f>"Y"</f>
        <v>Y</v>
      </c>
      <c r="AB97" t="str">
        <f>"SO22000475"</f>
        <v>SO22000475</v>
      </c>
      <c r="AC97">
        <v>3</v>
      </c>
      <c r="AD97" s="1">
        <v>44917</v>
      </c>
      <c r="AE97" t="str">
        <f>"SH23001188"</f>
        <v>SH23001188</v>
      </c>
      <c r="AF97" t="str">
        <f>"משלוחים ללקוח"</f>
        <v>משלוחים ללקוח</v>
      </c>
      <c r="AG97" s="1">
        <v>45183</v>
      </c>
      <c r="AM97" t="str">
        <f>"10"</f>
        <v>10</v>
      </c>
      <c r="AN97" t="str">
        <f>"500000"</f>
        <v>500000</v>
      </c>
      <c r="AO97" t="str">
        <f>"הכנסות  מלקוחות"</f>
        <v>הכנסות  מלקוחות</v>
      </c>
      <c r="AQ97" t="str">
        <f>"040"</f>
        <v>040</v>
      </c>
      <c r="AR97">
        <v>0</v>
      </c>
      <c r="AS97">
        <v>0</v>
      </c>
      <c r="AT97">
        <v>3.819</v>
      </c>
      <c r="AX97" t="str">
        <f>"E000380913"</f>
        <v>E000380913</v>
      </c>
      <c r="BD97" t="str">
        <f>"רחמים זרוק"</f>
        <v>רחמים זרוק</v>
      </c>
    </row>
    <row r="98" spans="1:56" x14ac:dyDescent="0.3">
      <c r="A98" s="1">
        <v>45195</v>
      </c>
      <c r="B98" t="str">
        <f>"SI236001274"</f>
        <v>SI236001274</v>
      </c>
      <c r="C98" t="str">
        <f>"PR23000329"</f>
        <v>PR23000329</v>
      </c>
      <c r="D98" t="str">
        <f>"PR23000329"</f>
        <v>PR23000329</v>
      </c>
      <c r="E98" t="str">
        <f>"Y"</f>
        <v>Y</v>
      </c>
      <c r="F98" t="str">
        <f>"חשבוניות מרכזות"</f>
        <v>חשבוניות מרכזות</v>
      </c>
      <c r="G98" t="str">
        <f>"700065"</f>
        <v>700065</v>
      </c>
      <c r="H98" t="str">
        <f>"אלתא מערכות בע""מ"</f>
        <v>אלתא מערכות בע"מ</v>
      </c>
      <c r="I98" t="str">
        <f>"15"</f>
        <v>15</v>
      </c>
      <c r="J98" t="str">
        <f>"OP-AR03636"</f>
        <v>OP-AR03636</v>
      </c>
      <c r="K98" t="str">
        <f>"1021M772-001    CABLE ASSY W3"</f>
        <v>1021M772-001    CABLE ASSY W3</v>
      </c>
      <c r="L98">
        <v>1</v>
      </c>
      <c r="M98" t="str">
        <f>"יח"</f>
        <v>יח</v>
      </c>
      <c r="N98">
        <v>1</v>
      </c>
      <c r="O98" t="str">
        <f>"יח"</f>
        <v>יח</v>
      </c>
      <c r="P98">
        <v>184.09</v>
      </c>
      <c r="Q98" t="str">
        <f>"$"</f>
        <v>$</v>
      </c>
      <c r="R98" t="str">
        <f>"הזמנה"</f>
        <v>הזמנה</v>
      </c>
      <c r="S98">
        <v>0</v>
      </c>
      <c r="T98">
        <v>184.09</v>
      </c>
      <c r="U98">
        <v>0</v>
      </c>
      <c r="V98">
        <v>184.09</v>
      </c>
      <c r="W98" t="str">
        <f>"$"</f>
        <v>$</v>
      </c>
      <c r="X98">
        <v>0</v>
      </c>
      <c r="Y98">
        <v>0</v>
      </c>
      <c r="Z98">
        <v>0</v>
      </c>
      <c r="AA98" t="str">
        <f>"Y"</f>
        <v>Y</v>
      </c>
      <c r="AB98" t="str">
        <f>"SO23000235"</f>
        <v>SO23000235</v>
      </c>
      <c r="AC98">
        <v>7</v>
      </c>
      <c r="AD98" s="1">
        <v>45061</v>
      </c>
      <c r="AE98" t="str">
        <f>"SH23001192"</f>
        <v>SH23001192</v>
      </c>
      <c r="AF98" t="str">
        <f>"משלוחים ללקוח"</f>
        <v>משלוחים ללקוח</v>
      </c>
      <c r="AG98" s="1">
        <v>45183</v>
      </c>
      <c r="AM98" t="str">
        <f>"10"</f>
        <v>10</v>
      </c>
      <c r="AN98" t="str">
        <f>"500000"</f>
        <v>500000</v>
      </c>
      <c r="AO98" t="str">
        <f>"הכנסות  מלקוחות"</f>
        <v>הכנסות  מלקוחות</v>
      </c>
      <c r="AQ98" t="str">
        <f>"040"</f>
        <v>040</v>
      </c>
      <c r="AR98">
        <v>0</v>
      </c>
      <c r="AS98">
        <v>0</v>
      </c>
      <c r="AT98">
        <v>3.819</v>
      </c>
      <c r="AX98" t="str">
        <f>"E000392546"</f>
        <v>E000392546</v>
      </c>
      <c r="BD98" t="str">
        <f>"רחמים זרוק"</f>
        <v>רחמים זרוק</v>
      </c>
    </row>
    <row r="99" spans="1:56" x14ac:dyDescent="0.3">
      <c r="A99" s="1">
        <v>45195</v>
      </c>
      <c r="B99" t="str">
        <f>"SI236001274"</f>
        <v>SI236001274</v>
      </c>
      <c r="C99" t="str">
        <f>"PR23000329"</f>
        <v>PR23000329</v>
      </c>
      <c r="D99" t="str">
        <f>"PR23000329"</f>
        <v>PR23000329</v>
      </c>
      <c r="E99" t="str">
        <f>"Y"</f>
        <v>Y</v>
      </c>
      <c r="F99" t="str">
        <f>"חשבוניות מרכזות"</f>
        <v>חשבוניות מרכזות</v>
      </c>
      <c r="G99" t="str">
        <f>"700065"</f>
        <v>700065</v>
      </c>
      <c r="H99" t="str">
        <f>"אלתא מערכות בע""מ"</f>
        <v>אלתא מערכות בע"מ</v>
      </c>
      <c r="I99" t="str">
        <f>"15"</f>
        <v>15</v>
      </c>
      <c r="J99" t="str">
        <f>"OP-AR03636"</f>
        <v>OP-AR03636</v>
      </c>
      <c r="K99" t="str">
        <f>"1021M772-001    CABLE ASSY W3"</f>
        <v>1021M772-001    CABLE ASSY W3</v>
      </c>
      <c r="L99">
        <v>4</v>
      </c>
      <c r="M99" t="str">
        <f>"יח"</f>
        <v>יח</v>
      </c>
      <c r="N99">
        <v>4</v>
      </c>
      <c r="O99" t="str">
        <f>"יח"</f>
        <v>יח</v>
      </c>
      <c r="P99">
        <v>184.09</v>
      </c>
      <c r="Q99" t="str">
        <f>"$"</f>
        <v>$</v>
      </c>
      <c r="R99" t="str">
        <f>"הזמנה"</f>
        <v>הזמנה</v>
      </c>
      <c r="S99">
        <v>0</v>
      </c>
      <c r="T99">
        <v>736.36</v>
      </c>
      <c r="U99">
        <v>0</v>
      </c>
      <c r="V99">
        <v>736.36</v>
      </c>
      <c r="W99" t="str">
        <f>"$"</f>
        <v>$</v>
      </c>
      <c r="X99">
        <v>0</v>
      </c>
      <c r="Y99">
        <v>0</v>
      </c>
      <c r="Z99">
        <v>0</v>
      </c>
      <c r="AA99" t="str">
        <f>"Y"</f>
        <v>Y</v>
      </c>
      <c r="AB99" t="str">
        <f>"SO23000235"</f>
        <v>SO23000235</v>
      </c>
      <c r="AC99">
        <v>8</v>
      </c>
      <c r="AD99" s="1">
        <v>45061</v>
      </c>
      <c r="AE99" t="str">
        <f>"SH23001192"</f>
        <v>SH23001192</v>
      </c>
      <c r="AF99" t="str">
        <f>"משלוחים ללקוח"</f>
        <v>משלוחים ללקוח</v>
      </c>
      <c r="AG99" s="1">
        <v>45183</v>
      </c>
      <c r="AM99" t="str">
        <f>"10"</f>
        <v>10</v>
      </c>
      <c r="AN99" t="str">
        <f>"500000"</f>
        <v>500000</v>
      </c>
      <c r="AO99" t="str">
        <f>"הכנסות  מלקוחות"</f>
        <v>הכנסות  מלקוחות</v>
      </c>
      <c r="AQ99" t="str">
        <f>"040"</f>
        <v>040</v>
      </c>
      <c r="AR99">
        <v>0</v>
      </c>
      <c r="AS99">
        <v>0</v>
      </c>
      <c r="AT99">
        <v>3.819</v>
      </c>
      <c r="AX99" t="str">
        <f>"E000392546"</f>
        <v>E000392546</v>
      </c>
      <c r="BD99" t="str">
        <f>"רחמים זרוק"</f>
        <v>רחמים זרוק</v>
      </c>
    </row>
    <row r="100" spans="1:56" x14ac:dyDescent="0.3">
      <c r="A100" s="1">
        <v>45195</v>
      </c>
      <c r="B100" t="str">
        <f>"SI236001274"</f>
        <v>SI236001274</v>
      </c>
      <c r="C100" t="str">
        <f>"PR23000329"</f>
        <v>PR23000329</v>
      </c>
      <c r="D100" t="str">
        <f>"PR23000329"</f>
        <v>PR23000329</v>
      </c>
      <c r="E100" t="str">
        <f>"Y"</f>
        <v>Y</v>
      </c>
      <c r="F100" t="str">
        <f>"חשבוניות מרכזות"</f>
        <v>חשבוניות מרכזות</v>
      </c>
      <c r="G100" t="str">
        <f>"700065"</f>
        <v>700065</v>
      </c>
      <c r="H100" t="str">
        <f>"אלתא מערכות בע""מ"</f>
        <v>אלתא מערכות בע"מ</v>
      </c>
      <c r="I100" t="str">
        <f>"15"</f>
        <v>15</v>
      </c>
      <c r="J100" t="str">
        <f>"OP-AR03636"</f>
        <v>OP-AR03636</v>
      </c>
      <c r="K100" t="str">
        <f>"1021M772-001    CABLE ASSY W3"</f>
        <v>1021M772-001    CABLE ASSY W3</v>
      </c>
      <c r="L100">
        <v>1</v>
      </c>
      <c r="M100" t="str">
        <f>"יח"</f>
        <v>יח</v>
      </c>
      <c r="N100">
        <v>1</v>
      </c>
      <c r="O100" t="str">
        <f>"יח"</f>
        <v>יח</v>
      </c>
      <c r="P100">
        <v>184.09</v>
      </c>
      <c r="Q100" t="str">
        <f>"$"</f>
        <v>$</v>
      </c>
      <c r="R100" t="str">
        <f>"הזמנה"</f>
        <v>הזמנה</v>
      </c>
      <c r="S100">
        <v>0</v>
      </c>
      <c r="T100">
        <v>184.09</v>
      </c>
      <c r="U100">
        <v>0</v>
      </c>
      <c r="V100">
        <v>184.09</v>
      </c>
      <c r="W100" t="str">
        <f>"$"</f>
        <v>$</v>
      </c>
      <c r="X100">
        <v>0</v>
      </c>
      <c r="Y100">
        <v>0</v>
      </c>
      <c r="Z100">
        <v>0</v>
      </c>
      <c r="AA100" t="str">
        <f>"Y"</f>
        <v>Y</v>
      </c>
      <c r="AB100" t="str">
        <f>"SO23000235"</f>
        <v>SO23000235</v>
      </c>
      <c r="AC100">
        <v>9</v>
      </c>
      <c r="AD100" s="1">
        <v>45061</v>
      </c>
      <c r="AE100" t="str">
        <f>"SH23001192"</f>
        <v>SH23001192</v>
      </c>
      <c r="AF100" t="str">
        <f>"משלוחים ללקוח"</f>
        <v>משלוחים ללקוח</v>
      </c>
      <c r="AG100" s="1">
        <v>45183</v>
      </c>
      <c r="AM100" t="str">
        <f>"10"</f>
        <v>10</v>
      </c>
      <c r="AN100" t="str">
        <f>"500000"</f>
        <v>500000</v>
      </c>
      <c r="AO100" t="str">
        <f>"הכנסות  מלקוחות"</f>
        <v>הכנסות  מלקוחות</v>
      </c>
      <c r="AQ100" t="str">
        <f>"040"</f>
        <v>040</v>
      </c>
      <c r="AR100">
        <v>0</v>
      </c>
      <c r="AS100">
        <v>0</v>
      </c>
      <c r="AT100">
        <v>3.819</v>
      </c>
      <c r="AX100" t="str">
        <f>"E000392546"</f>
        <v>E000392546</v>
      </c>
      <c r="BD100" t="str">
        <f>"רחמים זרוק"</f>
        <v>רחמים זרוק</v>
      </c>
    </row>
    <row r="101" spans="1:56" x14ac:dyDescent="0.3">
      <c r="A101" s="1">
        <v>45195</v>
      </c>
      <c r="B101" t="str">
        <f>"SI236001274"</f>
        <v>SI236001274</v>
      </c>
      <c r="C101" t="str">
        <f>"PR23000329"</f>
        <v>PR23000329</v>
      </c>
      <c r="D101" t="str">
        <f>"PR23000329"</f>
        <v>PR23000329</v>
      </c>
      <c r="E101" t="str">
        <f>"Y"</f>
        <v>Y</v>
      </c>
      <c r="F101" t="str">
        <f>"חשבוניות מרכזות"</f>
        <v>חשבוניות מרכזות</v>
      </c>
      <c r="G101" t="str">
        <f>"700065"</f>
        <v>700065</v>
      </c>
      <c r="H101" t="str">
        <f>"אלתא מערכות בע""מ"</f>
        <v>אלתא מערכות בע"מ</v>
      </c>
      <c r="I101" t="str">
        <f>"15"</f>
        <v>15</v>
      </c>
      <c r="J101" t="str">
        <f>"OP-AR03638"</f>
        <v>OP-AR03638</v>
      </c>
      <c r="K101" t="str">
        <f>"1021M774-001    CABLE ASSY W5"</f>
        <v>1021M774-001    CABLE ASSY W5</v>
      </c>
      <c r="L101">
        <v>1</v>
      </c>
      <c r="M101" t="str">
        <f>"יח"</f>
        <v>יח</v>
      </c>
      <c r="N101">
        <v>1</v>
      </c>
      <c r="O101" t="str">
        <f>"יח"</f>
        <v>יח</v>
      </c>
      <c r="P101">
        <v>181.82</v>
      </c>
      <c r="Q101" t="str">
        <f>"$"</f>
        <v>$</v>
      </c>
      <c r="R101" t="str">
        <f>"הזמנה"</f>
        <v>הזמנה</v>
      </c>
      <c r="S101">
        <v>0</v>
      </c>
      <c r="T101">
        <v>181.82</v>
      </c>
      <c r="U101">
        <v>0</v>
      </c>
      <c r="V101">
        <v>181.82</v>
      </c>
      <c r="W101" t="str">
        <f>"$"</f>
        <v>$</v>
      </c>
      <c r="X101">
        <v>0</v>
      </c>
      <c r="Y101">
        <v>0</v>
      </c>
      <c r="Z101">
        <v>0</v>
      </c>
      <c r="AA101" t="str">
        <f>"Y"</f>
        <v>Y</v>
      </c>
      <c r="AB101" t="str">
        <f>"SO23000235"</f>
        <v>SO23000235</v>
      </c>
      <c r="AC101">
        <v>13</v>
      </c>
      <c r="AD101" s="1">
        <v>45061</v>
      </c>
      <c r="AE101" t="str">
        <f>"SH23001192"</f>
        <v>SH23001192</v>
      </c>
      <c r="AF101" t="str">
        <f>"משלוחים ללקוח"</f>
        <v>משלוחים ללקוח</v>
      </c>
      <c r="AG101" s="1">
        <v>45183</v>
      </c>
      <c r="AM101" t="str">
        <f>"10"</f>
        <v>10</v>
      </c>
      <c r="AN101" t="str">
        <f>"500000"</f>
        <v>500000</v>
      </c>
      <c r="AO101" t="str">
        <f>"הכנסות  מלקוחות"</f>
        <v>הכנסות  מלקוחות</v>
      </c>
      <c r="AQ101" t="str">
        <f>"040"</f>
        <v>040</v>
      </c>
      <c r="AR101">
        <v>0</v>
      </c>
      <c r="AS101">
        <v>0</v>
      </c>
      <c r="AT101">
        <v>3.819</v>
      </c>
      <c r="AX101" t="str">
        <f>"E000392546"</f>
        <v>E000392546</v>
      </c>
      <c r="BD101" t="str">
        <f>"רחמים זרוק"</f>
        <v>רחמים זרוק</v>
      </c>
    </row>
    <row r="102" spans="1:56" x14ac:dyDescent="0.3">
      <c r="A102" s="1">
        <v>45195</v>
      </c>
      <c r="B102" t="str">
        <f>"SI236001274"</f>
        <v>SI236001274</v>
      </c>
      <c r="C102" t="str">
        <f>"PR23000329"</f>
        <v>PR23000329</v>
      </c>
      <c r="D102" t="str">
        <f>"PR23000329"</f>
        <v>PR23000329</v>
      </c>
      <c r="E102" t="str">
        <f>"Y"</f>
        <v>Y</v>
      </c>
      <c r="F102" t="str">
        <f>"חשבוניות מרכזות"</f>
        <v>חשבוניות מרכזות</v>
      </c>
      <c r="G102" t="str">
        <f>"700065"</f>
        <v>700065</v>
      </c>
      <c r="H102" t="str">
        <f>"אלתא מערכות בע""מ"</f>
        <v>אלתא מערכות בע"מ</v>
      </c>
      <c r="I102" t="str">
        <f>"15"</f>
        <v>15</v>
      </c>
      <c r="J102" t="str">
        <f>"OP-AR03638"</f>
        <v>OP-AR03638</v>
      </c>
      <c r="K102" t="str">
        <f>"1021M774-001    CABLE ASSY W5"</f>
        <v>1021M774-001    CABLE ASSY W5</v>
      </c>
      <c r="L102">
        <v>1</v>
      </c>
      <c r="M102" t="str">
        <f>"יח"</f>
        <v>יח</v>
      </c>
      <c r="N102">
        <v>1</v>
      </c>
      <c r="O102" t="str">
        <f>"יח"</f>
        <v>יח</v>
      </c>
      <c r="P102">
        <v>181.82</v>
      </c>
      <c r="Q102" t="str">
        <f>"$"</f>
        <v>$</v>
      </c>
      <c r="R102" t="str">
        <f>"הזמנה"</f>
        <v>הזמנה</v>
      </c>
      <c r="S102">
        <v>0</v>
      </c>
      <c r="T102">
        <v>181.82</v>
      </c>
      <c r="U102">
        <v>0</v>
      </c>
      <c r="V102">
        <v>181.82</v>
      </c>
      <c r="W102" t="str">
        <f>"$"</f>
        <v>$</v>
      </c>
      <c r="X102">
        <v>0</v>
      </c>
      <c r="Y102">
        <v>0</v>
      </c>
      <c r="Z102">
        <v>0</v>
      </c>
      <c r="AA102" t="str">
        <f>"Y"</f>
        <v>Y</v>
      </c>
      <c r="AB102" t="str">
        <f>"SO23000235"</f>
        <v>SO23000235</v>
      </c>
      <c r="AC102">
        <v>14</v>
      </c>
      <c r="AD102" s="1">
        <v>45061</v>
      </c>
      <c r="AE102" t="str">
        <f>"SH23001192"</f>
        <v>SH23001192</v>
      </c>
      <c r="AF102" t="str">
        <f>"משלוחים ללקוח"</f>
        <v>משלוחים ללקוח</v>
      </c>
      <c r="AG102" s="1">
        <v>45183</v>
      </c>
      <c r="AM102" t="str">
        <f>"10"</f>
        <v>10</v>
      </c>
      <c r="AN102" t="str">
        <f>"500000"</f>
        <v>500000</v>
      </c>
      <c r="AO102" t="str">
        <f>"הכנסות  מלקוחות"</f>
        <v>הכנסות  מלקוחות</v>
      </c>
      <c r="AQ102" t="str">
        <f>"040"</f>
        <v>040</v>
      </c>
      <c r="AR102">
        <v>0</v>
      </c>
      <c r="AS102">
        <v>0</v>
      </c>
      <c r="AT102">
        <v>3.819</v>
      </c>
      <c r="AX102" t="str">
        <f>"E000392546"</f>
        <v>E000392546</v>
      </c>
      <c r="BD102" t="str">
        <f>"רחמים זרוק"</f>
        <v>רחמים זרוק</v>
      </c>
    </row>
    <row r="103" spans="1:56" x14ac:dyDescent="0.3">
      <c r="A103" s="1">
        <v>45195</v>
      </c>
      <c r="B103" t="str">
        <f>"SI236001274"</f>
        <v>SI236001274</v>
      </c>
      <c r="C103" t="str">
        <f>"PR23000329"</f>
        <v>PR23000329</v>
      </c>
      <c r="D103" t="str">
        <f>"PR23000329"</f>
        <v>PR23000329</v>
      </c>
      <c r="E103" t="str">
        <f>"Y"</f>
        <v>Y</v>
      </c>
      <c r="F103" t="str">
        <f>"חשבוניות מרכזות"</f>
        <v>חשבוניות מרכזות</v>
      </c>
      <c r="G103" t="str">
        <f>"700065"</f>
        <v>700065</v>
      </c>
      <c r="H103" t="str">
        <f>"אלתא מערכות בע""מ"</f>
        <v>אלתא מערכות בע"מ</v>
      </c>
      <c r="I103" t="str">
        <f>"15"</f>
        <v>15</v>
      </c>
      <c r="J103" t="str">
        <f>"OP-AR03638"</f>
        <v>OP-AR03638</v>
      </c>
      <c r="K103" t="str">
        <f>"1021M774-001    CABLE ASSY W5"</f>
        <v>1021M774-001    CABLE ASSY W5</v>
      </c>
      <c r="L103">
        <v>4</v>
      </c>
      <c r="M103" t="str">
        <f>"יח"</f>
        <v>יח</v>
      </c>
      <c r="N103">
        <v>4</v>
      </c>
      <c r="O103" t="str">
        <f>"יח"</f>
        <v>יח</v>
      </c>
      <c r="P103">
        <v>181.82</v>
      </c>
      <c r="Q103" t="str">
        <f>"$"</f>
        <v>$</v>
      </c>
      <c r="R103" t="str">
        <f>"הזמנה"</f>
        <v>הזמנה</v>
      </c>
      <c r="S103">
        <v>0</v>
      </c>
      <c r="T103">
        <v>727.28</v>
      </c>
      <c r="U103">
        <v>0</v>
      </c>
      <c r="V103">
        <v>727.28</v>
      </c>
      <c r="W103" t="str">
        <f>"$"</f>
        <v>$</v>
      </c>
      <c r="X103">
        <v>0</v>
      </c>
      <c r="Y103">
        <v>0</v>
      </c>
      <c r="Z103">
        <v>0</v>
      </c>
      <c r="AA103" t="str">
        <f>"Y"</f>
        <v>Y</v>
      </c>
      <c r="AB103" t="str">
        <f>"SO23000235"</f>
        <v>SO23000235</v>
      </c>
      <c r="AC103">
        <v>15</v>
      </c>
      <c r="AD103" s="1">
        <v>45061</v>
      </c>
      <c r="AE103" t="str">
        <f>"SH23001192"</f>
        <v>SH23001192</v>
      </c>
      <c r="AF103" t="str">
        <f>"משלוחים ללקוח"</f>
        <v>משלוחים ללקוח</v>
      </c>
      <c r="AG103" s="1">
        <v>45183</v>
      </c>
      <c r="AM103" t="str">
        <f>"10"</f>
        <v>10</v>
      </c>
      <c r="AN103" t="str">
        <f>"500000"</f>
        <v>500000</v>
      </c>
      <c r="AO103" t="str">
        <f>"הכנסות  מלקוחות"</f>
        <v>הכנסות  מלקוחות</v>
      </c>
      <c r="AQ103" t="str">
        <f>"040"</f>
        <v>040</v>
      </c>
      <c r="AR103">
        <v>0</v>
      </c>
      <c r="AS103">
        <v>0</v>
      </c>
      <c r="AT103">
        <v>3.819</v>
      </c>
      <c r="AX103" t="str">
        <f>"E000392546"</f>
        <v>E000392546</v>
      </c>
      <c r="BD103" t="str">
        <f>"רחמים זרוק"</f>
        <v>רחמים זרוק</v>
      </c>
    </row>
    <row r="104" spans="1:56" x14ac:dyDescent="0.3">
      <c r="A104" s="1">
        <v>45195</v>
      </c>
      <c r="B104" t="str">
        <f>"SI236001273"</f>
        <v>SI236001273</v>
      </c>
      <c r="C104" t="str">
        <f>"PR23000495"</f>
        <v>PR23000495</v>
      </c>
      <c r="E104" t="str">
        <f>"Y"</f>
        <v>Y</v>
      </c>
      <c r="F104" t="str">
        <f>"חשבוניות מרכזות"</f>
        <v>חשבוניות מרכזות</v>
      </c>
      <c r="G104" t="str">
        <f>"700065"</f>
        <v>700065</v>
      </c>
      <c r="H104" t="str">
        <f>"אלתא מערכות בע""מ"</f>
        <v>אלתא מערכות בע"מ</v>
      </c>
      <c r="I104" t="str">
        <f>"15"</f>
        <v>15</v>
      </c>
      <c r="J104" t="str">
        <f>"OP-AR03016"</f>
        <v>OP-AR03016</v>
      </c>
      <c r="K104" t="str">
        <f>"2203B860-001   POWER TO UUT CABLE ASSY"</f>
        <v>2203B860-001   POWER TO UUT CABLE ASSY</v>
      </c>
      <c r="L104">
        <v>1</v>
      </c>
      <c r="M104" t="str">
        <f>"יח"</f>
        <v>יח</v>
      </c>
      <c r="N104">
        <v>1</v>
      </c>
      <c r="O104" t="str">
        <f>"יח"</f>
        <v>יח</v>
      </c>
      <c r="P104">
        <v>861.4</v>
      </c>
      <c r="Q104" t="str">
        <f>"$"</f>
        <v>$</v>
      </c>
      <c r="R104" t="str">
        <f>"הזמנה"</f>
        <v>הזמנה</v>
      </c>
      <c r="S104">
        <v>0</v>
      </c>
      <c r="T104">
        <v>861.4</v>
      </c>
      <c r="U104">
        <v>0</v>
      </c>
      <c r="V104">
        <v>861.4</v>
      </c>
      <c r="W104" t="str">
        <f>"$"</f>
        <v>$</v>
      </c>
      <c r="X104">
        <v>0</v>
      </c>
      <c r="Y104">
        <v>0</v>
      </c>
      <c r="Z104">
        <v>0</v>
      </c>
      <c r="AA104" t="str">
        <f>"Y"</f>
        <v>Y</v>
      </c>
      <c r="AB104" t="str">
        <f>"SO23000327"</f>
        <v>SO23000327</v>
      </c>
      <c r="AC104">
        <v>1</v>
      </c>
      <c r="AD104" s="1">
        <v>45123</v>
      </c>
      <c r="AE104" t="str">
        <f>"SH23001196"</f>
        <v>SH23001196</v>
      </c>
      <c r="AF104" t="str">
        <f>"משלוחים ללקוח"</f>
        <v>משלוחים ללקוח</v>
      </c>
      <c r="AG104" s="1">
        <v>45183</v>
      </c>
      <c r="AM104" t="str">
        <f>"10"</f>
        <v>10</v>
      </c>
      <c r="AN104" t="str">
        <f>"500000"</f>
        <v>500000</v>
      </c>
      <c r="AO104" t="str">
        <f>"הכנסות  מלקוחות"</f>
        <v>הכנסות  מלקוחות</v>
      </c>
      <c r="AQ104" t="str">
        <f>"040"</f>
        <v>040</v>
      </c>
      <c r="AR104">
        <v>0</v>
      </c>
      <c r="AS104">
        <v>0</v>
      </c>
      <c r="AT104">
        <v>3.819</v>
      </c>
      <c r="AX104" t="str">
        <f>"E000399093"</f>
        <v>E000399093</v>
      </c>
      <c r="BD104" t="str">
        <f>"רחמים זרוק"</f>
        <v>רחמים זרוק</v>
      </c>
    </row>
    <row r="105" spans="1:56" x14ac:dyDescent="0.3">
      <c r="A105" s="1">
        <v>45195</v>
      </c>
      <c r="B105" t="str">
        <f>"SI236001272"</f>
        <v>SI236001272</v>
      </c>
      <c r="C105" t="str">
        <f>"PR23000494"</f>
        <v>PR23000494</v>
      </c>
      <c r="E105" t="str">
        <f>"Y"</f>
        <v>Y</v>
      </c>
      <c r="F105" t="str">
        <f>"חשבוניות מרכזות"</f>
        <v>חשבוניות מרכזות</v>
      </c>
      <c r="G105" t="str">
        <f>"700065"</f>
        <v>700065</v>
      </c>
      <c r="H105" t="str">
        <f>"אלתא מערכות בע""מ"</f>
        <v>אלתא מערכות בע"מ</v>
      </c>
      <c r="I105" t="str">
        <f>"15"</f>
        <v>15</v>
      </c>
      <c r="J105" t="str">
        <f>"OP-AR01701"</f>
        <v>OP-AR01701</v>
      </c>
      <c r="K105" t="str">
        <f>"1020B573-003 P.C.U W2 HARNESS MOTOR POWER"</f>
        <v>1020B573-003 P.C.U W2 HARNESS MOTOR POWER</v>
      </c>
      <c r="L105">
        <v>3</v>
      </c>
      <c r="M105" t="str">
        <f>"יח"</f>
        <v>יח</v>
      </c>
      <c r="N105">
        <v>3</v>
      </c>
      <c r="O105" t="str">
        <f>"יח"</f>
        <v>יח</v>
      </c>
      <c r="P105">
        <v>663.36</v>
      </c>
      <c r="Q105" t="str">
        <f>"$"</f>
        <v>$</v>
      </c>
      <c r="R105" t="str">
        <f>"הזמנה"</f>
        <v>הזמנה</v>
      </c>
      <c r="S105">
        <v>0</v>
      </c>
      <c r="T105" s="2">
        <v>1990.08</v>
      </c>
      <c r="U105">
        <v>0</v>
      </c>
      <c r="V105" s="2">
        <v>1990.08</v>
      </c>
      <c r="W105" t="str">
        <f>"$"</f>
        <v>$</v>
      </c>
      <c r="X105">
        <v>0</v>
      </c>
      <c r="Y105">
        <v>0</v>
      </c>
      <c r="Z105">
        <v>0</v>
      </c>
      <c r="AA105" t="str">
        <f>"Y"</f>
        <v>Y</v>
      </c>
      <c r="AB105" t="str">
        <f>"SO23000325"</f>
        <v>SO23000325</v>
      </c>
      <c r="AC105">
        <v>1</v>
      </c>
      <c r="AD105" s="1">
        <v>45123</v>
      </c>
      <c r="AE105" t="str">
        <f>"SH23001190"</f>
        <v>SH23001190</v>
      </c>
      <c r="AF105" t="str">
        <f>"משלוחים ללקוח"</f>
        <v>משלוחים ללקוח</v>
      </c>
      <c r="AG105" s="1">
        <v>45183</v>
      </c>
      <c r="AM105" t="str">
        <f>"10"</f>
        <v>10</v>
      </c>
      <c r="AN105" t="str">
        <f>"500000"</f>
        <v>500000</v>
      </c>
      <c r="AO105" t="str">
        <f>"הכנסות  מלקוחות"</f>
        <v>הכנסות  מלקוחות</v>
      </c>
      <c r="AQ105" t="str">
        <f>"040"</f>
        <v>040</v>
      </c>
      <c r="AR105">
        <v>0</v>
      </c>
      <c r="AS105">
        <v>0</v>
      </c>
      <c r="AT105">
        <v>3.819</v>
      </c>
      <c r="AX105" t="str">
        <f>"E000398856"</f>
        <v>E000398856</v>
      </c>
      <c r="BD105" t="str">
        <f>"רחמים זרוק"</f>
        <v>רחמים זרוק</v>
      </c>
    </row>
    <row r="106" spans="1:56" x14ac:dyDescent="0.3">
      <c r="A106" s="1">
        <v>45195</v>
      </c>
      <c r="B106" t="str">
        <f>"SI236001271"</f>
        <v>SI236001271</v>
      </c>
      <c r="C106" t="str">
        <f>"PR23000204"</f>
        <v>PR23000204</v>
      </c>
      <c r="E106" t="str">
        <f>"Y"</f>
        <v>Y</v>
      </c>
      <c r="F106" t="str">
        <f>"חשבוניות מרכזות"</f>
        <v>חשבוניות מרכזות</v>
      </c>
      <c r="G106" t="str">
        <f>"700065"</f>
        <v>700065</v>
      </c>
      <c r="H106" t="str">
        <f>"אלתא מערכות בע""מ"</f>
        <v>אלתא מערכות בע"מ</v>
      </c>
      <c r="I106" t="str">
        <f>"15"</f>
        <v>15</v>
      </c>
      <c r="J106" t="str">
        <f>"OP-AR03570"</f>
        <v>OP-AR03570</v>
      </c>
      <c r="K106" t="str">
        <f>"1032G915-001     CABLE 2W108"</f>
        <v>1032G915-001     CABLE 2W108</v>
      </c>
      <c r="L106">
        <v>2</v>
      </c>
      <c r="M106" t="str">
        <f>"יח"</f>
        <v>יח</v>
      </c>
      <c r="N106">
        <v>2</v>
      </c>
      <c r="O106" t="str">
        <f>"יח"</f>
        <v>יח</v>
      </c>
      <c r="P106" s="2">
        <v>1436.36</v>
      </c>
      <c r="Q106" t="str">
        <f>"$"</f>
        <v>$</v>
      </c>
      <c r="R106" t="str">
        <f>"הזמנה"</f>
        <v>הזמנה</v>
      </c>
      <c r="S106">
        <v>0</v>
      </c>
      <c r="T106" s="2">
        <v>2872.72</v>
      </c>
      <c r="U106">
        <v>0</v>
      </c>
      <c r="V106" s="2">
        <v>2872.72</v>
      </c>
      <c r="W106" t="str">
        <f>"$"</f>
        <v>$</v>
      </c>
      <c r="X106">
        <v>0</v>
      </c>
      <c r="Y106">
        <v>0</v>
      </c>
      <c r="Z106">
        <v>0</v>
      </c>
      <c r="AA106" t="str">
        <f>"Y"</f>
        <v>Y</v>
      </c>
      <c r="AB106" t="str">
        <f>"SO23000138"</f>
        <v>SO23000138</v>
      </c>
      <c r="AC106">
        <v>15</v>
      </c>
      <c r="AD106" s="1">
        <v>44991</v>
      </c>
      <c r="AE106" t="str">
        <f>"SH23001194"</f>
        <v>SH23001194</v>
      </c>
      <c r="AF106" t="str">
        <f>"משלוחים ללקוח"</f>
        <v>משלוחים ללקוח</v>
      </c>
      <c r="AG106" s="1">
        <v>45183</v>
      </c>
      <c r="AM106" t="str">
        <f>"10"</f>
        <v>10</v>
      </c>
      <c r="AN106" t="str">
        <f>"500000"</f>
        <v>500000</v>
      </c>
      <c r="AO106" t="str">
        <f>"הכנסות  מלקוחות"</f>
        <v>הכנסות  מלקוחות</v>
      </c>
      <c r="AQ106" t="str">
        <f>"040"</f>
        <v>040</v>
      </c>
      <c r="AR106">
        <v>0</v>
      </c>
      <c r="AS106">
        <v>0</v>
      </c>
      <c r="AT106">
        <v>3.819</v>
      </c>
      <c r="AX106" t="str">
        <f>"E000386580"</f>
        <v>E000386580</v>
      </c>
      <c r="BD106" t="str">
        <f>"רחמים זרוק"</f>
        <v>רחמים זרוק</v>
      </c>
    </row>
    <row r="107" spans="1:56" x14ac:dyDescent="0.3">
      <c r="A107" s="1">
        <v>45195</v>
      </c>
      <c r="B107" t="str">
        <f>"SI236001270"</f>
        <v>SI236001270</v>
      </c>
      <c r="C107" t="str">
        <f>"PR23000287"</f>
        <v>PR23000287</v>
      </c>
      <c r="E107" t="str">
        <f>"Y"</f>
        <v>Y</v>
      </c>
      <c r="F107" t="str">
        <f>"חשבוניות מרכזות"</f>
        <v>חשבוניות מרכזות</v>
      </c>
      <c r="G107" t="str">
        <f>"700065"</f>
        <v>700065</v>
      </c>
      <c r="H107" t="str">
        <f>"אלתא מערכות בע""מ"</f>
        <v>אלתא מערכות בע"מ</v>
      </c>
      <c r="I107" t="str">
        <f>"15"</f>
        <v>15</v>
      </c>
      <c r="J107" t="str">
        <f>"OP-AR03619"</f>
        <v>OP-AR03619</v>
      </c>
      <c r="K107" t="str">
        <f>"1038B585-001    CIWS NORTHING COMM CABLE"</f>
        <v>1038B585-001    CIWS NORTHING COMM CABLE</v>
      </c>
      <c r="L107">
        <v>1</v>
      </c>
      <c r="M107" t="str">
        <f>"יח"</f>
        <v>יח</v>
      </c>
      <c r="N107">
        <v>1</v>
      </c>
      <c r="O107" t="str">
        <f>"יח"</f>
        <v>יח</v>
      </c>
      <c r="P107" s="2">
        <v>1352.69</v>
      </c>
      <c r="Q107" t="str">
        <f>"$"</f>
        <v>$</v>
      </c>
      <c r="R107" t="str">
        <f>"הזמנה"</f>
        <v>הזמנה</v>
      </c>
      <c r="S107">
        <v>0</v>
      </c>
      <c r="T107" s="2">
        <v>1352.69</v>
      </c>
      <c r="U107">
        <v>0</v>
      </c>
      <c r="V107" s="2">
        <v>1352.69</v>
      </c>
      <c r="W107" t="str">
        <f>"$"</f>
        <v>$</v>
      </c>
      <c r="X107">
        <v>0</v>
      </c>
      <c r="Y107">
        <v>0</v>
      </c>
      <c r="Z107">
        <v>0</v>
      </c>
      <c r="AA107" t="str">
        <f>"Y"</f>
        <v>Y</v>
      </c>
      <c r="AB107" t="str">
        <f>"SO23000198"</f>
        <v>SO23000198</v>
      </c>
      <c r="AC107">
        <v>2</v>
      </c>
      <c r="AD107" s="1">
        <v>45041</v>
      </c>
      <c r="AE107" t="str">
        <f>"SH23001193"</f>
        <v>SH23001193</v>
      </c>
      <c r="AF107" t="str">
        <f>"משלוחים ללקוח"</f>
        <v>משלוחים ללקוח</v>
      </c>
      <c r="AG107" s="1">
        <v>45183</v>
      </c>
      <c r="AM107" t="str">
        <f>"10"</f>
        <v>10</v>
      </c>
      <c r="AN107" t="str">
        <f>"500000"</f>
        <v>500000</v>
      </c>
      <c r="AO107" t="str">
        <f>"הכנסות  מלקוחות"</f>
        <v>הכנסות  מלקוחות</v>
      </c>
      <c r="AQ107" t="str">
        <f>"040"</f>
        <v>040</v>
      </c>
      <c r="AR107">
        <v>0</v>
      </c>
      <c r="AS107">
        <v>0</v>
      </c>
      <c r="AT107">
        <v>3.819</v>
      </c>
      <c r="AX107" t="str">
        <f>"E000391992"</f>
        <v>E000391992</v>
      </c>
      <c r="BD107" t="str">
        <f>"רחמים זרוק"</f>
        <v>רחמים זרוק</v>
      </c>
    </row>
    <row r="108" spans="1:56" x14ac:dyDescent="0.3">
      <c r="A108" s="1">
        <v>45195</v>
      </c>
      <c r="B108" t="str">
        <f>"SI236001269"</f>
        <v>SI236001269</v>
      </c>
      <c r="C108" t="str">
        <f>"PR22000592"</f>
        <v>PR22000592</v>
      </c>
      <c r="E108" t="str">
        <f>"Y"</f>
        <v>Y</v>
      </c>
      <c r="F108" t="str">
        <f>"חשבוניות מרכזות"</f>
        <v>חשבוניות מרכזות</v>
      </c>
      <c r="G108" t="str">
        <f>"700065"</f>
        <v>700065</v>
      </c>
      <c r="H108" t="str">
        <f>"אלתא מערכות בע""מ"</f>
        <v>אלתא מערכות בע"מ</v>
      </c>
      <c r="I108" t="str">
        <f>"15"</f>
        <v>15</v>
      </c>
      <c r="J108" t="str">
        <f>"OP-AR03288"</f>
        <v>OP-AR03288</v>
      </c>
      <c r="K108" t="str">
        <f>"1035C312-001    HARNESS 3W012 - 440VAC/60HZ FROM PSU TO"</f>
        <v>1035C312-001    HARNESS 3W012 - 440VAC/60HZ FROM PSU TO</v>
      </c>
      <c r="L108">
        <v>2</v>
      </c>
      <c r="M108" t="str">
        <f>"יח"</f>
        <v>יח</v>
      </c>
      <c r="N108">
        <v>2</v>
      </c>
      <c r="O108" t="str">
        <f>"יח"</f>
        <v>יח</v>
      </c>
      <c r="P108">
        <v>425.95</v>
      </c>
      <c r="Q108" t="str">
        <f>"$"</f>
        <v>$</v>
      </c>
      <c r="R108" t="str">
        <f>"הזמנה"</f>
        <v>הזמנה</v>
      </c>
      <c r="S108">
        <v>0</v>
      </c>
      <c r="T108">
        <v>851.9</v>
      </c>
      <c r="U108">
        <v>0</v>
      </c>
      <c r="V108">
        <v>851.9</v>
      </c>
      <c r="W108" t="str">
        <f>"$"</f>
        <v>$</v>
      </c>
      <c r="X108">
        <v>0</v>
      </c>
      <c r="Y108">
        <v>0</v>
      </c>
      <c r="Z108">
        <v>0</v>
      </c>
      <c r="AA108" t="str">
        <f>"Y"</f>
        <v>Y</v>
      </c>
      <c r="AC108">
        <v>0</v>
      </c>
      <c r="AM108" t="str">
        <f>"10"</f>
        <v>10</v>
      </c>
      <c r="AN108" t="str">
        <f>"500000"</f>
        <v>500000</v>
      </c>
      <c r="AO108" t="str">
        <f>"הכנסות  מלקוחות"</f>
        <v>הכנסות  מלקוחות</v>
      </c>
      <c r="AQ108" t="str">
        <f>"040"</f>
        <v>040</v>
      </c>
      <c r="AR108">
        <v>0</v>
      </c>
      <c r="AS108">
        <v>0</v>
      </c>
      <c r="AT108">
        <v>3.819</v>
      </c>
      <c r="BB108" t="str">
        <f>"Y"</f>
        <v>Y</v>
      </c>
      <c r="BD108" t="str">
        <f>"רחמים זרוק"</f>
        <v>רחמים זרוק</v>
      </c>
    </row>
    <row r="109" spans="1:56" x14ac:dyDescent="0.3">
      <c r="A109" s="1">
        <v>45195</v>
      </c>
      <c r="B109" t="str">
        <f>"SI236001269"</f>
        <v>SI236001269</v>
      </c>
      <c r="C109" t="str">
        <f>"PR22000592"</f>
        <v>PR22000592</v>
      </c>
      <c r="E109" t="str">
        <f>"Y"</f>
        <v>Y</v>
      </c>
      <c r="F109" t="str">
        <f>"חשבוניות מרכזות"</f>
        <v>חשבוניות מרכזות</v>
      </c>
      <c r="G109" t="str">
        <f>"700065"</f>
        <v>700065</v>
      </c>
      <c r="H109" t="str">
        <f>"אלתא מערכות בע""מ"</f>
        <v>אלתא מערכות בע"מ</v>
      </c>
      <c r="I109" t="str">
        <f>"15"</f>
        <v>15</v>
      </c>
      <c r="J109" t="str">
        <f>"OP-AR03296"</f>
        <v>OP-AR03296</v>
      </c>
      <c r="K109" t="str">
        <f>"1035C332-001    HARNESS 3W032 - INTERLOCK,LIQUID SENSE a"</f>
        <v>1035C332-001    HARNESS 3W032 - INTERLOCK,LIQUID SENSE a</v>
      </c>
      <c r="L109">
        <v>2</v>
      </c>
      <c r="M109" t="str">
        <f>"יח"</f>
        <v>יח</v>
      </c>
      <c r="N109">
        <v>2</v>
      </c>
      <c r="O109" t="str">
        <f>"יח"</f>
        <v>יח</v>
      </c>
      <c r="P109">
        <v>489.64</v>
      </c>
      <c r="Q109" t="str">
        <f>"$"</f>
        <v>$</v>
      </c>
      <c r="R109" t="str">
        <f>"הזמנה"</f>
        <v>הזמנה</v>
      </c>
      <c r="S109">
        <v>0</v>
      </c>
      <c r="T109">
        <v>979.28</v>
      </c>
      <c r="U109">
        <v>0</v>
      </c>
      <c r="V109">
        <v>979.28</v>
      </c>
      <c r="W109" t="str">
        <f>"$"</f>
        <v>$</v>
      </c>
      <c r="X109">
        <v>0</v>
      </c>
      <c r="Y109">
        <v>0</v>
      </c>
      <c r="Z109">
        <v>0</v>
      </c>
      <c r="AA109" t="str">
        <f>"Y"</f>
        <v>Y</v>
      </c>
      <c r="AC109">
        <v>0</v>
      </c>
      <c r="AM109" t="str">
        <f>"10"</f>
        <v>10</v>
      </c>
      <c r="AN109" t="str">
        <f>"500000"</f>
        <v>500000</v>
      </c>
      <c r="AO109" t="str">
        <f>"הכנסות  מלקוחות"</f>
        <v>הכנסות  מלקוחות</v>
      </c>
      <c r="AQ109" t="str">
        <f>"040"</f>
        <v>040</v>
      </c>
      <c r="AR109">
        <v>0</v>
      </c>
      <c r="AS109">
        <v>0</v>
      </c>
      <c r="AT109">
        <v>3.819</v>
      </c>
      <c r="BB109" t="str">
        <f>"Y"</f>
        <v>Y</v>
      </c>
      <c r="BD109" t="str">
        <f>"רחמים זרוק"</f>
        <v>רחמים זרוק</v>
      </c>
    </row>
    <row r="110" spans="1:56" x14ac:dyDescent="0.3">
      <c r="A110" s="1">
        <v>45195</v>
      </c>
      <c r="B110" t="str">
        <f>"SI236001269"</f>
        <v>SI236001269</v>
      </c>
      <c r="C110" t="str">
        <f>"PR22000592"</f>
        <v>PR22000592</v>
      </c>
      <c r="E110" t="str">
        <f>"Y"</f>
        <v>Y</v>
      </c>
      <c r="F110" t="str">
        <f>"חשבוניות מרכזות"</f>
        <v>חשבוניות מרכזות</v>
      </c>
      <c r="G110" t="str">
        <f>"700065"</f>
        <v>700065</v>
      </c>
      <c r="H110" t="str">
        <f>"אלתא מערכות בע""מ"</f>
        <v>אלתא מערכות בע"מ</v>
      </c>
      <c r="I110" t="str">
        <f>"15"</f>
        <v>15</v>
      </c>
      <c r="J110" t="str">
        <f>"OP-AR03297"</f>
        <v>OP-AR03297</v>
      </c>
      <c r="K110" t="str">
        <f>"1035C333-001    HARNESS 3W033 - DATA FROM EXTERNAL SYST"</f>
        <v>1035C333-001    HARNESS 3W033 - DATA FROM EXTERNAL SYST</v>
      </c>
      <c r="L110">
        <v>1</v>
      </c>
      <c r="M110" t="str">
        <f>"יח"</f>
        <v>יח</v>
      </c>
      <c r="N110">
        <v>1</v>
      </c>
      <c r="O110" t="str">
        <f>"יח"</f>
        <v>יח</v>
      </c>
      <c r="P110" s="2">
        <v>1202.47</v>
      </c>
      <c r="Q110" t="str">
        <f>"$"</f>
        <v>$</v>
      </c>
      <c r="R110" t="str">
        <f>"הזמנה"</f>
        <v>הזמנה</v>
      </c>
      <c r="S110">
        <v>0</v>
      </c>
      <c r="T110" s="2">
        <v>1202.47</v>
      </c>
      <c r="U110">
        <v>0</v>
      </c>
      <c r="V110" s="2">
        <v>1202.47</v>
      </c>
      <c r="W110" t="str">
        <f>"$"</f>
        <v>$</v>
      </c>
      <c r="X110">
        <v>0</v>
      </c>
      <c r="Y110">
        <v>0</v>
      </c>
      <c r="Z110">
        <v>0</v>
      </c>
      <c r="AA110" t="str">
        <f>"Y"</f>
        <v>Y</v>
      </c>
      <c r="AC110">
        <v>0</v>
      </c>
      <c r="AM110" t="str">
        <f>"10"</f>
        <v>10</v>
      </c>
      <c r="AN110" t="str">
        <f>"500000"</f>
        <v>500000</v>
      </c>
      <c r="AO110" t="str">
        <f>"הכנסות  מלקוחות"</f>
        <v>הכנסות  מלקוחות</v>
      </c>
      <c r="AQ110" t="str">
        <f>"040"</f>
        <v>040</v>
      </c>
      <c r="AR110">
        <v>0</v>
      </c>
      <c r="AS110">
        <v>0</v>
      </c>
      <c r="AT110">
        <v>3.819</v>
      </c>
      <c r="BB110" t="str">
        <f>"Y"</f>
        <v>Y</v>
      </c>
      <c r="BD110" t="str">
        <f>"רחמים זרוק"</f>
        <v>רחמים זרוק</v>
      </c>
    </row>
    <row r="111" spans="1:56" x14ac:dyDescent="0.3">
      <c r="A111" s="1">
        <v>45195</v>
      </c>
      <c r="B111" t="str">
        <f>"SI236001268"</f>
        <v>SI236001268</v>
      </c>
      <c r="C111" t="str">
        <f>"PR23000327"</f>
        <v>PR23000327</v>
      </c>
      <c r="D111" t="str">
        <f>"PR23000327"</f>
        <v>PR23000327</v>
      </c>
      <c r="E111" t="str">
        <f>"Y"</f>
        <v>Y</v>
      </c>
      <c r="F111" t="str">
        <f>"חשבוניות מרכזות"</f>
        <v>חשבוניות מרכזות</v>
      </c>
      <c r="G111" t="str">
        <f>"700065"</f>
        <v>700065</v>
      </c>
      <c r="H111" t="str">
        <f>"אלתא מערכות בע""מ"</f>
        <v>אלתא מערכות בע"מ</v>
      </c>
      <c r="I111" t="str">
        <f>"15"</f>
        <v>15</v>
      </c>
      <c r="J111" t="str">
        <f>"OP-AR03016"</f>
        <v>OP-AR03016</v>
      </c>
      <c r="K111" t="str">
        <f>"2203B860-001   POWER TO UUT CABLE ASSY"</f>
        <v>2203B860-001   POWER TO UUT CABLE ASSY</v>
      </c>
      <c r="L111">
        <v>2</v>
      </c>
      <c r="M111" t="str">
        <f>"יח"</f>
        <v>יח</v>
      </c>
      <c r="N111">
        <v>2</v>
      </c>
      <c r="O111" t="str">
        <f>"יח"</f>
        <v>יח</v>
      </c>
      <c r="P111">
        <v>879.83</v>
      </c>
      <c r="Q111" t="str">
        <f>"$"</f>
        <v>$</v>
      </c>
      <c r="R111" t="str">
        <f>"הזמנה"</f>
        <v>הזמנה</v>
      </c>
      <c r="S111">
        <v>0</v>
      </c>
      <c r="T111" s="2">
        <v>1759.66</v>
      </c>
      <c r="U111">
        <v>0</v>
      </c>
      <c r="V111" s="2">
        <v>1759.66</v>
      </c>
      <c r="W111" t="str">
        <f>"$"</f>
        <v>$</v>
      </c>
      <c r="X111">
        <v>0</v>
      </c>
      <c r="Y111">
        <v>0</v>
      </c>
      <c r="Z111">
        <v>0</v>
      </c>
      <c r="AA111" t="str">
        <f>"Y"</f>
        <v>Y</v>
      </c>
      <c r="AB111" t="str">
        <f>"SO23000233"</f>
        <v>SO23000233</v>
      </c>
      <c r="AC111">
        <v>6</v>
      </c>
      <c r="AD111" s="1">
        <v>45061</v>
      </c>
      <c r="AE111" t="str">
        <f>"SH23001197"</f>
        <v>SH23001197</v>
      </c>
      <c r="AF111" t="str">
        <f>"משלוחים ללקוח"</f>
        <v>משלוחים ללקוח</v>
      </c>
      <c r="AG111" s="1">
        <v>45183</v>
      </c>
      <c r="AM111" t="str">
        <f>"10"</f>
        <v>10</v>
      </c>
      <c r="AN111" t="str">
        <f>"500000"</f>
        <v>500000</v>
      </c>
      <c r="AO111" t="str">
        <f>"הכנסות  מלקוחות"</f>
        <v>הכנסות  מלקוחות</v>
      </c>
      <c r="AQ111" t="str">
        <f>"040"</f>
        <v>040</v>
      </c>
      <c r="AR111">
        <v>0</v>
      </c>
      <c r="AS111">
        <v>0</v>
      </c>
      <c r="AT111">
        <v>3.819</v>
      </c>
      <c r="AX111" t="str">
        <f>"E000394557"</f>
        <v>E000394557</v>
      </c>
      <c r="BD111" t="str">
        <f>"רחמים זרוק"</f>
        <v>רחמים זרוק</v>
      </c>
    </row>
    <row r="112" spans="1:56" x14ac:dyDescent="0.3">
      <c r="A112" s="1">
        <v>45195</v>
      </c>
      <c r="B112" t="str">
        <f>"SI236001267"</f>
        <v>SI236001267</v>
      </c>
      <c r="C112" t="str">
        <f>"PR23000313"</f>
        <v>PR23000313</v>
      </c>
      <c r="D112" t="str">
        <f>"PR23000313"</f>
        <v>PR23000313</v>
      </c>
      <c r="E112" t="str">
        <f>"Y"</f>
        <v>Y</v>
      </c>
      <c r="F112" t="str">
        <f>"חשבוניות מרכזות"</f>
        <v>חשבוניות מרכזות</v>
      </c>
      <c r="G112" t="str">
        <f>"700065"</f>
        <v>700065</v>
      </c>
      <c r="H112" t="str">
        <f>"אלתא מערכות בע""מ"</f>
        <v>אלתא מערכות בע"מ</v>
      </c>
      <c r="I112" t="str">
        <f>"15"</f>
        <v>15</v>
      </c>
      <c r="J112" t="str">
        <f>"OP-AR03620"</f>
        <v>OP-AR03620</v>
      </c>
      <c r="K112" t="str">
        <f>"2202G030-001    ANDM DEBUG CABLE"</f>
        <v>2202G030-001    ANDM DEBUG CABLE</v>
      </c>
      <c r="L112">
        <v>1</v>
      </c>
      <c r="M112" t="str">
        <f>"יח"</f>
        <v>יח</v>
      </c>
      <c r="N112">
        <v>1</v>
      </c>
      <c r="O112" t="str">
        <f>"יח"</f>
        <v>יח</v>
      </c>
      <c r="P112">
        <v>785.23</v>
      </c>
      <c r="Q112" t="str">
        <f>"$"</f>
        <v>$</v>
      </c>
      <c r="R112" t="str">
        <f>"הזמנה"</f>
        <v>הזמנה</v>
      </c>
      <c r="S112">
        <v>0</v>
      </c>
      <c r="T112">
        <v>785.23</v>
      </c>
      <c r="U112">
        <v>0</v>
      </c>
      <c r="V112">
        <v>785.23</v>
      </c>
      <c r="W112" t="str">
        <f>"$"</f>
        <v>$</v>
      </c>
      <c r="X112">
        <v>0</v>
      </c>
      <c r="Y112">
        <v>0</v>
      </c>
      <c r="Z112">
        <v>0</v>
      </c>
      <c r="AA112" t="str">
        <f>"Y"</f>
        <v>Y</v>
      </c>
      <c r="AB112" t="str">
        <f>"SO23000229"</f>
        <v>SO23000229</v>
      </c>
      <c r="AC112">
        <v>2</v>
      </c>
      <c r="AD112" s="1">
        <v>45054</v>
      </c>
      <c r="AE112" t="str">
        <f>"SH23001185"</f>
        <v>SH23001185</v>
      </c>
      <c r="AF112" t="str">
        <f>"משלוחים ללקוח"</f>
        <v>משלוחים ללקוח</v>
      </c>
      <c r="AG112" s="1">
        <v>45183</v>
      </c>
      <c r="AM112" t="str">
        <f>"10"</f>
        <v>10</v>
      </c>
      <c r="AN112" t="str">
        <f>"500000"</f>
        <v>500000</v>
      </c>
      <c r="AO112" t="str">
        <f>"הכנסות  מלקוחות"</f>
        <v>הכנסות  מלקוחות</v>
      </c>
      <c r="AQ112" t="str">
        <f>"040"</f>
        <v>040</v>
      </c>
      <c r="AR112">
        <v>0</v>
      </c>
      <c r="AS112">
        <v>0</v>
      </c>
      <c r="AT112">
        <v>3.819</v>
      </c>
      <c r="AX112" t="str">
        <f>"E000390854"</f>
        <v>E000390854</v>
      </c>
      <c r="BD112" t="str">
        <f>"רחמים זרוק"</f>
        <v>רחמים זרוק</v>
      </c>
    </row>
    <row r="113" spans="1:56" x14ac:dyDescent="0.3">
      <c r="A113" s="1">
        <v>45189</v>
      </c>
      <c r="B113" t="str">
        <f>"SI236001262"</f>
        <v>SI236001262</v>
      </c>
      <c r="C113" t="str">
        <f>"PR22000898"</f>
        <v>PR22000898</v>
      </c>
      <c r="E113" t="str">
        <f>"Y"</f>
        <v>Y</v>
      </c>
      <c r="F113" t="str">
        <f>"חשבוניות מרכזות"</f>
        <v>חשבוניות מרכזות</v>
      </c>
      <c r="G113" t="str">
        <f>"700065"</f>
        <v>700065</v>
      </c>
      <c r="H113" t="str">
        <f>"אלתא מערכות בע""מ"</f>
        <v>אלתא מערכות בע"מ</v>
      </c>
      <c r="I113" t="str">
        <f>"15"</f>
        <v>15</v>
      </c>
      <c r="J113" t="str">
        <f>"OP-AR03452"</f>
        <v>OP-AR03452</v>
      </c>
      <c r="K113" t="str">
        <f>"1040L221-001    POWER SUPPLY A/C CABLE W1"</f>
        <v>1040L221-001    POWER SUPPLY A/C CABLE W1</v>
      </c>
      <c r="L113">
        <v>2</v>
      </c>
      <c r="M113" t="str">
        <f>"יח"</f>
        <v>יח</v>
      </c>
      <c r="N113">
        <v>2</v>
      </c>
      <c r="O113" t="str">
        <f>"יח"</f>
        <v>יח</v>
      </c>
      <c r="P113">
        <v>751.27</v>
      </c>
      <c r="Q113" t="str">
        <f>"$"</f>
        <v>$</v>
      </c>
      <c r="R113" t="str">
        <f>"הזמנה"</f>
        <v>הזמנה</v>
      </c>
      <c r="S113">
        <v>0</v>
      </c>
      <c r="T113" s="2">
        <v>1502.54</v>
      </c>
      <c r="U113">
        <v>0</v>
      </c>
      <c r="V113" s="2">
        <v>1502.54</v>
      </c>
      <c r="W113" t="str">
        <f>"$"</f>
        <v>$</v>
      </c>
      <c r="X113">
        <v>0</v>
      </c>
      <c r="Y113">
        <v>0</v>
      </c>
      <c r="Z113">
        <v>0</v>
      </c>
      <c r="AA113" t="str">
        <f>"Y"</f>
        <v>Y</v>
      </c>
      <c r="AB113" t="str">
        <f>"SO22000457"</f>
        <v>SO22000457</v>
      </c>
      <c r="AC113">
        <v>1</v>
      </c>
      <c r="AD113" s="1">
        <v>44907</v>
      </c>
      <c r="AE113" t="str">
        <f>"SH23001184"</f>
        <v>SH23001184</v>
      </c>
      <c r="AF113" t="str">
        <f>"משלוחים ללקוח"</f>
        <v>משלוחים ללקוח</v>
      </c>
      <c r="AG113" s="1">
        <v>45183</v>
      </c>
      <c r="AM113" t="str">
        <f>"10"</f>
        <v>10</v>
      </c>
      <c r="AN113" t="str">
        <f>"500000"</f>
        <v>500000</v>
      </c>
      <c r="AO113" t="str">
        <f>"הכנסות  מלקוחות"</f>
        <v>הכנסות  מלקוחות</v>
      </c>
      <c r="AQ113" t="str">
        <f>"040"</f>
        <v>040</v>
      </c>
      <c r="AR113">
        <v>0</v>
      </c>
      <c r="AS113">
        <v>0</v>
      </c>
      <c r="AT113">
        <v>3.8039999999999998</v>
      </c>
      <c r="AX113" t="str">
        <f>"E000379161"</f>
        <v>E000379161</v>
      </c>
      <c r="BD113" t="str">
        <f>"רחמים זרוק"</f>
        <v>רחמים זרוק</v>
      </c>
    </row>
    <row r="114" spans="1:56" x14ac:dyDescent="0.3">
      <c r="A114" s="1">
        <v>45189</v>
      </c>
      <c r="B114" t="str">
        <f>"SI236001262"</f>
        <v>SI236001262</v>
      </c>
      <c r="C114" t="str">
        <f>"PR22000898"</f>
        <v>PR22000898</v>
      </c>
      <c r="E114" t="str">
        <f>"Y"</f>
        <v>Y</v>
      </c>
      <c r="F114" t="str">
        <f>"חשבוניות מרכזות"</f>
        <v>חשבוניות מרכזות</v>
      </c>
      <c r="G114" t="str">
        <f>"700065"</f>
        <v>700065</v>
      </c>
      <c r="H114" t="str">
        <f>"אלתא מערכות בע""מ"</f>
        <v>אלתא מערכות בע"מ</v>
      </c>
      <c r="I114" t="str">
        <f>"15"</f>
        <v>15</v>
      </c>
      <c r="J114" t="str">
        <f>"OP-AR03453"</f>
        <v>OP-AR03453</v>
      </c>
      <c r="K114" t="str">
        <f>"1040L222-001    P.S TO TRU D/C CABLE W2"</f>
        <v>1040L222-001    P.S TO TRU D/C CABLE W2</v>
      </c>
      <c r="L114">
        <v>3</v>
      </c>
      <c r="M114" t="str">
        <f>"יח"</f>
        <v>יח</v>
      </c>
      <c r="N114">
        <v>3</v>
      </c>
      <c r="O114" t="str">
        <f>"יח"</f>
        <v>יח</v>
      </c>
      <c r="P114">
        <v>874.91</v>
      </c>
      <c r="Q114" t="str">
        <f>"$"</f>
        <v>$</v>
      </c>
      <c r="R114" t="str">
        <f>"הזמנה"</f>
        <v>הזמנה</v>
      </c>
      <c r="S114">
        <v>0</v>
      </c>
      <c r="T114" s="2">
        <v>2624.73</v>
      </c>
      <c r="U114">
        <v>0</v>
      </c>
      <c r="V114" s="2">
        <v>2624.73</v>
      </c>
      <c r="W114" t="str">
        <f>"$"</f>
        <v>$</v>
      </c>
      <c r="X114">
        <v>0</v>
      </c>
      <c r="Y114">
        <v>0</v>
      </c>
      <c r="Z114">
        <v>0</v>
      </c>
      <c r="AA114" t="str">
        <f>"Y"</f>
        <v>Y</v>
      </c>
      <c r="AB114" t="str">
        <f>"SO22000457"</f>
        <v>SO22000457</v>
      </c>
      <c r="AC114">
        <v>2</v>
      </c>
      <c r="AD114" s="1">
        <v>44907</v>
      </c>
      <c r="AE114" t="str">
        <f>"SH23001184"</f>
        <v>SH23001184</v>
      </c>
      <c r="AF114" t="str">
        <f>"משלוחים ללקוח"</f>
        <v>משלוחים ללקוח</v>
      </c>
      <c r="AG114" s="1">
        <v>45183</v>
      </c>
      <c r="AM114" t="str">
        <f>"10"</f>
        <v>10</v>
      </c>
      <c r="AN114" t="str">
        <f>"500000"</f>
        <v>500000</v>
      </c>
      <c r="AO114" t="str">
        <f>"הכנסות  מלקוחות"</f>
        <v>הכנסות  מלקוחות</v>
      </c>
      <c r="AQ114" t="str">
        <f>"040"</f>
        <v>040</v>
      </c>
      <c r="AR114">
        <v>0</v>
      </c>
      <c r="AS114">
        <v>0</v>
      </c>
      <c r="AT114">
        <v>3.8039999999999998</v>
      </c>
      <c r="AX114" t="str">
        <f>"E000379161"</f>
        <v>E000379161</v>
      </c>
      <c r="BD114" t="str">
        <f>"רחמים זרוק"</f>
        <v>רחמים זרוק</v>
      </c>
    </row>
    <row r="115" spans="1:56" x14ac:dyDescent="0.3">
      <c r="A115" s="1">
        <v>45189</v>
      </c>
      <c r="B115" t="str">
        <f>"SI236001262"</f>
        <v>SI236001262</v>
      </c>
      <c r="C115" t="str">
        <f>"PR22000898"</f>
        <v>PR22000898</v>
      </c>
      <c r="E115" t="str">
        <f>"Y"</f>
        <v>Y</v>
      </c>
      <c r="F115" t="str">
        <f>"חשבוניות מרכזות"</f>
        <v>חשבוניות מרכזות</v>
      </c>
      <c r="G115" t="str">
        <f>"700065"</f>
        <v>700065</v>
      </c>
      <c r="H115" t="str">
        <f>"אלתא מערכות בע""מ"</f>
        <v>אלתא מערכות בע"מ</v>
      </c>
      <c r="I115" t="str">
        <f>"15"</f>
        <v>15</v>
      </c>
      <c r="J115" t="str">
        <f>"OP-AR03454"</f>
        <v>OP-AR03454</v>
      </c>
      <c r="K115" t="str">
        <f>"1040L227-001    POWER SUPPLY A/C 63A CABLE W7"</f>
        <v>1040L227-001    POWER SUPPLY A/C 63A CABLE W7</v>
      </c>
      <c r="L115">
        <v>1</v>
      </c>
      <c r="M115" t="str">
        <f>"יח"</f>
        <v>יח</v>
      </c>
      <c r="N115">
        <v>1</v>
      </c>
      <c r="O115" t="str">
        <f>"יח"</f>
        <v>יח</v>
      </c>
      <c r="P115">
        <v>771.12</v>
      </c>
      <c r="Q115" t="str">
        <f>"$"</f>
        <v>$</v>
      </c>
      <c r="R115" t="str">
        <f>"הזמנה"</f>
        <v>הזמנה</v>
      </c>
      <c r="S115">
        <v>0</v>
      </c>
      <c r="T115">
        <v>771.12</v>
      </c>
      <c r="U115">
        <v>0</v>
      </c>
      <c r="V115">
        <v>771.12</v>
      </c>
      <c r="W115" t="str">
        <f>"$"</f>
        <v>$</v>
      </c>
      <c r="X115">
        <v>0</v>
      </c>
      <c r="Y115">
        <v>0</v>
      </c>
      <c r="Z115">
        <v>0</v>
      </c>
      <c r="AA115" t="str">
        <f>"Y"</f>
        <v>Y</v>
      </c>
      <c r="AB115" t="str">
        <f>"SO22000457"</f>
        <v>SO22000457</v>
      </c>
      <c r="AC115">
        <v>3</v>
      </c>
      <c r="AD115" s="1">
        <v>44907</v>
      </c>
      <c r="AE115" t="str">
        <f>"SH23001184"</f>
        <v>SH23001184</v>
      </c>
      <c r="AF115" t="str">
        <f>"משלוחים ללקוח"</f>
        <v>משלוחים ללקוח</v>
      </c>
      <c r="AG115" s="1">
        <v>45183</v>
      </c>
      <c r="AM115" t="str">
        <f>"10"</f>
        <v>10</v>
      </c>
      <c r="AN115" t="str">
        <f>"500000"</f>
        <v>500000</v>
      </c>
      <c r="AO115" t="str">
        <f>"הכנסות  מלקוחות"</f>
        <v>הכנסות  מלקוחות</v>
      </c>
      <c r="AQ115" t="str">
        <f>"040"</f>
        <v>040</v>
      </c>
      <c r="AR115">
        <v>0</v>
      </c>
      <c r="AS115">
        <v>0</v>
      </c>
      <c r="AT115">
        <v>3.8039999999999998</v>
      </c>
      <c r="AX115" t="str">
        <f>"E000379161"</f>
        <v>E000379161</v>
      </c>
      <c r="BD115" t="str">
        <f>"רחמים זרוק"</f>
        <v>רחמים זרוק</v>
      </c>
    </row>
    <row r="116" spans="1:56" x14ac:dyDescent="0.3">
      <c r="A116" s="1">
        <v>45189</v>
      </c>
      <c r="B116" t="str">
        <f>"SI236001262"</f>
        <v>SI236001262</v>
      </c>
      <c r="C116" t="str">
        <f>"PR22000898"</f>
        <v>PR22000898</v>
      </c>
      <c r="E116" t="str">
        <f>"Y"</f>
        <v>Y</v>
      </c>
      <c r="F116" t="str">
        <f>"חשבוניות מרכזות"</f>
        <v>חשבוניות מרכזות</v>
      </c>
      <c r="G116" t="str">
        <f>"700065"</f>
        <v>700065</v>
      </c>
      <c r="H116" t="str">
        <f>"אלתא מערכות בע""מ"</f>
        <v>אלתא מערכות בע"מ</v>
      </c>
      <c r="I116" t="str">
        <f>"15"</f>
        <v>15</v>
      </c>
      <c r="J116" t="str">
        <f>"OP-AR03457"</f>
        <v>OP-AR03457</v>
      </c>
      <c r="K116" t="str">
        <f>"1040L230-001    P.S TO TRU 0.5MT D/C CABLE W10"</f>
        <v>1040L230-001    P.S TO TRU 0.5MT D/C CABLE W10</v>
      </c>
      <c r="L116">
        <v>1</v>
      </c>
      <c r="M116" t="str">
        <f>"יח"</f>
        <v>יח</v>
      </c>
      <c r="N116">
        <v>1</v>
      </c>
      <c r="O116" t="str">
        <f>"יח"</f>
        <v>יח</v>
      </c>
      <c r="P116">
        <v>635.73</v>
      </c>
      <c r="Q116" t="str">
        <f>"$"</f>
        <v>$</v>
      </c>
      <c r="R116" t="str">
        <f>"הזמנה"</f>
        <v>הזמנה</v>
      </c>
      <c r="S116">
        <v>0</v>
      </c>
      <c r="T116">
        <v>635.73</v>
      </c>
      <c r="U116">
        <v>0</v>
      </c>
      <c r="V116">
        <v>635.73</v>
      </c>
      <c r="W116" t="str">
        <f>"$"</f>
        <v>$</v>
      </c>
      <c r="X116">
        <v>0</v>
      </c>
      <c r="Y116">
        <v>0</v>
      </c>
      <c r="Z116">
        <v>0</v>
      </c>
      <c r="AA116" t="str">
        <f>"Y"</f>
        <v>Y</v>
      </c>
      <c r="AB116" t="str">
        <f>"SO22000457"</f>
        <v>SO22000457</v>
      </c>
      <c r="AC116">
        <v>6</v>
      </c>
      <c r="AD116" s="1">
        <v>44907</v>
      </c>
      <c r="AE116" t="str">
        <f>"SH23001184"</f>
        <v>SH23001184</v>
      </c>
      <c r="AF116" t="str">
        <f>"משלוחים ללקוח"</f>
        <v>משלוחים ללקוח</v>
      </c>
      <c r="AG116" s="1">
        <v>45183</v>
      </c>
      <c r="AM116" t="str">
        <f>"10"</f>
        <v>10</v>
      </c>
      <c r="AN116" t="str">
        <f>"500000"</f>
        <v>500000</v>
      </c>
      <c r="AO116" t="str">
        <f>"הכנסות  מלקוחות"</f>
        <v>הכנסות  מלקוחות</v>
      </c>
      <c r="AQ116" t="str">
        <f>"040"</f>
        <v>040</v>
      </c>
      <c r="AR116">
        <v>0</v>
      </c>
      <c r="AS116">
        <v>0</v>
      </c>
      <c r="AT116">
        <v>3.8039999999999998</v>
      </c>
      <c r="AX116" t="str">
        <f>"E000379161"</f>
        <v>E000379161</v>
      </c>
      <c r="BD116" t="str">
        <f>"רחמים זרוק"</f>
        <v>רחמים זרוק</v>
      </c>
    </row>
    <row r="117" spans="1:56" x14ac:dyDescent="0.3">
      <c r="A117" s="1">
        <v>45189</v>
      </c>
      <c r="B117" t="str">
        <f>"SI236001262"</f>
        <v>SI236001262</v>
      </c>
      <c r="C117" t="str">
        <f>"PR22000898"</f>
        <v>PR22000898</v>
      </c>
      <c r="E117" t="str">
        <f>"Y"</f>
        <v>Y</v>
      </c>
      <c r="F117" t="str">
        <f>"חשבוניות מרכזות"</f>
        <v>חשבוניות מרכזות</v>
      </c>
      <c r="G117" t="str">
        <f>"700065"</f>
        <v>700065</v>
      </c>
      <c r="H117" t="str">
        <f>"אלתא מערכות בע""מ"</f>
        <v>אלתא מערכות בע"מ</v>
      </c>
      <c r="I117" t="str">
        <f>"15"</f>
        <v>15</v>
      </c>
      <c r="J117" t="str">
        <f>"OP-AR03459"</f>
        <v>OP-AR03459</v>
      </c>
      <c r="K117" t="str">
        <f>"1040L233-001    TRU TEST CABLE W13"</f>
        <v>1040L233-001    TRU TEST CABLE W13</v>
      </c>
      <c r="L117">
        <v>1</v>
      </c>
      <c r="M117" t="str">
        <f>"יח"</f>
        <v>יח</v>
      </c>
      <c r="N117">
        <v>1</v>
      </c>
      <c r="O117" t="str">
        <f>"יח"</f>
        <v>יח</v>
      </c>
      <c r="P117">
        <v>871.88</v>
      </c>
      <c r="Q117" t="str">
        <f>"$"</f>
        <v>$</v>
      </c>
      <c r="R117" t="str">
        <f>"הזמנה"</f>
        <v>הזמנה</v>
      </c>
      <c r="S117">
        <v>0</v>
      </c>
      <c r="T117">
        <v>871.88</v>
      </c>
      <c r="U117">
        <v>0</v>
      </c>
      <c r="V117">
        <v>871.88</v>
      </c>
      <c r="W117" t="str">
        <f>"$"</f>
        <v>$</v>
      </c>
      <c r="X117">
        <v>0</v>
      </c>
      <c r="Y117">
        <v>0</v>
      </c>
      <c r="Z117">
        <v>0</v>
      </c>
      <c r="AA117" t="str">
        <f>"Y"</f>
        <v>Y</v>
      </c>
      <c r="AB117" t="str">
        <f>"SO22000457"</f>
        <v>SO22000457</v>
      </c>
      <c r="AC117">
        <v>8</v>
      </c>
      <c r="AD117" s="1">
        <v>44907</v>
      </c>
      <c r="AE117" t="str">
        <f>"SH23001184"</f>
        <v>SH23001184</v>
      </c>
      <c r="AF117" t="str">
        <f>"משלוחים ללקוח"</f>
        <v>משלוחים ללקוח</v>
      </c>
      <c r="AG117" s="1">
        <v>45183</v>
      </c>
      <c r="AM117" t="str">
        <f>"10"</f>
        <v>10</v>
      </c>
      <c r="AN117" t="str">
        <f>"500000"</f>
        <v>500000</v>
      </c>
      <c r="AO117" t="str">
        <f>"הכנסות  מלקוחות"</f>
        <v>הכנסות  מלקוחות</v>
      </c>
      <c r="AQ117" t="str">
        <f>"040"</f>
        <v>040</v>
      </c>
      <c r="AR117">
        <v>0</v>
      </c>
      <c r="AS117">
        <v>0</v>
      </c>
      <c r="AT117">
        <v>3.8039999999999998</v>
      </c>
      <c r="AX117" t="str">
        <f>"E000379161"</f>
        <v>E000379161</v>
      </c>
      <c r="BD117" t="str">
        <f>"רחמים זרוק"</f>
        <v>רחמים זרוק</v>
      </c>
    </row>
    <row r="118" spans="1:56" x14ac:dyDescent="0.3">
      <c r="A118" s="1">
        <v>45189</v>
      </c>
      <c r="B118" t="str">
        <f>"SI236001261"</f>
        <v>SI236001261</v>
      </c>
      <c r="C118" t="str">
        <f>"PR22000632"</f>
        <v>PR22000632</v>
      </c>
      <c r="D118" t="str">
        <f>"PR22000632"</f>
        <v>PR22000632</v>
      </c>
      <c r="E118" t="str">
        <f>"Y"</f>
        <v>Y</v>
      </c>
      <c r="F118" t="str">
        <f>"חשבוניות מרכזות"</f>
        <v>חשבוניות מרכזות</v>
      </c>
      <c r="G118" t="str">
        <f>"700065"</f>
        <v>700065</v>
      </c>
      <c r="H118" t="str">
        <f>"אלתא מערכות בע""מ"</f>
        <v>אלתא מערכות בע"מ</v>
      </c>
      <c r="I118" t="str">
        <f>"15"</f>
        <v>15</v>
      </c>
      <c r="J118" t="str">
        <f>"OP-AR03351"</f>
        <v>OP-AR03351</v>
      </c>
      <c r="K118" t="str">
        <f>"1036U471-001    WP471 - PYLON LEFT SW2"</f>
        <v>1036U471-001    WP471 - PYLON LEFT SW2</v>
      </c>
      <c r="L118">
        <v>7</v>
      </c>
      <c r="M118" t="str">
        <f>"יח"</f>
        <v>יח</v>
      </c>
      <c r="N118">
        <v>7</v>
      </c>
      <c r="O118" t="str">
        <f>"יח"</f>
        <v>יח</v>
      </c>
      <c r="P118">
        <v>554.51</v>
      </c>
      <c r="Q118" t="str">
        <f>"$"</f>
        <v>$</v>
      </c>
      <c r="R118" t="str">
        <f>"הזמנה"</f>
        <v>הזמנה</v>
      </c>
      <c r="S118">
        <v>0</v>
      </c>
      <c r="T118" s="2">
        <v>3881.57</v>
      </c>
      <c r="U118">
        <v>0</v>
      </c>
      <c r="V118" s="2">
        <v>3881.57</v>
      </c>
      <c r="W118" t="str">
        <f>"$"</f>
        <v>$</v>
      </c>
      <c r="X118">
        <v>0</v>
      </c>
      <c r="Y118">
        <v>0</v>
      </c>
      <c r="Z118">
        <v>0</v>
      </c>
      <c r="AA118" t="str">
        <f>"Y"</f>
        <v>Y</v>
      </c>
      <c r="AB118" t="str">
        <f>"SO22000370"</f>
        <v>SO22000370</v>
      </c>
      <c r="AC118">
        <v>3</v>
      </c>
      <c r="AD118" s="1">
        <v>44833</v>
      </c>
      <c r="AE118" t="str">
        <f>"SH23001186"</f>
        <v>SH23001186</v>
      </c>
      <c r="AF118" t="str">
        <f>"משלוחים ללקוח"</f>
        <v>משלוחים ללקוח</v>
      </c>
      <c r="AG118" s="1">
        <v>45183</v>
      </c>
      <c r="AM118" t="str">
        <f>"10"</f>
        <v>10</v>
      </c>
      <c r="AN118" t="str">
        <f>"500000"</f>
        <v>500000</v>
      </c>
      <c r="AO118" t="str">
        <f>"הכנסות  מלקוחות"</f>
        <v>הכנסות  מלקוחות</v>
      </c>
      <c r="AQ118" t="str">
        <f>"040"</f>
        <v>040</v>
      </c>
      <c r="AR118">
        <v>0</v>
      </c>
      <c r="AS118">
        <v>0</v>
      </c>
      <c r="AT118">
        <v>3.8039999999999998</v>
      </c>
      <c r="AX118" t="str">
        <f>"E000374958"</f>
        <v>E000374958</v>
      </c>
      <c r="BD118" t="str">
        <f>"רחמים זרוק"</f>
        <v>רחמים זרוק</v>
      </c>
    </row>
    <row r="119" spans="1:56" x14ac:dyDescent="0.3">
      <c r="A119" s="1">
        <v>45189</v>
      </c>
      <c r="B119" t="str">
        <f>"SI236001260"</f>
        <v>SI236001260</v>
      </c>
      <c r="C119" t="str">
        <f>"PR23000551"</f>
        <v>PR23000551</v>
      </c>
      <c r="D119" t="str">
        <f>"PR23000551"</f>
        <v>PR23000551</v>
      </c>
      <c r="E119" t="str">
        <f>"Y"</f>
        <v>Y</v>
      </c>
      <c r="F119" t="str">
        <f>"חשבוניות מרכזות"</f>
        <v>חשבוניות מרכזות</v>
      </c>
      <c r="G119" t="str">
        <f>"700065"</f>
        <v>700065</v>
      </c>
      <c r="H119" t="str">
        <f>"אלתא מערכות בע""מ"</f>
        <v>אלתא מערכות בע"מ</v>
      </c>
      <c r="I119" t="str">
        <f>"15"</f>
        <v>15</v>
      </c>
      <c r="J119" t="str">
        <f>"OP-AR01701"</f>
        <v>OP-AR01701</v>
      </c>
      <c r="K119" t="str">
        <f>"1020B573-003 P.C.U W2 HARNESS MOTOR POWER"</f>
        <v>1020B573-003 P.C.U W2 HARNESS MOTOR POWER</v>
      </c>
      <c r="L119">
        <v>1</v>
      </c>
      <c r="M119" t="str">
        <f>"יח"</f>
        <v>יח</v>
      </c>
      <c r="N119">
        <v>1</v>
      </c>
      <c r="O119" t="str">
        <f>"יח"</f>
        <v>יח</v>
      </c>
      <c r="P119">
        <v>663.36</v>
      </c>
      <c r="Q119" t="str">
        <f>"$"</f>
        <v>$</v>
      </c>
      <c r="R119" t="str">
        <f>"הזמנה"</f>
        <v>הזמנה</v>
      </c>
      <c r="S119">
        <v>0</v>
      </c>
      <c r="T119">
        <v>663.36</v>
      </c>
      <c r="U119">
        <v>0</v>
      </c>
      <c r="V119">
        <v>663.36</v>
      </c>
      <c r="W119" t="str">
        <f>"$"</f>
        <v>$</v>
      </c>
      <c r="X119">
        <v>0</v>
      </c>
      <c r="Y119">
        <v>0</v>
      </c>
      <c r="Z119">
        <v>0</v>
      </c>
      <c r="AA119" t="str">
        <f>"Y"</f>
        <v>Y</v>
      </c>
      <c r="AB119" t="str">
        <f>"SO23000365"</f>
        <v>SO23000365</v>
      </c>
      <c r="AC119">
        <v>1</v>
      </c>
      <c r="AD119" s="1">
        <v>45144</v>
      </c>
      <c r="AE119" t="str">
        <f>"SH23001198"</f>
        <v>SH23001198</v>
      </c>
      <c r="AF119" t="str">
        <f>"משלוחים ללקוח"</f>
        <v>משלוחים ללקוח</v>
      </c>
      <c r="AG119" s="1">
        <v>45183</v>
      </c>
      <c r="AM119" t="str">
        <f>"10"</f>
        <v>10</v>
      </c>
      <c r="AN119" t="str">
        <f>"500000"</f>
        <v>500000</v>
      </c>
      <c r="AO119" t="str">
        <f>"הכנסות  מלקוחות"</f>
        <v>הכנסות  מלקוחות</v>
      </c>
      <c r="AQ119" t="str">
        <f>"040"</f>
        <v>040</v>
      </c>
      <c r="AR119">
        <v>0</v>
      </c>
      <c r="AS119">
        <v>0</v>
      </c>
      <c r="AT119">
        <v>3.8039999999999998</v>
      </c>
      <c r="AX119" t="str">
        <f>"E000401528"</f>
        <v>E000401528</v>
      </c>
      <c r="BD119" t="str">
        <f>"רחמים זרוק"</f>
        <v>רחמים זרוק</v>
      </c>
    </row>
    <row r="120" spans="1:56" x14ac:dyDescent="0.3">
      <c r="A120" s="1">
        <v>45189</v>
      </c>
      <c r="B120" t="str">
        <f>"SI236001259"</f>
        <v>SI236001259</v>
      </c>
      <c r="C120" t="str">
        <f>"PR23000077"</f>
        <v>PR23000077</v>
      </c>
      <c r="D120" t="str">
        <f>"PR23000077"</f>
        <v>PR23000077</v>
      </c>
      <c r="E120" t="str">
        <f>"Y"</f>
        <v>Y</v>
      </c>
      <c r="F120" t="str">
        <f>"חשבוניות מרכזות"</f>
        <v>חשבוניות מרכזות</v>
      </c>
      <c r="G120" t="str">
        <f>"700065"</f>
        <v>700065</v>
      </c>
      <c r="H120" t="str">
        <f>"אלתא מערכות בע""מ"</f>
        <v>אלתא מערכות בע"מ</v>
      </c>
      <c r="I120" t="str">
        <f>"15"</f>
        <v>15</v>
      </c>
      <c r="J120" t="str">
        <f>"OP-AR03545"</f>
        <v>OP-AR03545</v>
      </c>
      <c r="K120" t="str">
        <f>"1032M713-002    LDE SIGNALS CABLE J9"</f>
        <v>1032M713-002    LDE SIGNALS CABLE J9</v>
      </c>
      <c r="L120">
        <v>3</v>
      </c>
      <c r="M120" t="str">
        <f>"יח"</f>
        <v>יח</v>
      </c>
      <c r="N120">
        <v>3</v>
      </c>
      <c r="O120" t="str">
        <f>"יח"</f>
        <v>יח</v>
      </c>
      <c r="P120">
        <v>533.02</v>
      </c>
      <c r="Q120" t="str">
        <f>"$"</f>
        <v>$</v>
      </c>
      <c r="R120" t="str">
        <f>"הזמנה"</f>
        <v>הזמנה</v>
      </c>
      <c r="S120">
        <v>0</v>
      </c>
      <c r="T120" s="2">
        <v>1599.06</v>
      </c>
      <c r="U120">
        <v>0</v>
      </c>
      <c r="V120" s="2">
        <v>1599.06</v>
      </c>
      <c r="W120" t="str">
        <f>"$"</f>
        <v>$</v>
      </c>
      <c r="X120">
        <v>0</v>
      </c>
      <c r="Y120">
        <v>0</v>
      </c>
      <c r="Z120">
        <v>0</v>
      </c>
      <c r="AA120" t="str">
        <f>"Y"</f>
        <v>Y</v>
      </c>
      <c r="AB120" t="str">
        <f>"SO23000048"</f>
        <v>SO23000048</v>
      </c>
      <c r="AC120">
        <v>6</v>
      </c>
      <c r="AD120" s="1">
        <v>44944</v>
      </c>
      <c r="AE120" t="str">
        <f>"SH23001182"</f>
        <v>SH23001182</v>
      </c>
      <c r="AF120" t="str">
        <f>"משלוחים ללקוח"</f>
        <v>משלוחים ללקוח</v>
      </c>
      <c r="AG120" s="1">
        <v>45183</v>
      </c>
      <c r="AM120" t="str">
        <f>"10"</f>
        <v>10</v>
      </c>
      <c r="AN120" t="str">
        <f>"500000"</f>
        <v>500000</v>
      </c>
      <c r="AO120" t="str">
        <f>"הכנסות  מלקוחות"</f>
        <v>הכנסות  מלקוחות</v>
      </c>
      <c r="AQ120" t="str">
        <f>"040"</f>
        <v>040</v>
      </c>
      <c r="AR120">
        <v>0</v>
      </c>
      <c r="AS120">
        <v>0</v>
      </c>
      <c r="AT120">
        <v>3.8039999999999998</v>
      </c>
      <c r="AX120" t="str">
        <f>"E000383715"</f>
        <v>E000383715</v>
      </c>
      <c r="BD120" t="str">
        <f>"רחמים זרוק"</f>
        <v>רחמים זרוק</v>
      </c>
    </row>
    <row r="121" spans="1:56" x14ac:dyDescent="0.3">
      <c r="A121" s="1">
        <v>45189</v>
      </c>
      <c r="B121" t="str">
        <f>"SI236001259"</f>
        <v>SI236001259</v>
      </c>
      <c r="C121" t="str">
        <f>"PR23000077"</f>
        <v>PR23000077</v>
      </c>
      <c r="D121" t="str">
        <f>"PR23000077"</f>
        <v>PR23000077</v>
      </c>
      <c r="E121" t="str">
        <f>"Y"</f>
        <v>Y</v>
      </c>
      <c r="F121" t="str">
        <f>"חשבוניות מרכזות"</f>
        <v>חשבוניות מרכזות</v>
      </c>
      <c r="G121" t="str">
        <f>"700065"</f>
        <v>700065</v>
      </c>
      <c r="H121" t="str">
        <f>"אלתא מערכות בע""מ"</f>
        <v>אלתא מערכות בע"מ</v>
      </c>
      <c r="I121" t="str">
        <f>"15"</f>
        <v>15</v>
      </c>
      <c r="J121" t="str">
        <f>"OP-AR03546"</f>
        <v>OP-AR03546</v>
      </c>
      <c r="K121" t="str">
        <f>"1032M715-002    LDE SIGNALS CABLE J10"</f>
        <v>1032M715-002    LDE SIGNALS CABLE J10</v>
      </c>
      <c r="L121">
        <v>3</v>
      </c>
      <c r="M121" t="str">
        <f>"יח"</f>
        <v>יח</v>
      </c>
      <c r="N121">
        <v>3</v>
      </c>
      <c r="O121" t="str">
        <f>"יח"</f>
        <v>יח</v>
      </c>
      <c r="P121">
        <v>561.74</v>
      </c>
      <c r="Q121" t="str">
        <f>"$"</f>
        <v>$</v>
      </c>
      <c r="R121" t="str">
        <f>"הזמנה"</f>
        <v>הזמנה</v>
      </c>
      <c r="S121">
        <v>0</v>
      </c>
      <c r="T121" s="2">
        <v>1685.22</v>
      </c>
      <c r="U121">
        <v>0</v>
      </c>
      <c r="V121" s="2">
        <v>1685.22</v>
      </c>
      <c r="W121" t="str">
        <f>"$"</f>
        <v>$</v>
      </c>
      <c r="X121">
        <v>0</v>
      </c>
      <c r="Y121">
        <v>0</v>
      </c>
      <c r="Z121">
        <v>0</v>
      </c>
      <c r="AA121" t="str">
        <f>"Y"</f>
        <v>Y</v>
      </c>
      <c r="AB121" t="str">
        <f>"SO23000048"</f>
        <v>SO23000048</v>
      </c>
      <c r="AC121">
        <v>7</v>
      </c>
      <c r="AD121" s="1">
        <v>44944</v>
      </c>
      <c r="AE121" t="str">
        <f>"SH23001182"</f>
        <v>SH23001182</v>
      </c>
      <c r="AF121" t="str">
        <f>"משלוחים ללקוח"</f>
        <v>משלוחים ללקוח</v>
      </c>
      <c r="AG121" s="1">
        <v>45183</v>
      </c>
      <c r="AM121" t="str">
        <f>"10"</f>
        <v>10</v>
      </c>
      <c r="AN121" t="str">
        <f>"500000"</f>
        <v>500000</v>
      </c>
      <c r="AO121" t="str">
        <f>"הכנסות  מלקוחות"</f>
        <v>הכנסות  מלקוחות</v>
      </c>
      <c r="AQ121" t="str">
        <f>"040"</f>
        <v>040</v>
      </c>
      <c r="AR121">
        <v>0</v>
      </c>
      <c r="AS121">
        <v>0</v>
      </c>
      <c r="AT121">
        <v>3.8039999999999998</v>
      </c>
      <c r="AX121" t="str">
        <f>"E000383715"</f>
        <v>E000383715</v>
      </c>
      <c r="BD121" t="str">
        <f>"רחמים זרוק"</f>
        <v>רחמים זרוק</v>
      </c>
    </row>
    <row r="122" spans="1:56" x14ac:dyDescent="0.3">
      <c r="A122" s="1">
        <v>45188</v>
      </c>
      <c r="B122" t="str">
        <f>"SI236001256"</f>
        <v>SI236001256</v>
      </c>
      <c r="E122" t="str">
        <f>"Y"</f>
        <v>Y</v>
      </c>
      <c r="F122" t="str">
        <f>"חשבוניות מרכזות"</f>
        <v>חשבוניות מרכזות</v>
      </c>
      <c r="G122" t="str">
        <f>"700065"</f>
        <v>700065</v>
      </c>
      <c r="H122" t="str">
        <f>"אלתא מערכות בע""מ"</f>
        <v>אלתא מערכות בע"מ</v>
      </c>
      <c r="I122" t="str">
        <f>"10"</f>
        <v>10</v>
      </c>
      <c r="J122" t="str">
        <f>"000"</f>
        <v>000</v>
      </c>
      <c r="K122" t="str">
        <f>"פירוק, הרכבה וביצוע ATP למארז"</f>
        <v>פירוק, הרכבה וביצוע ATP למארז</v>
      </c>
      <c r="L122">
        <v>1</v>
      </c>
      <c r="M122" t="str">
        <f>"יח"</f>
        <v>יח</v>
      </c>
      <c r="N122">
        <v>1</v>
      </c>
      <c r="O122" t="str">
        <f>"יח"</f>
        <v>יח</v>
      </c>
      <c r="P122" s="2">
        <v>8000</v>
      </c>
      <c r="Q122" t="str">
        <f>"$"</f>
        <v>$</v>
      </c>
      <c r="R122" t="str">
        <f>"הזמנה"</f>
        <v>הזמנה</v>
      </c>
      <c r="S122">
        <v>0</v>
      </c>
      <c r="T122" s="2">
        <v>8000</v>
      </c>
      <c r="U122">
        <v>0</v>
      </c>
      <c r="V122" s="2">
        <v>8000</v>
      </c>
      <c r="W122" t="str">
        <f>"$"</f>
        <v>$</v>
      </c>
      <c r="X122">
        <v>0</v>
      </c>
      <c r="Y122">
        <v>0</v>
      </c>
      <c r="Z122">
        <v>0</v>
      </c>
      <c r="AA122" t="str">
        <f>"Y"</f>
        <v>Y</v>
      </c>
      <c r="AB122" t="str">
        <f>"SO23000459"</f>
        <v>SO23000459</v>
      </c>
      <c r="AC122">
        <v>1</v>
      </c>
      <c r="AD122" s="1">
        <v>45188</v>
      </c>
      <c r="AM122" t="str">
        <f>"10"</f>
        <v>10</v>
      </c>
      <c r="AN122" t="str">
        <f>"500000"</f>
        <v>500000</v>
      </c>
      <c r="AO122" t="str">
        <f>"הכנסות  מלקוחות"</f>
        <v>הכנסות  מלקוחות</v>
      </c>
      <c r="AQ122" t="str">
        <f>"007"</f>
        <v>007</v>
      </c>
      <c r="AR122">
        <v>0</v>
      </c>
      <c r="AS122">
        <v>0</v>
      </c>
      <c r="AT122">
        <v>3.8250000000000002</v>
      </c>
      <c r="AX122" t="str">
        <f>"E000405345"</f>
        <v>E000405345</v>
      </c>
      <c r="BD122" t="str">
        <f>"רוני דידי"</f>
        <v>רוני דידי</v>
      </c>
    </row>
    <row r="123" spans="1:56" x14ac:dyDescent="0.3">
      <c r="A123" s="1">
        <v>45184</v>
      </c>
      <c r="B123" t="str">
        <f>"CR237000093"</f>
        <v>CR237000093</v>
      </c>
      <c r="E123" t="str">
        <f>"Y"</f>
        <v>Y</v>
      </c>
      <c r="F123" t="str">
        <f>"חשבוניות זיכוי"</f>
        <v>חשבוניות זיכוי</v>
      </c>
      <c r="G123" t="str">
        <f>"700065"</f>
        <v>700065</v>
      </c>
      <c r="H123" t="str">
        <f>"אלתא מערכות בע""מ"</f>
        <v>אלתא מערכות בע"מ</v>
      </c>
      <c r="I123" t="str">
        <f>"10"</f>
        <v>10</v>
      </c>
      <c r="J123" t="str">
        <f>"999"</f>
        <v>999</v>
      </c>
      <c r="K123" t="str">
        <f>"זיכוי מקבלה RC230000313"</f>
        <v>זיכוי מקבלה RC230000313</v>
      </c>
      <c r="L123">
        <v>1</v>
      </c>
      <c r="M123" t="str">
        <f>"חל"</f>
        <v>חל</v>
      </c>
      <c r="N123">
        <v>1</v>
      </c>
      <c r="O123" t="str">
        <f>"חל"</f>
        <v>חל</v>
      </c>
      <c r="P123" s="2">
        <v>4304.75</v>
      </c>
      <c r="Q123" t="str">
        <f>"$"</f>
        <v>$</v>
      </c>
      <c r="R123" t="str">
        <f>"ידני"</f>
        <v>ידני</v>
      </c>
      <c r="S123">
        <v>0</v>
      </c>
      <c r="T123" s="2">
        <v>4304.75</v>
      </c>
      <c r="U123">
        <v>0</v>
      </c>
      <c r="V123" s="2">
        <v>4304.75</v>
      </c>
      <c r="W123" t="str">
        <f>"$"</f>
        <v>$</v>
      </c>
      <c r="X123">
        <v>0</v>
      </c>
      <c r="Y123">
        <v>0</v>
      </c>
      <c r="Z123">
        <v>0</v>
      </c>
      <c r="AA123" t="str">
        <f>"Y"</f>
        <v>Y</v>
      </c>
      <c r="AC123">
        <v>0</v>
      </c>
      <c r="AM123" t="str">
        <f>"10"</f>
        <v>10</v>
      </c>
      <c r="AN123" t="str">
        <f>"500000"</f>
        <v>500000</v>
      </c>
      <c r="AO123" t="str">
        <f>"הכנסות  מלקוחות"</f>
        <v>הכנסות  מלקוחות</v>
      </c>
      <c r="AQ123" t="str">
        <f>"034"</f>
        <v>034</v>
      </c>
      <c r="AR123">
        <v>0</v>
      </c>
      <c r="AS123">
        <v>0</v>
      </c>
      <c r="AT123">
        <v>3.6890000000000001</v>
      </c>
      <c r="BD123" t="str">
        <f>"ערן שלו"</f>
        <v>ערן שלו</v>
      </c>
    </row>
    <row r="124" spans="1:56" x14ac:dyDescent="0.3">
      <c r="A124" s="1">
        <v>45183</v>
      </c>
      <c r="B124" t="str">
        <f>"SI236001249"</f>
        <v>SI236001249</v>
      </c>
      <c r="C124" t="str">
        <f>"PR22000574"</f>
        <v>PR22000574</v>
      </c>
      <c r="D124" t="str">
        <f>"PR22000574"</f>
        <v>PR22000574</v>
      </c>
      <c r="E124" t="str">
        <f>"Y"</f>
        <v>Y</v>
      </c>
      <c r="F124" t="str">
        <f>"חשבוניות מרכזות"</f>
        <v>חשבוניות מרכזות</v>
      </c>
      <c r="G124" t="str">
        <f>"700065"</f>
        <v>700065</v>
      </c>
      <c r="H124" t="str">
        <f>"אלתא מערכות בע""מ"</f>
        <v>אלתא מערכות בע"מ</v>
      </c>
      <c r="I124" t="str">
        <f>"10"</f>
        <v>10</v>
      </c>
      <c r="J124" t="str">
        <f>"PD0300477"</f>
        <v>PD0300477</v>
      </c>
      <c r="K124" t="str">
        <f>"מודול 64 כניסות דיגיטליות שניידר BMXDDI6402K"</f>
        <v>מודול 64 כניסות דיגיטליות שניידר BMXDDI6402K</v>
      </c>
      <c r="L124">
        <v>1</v>
      </c>
      <c r="M124" t="str">
        <f>"יח"</f>
        <v>יח</v>
      </c>
      <c r="N124">
        <v>1</v>
      </c>
      <c r="O124" t="str">
        <f>"יח"</f>
        <v>יח</v>
      </c>
      <c r="P124">
        <v>405</v>
      </c>
      <c r="Q124" t="str">
        <f>"$"</f>
        <v>$</v>
      </c>
      <c r="R124" t="str">
        <f>"הזמנה"</f>
        <v>הזמנה</v>
      </c>
      <c r="S124">
        <v>0</v>
      </c>
      <c r="T124">
        <v>405</v>
      </c>
      <c r="U124">
        <v>0</v>
      </c>
      <c r="V124">
        <v>405</v>
      </c>
      <c r="W124" t="str">
        <f>"$"</f>
        <v>$</v>
      </c>
      <c r="X124">
        <v>0</v>
      </c>
      <c r="Y124">
        <v>0</v>
      </c>
      <c r="Z124">
        <v>0</v>
      </c>
      <c r="AA124" t="str">
        <f>"Y"</f>
        <v>Y</v>
      </c>
      <c r="AB124" t="str">
        <f>"SO22000338"</f>
        <v>SO22000338</v>
      </c>
      <c r="AC124">
        <v>4</v>
      </c>
      <c r="AD124" s="1">
        <v>44791</v>
      </c>
      <c r="AE124" t="str">
        <f>"SH23001171"</f>
        <v>SH23001171</v>
      </c>
      <c r="AF124" t="str">
        <f>"משלוחים ללקוח"</f>
        <v>משלוחים ללקוח</v>
      </c>
      <c r="AG124" s="1">
        <v>45181</v>
      </c>
      <c r="AM124" t="str">
        <f>"10"</f>
        <v>10</v>
      </c>
      <c r="AN124" t="str">
        <f>"500000"</f>
        <v>500000</v>
      </c>
      <c r="AO124" t="str">
        <f>"הכנסות  מלקוחות"</f>
        <v>הכנסות  מלקוחות</v>
      </c>
      <c r="AQ124" t="str">
        <f>"007"</f>
        <v>007</v>
      </c>
      <c r="AR124">
        <v>0</v>
      </c>
      <c r="AS124">
        <v>0</v>
      </c>
      <c r="AT124">
        <v>3.8260000000000001</v>
      </c>
      <c r="AX124" t="str">
        <f>"E000369077"</f>
        <v>E000369077</v>
      </c>
      <c r="BD124" t="str">
        <f>"רוני דידי"</f>
        <v>רוני דידי</v>
      </c>
    </row>
    <row r="125" spans="1:56" x14ac:dyDescent="0.3">
      <c r="A125" s="1">
        <v>45183</v>
      </c>
      <c r="B125" t="str">
        <f>"SI236001249"</f>
        <v>SI236001249</v>
      </c>
      <c r="C125" t="str">
        <f>"PR22000574"</f>
        <v>PR22000574</v>
      </c>
      <c r="D125" t="str">
        <f>"PR22000574"</f>
        <v>PR22000574</v>
      </c>
      <c r="E125" t="str">
        <f>"Y"</f>
        <v>Y</v>
      </c>
      <c r="F125" t="str">
        <f>"חשבוניות מרכזות"</f>
        <v>חשבוניות מרכזות</v>
      </c>
      <c r="G125" t="str">
        <f>"700065"</f>
        <v>700065</v>
      </c>
      <c r="H125" t="str">
        <f>"אלתא מערכות בע""מ"</f>
        <v>אלתא מערכות בע"מ</v>
      </c>
      <c r="I125" t="str">
        <f>"10"</f>
        <v>10</v>
      </c>
      <c r="J125" t="str">
        <f>"PD0300478"</f>
        <v>PD0300478</v>
      </c>
      <c r="K125" t="str">
        <f>"מודול 16 יציאות דיגיטליות טרנזיסטור שניידר BMXDDO1612H"</f>
        <v>מודול 16 יציאות דיגיטליות טרנזיסטור שניידר BMXDDO1612H</v>
      </c>
      <c r="L125">
        <v>3</v>
      </c>
      <c r="M125" t="str">
        <f>"יח"</f>
        <v>יח</v>
      </c>
      <c r="N125">
        <v>3</v>
      </c>
      <c r="O125" t="str">
        <f>"יח"</f>
        <v>יח</v>
      </c>
      <c r="P125">
        <v>190</v>
      </c>
      <c r="Q125" t="str">
        <f>"$"</f>
        <v>$</v>
      </c>
      <c r="R125" t="str">
        <f>"הזמנה"</f>
        <v>הזמנה</v>
      </c>
      <c r="S125">
        <v>0</v>
      </c>
      <c r="T125">
        <v>570</v>
      </c>
      <c r="U125">
        <v>0</v>
      </c>
      <c r="V125">
        <v>570</v>
      </c>
      <c r="W125" t="str">
        <f>"$"</f>
        <v>$</v>
      </c>
      <c r="X125">
        <v>0</v>
      </c>
      <c r="Y125">
        <v>0</v>
      </c>
      <c r="Z125">
        <v>0</v>
      </c>
      <c r="AA125" t="str">
        <f>"Y"</f>
        <v>Y</v>
      </c>
      <c r="AB125" t="str">
        <f>"SO22000338"</f>
        <v>SO22000338</v>
      </c>
      <c r="AC125">
        <v>5</v>
      </c>
      <c r="AD125" s="1">
        <v>44791</v>
      </c>
      <c r="AE125" t="str">
        <f>"SH23001171"</f>
        <v>SH23001171</v>
      </c>
      <c r="AF125" t="str">
        <f>"משלוחים ללקוח"</f>
        <v>משלוחים ללקוח</v>
      </c>
      <c r="AG125" s="1">
        <v>45181</v>
      </c>
      <c r="AM125" t="str">
        <f>"10"</f>
        <v>10</v>
      </c>
      <c r="AN125" t="str">
        <f>"500000"</f>
        <v>500000</v>
      </c>
      <c r="AO125" t="str">
        <f>"הכנסות  מלקוחות"</f>
        <v>הכנסות  מלקוחות</v>
      </c>
      <c r="AQ125" t="str">
        <f>"007"</f>
        <v>007</v>
      </c>
      <c r="AR125">
        <v>0</v>
      </c>
      <c r="AS125">
        <v>0</v>
      </c>
      <c r="AT125">
        <v>3.8260000000000001</v>
      </c>
      <c r="AX125" t="str">
        <f>"E000369077"</f>
        <v>E000369077</v>
      </c>
      <c r="BD125" t="str">
        <f>"רוני דידי"</f>
        <v>רוני דידי</v>
      </c>
    </row>
    <row r="126" spans="1:56" x14ac:dyDescent="0.3">
      <c r="A126" s="1">
        <v>45183</v>
      </c>
      <c r="B126" t="str">
        <f>"SI236001249"</f>
        <v>SI236001249</v>
      </c>
      <c r="C126" t="str">
        <f>"PR22000574"</f>
        <v>PR22000574</v>
      </c>
      <c r="D126" t="str">
        <f>"PR22000574"</f>
        <v>PR22000574</v>
      </c>
      <c r="E126" t="str">
        <f>"Y"</f>
        <v>Y</v>
      </c>
      <c r="F126" t="str">
        <f>"חשבוניות מרכזות"</f>
        <v>חשבוניות מרכזות</v>
      </c>
      <c r="G126" t="str">
        <f>"700065"</f>
        <v>700065</v>
      </c>
      <c r="H126" t="str">
        <f>"אלתא מערכות בע""מ"</f>
        <v>אלתא מערכות בע"מ</v>
      </c>
      <c r="I126" t="str">
        <f>"10"</f>
        <v>10</v>
      </c>
      <c r="J126" t="str">
        <f>"PD0300479"</f>
        <v>PD0300479</v>
      </c>
      <c r="K126" t="str">
        <f>"מודול 4 כניסות אנלוגיות שניידר BMXAMI0410H"</f>
        <v>מודול 4 כניסות אנלוגיות שניידר BMXAMI0410H</v>
      </c>
      <c r="L126">
        <v>1</v>
      </c>
      <c r="M126" t="str">
        <f>"יח"</f>
        <v>יח</v>
      </c>
      <c r="N126">
        <v>1</v>
      </c>
      <c r="O126" t="str">
        <f>"יח"</f>
        <v>יח</v>
      </c>
      <c r="P126">
        <v>480</v>
      </c>
      <c r="Q126" t="str">
        <f>"$"</f>
        <v>$</v>
      </c>
      <c r="R126" t="str">
        <f>"הזמנה"</f>
        <v>הזמנה</v>
      </c>
      <c r="S126">
        <v>0</v>
      </c>
      <c r="T126">
        <v>480</v>
      </c>
      <c r="U126">
        <v>0</v>
      </c>
      <c r="V126">
        <v>480</v>
      </c>
      <c r="W126" t="str">
        <f>"$"</f>
        <v>$</v>
      </c>
      <c r="X126">
        <v>0</v>
      </c>
      <c r="Y126">
        <v>0</v>
      </c>
      <c r="Z126">
        <v>0</v>
      </c>
      <c r="AA126" t="str">
        <f>"Y"</f>
        <v>Y</v>
      </c>
      <c r="AB126" t="str">
        <f>"SO22000338"</f>
        <v>SO22000338</v>
      </c>
      <c r="AC126">
        <v>6</v>
      </c>
      <c r="AD126" s="1">
        <v>44791</v>
      </c>
      <c r="AE126" t="str">
        <f>"SH23001171"</f>
        <v>SH23001171</v>
      </c>
      <c r="AF126" t="str">
        <f>"משלוחים ללקוח"</f>
        <v>משלוחים ללקוח</v>
      </c>
      <c r="AG126" s="1">
        <v>45181</v>
      </c>
      <c r="AM126" t="str">
        <f>"10"</f>
        <v>10</v>
      </c>
      <c r="AN126" t="str">
        <f>"500000"</f>
        <v>500000</v>
      </c>
      <c r="AO126" t="str">
        <f>"הכנסות  מלקוחות"</f>
        <v>הכנסות  מלקוחות</v>
      </c>
      <c r="AQ126" t="str">
        <f>"007"</f>
        <v>007</v>
      </c>
      <c r="AR126">
        <v>0</v>
      </c>
      <c r="AS126">
        <v>0</v>
      </c>
      <c r="AT126">
        <v>3.8260000000000001</v>
      </c>
      <c r="AX126" t="str">
        <f>"E000369077"</f>
        <v>E000369077</v>
      </c>
      <c r="BD126" t="str">
        <f>"רוני דידי"</f>
        <v>רוני דידי</v>
      </c>
    </row>
    <row r="127" spans="1:56" x14ac:dyDescent="0.3">
      <c r="A127" s="1">
        <v>45183</v>
      </c>
      <c r="B127" t="str">
        <f>"SI236001249"</f>
        <v>SI236001249</v>
      </c>
      <c r="C127" t="str">
        <f>"PR22000574"</f>
        <v>PR22000574</v>
      </c>
      <c r="D127" t="str">
        <f>"PR22000574"</f>
        <v>PR22000574</v>
      </c>
      <c r="E127" t="str">
        <f>"Y"</f>
        <v>Y</v>
      </c>
      <c r="F127" t="str">
        <f>"חשבוניות מרכזות"</f>
        <v>חשבוניות מרכזות</v>
      </c>
      <c r="G127" t="str">
        <f>"700065"</f>
        <v>700065</v>
      </c>
      <c r="H127" t="str">
        <f>"אלתא מערכות בע""מ"</f>
        <v>אלתא מערכות בע"מ</v>
      </c>
      <c r="I127" t="str">
        <f>"10"</f>
        <v>10</v>
      </c>
      <c r="J127" t="str">
        <f>"PD0300480"</f>
        <v>PD0300480</v>
      </c>
      <c r="K127" t="str">
        <f>"מודול 8 כניסות אנלוגיות טמפרטורה שניידר BMXART0814H"</f>
        <v>מודול 8 כניסות אנלוגיות טמפרטורה שניידר BMXART0814H</v>
      </c>
      <c r="L127">
        <v>1</v>
      </c>
      <c r="M127" t="str">
        <f>"יח"</f>
        <v>יח</v>
      </c>
      <c r="N127">
        <v>1</v>
      </c>
      <c r="O127" t="str">
        <f>"יח"</f>
        <v>יח</v>
      </c>
      <c r="P127">
        <v>905</v>
      </c>
      <c r="Q127" t="str">
        <f>"$"</f>
        <v>$</v>
      </c>
      <c r="R127" t="str">
        <f>"הזמנה"</f>
        <v>הזמנה</v>
      </c>
      <c r="S127">
        <v>0</v>
      </c>
      <c r="T127">
        <v>905</v>
      </c>
      <c r="U127">
        <v>0</v>
      </c>
      <c r="V127">
        <v>905</v>
      </c>
      <c r="W127" t="str">
        <f>"$"</f>
        <v>$</v>
      </c>
      <c r="X127">
        <v>0</v>
      </c>
      <c r="Y127">
        <v>0</v>
      </c>
      <c r="Z127">
        <v>0</v>
      </c>
      <c r="AA127" t="str">
        <f>"Y"</f>
        <v>Y</v>
      </c>
      <c r="AB127" t="str">
        <f>"SO22000338"</f>
        <v>SO22000338</v>
      </c>
      <c r="AC127">
        <v>8</v>
      </c>
      <c r="AD127" s="1">
        <v>44791</v>
      </c>
      <c r="AE127" t="str">
        <f>"SH23001171"</f>
        <v>SH23001171</v>
      </c>
      <c r="AF127" t="str">
        <f>"משלוחים ללקוח"</f>
        <v>משלוחים ללקוח</v>
      </c>
      <c r="AG127" s="1">
        <v>45181</v>
      </c>
      <c r="AM127" t="str">
        <f>"10"</f>
        <v>10</v>
      </c>
      <c r="AN127" t="str">
        <f>"500000"</f>
        <v>500000</v>
      </c>
      <c r="AO127" t="str">
        <f>"הכנסות  מלקוחות"</f>
        <v>הכנסות  מלקוחות</v>
      </c>
      <c r="AQ127" t="str">
        <f>"007"</f>
        <v>007</v>
      </c>
      <c r="AR127">
        <v>0</v>
      </c>
      <c r="AS127">
        <v>0</v>
      </c>
      <c r="AT127">
        <v>3.8260000000000001</v>
      </c>
      <c r="AX127" t="str">
        <f>"E000369077"</f>
        <v>E000369077</v>
      </c>
      <c r="BD127" t="str">
        <f>"רוני דידי"</f>
        <v>רוני דידי</v>
      </c>
    </row>
    <row r="128" spans="1:56" x14ac:dyDescent="0.3">
      <c r="A128" s="1">
        <v>45183</v>
      </c>
      <c r="B128" t="str">
        <f>"SI236001248"</f>
        <v>SI236001248</v>
      </c>
      <c r="C128" t="str">
        <f>"PR23000347"</f>
        <v>PR23000347</v>
      </c>
      <c r="D128" t="str">
        <f>"PR23000347"</f>
        <v>PR23000347</v>
      </c>
      <c r="E128" t="str">
        <f>"Y"</f>
        <v>Y</v>
      </c>
      <c r="F128" t="str">
        <f>"חשבוניות מרכזות"</f>
        <v>חשבוניות מרכזות</v>
      </c>
      <c r="G128" t="str">
        <f>"700065"</f>
        <v>700065</v>
      </c>
      <c r="H128" t="str">
        <f>"אלתא מערכות בע""מ"</f>
        <v>אלתא מערכות בע"מ</v>
      </c>
      <c r="I128" t="str">
        <f>"10"</f>
        <v>10</v>
      </c>
      <c r="J128" t="str">
        <f>"cust00891"</f>
        <v>cust00891</v>
      </c>
      <c r="K128" t="str">
        <f>"1038H185-001 אלתא"</f>
        <v>1038H185-001 אלתא</v>
      </c>
      <c r="L128">
        <v>1</v>
      </c>
      <c r="M128" t="str">
        <f>"יח"</f>
        <v>יח</v>
      </c>
      <c r="N128">
        <v>1</v>
      </c>
      <c r="O128" t="str">
        <f>"יח"</f>
        <v>יח</v>
      </c>
      <c r="P128" s="2">
        <v>5785</v>
      </c>
      <c r="Q128" t="str">
        <f>"$"</f>
        <v>$</v>
      </c>
      <c r="R128" t="str">
        <f>"הזמנה"</f>
        <v>הזמנה</v>
      </c>
      <c r="S128">
        <v>0</v>
      </c>
      <c r="T128" s="2">
        <v>5785</v>
      </c>
      <c r="U128">
        <v>0</v>
      </c>
      <c r="V128" s="2">
        <v>5785</v>
      </c>
      <c r="W128" t="str">
        <f>"$"</f>
        <v>$</v>
      </c>
      <c r="X128">
        <v>0</v>
      </c>
      <c r="Y128">
        <v>0</v>
      </c>
      <c r="Z128">
        <v>0</v>
      </c>
      <c r="AA128" t="str">
        <f>"Y"</f>
        <v>Y</v>
      </c>
      <c r="AB128" t="str">
        <f>"SO23000251"</f>
        <v>SO23000251</v>
      </c>
      <c r="AC128">
        <v>1</v>
      </c>
      <c r="AD128" s="1">
        <v>45076</v>
      </c>
      <c r="AE128" t="str">
        <f>"SH23001109"</f>
        <v>SH23001109</v>
      </c>
      <c r="AF128" t="str">
        <f>"משלוחים ללקוח"</f>
        <v>משלוחים ללקוח</v>
      </c>
      <c r="AG128" s="1">
        <v>45166</v>
      </c>
      <c r="AM128" t="str">
        <f>"10"</f>
        <v>10</v>
      </c>
      <c r="AN128" t="str">
        <f>"500000"</f>
        <v>500000</v>
      </c>
      <c r="AO128" t="str">
        <f>"הכנסות  מלקוחות"</f>
        <v>הכנסות  מלקוחות</v>
      </c>
      <c r="AQ128" t="str">
        <f>"007"</f>
        <v>007</v>
      </c>
      <c r="AR128">
        <v>0</v>
      </c>
      <c r="AS128">
        <v>0</v>
      </c>
      <c r="AT128">
        <v>3.8260000000000001</v>
      </c>
      <c r="AX128" t="str">
        <f>"E000395606"</f>
        <v>E000395606</v>
      </c>
      <c r="BD128" t="str">
        <f>"רוני דידי"</f>
        <v>רוני דידי</v>
      </c>
    </row>
    <row r="129" spans="1:56" x14ac:dyDescent="0.3">
      <c r="A129" s="1">
        <v>45183</v>
      </c>
      <c r="B129" t="str">
        <f>"SI236001242"</f>
        <v>SI236001242</v>
      </c>
      <c r="E129" t="str">
        <f>"Y"</f>
        <v>Y</v>
      </c>
      <c r="F129" t="str">
        <f>"חשבוניות מרכזות"</f>
        <v>חשבוניות מרכזות</v>
      </c>
      <c r="G129" t="str">
        <f>"700065"</f>
        <v>700065</v>
      </c>
      <c r="H129" t="str">
        <f>"אלתא מערכות בע""מ"</f>
        <v>אלתא מערכות בע"מ</v>
      </c>
      <c r="I129" t="str">
        <f>"10"</f>
        <v>10</v>
      </c>
      <c r="J129" t="str">
        <f>"PD0346066"</f>
        <v>PD0346066</v>
      </c>
      <c r="K129" t="str">
        <f>"בקר החלפה אמדר AM530DN"</f>
        <v>בקר החלפה אמדר AM530DN</v>
      </c>
      <c r="L129">
        <v>-1</v>
      </c>
      <c r="M129" t="str">
        <f>"יח"</f>
        <v>יח</v>
      </c>
      <c r="N129">
        <v>-1</v>
      </c>
      <c r="O129" t="str">
        <f>"יח"</f>
        <v>יח</v>
      </c>
      <c r="P129" s="2">
        <v>4350</v>
      </c>
      <c r="Q129" t="str">
        <f>"$"</f>
        <v>$</v>
      </c>
      <c r="R129" t="str">
        <f>"הזמנה"</f>
        <v>הזמנה</v>
      </c>
      <c r="S129">
        <v>0</v>
      </c>
      <c r="T129" s="2">
        <v>-4350</v>
      </c>
      <c r="U129">
        <v>0</v>
      </c>
      <c r="V129" s="2">
        <v>-4350</v>
      </c>
      <c r="W129" t="str">
        <f>"$"</f>
        <v>$</v>
      </c>
      <c r="X129">
        <v>0</v>
      </c>
      <c r="Y129">
        <v>0</v>
      </c>
      <c r="Z129">
        <v>0</v>
      </c>
      <c r="AA129" t="str">
        <f>"Y"</f>
        <v>Y</v>
      </c>
      <c r="AC129">
        <v>0</v>
      </c>
      <c r="AM129" t="str">
        <f>"10"</f>
        <v>10</v>
      </c>
      <c r="AN129" t="str">
        <f>"500000"</f>
        <v>500000</v>
      </c>
      <c r="AO129" t="str">
        <f>"הכנסות  מלקוחות"</f>
        <v>הכנסות  מלקוחות</v>
      </c>
      <c r="AQ129" t="str">
        <f>"007"</f>
        <v>007</v>
      </c>
      <c r="AR129">
        <v>0</v>
      </c>
      <c r="AS129">
        <v>0</v>
      </c>
      <c r="AT129">
        <v>3.819</v>
      </c>
      <c r="BB129" t="str">
        <f>"Y"</f>
        <v>Y</v>
      </c>
      <c r="BD129" t="str">
        <f>"רוני דידי"</f>
        <v>רוני דידי</v>
      </c>
    </row>
    <row r="130" spans="1:56" x14ac:dyDescent="0.3">
      <c r="A130" s="1">
        <v>45183</v>
      </c>
      <c r="B130" t="str">
        <f>"SI236001241"</f>
        <v>SI236001241</v>
      </c>
      <c r="E130" t="str">
        <f>"Y"</f>
        <v>Y</v>
      </c>
      <c r="F130" t="str">
        <f>"חשבוניות מרכזות"</f>
        <v>חשבוניות מרכזות</v>
      </c>
      <c r="G130" t="str">
        <f>"700065"</f>
        <v>700065</v>
      </c>
      <c r="H130" t="str">
        <f>"אלתא מערכות בע""מ"</f>
        <v>אלתא מערכות בע"מ</v>
      </c>
      <c r="I130" t="str">
        <f>"10"</f>
        <v>10</v>
      </c>
      <c r="J130" t="str">
        <f>"PD0346066"</f>
        <v>PD0346066</v>
      </c>
      <c r="K130" t="str">
        <f>"בקר החלפה אמדר AM530DN"</f>
        <v>בקר החלפה אמדר AM530DN</v>
      </c>
      <c r="L130">
        <v>1</v>
      </c>
      <c r="M130" t="str">
        <f>"יח"</f>
        <v>יח</v>
      </c>
      <c r="N130">
        <v>1</v>
      </c>
      <c r="O130" t="str">
        <f>"יח"</f>
        <v>יח</v>
      </c>
      <c r="P130" s="2">
        <v>4350</v>
      </c>
      <c r="Q130" t="str">
        <f>"$"</f>
        <v>$</v>
      </c>
      <c r="R130" t="str">
        <f>"הזמנה"</f>
        <v>הזמנה</v>
      </c>
      <c r="S130">
        <v>0</v>
      </c>
      <c r="T130" s="2">
        <v>4350</v>
      </c>
      <c r="U130">
        <v>0</v>
      </c>
      <c r="V130" s="2">
        <v>4350</v>
      </c>
      <c r="W130" t="str">
        <f>"$"</f>
        <v>$</v>
      </c>
      <c r="X130">
        <v>0</v>
      </c>
      <c r="Y130">
        <v>0</v>
      </c>
      <c r="Z130">
        <v>0</v>
      </c>
      <c r="AA130" t="str">
        <f>"Y"</f>
        <v>Y</v>
      </c>
      <c r="AC130">
        <v>0</v>
      </c>
      <c r="AM130" t="str">
        <f>"10"</f>
        <v>10</v>
      </c>
      <c r="AN130" t="str">
        <f>"500000"</f>
        <v>500000</v>
      </c>
      <c r="AO130" t="str">
        <f>"הכנסות  מלקוחות"</f>
        <v>הכנסות  מלקוחות</v>
      </c>
      <c r="AQ130" t="str">
        <f>"007"</f>
        <v>007</v>
      </c>
      <c r="AR130">
        <v>0</v>
      </c>
      <c r="AS130">
        <v>0</v>
      </c>
      <c r="AT130">
        <v>3.819</v>
      </c>
      <c r="BB130" t="str">
        <f>"Y"</f>
        <v>Y</v>
      </c>
      <c r="BD130" t="str">
        <f>"רוני דידי"</f>
        <v>רוני דידי</v>
      </c>
    </row>
    <row r="131" spans="1:56" x14ac:dyDescent="0.3">
      <c r="A131" s="1">
        <v>45183</v>
      </c>
      <c r="B131" t="str">
        <f>"SI236001240"</f>
        <v>SI236001240</v>
      </c>
      <c r="E131" t="str">
        <f>"Y"</f>
        <v>Y</v>
      </c>
      <c r="F131" t="str">
        <f>"חשבוניות מרכזות"</f>
        <v>חשבוניות מרכזות</v>
      </c>
      <c r="G131" t="str">
        <f>"700065"</f>
        <v>700065</v>
      </c>
      <c r="H131" t="str">
        <f>"אלתא מערכות בע""מ"</f>
        <v>אלתא מערכות בע"מ</v>
      </c>
      <c r="I131" t="str">
        <f>"10"</f>
        <v>10</v>
      </c>
      <c r="J131" t="str">
        <f>"000"</f>
        <v>000</v>
      </c>
      <c r="K131" t="str">
        <f>"טכנאי לעבודה בצ'כיה"</f>
        <v>טכנאי לעבודה בצ'כיה</v>
      </c>
      <c r="L131">
        <v>1</v>
      </c>
      <c r="M131" t="str">
        <f>"יח"</f>
        <v>יח</v>
      </c>
      <c r="N131">
        <v>1</v>
      </c>
      <c r="O131" t="str">
        <f>"יח"</f>
        <v>יח</v>
      </c>
      <c r="P131" s="2">
        <v>4800</v>
      </c>
      <c r="Q131" t="str">
        <f>"$"</f>
        <v>$</v>
      </c>
      <c r="R131" t="str">
        <f>"הזמנה"</f>
        <v>הזמנה</v>
      </c>
      <c r="S131">
        <v>0</v>
      </c>
      <c r="T131" s="2">
        <v>4800</v>
      </c>
      <c r="U131">
        <v>0</v>
      </c>
      <c r="V131" s="2">
        <v>4800</v>
      </c>
      <c r="W131" t="str">
        <f>"$"</f>
        <v>$</v>
      </c>
      <c r="X131">
        <v>0</v>
      </c>
      <c r="Y131">
        <v>0</v>
      </c>
      <c r="Z131">
        <v>0</v>
      </c>
      <c r="AA131" t="str">
        <f>"Y"</f>
        <v>Y</v>
      </c>
      <c r="AB131" t="str">
        <f>"SO23000431"</f>
        <v>SO23000431</v>
      </c>
      <c r="AC131">
        <v>1</v>
      </c>
      <c r="AD131" s="1">
        <v>45176</v>
      </c>
      <c r="AM131" t="str">
        <f>"10"</f>
        <v>10</v>
      </c>
      <c r="AN131" t="str">
        <f>"500000"</f>
        <v>500000</v>
      </c>
      <c r="AO131" t="str">
        <f>"הכנסות  מלקוחות"</f>
        <v>הכנסות  מלקוחות</v>
      </c>
      <c r="AQ131" t="str">
        <f>"007"</f>
        <v>007</v>
      </c>
      <c r="AR131">
        <v>0</v>
      </c>
      <c r="AS131">
        <v>0</v>
      </c>
      <c r="AT131">
        <v>3.819</v>
      </c>
      <c r="AX131" t="str">
        <f>"E000404789"</f>
        <v>E000404789</v>
      </c>
      <c r="BD131" t="str">
        <f>"רוני דידי"</f>
        <v>רוני דידי</v>
      </c>
    </row>
    <row r="132" spans="1:56" x14ac:dyDescent="0.3">
      <c r="A132" s="1">
        <v>45183</v>
      </c>
      <c r="B132" t="str">
        <f>"SI236001239"</f>
        <v>SI236001239</v>
      </c>
      <c r="C132" t="str">
        <f>"PR23000419"</f>
        <v>PR23000419</v>
      </c>
      <c r="E132" t="str">
        <f>"Y"</f>
        <v>Y</v>
      </c>
      <c r="F132" t="str">
        <f>"חשבוניות מרכזות"</f>
        <v>חשבוניות מרכזות</v>
      </c>
      <c r="G132" t="str">
        <f>"700065"</f>
        <v>700065</v>
      </c>
      <c r="H132" t="str">
        <f>"אלתא מערכות בע""מ"</f>
        <v>אלתא מערכות בע"מ</v>
      </c>
      <c r="I132" t="str">
        <f>"10"</f>
        <v>10</v>
      </c>
      <c r="J132" t="str">
        <f>"000"</f>
        <v>000</v>
      </c>
      <c r="K132" t="str">
        <f>"עדכון תכן"</f>
        <v>עדכון תכן</v>
      </c>
      <c r="L132">
        <v>-1</v>
      </c>
      <c r="M132" t="str">
        <f>"יח"</f>
        <v>יח</v>
      </c>
      <c r="N132">
        <v>-1</v>
      </c>
      <c r="O132" t="str">
        <f>"יח"</f>
        <v>יח</v>
      </c>
      <c r="P132" s="2">
        <v>5600</v>
      </c>
      <c r="Q132" t="str">
        <f>"$"</f>
        <v>$</v>
      </c>
      <c r="R132" t="str">
        <f>"הזמנה"</f>
        <v>הזמנה</v>
      </c>
      <c r="S132">
        <v>0</v>
      </c>
      <c r="T132" s="2">
        <v>-5600</v>
      </c>
      <c r="U132">
        <v>0</v>
      </c>
      <c r="V132" s="2">
        <v>-5600</v>
      </c>
      <c r="W132" t="str">
        <f>"$"</f>
        <v>$</v>
      </c>
      <c r="X132">
        <v>0</v>
      </c>
      <c r="Y132">
        <v>0</v>
      </c>
      <c r="Z132">
        <v>0</v>
      </c>
      <c r="AA132" t="str">
        <f>"Y"</f>
        <v>Y</v>
      </c>
      <c r="AC132">
        <v>0</v>
      </c>
      <c r="AM132" t="str">
        <f>"10"</f>
        <v>10</v>
      </c>
      <c r="AN132" t="str">
        <f>"500000"</f>
        <v>500000</v>
      </c>
      <c r="AO132" t="str">
        <f>"הכנסות  מלקוחות"</f>
        <v>הכנסות  מלקוחות</v>
      </c>
      <c r="AQ132" t="str">
        <f>"007"</f>
        <v>007</v>
      </c>
      <c r="AR132">
        <v>0</v>
      </c>
      <c r="AS132">
        <v>0</v>
      </c>
      <c r="AT132">
        <v>3.819</v>
      </c>
      <c r="BB132" t="str">
        <f>"Y"</f>
        <v>Y</v>
      </c>
      <c r="BD132" t="str">
        <f>"רוני דידי"</f>
        <v>רוני דידי</v>
      </c>
    </row>
    <row r="133" spans="1:56" x14ac:dyDescent="0.3">
      <c r="A133" s="1">
        <v>45183</v>
      </c>
      <c r="B133" t="str">
        <f>"SI236001234"</f>
        <v>SI236001234</v>
      </c>
      <c r="C133" t="str">
        <f>"PR23000419"</f>
        <v>PR23000419</v>
      </c>
      <c r="E133" t="str">
        <f>"Y"</f>
        <v>Y</v>
      </c>
      <c r="F133" t="str">
        <f>"חשבוניות מרכזות"</f>
        <v>חשבוניות מרכזות</v>
      </c>
      <c r="G133" t="str">
        <f>"700065"</f>
        <v>700065</v>
      </c>
      <c r="H133" t="str">
        <f>"אלתא מערכות בע""מ"</f>
        <v>אלתא מערכות בע"מ</v>
      </c>
      <c r="I133" t="str">
        <f>"10"</f>
        <v>10</v>
      </c>
      <c r="J133" t="str">
        <f>"000"</f>
        <v>000</v>
      </c>
      <c r="K133" t="str">
        <f>"עדכון תכן"</f>
        <v>עדכון תכן</v>
      </c>
      <c r="L133">
        <v>1</v>
      </c>
      <c r="M133" t="str">
        <f>"יח"</f>
        <v>יח</v>
      </c>
      <c r="N133">
        <v>1</v>
      </c>
      <c r="O133" t="str">
        <f>"יח"</f>
        <v>יח</v>
      </c>
      <c r="P133" s="2">
        <v>5600</v>
      </c>
      <c r="Q133" t="str">
        <f>"$"</f>
        <v>$</v>
      </c>
      <c r="R133" t="str">
        <f>"הזמנה"</f>
        <v>הזמנה</v>
      </c>
      <c r="S133">
        <v>0</v>
      </c>
      <c r="T133" s="2">
        <v>5600</v>
      </c>
      <c r="U133">
        <v>0</v>
      </c>
      <c r="V133" s="2">
        <v>5600</v>
      </c>
      <c r="W133" t="str">
        <f>"$"</f>
        <v>$</v>
      </c>
      <c r="X133">
        <v>0</v>
      </c>
      <c r="Y133">
        <v>0</v>
      </c>
      <c r="Z133">
        <v>0</v>
      </c>
      <c r="AA133" t="str">
        <f>"Y"</f>
        <v>Y</v>
      </c>
      <c r="AC133">
        <v>0</v>
      </c>
      <c r="AM133" t="str">
        <f>"10"</f>
        <v>10</v>
      </c>
      <c r="AN133" t="str">
        <f>"500000"</f>
        <v>500000</v>
      </c>
      <c r="AO133" t="str">
        <f>"הכנסות  מלקוחות"</f>
        <v>הכנסות  מלקוחות</v>
      </c>
      <c r="AQ133" t="str">
        <f>"007"</f>
        <v>007</v>
      </c>
      <c r="AR133">
        <v>0</v>
      </c>
      <c r="AS133">
        <v>0</v>
      </c>
      <c r="AT133">
        <v>3.819</v>
      </c>
      <c r="BB133" t="str">
        <f>"Y"</f>
        <v>Y</v>
      </c>
      <c r="BD133" t="str">
        <f>"רוני דידי"</f>
        <v>רוני דידי</v>
      </c>
    </row>
    <row r="134" spans="1:56" x14ac:dyDescent="0.3">
      <c r="A134" s="1">
        <v>45179</v>
      </c>
      <c r="B134" t="str">
        <f>"SI236001225"</f>
        <v>SI236001225</v>
      </c>
      <c r="C134" t="str">
        <f>"PR23000270"</f>
        <v>PR23000270</v>
      </c>
      <c r="D134" t="str">
        <f>"PR23000270"</f>
        <v>PR23000270</v>
      </c>
      <c r="E134" t="str">
        <f>"Y"</f>
        <v>Y</v>
      </c>
      <c r="F134" t="str">
        <f>"חשבוניות מרכזות"</f>
        <v>חשבוניות מרכזות</v>
      </c>
      <c r="G134" t="str">
        <f>"700065"</f>
        <v>700065</v>
      </c>
      <c r="H134" t="str">
        <f>"אלתא מערכות בע""מ"</f>
        <v>אלתא מערכות בע"מ</v>
      </c>
      <c r="I134" t="str">
        <f>"10"</f>
        <v>10</v>
      </c>
      <c r="J134" t="str">
        <f>"OP-ML00231"</f>
        <v>OP-ML00231</v>
      </c>
      <c r="K134" t="str">
        <f>"BBD-24-40 24VDC 40A UPS WITH BATT 2U DRAWER"</f>
        <v>BBD-24-40 24VDC 40A UPS WITH BATT 2U DRAWER</v>
      </c>
      <c r="L134">
        <v>1</v>
      </c>
      <c r="M134" t="str">
        <f>"יח"</f>
        <v>יח</v>
      </c>
      <c r="N134">
        <v>1</v>
      </c>
      <c r="O134" t="str">
        <f>"יח"</f>
        <v>יח</v>
      </c>
      <c r="P134" s="2">
        <v>4350</v>
      </c>
      <c r="Q134" t="str">
        <f>"$"</f>
        <v>$</v>
      </c>
      <c r="R134" t="str">
        <f>"הזמנה"</f>
        <v>הזמנה</v>
      </c>
      <c r="S134">
        <v>0</v>
      </c>
      <c r="T134" s="2">
        <v>4350</v>
      </c>
      <c r="U134">
        <v>0</v>
      </c>
      <c r="V134" s="2">
        <v>4350</v>
      </c>
      <c r="W134" t="str">
        <f>"$"</f>
        <v>$</v>
      </c>
      <c r="X134">
        <v>0</v>
      </c>
      <c r="Y134">
        <v>0</v>
      </c>
      <c r="Z134">
        <v>0</v>
      </c>
      <c r="AA134" t="str">
        <f>"Y"</f>
        <v>Y</v>
      </c>
      <c r="AB134" t="str">
        <f>"SO23000181"</f>
        <v>SO23000181</v>
      </c>
      <c r="AC134">
        <v>1</v>
      </c>
      <c r="AD134" s="1">
        <v>45032</v>
      </c>
      <c r="AE134" t="str">
        <f>"SH23001116"</f>
        <v>SH23001116</v>
      </c>
      <c r="AF134" t="str">
        <f>"משלוחים ללקוח"</f>
        <v>משלוחים ללקוח</v>
      </c>
      <c r="AG134" s="1">
        <v>45167</v>
      </c>
      <c r="AM134" t="str">
        <f>"10"</f>
        <v>10</v>
      </c>
      <c r="AN134" t="str">
        <f>"500000"</f>
        <v>500000</v>
      </c>
      <c r="AO134" t="str">
        <f>"הכנסות  מלקוחות"</f>
        <v>הכנסות  מלקוחות</v>
      </c>
      <c r="AQ134" t="str">
        <f>"007"</f>
        <v>007</v>
      </c>
      <c r="AR134">
        <v>0</v>
      </c>
      <c r="AS134">
        <v>0</v>
      </c>
      <c r="AT134">
        <v>3.8439999999999999</v>
      </c>
      <c r="AX134" t="str">
        <f>"E000390357"</f>
        <v>E000390357</v>
      </c>
      <c r="BD134" t="str">
        <f>"רוני דידי"</f>
        <v>רוני דידי</v>
      </c>
    </row>
    <row r="135" spans="1:56" x14ac:dyDescent="0.3">
      <c r="A135" s="1">
        <v>45179</v>
      </c>
      <c r="B135" t="str">
        <f>"SI236001224"</f>
        <v>SI236001224</v>
      </c>
      <c r="C135" t="str">
        <f>"PR23000419"</f>
        <v>PR23000419</v>
      </c>
      <c r="D135" t="str">
        <f>"PR23000419"</f>
        <v>PR23000419</v>
      </c>
      <c r="E135" t="str">
        <f>"Y"</f>
        <v>Y</v>
      </c>
      <c r="F135" t="str">
        <f>"חשבוניות מרכזות"</f>
        <v>חשבוניות מרכזות</v>
      </c>
      <c r="G135" t="str">
        <f>"700065"</f>
        <v>700065</v>
      </c>
      <c r="H135" t="str">
        <f>"אלתא מערכות בע""מ"</f>
        <v>אלתא מערכות בע"מ</v>
      </c>
      <c r="I135" t="str">
        <f>"10"</f>
        <v>10</v>
      </c>
      <c r="J135" t="str">
        <f>"OP-AR01607"</f>
        <v>OP-AR01607</v>
      </c>
      <c r="K135" t="str">
        <f>"תיקון יחידה 1038H185-001"</f>
        <v>תיקון יחידה 1038H185-001</v>
      </c>
      <c r="L135">
        <v>1</v>
      </c>
      <c r="M135" t="str">
        <f>"יח"</f>
        <v>יח</v>
      </c>
      <c r="N135">
        <v>1</v>
      </c>
      <c r="O135" t="str">
        <f>"יח"</f>
        <v>יח</v>
      </c>
      <c r="P135" s="2">
        <v>2750</v>
      </c>
      <c r="Q135" t="str">
        <f>"$"</f>
        <v>$</v>
      </c>
      <c r="R135" t="str">
        <f>"הזמנה"</f>
        <v>הזמנה</v>
      </c>
      <c r="S135">
        <v>0</v>
      </c>
      <c r="T135" s="2">
        <v>2750</v>
      </c>
      <c r="U135">
        <v>0</v>
      </c>
      <c r="V135" s="2">
        <v>2750</v>
      </c>
      <c r="W135" t="str">
        <f>"$"</f>
        <v>$</v>
      </c>
      <c r="X135">
        <v>0</v>
      </c>
      <c r="Y135">
        <v>0</v>
      </c>
      <c r="Z135">
        <v>0</v>
      </c>
      <c r="AA135" t="str">
        <f>"Y"</f>
        <v>Y</v>
      </c>
      <c r="AB135" t="str">
        <f>"SO23000306"</f>
        <v>SO23000306</v>
      </c>
      <c r="AC135">
        <v>1</v>
      </c>
      <c r="AD135" s="1">
        <v>45109</v>
      </c>
      <c r="AE135" t="str">
        <f>"SH23001159"</f>
        <v>SH23001159</v>
      </c>
      <c r="AF135" t="str">
        <f>"משלוחים ללקוח"</f>
        <v>משלוחים ללקוח</v>
      </c>
      <c r="AG135" s="1">
        <v>45175</v>
      </c>
      <c r="AM135" t="str">
        <f>"10"</f>
        <v>10</v>
      </c>
      <c r="AN135" t="str">
        <f>"500000"</f>
        <v>500000</v>
      </c>
      <c r="AO135" t="str">
        <f>"הכנסות  מלקוחות"</f>
        <v>הכנסות  מלקוחות</v>
      </c>
      <c r="AQ135" t="str">
        <f>"007"</f>
        <v>007</v>
      </c>
      <c r="AR135">
        <v>0</v>
      </c>
      <c r="AS135">
        <v>0</v>
      </c>
      <c r="AT135">
        <v>3.8439999999999999</v>
      </c>
      <c r="AX135" t="str">
        <f>"E000397967"</f>
        <v>E000397967</v>
      </c>
      <c r="BD135" t="str">
        <f>"רוני דידי"</f>
        <v>רוני דידי</v>
      </c>
    </row>
    <row r="136" spans="1:56" x14ac:dyDescent="0.3">
      <c r="A136" s="1">
        <v>45179</v>
      </c>
      <c r="B136" t="str">
        <f>"SI236001221"</f>
        <v>SI236001221</v>
      </c>
      <c r="C136" t="str">
        <f>"PR23000644"</f>
        <v>PR23000644</v>
      </c>
      <c r="E136" t="str">
        <f>"Y"</f>
        <v>Y</v>
      </c>
      <c r="F136" t="str">
        <f>"חשבוניות מרכזות"</f>
        <v>חשבוניות מרכזות</v>
      </c>
      <c r="G136" t="str">
        <f>"700065"</f>
        <v>700065</v>
      </c>
      <c r="H136" t="str">
        <f>"אלתא מערכות בע""מ"</f>
        <v>אלתא מערכות בע"מ</v>
      </c>
      <c r="I136" t="str">
        <f>"10"</f>
        <v>10</v>
      </c>
      <c r="J136" t="str">
        <f>"PD0300044"</f>
        <v>PD0300044</v>
      </c>
      <c r="K136" t="str">
        <f>"רב מודד  SATEC PM135E"</f>
        <v>רב מודד  SATEC PM135E</v>
      </c>
      <c r="L136">
        <v>1</v>
      </c>
      <c r="M136" t="str">
        <f>"יח"</f>
        <v>יח</v>
      </c>
      <c r="N136">
        <v>1</v>
      </c>
      <c r="O136" t="str">
        <f>"יח"</f>
        <v>יח</v>
      </c>
      <c r="P136">
        <v>240</v>
      </c>
      <c r="Q136" t="str">
        <f>"$"</f>
        <v>$</v>
      </c>
      <c r="R136" t="str">
        <f>"הזמנה"</f>
        <v>הזמנה</v>
      </c>
      <c r="S136">
        <v>0</v>
      </c>
      <c r="T136">
        <v>240</v>
      </c>
      <c r="U136">
        <v>0</v>
      </c>
      <c r="V136">
        <v>240</v>
      </c>
      <c r="W136" t="str">
        <f>"$"</f>
        <v>$</v>
      </c>
      <c r="X136">
        <v>0</v>
      </c>
      <c r="Y136">
        <v>0</v>
      </c>
      <c r="Z136">
        <v>0</v>
      </c>
      <c r="AA136" t="str">
        <f>"Y"</f>
        <v>Y</v>
      </c>
      <c r="AB136" t="str">
        <f>"SO23000421"</f>
        <v>SO23000421</v>
      </c>
      <c r="AC136">
        <v>1</v>
      </c>
      <c r="AD136" s="1">
        <v>45168</v>
      </c>
      <c r="AE136" t="str">
        <f>"SH23001123"</f>
        <v>SH23001123</v>
      </c>
      <c r="AF136" t="str">
        <f>"משלוחים ללקוח"</f>
        <v>משלוחים ללקוח</v>
      </c>
      <c r="AG136" s="1">
        <v>45168</v>
      </c>
      <c r="AM136" t="str">
        <f>"10"</f>
        <v>10</v>
      </c>
      <c r="AN136" t="str">
        <f>"500000"</f>
        <v>500000</v>
      </c>
      <c r="AO136" t="str">
        <f>"הכנסות  מלקוחות"</f>
        <v>הכנסות  מלקוחות</v>
      </c>
      <c r="AQ136" t="str">
        <f>"034"</f>
        <v>034</v>
      </c>
      <c r="AR136">
        <v>0</v>
      </c>
      <c r="AS136">
        <v>0</v>
      </c>
      <c r="AT136">
        <v>3.8439999999999999</v>
      </c>
      <c r="AX136" t="str">
        <f>"E000404031"</f>
        <v>E000404031</v>
      </c>
      <c r="BD136" t="str">
        <f>"ערן שלו"</f>
        <v>ערן שלו</v>
      </c>
    </row>
    <row r="137" spans="1:56" x14ac:dyDescent="0.3">
      <c r="A137" s="1">
        <v>45179</v>
      </c>
      <c r="B137" t="str">
        <f>"SI236001221"</f>
        <v>SI236001221</v>
      </c>
      <c r="C137" t="str">
        <f>"PR23000644"</f>
        <v>PR23000644</v>
      </c>
      <c r="E137" t="str">
        <f>"Y"</f>
        <v>Y</v>
      </c>
      <c r="F137" t="str">
        <f>"חשבוניות מרכזות"</f>
        <v>חשבוניות מרכזות</v>
      </c>
      <c r="G137" t="str">
        <f>"700065"</f>
        <v>700065</v>
      </c>
      <c r="H137" t="str">
        <f>"אלתא מערכות בע""מ"</f>
        <v>אלתא מערכות בע"מ</v>
      </c>
      <c r="I137" t="str">
        <f>"10"</f>
        <v>10</v>
      </c>
      <c r="J137" t="str">
        <f>"PA9965825"</f>
        <v>PA9965825</v>
      </c>
      <c r="K137" t="str">
        <f>"גלאי עשן TFO480 + בסיס ממסר פקוד TFB180RL צבע לבן W"</f>
        <v>גלאי עשן TFO480 + בסיס ממסר פקוד TFB180RL צבע לבן W</v>
      </c>
      <c r="L137">
        <v>2</v>
      </c>
      <c r="M137" t="str">
        <f>"יח"</f>
        <v>יח</v>
      </c>
      <c r="N137">
        <v>2</v>
      </c>
      <c r="O137" t="str">
        <f>"יח"</f>
        <v>יח</v>
      </c>
      <c r="P137">
        <v>100</v>
      </c>
      <c r="Q137" t="str">
        <f>"$"</f>
        <v>$</v>
      </c>
      <c r="R137" t="str">
        <f>"הזמנה"</f>
        <v>הזמנה</v>
      </c>
      <c r="S137">
        <v>0</v>
      </c>
      <c r="T137">
        <v>200</v>
      </c>
      <c r="U137">
        <v>0</v>
      </c>
      <c r="V137">
        <v>200</v>
      </c>
      <c r="W137" t="str">
        <f>"$"</f>
        <v>$</v>
      </c>
      <c r="X137">
        <v>0</v>
      </c>
      <c r="Y137">
        <v>0</v>
      </c>
      <c r="Z137">
        <v>0</v>
      </c>
      <c r="AA137" t="str">
        <f>"Y"</f>
        <v>Y</v>
      </c>
      <c r="AB137" t="str">
        <f>"SO23000421"</f>
        <v>SO23000421</v>
      </c>
      <c r="AC137">
        <v>2</v>
      </c>
      <c r="AD137" s="1">
        <v>45168</v>
      </c>
      <c r="AE137" t="str">
        <f>"SH23001123"</f>
        <v>SH23001123</v>
      </c>
      <c r="AF137" t="str">
        <f>"משלוחים ללקוח"</f>
        <v>משלוחים ללקוח</v>
      </c>
      <c r="AG137" s="1">
        <v>45168</v>
      </c>
      <c r="AM137" t="str">
        <f>"10"</f>
        <v>10</v>
      </c>
      <c r="AN137" t="str">
        <f>"500000"</f>
        <v>500000</v>
      </c>
      <c r="AO137" t="str">
        <f>"הכנסות  מלקוחות"</f>
        <v>הכנסות  מלקוחות</v>
      </c>
      <c r="AQ137" t="str">
        <f>"034"</f>
        <v>034</v>
      </c>
      <c r="AR137">
        <v>0</v>
      </c>
      <c r="AS137">
        <v>0</v>
      </c>
      <c r="AT137">
        <v>3.8439999999999999</v>
      </c>
      <c r="AX137" t="str">
        <f>"E000404031"</f>
        <v>E000404031</v>
      </c>
      <c r="BD137" t="str">
        <f>"ערן שלו"</f>
        <v>ערן שלו</v>
      </c>
    </row>
    <row r="138" spans="1:56" x14ac:dyDescent="0.3">
      <c r="A138" s="1">
        <v>45176</v>
      </c>
      <c r="B138" t="str">
        <f>"SI236001229"</f>
        <v>SI236001229</v>
      </c>
      <c r="C138" t="str">
        <f>"PR23000330"</f>
        <v>PR23000330</v>
      </c>
      <c r="D138" t="str">
        <f>"PR23000330"</f>
        <v>PR23000330</v>
      </c>
      <c r="E138" t="str">
        <f>"Y"</f>
        <v>Y</v>
      </c>
      <c r="F138" t="str">
        <f>"חשבוניות מרכזות"</f>
        <v>חשבוניות מרכזות</v>
      </c>
      <c r="G138" t="str">
        <f>"700065"</f>
        <v>700065</v>
      </c>
      <c r="H138" t="str">
        <f>"אלתא מערכות בע""מ"</f>
        <v>אלתא מערכות בע"מ</v>
      </c>
      <c r="I138" t="str">
        <f>"15"</f>
        <v>15</v>
      </c>
      <c r="J138" t="str">
        <f>"OP-AR03645"</f>
        <v>OP-AR03645</v>
      </c>
      <c r="K138" t="str">
        <f>"3034F650-001    HARNESS W650 - MTX TO FRONT END LEFT"</f>
        <v>3034F650-001    HARNESS W650 - MTX TO FRONT END LEFT</v>
      </c>
      <c r="L138">
        <v>4</v>
      </c>
      <c r="M138" t="str">
        <f>"יח"</f>
        <v>יח</v>
      </c>
      <c r="N138">
        <v>4</v>
      </c>
      <c r="O138" t="str">
        <f>"יח"</f>
        <v>יח</v>
      </c>
      <c r="P138">
        <v>607.65</v>
      </c>
      <c r="Q138" t="str">
        <f>"$"</f>
        <v>$</v>
      </c>
      <c r="R138" t="str">
        <f>"הזמנה"</f>
        <v>הזמנה</v>
      </c>
      <c r="S138">
        <v>0</v>
      </c>
      <c r="T138" s="2">
        <v>2430.6</v>
      </c>
      <c r="U138">
        <v>0</v>
      </c>
      <c r="V138" s="2">
        <v>2430.6</v>
      </c>
      <c r="W138" t="str">
        <f>"$"</f>
        <v>$</v>
      </c>
      <c r="X138">
        <v>0</v>
      </c>
      <c r="Y138">
        <v>0</v>
      </c>
      <c r="Z138">
        <v>0</v>
      </c>
      <c r="AA138" t="str">
        <f>"Y"</f>
        <v>Y</v>
      </c>
      <c r="AB138" t="str">
        <f>"SO23000236"</f>
        <v>SO23000236</v>
      </c>
      <c r="AC138">
        <v>1</v>
      </c>
      <c r="AD138" s="1">
        <v>45062</v>
      </c>
      <c r="AE138" t="str">
        <f>"SH23001092"</f>
        <v>SH23001092</v>
      </c>
      <c r="AF138" t="str">
        <f>"משלוחים ללקוח"</f>
        <v>משלוחים ללקוח</v>
      </c>
      <c r="AG138" s="1">
        <v>45160</v>
      </c>
      <c r="AM138" t="str">
        <f>"10"</f>
        <v>10</v>
      </c>
      <c r="AN138" t="str">
        <f>"500000"</f>
        <v>500000</v>
      </c>
      <c r="AO138" t="str">
        <f>"הכנסות  מלקוחות"</f>
        <v>הכנסות  מלקוחות</v>
      </c>
      <c r="AQ138" t="str">
        <f>"040"</f>
        <v>040</v>
      </c>
      <c r="AR138">
        <v>0</v>
      </c>
      <c r="AS138">
        <v>0</v>
      </c>
      <c r="AT138">
        <v>3.8479999999999999</v>
      </c>
      <c r="AX138" t="str">
        <f>"E000393939"</f>
        <v>E000393939</v>
      </c>
      <c r="BD138" t="str">
        <f>"רחמים זרוק"</f>
        <v>רחמים זרוק</v>
      </c>
    </row>
    <row r="139" spans="1:56" x14ac:dyDescent="0.3">
      <c r="A139" s="1">
        <v>45176</v>
      </c>
      <c r="B139" t="str">
        <f>"SI236001228"</f>
        <v>SI236001228</v>
      </c>
      <c r="C139" t="str">
        <f>"PR23000328"</f>
        <v>PR23000328</v>
      </c>
      <c r="D139" t="str">
        <f>"PR23000328"</f>
        <v>PR23000328</v>
      </c>
      <c r="E139" t="str">
        <f>"Y"</f>
        <v>Y</v>
      </c>
      <c r="F139" t="str">
        <f>"חשבוניות מרכזות"</f>
        <v>חשבוניות מרכזות</v>
      </c>
      <c r="G139" t="str">
        <f>"700065"</f>
        <v>700065</v>
      </c>
      <c r="H139" t="str">
        <f>"אלתא מערכות בע""מ"</f>
        <v>אלתא מערכות בע"מ</v>
      </c>
      <c r="I139" t="str">
        <f>"15"</f>
        <v>15</v>
      </c>
      <c r="J139" t="str">
        <f>"OP-AR03643"</f>
        <v>OP-AR03643</v>
      </c>
      <c r="K139" t="str">
        <f>"4043B337-001    HARNESS W237 - FAN COOLING TRAY ASSY"</f>
        <v>4043B337-001    HARNESS W237 - FAN COOLING TRAY ASSY</v>
      </c>
      <c r="L139">
        <v>2</v>
      </c>
      <c r="M139" t="str">
        <f>"יח"</f>
        <v>יח</v>
      </c>
      <c r="N139">
        <v>2</v>
      </c>
      <c r="O139" t="str">
        <f>"יח"</f>
        <v>יח</v>
      </c>
      <c r="P139">
        <v>177.2</v>
      </c>
      <c r="Q139" t="str">
        <f>"$"</f>
        <v>$</v>
      </c>
      <c r="R139" t="str">
        <f>"הזמנה"</f>
        <v>הזמנה</v>
      </c>
      <c r="S139">
        <v>0</v>
      </c>
      <c r="T139">
        <v>354.4</v>
      </c>
      <c r="U139">
        <v>0</v>
      </c>
      <c r="V139">
        <v>354.4</v>
      </c>
      <c r="W139" t="str">
        <f>"$"</f>
        <v>$</v>
      </c>
      <c r="X139">
        <v>0</v>
      </c>
      <c r="Y139">
        <v>0</v>
      </c>
      <c r="Z139">
        <v>0</v>
      </c>
      <c r="AA139" t="str">
        <f>"Y"</f>
        <v>Y</v>
      </c>
      <c r="AB139" t="str">
        <f>"SO23000234"</f>
        <v>SO23000234</v>
      </c>
      <c r="AC139">
        <v>2</v>
      </c>
      <c r="AD139" s="1">
        <v>45061</v>
      </c>
      <c r="AE139" t="str">
        <f>"SH23001093"</f>
        <v>SH23001093</v>
      </c>
      <c r="AF139" t="str">
        <f>"משלוחים ללקוח"</f>
        <v>משלוחים ללקוח</v>
      </c>
      <c r="AG139" s="1">
        <v>45160</v>
      </c>
      <c r="AM139" t="str">
        <f>"10"</f>
        <v>10</v>
      </c>
      <c r="AN139" t="str">
        <f>"500000"</f>
        <v>500000</v>
      </c>
      <c r="AO139" t="str">
        <f>"הכנסות  מלקוחות"</f>
        <v>הכנסות  מלקוחות</v>
      </c>
      <c r="AQ139" t="str">
        <f>"040"</f>
        <v>040</v>
      </c>
      <c r="AR139">
        <v>0</v>
      </c>
      <c r="AS139">
        <v>0</v>
      </c>
      <c r="AT139">
        <v>3.8479999999999999</v>
      </c>
      <c r="AX139" t="str">
        <f>"E000393611"</f>
        <v>E000393611</v>
      </c>
      <c r="BD139" t="str">
        <f>"רחמים זרוק"</f>
        <v>רחמים זרוק</v>
      </c>
    </row>
    <row r="140" spans="1:56" x14ac:dyDescent="0.3">
      <c r="A140" s="1">
        <v>45176</v>
      </c>
      <c r="B140" t="str">
        <f>"SI236001227"</f>
        <v>SI236001227</v>
      </c>
      <c r="C140" t="str">
        <f>"PR23000328"</f>
        <v>PR23000328</v>
      </c>
      <c r="D140" t="str">
        <f>"PR23000328"</f>
        <v>PR23000328</v>
      </c>
      <c r="E140" t="str">
        <f>"Y"</f>
        <v>Y</v>
      </c>
      <c r="F140" t="str">
        <f>"חשבוניות מרכזות"</f>
        <v>חשבוניות מרכזות</v>
      </c>
      <c r="G140" t="str">
        <f>"700065"</f>
        <v>700065</v>
      </c>
      <c r="H140" t="str">
        <f>"אלתא מערכות בע""מ"</f>
        <v>אלתא מערכות בע"מ</v>
      </c>
      <c r="I140" t="str">
        <f>"15"</f>
        <v>15</v>
      </c>
      <c r="J140" t="str">
        <f>"OP-AR03642"</f>
        <v>OP-AR03642</v>
      </c>
      <c r="K140" t="str">
        <f>"2024E105-001    DCS TEST CABLE"</f>
        <v>2024E105-001    DCS TEST CABLE</v>
      </c>
      <c r="L140">
        <v>2</v>
      </c>
      <c r="M140" t="str">
        <f>"יח"</f>
        <v>יח</v>
      </c>
      <c r="N140">
        <v>2</v>
      </c>
      <c r="O140" t="str">
        <f>"יח"</f>
        <v>יח</v>
      </c>
      <c r="P140">
        <v>362.11</v>
      </c>
      <c r="Q140" t="str">
        <f>"$"</f>
        <v>$</v>
      </c>
      <c r="R140" t="str">
        <f>"הזמנה"</f>
        <v>הזמנה</v>
      </c>
      <c r="S140">
        <v>0</v>
      </c>
      <c r="T140">
        <v>724.22</v>
      </c>
      <c r="U140">
        <v>0</v>
      </c>
      <c r="V140">
        <v>724.22</v>
      </c>
      <c r="W140" t="str">
        <f>"$"</f>
        <v>$</v>
      </c>
      <c r="X140">
        <v>0</v>
      </c>
      <c r="Y140">
        <v>0</v>
      </c>
      <c r="Z140">
        <v>0</v>
      </c>
      <c r="AA140" t="str">
        <f>"Y"</f>
        <v>Y</v>
      </c>
      <c r="AB140" t="str">
        <f>"SO23000234"</f>
        <v>SO23000234</v>
      </c>
      <c r="AC140">
        <v>1</v>
      </c>
      <c r="AD140" s="1">
        <v>45061</v>
      </c>
      <c r="AE140" t="str">
        <f>"SH23001000"</f>
        <v>SH23001000</v>
      </c>
      <c r="AF140" t="str">
        <f>"משלוחים ללקוח"</f>
        <v>משלוחים ללקוח</v>
      </c>
      <c r="AG140" s="1">
        <v>45144</v>
      </c>
      <c r="AM140" t="str">
        <f>"10"</f>
        <v>10</v>
      </c>
      <c r="AN140" t="str">
        <f>"500000"</f>
        <v>500000</v>
      </c>
      <c r="AO140" t="str">
        <f>"הכנסות  מלקוחות"</f>
        <v>הכנסות  מלקוחות</v>
      </c>
      <c r="AQ140" t="str">
        <f>"040"</f>
        <v>040</v>
      </c>
      <c r="AR140">
        <v>0</v>
      </c>
      <c r="AS140">
        <v>0</v>
      </c>
      <c r="AT140">
        <v>3.8479999999999999</v>
      </c>
      <c r="AX140" t="str">
        <f>"E000393611"</f>
        <v>E000393611</v>
      </c>
      <c r="BD140" t="str">
        <f>"רחמים זרוק"</f>
        <v>רחמים זרוק</v>
      </c>
    </row>
    <row r="141" spans="1:56" x14ac:dyDescent="0.3">
      <c r="A141" s="1">
        <v>45176</v>
      </c>
      <c r="B141" t="str">
        <f>"SI236001227"</f>
        <v>SI236001227</v>
      </c>
      <c r="C141" t="str">
        <f>"PR23000328"</f>
        <v>PR23000328</v>
      </c>
      <c r="D141" t="str">
        <f>"PR23000328"</f>
        <v>PR23000328</v>
      </c>
      <c r="E141" t="str">
        <f>"Y"</f>
        <v>Y</v>
      </c>
      <c r="F141" t="str">
        <f>"חשבוניות מרכזות"</f>
        <v>חשבוניות מרכזות</v>
      </c>
      <c r="G141" t="str">
        <f>"700065"</f>
        <v>700065</v>
      </c>
      <c r="H141" t="str">
        <f>"אלתא מערכות בע""מ"</f>
        <v>אלתא מערכות בע"מ</v>
      </c>
      <c r="I141" t="str">
        <f>"15"</f>
        <v>15</v>
      </c>
      <c r="J141" t="str">
        <f>"OP-AR03644"</f>
        <v>OP-AR03644</v>
      </c>
      <c r="K141" t="str">
        <f>"4043B628-001    CABLE TRU KEY LOADER"</f>
        <v>4043B628-001    CABLE TRU KEY LOADER</v>
      </c>
      <c r="L141">
        <v>5</v>
      </c>
      <c r="M141" t="str">
        <f>"יח"</f>
        <v>יח</v>
      </c>
      <c r="N141">
        <v>5</v>
      </c>
      <c r="O141" t="str">
        <f>"יח"</f>
        <v>יח</v>
      </c>
      <c r="P141">
        <v>270.01</v>
      </c>
      <c r="Q141" t="str">
        <f>"$"</f>
        <v>$</v>
      </c>
      <c r="R141" t="str">
        <f>"הזמנה"</f>
        <v>הזמנה</v>
      </c>
      <c r="S141">
        <v>0</v>
      </c>
      <c r="T141" s="2">
        <v>1350.05</v>
      </c>
      <c r="U141">
        <v>0</v>
      </c>
      <c r="V141" s="2">
        <v>1350.05</v>
      </c>
      <c r="W141" t="str">
        <f>"$"</f>
        <v>$</v>
      </c>
      <c r="X141">
        <v>0</v>
      </c>
      <c r="Y141">
        <v>0</v>
      </c>
      <c r="Z141">
        <v>0</v>
      </c>
      <c r="AA141" t="str">
        <f>"Y"</f>
        <v>Y</v>
      </c>
      <c r="AB141" t="str">
        <f>"SO23000234"</f>
        <v>SO23000234</v>
      </c>
      <c r="AC141">
        <v>3</v>
      </c>
      <c r="AD141" s="1">
        <v>45061</v>
      </c>
      <c r="AE141" t="str">
        <f>"SH23001000"</f>
        <v>SH23001000</v>
      </c>
      <c r="AF141" t="str">
        <f>"משלוחים ללקוח"</f>
        <v>משלוחים ללקוח</v>
      </c>
      <c r="AG141" s="1">
        <v>45144</v>
      </c>
      <c r="AM141" t="str">
        <f>"10"</f>
        <v>10</v>
      </c>
      <c r="AN141" t="str">
        <f>"500000"</f>
        <v>500000</v>
      </c>
      <c r="AO141" t="str">
        <f>"הכנסות  מלקוחות"</f>
        <v>הכנסות  מלקוחות</v>
      </c>
      <c r="AQ141" t="str">
        <f>"040"</f>
        <v>040</v>
      </c>
      <c r="AR141">
        <v>0</v>
      </c>
      <c r="AS141">
        <v>0</v>
      </c>
      <c r="AT141">
        <v>3.8479999999999999</v>
      </c>
      <c r="AX141" t="str">
        <f>"E000393611"</f>
        <v>E000393611</v>
      </c>
      <c r="BD141" t="str">
        <f>"רחמים זרוק"</f>
        <v>רחמים זרוק</v>
      </c>
    </row>
    <row r="142" spans="1:56" x14ac:dyDescent="0.3">
      <c r="A142" s="1">
        <v>45176</v>
      </c>
      <c r="B142" t="str">
        <f>"SI236001226"</f>
        <v>SI236001226</v>
      </c>
      <c r="C142" t="str">
        <f>"PR23000433"</f>
        <v>PR23000433</v>
      </c>
      <c r="D142" t="str">
        <f>"PR23000433"</f>
        <v>PR23000433</v>
      </c>
      <c r="E142" t="str">
        <f>"Y"</f>
        <v>Y</v>
      </c>
      <c r="F142" t="str">
        <f>"חשבוניות מרכזות"</f>
        <v>חשבוניות מרכזות</v>
      </c>
      <c r="G142" t="str">
        <f>"700065"</f>
        <v>700065</v>
      </c>
      <c r="H142" t="str">
        <f>"אלתא מערכות בע""מ"</f>
        <v>אלתא מערכות בע"מ</v>
      </c>
      <c r="I142" t="str">
        <f>"15"</f>
        <v>15</v>
      </c>
      <c r="J142" t="str">
        <f>"OP-AR03715"</f>
        <v>OP-AR03715</v>
      </c>
      <c r="K142" t="str">
        <f>"4080H426-001    ETHERNET CABLE WS426 - LS1 TO LS2 - 1G"</f>
        <v>4080H426-001    ETHERNET CABLE WS426 - LS1 TO LS2 - 1G</v>
      </c>
      <c r="L142">
        <v>1</v>
      </c>
      <c r="M142" t="str">
        <f>"יח"</f>
        <v>יח</v>
      </c>
      <c r="N142">
        <v>1</v>
      </c>
      <c r="O142" t="str">
        <f>"יח"</f>
        <v>יח</v>
      </c>
      <c r="P142">
        <v>139.32</v>
      </c>
      <c r="Q142" t="str">
        <f>"$"</f>
        <v>$</v>
      </c>
      <c r="R142" t="str">
        <f>"הזמנה"</f>
        <v>הזמנה</v>
      </c>
      <c r="S142">
        <v>0</v>
      </c>
      <c r="T142">
        <v>139.32</v>
      </c>
      <c r="U142">
        <v>0</v>
      </c>
      <c r="V142">
        <v>139.32</v>
      </c>
      <c r="W142" t="str">
        <f>"$"</f>
        <v>$</v>
      </c>
      <c r="X142">
        <v>0</v>
      </c>
      <c r="Y142">
        <v>0</v>
      </c>
      <c r="Z142">
        <v>0</v>
      </c>
      <c r="AA142" t="str">
        <f>"Y"</f>
        <v>Y</v>
      </c>
      <c r="AB142" t="str">
        <f>"SO23000307"</f>
        <v>SO23000307</v>
      </c>
      <c r="AC142">
        <v>46</v>
      </c>
      <c r="AD142" s="1">
        <v>45109</v>
      </c>
      <c r="AE142" t="str">
        <f>"SH23001087"</f>
        <v>SH23001087</v>
      </c>
      <c r="AF142" t="str">
        <f>"משלוחים ללקוח"</f>
        <v>משלוחים ללקוח</v>
      </c>
      <c r="AG142" s="1">
        <v>45160</v>
      </c>
      <c r="AM142" t="str">
        <f>"10"</f>
        <v>10</v>
      </c>
      <c r="AN142" t="str">
        <f>"500000"</f>
        <v>500000</v>
      </c>
      <c r="AO142" t="str">
        <f>"הכנסות  מלקוחות"</f>
        <v>הכנסות  מלקוחות</v>
      </c>
      <c r="AQ142" t="str">
        <f>"040"</f>
        <v>040</v>
      </c>
      <c r="AR142">
        <v>0</v>
      </c>
      <c r="AS142">
        <v>0</v>
      </c>
      <c r="AT142">
        <v>3.8479999999999999</v>
      </c>
      <c r="AX142" t="str">
        <f>"E000397683"</f>
        <v>E000397683</v>
      </c>
      <c r="BD142" t="str">
        <f>"רחמים זרוק"</f>
        <v>רחמים זרוק</v>
      </c>
    </row>
    <row r="143" spans="1:56" x14ac:dyDescent="0.3">
      <c r="A143" s="1">
        <v>45176</v>
      </c>
      <c r="B143" t="str">
        <f>"SI236001226"</f>
        <v>SI236001226</v>
      </c>
      <c r="C143" t="str">
        <f>"PR23000433"</f>
        <v>PR23000433</v>
      </c>
      <c r="D143" t="str">
        <f>"PR23000433"</f>
        <v>PR23000433</v>
      </c>
      <c r="E143" t="str">
        <f>"Y"</f>
        <v>Y</v>
      </c>
      <c r="F143" t="str">
        <f>"חשבוניות מרכזות"</f>
        <v>חשבוניות מרכזות</v>
      </c>
      <c r="G143" t="str">
        <f>"700065"</f>
        <v>700065</v>
      </c>
      <c r="H143" t="str">
        <f>"אלתא מערכות בע""מ"</f>
        <v>אלתא מערכות בע"מ</v>
      </c>
      <c r="I143" t="str">
        <f>"15"</f>
        <v>15</v>
      </c>
      <c r="J143" t="str">
        <f>"OP-AR03715"</f>
        <v>OP-AR03715</v>
      </c>
      <c r="K143" t="str">
        <f>"4080H426-001    ETHERNET CABLE WS426 - LS1 TO LS2 - 1G"</f>
        <v>4080H426-001    ETHERNET CABLE WS426 - LS1 TO LS2 - 1G</v>
      </c>
      <c r="L143">
        <v>1</v>
      </c>
      <c r="M143" t="str">
        <f>"יח"</f>
        <v>יח</v>
      </c>
      <c r="N143">
        <v>1</v>
      </c>
      <c r="O143" t="str">
        <f>"יח"</f>
        <v>יח</v>
      </c>
      <c r="P143">
        <v>139.32</v>
      </c>
      <c r="Q143" t="str">
        <f>"$"</f>
        <v>$</v>
      </c>
      <c r="R143" t="str">
        <f>"הזמנה"</f>
        <v>הזמנה</v>
      </c>
      <c r="S143">
        <v>0</v>
      </c>
      <c r="T143">
        <v>139.32</v>
      </c>
      <c r="U143">
        <v>0</v>
      </c>
      <c r="V143">
        <v>139.32</v>
      </c>
      <c r="W143" t="str">
        <f>"$"</f>
        <v>$</v>
      </c>
      <c r="X143">
        <v>0</v>
      </c>
      <c r="Y143">
        <v>0</v>
      </c>
      <c r="Z143">
        <v>0</v>
      </c>
      <c r="AA143" t="str">
        <f>"Y"</f>
        <v>Y</v>
      </c>
      <c r="AB143" t="str">
        <f>"SO23000307"</f>
        <v>SO23000307</v>
      </c>
      <c r="AC143">
        <v>47</v>
      </c>
      <c r="AD143" s="1">
        <v>45109</v>
      </c>
      <c r="AE143" t="str">
        <f>"SH23001087"</f>
        <v>SH23001087</v>
      </c>
      <c r="AF143" t="str">
        <f>"משלוחים ללקוח"</f>
        <v>משלוחים ללקוח</v>
      </c>
      <c r="AG143" s="1">
        <v>45160</v>
      </c>
      <c r="AM143" t="str">
        <f>"10"</f>
        <v>10</v>
      </c>
      <c r="AN143" t="str">
        <f>"500000"</f>
        <v>500000</v>
      </c>
      <c r="AO143" t="str">
        <f>"הכנסות  מלקוחות"</f>
        <v>הכנסות  מלקוחות</v>
      </c>
      <c r="AQ143" t="str">
        <f>"040"</f>
        <v>040</v>
      </c>
      <c r="AR143">
        <v>0</v>
      </c>
      <c r="AS143">
        <v>0</v>
      </c>
      <c r="AT143">
        <v>3.8479999999999999</v>
      </c>
      <c r="AX143" t="str">
        <f>"E000397683"</f>
        <v>E000397683</v>
      </c>
      <c r="BD143" t="str">
        <f>"רחמים זרוק"</f>
        <v>רחמים זרוק</v>
      </c>
    </row>
    <row r="144" spans="1:56" x14ac:dyDescent="0.3">
      <c r="A144" s="1">
        <v>45175</v>
      </c>
      <c r="B144" t="str">
        <f>"SI236001340"</f>
        <v>SI236001340</v>
      </c>
      <c r="C144" t="str">
        <f>"PR22000915"</f>
        <v>PR22000915</v>
      </c>
      <c r="E144" t="str">
        <f>"Y"</f>
        <v>Y</v>
      </c>
      <c r="F144" t="str">
        <f>"חשבוניות מרכזות"</f>
        <v>חשבוניות מרכזות</v>
      </c>
      <c r="G144" t="str">
        <f>"700065"</f>
        <v>700065</v>
      </c>
      <c r="H144" t="str">
        <f>"אלתא מערכות בע""מ"</f>
        <v>אלתא מערכות בע"מ</v>
      </c>
      <c r="I144" t="str">
        <f>"10"</f>
        <v>10</v>
      </c>
      <c r="J144" t="str">
        <f>"OP-ML00220"</f>
        <v>OP-ML00220</v>
      </c>
      <c r="K144" t="str">
        <f>"BATTERY DISCONNECT BOX"</f>
        <v>BATTERY DISCONNECT BOX</v>
      </c>
      <c r="L144">
        <v>1</v>
      </c>
      <c r="M144" t="str">
        <f>"יח"</f>
        <v>יח</v>
      </c>
      <c r="N144">
        <v>1</v>
      </c>
      <c r="O144" t="str">
        <f>"יח"</f>
        <v>יח</v>
      </c>
      <c r="P144" s="2">
        <v>5599</v>
      </c>
      <c r="Q144" t="str">
        <f>"$"</f>
        <v>$</v>
      </c>
      <c r="R144" t="str">
        <f>"הזמנה"</f>
        <v>הזמנה</v>
      </c>
      <c r="S144">
        <v>0</v>
      </c>
      <c r="T144" s="2">
        <v>5599</v>
      </c>
      <c r="U144">
        <v>0</v>
      </c>
      <c r="V144" s="2">
        <v>5599</v>
      </c>
      <c r="W144" t="str">
        <f>"$"</f>
        <v>$</v>
      </c>
      <c r="X144">
        <v>0</v>
      </c>
      <c r="Y144">
        <v>0</v>
      </c>
      <c r="Z144">
        <v>0</v>
      </c>
      <c r="AA144" t="str">
        <f>"Y"</f>
        <v>Y</v>
      </c>
      <c r="AB144" t="str">
        <f>"SO22000483"</f>
        <v>SO22000483</v>
      </c>
      <c r="AC144">
        <v>2</v>
      </c>
      <c r="AD144" s="1">
        <v>44921</v>
      </c>
      <c r="AE144" t="str">
        <f>"SH23001161"</f>
        <v>SH23001161</v>
      </c>
      <c r="AF144" t="str">
        <f>"משלוחים ללקוח"</f>
        <v>משלוחים ללקוח</v>
      </c>
      <c r="AG144" s="1">
        <v>45175</v>
      </c>
      <c r="AM144" t="str">
        <f>"10"</f>
        <v>10</v>
      </c>
      <c r="AN144" t="str">
        <f>"500000"</f>
        <v>500000</v>
      </c>
      <c r="AO144" t="str">
        <f>"הכנסות  מלקוחות"</f>
        <v>הכנסות  מלקוחות</v>
      </c>
      <c r="AQ144" t="str">
        <f>"034"</f>
        <v>034</v>
      </c>
      <c r="AR144">
        <v>0</v>
      </c>
      <c r="AS144">
        <v>0</v>
      </c>
      <c r="AT144">
        <v>3.8079999999999998</v>
      </c>
      <c r="AX144" t="str">
        <f>"E000381570"</f>
        <v>E000381570</v>
      </c>
      <c r="BD144" t="str">
        <f>"ערן שלו"</f>
        <v>ערן שלו</v>
      </c>
    </row>
    <row r="145" spans="1:56" x14ac:dyDescent="0.3">
      <c r="A145" s="1">
        <v>45175</v>
      </c>
      <c r="B145" t="str">
        <f>"SI236001340"</f>
        <v>SI236001340</v>
      </c>
      <c r="C145" t="str">
        <f>"PR22000915"</f>
        <v>PR22000915</v>
      </c>
      <c r="E145" t="str">
        <f>"Y"</f>
        <v>Y</v>
      </c>
      <c r="F145" t="str">
        <f>"חשבוניות מרכזות"</f>
        <v>חשבוניות מרכזות</v>
      </c>
      <c r="G145" t="str">
        <f>"700065"</f>
        <v>700065</v>
      </c>
      <c r="H145" t="str">
        <f>"אלתא מערכות בע""מ"</f>
        <v>אלתא מערכות בע"מ</v>
      </c>
      <c r="I145" t="str">
        <f>"10"</f>
        <v>10</v>
      </c>
      <c r="J145" t="str">
        <f>"OP-ML00220"</f>
        <v>OP-ML00220</v>
      </c>
      <c r="K145" t="str">
        <f>"BATTERY DISCONNECT BOX"</f>
        <v>BATTERY DISCONNECT BOX</v>
      </c>
      <c r="L145">
        <v>1</v>
      </c>
      <c r="M145" t="str">
        <f>"יח"</f>
        <v>יח</v>
      </c>
      <c r="N145">
        <v>1</v>
      </c>
      <c r="O145" t="str">
        <f>"יח"</f>
        <v>יח</v>
      </c>
      <c r="P145" s="2">
        <v>5599</v>
      </c>
      <c r="Q145" t="str">
        <f>"$"</f>
        <v>$</v>
      </c>
      <c r="R145" t="str">
        <f>"הזמנה"</f>
        <v>הזמנה</v>
      </c>
      <c r="S145">
        <v>0</v>
      </c>
      <c r="T145" s="2">
        <v>5599</v>
      </c>
      <c r="U145">
        <v>0</v>
      </c>
      <c r="V145" s="2">
        <v>5599</v>
      </c>
      <c r="W145" t="str">
        <f>"$"</f>
        <v>$</v>
      </c>
      <c r="X145">
        <v>0</v>
      </c>
      <c r="Y145">
        <v>0</v>
      </c>
      <c r="Z145">
        <v>0</v>
      </c>
      <c r="AA145" t="str">
        <f>"Y"</f>
        <v>Y</v>
      </c>
      <c r="AB145" t="str">
        <f>"SO22000483"</f>
        <v>SO22000483</v>
      </c>
      <c r="AC145">
        <v>4</v>
      </c>
      <c r="AD145" s="1">
        <v>44921</v>
      </c>
      <c r="AE145" t="str">
        <f>"SH23001161"</f>
        <v>SH23001161</v>
      </c>
      <c r="AF145" t="str">
        <f>"משלוחים ללקוח"</f>
        <v>משלוחים ללקוח</v>
      </c>
      <c r="AG145" s="1">
        <v>45175</v>
      </c>
      <c r="AM145" t="str">
        <f>"10"</f>
        <v>10</v>
      </c>
      <c r="AN145" t="str">
        <f>"500000"</f>
        <v>500000</v>
      </c>
      <c r="AO145" t="str">
        <f>"הכנסות  מלקוחות"</f>
        <v>הכנסות  מלקוחות</v>
      </c>
      <c r="AQ145" t="str">
        <f>"034"</f>
        <v>034</v>
      </c>
      <c r="AR145">
        <v>0</v>
      </c>
      <c r="AS145">
        <v>0</v>
      </c>
      <c r="AT145">
        <v>3.8079999999999998</v>
      </c>
      <c r="AX145" t="str">
        <f>"E000381570"</f>
        <v>E000381570</v>
      </c>
      <c r="BD145" t="str">
        <f>"ערן שלו"</f>
        <v>ערן שלו</v>
      </c>
    </row>
    <row r="146" spans="1:56" x14ac:dyDescent="0.3">
      <c r="A146" s="1">
        <v>45175</v>
      </c>
      <c r="B146" t="str">
        <f>"SI236001206"</f>
        <v>SI236001206</v>
      </c>
      <c r="C146" t="str">
        <f>"PR22000149"</f>
        <v>PR22000149</v>
      </c>
      <c r="E146" t="str">
        <f>"Y"</f>
        <v>Y</v>
      </c>
      <c r="F146" t="str">
        <f>"חשבוניות מרכזות"</f>
        <v>חשבוניות מרכזות</v>
      </c>
      <c r="G146" t="str">
        <f>"700065"</f>
        <v>700065</v>
      </c>
      <c r="H146" t="str">
        <f>"אלתא מערכות בע""מ"</f>
        <v>אלתא מערכות בע"מ</v>
      </c>
      <c r="I146" t="str">
        <f>"10"</f>
        <v>10</v>
      </c>
      <c r="J146" t="str">
        <f>"OP-AR02041-1S"</f>
        <v>OP-AR02041-1S</v>
      </c>
      <c r="K146" t="str">
        <f>"SL PDB  1 1042A860-001"</f>
        <v>SL PDB  1 1042A860-001</v>
      </c>
      <c r="L146">
        <v>-1</v>
      </c>
      <c r="M146" t="str">
        <f>"יח"</f>
        <v>יח</v>
      </c>
      <c r="N146">
        <v>-1</v>
      </c>
      <c r="O146" t="str">
        <f>"יח"</f>
        <v>יח</v>
      </c>
      <c r="P146" s="2">
        <v>41000</v>
      </c>
      <c r="Q146" t="str">
        <f>"$"</f>
        <v>$</v>
      </c>
      <c r="R146" t="str">
        <f>"הזמנה"</f>
        <v>הזמנה</v>
      </c>
      <c r="S146">
        <v>0</v>
      </c>
      <c r="T146" s="2">
        <v>-41000</v>
      </c>
      <c r="U146">
        <v>0</v>
      </c>
      <c r="V146" s="2">
        <v>-41000</v>
      </c>
      <c r="W146" t="str">
        <f>"$"</f>
        <v>$</v>
      </c>
      <c r="X146">
        <v>0</v>
      </c>
      <c r="Y146">
        <v>0</v>
      </c>
      <c r="Z146">
        <v>0</v>
      </c>
      <c r="AA146" t="str">
        <f>"Y"</f>
        <v>Y</v>
      </c>
      <c r="AC146">
        <v>0</v>
      </c>
      <c r="AM146" t="str">
        <f>"10"</f>
        <v>10</v>
      </c>
      <c r="AN146" t="str">
        <f>"500000"</f>
        <v>500000</v>
      </c>
      <c r="AO146" t="str">
        <f>"הכנסות  מלקוחות"</f>
        <v>הכנסות  מלקוחות</v>
      </c>
      <c r="AQ146" t="str">
        <f>"007"</f>
        <v>007</v>
      </c>
      <c r="AR146">
        <v>0</v>
      </c>
      <c r="AS146">
        <v>0</v>
      </c>
      <c r="AT146">
        <v>3.609</v>
      </c>
      <c r="BB146" t="str">
        <f>"Y"</f>
        <v>Y</v>
      </c>
      <c r="BD146" t="str">
        <f>"רוני דידי"</f>
        <v>רוני דידי</v>
      </c>
    </row>
    <row r="147" spans="1:56" x14ac:dyDescent="0.3">
      <c r="A147" s="1">
        <v>45175</v>
      </c>
      <c r="B147" t="str">
        <f>"SI236001205"</f>
        <v>SI236001205</v>
      </c>
      <c r="C147" t="str">
        <f>"PR22000149"</f>
        <v>PR22000149</v>
      </c>
      <c r="E147" t="str">
        <f>"Y"</f>
        <v>Y</v>
      </c>
      <c r="F147" t="str">
        <f>"חשבוניות מרכזות"</f>
        <v>חשבוניות מרכזות</v>
      </c>
      <c r="G147" t="str">
        <f>"700065"</f>
        <v>700065</v>
      </c>
      <c r="H147" t="str">
        <f>"אלתא מערכות בע""מ"</f>
        <v>אלתא מערכות בע"מ</v>
      </c>
      <c r="I147" t="str">
        <f>"10"</f>
        <v>10</v>
      </c>
      <c r="J147" t="str">
        <f>"OP-AR02041-1S"</f>
        <v>OP-AR02041-1S</v>
      </c>
      <c r="K147" t="str">
        <f>"SL PDB  1 1042A860-001"</f>
        <v>SL PDB  1 1042A860-001</v>
      </c>
      <c r="L147">
        <v>1</v>
      </c>
      <c r="M147" t="str">
        <f>"יח"</f>
        <v>יח</v>
      </c>
      <c r="N147">
        <v>1</v>
      </c>
      <c r="O147" t="str">
        <f>"יח"</f>
        <v>יח</v>
      </c>
      <c r="P147" s="2">
        <v>41000</v>
      </c>
      <c r="Q147" t="str">
        <f>"$"</f>
        <v>$</v>
      </c>
      <c r="R147" t="str">
        <f>"הזמנה"</f>
        <v>הזמנה</v>
      </c>
      <c r="S147">
        <v>0</v>
      </c>
      <c r="T147" s="2">
        <v>41000</v>
      </c>
      <c r="U147">
        <v>0</v>
      </c>
      <c r="V147" s="2">
        <v>41000</v>
      </c>
      <c r="W147" t="str">
        <f>"$"</f>
        <v>$</v>
      </c>
      <c r="X147">
        <v>0</v>
      </c>
      <c r="Y147">
        <v>0</v>
      </c>
      <c r="Z147">
        <v>0</v>
      </c>
      <c r="AA147" t="str">
        <f>"Y"</f>
        <v>Y</v>
      </c>
      <c r="AC147">
        <v>0</v>
      </c>
      <c r="AM147" t="str">
        <f>"10"</f>
        <v>10</v>
      </c>
      <c r="AN147" t="str">
        <f>"500000"</f>
        <v>500000</v>
      </c>
      <c r="AO147" t="str">
        <f>"הכנסות  מלקוחות"</f>
        <v>הכנסות  מלקוחות</v>
      </c>
      <c r="AQ147" t="str">
        <f>"007"</f>
        <v>007</v>
      </c>
      <c r="AR147">
        <v>0</v>
      </c>
      <c r="AS147">
        <v>0</v>
      </c>
      <c r="AT147">
        <v>3.609</v>
      </c>
      <c r="BB147" t="str">
        <f>"Y"</f>
        <v>Y</v>
      </c>
      <c r="BD147" t="str">
        <f>"רוני דידי"</f>
        <v>רוני דידי</v>
      </c>
    </row>
    <row r="148" spans="1:56" x14ac:dyDescent="0.3">
      <c r="A148" s="1">
        <v>45175</v>
      </c>
      <c r="B148" t="str">
        <f>"SI236001204"</f>
        <v>SI236001204</v>
      </c>
      <c r="C148" t="str">
        <f>"PR22000148"</f>
        <v>PR22000148</v>
      </c>
      <c r="E148" t="str">
        <f>"Y"</f>
        <v>Y</v>
      </c>
      <c r="F148" t="str">
        <f>"חשבוניות מרכזות"</f>
        <v>חשבוניות מרכזות</v>
      </c>
      <c r="G148" t="str">
        <f>"700065"</f>
        <v>700065</v>
      </c>
      <c r="H148" t="str">
        <f>"אלתא מערכות בע""מ"</f>
        <v>אלתא מערכות בע"מ</v>
      </c>
      <c r="I148" t="str">
        <f>"10"</f>
        <v>10</v>
      </c>
      <c r="J148" t="str">
        <f>"OP-AR02041-1S"</f>
        <v>OP-AR02041-1S</v>
      </c>
      <c r="K148" t="str">
        <f>"SL PDB  1 1042A860-001"</f>
        <v>SL PDB  1 1042A860-001</v>
      </c>
      <c r="L148">
        <v>-1</v>
      </c>
      <c r="M148" t="str">
        <f>"יח"</f>
        <v>יח</v>
      </c>
      <c r="N148">
        <v>-1</v>
      </c>
      <c r="O148" t="str">
        <f>"יח"</f>
        <v>יח</v>
      </c>
      <c r="P148" s="2">
        <v>41000</v>
      </c>
      <c r="Q148" t="str">
        <f>"$"</f>
        <v>$</v>
      </c>
      <c r="R148" t="str">
        <f>"הזמנה"</f>
        <v>הזמנה</v>
      </c>
      <c r="S148">
        <v>0</v>
      </c>
      <c r="T148" s="2">
        <v>-41000</v>
      </c>
      <c r="U148">
        <v>0</v>
      </c>
      <c r="V148" s="2">
        <v>-41000</v>
      </c>
      <c r="W148" t="str">
        <f>"$"</f>
        <v>$</v>
      </c>
      <c r="X148">
        <v>0</v>
      </c>
      <c r="Y148">
        <v>0</v>
      </c>
      <c r="Z148">
        <v>0</v>
      </c>
      <c r="AA148" t="str">
        <f>"Y"</f>
        <v>Y</v>
      </c>
      <c r="AC148">
        <v>0</v>
      </c>
      <c r="AM148" t="str">
        <f>"10"</f>
        <v>10</v>
      </c>
      <c r="AN148" t="str">
        <f>"500000"</f>
        <v>500000</v>
      </c>
      <c r="AO148" t="str">
        <f>"הכנסות  מלקוחות"</f>
        <v>הכנסות  מלקוחות</v>
      </c>
      <c r="AQ148" t="str">
        <f>"007"</f>
        <v>007</v>
      </c>
      <c r="AR148">
        <v>0</v>
      </c>
      <c r="AS148">
        <v>0</v>
      </c>
      <c r="AT148">
        <v>3.7919999999999998</v>
      </c>
      <c r="BB148" t="str">
        <f>"Y"</f>
        <v>Y</v>
      </c>
      <c r="BD148" t="str">
        <f>"רוני דידי"</f>
        <v>רוני דידי</v>
      </c>
    </row>
    <row r="149" spans="1:56" x14ac:dyDescent="0.3">
      <c r="A149" s="1">
        <v>45175</v>
      </c>
      <c r="B149" t="str">
        <f>"SI236001203"</f>
        <v>SI236001203</v>
      </c>
      <c r="C149" t="str">
        <f>"PR22000148"</f>
        <v>PR22000148</v>
      </c>
      <c r="E149" t="str">
        <f>"Y"</f>
        <v>Y</v>
      </c>
      <c r="F149" t="str">
        <f>"חשבוניות מרכזות"</f>
        <v>חשבוניות מרכזות</v>
      </c>
      <c r="G149" t="str">
        <f>"700065"</f>
        <v>700065</v>
      </c>
      <c r="H149" t="str">
        <f>"אלתא מערכות בע""מ"</f>
        <v>אלתא מערכות בע"מ</v>
      </c>
      <c r="I149" t="str">
        <f>"10"</f>
        <v>10</v>
      </c>
      <c r="J149" t="str">
        <f>"OP-AR02041-1S"</f>
        <v>OP-AR02041-1S</v>
      </c>
      <c r="K149" t="str">
        <f>"SL PDB  1 1042A860-001"</f>
        <v>SL PDB  1 1042A860-001</v>
      </c>
      <c r="L149">
        <v>1</v>
      </c>
      <c r="M149" t="str">
        <f>"יח"</f>
        <v>יח</v>
      </c>
      <c r="N149">
        <v>1</v>
      </c>
      <c r="O149" t="str">
        <f>"יח"</f>
        <v>יח</v>
      </c>
      <c r="P149" s="2">
        <v>41000</v>
      </c>
      <c r="Q149" t="str">
        <f>"$"</f>
        <v>$</v>
      </c>
      <c r="R149" t="str">
        <f>"הזמנה"</f>
        <v>הזמנה</v>
      </c>
      <c r="S149">
        <v>0</v>
      </c>
      <c r="T149" s="2">
        <v>41000</v>
      </c>
      <c r="U149">
        <v>0</v>
      </c>
      <c r="V149" s="2">
        <v>41000</v>
      </c>
      <c r="W149" t="str">
        <f>"$"</f>
        <v>$</v>
      </c>
      <c r="X149">
        <v>0</v>
      </c>
      <c r="Y149">
        <v>0</v>
      </c>
      <c r="Z149">
        <v>0</v>
      </c>
      <c r="AA149" t="str">
        <f>"Y"</f>
        <v>Y</v>
      </c>
      <c r="AC149">
        <v>0</v>
      </c>
      <c r="AM149" t="str">
        <f>"10"</f>
        <v>10</v>
      </c>
      <c r="AN149" t="str">
        <f>"500000"</f>
        <v>500000</v>
      </c>
      <c r="AO149" t="str">
        <f>"הכנסות  מלקוחות"</f>
        <v>הכנסות  מלקוחות</v>
      </c>
      <c r="AQ149" t="str">
        <f>"007"</f>
        <v>007</v>
      </c>
      <c r="AR149">
        <v>0</v>
      </c>
      <c r="AS149">
        <v>0</v>
      </c>
      <c r="AT149">
        <v>3.7919999999999998</v>
      </c>
      <c r="BB149" t="str">
        <f>"Y"</f>
        <v>Y</v>
      </c>
      <c r="BD149" t="str">
        <f>"רוני דידי"</f>
        <v>רוני דידי</v>
      </c>
    </row>
    <row r="150" spans="1:56" x14ac:dyDescent="0.3">
      <c r="A150" s="1">
        <v>45174</v>
      </c>
      <c r="B150" t="str">
        <f>"SI236001220"</f>
        <v>SI236001220</v>
      </c>
      <c r="C150" t="str">
        <f>"PR23000644"</f>
        <v>PR23000644</v>
      </c>
      <c r="E150" t="str">
        <f>"Y"</f>
        <v>Y</v>
      </c>
      <c r="F150" t="str">
        <f>"חשבוניות מרכזות"</f>
        <v>חשבוניות מרכזות</v>
      </c>
      <c r="G150" t="str">
        <f>"700065"</f>
        <v>700065</v>
      </c>
      <c r="H150" t="str">
        <f>"אלתא מערכות בע""מ"</f>
        <v>אלתא מערכות בע"מ</v>
      </c>
      <c r="I150" t="str">
        <f>"10"</f>
        <v>10</v>
      </c>
      <c r="J150" t="str">
        <f>"PD0300044"</f>
        <v>PD0300044</v>
      </c>
      <c r="K150" t="str">
        <f>"רב מודד  SATEC PM135E"</f>
        <v>רב מודד  SATEC PM135E</v>
      </c>
      <c r="L150">
        <v>-1</v>
      </c>
      <c r="M150" t="str">
        <f>"יח"</f>
        <v>יח</v>
      </c>
      <c r="N150">
        <v>-1</v>
      </c>
      <c r="O150" t="str">
        <f>"יח"</f>
        <v>יח</v>
      </c>
      <c r="P150">
        <v>240</v>
      </c>
      <c r="Q150" t="str">
        <f>"$"</f>
        <v>$</v>
      </c>
      <c r="R150" t="str">
        <f>"הזמנה"</f>
        <v>הזמנה</v>
      </c>
      <c r="S150">
        <v>0</v>
      </c>
      <c r="T150">
        <v>-240</v>
      </c>
      <c r="U150">
        <v>0</v>
      </c>
      <c r="V150">
        <v>-240</v>
      </c>
      <c r="W150" t="str">
        <f>"$"</f>
        <v>$</v>
      </c>
      <c r="X150">
        <v>0</v>
      </c>
      <c r="Y150">
        <v>0</v>
      </c>
      <c r="Z150">
        <v>0</v>
      </c>
      <c r="AA150" t="str">
        <f>"Y"</f>
        <v>Y</v>
      </c>
      <c r="AC150">
        <v>0</v>
      </c>
      <c r="AM150" t="str">
        <f>"10"</f>
        <v>10</v>
      </c>
      <c r="AN150" t="str">
        <f>"500000"</f>
        <v>500000</v>
      </c>
      <c r="AO150" t="str">
        <f>"הכנסות  מלקוחות"</f>
        <v>הכנסות  מלקוחות</v>
      </c>
      <c r="AQ150" t="str">
        <f>"034"</f>
        <v>034</v>
      </c>
      <c r="AR150">
        <v>0</v>
      </c>
      <c r="AS150">
        <v>0</v>
      </c>
      <c r="AT150">
        <v>3.8079999999999998</v>
      </c>
      <c r="BB150" t="str">
        <f>"Y"</f>
        <v>Y</v>
      </c>
      <c r="BD150" t="str">
        <f>"ערן שלו"</f>
        <v>ערן שלו</v>
      </c>
    </row>
    <row r="151" spans="1:56" x14ac:dyDescent="0.3">
      <c r="A151" s="1">
        <v>45174</v>
      </c>
      <c r="B151" t="str">
        <f>"SI236001220"</f>
        <v>SI236001220</v>
      </c>
      <c r="C151" t="str">
        <f>"PR23000644"</f>
        <v>PR23000644</v>
      </c>
      <c r="E151" t="str">
        <f>"Y"</f>
        <v>Y</v>
      </c>
      <c r="F151" t="str">
        <f>"חשבוניות מרכזות"</f>
        <v>חשבוניות מרכזות</v>
      </c>
      <c r="G151" t="str">
        <f>"700065"</f>
        <v>700065</v>
      </c>
      <c r="H151" t="str">
        <f>"אלתא מערכות בע""מ"</f>
        <v>אלתא מערכות בע"מ</v>
      </c>
      <c r="I151" t="str">
        <f>"10"</f>
        <v>10</v>
      </c>
      <c r="J151" t="str">
        <f>"PA9965825"</f>
        <v>PA9965825</v>
      </c>
      <c r="K151" t="str">
        <f>"גלאי עשן TFO480 + בסיס ממסר פקוד TFB180RL צבע לבן W"</f>
        <v>גלאי עשן TFO480 + בסיס ממסר פקוד TFB180RL צבע לבן W</v>
      </c>
      <c r="L151">
        <v>-2</v>
      </c>
      <c r="M151" t="str">
        <f>"יח"</f>
        <v>יח</v>
      </c>
      <c r="N151">
        <v>-2</v>
      </c>
      <c r="O151" t="str">
        <f>"יח"</f>
        <v>יח</v>
      </c>
      <c r="P151">
        <v>100</v>
      </c>
      <c r="Q151" t="str">
        <f>"$"</f>
        <v>$</v>
      </c>
      <c r="R151" t="str">
        <f>"הזמנה"</f>
        <v>הזמנה</v>
      </c>
      <c r="S151">
        <v>0</v>
      </c>
      <c r="T151">
        <v>-200</v>
      </c>
      <c r="U151">
        <v>0</v>
      </c>
      <c r="V151">
        <v>-200</v>
      </c>
      <c r="W151" t="str">
        <f>"$"</f>
        <v>$</v>
      </c>
      <c r="X151">
        <v>0</v>
      </c>
      <c r="Y151">
        <v>0</v>
      </c>
      <c r="Z151">
        <v>0</v>
      </c>
      <c r="AA151" t="str">
        <f>"Y"</f>
        <v>Y</v>
      </c>
      <c r="AC151">
        <v>0</v>
      </c>
      <c r="AM151" t="str">
        <f>"10"</f>
        <v>10</v>
      </c>
      <c r="AN151" t="str">
        <f>"500000"</f>
        <v>500000</v>
      </c>
      <c r="AO151" t="str">
        <f>"הכנסות  מלקוחות"</f>
        <v>הכנסות  מלקוחות</v>
      </c>
      <c r="AQ151" t="str">
        <f>"034"</f>
        <v>034</v>
      </c>
      <c r="AR151">
        <v>0</v>
      </c>
      <c r="AS151">
        <v>0</v>
      </c>
      <c r="AT151">
        <v>3.8079999999999998</v>
      </c>
      <c r="BB151" t="str">
        <f>"Y"</f>
        <v>Y</v>
      </c>
      <c r="BD151" t="str">
        <f>"ערן שלו"</f>
        <v>ערן שלו</v>
      </c>
    </row>
    <row r="152" spans="1:56" x14ac:dyDescent="0.3">
      <c r="A152" s="1">
        <v>45174</v>
      </c>
      <c r="B152" t="str">
        <f>"SI236001199"</f>
        <v>SI236001199</v>
      </c>
      <c r="C152" t="str">
        <f>"PR23000644"</f>
        <v>PR23000644</v>
      </c>
      <c r="E152" t="str">
        <f>"Y"</f>
        <v>Y</v>
      </c>
      <c r="F152" t="str">
        <f>"חשבוניות מרכזות"</f>
        <v>חשבוניות מרכזות</v>
      </c>
      <c r="G152" t="str">
        <f>"700065"</f>
        <v>700065</v>
      </c>
      <c r="H152" t="str">
        <f>"אלתא מערכות בע""מ"</f>
        <v>אלתא מערכות בע"מ</v>
      </c>
      <c r="I152" t="str">
        <f>"10"</f>
        <v>10</v>
      </c>
      <c r="J152" t="str">
        <f>"PD0300044"</f>
        <v>PD0300044</v>
      </c>
      <c r="K152" t="str">
        <f>"רב מודד  SATEC PM135E"</f>
        <v>רב מודד  SATEC PM135E</v>
      </c>
      <c r="L152">
        <v>1</v>
      </c>
      <c r="M152" t="str">
        <f>"יח"</f>
        <v>יח</v>
      </c>
      <c r="N152">
        <v>1</v>
      </c>
      <c r="O152" t="str">
        <f>"יח"</f>
        <v>יח</v>
      </c>
      <c r="P152">
        <v>240</v>
      </c>
      <c r="Q152" t="str">
        <f>"$"</f>
        <v>$</v>
      </c>
      <c r="R152" t="str">
        <f>"הזמנה"</f>
        <v>הזמנה</v>
      </c>
      <c r="S152">
        <v>0</v>
      </c>
      <c r="T152">
        <v>240</v>
      </c>
      <c r="U152">
        <v>0</v>
      </c>
      <c r="V152">
        <v>240</v>
      </c>
      <c r="W152" t="str">
        <f>"$"</f>
        <v>$</v>
      </c>
      <c r="X152">
        <v>0</v>
      </c>
      <c r="Y152">
        <v>0</v>
      </c>
      <c r="Z152">
        <v>0</v>
      </c>
      <c r="AA152" t="str">
        <f>"Y"</f>
        <v>Y</v>
      </c>
      <c r="AC152">
        <v>0</v>
      </c>
      <c r="AM152" t="str">
        <f>"10"</f>
        <v>10</v>
      </c>
      <c r="AN152" t="str">
        <f>"500000"</f>
        <v>500000</v>
      </c>
      <c r="AO152" t="str">
        <f>"הכנסות  מלקוחות"</f>
        <v>הכנסות  מלקוחות</v>
      </c>
      <c r="AQ152" t="str">
        <f>"034"</f>
        <v>034</v>
      </c>
      <c r="AR152">
        <v>0</v>
      </c>
      <c r="AS152">
        <v>0</v>
      </c>
      <c r="AT152">
        <v>3.8079999999999998</v>
      </c>
      <c r="BB152" t="str">
        <f>"Y"</f>
        <v>Y</v>
      </c>
      <c r="BD152" t="str">
        <f>"ערן שלו"</f>
        <v>ערן שלו</v>
      </c>
    </row>
    <row r="153" spans="1:56" x14ac:dyDescent="0.3">
      <c r="A153" s="1">
        <v>45174</v>
      </c>
      <c r="B153" t="str">
        <f>"SI236001199"</f>
        <v>SI236001199</v>
      </c>
      <c r="C153" t="str">
        <f>"PR23000644"</f>
        <v>PR23000644</v>
      </c>
      <c r="E153" t="str">
        <f>"Y"</f>
        <v>Y</v>
      </c>
      <c r="F153" t="str">
        <f>"חשבוניות מרכזות"</f>
        <v>חשבוניות מרכזות</v>
      </c>
      <c r="G153" t="str">
        <f>"700065"</f>
        <v>700065</v>
      </c>
      <c r="H153" t="str">
        <f>"אלתא מערכות בע""מ"</f>
        <v>אלתא מערכות בע"מ</v>
      </c>
      <c r="I153" t="str">
        <f>"10"</f>
        <v>10</v>
      </c>
      <c r="J153" t="str">
        <f>"PA9965825"</f>
        <v>PA9965825</v>
      </c>
      <c r="K153" t="str">
        <f>"גלאי עשן TFO480 + בסיס ממסר פקוד TFB180RL צבע לבן W"</f>
        <v>גלאי עשן TFO480 + בסיס ממסר פקוד TFB180RL צבע לבן W</v>
      </c>
      <c r="L153">
        <v>2</v>
      </c>
      <c r="M153" t="str">
        <f>"יח"</f>
        <v>יח</v>
      </c>
      <c r="N153">
        <v>2</v>
      </c>
      <c r="O153" t="str">
        <f>"יח"</f>
        <v>יח</v>
      </c>
      <c r="P153">
        <v>100</v>
      </c>
      <c r="Q153" t="str">
        <f>"$"</f>
        <v>$</v>
      </c>
      <c r="R153" t="str">
        <f>"הזמנה"</f>
        <v>הזמנה</v>
      </c>
      <c r="S153">
        <v>0</v>
      </c>
      <c r="T153">
        <v>200</v>
      </c>
      <c r="U153">
        <v>0</v>
      </c>
      <c r="V153">
        <v>200</v>
      </c>
      <c r="W153" t="str">
        <f>"$"</f>
        <v>$</v>
      </c>
      <c r="X153">
        <v>0</v>
      </c>
      <c r="Y153">
        <v>0</v>
      </c>
      <c r="Z153">
        <v>0</v>
      </c>
      <c r="AA153" t="str">
        <f>"Y"</f>
        <v>Y</v>
      </c>
      <c r="AC153">
        <v>0</v>
      </c>
      <c r="AM153" t="str">
        <f>"10"</f>
        <v>10</v>
      </c>
      <c r="AN153" t="str">
        <f>"500000"</f>
        <v>500000</v>
      </c>
      <c r="AO153" t="str">
        <f>"הכנסות  מלקוחות"</f>
        <v>הכנסות  מלקוחות</v>
      </c>
      <c r="AQ153" t="str">
        <f>"034"</f>
        <v>034</v>
      </c>
      <c r="AR153">
        <v>0</v>
      </c>
      <c r="AS153">
        <v>0</v>
      </c>
      <c r="AT153">
        <v>3.8079999999999998</v>
      </c>
      <c r="BB153" t="str">
        <f>"Y"</f>
        <v>Y</v>
      </c>
      <c r="BD153" t="str">
        <f>"ערן שלו"</f>
        <v>ערן שלו</v>
      </c>
    </row>
    <row r="154" spans="1:56" x14ac:dyDescent="0.3">
      <c r="A154" s="1">
        <v>45173</v>
      </c>
      <c r="B154" t="str">
        <f>"SI236001257"</f>
        <v>SI236001257</v>
      </c>
      <c r="E154" t="str">
        <f>"Y"</f>
        <v>Y</v>
      </c>
      <c r="F154" t="str">
        <f>"חשבוניות מרכזות"</f>
        <v>חשבוניות מרכזות</v>
      </c>
      <c r="G154" t="str">
        <f>"700065"</f>
        <v>700065</v>
      </c>
      <c r="H154" t="str">
        <f>"אלתא מערכות בע""מ"</f>
        <v>אלתא מערכות בע"מ</v>
      </c>
      <c r="I154" t="str">
        <f>"10"</f>
        <v>10</v>
      </c>
      <c r="J154" t="str">
        <f>"OP-AR03538"</f>
        <v>OP-AR03538</v>
      </c>
      <c r="K154" t="str">
        <f>"1043B860-001 PDB1 M"</f>
        <v>1043B860-001 PDB1 M</v>
      </c>
      <c r="L154">
        <v>-1</v>
      </c>
      <c r="M154" t="str">
        <f>"יח"</f>
        <v>יח</v>
      </c>
      <c r="N154">
        <v>-1</v>
      </c>
      <c r="O154" t="str">
        <f>"יח"</f>
        <v>יח</v>
      </c>
      <c r="P154" s="2">
        <v>43055</v>
      </c>
      <c r="Q154" t="str">
        <f>"$"</f>
        <v>$</v>
      </c>
      <c r="R154" t="str">
        <f>"הזמנה"</f>
        <v>הזמנה</v>
      </c>
      <c r="S154">
        <v>0</v>
      </c>
      <c r="T154" s="2">
        <v>-43055</v>
      </c>
      <c r="U154">
        <v>0</v>
      </c>
      <c r="V154" s="2">
        <v>-43055</v>
      </c>
      <c r="W154" t="str">
        <f>"$"</f>
        <v>$</v>
      </c>
      <c r="X154">
        <v>0</v>
      </c>
      <c r="Y154">
        <v>0</v>
      </c>
      <c r="Z154">
        <v>0</v>
      </c>
      <c r="AA154" t="str">
        <f>"Y"</f>
        <v>Y</v>
      </c>
      <c r="AC154">
        <v>0</v>
      </c>
      <c r="AM154" t="str">
        <f>"10"</f>
        <v>10</v>
      </c>
      <c r="AN154" t="str">
        <f>"500000"</f>
        <v>500000</v>
      </c>
      <c r="AO154" t="str">
        <f>"הכנסות  מלקוחות"</f>
        <v>הכנסות  מלקוחות</v>
      </c>
      <c r="AQ154" t="str">
        <f>"034"</f>
        <v>034</v>
      </c>
      <c r="AR154">
        <v>0</v>
      </c>
      <c r="AS154">
        <v>0</v>
      </c>
      <c r="AT154">
        <v>3.7949999999999999</v>
      </c>
      <c r="BB154" t="str">
        <f>"Y"</f>
        <v>Y</v>
      </c>
      <c r="BD154" t="str">
        <f>"ערן שלו"</f>
        <v>ערן שלו</v>
      </c>
    </row>
    <row r="155" spans="1:56" x14ac:dyDescent="0.3">
      <c r="A155" s="1">
        <v>45173</v>
      </c>
      <c r="B155" t="str">
        <f>"SI236001187"</f>
        <v>SI236001187</v>
      </c>
      <c r="C155" t="str">
        <f>"PR23000317"</f>
        <v>PR23000317</v>
      </c>
      <c r="E155" t="str">
        <f>"Y"</f>
        <v>Y</v>
      </c>
      <c r="F155" t="str">
        <f>"חשבוניות מרכזות"</f>
        <v>חשבוניות מרכזות</v>
      </c>
      <c r="G155" t="str">
        <f>"700065"</f>
        <v>700065</v>
      </c>
      <c r="H155" t="str">
        <f>"אלתא מערכות בע""מ"</f>
        <v>אלתא מערכות בע"מ</v>
      </c>
      <c r="I155" t="str">
        <f>"15"</f>
        <v>15</v>
      </c>
      <c r="J155" t="str">
        <f>"OP-AR03632"</f>
        <v>OP-AR03632</v>
      </c>
      <c r="K155" t="str">
        <f>"1016Y032-001     CABLE ASSY 48W102 220VAC SUPPLY"</f>
        <v>1016Y032-001     CABLE ASSY 48W102 220VAC SUPPLY</v>
      </c>
      <c r="L155">
        <v>1</v>
      </c>
      <c r="M155" t="str">
        <f>"יח"</f>
        <v>יח</v>
      </c>
      <c r="N155">
        <v>1</v>
      </c>
      <c r="O155" t="str">
        <f>"יח"</f>
        <v>יח</v>
      </c>
      <c r="P155">
        <v>219.05</v>
      </c>
      <c r="Q155" t="str">
        <f>"$"</f>
        <v>$</v>
      </c>
      <c r="R155" t="str">
        <f>"הזמנה"</f>
        <v>הזמנה</v>
      </c>
      <c r="S155">
        <v>0</v>
      </c>
      <c r="T155">
        <v>219.05</v>
      </c>
      <c r="U155">
        <v>0</v>
      </c>
      <c r="V155">
        <v>219.05</v>
      </c>
      <c r="W155" t="str">
        <f>"$"</f>
        <v>$</v>
      </c>
      <c r="X155">
        <v>0</v>
      </c>
      <c r="Y155">
        <v>0</v>
      </c>
      <c r="Z155">
        <v>0</v>
      </c>
      <c r="AA155" t="str">
        <f>"Y"</f>
        <v>Y</v>
      </c>
      <c r="AB155" t="str">
        <f>"SO23000226"</f>
        <v>SO23000226</v>
      </c>
      <c r="AC155">
        <v>7</v>
      </c>
      <c r="AD155" s="1">
        <v>45054</v>
      </c>
      <c r="AE155" t="str">
        <f>"SH23001089"</f>
        <v>SH23001089</v>
      </c>
      <c r="AF155" t="str">
        <f>"משלוחים ללקוח"</f>
        <v>משלוחים ללקוח</v>
      </c>
      <c r="AG155" s="1">
        <v>45160</v>
      </c>
      <c r="AM155" t="str">
        <f>"10"</f>
        <v>10</v>
      </c>
      <c r="AN155" t="str">
        <f>"500000"</f>
        <v>500000</v>
      </c>
      <c r="AO155" t="str">
        <f>"הכנסות  מלקוחות"</f>
        <v>הכנסות  מלקוחות</v>
      </c>
      <c r="AQ155" t="str">
        <f>"040"</f>
        <v>040</v>
      </c>
      <c r="AR155">
        <v>0</v>
      </c>
      <c r="AS155">
        <v>0</v>
      </c>
      <c r="AT155">
        <v>3.7949999999999999</v>
      </c>
      <c r="AX155" t="str">
        <f>"E000393606"</f>
        <v>E000393606</v>
      </c>
      <c r="BD155" t="str">
        <f>"רחמים זרוק"</f>
        <v>רחמים זרוק</v>
      </c>
    </row>
    <row r="156" spans="1:56" x14ac:dyDescent="0.3">
      <c r="A156" s="1">
        <v>45173</v>
      </c>
      <c r="B156" t="str">
        <f>"SI236001186"</f>
        <v>SI236001186</v>
      </c>
      <c r="C156" t="str">
        <f>"PR23000327"</f>
        <v>PR23000327</v>
      </c>
      <c r="D156" t="str">
        <f>"PR23000327"</f>
        <v>PR23000327</v>
      </c>
      <c r="E156" t="str">
        <f>"Y"</f>
        <v>Y</v>
      </c>
      <c r="F156" t="str">
        <f>"חשבוניות מרכזות"</f>
        <v>חשבוניות מרכזות</v>
      </c>
      <c r="G156" t="str">
        <f>"700065"</f>
        <v>700065</v>
      </c>
      <c r="H156" t="str">
        <f>"אלתא מערכות בע""מ"</f>
        <v>אלתא מערכות בע"מ</v>
      </c>
      <c r="I156" t="str">
        <f>"15"</f>
        <v>15</v>
      </c>
      <c r="J156" t="str">
        <f>"OP-AR02353"</f>
        <v>OP-AR02353</v>
      </c>
      <c r="K156" t="str">
        <f>"2203B026-001    FIO CABLE ASSY"</f>
        <v>2203B026-001    FIO CABLE ASSY</v>
      </c>
      <c r="L156">
        <v>1</v>
      </c>
      <c r="M156" t="str">
        <f>"יח"</f>
        <v>יח</v>
      </c>
      <c r="N156">
        <v>1</v>
      </c>
      <c r="O156" t="str">
        <f>"יח"</f>
        <v>יח</v>
      </c>
      <c r="P156">
        <v>528.19000000000005</v>
      </c>
      <c r="Q156" t="str">
        <f>"$"</f>
        <v>$</v>
      </c>
      <c r="R156" t="str">
        <f>"הזמנה"</f>
        <v>הזמנה</v>
      </c>
      <c r="S156">
        <v>0</v>
      </c>
      <c r="T156">
        <v>528.19000000000005</v>
      </c>
      <c r="U156">
        <v>0</v>
      </c>
      <c r="V156">
        <v>528.19000000000005</v>
      </c>
      <c r="W156" t="str">
        <f>"$"</f>
        <v>$</v>
      </c>
      <c r="X156">
        <v>0</v>
      </c>
      <c r="Y156">
        <v>0</v>
      </c>
      <c r="Z156">
        <v>0</v>
      </c>
      <c r="AA156" t="str">
        <f>"Y"</f>
        <v>Y</v>
      </c>
      <c r="AB156" t="str">
        <f>"SO23000233"</f>
        <v>SO23000233</v>
      </c>
      <c r="AC156">
        <v>5</v>
      </c>
      <c r="AD156" s="1">
        <v>45061</v>
      </c>
      <c r="AE156" t="str">
        <f>"SH23001090"</f>
        <v>SH23001090</v>
      </c>
      <c r="AF156" t="str">
        <f>"משלוחים ללקוח"</f>
        <v>משלוחים ללקוח</v>
      </c>
      <c r="AG156" s="1">
        <v>45160</v>
      </c>
      <c r="AM156" t="str">
        <f>"10"</f>
        <v>10</v>
      </c>
      <c r="AN156" t="str">
        <f>"500000"</f>
        <v>500000</v>
      </c>
      <c r="AO156" t="str">
        <f>"הכנסות  מלקוחות"</f>
        <v>הכנסות  מלקוחות</v>
      </c>
      <c r="AQ156" t="str">
        <f>"040"</f>
        <v>040</v>
      </c>
      <c r="AR156">
        <v>0</v>
      </c>
      <c r="AS156">
        <v>0</v>
      </c>
      <c r="AT156">
        <v>3.7949999999999999</v>
      </c>
      <c r="AX156" t="str">
        <f>"E000394557"</f>
        <v>E000394557</v>
      </c>
      <c r="BD156" t="str">
        <f>"רחמים זרוק"</f>
        <v>רחמים זרוק</v>
      </c>
    </row>
    <row r="157" spans="1:56" x14ac:dyDescent="0.3">
      <c r="A157" s="1">
        <v>45173</v>
      </c>
      <c r="B157" t="str">
        <f>"SI236001185"</f>
        <v>SI236001185</v>
      </c>
      <c r="C157" t="str">
        <f>"PR23000420"</f>
        <v>PR23000420</v>
      </c>
      <c r="D157" t="str">
        <f>"PR23000420"</f>
        <v>PR23000420</v>
      </c>
      <c r="E157" t="str">
        <f>"Y"</f>
        <v>Y</v>
      </c>
      <c r="F157" t="str">
        <f>"חשבוניות מרכזות"</f>
        <v>חשבוניות מרכזות</v>
      </c>
      <c r="G157" t="str">
        <f>"700065"</f>
        <v>700065</v>
      </c>
      <c r="H157" t="str">
        <f>"אלתא מערכות בע""מ"</f>
        <v>אלתא מערכות בע"מ</v>
      </c>
      <c r="I157" t="str">
        <f>"15"</f>
        <v>15</v>
      </c>
      <c r="J157" t="str">
        <f>"OP-AR02064"</f>
        <v>OP-AR02064</v>
      </c>
      <c r="K157" t="str">
        <f>"1017F131-001   CABLE ASSY EXTW1"</f>
        <v>1017F131-001   CABLE ASSY EXTW1</v>
      </c>
      <c r="L157">
        <v>4</v>
      </c>
      <c r="M157" t="str">
        <f>"יח"</f>
        <v>יח</v>
      </c>
      <c r="N157">
        <v>4</v>
      </c>
      <c r="O157" t="str">
        <f>"יח"</f>
        <v>יח</v>
      </c>
      <c r="P157">
        <v>212.41</v>
      </c>
      <c r="Q157" t="str">
        <f>"$"</f>
        <v>$</v>
      </c>
      <c r="R157" t="str">
        <f>"הזמנה"</f>
        <v>הזמנה</v>
      </c>
      <c r="S157">
        <v>0</v>
      </c>
      <c r="T157">
        <v>849.64</v>
      </c>
      <c r="U157">
        <v>0</v>
      </c>
      <c r="V157">
        <v>849.64</v>
      </c>
      <c r="W157" t="str">
        <f>"$"</f>
        <v>$</v>
      </c>
      <c r="X157">
        <v>0</v>
      </c>
      <c r="Y157">
        <v>0</v>
      </c>
      <c r="Z157">
        <v>0</v>
      </c>
      <c r="AA157" t="str">
        <f>"Y"</f>
        <v>Y</v>
      </c>
      <c r="AB157" t="str">
        <f>"SO23000298"</f>
        <v>SO23000298</v>
      </c>
      <c r="AC157">
        <v>1</v>
      </c>
      <c r="AD157" s="1">
        <v>45102</v>
      </c>
      <c r="AE157" t="str">
        <f>"SH23001091"</f>
        <v>SH23001091</v>
      </c>
      <c r="AF157" t="str">
        <f>"משלוחים ללקוח"</f>
        <v>משלוחים ללקוח</v>
      </c>
      <c r="AG157" s="1">
        <v>45160</v>
      </c>
      <c r="AM157" t="str">
        <f>"10"</f>
        <v>10</v>
      </c>
      <c r="AN157" t="str">
        <f>"500000"</f>
        <v>500000</v>
      </c>
      <c r="AO157" t="str">
        <f>"הכנסות  מלקוחות"</f>
        <v>הכנסות  מלקוחות</v>
      </c>
      <c r="AQ157" t="str">
        <f>"040"</f>
        <v>040</v>
      </c>
      <c r="AR157">
        <v>0</v>
      </c>
      <c r="AS157">
        <v>0</v>
      </c>
      <c r="AT157">
        <v>3.7949999999999999</v>
      </c>
      <c r="AX157" t="str">
        <f>"E000397729"</f>
        <v>E000397729</v>
      </c>
      <c r="BD157" t="str">
        <f>"רחמים זרוק"</f>
        <v>רחמים זרוק</v>
      </c>
    </row>
    <row r="158" spans="1:56" x14ac:dyDescent="0.3">
      <c r="A158" s="1">
        <v>45173</v>
      </c>
      <c r="B158" t="str">
        <f>"SI236001184"</f>
        <v>SI236001184</v>
      </c>
      <c r="C158" t="str">
        <f>"PR23000266"</f>
        <v>PR23000266</v>
      </c>
      <c r="D158" t="str">
        <f>"PR23000266"</f>
        <v>PR23000266</v>
      </c>
      <c r="E158" t="str">
        <f>"Y"</f>
        <v>Y</v>
      </c>
      <c r="F158" t="str">
        <f>"חשבוניות מרכזות"</f>
        <v>חשבוניות מרכזות</v>
      </c>
      <c r="G158" t="str">
        <f>"700065"</f>
        <v>700065</v>
      </c>
      <c r="H158" t="str">
        <f>"אלתא מערכות בע""מ"</f>
        <v>אלתא מערכות בע"מ</v>
      </c>
      <c r="I158" t="str">
        <f>"10"</f>
        <v>10</v>
      </c>
      <c r="J158" t="str">
        <f>"OP-AR03601"</f>
        <v>OP-AR03601</v>
      </c>
      <c r="K158" t="str">
        <f>"2227B110-001    ANT SEA KING CONTROL CABLE"</f>
        <v>2227B110-001    ANT SEA KING CONTROL CABLE</v>
      </c>
      <c r="L158">
        <v>1</v>
      </c>
      <c r="M158" t="str">
        <f>"יח"</f>
        <v>יח</v>
      </c>
      <c r="N158">
        <v>1</v>
      </c>
      <c r="O158" t="str">
        <f>"יח"</f>
        <v>יח</v>
      </c>
      <c r="P158" s="2">
        <v>1373.93</v>
      </c>
      <c r="Q158" t="str">
        <f>"$"</f>
        <v>$</v>
      </c>
      <c r="R158" t="str">
        <f>"הזמנה"</f>
        <v>הזמנה</v>
      </c>
      <c r="S158">
        <v>0</v>
      </c>
      <c r="T158" s="2">
        <v>1373.93</v>
      </c>
      <c r="U158">
        <v>0</v>
      </c>
      <c r="V158" s="2">
        <v>1373.93</v>
      </c>
      <c r="W158" t="str">
        <f>"$"</f>
        <v>$</v>
      </c>
      <c r="X158">
        <v>0</v>
      </c>
      <c r="Y158">
        <v>0</v>
      </c>
      <c r="Z158">
        <v>0</v>
      </c>
      <c r="AA158" t="str">
        <f>"Y"</f>
        <v>Y</v>
      </c>
      <c r="AB158" t="str">
        <f>"SO23000179"</f>
        <v>SO23000179</v>
      </c>
      <c r="AC158">
        <v>1</v>
      </c>
      <c r="AD158" s="1">
        <v>45020</v>
      </c>
      <c r="AE158" t="str">
        <f>"SH23001083"</f>
        <v>SH23001083</v>
      </c>
      <c r="AF158" t="str">
        <f>"משלוחים ללקוח"</f>
        <v>משלוחים ללקוח</v>
      </c>
      <c r="AG158" s="1">
        <v>45160</v>
      </c>
      <c r="AM158" t="str">
        <f>"10"</f>
        <v>10</v>
      </c>
      <c r="AN158" t="str">
        <f>"500000"</f>
        <v>500000</v>
      </c>
      <c r="AO158" t="str">
        <f>"הכנסות  מלקוחות"</f>
        <v>הכנסות  מלקוחות</v>
      </c>
      <c r="AQ158" t="str">
        <f>"040"</f>
        <v>040</v>
      </c>
      <c r="AR158">
        <v>0</v>
      </c>
      <c r="AS158">
        <v>0</v>
      </c>
      <c r="AT158">
        <v>3.7949999999999999</v>
      </c>
      <c r="AX158" t="str">
        <f>"E000390898"</f>
        <v>E000390898</v>
      </c>
      <c r="BD158" t="str">
        <f>"רחמים זרוק"</f>
        <v>רחמים זרוק</v>
      </c>
    </row>
    <row r="159" spans="1:56" x14ac:dyDescent="0.3">
      <c r="A159" s="1">
        <v>45173</v>
      </c>
      <c r="B159" t="str">
        <f>"SI236001182"</f>
        <v>SI236001182</v>
      </c>
      <c r="C159" t="str">
        <f>"PR23000277"</f>
        <v>PR23000277</v>
      </c>
      <c r="D159" t="str">
        <f>"PR23000277"</f>
        <v>PR23000277</v>
      </c>
      <c r="E159" t="str">
        <f>"Y"</f>
        <v>Y</v>
      </c>
      <c r="F159" t="str">
        <f>"חשבוניות מרכזות"</f>
        <v>חשבוניות מרכזות</v>
      </c>
      <c r="G159" t="str">
        <f>"700065"</f>
        <v>700065</v>
      </c>
      <c r="H159" t="str">
        <f>"אלתא מערכות בע""מ"</f>
        <v>אלתא מערכות בע"מ</v>
      </c>
      <c r="I159" t="str">
        <f>"10"</f>
        <v>10</v>
      </c>
      <c r="J159" t="str">
        <f>"000"</f>
        <v>000</v>
      </c>
      <c r="K159" t="str">
        <f>"עלויות פיתוח"</f>
        <v>עלויות פיתוח</v>
      </c>
      <c r="L159">
        <v>1</v>
      </c>
      <c r="M159" t="str">
        <f>"יח"</f>
        <v>יח</v>
      </c>
      <c r="N159">
        <v>1</v>
      </c>
      <c r="O159" t="str">
        <f>"יח"</f>
        <v>יח</v>
      </c>
      <c r="P159" s="2">
        <v>7840</v>
      </c>
      <c r="Q159" t="str">
        <f>"$"</f>
        <v>$</v>
      </c>
      <c r="R159" t="str">
        <f>"הזמנה"</f>
        <v>הזמנה</v>
      </c>
      <c r="S159">
        <v>0</v>
      </c>
      <c r="T159" s="2">
        <v>7840</v>
      </c>
      <c r="U159">
        <v>0</v>
      </c>
      <c r="V159" s="2">
        <v>7840</v>
      </c>
      <c r="W159" t="str">
        <f>"$"</f>
        <v>$</v>
      </c>
      <c r="X159">
        <v>0</v>
      </c>
      <c r="Y159">
        <v>0</v>
      </c>
      <c r="Z159">
        <v>0</v>
      </c>
      <c r="AA159" t="str">
        <f>"Y"</f>
        <v>Y</v>
      </c>
      <c r="AB159" t="str">
        <f>"SO23000189"</f>
        <v>SO23000189</v>
      </c>
      <c r="AC159">
        <v>2</v>
      </c>
      <c r="AD159" s="1">
        <v>45035</v>
      </c>
      <c r="AM159" t="str">
        <f>"10"</f>
        <v>10</v>
      </c>
      <c r="AN159" t="str">
        <f>"500000"</f>
        <v>500000</v>
      </c>
      <c r="AO159" t="str">
        <f>"הכנסות  מלקוחות"</f>
        <v>הכנסות  מלקוחות</v>
      </c>
      <c r="AQ159" t="str">
        <f>"007"</f>
        <v>007</v>
      </c>
      <c r="AR159">
        <v>0</v>
      </c>
      <c r="AS159">
        <v>0</v>
      </c>
      <c r="AT159">
        <v>3.7949999999999999</v>
      </c>
      <c r="AX159" t="str">
        <f>"E000392307"</f>
        <v>E000392307</v>
      </c>
      <c r="BD159" t="str">
        <f>"רוני דידי"</f>
        <v>רוני דידי</v>
      </c>
    </row>
    <row r="160" spans="1:56" x14ac:dyDescent="0.3">
      <c r="A160" s="1">
        <v>45173</v>
      </c>
      <c r="B160" t="str">
        <f>"SI236001181"</f>
        <v>SI236001181</v>
      </c>
      <c r="E160" t="str">
        <f>"Y"</f>
        <v>Y</v>
      </c>
      <c r="F160" t="str">
        <f>"חשבוניות מרכזות"</f>
        <v>חשבוניות מרכזות</v>
      </c>
      <c r="G160" t="str">
        <f>"700065"</f>
        <v>700065</v>
      </c>
      <c r="H160" t="str">
        <f>"אלתא מערכות בע""מ"</f>
        <v>אלתא מערכות בע"מ</v>
      </c>
      <c r="I160" t="str">
        <f>"10"</f>
        <v>10</v>
      </c>
      <c r="J160" t="str">
        <f>"OP-ML00234"</f>
        <v>OP-ML00234</v>
      </c>
      <c r="K160" t="str">
        <f>"RUGGED ISO TRAFO 12KVA RPI-3X115/400/440 SEC-3X220V Dyn5"</f>
        <v>RUGGED ISO TRAFO 12KVA RPI-3X115/400/440 SEC-3X220V Dyn5</v>
      </c>
      <c r="L160">
        <v>1</v>
      </c>
      <c r="M160" t="str">
        <f>"יח"</f>
        <v>יח</v>
      </c>
      <c r="N160">
        <v>1</v>
      </c>
      <c r="O160" t="str">
        <f>"יח"</f>
        <v>יח</v>
      </c>
      <c r="P160" s="2">
        <v>14468</v>
      </c>
      <c r="Q160" t="str">
        <f>"$"</f>
        <v>$</v>
      </c>
      <c r="R160" t="str">
        <f>"הזמנה"</f>
        <v>הזמנה</v>
      </c>
      <c r="S160">
        <v>0</v>
      </c>
      <c r="T160" s="2">
        <v>14468</v>
      </c>
      <c r="U160">
        <v>0</v>
      </c>
      <c r="V160" s="2">
        <v>14468</v>
      </c>
      <c r="W160" t="str">
        <f>"$"</f>
        <v>$</v>
      </c>
      <c r="X160">
        <v>0</v>
      </c>
      <c r="Y160">
        <v>0</v>
      </c>
      <c r="Z160">
        <v>0</v>
      </c>
      <c r="AA160" t="str">
        <f>"Y"</f>
        <v>Y</v>
      </c>
      <c r="AB160" t="str">
        <f>"SO23000071"</f>
        <v>SO23000071</v>
      </c>
      <c r="AC160">
        <v>2</v>
      </c>
      <c r="AD160" s="1">
        <v>44959</v>
      </c>
      <c r="AE160" t="str">
        <f>"SH23001235"</f>
        <v>SH23001235</v>
      </c>
      <c r="AF160" t="str">
        <f>"משלוחים ללקוח"</f>
        <v>משלוחים ללקוח</v>
      </c>
      <c r="AG160" s="1">
        <v>45196</v>
      </c>
      <c r="AM160" t="str">
        <f>"10"</f>
        <v>10</v>
      </c>
      <c r="AN160" t="str">
        <f>"500000"</f>
        <v>500000</v>
      </c>
      <c r="AO160" t="str">
        <f>"הכנסות  מלקוחות"</f>
        <v>הכנסות  מלקוחות</v>
      </c>
      <c r="AQ160" t="str">
        <f>"007"</f>
        <v>007</v>
      </c>
      <c r="AR160">
        <v>0</v>
      </c>
      <c r="AS160">
        <v>0</v>
      </c>
      <c r="AT160">
        <v>3.7949999999999999</v>
      </c>
      <c r="AX160" t="str">
        <f>"E000385874"</f>
        <v>E000385874</v>
      </c>
      <c r="BD160" t="str">
        <f>"רוני דידי"</f>
        <v>רוני דידי</v>
      </c>
    </row>
    <row r="161" spans="1:56" x14ac:dyDescent="0.3">
      <c r="A161" s="1">
        <v>45173</v>
      </c>
      <c r="B161" t="str">
        <f>"SI236001180"</f>
        <v>SI236001180</v>
      </c>
      <c r="E161" t="str">
        <f>"Y"</f>
        <v>Y</v>
      </c>
      <c r="F161" t="str">
        <f>"חשבוניות מרכזות"</f>
        <v>חשבוניות מרכזות</v>
      </c>
      <c r="G161" t="str">
        <f>"700065"</f>
        <v>700065</v>
      </c>
      <c r="H161" t="str">
        <f>"אלתא מערכות בע""מ"</f>
        <v>אלתא מערכות בע"מ</v>
      </c>
      <c r="I161" t="str">
        <f>"10"</f>
        <v>10</v>
      </c>
      <c r="J161" t="str">
        <f>"OP-ML00234"</f>
        <v>OP-ML00234</v>
      </c>
      <c r="K161" t="str">
        <f>"RUGGED ISO TRAFO 12KVA RPI-3X115/400/440 SEC-3X220V Dyn5"</f>
        <v>RUGGED ISO TRAFO 12KVA RPI-3X115/400/440 SEC-3X220V Dyn5</v>
      </c>
      <c r="L161">
        <v>1</v>
      </c>
      <c r="M161" t="str">
        <f>"יח"</f>
        <v>יח</v>
      </c>
      <c r="N161">
        <v>1</v>
      </c>
      <c r="O161" t="str">
        <f>"יח"</f>
        <v>יח</v>
      </c>
      <c r="P161" s="2">
        <v>14468.72</v>
      </c>
      <c r="Q161" t="str">
        <f>"$"</f>
        <v>$</v>
      </c>
      <c r="R161" t="str">
        <f>"הזמנה"</f>
        <v>הזמנה</v>
      </c>
      <c r="S161">
        <v>0</v>
      </c>
      <c r="T161" s="2">
        <v>14468.72</v>
      </c>
      <c r="U161">
        <v>0</v>
      </c>
      <c r="V161" s="2">
        <v>14468.72</v>
      </c>
      <c r="W161" t="str">
        <f>"$"</f>
        <v>$</v>
      </c>
      <c r="X161">
        <v>0</v>
      </c>
      <c r="Y161">
        <v>0</v>
      </c>
      <c r="Z161">
        <v>0</v>
      </c>
      <c r="AA161" t="str">
        <f>"Y"</f>
        <v>Y</v>
      </c>
      <c r="AB161" t="str">
        <f>"SO23000071"</f>
        <v>SO23000071</v>
      </c>
      <c r="AC161">
        <v>1</v>
      </c>
      <c r="AD161" s="1">
        <v>44959</v>
      </c>
      <c r="AE161" t="str">
        <f>"SH23001235"</f>
        <v>SH23001235</v>
      </c>
      <c r="AF161" t="str">
        <f>"משלוחים ללקוח"</f>
        <v>משלוחים ללקוח</v>
      </c>
      <c r="AG161" s="1">
        <v>45196</v>
      </c>
      <c r="AM161" t="str">
        <f>"10"</f>
        <v>10</v>
      </c>
      <c r="AN161" t="str">
        <f>"500000"</f>
        <v>500000</v>
      </c>
      <c r="AO161" t="str">
        <f>"הכנסות  מלקוחות"</f>
        <v>הכנסות  מלקוחות</v>
      </c>
      <c r="AQ161" t="str">
        <f>"007"</f>
        <v>007</v>
      </c>
      <c r="AR161">
        <v>0</v>
      </c>
      <c r="AS161">
        <v>0</v>
      </c>
      <c r="AT161">
        <v>3.7949999999999999</v>
      </c>
      <c r="AX161" t="str">
        <f>"E000385874"</f>
        <v>E000385874</v>
      </c>
      <c r="BD161" t="str">
        <f>"רוני דידי"</f>
        <v>רוני דידי</v>
      </c>
    </row>
    <row r="162" spans="1:56" x14ac:dyDescent="0.3">
      <c r="A162" s="1">
        <v>45173</v>
      </c>
      <c r="B162" t="str">
        <f>"SI236001179"</f>
        <v>SI236001179</v>
      </c>
      <c r="C162" t="str">
        <f>"PR23000201"</f>
        <v>PR23000201</v>
      </c>
      <c r="E162" t="str">
        <f>"Y"</f>
        <v>Y</v>
      </c>
      <c r="F162" t="str">
        <f>"חשבוניות מרכזות"</f>
        <v>חשבוניות מרכזות</v>
      </c>
      <c r="G162" t="str">
        <f>"700065"</f>
        <v>700065</v>
      </c>
      <c r="H162" t="str">
        <f>"אלתא מערכות בע""מ"</f>
        <v>אלתא מערכות בע"מ</v>
      </c>
      <c r="I162" t="str">
        <f>"10"</f>
        <v>10</v>
      </c>
      <c r="J162" t="str">
        <f>"OP-ML00225"</f>
        <v>OP-ML00225</v>
      </c>
      <c r="K162" t="str">
        <f>"ISO TRAFO 25KVA D/Yn11 400/400/230V OUTDOOR"</f>
        <v>ISO TRAFO 25KVA D/Yn11 400/400/230V OUTDOOR</v>
      </c>
      <c r="L162">
        <v>2</v>
      </c>
      <c r="M162" t="str">
        <f>"יח"</f>
        <v>יח</v>
      </c>
      <c r="N162">
        <v>2</v>
      </c>
      <c r="O162" t="str">
        <f>"יח"</f>
        <v>יח</v>
      </c>
      <c r="P162" s="2">
        <v>11800</v>
      </c>
      <c r="Q162" t="str">
        <f>"$"</f>
        <v>$</v>
      </c>
      <c r="R162" t="str">
        <f>"הזמנה"</f>
        <v>הזמנה</v>
      </c>
      <c r="S162">
        <v>0</v>
      </c>
      <c r="T162" s="2">
        <v>23600</v>
      </c>
      <c r="U162">
        <v>0</v>
      </c>
      <c r="V162" s="2">
        <v>23600</v>
      </c>
      <c r="W162" t="str">
        <f>"$"</f>
        <v>$</v>
      </c>
      <c r="X162">
        <v>0</v>
      </c>
      <c r="Y162">
        <v>0</v>
      </c>
      <c r="Z162">
        <v>0</v>
      </c>
      <c r="AA162" t="str">
        <f>"Y"</f>
        <v>Y</v>
      </c>
      <c r="AB162" t="str">
        <f>"SO23000131"</f>
        <v>SO23000131</v>
      </c>
      <c r="AC162">
        <v>1</v>
      </c>
      <c r="AD162" s="1">
        <v>44990</v>
      </c>
      <c r="AE162" t="str">
        <f>"SH23001142"</f>
        <v>SH23001142</v>
      </c>
      <c r="AF162" t="str">
        <f>"משלוחים ללקוח"</f>
        <v>משלוחים ללקוח</v>
      </c>
      <c r="AG162" s="1">
        <v>45173</v>
      </c>
      <c r="AM162" t="str">
        <f>"10"</f>
        <v>10</v>
      </c>
      <c r="AN162" t="str">
        <f>"500000"</f>
        <v>500000</v>
      </c>
      <c r="AO162" t="str">
        <f>"הכנסות  מלקוחות"</f>
        <v>הכנסות  מלקוחות</v>
      </c>
      <c r="AQ162" t="str">
        <f>"007"</f>
        <v>007</v>
      </c>
      <c r="AR162">
        <v>0</v>
      </c>
      <c r="AS162">
        <v>0</v>
      </c>
      <c r="AT162">
        <v>3.7949999999999999</v>
      </c>
      <c r="AX162" t="str">
        <f>"E000388463"</f>
        <v>E000388463</v>
      </c>
      <c r="BD162" t="str">
        <f>"רוני דידי"</f>
        <v>רוני דידי</v>
      </c>
    </row>
    <row r="163" spans="1:56" x14ac:dyDescent="0.3">
      <c r="A163" s="1">
        <v>45173</v>
      </c>
      <c r="B163" t="str">
        <f>"SI236001178"</f>
        <v>SI236001178</v>
      </c>
      <c r="E163" t="str">
        <f>"Y"</f>
        <v>Y</v>
      </c>
      <c r="F163" t="str">
        <f>"חשבוניות מרכזות"</f>
        <v>חשבוניות מרכזות</v>
      </c>
      <c r="G163" t="str">
        <f>"700065"</f>
        <v>700065</v>
      </c>
      <c r="H163" t="str">
        <f>"אלתא מערכות בע""מ"</f>
        <v>אלתא מערכות בע"מ</v>
      </c>
      <c r="I163" t="str">
        <f>"10"</f>
        <v>10</v>
      </c>
      <c r="J163" t="str">
        <f>"OP-AR01083"</f>
        <v>OP-AR01083</v>
      </c>
      <c r="K163" t="str">
        <f>"1036C960-001 HVJB_N"</f>
        <v>1036C960-001 HVJB_N</v>
      </c>
      <c r="L163">
        <v>1</v>
      </c>
      <c r="M163" t="str">
        <f>"יח"</f>
        <v>יח</v>
      </c>
      <c r="N163">
        <v>1</v>
      </c>
      <c r="O163" t="str">
        <f>"יח"</f>
        <v>יח</v>
      </c>
      <c r="P163" s="2">
        <v>8779</v>
      </c>
      <c r="Q163" t="str">
        <f>"$"</f>
        <v>$</v>
      </c>
      <c r="R163" t="str">
        <f>"הזמנה"</f>
        <v>הזמנה</v>
      </c>
      <c r="S163">
        <v>0</v>
      </c>
      <c r="T163" s="2">
        <v>8779</v>
      </c>
      <c r="U163">
        <v>0</v>
      </c>
      <c r="V163" s="2">
        <v>8779</v>
      </c>
      <c r="W163" t="str">
        <f>"$"</f>
        <v>$</v>
      </c>
      <c r="X163">
        <v>0</v>
      </c>
      <c r="Y163">
        <v>0</v>
      </c>
      <c r="Z163">
        <v>0</v>
      </c>
      <c r="AA163" t="str">
        <f>"Y"</f>
        <v>Y</v>
      </c>
      <c r="AB163" t="str">
        <f>"SO22000456"</f>
        <v>SO22000456</v>
      </c>
      <c r="AC163">
        <v>11</v>
      </c>
      <c r="AD163" s="1">
        <v>44906</v>
      </c>
      <c r="AM163" t="str">
        <f>"10"</f>
        <v>10</v>
      </c>
      <c r="AN163" t="str">
        <f>"500000"</f>
        <v>500000</v>
      </c>
      <c r="AO163" t="str">
        <f>"הכנסות  מלקוחות"</f>
        <v>הכנסות  מלקוחות</v>
      </c>
      <c r="AQ163" t="str">
        <f>"040"</f>
        <v>040</v>
      </c>
      <c r="AR163">
        <v>0</v>
      </c>
      <c r="AS163">
        <v>0</v>
      </c>
      <c r="AT163">
        <v>3.7949999999999999</v>
      </c>
      <c r="AX163" t="str">
        <f>"E000374279"</f>
        <v>E000374279</v>
      </c>
      <c r="BD163" t="str">
        <f>"רחמים זרוק"</f>
        <v>רחמים זרוק</v>
      </c>
    </row>
    <row r="164" spans="1:56" x14ac:dyDescent="0.3">
      <c r="A164" s="1">
        <v>45173</v>
      </c>
      <c r="B164" t="str">
        <f>"SI236001177"</f>
        <v>SI236001177</v>
      </c>
      <c r="E164" t="str">
        <f>"Y"</f>
        <v>Y</v>
      </c>
      <c r="F164" t="str">
        <f>"חשבוניות מרכזות"</f>
        <v>חשבוניות מרכזות</v>
      </c>
      <c r="G164" t="str">
        <f>"700065"</f>
        <v>700065</v>
      </c>
      <c r="H164" t="str">
        <f>"אלתא מערכות בע""מ"</f>
        <v>אלתא מערכות בע"מ</v>
      </c>
      <c r="I164" t="str">
        <f>"10"</f>
        <v>10</v>
      </c>
      <c r="J164" t="str">
        <f>"OP-AR01083"</f>
        <v>OP-AR01083</v>
      </c>
      <c r="K164" t="str">
        <f>"1036C960-001 HVJB_N"</f>
        <v>1036C960-001 HVJB_N</v>
      </c>
      <c r="L164">
        <v>1</v>
      </c>
      <c r="M164" t="str">
        <f>"יח"</f>
        <v>יח</v>
      </c>
      <c r="N164">
        <v>1</v>
      </c>
      <c r="O164" t="str">
        <f>"יח"</f>
        <v>יח</v>
      </c>
      <c r="P164" s="2">
        <v>8779</v>
      </c>
      <c r="Q164" t="str">
        <f>"$"</f>
        <v>$</v>
      </c>
      <c r="R164" t="str">
        <f>"הזמנה"</f>
        <v>הזמנה</v>
      </c>
      <c r="S164">
        <v>0</v>
      </c>
      <c r="T164" s="2">
        <v>8779</v>
      </c>
      <c r="U164">
        <v>0</v>
      </c>
      <c r="V164" s="2">
        <v>8779</v>
      </c>
      <c r="W164" t="str">
        <f>"$"</f>
        <v>$</v>
      </c>
      <c r="X164">
        <v>0</v>
      </c>
      <c r="Y164">
        <v>0</v>
      </c>
      <c r="Z164">
        <v>0</v>
      </c>
      <c r="AA164" t="str">
        <f>"Y"</f>
        <v>Y</v>
      </c>
      <c r="AB164" t="str">
        <f>"SO22000456"</f>
        <v>SO22000456</v>
      </c>
      <c r="AC164">
        <v>9</v>
      </c>
      <c r="AD164" s="1">
        <v>44906</v>
      </c>
      <c r="AM164" t="str">
        <f>"10"</f>
        <v>10</v>
      </c>
      <c r="AN164" t="str">
        <f>"500000"</f>
        <v>500000</v>
      </c>
      <c r="AO164" t="str">
        <f>"הכנסות  מלקוחות"</f>
        <v>הכנסות  מלקוחות</v>
      </c>
      <c r="AQ164" t="str">
        <f>"040"</f>
        <v>040</v>
      </c>
      <c r="AR164">
        <v>0</v>
      </c>
      <c r="AS164">
        <v>0</v>
      </c>
      <c r="AT164">
        <v>3.7949999999999999</v>
      </c>
      <c r="AX164" t="str">
        <f>"E000374279"</f>
        <v>E000374279</v>
      </c>
      <c r="BD164" t="str">
        <f>"רחמים זרוק"</f>
        <v>רחמים זרוק</v>
      </c>
    </row>
    <row r="165" spans="1:56" x14ac:dyDescent="0.3">
      <c r="A165" s="1">
        <v>45173</v>
      </c>
      <c r="B165" t="str">
        <f>"SI236001176"</f>
        <v>SI236001176</v>
      </c>
      <c r="E165" t="str">
        <f>"Y"</f>
        <v>Y</v>
      </c>
      <c r="F165" t="str">
        <f>"חשבוניות מרכזות"</f>
        <v>חשבוניות מרכזות</v>
      </c>
      <c r="G165" t="str">
        <f>"700065"</f>
        <v>700065</v>
      </c>
      <c r="H165" t="str">
        <f>"אלתא מערכות בע""מ"</f>
        <v>אלתא מערכות בע"מ</v>
      </c>
      <c r="I165" t="str">
        <f>"10"</f>
        <v>10</v>
      </c>
      <c r="J165" t="str">
        <f>"OP-AR01083"</f>
        <v>OP-AR01083</v>
      </c>
      <c r="K165" t="str">
        <f>"1036C960-001 HVJB_N"</f>
        <v>1036C960-001 HVJB_N</v>
      </c>
      <c r="L165">
        <v>1</v>
      </c>
      <c r="M165" t="str">
        <f>"יח"</f>
        <v>יח</v>
      </c>
      <c r="N165">
        <v>1</v>
      </c>
      <c r="O165" t="str">
        <f>"יח"</f>
        <v>יח</v>
      </c>
      <c r="P165" s="2">
        <v>8779</v>
      </c>
      <c r="Q165" t="str">
        <f>"$"</f>
        <v>$</v>
      </c>
      <c r="R165" t="str">
        <f>"הזמנה"</f>
        <v>הזמנה</v>
      </c>
      <c r="S165">
        <v>0</v>
      </c>
      <c r="T165" s="2">
        <v>8779</v>
      </c>
      <c r="U165">
        <v>0</v>
      </c>
      <c r="V165" s="2">
        <v>8779</v>
      </c>
      <c r="W165" t="str">
        <f>"$"</f>
        <v>$</v>
      </c>
      <c r="X165">
        <v>0</v>
      </c>
      <c r="Y165">
        <v>0</v>
      </c>
      <c r="Z165">
        <v>0</v>
      </c>
      <c r="AA165" t="str">
        <f>"Y"</f>
        <v>Y</v>
      </c>
      <c r="AB165" t="str">
        <f>"SO22000456"</f>
        <v>SO22000456</v>
      </c>
      <c r="AC165">
        <v>9</v>
      </c>
      <c r="AD165" s="1">
        <v>44906</v>
      </c>
      <c r="AM165" t="str">
        <f>"10"</f>
        <v>10</v>
      </c>
      <c r="AN165" t="str">
        <f>"500000"</f>
        <v>500000</v>
      </c>
      <c r="AO165" t="str">
        <f>"הכנסות  מלקוחות"</f>
        <v>הכנסות  מלקוחות</v>
      </c>
      <c r="AQ165" t="str">
        <f>"040"</f>
        <v>040</v>
      </c>
      <c r="AR165">
        <v>0</v>
      </c>
      <c r="AS165">
        <v>0</v>
      </c>
      <c r="AT165">
        <v>3.7949999999999999</v>
      </c>
      <c r="AX165" t="str">
        <f>"E000374279"</f>
        <v>E000374279</v>
      </c>
      <c r="BD165" t="str">
        <f>"רחמים זרוק"</f>
        <v>רחמים זרוק</v>
      </c>
    </row>
    <row r="166" spans="1:56" x14ac:dyDescent="0.3">
      <c r="A166" s="1">
        <v>45173</v>
      </c>
      <c r="B166" t="str">
        <f>"SI236001175"</f>
        <v>SI236001175</v>
      </c>
      <c r="E166" t="str">
        <f>"Y"</f>
        <v>Y</v>
      </c>
      <c r="F166" t="str">
        <f>"חשבוניות מרכזות"</f>
        <v>חשבוניות מרכזות</v>
      </c>
      <c r="G166" t="str">
        <f>"700065"</f>
        <v>700065</v>
      </c>
      <c r="H166" t="str">
        <f>"אלתא מערכות בע""מ"</f>
        <v>אלתא מערכות בע"מ</v>
      </c>
      <c r="I166" t="str">
        <f>"10"</f>
        <v>10</v>
      </c>
      <c r="J166" t="str">
        <f>"OP-AR01083"</f>
        <v>OP-AR01083</v>
      </c>
      <c r="K166" t="str">
        <f>"1036C960-001 HVJB_N"</f>
        <v>1036C960-001 HVJB_N</v>
      </c>
      <c r="L166">
        <v>1</v>
      </c>
      <c r="M166" t="str">
        <f>"יח"</f>
        <v>יח</v>
      </c>
      <c r="N166">
        <v>1</v>
      </c>
      <c r="O166" t="str">
        <f>"יח"</f>
        <v>יח</v>
      </c>
      <c r="P166" s="2">
        <v>8779</v>
      </c>
      <c r="Q166" t="str">
        <f>"$"</f>
        <v>$</v>
      </c>
      <c r="R166" t="str">
        <f>"הזמנה"</f>
        <v>הזמנה</v>
      </c>
      <c r="S166">
        <v>0</v>
      </c>
      <c r="T166" s="2">
        <v>8779</v>
      </c>
      <c r="U166">
        <v>0</v>
      </c>
      <c r="V166" s="2">
        <v>8779</v>
      </c>
      <c r="W166" t="str">
        <f>"$"</f>
        <v>$</v>
      </c>
      <c r="X166">
        <v>0</v>
      </c>
      <c r="Y166">
        <v>0</v>
      </c>
      <c r="Z166">
        <v>0</v>
      </c>
      <c r="AA166" t="str">
        <f>"Y"</f>
        <v>Y</v>
      </c>
      <c r="AB166" t="str">
        <f>"SO22000456"</f>
        <v>SO22000456</v>
      </c>
      <c r="AC166">
        <v>10</v>
      </c>
      <c r="AD166" s="1">
        <v>44906</v>
      </c>
      <c r="AM166" t="str">
        <f>"10"</f>
        <v>10</v>
      </c>
      <c r="AN166" t="str">
        <f>"500000"</f>
        <v>500000</v>
      </c>
      <c r="AO166" t="str">
        <f>"הכנסות  מלקוחות"</f>
        <v>הכנסות  מלקוחות</v>
      </c>
      <c r="AQ166" t="str">
        <f>"040"</f>
        <v>040</v>
      </c>
      <c r="AR166">
        <v>0</v>
      </c>
      <c r="AS166">
        <v>0</v>
      </c>
      <c r="AT166">
        <v>3.7949999999999999</v>
      </c>
      <c r="AX166" t="str">
        <f>"E000374279"</f>
        <v>E000374279</v>
      </c>
      <c r="BD166" t="str">
        <f>"רחמים זרוק"</f>
        <v>רחמים זרוק</v>
      </c>
    </row>
    <row r="167" spans="1:56" x14ac:dyDescent="0.3">
      <c r="A167" s="1">
        <v>45173</v>
      </c>
      <c r="B167" t="str">
        <f>"SI236001174"</f>
        <v>SI236001174</v>
      </c>
      <c r="E167" t="str">
        <f>"Y"</f>
        <v>Y</v>
      </c>
      <c r="F167" t="str">
        <f>"חשבוניות מרכזות"</f>
        <v>חשבוניות מרכזות</v>
      </c>
      <c r="G167" t="str">
        <f>"700065"</f>
        <v>700065</v>
      </c>
      <c r="H167" t="str">
        <f>"אלתא מערכות בע""מ"</f>
        <v>אלתא מערכות בע"מ</v>
      </c>
      <c r="I167" t="str">
        <f>"10"</f>
        <v>10</v>
      </c>
      <c r="J167" t="str">
        <f>"OP-AR01083"</f>
        <v>OP-AR01083</v>
      </c>
      <c r="K167" t="str">
        <f>"1036C960-001 HVJB_N"</f>
        <v>1036C960-001 HVJB_N</v>
      </c>
      <c r="L167">
        <v>1</v>
      </c>
      <c r="M167" t="str">
        <f>"יח"</f>
        <v>יח</v>
      </c>
      <c r="N167">
        <v>1</v>
      </c>
      <c r="O167" t="str">
        <f>"יח"</f>
        <v>יח</v>
      </c>
      <c r="P167" s="2">
        <v>8779</v>
      </c>
      <c r="Q167" t="str">
        <f>"$"</f>
        <v>$</v>
      </c>
      <c r="R167" t="str">
        <f>"הזמנה"</f>
        <v>הזמנה</v>
      </c>
      <c r="S167">
        <v>0</v>
      </c>
      <c r="T167" s="2">
        <v>8779</v>
      </c>
      <c r="U167">
        <v>0</v>
      </c>
      <c r="V167" s="2">
        <v>8779</v>
      </c>
      <c r="W167" t="str">
        <f>"$"</f>
        <v>$</v>
      </c>
      <c r="X167">
        <v>0</v>
      </c>
      <c r="Y167">
        <v>0</v>
      </c>
      <c r="Z167">
        <v>0</v>
      </c>
      <c r="AA167" t="str">
        <f>"Y"</f>
        <v>Y</v>
      </c>
      <c r="AB167" t="str">
        <f>"SO22000456"</f>
        <v>SO22000456</v>
      </c>
      <c r="AC167">
        <v>8</v>
      </c>
      <c r="AD167" s="1">
        <v>44906</v>
      </c>
      <c r="AM167" t="str">
        <f>"10"</f>
        <v>10</v>
      </c>
      <c r="AN167" t="str">
        <f>"500000"</f>
        <v>500000</v>
      </c>
      <c r="AO167" t="str">
        <f>"הכנסות  מלקוחות"</f>
        <v>הכנסות  מלקוחות</v>
      </c>
      <c r="AQ167" t="str">
        <f>"040"</f>
        <v>040</v>
      </c>
      <c r="AR167">
        <v>0</v>
      </c>
      <c r="AS167">
        <v>0</v>
      </c>
      <c r="AT167">
        <v>3.7949999999999999</v>
      </c>
      <c r="AX167" t="str">
        <f>"E000374279"</f>
        <v>E000374279</v>
      </c>
      <c r="BD167" t="str">
        <f>"רחמים זרוק"</f>
        <v>רחמים זרוק</v>
      </c>
    </row>
    <row r="168" spans="1:56" x14ac:dyDescent="0.3">
      <c r="A168" s="1">
        <v>45173</v>
      </c>
      <c r="B168" t="str">
        <f>"SI236001173"</f>
        <v>SI236001173</v>
      </c>
      <c r="E168" t="str">
        <f>"Y"</f>
        <v>Y</v>
      </c>
      <c r="F168" t="str">
        <f>"חשבוניות מרכזות"</f>
        <v>חשבוניות מרכזות</v>
      </c>
      <c r="G168" t="str">
        <f>"700065"</f>
        <v>700065</v>
      </c>
      <c r="H168" t="str">
        <f>"אלתא מערכות בע""מ"</f>
        <v>אלתא מערכות בע"מ</v>
      </c>
      <c r="I168" t="str">
        <f>"10"</f>
        <v>10</v>
      </c>
      <c r="J168" t="str">
        <f>"OP-AR02918"</f>
        <v>OP-AR02918</v>
      </c>
      <c r="K168" t="str">
        <f>"HU PDB1 1033H520-001"</f>
        <v>HU PDB1 1033H520-001</v>
      </c>
      <c r="L168">
        <v>1</v>
      </c>
      <c r="M168" t="str">
        <f>"יח"</f>
        <v>יח</v>
      </c>
      <c r="N168">
        <v>1</v>
      </c>
      <c r="O168" t="str">
        <f>"יח"</f>
        <v>יח</v>
      </c>
      <c r="P168" s="2">
        <v>41000</v>
      </c>
      <c r="Q168" t="str">
        <f>"$"</f>
        <v>$</v>
      </c>
      <c r="R168" t="str">
        <f>"הזמנה"</f>
        <v>הזמנה</v>
      </c>
      <c r="S168">
        <v>0</v>
      </c>
      <c r="T168" s="2">
        <v>41000</v>
      </c>
      <c r="U168">
        <v>0</v>
      </c>
      <c r="V168" s="2">
        <v>41000</v>
      </c>
      <c r="W168" t="str">
        <f>"$"</f>
        <v>$</v>
      </c>
      <c r="X168">
        <v>0</v>
      </c>
      <c r="Y168">
        <v>0</v>
      </c>
      <c r="Z168">
        <v>0</v>
      </c>
      <c r="AA168" t="str">
        <f>"Y"</f>
        <v>Y</v>
      </c>
      <c r="AB168" t="str">
        <f>"SO22000016"</f>
        <v>SO22000016</v>
      </c>
      <c r="AC168">
        <v>17</v>
      </c>
      <c r="AD168" s="1">
        <v>44574</v>
      </c>
      <c r="AM168" t="str">
        <f>"10"</f>
        <v>10</v>
      </c>
      <c r="AN168" t="str">
        <f>"500000"</f>
        <v>500000</v>
      </c>
      <c r="AO168" t="str">
        <f>"הכנסות  מלקוחות"</f>
        <v>הכנסות  מלקוחות</v>
      </c>
      <c r="AQ168" t="str">
        <f>"007"</f>
        <v>007</v>
      </c>
      <c r="AR168">
        <v>0</v>
      </c>
      <c r="AS168">
        <v>0</v>
      </c>
      <c r="AT168">
        <v>3.7949999999999999</v>
      </c>
      <c r="AX168" t="str">
        <f>"E000355064"</f>
        <v>E000355064</v>
      </c>
      <c r="BD168" t="str">
        <f>"רוני דידי"</f>
        <v>רוני דידי</v>
      </c>
    </row>
    <row r="169" spans="1:56" x14ac:dyDescent="0.3">
      <c r="A169" s="1">
        <v>45173</v>
      </c>
      <c r="B169" t="str">
        <f>"SI236001172"</f>
        <v>SI236001172</v>
      </c>
      <c r="C169" t="str">
        <f>"PR23000189"</f>
        <v>PR23000189</v>
      </c>
      <c r="D169" t="str">
        <f>"PR23000189"</f>
        <v>PR23000189</v>
      </c>
      <c r="E169" t="str">
        <f>"Y"</f>
        <v>Y</v>
      </c>
      <c r="F169" t="str">
        <f>"חשבוניות מרכזות"</f>
        <v>חשבוניות מרכזות</v>
      </c>
      <c r="G169" t="str">
        <f>"700065"</f>
        <v>700065</v>
      </c>
      <c r="H169" t="str">
        <f>"אלתא מערכות בע""מ"</f>
        <v>אלתא מערכות בע"מ</v>
      </c>
      <c r="I169" t="str">
        <f>"10"</f>
        <v>10</v>
      </c>
      <c r="J169" t="str">
        <f>"OP-AR01232"</f>
        <v>OP-AR01232</v>
      </c>
      <c r="K169" t="str">
        <f>"AC SUPPLY CONTROL BOX"</f>
        <v>AC SUPPLY CONTROL BOX</v>
      </c>
      <c r="L169">
        <v>1</v>
      </c>
      <c r="M169" t="str">
        <f>"יח"</f>
        <v>יח</v>
      </c>
      <c r="N169">
        <v>1</v>
      </c>
      <c r="O169" t="str">
        <f>"יח"</f>
        <v>יח</v>
      </c>
      <c r="P169" s="2">
        <v>8550</v>
      </c>
      <c r="Q169" t="str">
        <f>"$"</f>
        <v>$</v>
      </c>
      <c r="R169" t="str">
        <f>"הזמנה"</f>
        <v>הזמנה</v>
      </c>
      <c r="S169">
        <v>0</v>
      </c>
      <c r="T169" s="2">
        <v>8550</v>
      </c>
      <c r="U169">
        <v>0</v>
      </c>
      <c r="V169" s="2">
        <v>8550</v>
      </c>
      <c r="W169" t="str">
        <f>"$"</f>
        <v>$</v>
      </c>
      <c r="X169">
        <v>0</v>
      </c>
      <c r="Y169">
        <v>0</v>
      </c>
      <c r="Z169">
        <v>0</v>
      </c>
      <c r="AA169" t="str">
        <f>"Y"</f>
        <v>Y</v>
      </c>
      <c r="AB169" t="str">
        <f>"SO23000124"</f>
        <v>SO23000124</v>
      </c>
      <c r="AC169">
        <v>1</v>
      </c>
      <c r="AD169" s="1">
        <v>44986</v>
      </c>
      <c r="AM169" t="str">
        <f>"10"</f>
        <v>10</v>
      </c>
      <c r="AN169" t="str">
        <f>"500000"</f>
        <v>500000</v>
      </c>
      <c r="AO169" t="str">
        <f>"הכנסות  מלקוחות"</f>
        <v>הכנסות  מלקוחות</v>
      </c>
      <c r="AQ169" t="str">
        <f>"007"</f>
        <v>007</v>
      </c>
      <c r="AR169">
        <v>0</v>
      </c>
      <c r="AS169">
        <v>0</v>
      </c>
      <c r="AT169">
        <v>3.7949999999999999</v>
      </c>
      <c r="AX169" t="str">
        <f>"E000387558"</f>
        <v>E000387558</v>
      </c>
      <c r="BD169" t="str">
        <f>"רוני דידי"</f>
        <v>רוני דידי</v>
      </c>
    </row>
    <row r="170" spans="1:56" x14ac:dyDescent="0.3">
      <c r="A170" s="1">
        <v>45173</v>
      </c>
      <c r="B170" t="str">
        <f>"SI236001171"</f>
        <v>SI236001171</v>
      </c>
      <c r="E170" t="str">
        <f>"Y"</f>
        <v>Y</v>
      </c>
      <c r="F170" t="str">
        <f>"חשבוניות מרכזות"</f>
        <v>חשבוניות מרכזות</v>
      </c>
      <c r="G170" t="str">
        <f>"700065"</f>
        <v>700065</v>
      </c>
      <c r="H170" t="str">
        <f>"אלתא מערכות בע""מ"</f>
        <v>אלתא מערכות בע"מ</v>
      </c>
      <c r="I170" t="str">
        <f>"10"</f>
        <v>10</v>
      </c>
      <c r="J170" t="str">
        <f>"OP-AR03538"</f>
        <v>OP-AR03538</v>
      </c>
      <c r="K170" t="str">
        <f>"1043B860-001 PDB1 M"</f>
        <v>1043B860-001 PDB1 M</v>
      </c>
      <c r="L170">
        <v>1</v>
      </c>
      <c r="M170" t="str">
        <f>"יח"</f>
        <v>יח</v>
      </c>
      <c r="N170">
        <v>1</v>
      </c>
      <c r="O170" t="str">
        <f>"יח"</f>
        <v>יח</v>
      </c>
      <c r="P170" s="2">
        <v>43055</v>
      </c>
      <c r="Q170" t="str">
        <f>"$"</f>
        <v>$</v>
      </c>
      <c r="R170" t="str">
        <f>"הזמנה"</f>
        <v>הזמנה</v>
      </c>
      <c r="S170">
        <v>0</v>
      </c>
      <c r="T170" s="2">
        <v>43055</v>
      </c>
      <c r="U170">
        <v>0</v>
      </c>
      <c r="V170" s="2">
        <v>43055</v>
      </c>
      <c r="W170" t="str">
        <f>"$"</f>
        <v>$</v>
      </c>
      <c r="X170">
        <v>0</v>
      </c>
      <c r="Y170">
        <v>0</v>
      </c>
      <c r="Z170">
        <v>0</v>
      </c>
      <c r="AA170" t="str">
        <f>"Y"</f>
        <v>Y</v>
      </c>
      <c r="AC170">
        <v>0</v>
      </c>
      <c r="AM170" t="str">
        <f>"10"</f>
        <v>10</v>
      </c>
      <c r="AN170" t="str">
        <f>"500000"</f>
        <v>500000</v>
      </c>
      <c r="AO170" t="str">
        <f>"הכנסות  מלקוחות"</f>
        <v>הכנסות  מלקוחות</v>
      </c>
      <c r="AQ170" t="str">
        <f>"034"</f>
        <v>034</v>
      </c>
      <c r="AR170">
        <v>0</v>
      </c>
      <c r="AS170">
        <v>0</v>
      </c>
      <c r="AT170">
        <v>3.7949999999999999</v>
      </c>
      <c r="BB170" t="str">
        <f>"Y"</f>
        <v>Y</v>
      </c>
      <c r="BD170" t="str">
        <f>"ערן שלו"</f>
        <v>ערן שלו</v>
      </c>
    </row>
    <row r="171" spans="1:56" x14ac:dyDescent="0.3">
      <c r="A171" s="1">
        <v>45173</v>
      </c>
      <c r="B171" t="str">
        <f>"SI236001170"</f>
        <v>SI236001170</v>
      </c>
      <c r="E171" t="str">
        <f>"Y"</f>
        <v>Y</v>
      </c>
      <c r="F171" t="str">
        <f>"חשבוניות מרכזות"</f>
        <v>חשבוניות מרכזות</v>
      </c>
      <c r="G171" t="str">
        <f>"700065"</f>
        <v>700065</v>
      </c>
      <c r="H171" t="str">
        <f>"אלתא מערכות בע""מ"</f>
        <v>אלתא מערכות בע"מ</v>
      </c>
      <c r="I171" t="str">
        <f>"10"</f>
        <v>10</v>
      </c>
      <c r="J171" t="str">
        <f>"OP-AR03539"</f>
        <v>OP-AR03539</v>
      </c>
      <c r="K171" t="str">
        <f>"PDB2 שורד  1038C870-001"</f>
        <v>PDB2 שורד  1038C870-001</v>
      </c>
      <c r="L171">
        <v>-1</v>
      </c>
      <c r="M171" t="str">
        <f>"יח"</f>
        <v>יח</v>
      </c>
      <c r="N171">
        <v>-1</v>
      </c>
      <c r="O171" t="str">
        <f>"יח"</f>
        <v>יח</v>
      </c>
      <c r="P171" s="2">
        <v>26985</v>
      </c>
      <c r="Q171" t="str">
        <f>"$"</f>
        <v>$</v>
      </c>
      <c r="R171" t="str">
        <f>"הזמנה"</f>
        <v>הזמנה</v>
      </c>
      <c r="S171">
        <v>0</v>
      </c>
      <c r="T171" s="2">
        <v>-26985</v>
      </c>
      <c r="U171">
        <v>0</v>
      </c>
      <c r="V171" s="2">
        <v>-26985</v>
      </c>
      <c r="W171" t="str">
        <f>"$"</f>
        <v>$</v>
      </c>
      <c r="X171">
        <v>0</v>
      </c>
      <c r="Y171">
        <v>0</v>
      </c>
      <c r="Z171">
        <v>0</v>
      </c>
      <c r="AA171" t="str">
        <f>"Y"</f>
        <v>Y</v>
      </c>
      <c r="AC171">
        <v>0</v>
      </c>
      <c r="AM171" t="str">
        <f>"10"</f>
        <v>10</v>
      </c>
      <c r="AN171" t="str">
        <f>"500000"</f>
        <v>500000</v>
      </c>
      <c r="AO171" t="str">
        <f>"הכנסות  מלקוחות"</f>
        <v>הכנסות  מלקוחות</v>
      </c>
      <c r="AQ171" t="str">
        <f>"034"</f>
        <v>034</v>
      </c>
      <c r="AR171">
        <v>0</v>
      </c>
      <c r="AS171">
        <v>0</v>
      </c>
      <c r="AT171">
        <v>3.7949999999999999</v>
      </c>
      <c r="BB171" t="str">
        <f>"Y"</f>
        <v>Y</v>
      </c>
      <c r="BD171" t="str">
        <f>"ערן שלו"</f>
        <v>ערן שלו</v>
      </c>
    </row>
    <row r="172" spans="1:56" x14ac:dyDescent="0.3">
      <c r="A172" s="1">
        <v>45173</v>
      </c>
      <c r="B172" t="str">
        <f>"SI236001170"</f>
        <v>SI236001170</v>
      </c>
      <c r="E172" t="str">
        <f>"Y"</f>
        <v>Y</v>
      </c>
      <c r="F172" t="str">
        <f>"חשבוניות מרכזות"</f>
        <v>חשבוניות מרכזות</v>
      </c>
      <c r="G172" t="str">
        <f>"700065"</f>
        <v>700065</v>
      </c>
      <c r="H172" t="str">
        <f>"אלתא מערכות בע""מ"</f>
        <v>אלתא מערכות בע"מ</v>
      </c>
      <c r="I172" t="str">
        <f>"10"</f>
        <v>10</v>
      </c>
      <c r="J172" t="str">
        <f>"OP-AR02042"</f>
        <v>OP-AR02042</v>
      </c>
      <c r="K172" t="str">
        <f>"PDB2  1038C870-001"</f>
        <v>PDB2  1038C870-001</v>
      </c>
      <c r="L172">
        <v>-1</v>
      </c>
      <c r="M172" t="str">
        <f>"יח"</f>
        <v>יח</v>
      </c>
      <c r="N172">
        <v>-1</v>
      </c>
      <c r="O172" t="str">
        <f>"יח"</f>
        <v>יח</v>
      </c>
      <c r="P172" s="2">
        <v>26985</v>
      </c>
      <c r="Q172" t="str">
        <f>"$"</f>
        <v>$</v>
      </c>
      <c r="R172" t="str">
        <f>"הזמנה"</f>
        <v>הזמנה</v>
      </c>
      <c r="S172">
        <v>0</v>
      </c>
      <c r="T172" s="2">
        <v>-26985</v>
      </c>
      <c r="U172">
        <v>0</v>
      </c>
      <c r="V172" s="2">
        <v>-26985</v>
      </c>
      <c r="W172" t="str">
        <f>"$"</f>
        <v>$</v>
      </c>
      <c r="X172">
        <v>0</v>
      </c>
      <c r="Y172">
        <v>0</v>
      </c>
      <c r="Z172">
        <v>0</v>
      </c>
      <c r="AA172" t="str">
        <f>"Y"</f>
        <v>Y</v>
      </c>
      <c r="AC172">
        <v>0</v>
      </c>
      <c r="AM172" t="str">
        <f>"10"</f>
        <v>10</v>
      </c>
      <c r="AN172" t="str">
        <f>"500000"</f>
        <v>500000</v>
      </c>
      <c r="AO172" t="str">
        <f>"הכנסות  מלקוחות"</f>
        <v>הכנסות  מלקוחות</v>
      </c>
      <c r="AQ172" t="str">
        <f>"034"</f>
        <v>034</v>
      </c>
      <c r="AR172">
        <v>0</v>
      </c>
      <c r="AS172">
        <v>0</v>
      </c>
      <c r="AT172">
        <v>3.7949999999999999</v>
      </c>
      <c r="BB172" t="str">
        <f>"Y"</f>
        <v>Y</v>
      </c>
      <c r="BD172" t="str">
        <f>"ערן שלו"</f>
        <v>ערן שלו</v>
      </c>
    </row>
    <row r="173" spans="1:56" x14ac:dyDescent="0.3">
      <c r="A173" s="1">
        <v>45173</v>
      </c>
      <c r="B173" t="str">
        <f>"SI236001170"</f>
        <v>SI236001170</v>
      </c>
      <c r="E173" t="str">
        <f>"Y"</f>
        <v>Y</v>
      </c>
      <c r="F173" t="str">
        <f>"חשבוניות מרכזות"</f>
        <v>חשבוניות מרכזות</v>
      </c>
      <c r="G173" t="str">
        <f>"700065"</f>
        <v>700065</v>
      </c>
      <c r="H173" t="str">
        <f>"אלתא מערכות בע""מ"</f>
        <v>אלתא מערכות בע"מ</v>
      </c>
      <c r="I173" t="str">
        <f>"10"</f>
        <v>10</v>
      </c>
      <c r="J173" t="str">
        <f>"OP-AR02042"</f>
        <v>OP-AR02042</v>
      </c>
      <c r="K173" t="str">
        <f>"PDB2  1038C870-001"</f>
        <v>PDB2  1038C870-001</v>
      </c>
      <c r="L173">
        <v>-1</v>
      </c>
      <c r="M173" t="str">
        <f>"יח"</f>
        <v>יח</v>
      </c>
      <c r="N173">
        <v>-1</v>
      </c>
      <c r="O173" t="str">
        <f>"יח"</f>
        <v>יח</v>
      </c>
      <c r="P173" s="2">
        <v>26985</v>
      </c>
      <c r="Q173" t="str">
        <f>"$"</f>
        <v>$</v>
      </c>
      <c r="R173" t="str">
        <f>"הזמנה"</f>
        <v>הזמנה</v>
      </c>
      <c r="S173">
        <v>0</v>
      </c>
      <c r="T173" s="2">
        <v>-26985</v>
      </c>
      <c r="U173">
        <v>0</v>
      </c>
      <c r="V173" s="2">
        <v>-26985</v>
      </c>
      <c r="W173" t="str">
        <f>"$"</f>
        <v>$</v>
      </c>
      <c r="X173">
        <v>0</v>
      </c>
      <c r="Y173">
        <v>0</v>
      </c>
      <c r="Z173">
        <v>0</v>
      </c>
      <c r="AA173" t="str">
        <f>"Y"</f>
        <v>Y</v>
      </c>
      <c r="AC173">
        <v>0</v>
      </c>
      <c r="AM173" t="str">
        <f>"10"</f>
        <v>10</v>
      </c>
      <c r="AN173" t="str">
        <f>"500000"</f>
        <v>500000</v>
      </c>
      <c r="AO173" t="str">
        <f>"הכנסות  מלקוחות"</f>
        <v>הכנסות  מלקוחות</v>
      </c>
      <c r="AQ173" t="str">
        <f>"034"</f>
        <v>034</v>
      </c>
      <c r="AR173">
        <v>0</v>
      </c>
      <c r="AS173">
        <v>0</v>
      </c>
      <c r="AT173">
        <v>3.7949999999999999</v>
      </c>
      <c r="BB173" t="str">
        <f>"Y"</f>
        <v>Y</v>
      </c>
      <c r="BD173" t="str">
        <f>"ערן שלו"</f>
        <v>ערן שלו</v>
      </c>
    </row>
    <row r="174" spans="1:56" x14ac:dyDescent="0.3">
      <c r="A174" s="1">
        <v>45173</v>
      </c>
      <c r="B174" t="str">
        <f>"SI236001170"</f>
        <v>SI236001170</v>
      </c>
      <c r="E174" t="str">
        <f>"Y"</f>
        <v>Y</v>
      </c>
      <c r="F174" t="str">
        <f>"חשבוניות מרכזות"</f>
        <v>חשבוניות מרכזות</v>
      </c>
      <c r="G174" t="str">
        <f>"700065"</f>
        <v>700065</v>
      </c>
      <c r="H174" t="str">
        <f>"אלתא מערכות בע""מ"</f>
        <v>אלתא מערכות בע"מ</v>
      </c>
      <c r="I174" t="str">
        <f>"10"</f>
        <v>10</v>
      </c>
      <c r="J174" t="str">
        <f>"OP-AR03538"</f>
        <v>OP-AR03538</v>
      </c>
      <c r="K174" t="str">
        <f>"1043B860-001 PDB1 M"</f>
        <v>1043B860-001 PDB1 M</v>
      </c>
      <c r="L174">
        <v>-1</v>
      </c>
      <c r="M174" t="str">
        <f>"יח"</f>
        <v>יח</v>
      </c>
      <c r="N174">
        <v>-1</v>
      </c>
      <c r="O174" t="str">
        <f>"יח"</f>
        <v>יח</v>
      </c>
      <c r="P174" s="2">
        <v>43055</v>
      </c>
      <c r="Q174" t="str">
        <f>"$"</f>
        <v>$</v>
      </c>
      <c r="R174" t="str">
        <f>"הזמנה"</f>
        <v>הזמנה</v>
      </c>
      <c r="S174">
        <v>0</v>
      </c>
      <c r="T174" s="2">
        <v>-43055</v>
      </c>
      <c r="U174">
        <v>0</v>
      </c>
      <c r="V174" s="2">
        <v>-43055</v>
      </c>
      <c r="W174" t="str">
        <f>"$"</f>
        <v>$</v>
      </c>
      <c r="X174">
        <v>0</v>
      </c>
      <c r="Y174">
        <v>0</v>
      </c>
      <c r="Z174">
        <v>0</v>
      </c>
      <c r="AA174" t="str">
        <f>"Y"</f>
        <v>Y</v>
      </c>
      <c r="AC174">
        <v>0</v>
      </c>
      <c r="AM174" t="str">
        <f>"10"</f>
        <v>10</v>
      </c>
      <c r="AN174" t="str">
        <f>"500000"</f>
        <v>500000</v>
      </c>
      <c r="AO174" t="str">
        <f>"הכנסות  מלקוחות"</f>
        <v>הכנסות  מלקוחות</v>
      </c>
      <c r="AP174" t="str">
        <f>"Y"</f>
        <v>Y</v>
      </c>
      <c r="AQ174" t="str">
        <f>"034"</f>
        <v>034</v>
      </c>
      <c r="AR174">
        <v>0</v>
      </c>
      <c r="AS174">
        <v>0</v>
      </c>
      <c r="AT174">
        <v>3.7949999999999999</v>
      </c>
      <c r="BB174" t="str">
        <f>"Y"</f>
        <v>Y</v>
      </c>
      <c r="BD174" t="str">
        <f>"ערן שלו"</f>
        <v>ערן שלו</v>
      </c>
    </row>
    <row r="175" spans="1:56" x14ac:dyDescent="0.3">
      <c r="A175" s="1">
        <v>45173</v>
      </c>
      <c r="B175" t="str">
        <f>"SI236001170"</f>
        <v>SI236001170</v>
      </c>
      <c r="E175" t="str">
        <f>"Y"</f>
        <v>Y</v>
      </c>
      <c r="F175" t="str">
        <f>"חשבוניות מרכזות"</f>
        <v>חשבוניות מרכזות</v>
      </c>
      <c r="G175" t="str">
        <f>"700065"</f>
        <v>700065</v>
      </c>
      <c r="H175" t="str">
        <f>"אלתא מערכות בע""מ"</f>
        <v>אלתא מערכות בע"מ</v>
      </c>
      <c r="I175" t="str">
        <f>"10"</f>
        <v>10</v>
      </c>
      <c r="J175" t="str">
        <f>"OP-AR03538"</f>
        <v>OP-AR03538</v>
      </c>
      <c r="K175" t="str">
        <f>"1043B860-001 PDB1 M"</f>
        <v>1043B860-001 PDB1 M</v>
      </c>
      <c r="L175">
        <v>-1</v>
      </c>
      <c r="M175" t="str">
        <f>"יח"</f>
        <v>יח</v>
      </c>
      <c r="N175">
        <v>-1</v>
      </c>
      <c r="O175" t="str">
        <f>"יח"</f>
        <v>יח</v>
      </c>
      <c r="P175" s="2">
        <v>43055</v>
      </c>
      <c r="Q175" t="str">
        <f>"$"</f>
        <v>$</v>
      </c>
      <c r="R175" t="str">
        <f>"הזמנה"</f>
        <v>הזמנה</v>
      </c>
      <c r="S175">
        <v>0</v>
      </c>
      <c r="T175" s="2">
        <v>-43055</v>
      </c>
      <c r="U175">
        <v>0</v>
      </c>
      <c r="V175" s="2">
        <v>-43055</v>
      </c>
      <c r="W175" t="str">
        <f>"$"</f>
        <v>$</v>
      </c>
      <c r="X175">
        <v>0</v>
      </c>
      <c r="Y175">
        <v>0</v>
      </c>
      <c r="Z175">
        <v>0</v>
      </c>
      <c r="AA175" t="str">
        <f>"Y"</f>
        <v>Y</v>
      </c>
      <c r="AC175">
        <v>0</v>
      </c>
      <c r="AM175" t="str">
        <f>"10"</f>
        <v>10</v>
      </c>
      <c r="AN175" t="str">
        <f>"500000"</f>
        <v>500000</v>
      </c>
      <c r="AO175" t="str">
        <f>"הכנסות  מלקוחות"</f>
        <v>הכנסות  מלקוחות</v>
      </c>
      <c r="AQ175" t="str">
        <f>"034"</f>
        <v>034</v>
      </c>
      <c r="AR175">
        <v>0</v>
      </c>
      <c r="AS175">
        <v>0</v>
      </c>
      <c r="AT175">
        <v>3.7949999999999999</v>
      </c>
      <c r="BB175" t="str">
        <f>"Y"</f>
        <v>Y</v>
      </c>
      <c r="BD175" t="str">
        <f>"ערן שלו"</f>
        <v>ערן שלו</v>
      </c>
    </row>
    <row r="176" spans="1:56" x14ac:dyDescent="0.3">
      <c r="A176" s="1">
        <v>45173</v>
      </c>
      <c r="B176" t="str">
        <f>"SI236001170"</f>
        <v>SI236001170</v>
      </c>
      <c r="E176" t="str">
        <f>"Y"</f>
        <v>Y</v>
      </c>
      <c r="F176" t="str">
        <f>"חשבוניות מרכזות"</f>
        <v>חשבוניות מרכזות</v>
      </c>
      <c r="G176" t="str">
        <f>"700065"</f>
        <v>700065</v>
      </c>
      <c r="H176" t="str">
        <f>"אלתא מערכות בע""מ"</f>
        <v>אלתא מערכות בע"מ</v>
      </c>
      <c r="I176" t="str">
        <f>"10"</f>
        <v>10</v>
      </c>
      <c r="J176" t="str">
        <f>"OP-AR03538"</f>
        <v>OP-AR03538</v>
      </c>
      <c r="K176" t="str">
        <f>"1043B860-001 PDB1 M"</f>
        <v>1043B860-001 PDB1 M</v>
      </c>
      <c r="L176">
        <v>-1</v>
      </c>
      <c r="M176" t="str">
        <f>"יח"</f>
        <v>יח</v>
      </c>
      <c r="N176">
        <v>-1</v>
      </c>
      <c r="O176" t="str">
        <f>"יח"</f>
        <v>יח</v>
      </c>
      <c r="P176" s="2">
        <v>43055</v>
      </c>
      <c r="Q176" t="str">
        <f>"$"</f>
        <v>$</v>
      </c>
      <c r="R176" t="str">
        <f>"הזמנה"</f>
        <v>הזמנה</v>
      </c>
      <c r="S176">
        <v>0</v>
      </c>
      <c r="T176" s="2">
        <v>-43055</v>
      </c>
      <c r="U176">
        <v>0</v>
      </c>
      <c r="V176" s="2">
        <v>-43055</v>
      </c>
      <c r="W176" t="str">
        <f>"$"</f>
        <v>$</v>
      </c>
      <c r="X176">
        <v>0</v>
      </c>
      <c r="Y176">
        <v>0</v>
      </c>
      <c r="Z176">
        <v>0</v>
      </c>
      <c r="AA176" t="str">
        <f>"Y"</f>
        <v>Y</v>
      </c>
      <c r="AC176">
        <v>0</v>
      </c>
      <c r="AM176" t="str">
        <f>"10"</f>
        <v>10</v>
      </c>
      <c r="AN176" t="str">
        <f>"500000"</f>
        <v>500000</v>
      </c>
      <c r="AO176" t="str">
        <f>"הכנסות  מלקוחות"</f>
        <v>הכנסות  מלקוחות</v>
      </c>
      <c r="AQ176" t="str">
        <f>"034"</f>
        <v>034</v>
      </c>
      <c r="AR176">
        <v>0</v>
      </c>
      <c r="AS176">
        <v>0</v>
      </c>
      <c r="AT176">
        <v>3.7949999999999999</v>
      </c>
      <c r="BB176" t="str">
        <f>"Y"</f>
        <v>Y</v>
      </c>
      <c r="BD176" t="str">
        <f>"ערן שלו"</f>
        <v>ערן שלו</v>
      </c>
    </row>
    <row r="177" spans="1:56" x14ac:dyDescent="0.3">
      <c r="A177" s="1">
        <v>45173</v>
      </c>
      <c r="B177" t="str">
        <f>"SI236001170"</f>
        <v>SI236001170</v>
      </c>
      <c r="E177" t="str">
        <f>"Y"</f>
        <v>Y</v>
      </c>
      <c r="F177" t="str">
        <f>"חשבוניות מרכזות"</f>
        <v>חשבוניות מרכזות</v>
      </c>
      <c r="G177" t="str">
        <f>"700065"</f>
        <v>700065</v>
      </c>
      <c r="H177" t="str">
        <f>"אלתא מערכות בע""מ"</f>
        <v>אלתא מערכות בע"מ</v>
      </c>
      <c r="I177" t="str">
        <f>"10"</f>
        <v>10</v>
      </c>
      <c r="J177" t="str">
        <f>"OP-AR02041"</f>
        <v>OP-AR02041</v>
      </c>
      <c r="K177" t="str">
        <f>"PDB1 1038C860-001"</f>
        <v>PDB1 1038C860-001</v>
      </c>
      <c r="L177">
        <v>-1</v>
      </c>
      <c r="M177" t="str">
        <f>"יח"</f>
        <v>יח</v>
      </c>
      <c r="N177">
        <v>-1</v>
      </c>
      <c r="O177" t="str">
        <f>"יח"</f>
        <v>יח</v>
      </c>
      <c r="P177" s="2">
        <v>41000</v>
      </c>
      <c r="Q177" t="str">
        <f>"$"</f>
        <v>$</v>
      </c>
      <c r="R177" t="str">
        <f>"הזמנה"</f>
        <v>הזמנה</v>
      </c>
      <c r="S177">
        <v>0</v>
      </c>
      <c r="T177" s="2">
        <v>-41000</v>
      </c>
      <c r="U177">
        <v>0</v>
      </c>
      <c r="V177" s="2">
        <v>-41000</v>
      </c>
      <c r="W177" t="str">
        <f>"$"</f>
        <v>$</v>
      </c>
      <c r="X177">
        <v>0</v>
      </c>
      <c r="Y177">
        <v>0</v>
      </c>
      <c r="Z177">
        <v>0</v>
      </c>
      <c r="AA177" t="str">
        <f>"Y"</f>
        <v>Y</v>
      </c>
      <c r="AC177">
        <v>0</v>
      </c>
      <c r="AM177" t="str">
        <f>"10"</f>
        <v>10</v>
      </c>
      <c r="AN177" t="str">
        <f>"500000"</f>
        <v>500000</v>
      </c>
      <c r="AO177" t="str">
        <f>"הכנסות  מלקוחות"</f>
        <v>הכנסות  מלקוחות</v>
      </c>
      <c r="AQ177" t="str">
        <f>"034"</f>
        <v>034</v>
      </c>
      <c r="AR177">
        <v>0</v>
      </c>
      <c r="AS177">
        <v>0</v>
      </c>
      <c r="AT177">
        <v>3.7949999999999999</v>
      </c>
      <c r="BB177" t="str">
        <f>"Y"</f>
        <v>Y</v>
      </c>
      <c r="BD177" t="str">
        <f>"ערן שלו"</f>
        <v>ערן שלו</v>
      </c>
    </row>
    <row r="178" spans="1:56" x14ac:dyDescent="0.3">
      <c r="A178" s="1">
        <v>45173</v>
      </c>
      <c r="B178" t="str">
        <f>"SI236001170"</f>
        <v>SI236001170</v>
      </c>
      <c r="E178" t="str">
        <f>"Y"</f>
        <v>Y</v>
      </c>
      <c r="F178" t="str">
        <f>"חשבוניות מרכזות"</f>
        <v>חשבוניות מרכזות</v>
      </c>
      <c r="G178" t="str">
        <f>"700065"</f>
        <v>700065</v>
      </c>
      <c r="H178" t="str">
        <f>"אלתא מערכות בע""מ"</f>
        <v>אלתא מערכות בע"מ</v>
      </c>
      <c r="I178" t="str">
        <f>"10"</f>
        <v>10</v>
      </c>
      <c r="J178" t="str">
        <f>"OP-AR02041"</f>
        <v>OP-AR02041</v>
      </c>
      <c r="K178" t="str">
        <f>"PDB1 1038C860-001"</f>
        <v>PDB1 1038C860-001</v>
      </c>
      <c r="L178">
        <v>-1</v>
      </c>
      <c r="M178" t="str">
        <f>"יח"</f>
        <v>יח</v>
      </c>
      <c r="N178">
        <v>-1</v>
      </c>
      <c r="O178" t="str">
        <f>"יח"</f>
        <v>יח</v>
      </c>
      <c r="P178" s="2">
        <v>41000</v>
      </c>
      <c r="Q178" t="str">
        <f>"$"</f>
        <v>$</v>
      </c>
      <c r="R178" t="str">
        <f>"הזמנה"</f>
        <v>הזמנה</v>
      </c>
      <c r="S178">
        <v>0</v>
      </c>
      <c r="T178" s="2">
        <v>-41000</v>
      </c>
      <c r="U178">
        <v>0</v>
      </c>
      <c r="V178" s="2">
        <v>-41000</v>
      </c>
      <c r="W178" t="str">
        <f>"$"</f>
        <v>$</v>
      </c>
      <c r="X178">
        <v>0</v>
      </c>
      <c r="Y178">
        <v>0</v>
      </c>
      <c r="Z178">
        <v>0</v>
      </c>
      <c r="AA178" t="str">
        <f>"Y"</f>
        <v>Y</v>
      </c>
      <c r="AC178">
        <v>0</v>
      </c>
      <c r="AM178" t="str">
        <f>"10"</f>
        <v>10</v>
      </c>
      <c r="AN178" t="str">
        <f>"500000"</f>
        <v>500000</v>
      </c>
      <c r="AO178" t="str">
        <f>"הכנסות  מלקוחות"</f>
        <v>הכנסות  מלקוחות</v>
      </c>
      <c r="AQ178" t="str">
        <f>"034"</f>
        <v>034</v>
      </c>
      <c r="AR178">
        <v>0</v>
      </c>
      <c r="AS178">
        <v>0</v>
      </c>
      <c r="AT178">
        <v>3.7949999999999999</v>
      </c>
      <c r="BB178" t="str">
        <f>"Y"</f>
        <v>Y</v>
      </c>
      <c r="BD178" t="str">
        <f>"ערן שלו"</f>
        <v>ערן שלו</v>
      </c>
    </row>
    <row r="179" spans="1:56" x14ac:dyDescent="0.3">
      <c r="A179" s="1">
        <v>45173</v>
      </c>
      <c r="B179" t="str">
        <f>"SI236001170"</f>
        <v>SI236001170</v>
      </c>
      <c r="E179" t="str">
        <f>"Y"</f>
        <v>Y</v>
      </c>
      <c r="F179" t="str">
        <f>"חשבוניות מרכזות"</f>
        <v>חשבוניות מרכזות</v>
      </c>
      <c r="G179" t="str">
        <f>"700065"</f>
        <v>700065</v>
      </c>
      <c r="H179" t="str">
        <f>"אלתא מערכות בע""מ"</f>
        <v>אלתא מערכות בע"מ</v>
      </c>
      <c r="I179" t="str">
        <f>"10"</f>
        <v>10</v>
      </c>
      <c r="J179" t="str">
        <f>"OP-AR02041"</f>
        <v>OP-AR02041</v>
      </c>
      <c r="K179" t="str">
        <f>"PDB1 1038C860-001"</f>
        <v>PDB1 1038C860-001</v>
      </c>
      <c r="L179">
        <v>-1</v>
      </c>
      <c r="M179" t="str">
        <f>"יח"</f>
        <v>יח</v>
      </c>
      <c r="N179">
        <v>-1</v>
      </c>
      <c r="O179" t="str">
        <f>"יח"</f>
        <v>יח</v>
      </c>
      <c r="P179" s="2">
        <v>41000</v>
      </c>
      <c r="Q179" t="str">
        <f>"$"</f>
        <v>$</v>
      </c>
      <c r="R179" t="str">
        <f>"הזמנה"</f>
        <v>הזמנה</v>
      </c>
      <c r="S179">
        <v>0</v>
      </c>
      <c r="T179" s="2">
        <v>-41000</v>
      </c>
      <c r="U179">
        <v>0</v>
      </c>
      <c r="V179" s="2">
        <v>-41000</v>
      </c>
      <c r="W179" t="str">
        <f>"$"</f>
        <v>$</v>
      </c>
      <c r="X179">
        <v>0</v>
      </c>
      <c r="Y179">
        <v>0</v>
      </c>
      <c r="Z179">
        <v>0</v>
      </c>
      <c r="AA179" t="str">
        <f>"Y"</f>
        <v>Y</v>
      </c>
      <c r="AC179">
        <v>0</v>
      </c>
      <c r="AM179" t="str">
        <f>"10"</f>
        <v>10</v>
      </c>
      <c r="AN179" t="str">
        <f>"500000"</f>
        <v>500000</v>
      </c>
      <c r="AO179" t="str">
        <f>"הכנסות  מלקוחות"</f>
        <v>הכנסות  מלקוחות</v>
      </c>
      <c r="AQ179" t="str">
        <f>"034"</f>
        <v>034</v>
      </c>
      <c r="AR179">
        <v>0</v>
      </c>
      <c r="AS179">
        <v>0</v>
      </c>
      <c r="AT179">
        <v>3.7949999999999999</v>
      </c>
      <c r="BB179" t="str">
        <f>"Y"</f>
        <v>Y</v>
      </c>
      <c r="BD179" t="str">
        <f>"ערן שלו"</f>
        <v>ערן שלו</v>
      </c>
    </row>
    <row r="180" spans="1:56" x14ac:dyDescent="0.3">
      <c r="A180" s="1">
        <v>45173</v>
      </c>
      <c r="B180" t="str">
        <f>"SI236001170"</f>
        <v>SI236001170</v>
      </c>
      <c r="E180" t="str">
        <f>"Y"</f>
        <v>Y</v>
      </c>
      <c r="F180" t="str">
        <f>"חשבוניות מרכזות"</f>
        <v>חשבוניות מרכזות</v>
      </c>
      <c r="G180" t="str">
        <f>"700065"</f>
        <v>700065</v>
      </c>
      <c r="H180" t="str">
        <f>"אלתא מערכות בע""מ"</f>
        <v>אלתא מערכות בע"מ</v>
      </c>
      <c r="I180" t="str">
        <f>"10"</f>
        <v>10</v>
      </c>
      <c r="J180" t="str">
        <f>"OP-AR02041"</f>
        <v>OP-AR02041</v>
      </c>
      <c r="K180" t="str">
        <f>"PDB1 1038C860-001"</f>
        <v>PDB1 1038C860-001</v>
      </c>
      <c r="L180">
        <v>-1</v>
      </c>
      <c r="M180" t="str">
        <f>"יח"</f>
        <v>יח</v>
      </c>
      <c r="N180">
        <v>-1</v>
      </c>
      <c r="O180" t="str">
        <f>"יח"</f>
        <v>יח</v>
      </c>
      <c r="P180" s="2">
        <v>41000</v>
      </c>
      <c r="Q180" t="str">
        <f>"$"</f>
        <v>$</v>
      </c>
      <c r="R180" t="str">
        <f>"הזמנה"</f>
        <v>הזמנה</v>
      </c>
      <c r="S180">
        <v>0</v>
      </c>
      <c r="T180" s="2">
        <v>-41000</v>
      </c>
      <c r="U180">
        <v>0</v>
      </c>
      <c r="V180" s="2">
        <v>-41000</v>
      </c>
      <c r="W180" t="str">
        <f>"$"</f>
        <v>$</v>
      </c>
      <c r="X180">
        <v>0</v>
      </c>
      <c r="Y180">
        <v>0</v>
      </c>
      <c r="Z180">
        <v>0</v>
      </c>
      <c r="AA180" t="str">
        <f>"Y"</f>
        <v>Y</v>
      </c>
      <c r="AC180">
        <v>0</v>
      </c>
      <c r="AM180" t="str">
        <f>"10"</f>
        <v>10</v>
      </c>
      <c r="AN180" t="str">
        <f>"500000"</f>
        <v>500000</v>
      </c>
      <c r="AO180" t="str">
        <f>"הכנסות  מלקוחות"</f>
        <v>הכנסות  מלקוחות</v>
      </c>
      <c r="AQ180" t="str">
        <f>"034"</f>
        <v>034</v>
      </c>
      <c r="AR180">
        <v>0</v>
      </c>
      <c r="AS180">
        <v>0</v>
      </c>
      <c r="AT180">
        <v>3.7949999999999999</v>
      </c>
      <c r="BB180" t="str">
        <f>"Y"</f>
        <v>Y</v>
      </c>
      <c r="BD180" t="str">
        <f>"ערן שלו"</f>
        <v>ערן שלו</v>
      </c>
    </row>
    <row r="181" spans="1:56" x14ac:dyDescent="0.3">
      <c r="A181" s="1">
        <v>45173</v>
      </c>
      <c r="B181" t="str">
        <f>"SI236001169"</f>
        <v>SI236001169</v>
      </c>
      <c r="E181" t="str">
        <f>"Y"</f>
        <v>Y</v>
      </c>
      <c r="F181" t="str">
        <f>"חשבוניות מרכזות"</f>
        <v>חשבוניות מרכזות</v>
      </c>
      <c r="G181" t="str">
        <f>"700065"</f>
        <v>700065</v>
      </c>
      <c r="H181" t="str">
        <f>"אלתא מערכות בע""מ"</f>
        <v>אלתא מערכות בע"מ</v>
      </c>
      <c r="I181" t="str">
        <f>"10"</f>
        <v>10</v>
      </c>
      <c r="J181" t="str">
        <f>"OP-AR03539"</f>
        <v>OP-AR03539</v>
      </c>
      <c r="K181" t="str">
        <f>"PDB2 שורד  1038C870-001"</f>
        <v>PDB2 שורד  1038C870-001</v>
      </c>
      <c r="L181">
        <v>1</v>
      </c>
      <c r="M181" t="str">
        <f>"יח"</f>
        <v>יח</v>
      </c>
      <c r="N181">
        <v>1</v>
      </c>
      <c r="O181" t="str">
        <f>"יח"</f>
        <v>יח</v>
      </c>
      <c r="P181" s="2">
        <v>26985</v>
      </c>
      <c r="Q181" t="str">
        <f>"$"</f>
        <v>$</v>
      </c>
      <c r="R181" t="str">
        <f>"הזמנה"</f>
        <v>הזמנה</v>
      </c>
      <c r="S181">
        <v>0</v>
      </c>
      <c r="T181" s="2">
        <v>26985</v>
      </c>
      <c r="U181">
        <v>0</v>
      </c>
      <c r="V181" s="2">
        <v>26985</v>
      </c>
      <c r="W181" t="str">
        <f>"$"</f>
        <v>$</v>
      </c>
      <c r="X181">
        <v>0</v>
      </c>
      <c r="Y181">
        <v>0</v>
      </c>
      <c r="Z181">
        <v>0</v>
      </c>
      <c r="AA181" t="str">
        <f>"Y"</f>
        <v>Y</v>
      </c>
      <c r="AC181">
        <v>0</v>
      </c>
      <c r="AM181" t="str">
        <f>"10"</f>
        <v>10</v>
      </c>
      <c r="AN181" t="str">
        <f>"500000"</f>
        <v>500000</v>
      </c>
      <c r="AO181" t="str">
        <f>"הכנסות  מלקוחות"</f>
        <v>הכנסות  מלקוחות</v>
      </c>
      <c r="AQ181" t="str">
        <f>"034"</f>
        <v>034</v>
      </c>
      <c r="AR181">
        <v>0</v>
      </c>
      <c r="AS181">
        <v>0</v>
      </c>
      <c r="AT181">
        <v>3.7949999999999999</v>
      </c>
      <c r="BB181" t="str">
        <f>"Y"</f>
        <v>Y</v>
      </c>
      <c r="BD181" t="str">
        <f>"ערן שלו"</f>
        <v>ערן שלו</v>
      </c>
    </row>
    <row r="182" spans="1:56" x14ac:dyDescent="0.3">
      <c r="A182" s="1">
        <v>45173</v>
      </c>
      <c r="B182" t="str">
        <f>"SI236001169"</f>
        <v>SI236001169</v>
      </c>
      <c r="E182" t="str">
        <f>"Y"</f>
        <v>Y</v>
      </c>
      <c r="F182" t="str">
        <f>"חשבוניות מרכזות"</f>
        <v>חשבוניות מרכזות</v>
      </c>
      <c r="G182" t="str">
        <f>"700065"</f>
        <v>700065</v>
      </c>
      <c r="H182" t="str">
        <f>"אלתא מערכות בע""מ"</f>
        <v>אלתא מערכות בע"מ</v>
      </c>
      <c r="I182" t="str">
        <f>"10"</f>
        <v>10</v>
      </c>
      <c r="J182" t="str">
        <f>"OP-AR02042"</f>
        <v>OP-AR02042</v>
      </c>
      <c r="K182" t="str">
        <f>"PDB2  1038C870-001"</f>
        <v>PDB2  1038C870-001</v>
      </c>
      <c r="L182">
        <v>1</v>
      </c>
      <c r="M182" t="str">
        <f>"יח"</f>
        <v>יח</v>
      </c>
      <c r="N182">
        <v>1</v>
      </c>
      <c r="O182" t="str">
        <f>"יח"</f>
        <v>יח</v>
      </c>
      <c r="P182" s="2">
        <v>26985</v>
      </c>
      <c r="Q182" t="str">
        <f>"$"</f>
        <v>$</v>
      </c>
      <c r="R182" t="str">
        <f>"הזמנה"</f>
        <v>הזמנה</v>
      </c>
      <c r="S182">
        <v>0</v>
      </c>
      <c r="T182" s="2">
        <v>26985</v>
      </c>
      <c r="U182">
        <v>0</v>
      </c>
      <c r="V182" s="2">
        <v>26985</v>
      </c>
      <c r="W182" t="str">
        <f>"$"</f>
        <v>$</v>
      </c>
      <c r="X182">
        <v>0</v>
      </c>
      <c r="Y182">
        <v>0</v>
      </c>
      <c r="Z182">
        <v>0</v>
      </c>
      <c r="AA182" t="str">
        <f>"Y"</f>
        <v>Y</v>
      </c>
      <c r="AC182">
        <v>0</v>
      </c>
      <c r="AM182" t="str">
        <f>"10"</f>
        <v>10</v>
      </c>
      <c r="AN182" t="str">
        <f>"500000"</f>
        <v>500000</v>
      </c>
      <c r="AO182" t="str">
        <f>"הכנסות  מלקוחות"</f>
        <v>הכנסות  מלקוחות</v>
      </c>
      <c r="AQ182" t="str">
        <f>"034"</f>
        <v>034</v>
      </c>
      <c r="AR182">
        <v>0</v>
      </c>
      <c r="AS182">
        <v>0</v>
      </c>
      <c r="AT182">
        <v>3.7949999999999999</v>
      </c>
      <c r="BB182" t="str">
        <f>"Y"</f>
        <v>Y</v>
      </c>
      <c r="BD182" t="str">
        <f>"ערן שלו"</f>
        <v>ערן שלו</v>
      </c>
    </row>
    <row r="183" spans="1:56" x14ac:dyDescent="0.3">
      <c r="A183" s="1">
        <v>45173</v>
      </c>
      <c r="B183" t="str">
        <f>"SI236001169"</f>
        <v>SI236001169</v>
      </c>
      <c r="E183" t="str">
        <f>"Y"</f>
        <v>Y</v>
      </c>
      <c r="F183" t="str">
        <f>"חשבוניות מרכזות"</f>
        <v>חשבוניות מרכזות</v>
      </c>
      <c r="G183" t="str">
        <f>"700065"</f>
        <v>700065</v>
      </c>
      <c r="H183" t="str">
        <f>"אלתא מערכות בע""מ"</f>
        <v>אלתא מערכות בע"מ</v>
      </c>
      <c r="I183" t="str">
        <f>"10"</f>
        <v>10</v>
      </c>
      <c r="J183" t="str">
        <f>"OP-AR02042"</f>
        <v>OP-AR02042</v>
      </c>
      <c r="K183" t="str">
        <f>"PDB2  1038C870-001"</f>
        <v>PDB2  1038C870-001</v>
      </c>
      <c r="L183">
        <v>1</v>
      </c>
      <c r="M183" t="str">
        <f>"יח"</f>
        <v>יח</v>
      </c>
      <c r="N183">
        <v>1</v>
      </c>
      <c r="O183" t="str">
        <f>"יח"</f>
        <v>יח</v>
      </c>
      <c r="P183" s="2">
        <v>26985</v>
      </c>
      <c r="Q183" t="str">
        <f>"$"</f>
        <v>$</v>
      </c>
      <c r="R183" t="str">
        <f>"הזמנה"</f>
        <v>הזמנה</v>
      </c>
      <c r="S183">
        <v>0</v>
      </c>
      <c r="T183" s="2">
        <v>26985</v>
      </c>
      <c r="U183">
        <v>0</v>
      </c>
      <c r="V183" s="2">
        <v>26985</v>
      </c>
      <c r="W183" t="str">
        <f>"$"</f>
        <v>$</v>
      </c>
      <c r="X183">
        <v>0</v>
      </c>
      <c r="Y183">
        <v>0</v>
      </c>
      <c r="Z183">
        <v>0</v>
      </c>
      <c r="AA183" t="str">
        <f>"Y"</f>
        <v>Y</v>
      </c>
      <c r="AC183">
        <v>0</v>
      </c>
      <c r="AM183" t="str">
        <f>"10"</f>
        <v>10</v>
      </c>
      <c r="AN183" t="str">
        <f>"500000"</f>
        <v>500000</v>
      </c>
      <c r="AO183" t="str">
        <f>"הכנסות  מלקוחות"</f>
        <v>הכנסות  מלקוחות</v>
      </c>
      <c r="AQ183" t="str">
        <f>"034"</f>
        <v>034</v>
      </c>
      <c r="AR183">
        <v>0</v>
      </c>
      <c r="AS183">
        <v>0</v>
      </c>
      <c r="AT183">
        <v>3.7949999999999999</v>
      </c>
      <c r="BB183" t="str">
        <f>"Y"</f>
        <v>Y</v>
      </c>
      <c r="BD183" t="str">
        <f>"ערן שלו"</f>
        <v>ערן שלו</v>
      </c>
    </row>
    <row r="184" spans="1:56" x14ac:dyDescent="0.3">
      <c r="A184" s="1">
        <v>45173</v>
      </c>
      <c r="B184" t="str">
        <f>"SI236001169"</f>
        <v>SI236001169</v>
      </c>
      <c r="E184" t="str">
        <f>"Y"</f>
        <v>Y</v>
      </c>
      <c r="F184" t="str">
        <f>"חשבוניות מרכזות"</f>
        <v>חשבוניות מרכזות</v>
      </c>
      <c r="G184" t="str">
        <f>"700065"</f>
        <v>700065</v>
      </c>
      <c r="H184" t="str">
        <f>"אלתא מערכות בע""מ"</f>
        <v>אלתא מערכות בע"מ</v>
      </c>
      <c r="I184" t="str">
        <f>"10"</f>
        <v>10</v>
      </c>
      <c r="J184" t="str">
        <f>"OP-AR03538"</f>
        <v>OP-AR03538</v>
      </c>
      <c r="K184" t="str">
        <f>"1043B860-001 PDB1 M"</f>
        <v>1043B860-001 PDB1 M</v>
      </c>
      <c r="L184">
        <v>1</v>
      </c>
      <c r="M184" t="str">
        <f>"יח"</f>
        <v>יח</v>
      </c>
      <c r="N184">
        <v>1</v>
      </c>
      <c r="O184" t="str">
        <f>"יח"</f>
        <v>יח</v>
      </c>
      <c r="P184" s="2">
        <v>43055</v>
      </c>
      <c r="Q184" t="str">
        <f>"$"</f>
        <v>$</v>
      </c>
      <c r="R184" t="str">
        <f>"הזמנה"</f>
        <v>הזמנה</v>
      </c>
      <c r="S184">
        <v>0</v>
      </c>
      <c r="T184" s="2">
        <v>43055</v>
      </c>
      <c r="U184">
        <v>0</v>
      </c>
      <c r="V184" s="2">
        <v>43055</v>
      </c>
      <c r="W184" t="str">
        <f>"$"</f>
        <v>$</v>
      </c>
      <c r="X184">
        <v>0</v>
      </c>
      <c r="Y184">
        <v>0</v>
      </c>
      <c r="Z184">
        <v>0</v>
      </c>
      <c r="AA184" t="str">
        <f>"Y"</f>
        <v>Y</v>
      </c>
      <c r="AC184">
        <v>0</v>
      </c>
      <c r="AM184" t="str">
        <f>"10"</f>
        <v>10</v>
      </c>
      <c r="AN184" t="str">
        <f>"500000"</f>
        <v>500000</v>
      </c>
      <c r="AO184" t="str">
        <f>"הכנסות  מלקוחות"</f>
        <v>הכנסות  מלקוחות</v>
      </c>
      <c r="AP184" t="str">
        <f>"Y"</f>
        <v>Y</v>
      </c>
      <c r="AQ184" t="str">
        <f>"034"</f>
        <v>034</v>
      </c>
      <c r="AR184">
        <v>0</v>
      </c>
      <c r="AS184">
        <v>0</v>
      </c>
      <c r="AT184">
        <v>3.7949999999999999</v>
      </c>
      <c r="BB184" t="str">
        <f>"Y"</f>
        <v>Y</v>
      </c>
      <c r="BD184" t="str">
        <f>"ערן שלו"</f>
        <v>ערן שלו</v>
      </c>
    </row>
    <row r="185" spans="1:56" x14ac:dyDescent="0.3">
      <c r="A185" s="1">
        <v>45173</v>
      </c>
      <c r="B185" t="str">
        <f>"SI236001169"</f>
        <v>SI236001169</v>
      </c>
      <c r="E185" t="str">
        <f>"Y"</f>
        <v>Y</v>
      </c>
      <c r="F185" t="str">
        <f>"חשבוניות מרכזות"</f>
        <v>חשבוניות מרכזות</v>
      </c>
      <c r="G185" t="str">
        <f>"700065"</f>
        <v>700065</v>
      </c>
      <c r="H185" t="str">
        <f>"אלתא מערכות בע""מ"</f>
        <v>אלתא מערכות בע"מ</v>
      </c>
      <c r="I185" t="str">
        <f>"10"</f>
        <v>10</v>
      </c>
      <c r="J185" t="str">
        <f>"OP-AR03538"</f>
        <v>OP-AR03538</v>
      </c>
      <c r="K185" t="str">
        <f>"1043B860-001 PDB1 M"</f>
        <v>1043B860-001 PDB1 M</v>
      </c>
      <c r="L185">
        <v>1</v>
      </c>
      <c r="M185" t="str">
        <f>"יח"</f>
        <v>יח</v>
      </c>
      <c r="N185">
        <v>1</v>
      </c>
      <c r="O185" t="str">
        <f>"יח"</f>
        <v>יח</v>
      </c>
      <c r="P185" s="2">
        <v>43055</v>
      </c>
      <c r="Q185" t="str">
        <f>"$"</f>
        <v>$</v>
      </c>
      <c r="R185" t="str">
        <f>"הזמנה"</f>
        <v>הזמנה</v>
      </c>
      <c r="S185">
        <v>0</v>
      </c>
      <c r="T185" s="2">
        <v>43055</v>
      </c>
      <c r="U185">
        <v>0</v>
      </c>
      <c r="V185" s="2">
        <v>43055</v>
      </c>
      <c r="W185" t="str">
        <f>"$"</f>
        <v>$</v>
      </c>
      <c r="X185">
        <v>0</v>
      </c>
      <c r="Y185">
        <v>0</v>
      </c>
      <c r="Z185">
        <v>0</v>
      </c>
      <c r="AA185" t="str">
        <f>"Y"</f>
        <v>Y</v>
      </c>
      <c r="AC185">
        <v>0</v>
      </c>
      <c r="AM185" t="str">
        <f>"10"</f>
        <v>10</v>
      </c>
      <c r="AN185" t="str">
        <f>"500000"</f>
        <v>500000</v>
      </c>
      <c r="AO185" t="str">
        <f>"הכנסות  מלקוחות"</f>
        <v>הכנסות  מלקוחות</v>
      </c>
      <c r="AQ185" t="str">
        <f>"034"</f>
        <v>034</v>
      </c>
      <c r="AR185">
        <v>0</v>
      </c>
      <c r="AS185">
        <v>0</v>
      </c>
      <c r="AT185">
        <v>3.7949999999999999</v>
      </c>
      <c r="BB185" t="str">
        <f>"Y"</f>
        <v>Y</v>
      </c>
      <c r="BD185" t="str">
        <f>"ערן שלו"</f>
        <v>ערן שלו</v>
      </c>
    </row>
    <row r="186" spans="1:56" x14ac:dyDescent="0.3">
      <c r="A186" s="1">
        <v>45173</v>
      </c>
      <c r="B186" t="str">
        <f>"SI236001169"</f>
        <v>SI236001169</v>
      </c>
      <c r="E186" t="str">
        <f>"Y"</f>
        <v>Y</v>
      </c>
      <c r="F186" t="str">
        <f>"חשבוניות מרכזות"</f>
        <v>חשבוניות מרכזות</v>
      </c>
      <c r="G186" t="str">
        <f>"700065"</f>
        <v>700065</v>
      </c>
      <c r="H186" t="str">
        <f>"אלתא מערכות בע""מ"</f>
        <v>אלתא מערכות בע"מ</v>
      </c>
      <c r="I186" t="str">
        <f>"10"</f>
        <v>10</v>
      </c>
      <c r="J186" t="str">
        <f>"OP-AR03538"</f>
        <v>OP-AR03538</v>
      </c>
      <c r="K186" t="str">
        <f>"1043B860-001 PDB1 M"</f>
        <v>1043B860-001 PDB1 M</v>
      </c>
      <c r="L186">
        <v>1</v>
      </c>
      <c r="M186" t="str">
        <f>"יח"</f>
        <v>יח</v>
      </c>
      <c r="N186">
        <v>1</v>
      </c>
      <c r="O186" t="str">
        <f>"יח"</f>
        <v>יח</v>
      </c>
      <c r="P186" s="2">
        <v>43055</v>
      </c>
      <c r="Q186" t="str">
        <f>"$"</f>
        <v>$</v>
      </c>
      <c r="R186" t="str">
        <f>"הזמנה"</f>
        <v>הזמנה</v>
      </c>
      <c r="S186">
        <v>0</v>
      </c>
      <c r="T186" s="2">
        <v>43055</v>
      </c>
      <c r="U186">
        <v>0</v>
      </c>
      <c r="V186" s="2">
        <v>43055</v>
      </c>
      <c r="W186" t="str">
        <f>"$"</f>
        <v>$</v>
      </c>
      <c r="X186">
        <v>0</v>
      </c>
      <c r="Y186">
        <v>0</v>
      </c>
      <c r="Z186">
        <v>0</v>
      </c>
      <c r="AA186" t="str">
        <f>"Y"</f>
        <v>Y</v>
      </c>
      <c r="AC186">
        <v>0</v>
      </c>
      <c r="AM186" t="str">
        <f>"10"</f>
        <v>10</v>
      </c>
      <c r="AN186" t="str">
        <f>"500000"</f>
        <v>500000</v>
      </c>
      <c r="AO186" t="str">
        <f>"הכנסות  מלקוחות"</f>
        <v>הכנסות  מלקוחות</v>
      </c>
      <c r="AQ186" t="str">
        <f>"034"</f>
        <v>034</v>
      </c>
      <c r="AR186">
        <v>0</v>
      </c>
      <c r="AS186">
        <v>0</v>
      </c>
      <c r="AT186">
        <v>3.7949999999999999</v>
      </c>
      <c r="BB186" t="str">
        <f>"Y"</f>
        <v>Y</v>
      </c>
      <c r="BD186" t="str">
        <f>"ערן שלו"</f>
        <v>ערן שלו</v>
      </c>
    </row>
    <row r="187" spans="1:56" x14ac:dyDescent="0.3">
      <c r="A187" s="1">
        <v>45173</v>
      </c>
      <c r="B187" t="str">
        <f>"SI236001169"</f>
        <v>SI236001169</v>
      </c>
      <c r="E187" t="str">
        <f>"Y"</f>
        <v>Y</v>
      </c>
      <c r="F187" t="str">
        <f>"חשבוניות מרכזות"</f>
        <v>חשבוניות מרכזות</v>
      </c>
      <c r="G187" t="str">
        <f>"700065"</f>
        <v>700065</v>
      </c>
      <c r="H187" t="str">
        <f>"אלתא מערכות בע""מ"</f>
        <v>אלתא מערכות בע"מ</v>
      </c>
      <c r="I187" t="str">
        <f>"10"</f>
        <v>10</v>
      </c>
      <c r="J187" t="str">
        <f>"OP-AR02041"</f>
        <v>OP-AR02041</v>
      </c>
      <c r="K187" t="str">
        <f>"PDB1 1038C860-001"</f>
        <v>PDB1 1038C860-001</v>
      </c>
      <c r="L187">
        <v>1</v>
      </c>
      <c r="M187" t="str">
        <f>"יח"</f>
        <v>יח</v>
      </c>
      <c r="N187">
        <v>1</v>
      </c>
      <c r="O187" t="str">
        <f>"יח"</f>
        <v>יח</v>
      </c>
      <c r="P187" s="2">
        <v>41000</v>
      </c>
      <c r="Q187" t="str">
        <f>"$"</f>
        <v>$</v>
      </c>
      <c r="R187" t="str">
        <f>"הזמנה"</f>
        <v>הזמנה</v>
      </c>
      <c r="S187">
        <v>0</v>
      </c>
      <c r="T187" s="2">
        <v>41000</v>
      </c>
      <c r="U187">
        <v>0</v>
      </c>
      <c r="V187" s="2">
        <v>41000</v>
      </c>
      <c r="W187" t="str">
        <f>"$"</f>
        <v>$</v>
      </c>
      <c r="X187">
        <v>0</v>
      </c>
      <c r="Y187">
        <v>0</v>
      </c>
      <c r="Z187">
        <v>0</v>
      </c>
      <c r="AA187" t="str">
        <f>"Y"</f>
        <v>Y</v>
      </c>
      <c r="AC187">
        <v>0</v>
      </c>
      <c r="AM187" t="str">
        <f>"10"</f>
        <v>10</v>
      </c>
      <c r="AN187" t="str">
        <f>"500000"</f>
        <v>500000</v>
      </c>
      <c r="AO187" t="str">
        <f>"הכנסות  מלקוחות"</f>
        <v>הכנסות  מלקוחות</v>
      </c>
      <c r="AQ187" t="str">
        <f>"034"</f>
        <v>034</v>
      </c>
      <c r="AR187">
        <v>0</v>
      </c>
      <c r="AS187">
        <v>0</v>
      </c>
      <c r="AT187">
        <v>3.7949999999999999</v>
      </c>
      <c r="BB187" t="str">
        <f>"Y"</f>
        <v>Y</v>
      </c>
      <c r="BD187" t="str">
        <f>"ערן שלו"</f>
        <v>ערן שלו</v>
      </c>
    </row>
    <row r="188" spans="1:56" x14ac:dyDescent="0.3">
      <c r="A188" s="1">
        <v>45173</v>
      </c>
      <c r="B188" t="str">
        <f>"SI236001169"</f>
        <v>SI236001169</v>
      </c>
      <c r="E188" t="str">
        <f>"Y"</f>
        <v>Y</v>
      </c>
      <c r="F188" t="str">
        <f>"חשבוניות מרכזות"</f>
        <v>חשבוניות מרכזות</v>
      </c>
      <c r="G188" t="str">
        <f>"700065"</f>
        <v>700065</v>
      </c>
      <c r="H188" t="str">
        <f>"אלתא מערכות בע""מ"</f>
        <v>אלתא מערכות בע"מ</v>
      </c>
      <c r="I188" t="str">
        <f>"10"</f>
        <v>10</v>
      </c>
      <c r="J188" t="str">
        <f>"OP-AR02041"</f>
        <v>OP-AR02041</v>
      </c>
      <c r="K188" t="str">
        <f>"PDB1 1038C860-001"</f>
        <v>PDB1 1038C860-001</v>
      </c>
      <c r="L188">
        <v>1</v>
      </c>
      <c r="M188" t="str">
        <f>"יח"</f>
        <v>יח</v>
      </c>
      <c r="N188">
        <v>1</v>
      </c>
      <c r="O188" t="str">
        <f>"יח"</f>
        <v>יח</v>
      </c>
      <c r="P188" s="2">
        <v>41000</v>
      </c>
      <c r="Q188" t="str">
        <f>"$"</f>
        <v>$</v>
      </c>
      <c r="R188" t="str">
        <f>"הזמנה"</f>
        <v>הזמנה</v>
      </c>
      <c r="S188">
        <v>0</v>
      </c>
      <c r="T188" s="2">
        <v>41000</v>
      </c>
      <c r="U188">
        <v>0</v>
      </c>
      <c r="V188" s="2">
        <v>41000</v>
      </c>
      <c r="W188" t="str">
        <f>"$"</f>
        <v>$</v>
      </c>
      <c r="X188">
        <v>0</v>
      </c>
      <c r="Y188">
        <v>0</v>
      </c>
      <c r="Z188">
        <v>0</v>
      </c>
      <c r="AA188" t="str">
        <f>"Y"</f>
        <v>Y</v>
      </c>
      <c r="AC188">
        <v>0</v>
      </c>
      <c r="AM188" t="str">
        <f>"10"</f>
        <v>10</v>
      </c>
      <c r="AN188" t="str">
        <f>"500000"</f>
        <v>500000</v>
      </c>
      <c r="AO188" t="str">
        <f>"הכנסות  מלקוחות"</f>
        <v>הכנסות  מלקוחות</v>
      </c>
      <c r="AQ188" t="str">
        <f>"034"</f>
        <v>034</v>
      </c>
      <c r="AR188">
        <v>0</v>
      </c>
      <c r="AS188">
        <v>0</v>
      </c>
      <c r="AT188">
        <v>3.7949999999999999</v>
      </c>
      <c r="BB188" t="str">
        <f>"Y"</f>
        <v>Y</v>
      </c>
      <c r="BD188" t="str">
        <f>"ערן שלו"</f>
        <v>ערן שלו</v>
      </c>
    </row>
    <row r="189" spans="1:56" x14ac:dyDescent="0.3">
      <c r="A189" s="1">
        <v>45173</v>
      </c>
      <c r="B189" t="str">
        <f>"SI236001169"</f>
        <v>SI236001169</v>
      </c>
      <c r="E189" t="str">
        <f>"Y"</f>
        <v>Y</v>
      </c>
      <c r="F189" t="str">
        <f>"חשבוניות מרכזות"</f>
        <v>חשבוניות מרכזות</v>
      </c>
      <c r="G189" t="str">
        <f>"700065"</f>
        <v>700065</v>
      </c>
      <c r="H189" t="str">
        <f>"אלתא מערכות בע""מ"</f>
        <v>אלתא מערכות בע"מ</v>
      </c>
      <c r="I189" t="str">
        <f>"10"</f>
        <v>10</v>
      </c>
      <c r="J189" t="str">
        <f>"OP-AR02041"</f>
        <v>OP-AR02041</v>
      </c>
      <c r="K189" t="str">
        <f>"PDB1 1038C860-001"</f>
        <v>PDB1 1038C860-001</v>
      </c>
      <c r="L189">
        <v>1</v>
      </c>
      <c r="M189" t="str">
        <f>"יח"</f>
        <v>יח</v>
      </c>
      <c r="N189">
        <v>1</v>
      </c>
      <c r="O189" t="str">
        <f>"יח"</f>
        <v>יח</v>
      </c>
      <c r="P189" s="2">
        <v>41000</v>
      </c>
      <c r="Q189" t="str">
        <f>"$"</f>
        <v>$</v>
      </c>
      <c r="R189" t="str">
        <f>"הזמנה"</f>
        <v>הזמנה</v>
      </c>
      <c r="S189">
        <v>0</v>
      </c>
      <c r="T189" s="2">
        <v>41000</v>
      </c>
      <c r="U189">
        <v>0</v>
      </c>
      <c r="V189" s="2">
        <v>41000</v>
      </c>
      <c r="W189" t="str">
        <f>"$"</f>
        <v>$</v>
      </c>
      <c r="X189">
        <v>0</v>
      </c>
      <c r="Y189">
        <v>0</v>
      </c>
      <c r="Z189">
        <v>0</v>
      </c>
      <c r="AA189" t="str">
        <f>"Y"</f>
        <v>Y</v>
      </c>
      <c r="AC189">
        <v>0</v>
      </c>
      <c r="AM189" t="str">
        <f>"10"</f>
        <v>10</v>
      </c>
      <c r="AN189" t="str">
        <f>"500000"</f>
        <v>500000</v>
      </c>
      <c r="AO189" t="str">
        <f>"הכנסות  מלקוחות"</f>
        <v>הכנסות  מלקוחות</v>
      </c>
      <c r="AQ189" t="str">
        <f>"034"</f>
        <v>034</v>
      </c>
      <c r="AR189">
        <v>0</v>
      </c>
      <c r="AS189">
        <v>0</v>
      </c>
      <c r="AT189">
        <v>3.7949999999999999</v>
      </c>
      <c r="BB189" t="str">
        <f>"Y"</f>
        <v>Y</v>
      </c>
      <c r="BD189" t="str">
        <f>"ערן שלו"</f>
        <v>ערן שלו</v>
      </c>
    </row>
    <row r="190" spans="1:56" x14ac:dyDescent="0.3">
      <c r="A190" s="1">
        <v>45173</v>
      </c>
      <c r="B190" t="str">
        <f>"SI236001169"</f>
        <v>SI236001169</v>
      </c>
      <c r="E190" t="str">
        <f>"Y"</f>
        <v>Y</v>
      </c>
      <c r="F190" t="str">
        <f>"חשבוניות מרכזות"</f>
        <v>חשבוניות מרכזות</v>
      </c>
      <c r="G190" t="str">
        <f>"700065"</f>
        <v>700065</v>
      </c>
      <c r="H190" t="str">
        <f>"אלתא מערכות בע""מ"</f>
        <v>אלתא מערכות בע"מ</v>
      </c>
      <c r="I190" t="str">
        <f>"10"</f>
        <v>10</v>
      </c>
      <c r="J190" t="str">
        <f>"OP-AR02041"</f>
        <v>OP-AR02041</v>
      </c>
      <c r="K190" t="str">
        <f>"PDB1 1038C860-001"</f>
        <v>PDB1 1038C860-001</v>
      </c>
      <c r="L190">
        <v>1</v>
      </c>
      <c r="M190" t="str">
        <f>"יח"</f>
        <v>יח</v>
      </c>
      <c r="N190">
        <v>1</v>
      </c>
      <c r="O190" t="str">
        <f>"יח"</f>
        <v>יח</v>
      </c>
      <c r="P190" s="2">
        <v>41000</v>
      </c>
      <c r="Q190" t="str">
        <f>"$"</f>
        <v>$</v>
      </c>
      <c r="R190" t="str">
        <f>"הזמנה"</f>
        <v>הזמנה</v>
      </c>
      <c r="S190">
        <v>0</v>
      </c>
      <c r="T190" s="2">
        <v>41000</v>
      </c>
      <c r="U190">
        <v>0</v>
      </c>
      <c r="V190" s="2">
        <v>41000</v>
      </c>
      <c r="W190" t="str">
        <f>"$"</f>
        <v>$</v>
      </c>
      <c r="X190">
        <v>0</v>
      </c>
      <c r="Y190">
        <v>0</v>
      </c>
      <c r="Z190">
        <v>0</v>
      </c>
      <c r="AA190" t="str">
        <f>"Y"</f>
        <v>Y</v>
      </c>
      <c r="AC190">
        <v>0</v>
      </c>
      <c r="AM190" t="str">
        <f>"10"</f>
        <v>10</v>
      </c>
      <c r="AN190" t="str">
        <f>"500000"</f>
        <v>500000</v>
      </c>
      <c r="AO190" t="str">
        <f>"הכנסות  מלקוחות"</f>
        <v>הכנסות  מלקוחות</v>
      </c>
      <c r="AQ190" t="str">
        <f>"034"</f>
        <v>034</v>
      </c>
      <c r="AR190">
        <v>0</v>
      </c>
      <c r="AS190">
        <v>0</v>
      </c>
      <c r="AT190">
        <v>3.7949999999999999</v>
      </c>
      <c r="BB190" t="str">
        <f>"Y"</f>
        <v>Y</v>
      </c>
      <c r="BD190" t="str">
        <f>"ערן שלו"</f>
        <v>ערן שלו</v>
      </c>
    </row>
    <row r="191" spans="1:56" x14ac:dyDescent="0.3">
      <c r="A191" s="1">
        <v>45173</v>
      </c>
      <c r="B191" t="str">
        <f>"SI236001168"</f>
        <v>SI236001168</v>
      </c>
      <c r="C191" t="str">
        <f>"PR23000441"</f>
        <v>PR23000441</v>
      </c>
      <c r="D191" t="str">
        <f>"PR23000441"</f>
        <v>PR23000441</v>
      </c>
      <c r="E191" t="str">
        <f>"Y"</f>
        <v>Y</v>
      </c>
      <c r="F191" t="str">
        <f>"חשבוניות מרכזות"</f>
        <v>חשבוניות מרכזות</v>
      </c>
      <c r="G191" t="str">
        <f>"700065"</f>
        <v>700065</v>
      </c>
      <c r="H191" t="str">
        <f>"אלתא מערכות בע""מ"</f>
        <v>אלתא מערכות בע"מ</v>
      </c>
      <c r="I191" t="str">
        <f>"10"</f>
        <v>10</v>
      </c>
      <c r="J191" t="str">
        <f>"OP-AR00467"</f>
        <v>OP-AR00467</v>
      </c>
      <c r="K191" t="str">
        <f>"AC PCU CONTROL BOX"</f>
        <v>AC PCU CONTROL BOX</v>
      </c>
      <c r="L191">
        <v>1</v>
      </c>
      <c r="M191" t="str">
        <f>"יח"</f>
        <v>יח</v>
      </c>
      <c r="N191">
        <v>1</v>
      </c>
      <c r="O191" t="str">
        <f>"יח"</f>
        <v>יח</v>
      </c>
      <c r="P191" s="2">
        <v>4250</v>
      </c>
      <c r="Q191" t="str">
        <f>"$"</f>
        <v>$</v>
      </c>
      <c r="R191" t="str">
        <f>"הזמנה"</f>
        <v>הזמנה</v>
      </c>
      <c r="S191">
        <v>0</v>
      </c>
      <c r="T191" s="2">
        <v>4250</v>
      </c>
      <c r="U191">
        <v>0</v>
      </c>
      <c r="V191" s="2">
        <v>4250</v>
      </c>
      <c r="W191" t="str">
        <f>"$"</f>
        <v>$</v>
      </c>
      <c r="X191">
        <v>0</v>
      </c>
      <c r="Y191">
        <v>0</v>
      </c>
      <c r="Z191">
        <v>0</v>
      </c>
      <c r="AA191" t="str">
        <f>"Y"</f>
        <v>Y</v>
      </c>
      <c r="AB191" t="str">
        <f>"SO23000313"</f>
        <v>SO23000313</v>
      </c>
      <c r="AC191">
        <v>1</v>
      </c>
      <c r="AD191" s="1">
        <v>45112</v>
      </c>
      <c r="AM191" t="str">
        <f>"10"</f>
        <v>10</v>
      </c>
      <c r="AN191" t="str">
        <f>"500000"</f>
        <v>500000</v>
      </c>
      <c r="AO191" t="str">
        <f>"הכנסות  מלקוחות"</f>
        <v>הכנסות  מלקוחות</v>
      </c>
      <c r="AP191" t="str">
        <f>"Y"</f>
        <v>Y</v>
      </c>
      <c r="AQ191" t="str">
        <f>"007"</f>
        <v>007</v>
      </c>
      <c r="AR191">
        <v>0</v>
      </c>
      <c r="AS191">
        <v>0</v>
      </c>
      <c r="AT191">
        <v>3.7949999999999999</v>
      </c>
      <c r="AX191" t="str">
        <f>"E000398544"</f>
        <v>E000398544</v>
      </c>
      <c r="BD191" t="str">
        <f>"רוני דידי"</f>
        <v>רוני דידי</v>
      </c>
    </row>
    <row r="192" spans="1:56" x14ac:dyDescent="0.3">
      <c r="A192" s="1">
        <v>45173</v>
      </c>
      <c r="B192" t="str">
        <f>"SI236001167"</f>
        <v>SI236001167</v>
      </c>
      <c r="E192" t="str">
        <f>"Y"</f>
        <v>Y</v>
      </c>
      <c r="F192" t="str">
        <f>"חשבוניות מרכזות"</f>
        <v>חשבוניות מרכזות</v>
      </c>
      <c r="G192" t="str">
        <f>"700065"</f>
        <v>700065</v>
      </c>
      <c r="H192" t="str">
        <f>"אלתא מערכות בע""מ"</f>
        <v>אלתא מערכות בע"מ</v>
      </c>
      <c r="I192" t="str">
        <f>"10"</f>
        <v>10</v>
      </c>
      <c r="J192" t="str">
        <f>"OP-KT00119"</f>
        <v>OP-KT00119</v>
      </c>
      <c r="K192" t="str">
        <f>"1038C878-001 - SPARE PARTS KIT FOR RECTIFIER RACK"</f>
        <v>1038C878-001 - SPARE PARTS KIT FOR RECTIFIER RACK</v>
      </c>
      <c r="L192">
        <v>1</v>
      </c>
      <c r="M192" t="str">
        <f>"יח"</f>
        <v>יח</v>
      </c>
      <c r="N192">
        <v>1</v>
      </c>
      <c r="O192" t="str">
        <f>"יח"</f>
        <v>יח</v>
      </c>
      <c r="P192" s="2">
        <v>7541.71</v>
      </c>
      <c r="Q192" t="str">
        <f>"$"</f>
        <v>$</v>
      </c>
      <c r="R192" t="str">
        <f>"הזמנה"</f>
        <v>הזמנה</v>
      </c>
      <c r="S192">
        <v>0</v>
      </c>
      <c r="T192" s="2">
        <v>7541.71</v>
      </c>
      <c r="U192">
        <v>0</v>
      </c>
      <c r="V192" s="2">
        <v>7541.71</v>
      </c>
      <c r="W192" t="str">
        <f>"$"</f>
        <v>$</v>
      </c>
      <c r="X192">
        <v>0</v>
      </c>
      <c r="Y192">
        <v>0</v>
      </c>
      <c r="Z192">
        <v>0</v>
      </c>
      <c r="AA192" t="str">
        <f>"Y"</f>
        <v>Y</v>
      </c>
      <c r="AB192" t="str">
        <f>"SO22000499"</f>
        <v>SO22000499</v>
      </c>
      <c r="AC192">
        <v>1</v>
      </c>
      <c r="AD192" s="1">
        <v>44924</v>
      </c>
      <c r="AM192" t="str">
        <f>"10"</f>
        <v>10</v>
      </c>
      <c r="AN192" t="str">
        <f>"500000"</f>
        <v>500000</v>
      </c>
      <c r="AO192" t="str">
        <f>"הכנסות  מלקוחות"</f>
        <v>הכנסות  מלקוחות</v>
      </c>
      <c r="AP192" t="str">
        <f>"Y"</f>
        <v>Y</v>
      </c>
      <c r="AQ192" t="str">
        <f>"007"</f>
        <v>007</v>
      </c>
      <c r="AR192">
        <v>0</v>
      </c>
      <c r="AS192">
        <v>0</v>
      </c>
      <c r="AT192">
        <v>3.7949999999999999</v>
      </c>
      <c r="AX192" t="str">
        <f>"E000382365"</f>
        <v>E000382365</v>
      </c>
      <c r="BD192" t="str">
        <f>"רוני דידי"</f>
        <v>רוני דידי</v>
      </c>
    </row>
    <row r="193" spans="1:56" x14ac:dyDescent="0.3">
      <c r="A193" s="1">
        <v>45173</v>
      </c>
      <c r="B193" t="str">
        <f>"SI236001164"</f>
        <v>SI236001164</v>
      </c>
      <c r="C193" t="str">
        <f>"PR22000153"</f>
        <v>PR22000153</v>
      </c>
      <c r="E193" t="str">
        <f>"Y"</f>
        <v>Y</v>
      </c>
      <c r="F193" t="str">
        <f>"חשבוניות מרכזות"</f>
        <v>חשבוניות מרכזות</v>
      </c>
      <c r="G193" t="str">
        <f>"700065"</f>
        <v>700065</v>
      </c>
      <c r="H193" t="str">
        <f>"אלתא מערכות בע""מ"</f>
        <v>אלתא מערכות בע"מ</v>
      </c>
      <c r="I193" t="str">
        <f>"10"</f>
        <v>10</v>
      </c>
      <c r="J193" t="str">
        <f>"OP-AR03538"</f>
        <v>OP-AR03538</v>
      </c>
      <c r="K193" t="str">
        <f>"1043B860-001 PDB1 M"</f>
        <v>1043B860-001 PDB1 M</v>
      </c>
      <c r="L193">
        <v>-1</v>
      </c>
      <c r="M193" t="str">
        <f>"יח"</f>
        <v>יח</v>
      </c>
      <c r="N193">
        <v>-1</v>
      </c>
      <c r="O193" t="str">
        <f>"יח"</f>
        <v>יח</v>
      </c>
      <c r="P193" s="2">
        <v>43055</v>
      </c>
      <c r="Q193" t="str">
        <f>"$"</f>
        <v>$</v>
      </c>
      <c r="R193" t="str">
        <f>"הזמנה"</f>
        <v>הזמנה</v>
      </c>
      <c r="S193">
        <v>0</v>
      </c>
      <c r="T193" s="2">
        <v>-43055</v>
      </c>
      <c r="U193">
        <v>0</v>
      </c>
      <c r="V193" s="2">
        <v>-43055</v>
      </c>
      <c r="W193" t="str">
        <f>"$"</f>
        <v>$</v>
      </c>
      <c r="X193">
        <v>0</v>
      </c>
      <c r="Y193">
        <v>0</v>
      </c>
      <c r="Z193">
        <v>0</v>
      </c>
      <c r="AA193" t="str">
        <f>"Y"</f>
        <v>Y</v>
      </c>
      <c r="AC193">
        <v>0</v>
      </c>
      <c r="AM193" t="str">
        <f>"10"</f>
        <v>10</v>
      </c>
      <c r="AN193" t="str">
        <f>"500000"</f>
        <v>500000</v>
      </c>
      <c r="AO193" t="str">
        <f>"הכנסות  מלקוחות"</f>
        <v>הכנסות  מלקוחות</v>
      </c>
      <c r="AQ193" t="str">
        <f>"034"</f>
        <v>034</v>
      </c>
      <c r="AR193">
        <v>0</v>
      </c>
      <c r="AS193">
        <v>0</v>
      </c>
      <c r="AT193">
        <v>3.7949999999999999</v>
      </c>
      <c r="BB193" t="str">
        <f>"Y"</f>
        <v>Y</v>
      </c>
      <c r="BD193" t="str">
        <f>"ערן שלו"</f>
        <v>ערן שלו</v>
      </c>
    </row>
    <row r="194" spans="1:56" x14ac:dyDescent="0.3">
      <c r="A194" s="1">
        <v>45173</v>
      </c>
      <c r="B194" t="str">
        <f>"SI236001163"</f>
        <v>SI236001163</v>
      </c>
      <c r="C194" t="str">
        <f>"PR22000153"</f>
        <v>PR22000153</v>
      </c>
      <c r="E194" t="str">
        <f>"Y"</f>
        <v>Y</v>
      </c>
      <c r="F194" t="str">
        <f>"חשבוניות מרכזות"</f>
        <v>חשבוניות מרכזות</v>
      </c>
      <c r="G194" t="str">
        <f>"700065"</f>
        <v>700065</v>
      </c>
      <c r="H194" t="str">
        <f>"אלתא מערכות בע""מ"</f>
        <v>אלתא מערכות בע"מ</v>
      </c>
      <c r="I194" t="str">
        <f>"10"</f>
        <v>10</v>
      </c>
      <c r="J194" t="str">
        <f>"OP-AR03538"</f>
        <v>OP-AR03538</v>
      </c>
      <c r="K194" t="str">
        <f>"1043B860-001 PDB1 M"</f>
        <v>1043B860-001 PDB1 M</v>
      </c>
      <c r="L194">
        <v>1</v>
      </c>
      <c r="M194" t="str">
        <f>"יח"</f>
        <v>יח</v>
      </c>
      <c r="N194">
        <v>1</v>
      </c>
      <c r="O194" t="str">
        <f>"יח"</f>
        <v>יח</v>
      </c>
      <c r="P194" s="2">
        <v>43055</v>
      </c>
      <c r="Q194" t="str">
        <f>"$"</f>
        <v>$</v>
      </c>
      <c r="R194" t="str">
        <f>"הזמנה"</f>
        <v>הזמנה</v>
      </c>
      <c r="S194">
        <v>0</v>
      </c>
      <c r="T194" s="2">
        <v>43055</v>
      </c>
      <c r="U194">
        <v>0</v>
      </c>
      <c r="V194" s="2">
        <v>43055</v>
      </c>
      <c r="W194" t="str">
        <f>"$"</f>
        <v>$</v>
      </c>
      <c r="X194">
        <v>0</v>
      </c>
      <c r="Y194">
        <v>0</v>
      </c>
      <c r="Z194">
        <v>0</v>
      </c>
      <c r="AA194" t="str">
        <f>"Y"</f>
        <v>Y</v>
      </c>
      <c r="AC194">
        <v>0</v>
      </c>
      <c r="AM194" t="str">
        <f>"10"</f>
        <v>10</v>
      </c>
      <c r="AN194" t="str">
        <f>"500000"</f>
        <v>500000</v>
      </c>
      <c r="AO194" t="str">
        <f>"הכנסות  מלקוחות"</f>
        <v>הכנסות  מלקוחות</v>
      </c>
      <c r="AQ194" t="str">
        <f>"034"</f>
        <v>034</v>
      </c>
      <c r="AR194">
        <v>0</v>
      </c>
      <c r="AS194">
        <v>0</v>
      </c>
      <c r="AT194">
        <v>3.7949999999999999</v>
      </c>
      <c r="BB194" t="str">
        <f>"Y"</f>
        <v>Y</v>
      </c>
      <c r="BD194" t="str">
        <f>"ערן שלו"</f>
        <v>ערן שלו</v>
      </c>
    </row>
    <row r="195" spans="1:56" x14ac:dyDescent="0.3">
      <c r="A195" s="1">
        <v>45170</v>
      </c>
      <c r="B195" t="str">
        <f>"SI236001363"</f>
        <v>SI236001363</v>
      </c>
      <c r="E195" t="str">
        <f>"Y"</f>
        <v>Y</v>
      </c>
      <c r="F195" t="str">
        <f>"חשבוניות מרכזות"</f>
        <v>חשבוניות מרכזות</v>
      </c>
      <c r="G195" t="str">
        <f>"700065"</f>
        <v>700065</v>
      </c>
      <c r="H195" t="str">
        <f>"אלתא מערכות בע""מ"</f>
        <v>אלתא מערכות בע"מ</v>
      </c>
      <c r="I195" t="str">
        <f>"10"</f>
        <v>10</v>
      </c>
      <c r="J195" t="str">
        <f>"OP-ML00217"</f>
        <v>OP-ML00217</v>
      </c>
      <c r="K195" t="str">
        <f>"1042A920-001 COMPUTER RACK"</f>
        <v>1042A920-001 COMPUTER RACK</v>
      </c>
      <c r="L195">
        <v>-1</v>
      </c>
      <c r="M195" t="str">
        <f>"יח"</f>
        <v>יח</v>
      </c>
      <c r="N195">
        <v>-1</v>
      </c>
      <c r="O195" t="str">
        <f>"יח"</f>
        <v>יח</v>
      </c>
      <c r="P195" s="2">
        <v>36500</v>
      </c>
      <c r="Q195" t="str">
        <f>"$"</f>
        <v>$</v>
      </c>
      <c r="R195" t="str">
        <f>"הזמנה"</f>
        <v>הזמנה</v>
      </c>
      <c r="S195">
        <v>0</v>
      </c>
      <c r="T195" s="2">
        <v>-36500</v>
      </c>
      <c r="U195">
        <v>0</v>
      </c>
      <c r="V195" s="2">
        <v>-36500</v>
      </c>
      <c r="W195" t="str">
        <f>"$"</f>
        <v>$</v>
      </c>
      <c r="X195">
        <v>0</v>
      </c>
      <c r="Y195">
        <v>0</v>
      </c>
      <c r="Z195">
        <v>0</v>
      </c>
      <c r="AA195" t="str">
        <f>"Y"</f>
        <v>Y</v>
      </c>
      <c r="AC195">
        <v>0</v>
      </c>
      <c r="AM195" t="str">
        <f>"10"</f>
        <v>10</v>
      </c>
      <c r="AN195" t="str">
        <f>"500000"</f>
        <v>500000</v>
      </c>
      <c r="AO195" t="str">
        <f>"הכנסות  מלקוחות"</f>
        <v>הכנסות  מלקוחות</v>
      </c>
      <c r="AQ195" t="str">
        <f>"034"</f>
        <v>034</v>
      </c>
      <c r="AR195">
        <v>0</v>
      </c>
      <c r="AS195">
        <v>0</v>
      </c>
      <c r="AT195">
        <v>3.7949999999999999</v>
      </c>
      <c r="BB195" t="str">
        <f>"Y"</f>
        <v>Y</v>
      </c>
      <c r="BD195" t="str">
        <f>"ערן שלו"</f>
        <v>ערן שלו</v>
      </c>
    </row>
    <row r="196" spans="1:56" x14ac:dyDescent="0.3">
      <c r="A196" s="1">
        <v>45170</v>
      </c>
      <c r="B196" t="str">
        <f>"SI236001359"</f>
        <v>SI236001359</v>
      </c>
      <c r="E196" t="str">
        <f>"Y"</f>
        <v>Y</v>
      </c>
      <c r="F196" t="str">
        <f>"חשבוניות מרכזות"</f>
        <v>חשבוניות מרכזות</v>
      </c>
      <c r="G196" t="str">
        <f>"700065"</f>
        <v>700065</v>
      </c>
      <c r="H196" t="str">
        <f>"אלתא מערכות בע""מ"</f>
        <v>אלתא מערכות בע"מ</v>
      </c>
      <c r="I196" t="str">
        <f>"10"</f>
        <v>10</v>
      </c>
      <c r="J196" t="str">
        <f>"OP-ML00217"</f>
        <v>OP-ML00217</v>
      </c>
      <c r="K196" t="str">
        <f>"1042A920-001 COMPUTER RACK"</f>
        <v>1042A920-001 COMPUTER RACK</v>
      </c>
      <c r="L196">
        <v>-1</v>
      </c>
      <c r="M196" t="str">
        <f>"יח"</f>
        <v>יח</v>
      </c>
      <c r="N196">
        <v>-1</v>
      </c>
      <c r="O196" t="str">
        <f>"יח"</f>
        <v>יח</v>
      </c>
      <c r="P196" s="2">
        <v>36500</v>
      </c>
      <c r="Q196" t="str">
        <f>"$"</f>
        <v>$</v>
      </c>
      <c r="R196" t="str">
        <f>"הזמנה"</f>
        <v>הזמנה</v>
      </c>
      <c r="S196">
        <v>0</v>
      </c>
      <c r="T196" s="2">
        <v>-36500</v>
      </c>
      <c r="U196">
        <v>0</v>
      </c>
      <c r="V196" s="2">
        <v>-36500</v>
      </c>
      <c r="W196" t="str">
        <f>"$"</f>
        <v>$</v>
      </c>
      <c r="X196">
        <v>0</v>
      </c>
      <c r="Y196">
        <v>0</v>
      </c>
      <c r="Z196">
        <v>0</v>
      </c>
      <c r="AA196" t="str">
        <f>"Y"</f>
        <v>Y</v>
      </c>
      <c r="AC196">
        <v>0</v>
      </c>
      <c r="AM196" t="str">
        <f>"10"</f>
        <v>10</v>
      </c>
      <c r="AN196" t="str">
        <f>"500000"</f>
        <v>500000</v>
      </c>
      <c r="AO196" t="str">
        <f>"הכנסות  מלקוחות"</f>
        <v>הכנסות  מלקוחות</v>
      </c>
      <c r="AQ196" t="str">
        <f>"034"</f>
        <v>034</v>
      </c>
      <c r="AR196">
        <v>0</v>
      </c>
      <c r="AS196">
        <v>0</v>
      </c>
      <c r="AT196">
        <v>3.7949999999999999</v>
      </c>
      <c r="BB196" t="str">
        <f>"Y"</f>
        <v>Y</v>
      </c>
      <c r="BD196" t="str">
        <f>"ערן שלו"</f>
        <v>ערן שלו</v>
      </c>
    </row>
    <row r="197" spans="1:56" x14ac:dyDescent="0.3">
      <c r="A197" s="1">
        <v>45170</v>
      </c>
      <c r="B197" t="str">
        <f>"SI236001358"</f>
        <v>SI236001358</v>
      </c>
      <c r="E197" t="str">
        <f>"Y"</f>
        <v>Y</v>
      </c>
      <c r="F197" t="str">
        <f>"חשבוניות מרכזות"</f>
        <v>חשבוניות מרכזות</v>
      </c>
      <c r="G197" t="str">
        <f>"700065"</f>
        <v>700065</v>
      </c>
      <c r="H197" t="str">
        <f>"אלתא מערכות בע""מ"</f>
        <v>אלתא מערכות בע"מ</v>
      </c>
      <c r="I197" t="str">
        <f>"10"</f>
        <v>10</v>
      </c>
      <c r="J197" t="str">
        <f>"OP-ML00217"</f>
        <v>OP-ML00217</v>
      </c>
      <c r="K197" t="str">
        <f>"1042A920-001 COMPUTER RACK"</f>
        <v>1042A920-001 COMPUTER RACK</v>
      </c>
      <c r="L197">
        <v>-1</v>
      </c>
      <c r="M197" t="str">
        <f>"יח"</f>
        <v>יח</v>
      </c>
      <c r="N197">
        <v>-1</v>
      </c>
      <c r="O197" t="str">
        <f>"יח"</f>
        <v>יח</v>
      </c>
      <c r="P197" s="2">
        <v>36500</v>
      </c>
      <c r="Q197" t="str">
        <f>"$"</f>
        <v>$</v>
      </c>
      <c r="R197" t="str">
        <f>"הזמנה"</f>
        <v>הזמנה</v>
      </c>
      <c r="S197">
        <v>0</v>
      </c>
      <c r="T197" s="2">
        <v>-36500</v>
      </c>
      <c r="U197">
        <v>0</v>
      </c>
      <c r="V197" s="2">
        <v>-36500</v>
      </c>
      <c r="W197" t="str">
        <f>"$"</f>
        <v>$</v>
      </c>
      <c r="X197">
        <v>0</v>
      </c>
      <c r="Y197">
        <v>0</v>
      </c>
      <c r="Z197">
        <v>0</v>
      </c>
      <c r="AA197" t="str">
        <f>"Y"</f>
        <v>Y</v>
      </c>
      <c r="AC197">
        <v>0</v>
      </c>
      <c r="AM197" t="str">
        <f>"10"</f>
        <v>10</v>
      </c>
      <c r="AN197" t="str">
        <f>"500000"</f>
        <v>500000</v>
      </c>
      <c r="AO197" t="str">
        <f>"הכנסות  מלקוחות"</f>
        <v>הכנסות  מלקוחות</v>
      </c>
      <c r="AQ197" t="str">
        <f>"034"</f>
        <v>034</v>
      </c>
      <c r="AR197">
        <v>0</v>
      </c>
      <c r="AS197">
        <v>0</v>
      </c>
      <c r="AT197">
        <v>3.7949999999999999</v>
      </c>
      <c r="BB197" t="str">
        <f>"Y"</f>
        <v>Y</v>
      </c>
      <c r="BD197" t="str">
        <f>"ערן שלו"</f>
        <v>ערן שלו</v>
      </c>
    </row>
    <row r="198" spans="1:56" x14ac:dyDescent="0.3">
      <c r="A198" s="1">
        <v>45170</v>
      </c>
      <c r="B198" t="str">
        <f>"SI236001357"</f>
        <v>SI236001357</v>
      </c>
      <c r="E198" t="str">
        <f>"Y"</f>
        <v>Y</v>
      </c>
      <c r="F198" t="str">
        <f>"חשבוניות מרכזות"</f>
        <v>חשבוניות מרכזות</v>
      </c>
      <c r="G198" t="str">
        <f>"700065"</f>
        <v>700065</v>
      </c>
      <c r="H198" t="str">
        <f>"אלתא מערכות בע""מ"</f>
        <v>אלתא מערכות בע"מ</v>
      </c>
      <c r="I198" t="str">
        <f>"10"</f>
        <v>10</v>
      </c>
      <c r="J198" t="str">
        <f>"OP-ML00218"</f>
        <v>OP-ML00218</v>
      </c>
      <c r="K198" t="str">
        <f>"1042A900-001 RECTIFIER RACK"</f>
        <v>1042A900-001 RECTIFIER RACK</v>
      </c>
      <c r="L198">
        <v>-1</v>
      </c>
      <c r="M198" t="str">
        <f>"יח"</f>
        <v>יח</v>
      </c>
      <c r="N198">
        <v>-1</v>
      </c>
      <c r="O198" t="str">
        <f>"יח"</f>
        <v>יח</v>
      </c>
      <c r="P198" s="2">
        <v>42500</v>
      </c>
      <c r="Q198" t="str">
        <f>"$"</f>
        <v>$</v>
      </c>
      <c r="R198" t="str">
        <f>"הזמנה"</f>
        <v>הזמנה</v>
      </c>
      <c r="S198">
        <v>0</v>
      </c>
      <c r="T198" s="2">
        <v>-42500</v>
      </c>
      <c r="U198">
        <v>0</v>
      </c>
      <c r="V198" s="2">
        <v>-42500</v>
      </c>
      <c r="W198" t="str">
        <f>"$"</f>
        <v>$</v>
      </c>
      <c r="X198">
        <v>0</v>
      </c>
      <c r="Y198">
        <v>0</v>
      </c>
      <c r="Z198">
        <v>0</v>
      </c>
      <c r="AA198" t="str">
        <f>"Y"</f>
        <v>Y</v>
      </c>
      <c r="AC198">
        <v>0</v>
      </c>
      <c r="AM198" t="str">
        <f>"10"</f>
        <v>10</v>
      </c>
      <c r="AN198" t="str">
        <f>"500000"</f>
        <v>500000</v>
      </c>
      <c r="AO198" t="str">
        <f>"הכנסות  מלקוחות"</f>
        <v>הכנסות  מלקוחות</v>
      </c>
      <c r="AQ198" t="str">
        <f>"034"</f>
        <v>034</v>
      </c>
      <c r="AR198">
        <v>0</v>
      </c>
      <c r="AS198">
        <v>0</v>
      </c>
      <c r="AT198">
        <v>3.7949999999999999</v>
      </c>
      <c r="BB198" t="str">
        <f>"Y"</f>
        <v>Y</v>
      </c>
      <c r="BD198" t="str">
        <f>"ערן שלו"</f>
        <v>ערן שלו</v>
      </c>
    </row>
    <row r="199" spans="1:56" x14ac:dyDescent="0.3">
      <c r="A199" s="1">
        <v>45170</v>
      </c>
      <c r="B199" t="str">
        <f>"SI236001356"</f>
        <v>SI236001356</v>
      </c>
      <c r="E199" t="str">
        <f>"Y"</f>
        <v>Y</v>
      </c>
      <c r="F199" t="str">
        <f>"חשבוניות מרכזות"</f>
        <v>חשבוניות מרכזות</v>
      </c>
      <c r="G199" t="str">
        <f>"700065"</f>
        <v>700065</v>
      </c>
      <c r="H199" t="str">
        <f>"אלתא מערכות בע""מ"</f>
        <v>אלתא מערכות בע"מ</v>
      </c>
      <c r="I199" t="str">
        <f>"10"</f>
        <v>10</v>
      </c>
      <c r="J199" t="str">
        <f>"OP-ML00218"</f>
        <v>OP-ML00218</v>
      </c>
      <c r="K199" t="str">
        <f>"1042A900-001 RECTIFIER RACK"</f>
        <v>1042A900-001 RECTIFIER RACK</v>
      </c>
      <c r="L199">
        <v>-1</v>
      </c>
      <c r="M199" t="str">
        <f>"יח"</f>
        <v>יח</v>
      </c>
      <c r="N199">
        <v>-1</v>
      </c>
      <c r="O199" t="str">
        <f>"יח"</f>
        <v>יח</v>
      </c>
      <c r="P199" s="2">
        <v>42500</v>
      </c>
      <c r="Q199" t="str">
        <f>"$"</f>
        <v>$</v>
      </c>
      <c r="R199" t="str">
        <f>"הזמנה"</f>
        <v>הזמנה</v>
      </c>
      <c r="S199">
        <v>0</v>
      </c>
      <c r="T199" s="2">
        <v>-42500</v>
      </c>
      <c r="U199">
        <v>0</v>
      </c>
      <c r="V199" s="2">
        <v>-42500</v>
      </c>
      <c r="W199" t="str">
        <f>"$"</f>
        <v>$</v>
      </c>
      <c r="X199">
        <v>0</v>
      </c>
      <c r="Y199">
        <v>0</v>
      </c>
      <c r="Z199">
        <v>0</v>
      </c>
      <c r="AA199" t="str">
        <f>"Y"</f>
        <v>Y</v>
      </c>
      <c r="AC199">
        <v>0</v>
      </c>
      <c r="AM199" t="str">
        <f>"10"</f>
        <v>10</v>
      </c>
      <c r="AN199" t="str">
        <f>"500000"</f>
        <v>500000</v>
      </c>
      <c r="AO199" t="str">
        <f>"הכנסות  מלקוחות"</f>
        <v>הכנסות  מלקוחות</v>
      </c>
      <c r="AQ199" t="str">
        <f>"034"</f>
        <v>034</v>
      </c>
      <c r="AR199">
        <v>0</v>
      </c>
      <c r="AS199">
        <v>0</v>
      </c>
      <c r="AT199">
        <v>3.7949999999999999</v>
      </c>
      <c r="BB199" t="str">
        <f>"Y"</f>
        <v>Y</v>
      </c>
      <c r="BD199" t="str">
        <f>"ערן שלו"</f>
        <v>ערן שלו</v>
      </c>
    </row>
    <row r="200" spans="1:56" x14ac:dyDescent="0.3">
      <c r="A200" s="1">
        <v>45170</v>
      </c>
      <c r="B200" t="str">
        <f>"SI236001355"</f>
        <v>SI236001355</v>
      </c>
      <c r="E200" t="str">
        <f>"Y"</f>
        <v>Y</v>
      </c>
      <c r="F200" t="str">
        <f>"חשבוניות מרכזות"</f>
        <v>חשבוניות מרכזות</v>
      </c>
      <c r="G200" t="str">
        <f>"700065"</f>
        <v>700065</v>
      </c>
      <c r="H200" t="str">
        <f>"אלתא מערכות בע""מ"</f>
        <v>אלתא מערכות בע"מ</v>
      </c>
      <c r="I200" t="str">
        <f>"10"</f>
        <v>10</v>
      </c>
      <c r="J200" t="str">
        <f>"OP-ML00218"</f>
        <v>OP-ML00218</v>
      </c>
      <c r="K200" t="str">
        <f>"1042A900-001 RECTIFIER RACK"</f>
        <v>1042A900-001 RECTIFIER RACK</v>
      </c>
      <c r="L200">
        <v>-1</v>
      </c>
      <c r="M200" t="str">
        <f>"יח"</f>
        <v>יח</v>
      </c>
      <c r="N200">
        <v>-1</v>
      </c>
      <c r="O200" t="str">
        <f>"יח"</f>
        <v>יח</v>
      </c>
      <c r="P200" s="2">
        <v>42500</v>
      </c>
      <c r="Q200" t="str">
        <f>"$"</f>
        <v>$</v>
      </c>
      <c r="R200" t="str">
        <f>"הזמנה"</f>
        <v>הזמנה</v>
      </c>
      <c r="S200">
        <v>0</v>
      </c>
      <c r="T200" s="2">
        <v>-42500</v>
      </c>
      <c r="U200">
        <v>0</v>
      </c>
      <c r="V200" s="2">
        <v>-42500</v>
      </c>
      <c r="W200" t="str">
        <f>"$"</f>
        <v>$</v>
      </c>
      <c r="X200">
        <v>0</v>
      </c>
      <c r="Y200">
        <v>0</v>
      </c>
      <c r="Z200">
        <v>0</v>
      </c>
      <c r="AA200" t="str">
        <f>"Y"</f>
        <v>Y</v>
      </c>
      <c r="AC200">
        <v>0</v>
      </c>
      <c r="AM200" t="str">
        <f>"10"</f>
        <v>10</v>
      </c>
      <c r="AN200" t="str">
        <f>"500000"</f>
        <v>500000</v>
      </c>
      <c r="AO200" t="str">
        <f>"הכנסות  מלקוחות"</f>
        <v>הכנסות  מלקוחות</v>
      </c>
      <c r="AQ200" t="str">
        <f>"034"</f>
        <v>034</v>
      </c>
      <c r="AR200">
        <v>0</v>
      </c>
      <c r="AS200">
        <v>0</v>
      </c>
      <c r="AT200">
        <v>3.7949999999999999</v>
      </c>
      <c r="BB200" t="str">
        <f>"Y"</f>
        <v>Y</v>
      </c>
      <c r="BD200" t="str">
        <f>"ערן שלו"</f>
        <v>ערן שלו</v>
      </c>
    </row>
    <row r="201" spans="1:56" x14ac:dyDescent="0.3">
      <c r="A201" s="1">
        <v>45170</v>
      </c>
      <c r="B201" t="str">
        <f>"SI236001354"</f>
        <v>SI236001354</v>
      </c>
      <c r="E201" t="str">
        <f>"Y"</f>
        <v>Y</v>
      </c>
      <c r="F201" t="str">
        <f>"חשבוניות מרכזות"</f>
        <v>חשבוניות מרכזות</v>
      </c>
      <c r="G201" t="str">
        <f>"700065"</f>
        <v>700065</v>
      </c>
      <c r="H201" t="str">
        <f>"אלתא מערכות בע""מ"</f>
        <v>אלתא מערכות בע"מ</v>
      </c>
      <c r="I201" t="str">
        <f>"10"</f>
        <v>10</v>
      </c>
      <c r="J201" t="str">
        <f>"OP-ML00218"</f>
        <v>OP-ML00218</v>
      </c>
      <c r="K201" t="str">
        <f>"1042A900-001 RECTIFIER RACK"</f>
        <v>1042A900-001 RECTIFIER RACK</v>
      </c>
      <c r="L201">
        <v>-1</v>
      </c>
      <c r="M201" t="str">
        <f>"יח"</f>
        <v>יח</v>
      </c>
      <c r="N201">
        <v>-1</v>
      </c>
      <c r="O201" t="str">
        <f>"יח"</f>
        <v>יח</v>
      </c>
      <c r="P201" s="2">
        <v>42500</v>
      </c>
      <c r="Q201" t="str">
        <f>"$"</f>
        <v>$</v>
      </c>
      <c r="R201" t="str">
        <f>"הזמנה"</f>
        <v>הזמנה</v>
      </c>
      <c r="S201">
        <v>0</v>
      </c>
      <c r="T201" s="2">
        <v>-42500</v>
      </c>
      <c r="U201">
        <v>0</v>
      </c>
      <c r="V201" s="2">
        <v>-42500</v>
      </c>
      <c r="W201" t="str">
        <f>"$"</f>
        <v>$</v>
      </c>
      <c r="X201">
        <v>0</v>
      </c>
      <c r="Y201">
        <v>0</v>
      </c>
      <c r="Z201">
        <v>0</v>
      </c>
      <c r="AA201" t="str">
        <f>"Y"</f>
        <v>Y</v>
      </c>
      <c r="AC201">
        <v>0</v>
      </c>
      <c r="AM201" t="str">
        <f>"10"</f>
        <v>10</v>
      </c>
      <c r="AN201" t="str">
        <f>"500000"</f>
        <v>500000</v>
      </c>
      <c r="AO201" t="str">
        <f>"הכנסות  מלקוחות"</f>
        <v>הכנסות  מלקוחות</v>
      </c>
      <c r="AQ201" t="str">
        <f>"034"</f>
        <v>034</v>
      </c>
      <c r="AR201">
        <v>0</v>
      </c>
      <c r="AS201">
        <v>0</v>
      </c>
      <c r="AT201">
        <v>3.7949999999999999</v>
      </c>
      <c r="BB201" t="str">
        <f>"Y"</f>
        <v>Y</v>
      </c>
      <c r="BD201" t="str">
        <f>"ערן שלו"</f>
        <v>ערן שלו</v>
      </c>
    </row>
    <row r="202" spans="1:56" x14ac:dyDescent="0.3">
      <c r="A202" s="1">
        <v>45170</v>
      </c>
      <c r="B202" t="str">
        <f>"SI236001353"</f>
        <v>SI236001353</v>
      </c>
      <c r="E202" t="str">
        <f>"Y"</f>
        <v>Y</v>
      </c>
      <c r="F202" t="str">
        <f>"חשבוניות מרכזות"</f>
        <v>חשבוניות מרכזות</v>
      </c>
      <c r="G202" t="str">
        <f>"700065"</f>
        <v>700065</v>
      </c>
      <c r="H202" t="str">
        <f>"אלתא מערכות בע""מ"</f>
        <v>אלתא מערכות בע"מ</v>
      </c>
      <c r="I202" t="str">
        <f>"10"</f>
        <v>10</v>
      </c>
      <c r="J202" t="str">
        <f>"OP-ML00218"</f>
        <v>OP-ML00218</v>
      </c>
      <c r="K202" t="str">
        <f>"1042A900-001 RECTIFIER RACK"</f>
        <v>1042A900-001 RECTIFIER RACK</v>
      </c>
      <c r="L202">
        <v>-1</v>
      </c>
      <c r="M202" t="str">
        <f>"יח"</f>
        <v>יח</v>
      </c>
      <c r="N202">
        <v>-1</v>
      </c>
      <c r="O202" t="str">
        <f>"יח"</f>
        <v>יח</v>
      </c>
      <c r="P202" s="2">
        <v>42500</v>
      </c>
      <c r="Q202" t="str">
        <f>"$"</f>
        <v>$</v>
      </c>
      <c r="R202" t="str">
        <f>"הזמנה"</f>
        <v>הזמנה</v>
      </c>
      <c r="S202">
        <v>0</v>
      </c>
      <c r="T202" s="2">
        <v>-42500</v>
      </c>
      <c r="U202">
        <v>0</v>
      </c>
      <c r="V202" s="2">
        <v>-42500</v>
      </c>
      <c r="W202" t="str">
        <f>"$"</f>
        <v>$</v>
      </c>
      <c r="X202">
        <v>0</v>
      </c>
      <c r="Y202">
        <v>0</v>
      </c>
      <c r="Z202">
        <v>0</v>
      </c>
      <c r="AA202" t="str">
        <f>"Y"</f>
        <v>Y</v>
      </c>
      <c r="AC202">
        <v>0</v>
      </c>
      <c r="AM202" t="str">
        <f>"10"</f>
        <v>10</v>
      </c>
      <c r="AN202" t="str">
        <f>"500000"</f>
        <v>500000</v>
      </c>
      <c r="AO202" t="str">
        <f>"הכנסות  מלקוחות"</f>
        <v>הכנסות  מלקוחות</v>
      </c>
      <c r="AQ202" t="str">
        <f>"034"</f>
        <v>034</v>
      </c>
      <c r="AR202">
        <v>0</v>
      </c>
      <c r="AS202">
        <v>0</v>
      </c>
      <c r="AT202">
        <v>3.7949999999999999</v>
      </c>
      <c r="BB202" t="str">
        <f>"Y"</f>
        <v>Y</v>
      </c>
      <c r="BD202" t="str">
        <f>"ערן שלו"</f>
        <v>ערן שלו</v>
      </c>
    </row>
    <row r="203" spans="1:56" x14ac:dyDescent="0.3">
      <c r="A203" s="1">
        <v>45170</v>
      </c>
      <c r="B203" t="str">
        <f>"SI236001352"</f>
        <v>SI236001352</v>
      </c>
      <c r="E203" t="str">
        <f>"Y"</f>
        <v>Y</v>
      </c>
      <c r="F203" t="str">
        <f>"חשבוניות מרכזות"</f>
        <v>חשבוניות מרכזות</v>
      </c>
      <c r="G203" t="str">
        <f>"700065"</f>
        <v>700065</v>
      </c>
      <c r="H203" t="str">
        <f>"אלתא מערכות בע""מ"</f>
        <v>אלתא מערכות בע"מ</v>
      </c>
      <c r="I203" t="str">
        <f>"10"</f>
        <v>10</v>
      </c>
      <c r="J203" t="str">
        <f>"OP-ML00218"</f>
        <v>OP-ML00218</v>
      </c>
      <c r="K203" t="str">
        <f>"1042A900-001 RECTIFIER RACK"</f>
        <v>1042A900-001 RECTIFIER RACK</v>
      </c>
      <c r="L203">
        <v>-1</v>
      </c>
      <c r="M203" t="str">
        <f>"יח"</f>
        <v>יח</v>
      </c>
      <c r="N203">
        <v>-1</v>
      </c>
      <c r="O203" t="str">
        <f>"יח"</f>
        <v>יח</v>
      </c>
      <c r="P203" s="2">
        <v>42500</v>
      </c>
      <c r="Q203" t="str">
        <f>"$"</f>
        <v>$</v>
      </c>
      <c r="R203" t="str">
        <f>"הזמנה"</f>
        <v>הזמנה</v>
      </c>
      <c r="S203">
        <v>0</v>
      </c>
      <c r="T203" s="2">
        <v>-42500</v>
      </c>
      <c r="U203">
        <v>0</v>
      </c>
      <c r="V203" s="2">
        <v>-42500</v>
      </c>
      <c r="W203" t="str">
        <f>"$"</f>
        <v>$</v>
      </c>
      <c r="X203">
        <v>0</v>
      </c>
      <c r="Y203">
        <v>0</v>
      </c>
      <c r="Z203">
        <v>0</v>
      </c>
      <c r="AA203" t="str">
        <f>"Y"</f>
        <v>Y</v>
      </c>
      <c r="AC203">
        <v>0</v>
      </c>
      <c r="AM203" t="str">
        <f>"10"</f>
        <v>10</v>
      </c>
      <c r="AN203" t="str">
        <f>"500000"</f>
        <v>500000</v>
      </c>
      <c r="AO203" t="str">
        <f>"הכנסות  מלקוחות"</f>
        <v>הכנסות  מלקוחות</v>
      </c>
      <c r="AQ203" t="str">
        <f>"034"</f>
        <v>034</v>
      </c>
      <c r="AR203">
        <v>0</v>
      </c>
      <c r="AS203">
        <v>0</v>
      </c>
      <c r="AT203">
        <v>3.7949999999999999</v>
      </c>
      <c r="BB203" t="str">
        <f>"Y"</f>
        <v>Y</v>
      </c>
      <c r="BD203" t="str">
        <f>"ערן שלו"</f>
        <v>ערן שלו</v>
      </c>
    </row>
    <row r="204" spans="1:56" x14ac:dyDescent="0.3">
      <c r="A204" s="1">
        <v>45170</v>
      </c>
      <c r="B204" t="str">
        <f>"SI236001350"</f>
        <v>SI236001350</v>
      </c>
      <c r="E204" t="str">
        <f>"Y"</f>
        <v>Y</v>
      </c>
      <c r="F204" t="str">
        <f>"חשבוניות מרכזות"</f>
        <v>חשבוניות מרכזות</v>
      </c>
      <c r="G204" t="str">
        <f>"700065"</f>
        <v>700065</v>
      </c>
      <c r="H204" t="str">
        <f>"אלתא מערכות בע""מ"</f>
        <v>אלתא מערכות בע"מ</v>
      </c>
      <c r="I204" t="str">
        <f>"10"</f>
        <v>10</v>
      </c>
      <c r="J204" t="str">
        <f>"OP-ML00217"</f>
        <v>OP-ML00217</v>
      </c>
      <c r="K204" t="str">
        <f>"1042A920-001 COMPUTER RACK"</f>
        <v>1042A920-001 COMPUTER RACK</v>
      </c>
      <c r="L204">
        <v>-1</v>
      </c>
      <c r="M204" t="str">
        <f>"יח"</f>
        <v>יח</v>
      </c>
      <c r="N204">
        <v>-1</v>
      </c>
      <c r="O204" t="str">
        <f>"יח"</f>
        <v>יח</v>
      </c>
      <c r="P204" s="2">
        <v>36500</v>
      </c>
      <c r="Q204" t="str">
        <f>"$"</f>
        <v>$</v>
      </c>
      <c r="R204" t="str">
        <f>"הזמנה"</f>
        <v>הזמנה</v>
      </c>
      <c r="S204">
        <v>0</v>
      </c>
      <c r="T204" s="2">
        <v>-36500</v>
      </c>
      <c r="U204">
        <v>0</v>
      </c>
      <c r="V204" s="2">
        <v>-36500</v>
      </c>
      <c r="W204" t="str">
        <f>"$"</f>
        <v>$</v>
      </c>
      <c r="X204">
        <v>0</v>
      </c>
      <c r="Y204">
        <v>0</v>
      </c>
      <c r="Z204">
        <v>0</v>
      </c>
      <c r="AA204" t="str">
        <f>"Y"</f>
        <v>Y</v>
      </c>
      <c r="AC204">
        <v>0</v>
      </c>
      <c r="AM204" t="str">
        <f>"10"</f>
        <v>10</v>
      </c>
      <c r="AN204" t="str">
        <f>"500000"</f>
        <v>500000</v>
      </c>
      <c r="AO204" t="str">
        <f>"הכנסות  מלקוחות"</f>
        <v>הכנסות  מלקוחות</v>
      </c>
      <c r="AQ204" t="str">
        <f>"034"</f>
        <v>034</v>
      </c>
      <c r="AR204">
        <v>0</v>
      </c>
      <c r="AS204">
        <v>0</v>
      </c>
      <c r="AT204">
        <v>3.7949999999999999</v>
      </c>
      <c r="BB204" t="str">
        <f>"Y"</f>
        <v>Y</v>
      </c>
      <c r="BD204" t="str">
        <f>"ערן שלו"</f>
        <v>ערן שלו</v>
      </c>
    </row>
    <row r="205" spans="1:56" x14ac:dyDescent="0.3">
      <c r="A205" s="1">
        <v>45170</v>
      </c>
      <c r="B205" t="str">
        <f>"SI236001349"</f>
        <v>SI236001349</v>
      </c>
      <c r="E205" t="str">
        <f>"Y"</f>
        <v>Y</v>
      </c>
      <c r="F205" t="str">
        <f>"חשבוניות מרכזות"</f>
        <v>חשבוניות מרכזות</v>
      </c>
      <c r="G205" t="str">
        <f>"700065"</f>
        <v>700065</v>
      </c>
      <c r="H205" t="str">
        <f>"אלתא מערכות בע""מ"</f>
        <v>אלתא מערכות בע"מ</v>
      </c>
      <c r="I205" t="str">
        <f>"10"</f>
        <v>10</v>
      </c>
      <c r="J205" t="str">
        <f>"OP-ML00217"</f>
        <v>OP-ML00217</v>
      </c>
      <c r="K205" t="str">
        <f>"1042A920-001 COMPUTER RACK"</f>
        <v>1042A920-001 COMPUTER RACK</v>
      </c>
      <c r="L205">
        <v>-1</v>
      </c>
      <c r="M205" t="str">
        <f>"יח"</f>
        <v>יח</v>
      </c>
      <c r="N205">
        <v>-1</v>
      </c>
      <c r="O205" t="str">
        <f>"יח"</f>
        <v>יח</v>
      </c>
      <c r="P205" s="2">
        <v>36500</v>
      </c>
      <c r="Q205" t="str">
        <f>"$"</f>
        <v>$</v>
      </c>
      <c r="R205" t="str">
        <f>"הזמנה"</f>
        <v>הזמנה</v>
      </c>
      <c r="S205">
        <v>0</v>
      </c>
      <c r="T205" s="2">
        <v>-36500</v>
      </c>
      <c r="U205">
        <v>0</v>
      </c>
      <c r="V205" s="2">
        <v>-36500</v>
      </c>
      <c r="W205" t="str">
        <f>"$"</f>
        <v>$</v>
      </c>
      <c r="X205">
        <v>0</v>
      </c>
      <c r="Y205">
        <v>0</v>
      </c>
      <c r="Z205">
        <v>0</v>
      </c>
      <c r="AA205" t="str">
        <f>"Y"</f>
        <v>Y</v>
      </c>
      <c r="AC205">
        <v>0</v>
      </c>
      <c r="AM205" t="str">
        <f>"10"</f>
        <v>10</v>
      </c>
      <c r="AN205" t="str">
        <f>"500000"</f>
        <v>500000</v>
      </c>
      <c r="AO205" t="str">
        <f>"הכנסות  מלקוחות"</f>
        <v>הכנסות  מלקוחות</v>
      </c>
      <c r="AQ205" t="str">
        <f>"034"</f>
        <v>034</v>
      </c>
      <c r="AR205">
        <v>0</v>
      </c>
      <c r="AS205">
        <v>0</v>
      </c>
      <c r="AT205">
        <v>3.7949999999999999</v>
      </c>
      <c r="BB205" t="str">
        <f>"Y"</f>
        <v>Y</v>
      </c>
      <c r="BD205" t="str">
        <f>"ערן שלו"</f>
        <v>ערן שלו</v>
      </c>
    </row>
    <row r="206" spans="1:56" x14ac:dyDescent="0.3">
      <c r="A206" s="1">
        <v>45170</v>
      </c>
      <c r="B206" t="str">
        <f>"SI236001348"</f>
        <v>SI236001348</v>
      </c>
      <c r="E206" t="str">
        <f>"Y"</f>
        <v>Y</v>
      </c>
      <c r="F206" t="str">
        <f>"חשבוניות מרכזות"</f>
        <v>חשבוניות מרכזות</v>
      </c>
      <c r="G206" t="str">
        <f>"700065"</f>
        <v>700065</v>
      </c>
      <c r="H206" t="str">
        <f>"אלתא מערכות בע""מ"</f>
        <v>אלתא מערכות בע"מ</v>
      </c>
      <c r="I206" t="str">
        <f>"10"</f>
        <v>10</v>
      </c>
      <c r="J206" t="str">
        <f>"OP-ML00217"</f>
        <v>OP-ML00217</v>
      </c>
      <c r="K206" t="str">
        <f>"1042A920-001 COMPUTER RACK"</f>
        <v>1042A920-001 COMPUTER RACK</v>
      </c>
      <c r="L206">
        <v>-1</v>
      </c>
      <c r="M206" t="str">
        <f>"יח"</f>
        <v>יח</v>
      </c>
      <c r="N206">
        <v>-1</v>
      </c>
      <c r="O206" t="str">
        <f>"יח"</f>
        <v>יח</v>
      </c>
      <c r="P206" s="2">
        <v>36500</v>
      </c>
      <c r="Q206" t="str">
        <f>"$"</f>
        <v>$</v>
      </c>
      <c r="R206" t="str">
        <f>"הזמנה"</f>
        <v>הזמנה</v>
      </c>
      <c r="S206">
        <v>0</v>
      </c>
      <c r="T206" s="2">
        <v>-36500</v>
      </c>
      <c r="U206">
        <v>0</v>
      </c>
      <c r="V206" s="2">
        <v>-36500</v>
      </c>
      <c r="W206" t="str">
        <f>"$"</f>
        <v>$</v>
      </c>
      <c r="X206">
        <v>0</v>
      </c>
      <c r="Y206">
        <v>0</v>
      </c>
      <c r="Z206">
        <v>0</v>
      </c>
      <c r="AA206" t="str">
        <f>"Y"</f>
        <v>Y</v>
      </c>
      <c r="AC206">
        <v>0</v>
      </c>
      <c r="AM206" t="str">
        <f>"10"</f>
        <v>10</v>
      </c>
      <c r="AN206" t="str">
        <f>"500000"</f>
        <v>500000</v>
      </c>
      <c r="AO206" t="str">
        <f>"הכנסות  מלקוחות"</f>
        <v>הכנסות  מלקוחות</v>
      </c>
      <c r="AQ206" t="str">
        <f>"034"</f>
        <v>034</v>
      </c>
      <c r="AR206">
        <v>0</v>
      </c>
      <c r="AS206">
        <v>0</v>
      </c>
      <c r="AT206">
        <v>3.7949999999999999</v>
      </c>
      <c r="BB206" t="str">
        <f>"Y"</f>
        <v>Y</v>
      </c>
      <c r="BD206" t="str">
        <f>"ערן שלו"</f>
        <v>ערן שלו</v>
      </c>
    </row>
    <row r="207" spans="1:56" x14ac:dyDescent="0.3">
      <c r="A207" s="1">
        <v>45170</v>
      </c>
      <c r="B207" t="str">
        <f>"SI236001330"</f>
        <v>SI236001330</v>
      </c>
      <c r="E207" t="str">
        <f>"Y"</f>
        <v>Y</v>
      </c>
      <c r="F207" t="str">
        <f>"חשבוניות מרכזות"</f>
        <v>חשבוניות מרכזות</v>
      </c>
      <c r="G207" t="str">
        <f>"700065"</f>
        <v>700065</v>
      </c>
      <c r="H207" t="str">
        <f>"אלתא מערכות בע""מ"</f>
        <v>אלתא מערכות בע"מ</v>
      </c>
      <c r="I207" t="str">
        <f>"10"</f>
        <v>10</v>
      </c>
      <c r="J207" t="str">
        <f>"OP-ML00217"</f>
        <v>OP-ML00217</v>
      </c>
      <c r="K207" t="str">
        <f>"1042A920-001 COMPUTER RACK"</f>
        <v>1042A920-001 COMPUTER RACK</v>
      </c>
      <c r="L207">
        <v>1</v>
      </c>
      <c r="M207" t="str">
        <f>"יח"</f>
        <v>יח</v>
      </c>
      <c r="N207">
        <v>1</v>
      </c>
      <c r="O207" t="str">
        <f>"יח"</f>
        <v>יח</v>
      </c>
      <c r="P207" s="2">
        <v>36500</v>
      </c>
      <c r="Q207" t="str">
        <f>"$"</f>
        <v>$</v>
      </c>
      <c r="R207" t="str">
        <f>"הזמנה"</f>
        <v>הזמנה</v>
      </c>
      <c r="S207">
        <v>0</v>
      </c>
      <c r="T207" s="2">
        <v>36500</v>
      </c>
      <c r="U207">
        <v>0</v>
      </c>
      <c r="V207" s="2">
        <v>36500</v>
      </c>
      <c r="W207" t="str">
        <f>"$"</f>
        <v>$</v>
      </c>
      <c r="X207">
        <v>0</v>
      </c>
      <c r="Y207">
        <v>0</v>
      </c>
      <c r="Z207">
        <v>0</v>
      </c>
      <c r="AA207" t="str">
        <f>"Y"</f>
        <v>Y</v>
      </c>
      <c r="AC207">
        <v>0</v>
      </c>
      <c r="AM207" t="str">
        <f>"10"</f>
        <v>10</v>
      </c>
      <c r="AN207" t="str">
        <f>"500000"</f>
        <v>500000</v>
      </c>
      <c r="AO207" t="str">
        <f>"הכנסות  מלקוחות"</f>
        <v>הכנסות  מלקוחות</v>
      </c>
      <c r="AQ207" t="str">
        <f>"034"</f>
        <v>034</v>
      </c>
      <c r="AR207">
        <v>0</v>
      </c>
      <c r="AS207">
        <v>0</v>
      </c>
      <c r="AT207">
        <v>3.7949999999999999</v>
      </c>
      <c r="BB207" t="str">
        <f>"Y"</f>
        <v>Y</v>
      </c>
      <c r="BD207" t="str">
        <f>"ערן שלו"</f>
        <v>ערן שלו</v>
      </c>
    </row>
    <row r="208" spans="1:56" x14ac:dyDescent="0.3">
      <c r="A208" s="1">
        <v>45170</v>
      </c>
      <c r="B208" t="str">
        <f>"SI236001329"</f>
        <v>SI236001329</v>
      </c>
      <c r="E208" t="str">
        <f>"Y"</f>
        <v>Y</v>
      </c>
      <c r="F208" t="str">
        <f>"חשבוניות מרכזות"</f>
        <v>חשבוניות מרכזות</v>
      </c>
      <c r="G208" t="str">
        <f>"700065"</f>
        <v>700065</v>
      </c>
      <c r="H208" t="str">
        <f>"אלתא מערכות בע""מ"</f>
        <v>אלתא מערכות בע"מ</v>
      </c>
      <c r="I208" t="str">
        <f>"10"</f>
        <v>10</v>
      </c>
      <c r="J208" t="str">
        <f>"OP-ML00217"</f>
        <v>OP-ML00217</v>
      </c>
      <c r="K208" t="str">
        <f>"1042A920-001 COMPUTER RACK"</f>
        <v>1042A920-001 COMPUTER RACK</v>
      </c>
      <c r="L208">
        <v>1</v>
      </c>
      <c r="M208" t="str">
        <f>"יח"</f>
        <v>יח</v>
      </c>
      <c r="N208">
        <v>1</v>
      </c>
      <c r="O208" t="str">
        <f>"יח"</f>
        <v>יח</v>
      </c>
      <c r="P208" s="2">
        <v>36500</v>
      </c>
      <c r="Q208" t="str">
        <f>"$"</f>
        <v>$</v>
      </c>
      <c r="R208" t="str">
        <f>"הזמנה"</f>
        <v>הזמנה</v>
      </c>
      <c r="S208">
        <v>0</v>
      </c>
      <c r="T208" s="2">
        <v>36500</v>
      </c>
      <c r="U208">
        <v>0</v>
      </c>
      <c r="V208" s="2">
        <v>36500</v>
      </c>
      <c r="W208" t="str">
        <f>"$"</f>
        <v>$</v>
      </c>
      <c r="X208">
        <v>0</v>
      </c>
      <c r="Y208">
        <v>0</v>
      </c>
      <c r="Z208">
        <v>0</v>
      </c>
      <c r="AA208" t="str">
        <f>"Y"</f>
        <v>Y</v>
      </c>
      <c r="AC208">
        <v>0</v>
      </c>
      <c r="AM208" t="str">
        <f>"10"</f>
        <v>10</v>
      </c>
      <c r="AN208" t="str">
        <f>"500000"</f>
        <v>500000</v>
      </c>
      <c r="AO208" t="str">
        <f>"הכנסות  מלקוחות"</f>
        <v>הכנסות  מלקוחות</v>
      </c>
      <c r="AQ208" t="str">
        <f>"034"</f>
        <v>034</v>
      </c>
      <c r="AR208">
        <v>0</v>
      </c>
      <c r="AS208">
        <v>0</v>
      </c>
      <c r="AT208">
        <v>3.7949999999999999</v>
      </c>
      <c r="BB208" t="str">
        <f>"Y"</f>
        <v>Y</v>
      </c>
      <c r="BD208" t="str">
        <f>"ערן שלו"</f>
        <v>ערן שלו</v>
      </c>
    </row>
    <row r="209" spans="1:56" x14ac:dyDescent="0.3">
      <c r="A209" s="1">
        <v>45170</v>
      </c>
      <c r="B209" t="str">
        <f>"SI236001328"</f>
        <v>SI236001328</v>
      </c>
      <c r="E209" t="str">
        <f>"Y"</f>
        <v>Y</v>
      </c>
      <c r="F209" t="str">
        <f>"חשבוניות מרכזות"</f>
        <v>חשבוניות מרכזות</v>
      </c>
      <c r="G209" t="str">
        <f>"700065"</f>
        <v>700065</v>
      </c>
      <c r="H209" t="str">
        <f>"אלתא מערכות בע""מ"</f>
        <v>אלתא מערכות בע"מ</v>
      </c>
      <c r="I209" t="str">
        <f>"10"</f>
        <v>10</v>
      </c>
      <c r="J209" t="str">
        <f>"OP-ML00218"</f>
        <v>OP-ML00218</v>
      </c>
      <c r="K209" t="str">
        <f>"1042A900-001 RECTIFIER RACK"</f>
        <v>1042A900-001 RECTIFIER RACK</v>
      </c>
      <c r="L209">
        <v>1</v>
      </c>
      <c r="M209" t="str">
        <f>"יח"</f>
        <v>יח</v>
      </c>
      <c r="N209">
        <v>1</v>
      </c>
      <c r="O209" t="str">
        <f>"יח"</f>
        <v>יח</v>
      </c>
      <c r="P209" s="2">
        <v>42500</v>
      </c>
      <c r="Q209" t="str">
        <f>"$"</f>
        <v>$</v>
      </c>
      <c r="R209" t="str">
        <f>"הזמנה"</f>
        <v>הזמנה</v>
      </c>
      <c r="S209">
        <v>0</v>
      </c>
      <c r="T209" s="2">
        <v>42500</v>
      </c>
      <c r="U209">
        <v>0</v>
      </c>
      <c r="V209" s="2">
        <v>42500</v>
      </c>
      <c r="W209" t="str">
        <f>"$"</f>
        <v>$</v>
      </c>
      <c r="X209">
        <v>0</v>
      </c>
      <c r="Y209">
        <v>0</v>
      </c>
      <c r="Z209">
        <v>0</v>
      </c>
      <c r="AA209" t="str">
        <f>"Y"</f>
        <v>Y</v>
      </c>
      <c r="AC209">
        <v>0</v>
      </c>
      <c r="AM209" t="str">
        <f>"10"</f>
        <v>10</v>
      </c>
      <c r="AN209" t="str">
        <f>"500000"</f>
        <v>500000</v>
      </c>
      <c r="AO209" t="str">
        <f>"הכנסות  מלקוחות"</f>
        <v>הכנסות  מלקוחות</v>
      </c>
      <c r="AQ209" t="str">
        <f>"034"</f>
        <v>034</v>
      </c>
      <c r="AR209">
        <v>0</v>
      </c>
      <c r="AS209">
        <v>0</v>
      </c>
      <c r="AT209">
        <v>3.7949999999999999</v>
      </c>
      <c r="BB209" t="str">
        <f>"Y"</f>
        <v>Y</v>
      </c>
      <c r="BD209" t="str">
        <f>"ערן שלו"</f>
        <v>ערן שלו</v>
      </c>
    </row>
    <row r="210" spans="1:56" x14ac:dyDescent="0.3">
      <c r="A210" s="1">
        <v>45170</v>
      </c>
      <c r="B210" t="str">
        <f>"SI236001327"</f>
        <v>SI236001327</v>
      </c>
      <c r="E210" t="str">
        <f>"Y"</f>
        <v>Y</v>
      </c>
      <c r="F210" t="str">
        <f>"חשבוניות מרכזות"</f>
        <v>חשבוניות מרכזות</v>
      </c>
      <c r="G210" t="str">
        <f>"700065"</f>
        <v>700065</v>
      </c>
      <c r="H210" t="str">
        <f>"אלתא מערכות בע""מ"</f>
        <v>אלתא מערכות בע"מ</v>
      </c>
      <c r="I210" t="str">
        <f>"10"</f>
        <v>10</v>
      </c>
      <c r="J210" t="str">
        <f>"OP-ML00218"</f>
        <v>OP-ML00218</v>
      </c>
      <c r="K210" t="str">
        <f>"1042A900-001 RECTIFIER RACK"</f>
        <v>1042A900-001 RECTIFIER RACK</v>
      </c>
      <c r="L210">
        <v>1</v>
      </c>
      <c r="M210" t="str">
        <f>"יח"</f>
        <v>יח</v>
      </c>
      <c r="N210">
        <v>1</v>
      </c>
      <c r="O210" t="str">
        <f>"יח"</f>
        <v>יח</v>
      </c>
      <c r="P210" s="2">
        <v>42500</v>
      </c>
      <c r="Q210" t="str">
        <f>"$"</f>
        <v>$</v>
      </c>
      <c r="R210" t="str">
        <f>"הזמנה"</f>
        <v>הזמנה</v>
      </c>
      <c r="S210">
        <v>0</v>
      </c>
      <c r="T210" s="2">
        <v>42500</v>
      </c>
      <c r="U210">
        <v>0</v>
      </c>
      <c r="V210" s="2">
        <v>42500</v>
      </c>
      <c r="W210" t="str">
        <f>"$"</f>
        <v>$</v>
      </c>
      <c r="X210">
        <v>0</v>
      </c>
      <c r="Y210">
        <v>0</v>
      </c>
      <c r="Z210">
        <v>0</v>
      </c>
      <c r="AA210" t="str">
        <f>"Y"</f>
        <v>Y</v>
      </c>
      <c r="AC210">
        <v>0</v>
      </c>
      <c r="AM210" t="str">
        <f>"10"</f>
        <v>10</v>
      </c>
      <c r="AN210" t="str">
        <f>"500000"</f>
        <v>500000</v>
      </c>
      <c r="AO210" t="str">
        <f>"הכנסות  מלקוחות"</f>
        <v>הכנסות  מלקוחות</v>
      </c>
      <c r="AQ210" t="str">
        <f>"034"</f>
        <v>034</v>
      </c>
      <c r="AR210">
        <v>0</v>
      </c>
      <c r="AS210">
        <v>0</v>
      </c>
      <c r="AT210">
        <v>3.7949999999999999</v>
      </c>
      <c r="BB210" t="str">
        <f>"Y"</f>
        <v>Y</v>
      </c>
      <c r="BD210" t="str">
        <f>"ערן שלו"</f>
        <v>ערן שלו</v>
      </c>
    </row>
    <row r="211" spans="1:56" x14ac:dyDescent="0.3">
      <c r="A211" s="1">
        <v>45170</v>
      </c>
      <c r="B211" t="str">
        <f>"SI236001326"</f>
        <v>SI236001326</v>
      </c>
      <c r="E211" t="str">
        <f>"Y"</f>
        <v>Y</v>
      </c>
      <c r="F211" t="str">
        <f>"חשבוניות מרכזות"</f>
        <v>חשבוניות מרכזות</v>
      </c>
      <c r="G211" t="str">
        <f>"700065"</f>
        <v>700065</v>
      </c>
      <c r="H211" t="str">
        <f>"אלתא מערכות בע""מ"</f>
        <v>אלתא מערכות בע"מ</v>
      </c>
      <c r="I211" t="str">
        <f>"10"</f>
        <v>10</v>
      </c>
      <c r="J211" t="str">
        <f>"OP-ML00218"</f>
        <v>OP-ML00218</v>
      </c>
      <c r="K211" t="str">
        <f>"1042A900-001 RECTIFIER RACK"</f>
        <v>1042A900-001 RECTIFIER RACK</v>
      </c>
      <c r="L211">
        <v>1</v>
      </c>
      <c r="M211" t="str">
        <f>"יח"</f>
        <v>יח</v>
      </c>
      <c r="N211">
        <v>1</v>
      </c>
      <c r="O211" t="str">
        <f>"יח"</f>
        <v>יח</v>
      </c>
      <c r="P211" s="2">
        <v>42500</v>
      </c>
      <c r="Q211" t="str">
        <f>"$"</f>
        <v>$</v>
      </c>
      <c r="R211" t="str">
        <f>"הזמנה"</f>
        <v>הזמנה</v>
      </c>
      <c r="S211">
        <v>0</v>
      </c>
      <c r="T211" s="2">
        <v>42500</v>
      </c>
      <c r="U211">
        <v>0</v>
      </c>
      <c r="V211" s="2">
        <v>42500</v>
      </c>
      <c r="W211" t="str">
        <f>"$"</f>
        <v>$</v>
      </c>
      <c r="X211">
        <v>0</v>
      </c>
      <c r="Y211">
        <v>0</v>
      </c>
      <c r="Z211">
        <v>0</v>
      </c>
      <c r="AA211" t="str">
        <f>"Y"</f>
        <v>Y</v>
      </c>
      <c r="AC211">
        <v>0</v>
      </c>
      <c r="AM211" t="str">
        <f>"10"</f>
        <v>10</v>
      </c>
      <c r="AN211" t="str">
        <f>"500000"</f>
        <v>500000</v>
      </c>
      <c r="AO211" t="str">
        <f>"הכנסות  מלקוחות"</f>
        <v>הכנסות  מלקוחות</v>
      </c>
      <c r="AQ211" t="str">
        <f>"034"</f>
        <v>034</v>
      </c>
      <c r="AR211">
        <v>0</v>
      </c>
      <c r="AS211">
        <v>0</v>
      </c>
      <c r="AT211">
        <v>3.7949999999999999</v>
      </c>
      <c r="BB211" t="str">
        <f>"Y"</f>
        <v>Y</v>
      </c>
      <c r="BD211" t="str">
        <f>"ערן שלו"</f>
        <v>ערן שלו</v>
      </c>
    </row>
    <row r="212" spans="1:56" x14ac:dyDescent="0.3">
      <c r="A212" s="1">
        <v>45170</v>
      </c>
      <c r="B212" t="str">
        <f>"SI236001325"</f>
        <v>SI236001325</v>
      </c>
      <c r="E212" t="str">
        <f>"Y"</f>
        <v>Y</v>
      </c>
      <c r="F212" t="str">
        <f>"חשבוניות מרכזות"</f>
        <v>חשבוניות מרכזות</v>
      </c>
      <c r="G212" t="str">
        <f>"700065"</f>
        <v>700065</v>
      </c>
      <c r="H212" t="str">
        <f>"אלתא מערכות בע""מ"</f>
        <v>אלתא מערכות בע"מ</v>
      </c>
      <c r="I212" t="str">
        <f>"10"</f>
        <v>10</v>
      </c>
      <c r="J212" t="str">
        <f>"OP-ML00218"</f>
        <v>OP-ML00218</v>
      </c>
      <c r="K212" t="str">
        <f>"1042A900-001 RECTIFIER RACK"</f>
        <v>1042A900-001 RECTIFIER RACK</v>
      </c>
      <c r="L212">
        <v>1</v>
      </c>
      <c r="M212" t="str">
        <f>"יח"</f>
        <v>יח</v>
      </c>
      <c r="N212">
        <v>1</v>
      </c>
      <c r="O212" t="str">
        <f>"יח"</f>
        <v>יח</v>
      </c>
      <c r="P212" s="2">
        <v>42500</v>
      </c>
      <c r="Q212" t="str">
        <f>"$"</f>
        <v>$</v>
      </c>
      <c r="R212" t="str">
        <f>"הזמנה"</f>
        <v>הזמנה</v>
      </c>
      <c r="S212">
        <v>0</v>
      </c>
      <c r="T212" s="2">
        <v>42500</v>
      </c>
      <c r="U212">
        <v>0</v>
      </c>
      <c r="V212" s="2">
        <v>42500</v>
      </c>
      <c r="W212" t="str">
        <f>"$"</f>
        <v>$</v>
      </c>
      <c r="X212">
        <v>0</v>
      </c>
      <c r="Y212">
        <v>0</v>
      </c>
      <c r="Z212">
        <v>0</v>
      </c>
      <c r="AA212" t="str">
        <f>"Y"</f>
        <v>Y</v>
      </c>
      <c r="AC212">
        <v>0</v>
      </c>
      <c r="AM212" t="str">
        <f>"10"</f>
        <v>10</v>
      </c>
      <c r="AN212" t="str">
        <f>"500000"</f>
        <v>500000</v>
      </c>
      <c r="AO212" t="str">
        <f>"הכנסות  מלקוחות"</f>
        <v>הכנסות  מלקוחות</v>
      </c>
      <c r="AQ212" t="str">
        <f>"034"</f>
        <v>034</v>
      </c>
      <c r="AR212">
        <v>0</v>
      </c>
      <c r="AS212">
        <v>0</v>
      </c>
      <c r="AT212">
        <v>3.7949999999999999</v>
      </c>
      <c r="BB212" t="str">
        <f>"Y"</f>
        <v>Y</v>
      </c>
      <c r="BD212" t="str">
        <f>"ערן שלו"</f>
        <v>ערן שלו</v>
      </c>
    </row>
    <row r="213" spans="1:56" x14ac:dyDescent="0.3">
      <c r="A213" s="1">
        <v>45170</v>
      </c>
      <c r="B213" t="str">
        <f>"SI236001324"</f>
        <v>SI236001324</v>
      </c>
      <c r="E213" t="str">
        <f>"Y"</f>
        <v>Y</v>
      </c>
      <c r="F213" t="str">
        <f>"חשבוניות מרכזות"</f>
        <v>חשבוניות מרכזות</v>
      </c>
      <c r="G213" t="str">
        <f>"700065"</f>
        <v>700065</v>
      </c>
      <c r="H213" t="str">
        <f>"אלתא מערכות בע""מ"</f>
        <v>אלתא מערכות בע"מ</v>
      </c>
      <c r="I213" t="str">
        <f>"10"</f>
        <v>10</v>
      </c>
      <c r="J213" t="str">
        <f>"OP-ML00218"</f>
        <v>OP-ML00218</v>
      </c>
      <c r="K213" t="str">
        <f>"1042A900-001 RECTIFIER RACK"</f>
        <v>1042A900-001 RECTIFIER RACK</v>
      </c>
      <c r="L213">
        <v>1</v>
      </c>
      <c r="M213" t="str">
        <f>"יח"</f>
        <v>יח</v>
      </c>
      <c r="N213">
        <v>1</v>
      </c>
      <c r="O213" t="str">
        <f>"יח"</f>
        <v>יח</v>
      </c>
      <c r="P213" s="2">
        <v>42500</v>
      </c>
      <c r="Q213" t="str">
        <f>"$"</f>
        <v>$</v>
      </c>
      <c r="R213" t="str">
        <f>"הזמנה"</f>
        <v>הזמנה</v>
      </c>
      <c r="S213">
        <v>0</v>
      </c>
      <c r="T213" s="2">
        <v>42500</v>
      </c>
      <c r="U213">
        <v>0</v>
      </c>
      <c r="V213" s="2">
        <v>42500</v>
      </c>
      <c r="W213" t="str">
        <f>"$"</f>
        <v>$</v>
      </c>
      <c r="X213">
        <v>0</v>
      </c>
      <c r="Y213">
        <v>0</v>
      </c>
      <c r="Z213">
        <v>0</v>
      </c>
      <c r="AA213" t="str">
        <f>"Y"</f>
        <v>Y</v>
      </c>
      <c r="AC213">
        <v>0</v>
      </c>
      <c r="AM213" t="str">
        <f>"10"</f>
        <v>10</v>
      </c>
      <c r="AN213" t="str">
        <f>"500000"</f>
        <v>500000</v>
      </c>
      <c r="AO213" t="str">
        <f>"הכנסות  מלקוחות"</f>
        <v>הכנסות  מלקוחות</v>
      </c>
      <c r="AQ213" t="str">
        <f>"034"</f>
        <v>034</v>
      </c>
      <c r="AR213">
        <v>0</v>
      </c>
      <c r="AS213">
        <v>0</v>
      </c>
      <c r="AT213">
        <v>3.7949999999999999</v>
      </c>
      <c r="BB213" t="str">
        <f>"Y"</f>
        <v>Y</v>
      </c>
      <c r="BD213" t="str">
        <f>"ערן שלו"</f>
        <v>ערן שלו</v>
      </c>
    </row>
    <row r="214" spans="1:56" x14ac:dyDescent="0.3">
      <c r="A214" s="1">
        <v>45170</v>
      </c>
      <c r="B214" t="str">
        <f>"SI236001323"</f>
        <v>SI236001323</v>
      </c>
      <c r="E214" t="str">
        <f>"Y"</f>
        <v>Y</v>
      </c>
      <c r="F214" t="str">
        <f>"חשבוניות מרכזות"</f>
        <v>חשבוניות מרכזות</v>
      </c>
      <c r="G214" t="str">
        <f>"700065"</f>
        <v>700065</v>
      </c>
      <c r="H214" t="str">
        <f>"אלתא מערכות בע""מ"</f>
        <v>אלתא מערכות בע"מ</v>
      </c>
      <c r="I214" t="str">
        <f>"10"</f>
        <v>10</v>
      </c>
      <c r="J214" t="str">
        <f>"OP-ML00218"</f>
        <v>OP-ML00218</v>
      </c>
      <c r="K214" t="str">
        <f>"1042A900-001 RECTIFIER RACK"</f>
        <v>1042A900-001 RECTIFIER RACK</v>
      </c>
      <c r="L214">
        <v>1</v>
      </c>
      <c r="M214" t="str">
        <f>"יח"</f>
        <v>יח</v>
      </c>
      <c r="N214">
        <v>1</v>
      </c>
      <c r="O214" t="str">
        <f>"יח"</f>
        <v>יח</v>
      </c>
      <c r="P214" s="2">
        <v>42500</v>
      </c>
      <c r="Q214" t="str">
        <f>"$"</f>
        <v>$</v>
      </c>
      <c r="R214" t="str">
        <f>"הזמנה"</f>
        <v>הזמנה</v>
      </c>
      <c r="S214">
        <v>0</v>
      </c>
      <c r="T214" s="2">
        <v>42500</v>
      </c>
      <c r="U214">
        <v>0</v>
      </c>
      <c r="V214" s="2">
        <v>42500</v>
      </c>
      <c r="W214" t="str">
        <f>"$"</f>
        <v>$</v>
      </c>
      <c r="X214">
        <v>0</v>
      </c>
      <c r="Y214">
        <v>0</v>
      </c>
      <c r="Z214">
        <v>0</v>
      </c>
      <c r="AA214" t="str">
        <f>"Y"</f>
        <v>Y</v>
      </c>
      <c r="AC214">
        <v>0</v>
      </c>
      <c r="AM214" t="str">
        <f>"10"</f>
        <v>10</v>
      </c>
      <c r="AN214" t="str">
        <f>"500000"</f>
        <v>500000</v>
      </c>
      <c r="AO214" t="str">
        <f>"הכנסות  מלקוחות"</f>
        <v>הכנסות  מלקוחות</v>
      </c>
      <c r="AQ214" t="str">
        <f>"034"</f>
        <v>034</v>
      </c>
      <c r="AR214">
        <v>0</v>
      </c>
      <c r="AS214">
        <v>0</v>
      </c>
      <c r="AT214">
        <v>3.7949999999999999</v>
      </c>
      <c r="BB214" t="str">
        <f>"Y"</f>
        <v>Y</v>
      </c>
      <c r="BD214" t="str">
        <f>"ערן שלו"</f>
        <v>ערן שלו</v>
      </c>
    </row>
    <row r="215" spans="1:56" x14ac:dyDescent="0.3">
      <c r="A215" s="1">
        <v>45170</v>
      </c>
      <c r="B215" t="str">
        <f>"SI236001322"</f>
        <v>SI236001322</v>
      </c>
      <c r="E215" t="str">
        <f>"Y"</f>
        <v>Y</v>
      </c>
      <c r="F215" t="str">
        <f>"חשבוניות מרכזות"</f>
        <v>חשבוניות מרכזות</v>
      </c>
      <c r="G215" t="str">
        <f>"700065"</f>
        <v>700065</v>
      </c>
      <c r="H215" t="str">
        <f>"אלתא מערכות בע""מ"</f>
        <v>אלתא מערכות בע"מ</v>
      </c>
      <c r="I215" t="str">
        <f>"10"</f>
        <v>10</v>
      </c>
      <c r="J215" t="str">
        <f>"OP-ML00217"</f>
        <v>OP-ML00217</v>
      </c>
      <c r="K215" t="str">
        <f>"1042A920-001 COMPUTER RACK"</f>
        <v>1042A920-001 COMPUTER RACK</v>
      </c>
      <c r="L215">
        <v>1</v>
      </c>
      <c r="M215" t="str">
        <f>"יח"</f>
        <v>יח</v>
      </c>
      <c r="N215">
        <v>1</v>
      </c>
      <c r="O215" t="str">
        <f>"יח"</f>
        <v>יח</v>
      </c>
      <c r="P215" s="2">
        <v>36500</v>
      </c>
      <c r="Q215" t="str">
        <f>"$"</f>
        <v>$</v>
      </c>
      <c r="R215" t="str">
        <f>"הזמנה"</f>
        <v>הזמנה</v>
      </c>
      <c r="S215">
        <v>0</v>
      </c>
      <c r="T215" s="2">
        <v>36500</v>
      </c>
      <c r="U215">
        <v>0</v>
      </c>
      <c r="V215" s="2">
        <v>36500</v>
      </c>
      <c r="W215" t="str">
        <f>"$"</f>
        <v>$</v>
      </c>
      <c r="X215">
        <v>0</v>
      </c>
      <c r="Y215">
        <v>0</v>
      </c>
      <c r="Z215">
        <v>0</v>
      </c>
      <c r="AA215" t="str">
        <f>"Y"</f>
        <v>Y</v>
      </c>
      <c r="AC215">
        <v>0</v>
      </c>
      <c r="AM215" t="str">
        <f>"10"</f>
        <v>10</v>
      </c>
      <c r="AN215" t="str">
        <f>"500000"</f>
        <v>500000</v>
      </c>
      <c r="AO215" t="str">
        <f>"הכנסות  מלקוחות"</f>
        <v>הכנסות  מלקוחות</v>
      </c>
      <c r="AQ215" t="str">
        <f>"034"</f>
        <v>034</v>
      </c>
      <c r="AR215">
        <v>0</v>
      </c>
      <c r="AS215">
        <v>0</v>
      </c>
      <c r="AT215">
        <v>3.7949999999999999</v>
      </c>
      <c r="BB215" t="str">
        <f>"Y"</f>
        <v>Y</v>
      </c>
      <c r="BD215" t="str">
        <f>"ערן שלו"</f>
        <v>ערן שלו</v>
      </c>
    </row>
    <row r="216" spans="1:56" x14ac:dyDescent="0.3">
      <c r="A216" s="1">
        <v>45170</v>
      </c>
      <c r="B216" t="str">
        <f>"SI236001321"</f>
        <v>SI236001321</v>
      </c>
      <c r="E216" t="str">
        <f>"Y"</f>
        <v>Y</v>
      </c>
      <c r="F216" t="str">
        <f>"חשבוניות מרכזות"</f>
        <v>חשבוניות מרכזות</v>
      </c>
      <c r="G216" t="str">
        <f>"700065"</f>
        <v>700065</v>
      </c>
      <c r="H216" t="str">
        <f>"אלתא מערכות בע""מ"</f>
        <v>אלתא מערכות בע"מ</v>
      </c>
      <c r="I216" t="str">
        <f>"10"</f>
        <v>10</v>
      </c>
      <c r="J216" t="str">
        <f>"OP-ML00217"</f>
        <v>OP-ML00217</v>
      </c>
      <c r="K216" t="str">
        <f>"1042A920-001 COMPUTER RACK"</f>
        <v>1042A920-001 COMPUTER RACK</v>
      </c>
      <c r="L216">
        <v>1</v>
      </c>
      <c r="M216" t="str">
        <f>"יח"</f>
        <v>יח</v>
      </c>
      <c r="N216">
        <v>1</v>
      </c>
      <c r="O216" t="str">
        <f>"יח"</f>
        <v>יח</v>
      </c>
      <c r="P216" s="2">
        <v>36500</v>
      </c>
      <c r="Q216" t="str">
        <f>"$"</f>
        <v>$</v>
      </c>
      <c r="R216" t="str">
        <f>"הזמנה"</f>
        <v>הזמנה</v>
      </c>
      <c r="S216">
        <v>0</v>
      </c>
      <c r="T216" s="2">
        <v>36500</v>
      </c>
      <c r="U216">
        <v>0</v>
      </c>
      <c r="V216" s="2">
        <v>36500</v>
      </c>
      <c r="W216" t="str">
        <f>"$"</f>
        <v>$</v>
      </c>
      <c r="X216">
        <v>0</v>
      </c>
      <c r="Y216">
        <v>0</v>
      </c>
      <c r="Z216">
        <v>0</v>
      </c>
      <c r="AA216" t="str">
        <f>"Y"</f>
        <v>Y</v>
      </c>
      <c r="AC216">
        <v>0</v>
      </c>
      <c r="AM216" t="str">
        <f>"10"</f>
        <v>10</v>
      </c>
      <c r="AN216" t="str">
        <f>"500000"</f>
        <v>500000</v>
      </c>
      <c r="AO216" t="str">
        <f>"הכנסות  מלקוחות"</f>
        <v>הכנסות  מלקוחות</v>
      </c>
      <c r="AQ216" t="str">
        <f>"034"</f>
        <v>034</v>
      </c>
      <c r="AR216">
        <v>0</v>
      </c>
      <c r="AS216">
        <v>0</v>
      </c>
      <c r="AT216">
        <v>3.7949999999999999</v>
      </c>
      <c r="BB216" t="str">
        <f>"Y"</f>
        <v>Y</v>
      </c>
      <c r="BD216" t="str">
        <f>"ערן שלו"</f>
        <v>ערן שלו</v>
      </c>
    </row>
    <row r="217" spans="1:56" x14ac:dyDescent="0.3">
      <c r="A217" s="1">
        <v>45170</v>
      </c>
      <c r="B217" t="str">
        <f>"SI236001320"</f>
        <v>SI236001320</v>
      </c>
      <c r="E217" t="str">
        <f>"Y"</f>
        <v>Y</v>
      </c>
      <c r="F217" t="str">
        <f>"חשבוניות מרכזות"</f>
        <v>חשבוניות מרכזות</v>
      </c>
      <c r="G217" t="str">
        <f>"700065"</f>
        <v>700065</v>
      </c>
      <c r="H217" t="str">
        <f>"אלתא מערכות בע""מ"</f>
        <v>אלתא מערכות בע"מ</v>
      </c>
      <c r="I217" t="str">
        <f>"10"</f>
        <v>10</v>
      </c>
      <c r="J217" t="str">
        <f>"OP-ML00217"</f>
        <v>OP-ML00217</v>
      </c>
      <c r="K217" t="str">
        <f>"1042A920-001 COMPUTER RACK"</f>
        <v>1042A920-001 COMPUTER RACK</v>
      </c>
      <c r="L217">
        <v>1</v>
      </c>
      <c r="M217" t="str">
        <f>"יח"</f>
        <v>יח</v>
      </c>
      <c r="N217">
        <v>1</v>
      </c>
      <c r="O217" t="str">
        <f>"יח"</f>
        <v>יח</v>
      </c>
      <c r="P217" s="2">
        <v>36500</v>
      </c>
      <c r="Q217" t="str">
        <f>"$"</f>
        <v>$</v>
      </c>
      <c r="R217" t="str">
        <f>"הזמנה"</f>
        <v>הזמנה</v>
      </c>
      <c r="S217">
        <v>0</v>
      </c>
      <c r="T217" s="2">
        <v>36500</v>
      </c>
      <c r="U217">
        <v>0</v>
      </c>
      <c r="V217" s="2">
        <v>36500</v>
      </c>
      <c r="W217" t="str">
        <f>"$"</f>
        <v>$</v>
      </c>
      <c r="X217">
        <v>0</v>
      </c>
      <c r="Y217">
        <v>0</v>
      </c>
      <c r="Z217">
        <v>0</v>
      </c>
      <c r="AA217" t="str">
        <f>"Y"</f>
        <v>Y</v>
      </c>
      <c r="AC217">
        <v>0</v>
      </c>
      <c r="AM217" t="str">
        <f>"10"</f>
        <v>10</v>
      </c>
      <c r="AN217" t="str">
        <f>"500000"</f>
        <v>500000</v>
      </c>
      <c r="AO217" t="str">
        <f>"הכנסות  מלקוחות"</f>
        <v>הכנסות  מלקוחות</v>
      </c>
      <c r="AQ217" t="str">
        <f>"034"</f>
        <v>034</v>
      </c>
      <c r="AR217">
        <v>0</v>
      </c>
      <c r="AS217">
        <v>0</v>
      </c>
      <c r="AT217">
        <v>3.7949999999999999</v>
      </c>
      <c r="BB217" t="str">
        <f>"Y"</f>
        <v>Y</v>
      </c>
      <c r="BD217" t="str">
        <f>"ערן שלו"</f>
        <v>ערן שלו</v>
      </c>
    </row>
    <row r="218" spans="1:56" x14ac:dyDescent="0.3">
      <c r="A218" s="1">
        <v>45170</v>
      </c>
      <c r="B218" t="str">
        <f>"SI236001319"</f>
        <v>SI236001319</v>
      </c>
      <c r="E218" t="str">
        <f>"Y"</f>
        <v>Y</v>
      </c>
      <c r="F218" t="str">
        <f>"חשבוניות מרכזות"</f>
        <v>חשבוניות מרכזות</v>
      </c>
      <c r="G218" t="str">
        <f>"700065"</f>
        <v>700065</v>
      </c>
      <c r="H218" t="str">
        <f>"אלתא מערכות בע""מ"</f>
        <v>אלתא מערכות בע"מ</v>
      </c>
      <c r="I218" t="str">
        <f>"10"</f>
        <v>10</v>
      </c>
      <c r="J218" t="str">
        <f>"OP-ML00217"</f>
        <v>OP-ML00217</v>
      </c>
      <c r="K218" t="str">
        <f>"1042A920-001 COMPUTER RACK"</f>
        <v>1042A920-001 COMPUTER RACK</v>
      </c>
      <c r="L218">
        <v>1</v>
      </c>
      <c r="M218" t="str">
        <f>"יח"</f>
        <v>יח</v>
      </c>
      <c r="N218">
        <v>1</v>
      </c>
      <c r="O218" t="str">
        <f>"יח"</f>
        <v>יח</v>
      </c>
      <c r="P218" s="2">
        <v>36500</v>
      </c>
      <c r="Q218" t="str">
        <f>"$"</f>
        <v>$</v>
      </c>
      <c r="R218" t="str">
        <f>"הזמנה"</f>
        <v>הזמנה</v>
      </c>
      <c r="S218">
        <v>0</v>
      </c>
      <c r="T218" s="2">
        <v>36500</v>
      </c>
      <c r="U218">
        <v>0</v>
      </c>
      <c r="V218" s="2">
        <v>36500</v>
      </c>
      <c r="W218" t="str">
        <f>"$"</f>
        <v>$</v>
      </c>
      <c r="X218">
        <v>0</v>
      </c>
      <c r="Y218">
        <v>0</v>
      </c>
      <c r="Z218">
        <v>0</v>
      </c>
      <c r="AA218" t="str">
        <f>"Y"</f>
        <v>Y</v>
      </c>
      <c r="AC218">
        <v>0</v>
      </c>
      <c r="AM218" t="str">
        <f>"10"</f>
        <v>10</v>
      </c>
      <c r="AN218" t="str">
        <f>"500000"</f>
        <v>500000</v>
      </c>
      <c r="AO218" t="str">
        <f>"הכנסות  מלקוחות"</f>
        <v>הכנסות  מלקוחות</v>
      </c>
      <c r="AQ218" t="str">
        <f>"034"</f>
        <v>034</v>
      </c>
      <c r="AR218">
        <v>0</v>
      </c>
      <c r="AS218">
        <v>0</v>
      </c>
      <c r="AT218">
        <v>3.7949999999999999</v>
      </c>
      <c r="BB218" t="str">
        <f>"Y"</f>
        <v>Y</v>
      </c>
      <c r="BD218" t="str">
        <f>"ערן שלו"</f>
        <v>ערן שלו</v>
      </c>
    </row>
    <row r="219" spans="1:56" x14ac:dyDescent="0.3">
      <c r="A219" s="1">
        <v>45169</v>
      </c>
      <c r="B219" t="str">
        <f>"SI236001211"</f>
        <v>SI236001211</v>
      </c>
      <c r="C219" t="str">
        <f>"PR23000317"</f>
        <v>PR23000317</v>
      </c>
      <c r="E219" t="str">
        <f>"Y"</f>
        <v>Y</v>
      </c>
      <c r="F219" t="str">
        <f>"חשבוניות מרכזות"</f>
        <v>חשבוניות מרכזות</v>
      </c>
      <c r="G219" t="str">
        <f>"700065"</f>
        <v>700065</v>
      </c>
      <c r="H219" t="str">
        <f>"אלתא מערכות בע""מ"</f>
        <v>אלתא מערכות בע"מ</v>
      </c>
      <c r="I219" t="str">
        <f>"15"</f>
        <v>15</v>
      </c>
      <c r="J219" t="str">
        <f>"OP-AR03631"</f>
        <v>OP-AR03631</v>
      </c>
      <c r="K219" t="str">
        <f>"2070B181-001    GND CABLE ASSY W101"</f>
        <v>2070B181-001    GND CABLE ASSY W101</v>
      </c>
      <c r="L219">
        <v>1</v>
      </c>
      <c r="M219" t="str">
        <f>"יח"</f>
        <v>יח</v>
      </c>
      <c r="N219">
        <v>1</v>
      </c>
      <c r="O219" t="str">
        <f>"יח"</f>
        <v>יח</v>
      </c>
      <c r="P219">
        <v>119.63</v>
      </c>
      <c r="Q219" t="str">
        <f>"$"</f>
        <v>$</v>
      </c>
      <c r="R219" t="str">
        <f>"הזמנה"</f>
        <v>הזמנה</v>
      </c>
      <c r="S219">
        <v>0</v>
      </c>
      <c r="T219">
        <v>119.63</v>
      </c>
      <c r="U219">
        <v>0</v>
      </c>
      <c r="V219">
        <v>119.63</v>
      </c>
      <c r="W219" t="str">
        <f>"$"</f>
        <v>$</v>
      </c>
      <c r="X219">
        <v>0</v>
      </c>
      <c r="Y219">
        <v>0</v>
      </c>
      <c r="Z219">
        <v>0</v>
      </c>
      <c r="AA219" t="str">
        <f>"Y"</f>
        <v>Y</v>
      </c>
      <c r="AB219" t="str">
        <f>"SO23000226"</f>
        <v>SO23000226</v>
      </c>
      <c r="AC219">
        <v>5</v>
      </c>
      <c r="AD219" s="1">
        <v>45054</v>
      </c>
      <c r="AE219" t="str">
        <f>"SH23001088"</f>
        <v>SH23001088</v>
      </c>
      <c r="AF219" t="str">
        <f>"משלוחים ללקוח"</f>
        <v>משלוחים ללקוח</v>
      </c>
      <c r="AG219" s="1">
        <v>45160</v>
      </c>
      <c r="AM219" t="str">
        <f>"10"</f>
        <v>10</v>
      </c>
      <c r="AN219" t="str">
        <f>"500000"</f>
        <v>500000</v>
      </c>
      <c r="AO219" t="str">
        <f>"הכנסות  מלקוחות"</f>
        <v>הכנסות  מלקוחות</v>
      </c>
      <c r="AQ219" t="str">
        <f>"040"</f>
        <v>040</v>
      </c>
      <c r="AR219">
        <v>0</v>
      </c>
      <c r="AS219">
        <v>0</v>
      </c>
      <c r="AT219">
        <v>3.8010000000000002</v>
      </c>
      <c r="AX219" t="str">
        <f>"E000393606"</f>
        <v>E000393606</v>
      </c>
      <c r="BD219" t="str">
        <f>"רחמים זרוק"</f>
        <v>רחמים זרוק</v>
      </c>
    </row>
    <row r="220" spans="1:56" x14ac:dyDescent="0.3">
      <c r="A220" s="1">
        <v>45169</v>
      </c>
      <c r="B220" t="str">
        <f>"SI236001211"</f>
        <v>SI236001211</v>
      </c>
      <c r="C220" t="str">
        <f>"PR23000317"</f>
        <v>PR23000317</v>
      </c>
      <c r="E220" t="str">
        <f>"Y"</f>
        <v>Y</v>
      </c>
      <c r="F220" t="str">
        <f>"חשבוניות מרכזות"</f>
        <v>חשבוניות מרכזות</v>
      </c>
      <c r="G220" t="str">
        <f>"700065"</f>
        <v>700065</v>
      </c>
      <c r="H220" t="str">
        <f>"אלתא מערכות בע""מ"</f>
        <v>אלתא מערכות בע"מ</v>
      </c>
      <c r="I220" t="str">
        <f>"15"</f>
        <v>15</v>
      </c>
      <c r="J220" t="str">
        <f>"OP-AR03631"</f>
        <v>OP-AR03631</v>
      </c>
      <c r="K220" t="str">
        <f>"2070B181-001    GND CABLE ASSY W101"</f>
        <v>2070B181-001    GND CABLE ASSY W101</v>
      </c>
      <c r="L220">
        <v>1</v>
      </c>
      <c r="M220" t="str">
        <f>"יח"</f>
        <v>יח</v>
      </c>
      <c r="N220">
        <v>1</v>
      </c>
      <c r="O220" t="str">
        <f>"יח"</f>
        <v>יח</v>
      </c>
      <c r="P220">
        <v>119.63</v>
      </c>
      <c r="Q220" t="str">
        <f>"$"</f>
        <v>$</v>
      </c>
      <c r="R220" t="str">
        <f>"הזמנה"</f>
        <v>הזמנה</v>
      </c>
      <c r="S220">
        <v>0</v>
      </c>
      <c r="T220">
        <v>119.63</v>
      </c>
      <c r="U220">
        <v>0</v>
      </c>
      <c r="V220">
        <v>119.63</v>
      </c>
      <c r="W220" t="str">
        <f>"$"</f>
        <v>$</v>
      </c>
      <c r="X220">
        <v>0</v>
      </c>
      <c r="Y220">
        <v>0</v>
      </c>
      <c r="Z220">
        <v>0</v>
      </c>
      <c r="AA220" t="str">
        <f>"Y"</f>
        <v>Y</v>
      </c>
      <c r="AB220" t="str">
        <f>"SO23000226"</f>
        <v>SO23000226</v>
      </c>
      <c r="AC220">
        <v>6</v>
      </c>
      <c r="AD220" s="1">
        <v>45054</v>
      </c>
      <c r="AE220" t="str">
        <f>"SH23001088"</f>
        <v>SH23001088</v>
      </c>
      <c r="AF220" t="str">
        <f>"משלוחים ללקוח"</f>
        <v>משלוחים ללקוח</v>
      </c>
      <c r="AG220" s="1">
        <v>45160</v>
      </c>
      <c r="AM220" t="str">
        <f>"10"</f>
        <v>10</v>
      </c>
      <c r="AN220" t="str">
        <f>"500000"</f>
        <v>500000</v>
      </c>
      <c r="AO220" t="str">
        <f>"הכנסות  מלקוחות"</f>
        <v>הכנסות  מלקוחות</v>
      </c>
      <c r="AQ220" t="str">
        <f>"040"</f>
        <v>040</v>
      </c>
      <c r="AR220">
        <v>0</v>
      </c>
      <c r="AS220">
        <v>0</v>
      </c>
      <c r="AT220">
        <v>3.8010000000000002</v>
      </c>
      <c r="AX220" t="str">
        <f>"E000393606"</f>
        <v>E000393606</v>
      </c>
      <c r="BD220" t="str">
        <f>"רחמים זרוק"</f>
        <v>רחמים זרוק</v>
      </c>
    </row>
    <row r="221" spans="1:56" x14ac:dyDescent="0.3">
      <c r="A221" s="1">
        <v>45169</v>
      </c>
      <c r="B221" t="str">
        <f>"SI236001211"</f>
        <v>SI236001211</v>
      </c>
      <c r="C221" t="str">
        <f>"PR23000317"</f>
        <v>PR23000317</v>
      </c>
      <c r="E221" t="str">
        <f>"Y"</f>
        <v>Y</v>
      </c>
      <c r="F221" t="str">
        <f>"חשבוניות מרכזות"</f>
        <v>חשבוניות מרכזות</v>
      </c>
      <c r="G221" t="str">
        <f>"700065"</f>
        <v>700065</v>
      </c>
      <c r="H221" t="str">
        <f>"אלתא מערכות בע""מ"</f>
        <v>אלתא מערכות בע"מ</v>
      </c>
      <c r="I221" t="str">
        <f>"15"</f>
        <v>15</v>
      </c>
      <c r="J221" t="str">
        <f>"OP-AR03631"</f>
        <v>OP-AR03631</v>
      </c>
      <c r="K221" t="str">
        <f>"2070B181-001    GND CABLE ASSY W101"</f>
        <v>2070B181-001    GND CABLE ASSY W101</v>
      </c>
      <c r="L221">
        <v>1</v>
      </c>
      <c r="M221" t="str">
        <f>"יח"</f>
        <v>יח</v>
      </c>
      <c r="N221">
        <v>1</v>
      </c>
      <c r="O221" t="str">
        <f>"יח"</f>
        <v>יח</v>
      </c>
      <c r="P221">
        <v>119.63</v>
      </c>
      <c r="Q221" t="str">
        <f>"$"</f>
        <v>$</v>
      </c>
      <c r="R221" t="str">
        <f>"הזמנה"</f>
        <v>הזמנה</v>
      </c>
      <c r="S221">
        <v>0</v>
      </c>
      <c r="T221">
        <v>119.63</v>
      </c>
      <c r="U221">
        <v>0</v>
      </c>
      <c r="V221">
        <v>119.63</v>
      </c>
      <c r="W221" t="str">
        <f>"$"</f>
        <v>$</v>
      </c>
      <c r="X221">
        <v>0</v>
      </c>
      <c r="Y221">
        <v>0</v>
      </c>
      <c r="Z221">
        <v>0</v>
      </c>
      <c r="AA221" t="str">
        <f>"Y"</f>
        <v>Y</v>
      </c>
      <c r="AB221" t="str">
        <f>"SO23000226"</f>
        <v>SO23000226</v>
      </c>
      <c r="AC221">
        <v>8</v>
      </c>
      <c r="AD221" s="1">
        <v>45054</v>
      </c>
      <c r="AE221" t="str">
        <f>"SH23001088"</f>
        <v>SH23001088</v>
      </c>
      <c r="AF221" t="str">
        <f>"משלוחים ללקוח"</f>
        <v>משלוחים ללקוח</v>
      </c>
      <c r="AG221" s="1">
        <v>45160</v>
      </c>
      <c r="AM221" t="str">
        <f>"10"</f>
        <v>10</v>
      </c>
      <c r="AN221" t="str">
        <f>"500000"</f>
        <v>500000</v>
      </c>
      <c r="AO221" t="str">
        <f>"הכנסות  מלקוחות"</f>
        <v>הכנסות  מלקוחות</v>
      </c>
      <c r="AQ221" t="str">
        <f>"040"</f>
        <v>040</v>
      </c>
      <c r="AR221">
        <v>0</v>
      </c>
      <c r="AS221">
        <v>0</v>
      </c>
      <c r="AT221">
        <v>3.8010000000000002</v>
      </c>
      <c r="AX221" t="str">
        <f>"E000393606"</f>
        <v>E000393606</v>
      </c>
      <c r="BD221" t="str">
        <f>"רחמים זרוק"</f>
        <v>רחמים זרוק</v>
      </c>
    </row>
    <row r="222" spans="1:56" x14ac:dyDescent="0.3">
      <c r="A222" s="1">
        <v>45169</v>
      </c>
      <c r="B222" t="str">
        <f>"SI236001210"</f>
        <v>SI236001210</v>
      </c>
      <c r="C222" t="str">
        <f>"PR23000267"</f>
        <v>PR23000267</v>
      </c>
      <c r="D222" t="str">
        <f>"PR23000267"</f>
        <v>PR23000267</v>
      </c>
      <c r="E222" t="str">
        <f>"Y"</f>
        <v>Y</v>
      </c>
      <c r="F222" t="str">
        <f>"חשבוניות מרכזות"</f>
        <v>חשבוניות מרכזות</v>
      </c>
      <c r="G222" t="str">
        <f>"700065"</f>
        <v>700065</v>
      </c>
      <c r="H222" t="str">
        <f>"אלתא מערכות בע""מ"</f>
        <v>אלתא מערכות בע"מ</v>
      </c>
      <c r="I222" t="str">
        <f>"10"</f>
        <v>10</v>
      </c>
      <c r="J222" t="str">
        <f>"OP-AR03611"</f>
        <v>OP-AR03611</v>
      </c>
      <c r="K222" t="str">
        <f>"3025Y439-001    HARNESS W439 - RACK 14 - BC-MTX POWER CO"</f>
        <v>3025Y439-001    HARNESS W439 - RACK 14 - BC-MTX POWER CO</v>
      </c>
      <c r="L222">
        <v>3</v>
      </c>
      <c r="M222" t="str">
        <f>"יח"</f>
        <v>יח</v>
      </c>
      <c r="N222">
        <v>3</v>
      </c>
      <c r="O222" t="str">
        <f>"יח"</f>
        <v>יח</v>
      </c>
      <c r="P222">
        <v>342.71</v>
      </c>
      <c r="Q222" t="str">
        <f>"$"</f>
        <v>$</v>
      </c>
      <c r="R222" t="str">
        <f>"הזמנה"</f>
        <v>הזמנה</v>
      </c>
      <c r="S222">
        <v>0</v>
      </c>
      <c r="T222" s="2">
        <v>1028.1300000000001</v>
      </c>
      <c r="U222">
        <v>0</v>
      </c>
      <c r="V222" s="2">
        <v>1028.1300000000001</v>
      </c>
      <c r="W222" t="str">
        <f>"$"</f>
        <v>$</v>
      </c>
      <c r="X222">
        <v>0</v>
      </c>
      <c r="Y222">
        <v>0</v>
      </c>
      <c r="Z222">
        <v>0</v>
      </c>
      <c r="AA222" t="str">
        <f>"Y"</f>
        <v>Y</v>
      </c>
      <c r="AB222" t="str">
        <f>"SO23000178"</f>
        <v>SO23000178</v>
      </c>
      <c r="AC222">
        <v>2</v>
      </c>
      <c r="AD222" s="1">
        <v>45020</v>
      </c>
      <c r="AE222" t="str">
        <f>"SH23001086"</f>
        <v>SH23001086</v>
      </c>
      <c r="AF222" t="str">
        <f>"משלוחים ללקוח"</f>
        <v>משלוחים ללקוח</v>
      </c>
      <c r="AG222" s="1">
        <v>45160</v>
      </c>
      <c r="AM222" t="str">
        <f>"10"</f>
        <v>10</v>
      </c>
      <c r="AN222" t="str">
        <f>"500000"</f>
        <v>500000</v>
      </c>
      <c r="AO222" t="str">
        <f>"הכנסות  מלקוחות"</f>
        <v>הכנסות  מלקוחות</v>
      </c>
      <c r="AQ222" t="str">
        <f>"040"</f>
        <v>040</v>
      </c>
      <c r="AR222">
        <v>0</v>
      </c>
      <c r="AS222">
        <v>0</v>
      </c>
      <c r="AT222">
        <v>3.8010000000000002</v>
      </c>
      <c r="AX222" t="str">
        <f>"E000390863"</f>
        <v>E000390863</v>
      </c>
      <c r="BD222" t="str">
        <f>"רחמים זרוק"</f>
        <v>רחמים זרוק</v>
      </c>
    </row>
    <row r="223" spans="1:56" x14ac:dyDescent="0.3">
      <c r="A223" s="1">
        <v>45169</v>
      </c>
      <c r="B223" t="str">
        <f>"SI236001210"</f>
        <v>SI236001210</v>
      </c>
      <c r="C223" t="str">
        <f>"PR23000267"</f>
        <v>PR23000267</v>
      </c>
      <c r="D223" t="str">
        <f>"PR23000267"</f>
        <v>PR23000267</v>
      </c>
      <c r="E223" t="str">
        <f>"Y"</f>
        <v>Y</v>
      </c>
      <c r="F223" t="str">
        <f>"חשבוניות מרכזות"</f>
        <v>חשבוניות מרכזות</v>
      </c>
      <c r="G223" t="str">
        <f>"700065"</f>
        <v>700065</v>
      </c>
      <c r="H223" t="str">
        <f>"אלתא מערכות בע""מ"</f>
        <v>אלתא מערכות בע"מ</v>
      </c>
      <c r="I223" t="str">
        <f>"10"</f>
        <v>10</v>
      </c>
      <c r="J223" t="str">
        <f>"OP-AR03613"</f>
        <v>OP-AR03613</v>
      </c>
      <c r="K223" t="str">
        <f>"3025Y441-001    HARNESS W441 - BC-MTX - BP2 RACK 14 TO B"</f>
        <v>3025Y441-001    HARNESS W441 - BC-MTX - BP2 RACK 14 TO B</v>
      </c>
      <c r="L223">
        <v>2</v>
      </c>
      <c r="M223" t="str">
        <f>"יח"</f>
        <v>יח</v>
      </c>
      <c r="N223">
        <v>2</v>
      </c>
      <c r="O223" t="str">
        <f>"יח"</f>
        <v>יח</v>
      </c>
      <c r="P223">
        <v>497.83</v>
      </c>
      <c r="Q223" t="str">
        <f>"$"</f>
        <v>$</v>
      </c>
      <c r="R223" t="str">
        <f>"הזמנה"</f>
        <v>הזמנה</v>
      </c>
      <c r="S223">
        <v>0</v>
      </c>
      <c r="T223">
        <v>995.66</v>
      </c>
      <c r="U223">
        <v>0</v>
      </c>
      <c r="V223">
        <v>995.66</v>
      </c>
      <c r="W223" t="str">
        <f>"$"</f>
        <v>$</v>
      </c>
      <c r="X223">
        <v>0</v>
      </c>
      <c r="Y223">
        <v>0</v>
      </c>
      <c r="Z223">
        <v>0</v>
      </c>
      <c r="AA223" t="str">
        <f>"Y"</f>
        <v>Y</v>
      </c>
      <c r="AB223" t="str">
        <f>"SO23000178"</f>
        <v>SO23000178</v>
      </c>
      <c r="AC223">
        <v>4</v>
      </c>
      <c r="AD223" s="1">
        <v>45020</v>
      </c>
      <c r="AE223" t="str">
        <f>"SH23001086"</f>
        <v>SH23001086</v>
      </c>
      <c r="AF223" t="str">
        <f>"משלוחים ללקוח"</f>
        <v>משלוחים ללקוח</v>
      </c>
      <c r="AG223" s="1">
        <v>45160</v>
      </c>
      <c r="AM223" t="str">
        <f>"10"</f>
        <v>10</v>
      </c>
      <c r="AN223" t="str">
        <f>"500000"</f>
        <v>500000</v>
      </c>
      <c r="AO223" t="str">
        <f>"הכנסות  מלקוחות"</f>
        <v>הכנסות  מלקוחות</v>
      </c>
      <c r="AQ223" t="str">
        <f>"040"</f>
        <v>040</v>
      </c>
      <c r="AR223">
        <v>0</v>
      </c>
      <c r="AS223">
        <v>0</v>
      </c>
      <c r="AT223">
        <v>3.8010000000000002</v>
      </c>
      <c r="AX223" t="str">
        <f>"E000390863"</f>
        <v>E000390863</v>
      </c>
      <c r="BD223" t="str">
        <f>"רחמים זרוק"</f>
        <v>רחמים זרוק</v>
      </c>
    </row>
    <row r="224" spans="1:56" x14ac:dyDescent="0.3">
      <c r="A224" s="1">
        <v>45169</v>
      </c>
      <c r="B224" t="str">
        <f>"SI236001209"</f>
        <v>SI236001209</v>
      </c>
      <c r="C224" t="str">
        <f>"PR22000908"</f>
        <v>PR22000908</v>
      </c>
      <c r="D224" t="str">
        <f>"PR22000908"</f>
        <v>PR22000908</v>
      </c>
      <c r="E224" t="str">
        <f>"Y"</f>
        <v>Y</v>
      </c>
      <c r="F224" t="str">
        <f>"חשבוניות מרכזות"</f>
        <v>חשבוניות מרכזות</v>
      </c>
      <c r="G224" t="str">
        <f>"700065"</f>
        <v>700065</v>
      </c>
      <c r="H224" t="str">
        <f>"אלתא מערכות בע""מ"</f>
        <v>אלתא מערכות בע"מ</v>
      </c>
      <c r="I224" t="str">
        <f>"15"</f>
        <v>15</v>
      </c>
      <c r="J224" t="str">
        <f>"OP-AR03522"</f>
        <v>OP-AR03522</v>
      </c>
      <c r="K224" t="str">
        <f>"9004A944-001    HARNESS W1944 - PDB CONTROL AND DATA"</f>
        <v>9004A944-001    HARNESS W1944 - PDB CONTROL AND DATA</v>
      </c>
      <c r="L224">
        <v>1</v>
      </c>
      <c r="M224" t="str">
        <f>"יח"</f>
        <v>יח</v>
      </c>
      <c r="N224">
        <v>1</v>
      </c>
      <c r="O224" t="str">
        <f>"יח"</f>
        <v>יח</v>
      </c>
      <c r="P224">
        <v>570.54999999999995</v>
      </c>
      <c r="Q224" t="str">
        <f>"$"</f>
        <v>$</v>
      </c>
      <c r="R224" t="str">
        <f>"הזמנה"</f>
        <v>הזמנה</v>
      </c>
      <c r="S224">
        <v>0</v>
      </c>
      <c r="T224">
        <v>570.54999999999995</v>
      </c>
      <c r="U224">
        <v>0</v>
      </c>
      <c r="V224">
        <v>570.54999999999995</v>
      </c>
      <c r="W224" t="str">
        <f>"$"</f>
        <v>$</v>
      </c>
      <c r="X224">
        <v>0</v>
      </c>
      <c r="Y224">
        <v>0</v>
      </c>
      <c r="Z224">
        <v>0</v>
      </c>
      <c r="AA224" t="str">
        <f>"Y"</f>
        <v>Y</v>
      </c>
      <c r="AB224" t="str">
        <f>"SO22000490"</f>
        <v>SO22000490</v>
      </c>
      <c r="AC224">
        <v>4</v>
      </c>
      <c r="AD224" s="1">
        <v>44922</v>
      </c>
      <c r="AE224" t="str">
        <f>"SH23001081"</f>
        <v>SH23001081</v>
      </c>
      <c r="AF224" t="str">
        <f>"משלוחים ללקוח"</f>
        <v>משלוחים ללקוח</v>
      </c>
      <c r="AG224" s="1">
        <v>45160</v>
      </c>
      <c r="AM224" t="str">
        <f>"10"</f>
        <v>10</v>
      </c>
      <c r="AN224" t="str">
        <f>"500000"</f>
        <v>500000</v>
      </c>
      <c r="AO224" t="str">
        <f>"הכנסות  מלקוחות"</f>
        <v>הכנסות  מלקוחות</v>
      </c>
      <c r="AQ224" t="str">
        <f>"040"</f>
        <v>040</v>
      </c>
      <c r="AR224">
        <v>0</v>
      </c>
      <c r="AS224">
        <v>0</v>
      </c>
      <c r="AT224">
        <v>3.8010000000000002</v>
      </c>
      <c r="AX224" t="str">
        <f>"E000380890"</f>
        <v>E000380890</v>
      </c>
      <c r="BD224" t="str">
        <f>"רחמים זרוק"</f>
        <v>רחמים זרוק</v>
      </c>
    </row>
    <row r="225" spans="1:56" x14ac:dyDescent="0.3">
      <c r="A225" s="1">
        <v>45169</v>
      </c>
      <c r="B225" t="str">
        <f>"SI236001208"</f>
        <v>SI236001208</v>
      </c>
      <c r="C225" t="str">
        <f>"PR22000604"</f>
        <v>PR22000604</v>
      </c>
      <c r="D225" t="str">
        <f>"PR22000604"</f>
        <v>PR22000604</v>
      </c>
      <c r="E225" t="str">
        <f>"Y"</f>
        <v>Y</v>
      </c>
      <c r="F225" t="str">
        <f>"חשבוניות מרכזות"</f>
        <v>חשבוניות מרכזות</v>
      </c>
      <c r="G225" t="str">
        <f>"700065"</f>
        <v>700065</v>
      </c>
      <c r="H225" t="str">
        <f>"אלתא מערכות בע""מ"</f>
        <v>אלתא מערכות בע"מ</v>
      </c>
      <c r="I225" t="str">
        <f>"15"</f>
        <v>15</v>
      </c>
      <c r="J225" t="str">
        <f>"OP-AR03323"</f>
        <v>OP-AR03323</v>
      </c>
      <c r="K225" t="str">
        <f>"2227B376-001    SARLA-ESS-RP-J5 CABLE ASSY"</f>
        <v>2227B376-001    SARLA-ESS-RP-J5 CABLE ASSY</v>
      </c>
      <c r="L225">
        <v>1</v>
      </c>
      <c r="M225" t="str">
        <f>"יח"</f>
        <v>יח</v>
      </c>
      <c r="N225">
        <v>1</v>
      </c>
      <c r="O225" t="str">
        <f>"יח"</f>
        <v>יח</v>
      </c>
      <c r="P225">
        <v>482.63</v>
      </c>
      <c r="Q225" t="str">
        <f>"$"</f>
        <v>$</v>
      </c>
      <c r="R225" t="str">
        <f>"הזמנה"</f>
        <v>הזמנה</v>
      </c>
      <c r="S225">
        <v>0</v>
      </c>
      <c r="T225">
        <v>482.63</v>
      </c>
      <c r="U225">
        <v>0</v>
      </c>
      <c r="V225">
        <v>482.63</v>
      </c>
      <c r="W225" t="str">
        <f>"$"</f>
        <v>$</v>
      </c>
      <c r="X225">
        <v>0</v>
      </c>
      <c r="Y225">
        <v>0</v>
      </c>
      <c r="Z225">
        <v>0</v>
      </c>
      <c r="AA225" t="str">
        <f>"Y"</f>
        <v>Y</v>
      </c>
      <c r="AB225" t="str">
        <f>"SO22000356"</f>
        <v>SO22000356</v>
      </c>
      <c r="AC225">
        <v>7</v>
      </c>
      <c r="AD225" s="1">
        <v>44816</v>
      </c>
      <c r="AE225" t="str">
        <f>"SH23001061"</f>
        <v>SH23001061</v>
      </c>
      <c r="AF225" t="str">
        <f>"משלוחים ללקוח"</f>
        <v>משלוחים ללקוח</v>
      </c>
      <c r="AG225" s="1">
        <v>45155</v>
      </c>
      <c r="AM225" t="str">
        <f>"10"</f>
        <v>10</v>
      </c>
      <c r="AN225" t="str">
        <f>"500000"</f>
        <v>500000</v>
      </c>
      <c r="AO225" t="str">
        <f>"הכנסות  מלקוחות"</f>
        <v>הכנסות  מלקוחות</v>
      </c>
      <c r="AQ225" t="str">
        <f>"040"</f>
        <v>040</v>
      </c>
      <c r="AR225">
        <v>0</v>
      </c>
      <c r="AS225">
        <v>0</v>
      </c>
      <c r="AT225">
        <v>3.8010000000000002</v>
      </c>
      <c r="AX225" t="str">
        <f>"E000373398"</f>
        <v>E000373398</v>
      </c>
      <c r="BD225" t="str">
        <f>"רחמים זרוק"</f>
        <v>רחמים זרוק</v>
      </c>
    </row>
    <row r="226" spans="1:56" x14ac:dyDescent="0.3">
      <c r="A226" s="1">
        <v>45169</v>
      </c>
      <c r="B226" t="str">
        <f>"CR237000092"</f>
        <v>CR237000092</v>
      </c>
      <c r="E226" t="str">
        <f>"Y"</f>
        <v>Y</v>
      </c>
      <c r="F226" t="str">
        <f>"חשבוניות זיכוי"</f>
        <v>חשבוניות זיכוי</v>
      </c>
      <c r="G226" t="str">
        <f>"700065"</f>
        <v>700065</v>
      </c>
      <c r="H226" t="str">
        <f>"אלתא מערכות בע""מ"</f>
        <v>אלתא מערכות בע"מ</v>
      </c>
      <c r="I226" t="str">
        <f>"10"</f>
        <v>10</v>
      </c>
      <c r="J226" t="str">
        <f>"000"</f>
        <v>000</v>
      </c>
      <c r="K226" t="str">
        <f>"זיכוי"</f>
        <v>זיכוי</v>
      </c>
      <c r="L226">
        <v>1</v>
      </c>
      <c r="M226" t="str">
        <f>"יח"</f>
        <v>יח</v>
      </c>
      <c r="N226">
        <v>1</v>
      </c>
      <c r="O226" t="str">
        <f>"יח"</f>
        <v>יח</v>
      </c>
      <c r="P226">
        <v>625</v>
      </c>
      <c r="Q226" t="str">
        <f>"$"</f>
        <v>$</v>
      </c>
      <c r="R226" t="str">
        <f>"ידני"</f>
        <v>ידני</v>
      </c>
      <c r="S226">
        <v>0</v>
      </c>
      <c r="T226">
        <v>625</v>
      </c>
      <c r="U226">
        <v>0</v>
      </c>
      <c r="V226">
        <v>625</v>
      </c>
      <c r="W226" t="str">
        <f>"$"</f>
        <v>$</v>
      </c>
      <c r="X226">
        <v>0</v>
      </c>
      <c r="Y226">
        <v>0</v>
      </c>
      <c r="Z226">
        <v>0</v>
      </c>
      <c r="AA226" t="str">
        <f>"Y"</f>
        <v>Y</v>
      </c>
      <c r="AC226">
        <v>0</v>
      </c>
      <c r="AM226" t="str">
        <f>"10"</f>
        <v>10</v>
      </c>
      <c r="AN226" t="str">
        <f>"500000"</f>
        <v>500000</v>
      </c>
      <c r="AO226" t="str">
        <f>"הכנסות  מלקוחות"</f>
        <v>הכנסות  מלקוחות</v>
      </c>
      <c r="AQ226" t="str">
        <f>"034"</f>
        <v>034</v>
      </c>
      <c r="AR226">
        <v>0</v>
      </c>
      <c r="AS226">
        <v>0</v>
      </c>
      <c r="AT226">
        <v>3.738</v>
      </c>
      <c r="BD226" t="str">
        <f>"ערן שלו"</f>
        <v>ערן שלו</v>
      </c>
    </row>
    <row r="227" spans="1:56" x14ac:dyDescent="0.3">
      <c r="A227" s="1">
        <v>45169</v>
      </c>
      <c r="B227" t="str">
        <f>"CR237000091"</f>
        <v>CR237000091</v>
      </c>
      <c r="E227" t="str">
        <f>"Y"</f>
        <v>Y</v>
      </c>
      <c r="F227" t="str">
        <f>"חשבוניות זיכוי"</f>
        <v>חשבוניות זיכוי</v>
      </c>
      <c r="G227" t="str">
        <f>"700065"</f>
        <v>700065</v>
      </c>
      <c r="H227" t="str">
        <f>"אלתא מערכות בע""מ"</f>
        <v>אלתא מערכות בע"מ</v>
      </c>
      <c r="I227" t="str">
        <f>"10"</f>
        <v>10</v>
      </c>
      <c r="J227" t="str">
        <f>"000"</f>
        <v>000</v>
      </c>
      <c r="K227" t="str">
        <f>"זיכוי"</f>
        <v>זיכוי</v>
      </c>
      <c r="L227">
        <v>-1</v>
      </c>
      <c r="M227" t="str">
        <f>"יח"</f>
        <v>יח</v>
      </c>
      <c r="N227">
        <v>-1</v>
      </c>
      <c r="O227" t="str">
        <f>"יח"</f>
        <v>יח</v>
      </c>
      <c r="P227">
        <v>625</v>
      </c>
      <c r="Q227" t="str">
        <f>"$"</f>
        <v>$</v>
      </c>
      <c r="R227" t="str">
        <f>"ידני"</f>
        <v>ידני</v>
      </c>
      <c r="S227">
        <v>0</v>
      </c>
      <c r="T227">
        <v>-625</v>
      </c>
      <c r="U227">
        <v>0</v>
      </c>
      <c r="V227">
        <v>-625</v>
      </c>
      <c r="W227" t="str">
        <f>"$"</f>
        <v>$</v>
      </c>
      <c r="X227">
        <v>0</v>
      </c>
      <c r="Y227">
        <v>0</v>
      </c>
      <c r="Z227">
        <v>0</v>
      </c>
      <c r="AA227" t="str">
        <f>"Y"</f>
        <v>Y</v>
      </c>
      <c r="AC227">
        <v>0</v>
      </c>
      <c r="AM227" t="str">
        <f>"10"</f>
        <v>10</v>
      </c>
      <c r="AN227" t="str">
        <f>"500000"</f>
        <v>500000</v>
      </c>
      <c r="AO227" t="str">
        <f>"הכנסות  מלקוחות"</f>
        <v>הכנסות  מלקוחות</v>
      </c>
      <c r="AQ227" t="str">
        <f>"034"</f>
        <v>034</v>
      </c>
      <c r="AR227">
        <v>0</v>
      </c>
      <c r="AS227">
        <v>0</v>
      </c>
      <c r="AT227">
        <v>3.738</v>
      </c>
      <c r="BB227" t="str">
        <f>"Y"</f>
        <v>Y</v>
      </c>
      <c r="BD227" t="str">
        <f>"ערן שלו"</f>
        <v>ערן שלו</v>
      </c>
    </row>
    <row r="228" spans="1:56" x14ac:dyDescent="0.3">
      <c r="A228" s="1">
        <v>45169</v>
      </c>
      <c r="B228" t="str">
        <f>"CR237000090"</f>
        <v>CR237000090</v>
      </c>
      <c r="E228" t="str">
        <f>"Y"</f>
        <v>Y</v>
      </c>
      <c r="F228" t="str">
        <f>"חשבוניות זיכוי"</f>
        <v>חשבוניות זיכוי</v>
      </c>
      <c r="G228" t="str">
        <f>"700065"</f>
        <v>700065</v>
      </c>
      <c r="H228" t="str">
        <f>"אלתא מערכות בע""מ"</f>
        <v>אלתא מערכות בע"מ</v>
      </c>
      <c r="I228" t="str">
        <f>"10"</f>
        <v>10</v>
      </c>
      <c r="J228" t="str">
        <f>"000"</f>
        <v>000</v>
      </c>
      <c r="K228" t="str">
        <f>"זיכוי"</f>
        <v>זיכוי</v>
      </c>
      <c r="L228">
        <v>1</v>
      </c>
      <c r="M228" t="str">
        <f>"יח"</f>
        <v>יח</v>
      </c>
      <c r="N228">
        <v>1</v>
      </c>
      <c r="O228" t="str">
        <f>"יח"</f>
        <v>יח</v>
      </c>
      <c r="P228">
        <v>625</v>
      </c>
      <c r="Q228" t="str">
        <f>"$"</f>
        <v>$</v>
      </c>
      <c r="R228" t="str">
        <f>"ידני"</f>
        <v>ידני</v>
      </c>
      <c r="S228">
        <v>0</v>
      </c>
      <c r="T228">
        <v>625</v>
      </c>
      <c r="U228">
        <v>0</v>
      </c>
      <c r="V228">
        <v>625</v>
      </c>
      <c r="W228" t="str">
        <f>"$"</f>
        <v>$</v>
      </c>
      <c r="X228">
        <v>0</v>
      </c>
      <c r="Y228">
        <v>0</v>
      </c>
      <c r="Z228">
        <v>0</v>
      </c>
      <c r="AA228" t="str">
        <f>"Y"</f>
        <v>Y</v>
      </c>
      <c r="AC228">
        <v>0</v>
      </c>
      <c r="AM228" t="str">
        <f>"10"</f>
        <v>10</v>
      </c>
      <c r="AN228" t="str">
        <f>"500000"</f>
        <v>500000</v>
      </c>
      <c r="AO228" t="str">
        <f>"הכנסות  מלקוחות"</f>
        <v>הכנסות  מלקוחות</v>
      </c>
      <c r="AQ228" t="str">
        <f>"034"</f>
        <v>034</v>
      </c>
      <c r="AR228">
        <v>0</v>
      </c>
      <c r="AS228">
        <v>0</v>
      </c>
      <c r="AT228">
        <v>3.738</v>
      </c>
      <c r="BB228" t="str">
        <f>"Y"</f>
        <v>Y</v>
      </c>
      <c r="BD228" t="str">
        <f>"ערן שלו"</f>
        <v>ערן שלו</v>
      </c>
    </row>
    <row r="229" spans="1:56" x14ac:dyDescent="0.3">
      <c r="A229" s="1">
        <v>45167</v>
      </c>
      <c r="B229" t="str">
        <f>"SI236001152"</f>
        <v>SI236001152</v>
      </c>
      <c r="C229" t="str">
        <f>"PR23000327"</f>
        <v>PR23000327</v>
      </c>
      <c r="D229" t="str">
        <f>"PR23000327"</f>
        <v>PR23000327</v>
      </c>
      <c r="E229" t="str">
        <f>"Y"</f>
        <v>Y</v>
      </c>
      <c r="F229" t="str">
        <f>"חשבוניות מרכזות"</f>
        <v>חשבוניות מרכזות</v>
      </c>
      <c r="G229" t="str">
        <f>"700065"</f>
        <v>700065</v>
      </c>
      <c r="H229" t="str">
        <f>"אלתא מערכות בע""מ"</f>
        <v>אלתא מערכות בע"מ</v>
      </c>
      <c r="I229" t="str">
        <f>"15"</f>
        <v>15</v>
      </c>
      <c r="J229" t="str">
        <f>"OP-AR02350"</f>
        <v>OP-AR02350</v>
      </c>
      <c r="K229" t="str">
        <f>"2202B032-001    TRW21 CABLE ASSY"</f>
        <v>2202B032-001    TRW21 CABLE ASSY</v>
      </c>
      <c r="L229">
        <v>2</v>
      </c>
      <c r="M229" t="str">
        <f>"יח"</f>
        <v>יח</v>
      </c>
      <c r="N229">
        <v>2</v>
      </c>
      <c r="O229" t="str">
        <f>"יח"</f>
        <v>יח</v>
      </c>
      <c r="P229">
        <v>158.83000000000001</v>
      </c>
      <c r="Q229" t="str">
        <f>"$"</f>
        <v>$</v>
      </c>
      <c r="R229" t="str">
        <f>"הזמנה"</f>
        <v>הזמנה</v>
      </c>
      <c r="S229">
        <v>0</v>
      </c>
      <c r="T229">
        <v>317.66000000000003</v>
      </c>
      <c r="U229">
        <v>0</v>
      </c>
      <c r="V229">
        <v>317.66000000000003</v>
      </c>
      <c r="W229" t="str">
        <f>"$"</f>
        <v>$</v>
      </c>
      <c r="X229">
        <v>0</v>
      </c>
      <c r="Y229">
        <v>0</v>
      </c>
      <c r="Z229">
        <v>0</v>
      </c>
      <c r="AA229" t="str">
        <f>"Y"</f>
        <v>Y</v>
      </c>
      <c r="AB229" t="str">
        <f>"SO23000233"</f>
        <v>SO23000233</v>
      </c>
      <c r="AC229">
        <v>2</v>
      </c>
      <c r="AD229" s="1">
        <v>45061</v>
      </c>
      <c r="AE229" t="str">
        <f>"SH23001013"</f>
        <v>SH23001013</v>
      </c>
      <c r="AF229" t="str">
        <f>"משלוחים ללקוח"</f>
        <v>משלוחים ללקוח</v>
      </c>
      <c r="AG229" s="1">
        <v>45144</v>
      </c>
      <c r="AM229" t="str">
        <f>"10"</f>
        <v>10</v>
      </c>
      <c r="AN229" t="str">
        <f>"500000"</f>
        <v>500000</v>
      </c>
      <c r="AO229" t="str">
        <f>"הכנסות  מלקוחות"</f>
        <v>הכנסות  מלקוחות</v>
      </c>
      <c r="AQ229" t="str">
        <f>"040"</f>
        <v>040</v>
      </c>
      <c r="AR229">
        <v>0</v>
      </c>
      <c r="AS229">
        <v>0</v>
      </c>
      <c r="AT229">
        <v>3.8079999999999998</v>
      </c>
      <c r="AX229" t="str">
        <f>"E000394557"</f>
        <v>E000394557</v>
      </c>
      <c r="BD229" t="str">
        <f>"רחמים זרוק"</f>
        <v>רחמים זרוק</v>
      </c>
    </row>
    <row r="230" spans="1:56" x14ac:dyDescent="0.3">
      <c r="A230" s="1">
        <v>45167</v>
      </c>
      <c r="B230" t="str">
        <f>"SI236001152"</f>
        <v>SI236001152</v>
      </c>
      <c r="C230" t="str">
        <f>"PR23000327"</f>
        <v>PR23000327</v>
      </c>
      <c r="D230" t="str">
        <f>"PR23000327"</f>
        <v>PR23000327</v>
      </c>
      <c r="E230" t="str">
        <f>"Y"</f>
        <v>Y</v>
      </c>
      <c r="F230" t="str">
        <f>"חשבוניות מרכזות"</f>
        <v>חשבוניות מרכזות</v>
      </c>
      <c r="G230" t="str">
        <f>"700065"</f>
        <v>700065</v>
      </c>
      <c r="H230" t="str">
        <f>"אלתא מערכות בע""מ"</f>
        <v>אלתא מערכות בע"מ</v>
      </c>
      <c r="I230" t="str">
        <f>"15"</f>
        <v>15</v>
      </c>
      <c r="J230" t="str">
        <f>"OP-AR02351"</f>
        <v>OP-AR02351</v>
      </c>
      <c r="K230" t="str">
        <f>"2202B034-001    TRW22 CABLE ASSY"</f>
        <v>2202B034-001    TRW22 CABLE ASSY</v>
      </c>
      <c r="L230">
        <v>2</v>
      </c>
      <c r="M230" t="str">
        <f>"יח"</f>
        <v>יח</v>
      </c>
      <c r="N230">
        <v>2</v>
      </c>
      <c r="O230" t="str">
        <f>"יח"</f>
        <v>יח</v>
      </c>
      <c r="P230">
        <v>132.6</v>
      </c>
      <c r="Q230" t="str">
        <f>"$"</f>
        <v>$</v>
      </c>
      <c r="R230" t="str">
        <f>"הזמנה"</f>
        <v>הזמנה</v>
      </c>
      <c r="S230">
        <v>0</v>
      </c>
      <c r="T230">
        <v>265.2</v>
      </c>
      <c r="U230">
        <v>0</v>
      </c>
      <c r="V230">
        <v>265.2</v>
      </c>
      <c r="W230" t="str">
        <f>"$"</f>
        <v>$</v>
      </c>
      <c r="X230">
        <v>0</v>
      </c>
      <c r="Y230">
        <v>0</v>
      </c>
      <c r="Z230">
        <v>0</v>
      </c>
      <c r="AA230" t="str">
        <f>"Y"</f>
        <v>Y</v>
      </c>
      <c r="AB230" t="str">
        <f>"SO23000233"</f>
        <v>SO23000233</v>
      </c>
      <c r="AC230">
        <v>3</v>
      </c>
      <c r="AD230" s="1">
        <v>45061</v>
      </c>
      <c r="AE230" t="str">
        <f>"SH23001013"</f>
        <v>SH23001013</v>
      </c>
      <c r="AF230" t="str">
        <f>"משלוחים ללקוח"</f>
        <v>משלוחים ללקוח</v>
      </c>
      <c r="AG230" s="1">
        <v>45144</v>
      </c>
      <c r="AM230" t="str">
        <f>"10"</f>
        <v>10</v>
      </c>
      <c r="AN230" t="str">
        <f>"500000"</f>
        <v>500000</v>
      </c>
      <c r="AO230" t="str">
        <f>"הכנסות  מלקוחות"</f>
        <v>הכנסות  מלקוחות</v>
      </c>
      <c r="AQ230" t="str">
        <f>"040"</f>
        <v>040</v>
      </c>
      <c r="AR230">
        <v>0</v>
      </c>
      <c r="AS230">
        <v>0</v>
      </c>
      <c r="AT230">
        <v>3.8079999999999998</v>
      </c>
      <c r="AX230" t="str">
        <f>"E000394557"</f>
        <v>E000394557</v>
      </c>
      <c r="BD230" t="str">
        <f>"רחמים זרוק"</f>
        <v>רחמים זרוק</v>
      </c>
    </row>
    <row r="231" spans="1:56" x14ac:dyDescent="0.3">
      <c r="A231" s="1">
        <v>45167</v>
      </c>
      <c r="B231" t="str">
        <f>"SI236001151"</f>
        <v>SI236001151</v>
      </c>
      <c r="C231" t="str">
        <f>"PR23000263"</f>
        <v>PR23000263</v>
      </c>
      <c r="D231" t="str">
        <f>"PR23000263"</f>
        <v>PR23000263</v>
      </c>
      <c r="E231" t="str">
        <f>"Y"</f>
        <v>Y</v>
      </c>
      <c r="F231" t="str">
        <f>"חשבוניות מרכזות"</f>
        <v>חשבוניות מרכזות</v>
      </c>
      <c r="G231" t="str">
        <f>"700065"</f>
        <v>700065</v>
      </c>
      <c r="H231" t="str">
        <f>"אלתא מערכות בע""מ"</f>
        <v>אלתא מערכות בע"מ</v>
      </c>
      <c r="I231" t="str">
        <f>"15"</f>
        <v>15</v>
      </c>
      <c r="J231" t="str">
        <f>"OP-AR03593"</f>
        <v>OP-AR03593</v>
      </c>
      <c r="K231" t="str">
        <f>"1035C102-001    HARNESS 1W002 - POWER IN 320VDC TO FILTE"</f>
        <v>1035C102-001    HARNESS 1W002 - POWER IN 320VDC TO FILTE</v>
      </c>
      <c r="L231">
        <v>2</v>
      </c>
      <c r="M231" t="str">
        <f>"יח"</f>
        <v>יח</v>
      </c>
      <c r="N231">
        <v>2</v>
      </c>
      <c r="O231" t="str">
        <f>"יח"</f>
        <v>יח</v>
      </c>
      <c r="P231">
        <v>320.72000000000003</v>
      </c>
      <c r="Q231" t="str">
        <f>"$"</f>
        <v>$</v>
      </c>
      <c r="R231" t="str">
        <f>"הזמנה"</f>
        <v>הזמנה</v>
      </c>
      <c r="S231">
        <v>0</v>
      </c>
      <c r="T231">
        <v>641.44000000000005</v>
      </c>
      <c r="U231">
        <v>0</v>
      </c>
      <c r="V231">
        <v>641.44000000000005</v>
      </c>
      <c r="W231" t="str">
        <f>"$"</f>
        <v>$</v>
      </c>
      <c r="X231">
        <v>0</v>
      </c>
      <c r="Y231">
        <v>0</v>
      </c>
      <c r="Z231">
        <v>0</v>
      </c>
      <c r="AA231" t="str">
        <f>"Y"</f>
        <v>Y</v>
      </c>
      <c r="AB231" t="str">
        <f>"SO23000174"</f>
        <v>SO23000174</v>
      </c>
      <c r="AC231">
        <v>1</v>
      </c>
      <c r="AD231" s="1">
        <v>45019</v>
      </c>
      <c r="AE231" t="str">
        <f>"SH23001026"</f>
        <v>SH23001026</v>
      </c>
      <c r="AF231" t="str">
        <f>"משלוחים ללקוח"</f>
        <v>משלוחים ללקוח</v>
      </c>
      <c r="AG231" s="1">
        <v>45146</v>
      </c>
      <c r="AM231" t="str">
        <f>"10"</f>
        <v>10</v>
      </c>
      <c r="AN231" t="str">
        <f>"500000"</f>
        <v>500000</v>
      </c>
      <c r="AO231" t="str">
        <f>"הכנסות  מלקוחות"</f>
        <v>הכנסות  מלקוחות</v>
      </c>
      <c r="AQ231" t="str">
        <f>"040"</f>
        <v>040</v>
      </c>
      <c r="AR231">
        <v>0</v>
      </c>
      <c r="AS231">
        <v>0</v>
      </c>
      <c r="AT231">
        <v>3.8079999999999998</v>
      </c>
      <c r="AX231" t="str">
        <f>"E000390904"</f>
        <v>E000390904</v>
      </c>
      <c r="BD231" t="str">
        <f>"רחמים זרוק"</f>
        <v>רחמים זרוק</v>
      </c>
    </row>
    <row r="232" spans="1:56" x14ac:dyDescent="0.3">
      <c r="A232" s="1">
        <v>45167</v>
      </c>
      <c r="B232" t="str">
        <f>"SI236001150"</f>
        <v>SI236001150</v>
      </c>
      <c r="C232" t="str">
        <f>"PR23000313"</f>
        <v>PR23000313</v>
      </c>
      <c r="D232" t="str">
        <f>"PR23000313"</f>
        <v>PR23000313</v>
      </c>
      <c r="E232" t="str">
        <f>"Y"</f>
        <v>Y</v>
      </c>
      <c r="F232" t="str">
        <f>"חשבוניות מרכזות"</f>
        <v>חשבוניות מרכזות</v>
      </c>
      <c r="G232" t="str">
        <f>"700065"</f>
        <v>700065</v>
      </c>
      <c r="H232" t="str">
        <f>"אלתא מערכות בע""מ"</f>
        <v>אלתא מערכות בע"מ</v>
      </c>
      <c r="I232" t="str">
        <f>"15"</f>
        <v>15</v>
      </c>
      <c r="J232" t="str">
        <f>"OP-AR03621"</f>
        <v>OP-AR03621</v>
      </c>
      <c r="K232" t="str">
        <f>"2202G031-001    ANDM LOOPBACK CABLE"</f>
        <v>2202G031-001    ANDM LOOPBACK CABLE</v>
      </c>
      <c r="L232">
        <v>1</v>
      </c>
      <c r="M232" t="str">
        <f>"יח"</f>
        <v>יח</v>
      </c>
      <c r="N232">
        <v>1</v>
      </c>
      <c r="O232" t="str">
        <f>"יח"</f>
        <v>יח</v>
      </c>
      <c r="P232">
        <v>111.84</v>
      </c>
      <c r="Q232" t="str">
        <f>"$"</f>
        <v>$</v>
      </c>
      <c r="R232" t="str">
        <f>"הזמנה"</f>
        <v>הזמנה</v>
      </c>
      <c r="S232">
        <v>0</v>
      </c>
      <c r="T232">
        <v>111.84</v>
      </c>
      <c r="U232">
        <v>0</v>
      </c>
      <c r="V232">
        <v>111.84</v>
      </c>
      <c r="W232" t="str">
        <f>"$"</f>
        <v>$</v>
      </c>
      <c r="X232">
        <v>0</v>
      </c>
      <c r="Y232">
        <v>0</v>
      </c>
      <c r="Z232">
        <v>0</v>
      </c>
      <c r="AA232" t="str">
        <f>"Y"</f>
        <v>Y</v>
      </c>
      <c r="AB232" t="str">
        <f>"SO23000229"</f>
        <v>SO23000229</v>
      </c>
      <c r="AC232">
        <v>3</v>
      </c>
      <c r="AD232" s="1">
        <v>45054</v>
      </c>
      <c r="AE232" t="str">
        <f>"SH23001008"</f>
        <v>SH23001008</v>
      </c>
      <c r="AF232" t="str">
        <f>"משלוחים ללקוח"</f>
        <v>משלוחים ללקוח</v>
      </c>
      <c r="AG232" s="1">
        <v>45144</v>
      </c>
      <c r="AM232" t="str">
        <f>"10"</f>
        <v>10</v>
      </c>
      <c r="AN232" t="str">
        <f>"500000"</f>
        <v>500000</v>
      </c>
      <c r="AO232" t="str">
        <f>"הכנסות  מלקוחות"</f>
        <v>הכנסות  מלקוחות</v>
      </c>
      <c r="AQ232" t="str">
        <f>"040"</f>
        <v>040</v>
      </c>
      <c r="AR232">
        <v>0</v>
      </c>
      <c r="AS232">
        <v>0</v>
      </c>
      <c r="AT232">
        <v>3.8079999999999998</v>
      </c>
      <c r="AX232" t="str">
        <f>"E000390854"</f>
        <v>E000390854</v>
      </c>
      <c r="BD232" t="str">
        <f>"רחמים זרוק"</f>
        <v>רחמים זרוק</v>
      </c>
    </row>
    <row r="233" spans="1:56" x14ac:dyDescent="0.3">
      <c r="A233" s="1">
        <v>45167</v>
      </c>
      <c r="B233" t="str">
        <f>"SI236001149"</f>
        <v>SI236001149</v>
      </c>
      <c r="C233" t="str">
        <f>"PR22000551"</f>
        <v>PR22000551</v>
      </c>
      <c r="D233" t="str">
        <f>"PR22000551"</f>
        <v>PR22000551</v>
      </c>
      <c r="E233" t="str">
        <f>"Y"</f>
        <v>Y</v>
      </c>
      <c r="F233" t="str">
        <f>"חשבוניות מרכזות"</f>
        <v>חשבוניות מרכזות</v>
      </c>
      <c r="G233" t="str">
        <f>"700065"</f>
        <v>700065</v>
      </c>
      <c r="H233" t="str">
        <f>"אלתא מערכות בע""מ"</f>
        <v>אלתא מערכות בע"מ</v>
      </c>
      <c r="I233" t="str">
        <f>"15"</f>
        <v>15</v>
      </c>
      <c r="J233" t="str">
        <f>"OP-AR03257"</f>
        <v>OP-AR03257</v>
      </c>
      <c r="K233" t="str">
        <f>"1036H288-001    HARNESS WC288 - FANS"</f>
        <v>1036H288-001    HARNESS WC288 - FANS</v>
      </c>
      <c r="L233">
        <v>3</v>
      </c>
      <c r="M233" t="str">
        <f>"יח"</f>
        <v>יח</v>
      </c>
      <c r="N233">
        <v>3</v>
      </c>
      <c r="O233" t="str">
        <f>"יח"</f>
        <v>יח</v>
      </c>
      <c r="P233">
        <v>473.37</v>
      </c>
      <c r="Q233" t="str">
        <f>"$"</f>
        <v>$</v>
      </c>
      <c r="R233" t="str">
        <f>"הזמנה"</f>
        <v>הזמנה</v>
      </c>
      <c r="S233">
        <v>0</v>
      </c>
      <c r="T233" s="2">
        <v>1420.11</v>
      </c>
      <c r="U233">
        <v>0</v>
      </c>
      <c r="V233" s="2">
        <v>1420.11</v>
      </c>
      <c r="W233" t="str">
        <f>"$"</f>
        <v>$</v>
      </c>
      <c r="X233">
        <v>0</v>
      </c>
      <c r="Y233">
        <v>0</v>
      </c>
      <c r="Z233">
        <v>0</v>
      </c>
      <c r="AA233" t="str">
        <f>"Y"</f>
        <v>Y</v>
      </c>
      <c r="AB233" t="str">
        <f>"SO22000316"</f>
        <v>SO22000316</v>
      </c>
      <c r="AC233">
        <v>12</v>
      </c>
      <c r="AD233" s="1">
        <v>44782</v>
      </c>
      <c r="AE233" t="str">
        <f>"SH23001002"</f>
        <v>SH23001002</v>
      </c>
      <c r="AF233" t="str">
        <f>"משלוחים ללקוח"</f>
        <v>משלוחים ללקוח</v>
      </c>
      <c r="AG233" s="1">
        <v>45144</v>
      </c>
      <c r="AM233" t="str">
        <f>"10"</f>
        <v>10</v>
      </c>
      <c r="AN233" t="str">
        <f>"500000"</f>
        <v>500000</v>
      </c>
      <c r="AO233" t="str">
        <f>"הכנסות  מלקוחות"</f>
        <v>הכנסות  מלקוחות</v>
      </c>
      <c r="AQ233" t="str">
        <f>"040"</f>
        <v>040</v>
      </c>
      <c r="AR233">
        <v>0</v>
      </c>
      <c r="AS233">
        <v>0</v>
      </c>
      <c r="AT233">
        <v>3.8079999999999998</v>
      </c>
      <c r="AX233" t="str">
        <f>"E000369246"</f>
        <v>E000369246</v>
      </c>
      <c r="BD233" t="str">
        <f>"רחמים זרוק"</f>
        <v>רחמים זרוק</v>
      </c>
    </row>
    <row r="234" spans="1:56" x14ac:dyDescent="0.3">
      <c r="A234" s="1">
        <v>45167</v>
      </c>
      <c r="B234" t="str">
        <f>"SI236001148"</f>
        <v>SI236001148</v>
      </c>
      <c r="C234" t="str">
        <f>"PR23000554"</f>
        <v>PR23000554</v>
      </c>
      <c r="D234" t="str">
        <f>"PR23000554"</f>
        <v>PR23000554</v>
      </c>
      <c r="E234" t="str">
        <f>"Y"</f>
        <v>Y</v>
      </c>
      <c r="F234" t="str">
        <f>"חשבוניות מרכזות"</f>
        <v>חשבוניות מרכזות</v>
      </c>
      <c r="G234" t="str">
        <f>"700065"</f>
        <v>700065</v>
      </c>
      <c r="H234" t="str">
        <f>"אלתא מערכות בע""מ"</f>
        <v>אלתא מערכות בע"מ</v>
      </c>
      <c r="I234" t="str">
        <f>"10"</f>
        <v>10</v>
      </c>
      <c r="J234" t="str">
        <f>"SH0100029"</f>
        <v>SH0100029</v>
      </c>
      <c r="K234" t="str">
        <f>"שנאי 150KAV לפי מפרט מצורף קומפלט"</f>
        <v>שנאי 150KAV לפי מפרט מצורף קומפלט</v>
      </c>
      <c r="L234">
        <v>1</v>
      </c>
      <c r="M234" t="str">
        <f>"יח"</f>
        <v>יח</v>
      </c>
      <c r="N234">
        <v>1</v>
      </c>
      <c r="O234" t="str">
        <f>"יח"</f>
        <v>יח</v>
      </c>
      <c r="P234" s="2">
        <v>19250</v>
      </c>
      <c r="Q234" t="str">
        <f>"$"</f>
        <v>$</v>
      </c>
      <c r="R234" t="str">
        <f>"הזמנה"</f>
        <v>הזמנה</v>
      </c>
      <c r="S234">
        <v>0</v>
      </c>
      <c r="T234" s="2">
        <v>19250</v>
      </c>
      <c r="U234">
        <v>0</v>
      </c>
      <c r="V234" s="2">
        <v>19250</v>
      </c>
      <c r="W234" t="str">
        <f>"$"</f>
        <v>$</v>
      </c>
      <c r="X234">
        <v>0</v>
      </c>
      <c r="Y234">
        <v>0</v>
      </c>
      <c r="Z234">
        <v>0</v>
      </c>
      <c r="AA234" t="str">
        <f>"Y"</f>
        <v>Y</v>
      </c>
      <c r="AB234" t="str">
        <f>"SO23000377"</f>
        <v>SO23000377</v>
      </c>
      <c r="AC234">
        <v>1</v>
      </c>
      <c r="AD234" s="1">
        <v>45150</v>
      </c>
      <c r="AE234" t="str">
        <f>"SH23001076"</f>
        <v>SH23001076</v>
      </c>
      <c r="AF234" t="str">
        <f>"משלוחים ללקוח"</f>
        <v>משלוחים ללקוח</v>
      </c>
      <c r="AG234" s="1">
        <v>45159</v>
      </c>
      <c r="AM234" t="str">
        <f>"10"</f>
        <v>10</v>
      </c>
      <c r="AN234" t="str">
        <f>"500000"</f>
        <v>500000</v>
      </c>
      <c r="AO234" t="str">
        <f>"הכנסות  מלקוחות"</f>
        <v>הכנסות  מלקוחות</v>
      </c>
      <c r="AQ234" t="str">
        <f>"007"</f>
        <v>007</v>
      </c>
      <c r="AR234">
        <v>0</v>
      </c>
      <c r="AS234">
        <v>0</v>
      </c>
      <c r="AT234">
        <v>3.8079999999999998</v>
      </c>
      <c r="AX234" t="str">
        <f>"E000401196"</f>
        <v>E000401196</v>
      </c>
      <c r="BD234" t="str">
        <f>"רוני דידי"</f>
        <v>רוני דידי</v>
      </c>
    </row>
    <row r="235" spans="1:56" x14ac:dyDescent="0.3">
      <c r="A235" s="1">
        <v>45161</v>
      </c>
      <c r="B235" t="str">
        <f>"SI236001120"</f>
        <v>SI236001120</v>
      </c>
      <c r="C235" t="str">
        <f>"PR23000239"</f>
        <v>PR23000239</v>
      </c>
      <c r="D235" t="str">
        <f>"PR23000239"</f>
        <v>PR23000239</v>
      </c>
      <c r="E235" t="str">
        <f>"Y"</f>
        <v>Y</v>
      </c>
      <c r="F235" t="str">
        <f>"חשבוניות מרכזות"</f>
        <v>חשבוניות מרכזות</v>
      </c>
      <c r="G235" t="str">
        <f>"700065"</f>
        <v>700065</v>
      </c>
      <c r="H235" t="str">
        <f>"אלתא מערכות בע""מ"</f>
        <v>אלתא מערכות בע"מ</v>
      </c>
      <c r="I235" t="str">
        <f>"10"</f>
        <v>10</v>
      </c>
      <c r="J235" t="str">
        <f>"000"</f>
        <v>000</v>
      </c>
      <c r="K235" t="str">
        <f>"ימי עבודה של טכנאי"</f>
        <v>ימי עבודה של טכנאי</v>
      </c>
      <c r="L235">
        <v>1</v>
      </c>
      <c r="M235" t="str">
        <f>"יח"</f>
        <v>יח</v>
      </c>
      <c r="N235">
        <v>1</v>
      </c>
      <c r="O235" t="str">
        <f>"יח"</f>
        <v>יח</v>
      </c>
      <c r="P235" s="2">
        <v>6000</v>
      </c>
      <c r="Q235" t="str">
        <f>"$"</f>
        <v>$</v>
      </c>
      <c r="R235" t="str">
        <f>"הזמנה"</f>
        <v>הזמנה</v>
      </c>
      <c r="S235">
        <v>0</v>
      </c>
      <c r="T235" s="2">
        <v>6000</v>
      </c>
      <c r="U235">
        <v>0</v>
      </c>
      <c r="V235" s="2">
        <v>6000</v>
      </c>
      <c r="W235" t="str">
        <f>"$"</f>
        <v>$</v>
      </c>
      <c r="X235">
        <v>0</v>
      </c>
      <c r="Y235">
        <v>0</v>
      </c>
      <c r="Z235">
        <v>0</v>
      </c>
      <c r="AA235" t="str">
        <f>"Y"</f>
        <v>Y</v>
      </c>
      <c r="AB235" t="str">
        <f>"SO23000168"</f>
        <v>SO23000168</v>
      </c>
      <c r="AC235">
        <v>2</v>
      </c>
      <c r="AD235" s="1">
        <v>45013</v>
      </c>
      <c r="AM235" t="str">
        <f>"10"</f>
        <v>10</v>
      </c>
      <c r="AN235" t="str">
        <f>"500000"</f>
        <v>500000</v>
      </c>
      <c r="AO235" t="str">
        <f>"הכנסות  מלקוחות"</f>
        <v>הכנסות  מלקוחות</v>
      </c>
      <c r="AQ235" t="str">
        <f>"007"</f>
        <v>007</v>
      </c>
      <c r="AR235">
        <v>0</v>
      </c>
      <c r="AS235">
        <v>0</v>
      </c>
      <c r="AT235">
        <v>3.778</v>
      </c>
      <c r="AX235" t="str">
        <f>"E000390426"</f>
        <v>E000390426</v>
      </c>
      <c r="BD235" t="str">
        <f>"רוני דידי"</f>
        <v>רוני דידי</v>
      </c>
    </row>
    <row r="236" spans="1:56" x14ac:dyDescent="0.3">
      <c r="A236" s="1">
        <v>45161</v>
      </c>
      <c r="B236" t="str">
        <f>"SI236001119"</f>
        <v>SI236001119</v>
      </c>
      <c r="E236" t="str">
        <f>"Y"</f>
        <v>Y</v>
      </c>
      <c r="F236" t="str">
        <f>"חשבוניות מרכזות"</f>
        <v>חשבוניות מרכזות</v>
      </c>
      <c r="G236" t="str">
        <f>"700065"</f>
        <v>700065</v>
      </c>
      <c r="H236" t="str">
        <f>"אלתא מערכות בע""מ"</f>
        <v>אלתא מערכות בע"מ</v>
      </c>
      <c r="I236" t="str">
        <f>"10"</f>
        <v>10</v>
      </c>
      <c r="J236" t="str">
        <f>"000"</f>
        <v>000</v>
      </c>
      <c r="K236" t="str">
        <f>"ימי הכנת תכן הדרכה למערכות BEL"</f>
        <v>ימי הכנת תכן הדרכה למערכות BEL</v>
      </c>
      <c r="L236">
        <v>1</v>
      </c>
      <c r="M236" t="str">
        <f>"יח"</f>
        <v>יח</v>
      </c>
      <c r="N236">
        <v>1</v>
      </c>
      <c r="O236" t="str">
        <f>"יח"</f>
        <v>יח</v>
      </c>
      <c r="P236" s="2">
        <v>2400</v>
      </c>
      <c r="Q236" t="str">
        <f>"$"</f>
        <v>$</v>
      </c>
      <c r="R236" t="str">
        <f>"הזמנה"</f>
        <v>הזמנה</v>
      </c>
      <c r="S236">
        <v>0</v>
      </c>
      <c r="T236" s="2">
        <v>2400</v>
      </c>
      <c r="U236">
        <v>0</v>
      </c>
      <c r="V236" s="2">
        <v>2400</v>
      </c>
      <c r="W236" t="str">
        <f>"$"</f>
        <v>$</v>
      </c>
      <c r="X236">
        <v>0</v>
      </c>
      <c r="Y236">
        <v>0</v>
      </c>
      <c r="Z236">
        <v>0</v>
      </c>
      <c r="AA236" t="str">
        <f>"Y"</f>
        <v>Y</v>
      </c>
      <c r="AB236" t="str">
        <f>"SO23000405"</f>
        <v>SO23000405</v>
      </c>
      <c r="AC236">
        <v>1</v>
      </c>
      <c r="AD236" s="1">
        <v>45159</v>
      </c>
      <c r="AM236" t="str">
        <f>"10"</f>
        <v>10</v>
      </c>
      <c r="AN236" t="str">
        <f>"500000"</f>
        <v>500000</v>
      </c>
      <c r="AO236" t="str">
        <f>"הכנסות  מלקוחות"</f>
        <v>הכנסות  מלקוחות</v>
      </c>
      <c r="AQ236" t="str">
        <f>"007"</f>
        <v>007</v>
      </c>
      <c r="AR236">
        <v>0</v>
      </c>
      <c r="AS236">
        <v>0</v>
      </c>
      <c r="AT236">
        <v>3.778</v>
      </c>
      <c r="AX236" t="str">
        <f>"E000402864"</f>
        <v>E000402864</v>
      </c>
      <c r="BD236" t="str">
        <f>"רוני דידי"</f>
        <v>רוני דידי</v>
      </c>
    </row>
    <row r="237" spans="1:56" x14ac:dyDescent="0.3">
      <c r="A237" s="1">
        <v>45159</v>
      </c>
      <c r="B237" t="str">
        <f>"SI236001110"</f>
        <v>SI236001110</v>
      </c>
      <c r="C237" t="str">
        <f>"PR22000824"</f>
        <v>PR22000824</v>
      </c>
      <c r="E237" t="str">
        <f>"Y"</f>
        <v>Y</v>
      </c>
      <c r="F237" t="str">
        <f>"חשבוניות מרכזות"</f>
        <v>חשבוניות מרכזות</v>
      </c>
      <c r="G237" t="str">
        <f>"700065"</f>
        <v>700065</v>
      </c>
      <c r="H237" t="str">
        <f>"אלתא מערכות בע""מ"</f>
        <v>אלתא מערכות בע"מ</v>
      </c>
      <c r="I237" t="str">
        <f>"15"</f>
        <v>15</v>
      </c>
      <c r="J237" t="str">
        <f>"OP-AR03395"</f>
        <v>OP-AR03395</v>
      </c>
      <c r="K237" t="str">
        <f>"2227B394-001    HARNESS W394 - LVCS TO ANT POWER"</f>
        <v>2227B394-001    HARNESS W394 - LVCS TO ANT POWER</v>
      </c>
      <c r="L237">
        <v>2</v>
      </c>
      <c r="M237" t="str">
        <f>"יח"</f>
        <v>יח</v>
      </c>
      <c r="N237">
        <v>2</v>
      </c>
      <c r="O237" t="str">
        <f>"יח"</f>
        <v>יח</v>
      </c>
      <c r="P237">
        <v>673.87</v>
      </c>
      <c r="Q237" t="str">
        <f>"$"</f>
        <v>$</v>
      </c>
      <c r="R237" t="str">
        <f>"הזמנה"</f>
        <v>הזמנה</v>
      </c>
      <c r="S237">
        <v>0</v>
      </c>
      <c r="T237" s="2">
        <v>1347.74</v>
      </c>
      <c r="U237">
        <v>0</v>
      </c>
      <c r="V237" s="2">
        <v>1347.74</v>
      </c>
      <c r="W237" t="str">
        <f>"$"</f>
        <v>$</v>
      </c>
      <c r="X237">
        <v>0</v>
      </c>
      <c r="Y237">
        <v>0</v>
      </c>
      <c r="Z237">
        <v>0</v>
      </c>
      <c r="AA237" t="str">
        <f>"Y"</f>
        <v>Y</v>
      </c>
      <c r="AB237" t="str">
        <f>"SO22000424"</f>
        <v>SO22000424</v>
      </c>
      <c r="AC237">
        <v>3</v>
      </c>
      <c r="AD237" s="1">
        <v>44892</v>
      </c>
      <c r="AE237" t="str">
        <f>"SH23001027"</f>
        <v>SH23001027</v>
      </c>
      <c r="AF237" t="str">
        <f>"משלוחים ללקוח"</f>
        <v>משלוחים ללקוח</v>
      </c>
      <c r="AG237" s="1">
        <v>45146</v>
      </c>
      <c r="AM237" t="str">
        <f>"10"</f>
        <v>10</v>
      </c>
      <c r="AN237" t="str">
        <f>"500000"</f>
        <v>500000</v>
      </c>
      <c r="AO237" t="str">
        <f>"הכנסות  מלקוחות"</f>
        <v>הכנסות  מלקוחות</v>
      </c>
      <c r="AQ237" t="str">
        <f>"040"</f>
        <v>040</v>
      </c>
      <c r="AR237">
        <v>0</v>
      </c>
      <c r="AS237">
        <v>0</v>
      </c>
      <c r="AT237">
        <v>3.7930000000000001</v>
      </c>
      <c r="AX237" t="str">
        <f>"E000378274"</f>
        <v>E000378274</v>
      </c>
      <c r="BD237" t="str">
        <f>"רחמים זרוק"</f>
        <v>רחמים זרוק</v>
      </c>
    </row>
    <row r="238" spans="1:56" x14ac:dyDescent="0.3">
      <c r="A238" s="1">
        <v>45159</v>
      </c>
      <c r="B238" t="str">
        <f>"SI236001110"</f>
        <v>SI236001110</v>
      </c>
      <c r="C238" t="str">
        <f>"PR22000824"</f>
        <v>PR22000824</v>
      </c>
      <c r="E238" t="str">
        <f>"Y"</f>
        <v>Y</v>
      </c>
      <c r="F238" t="str">
        <f>"חשבוניות מרכזות"</f>
        <v>חשבוניות מרכזות</v>
      </c>
      <c r="G238" t="str">
        <f>"700065"</f>
        <v>700065</v>
      </c>
      <c r="H238" t="str">
        <f>"אלתא מערכות בע""מ"</f>
        <v>אלתא מערכות בע"מ</v>
      </c>
      <c r="I238" t="str">
        <f>"15"</f>
        <v>15</v>
      </c>
      <c r="J238" t="str">
        <f>"OP-AR03397"</f>
        <v>OP-AR03397</v>
      </c>
      <c r="K238" t="str">
        <f>"2227B398-001    HARNESS W398 - LVCS TO ANT POWER"</f>
        <v>2227B398-001    HARNESS W398 - LVCS TO ANT POWER</v>
      </c>
      <c r="L238">
        <v>2</v>
      </c>
      <c r="M238" t="str">
        <f>"יח"</f>
        <v>יח</v>
      </c>
      <c r="N238">
        <v>2</v>
      </c>
      <c r="O238" t="str">
        <f>"יח"</f>
        <v>יח</v>
      </c>
      <c r="P238">
        <v>673.87</v>
      </c>
      <c r="Q238" t="str">
        <f>"$"</f>
        <v>$</v>
      </c>
      <c r="R238" t="str">
        <f>"הזמנה"</f>
        <v>הזמנה</v>
      </c>
      <c r="S238">
        <v>0</v>
      </c>
      <c r="T238" s="2">
        <v>1347.74</v>
      </c>
      <c r="U238">
        <v>0</v>
      </c>
      <c r="V238" s="2">
        <v>1347.74</v>
      </c>
      <c r="W238" t="str">
        <f>"$"</f>
        <v>$</v>
      </c>
      <c r="X238">
        <v>0</v>
      </c>
      <c r="Y238">
        <v>0</v>
      </c>
      <c r="Z238">
        <v>0</v>
      </c>
      <c r="AA238" t="str">
        <f>"Y"</f>
        <v>Y</v>
      </c>
      <c r="AB238" t="str">
        <f>"SO22000424"</f>
        <v>SO22000424</v>
      </c>
      <c r="AC238">
        <v>5</v>
      </c>
      <c r="AD238" s="1">
        <v>44892</v>
      </c>
      <c r="AE238" t="str">
        <f>"SH23001027"</f>
        <v>SH23001027</v>
      </c>
      <c r="AF238" t="str">
        <f>"משלוחים ללקוח"</f>
        <v>משלוחים ללקוח</v>
      </c>
      <c r="AG238" s="1">
        <v>45146</v>
      </c>
      <c r="AM238" t="str">
        <f>"10"</f>
        <v>10</v>
      </c>
      <c r="AN238" t="str">
        <f>"500000"</f>
        <v>500000</v>
      </c>
      <c r="AO238" t="str">
        <f>"הכנסות  מלקוחות"</f>
        <v>הכנסות  מלקוחות</v>
      </c>
      <c r="AQ238" t="str">
        <f>"040"</f>
        <v>040</v>
      </c>
      <c r="AR238">
        <v>0</v>
      </c>
      <c r="AS238">
        <v>0</v>
      </c>
      <c r="AT238">
        <v>3.7930000000000001</v>
      </c>
      <c r="AX238" t="str">
        <f>"E000378274"</f>
        <v>E000378274</v>
      </c>
      <c r="BD238" t="str">
        <f>"רחמים זרוק"</f>
        <v>רחמים זרוק</v>
      </c>
    </row>
    <row r="239" spans="1:56" x14ac:dyDescent="0.3">
      <c r="A239" s="1">
        <v>45155</v>
      </c>
      <c r="B239" t="str">
        <f>"SI236001111"</f>
        <v>SI236001111</v>
      </c>
      <c r="C239" t="str">
        <f>"PR22000397"</f>
        <v>PR22000397</v>
      </c>
      <c r="E239" t="str">
        <f>"Y"</f>
        <v>Y</v>
      </c>
      <c r="F239" t="str">
        <f>"חשבוניות מרכזות"</f>
        <v>חשבוניות מרכזות</v>
      </c>
      <c r="G239" t="str">
        <f>"700065"</f>
        <v>700065</v>
      </c>
      <c r="H239" t="str">
        <f>"אלתא מערכות בע""מ"</f>
        <v>אלתא מערכות בע"מ</v>
      </c>
      <c r="I239" t="str">
        <f>"10"</f>
        <v>10</v>
      </c>
      <c r="J239" t="str">
        <f>"OP-ML00218"</f>
        <v>OP-ML00218</v>
      </c>
      <c r="K239" t="str">
        <f>"1042A900-001 RECTIFIER RACK"</f>
        <v>1042A900-001 RECTIFIER RACK</v>
      </c>
      <c r="L239">
        <v>1</v>
      </c>
      <c r="M239" t="str">
        <f>"יח"</f>
        <v>יח</v>
      </c>
      <c r="N239">
        <v>1</v>
      </c>
      <c r="O239" t="str">
        <f>"יח"</f>
        <v>יח</v>
      </c>
      <c r="P239" s="2">
        <v>42500</v>
      </c>
      <c r="Q239" t="str">
        <f>"$"</f>
        <v>$</v>
      </c>
      <c r="R239" t="str">
        <f>"הזמנה"</f>
        <v>הזמנה</v>
      </c>
      <c r="S239">
        <v>0</v>
      </c>
      <c r="T239" s="2">
        <v>42500</v>
      </c>
      <c r="U239">
        <v>0</v>
      </c>
      <c r="V239" s="2">
        <v>42500</v>
      </c>
      <c r="W239" t="str">
        <f>"$"</f>
        <v>$</v>
      </c>
      <c r="X239">
        <v>0</v>
      </c>
      <c r="Y239">
        <v>0</v>
      </c>
      <c r="Z239">
        <v>0</v>
      </c>
      <c r="AA239" t="str">
        <f>"Y"</f>
        <v>Y</v>
      </c>
      <c r="AB239" t="str">
        <f>"SO22000181"</f>
        <v>SO22000181</v>
      </c>
      <c r="AC239">
        <v>7</v>
      </c>
      <c r="AD239" s="1">
        <v>44696</v>
      </c>
      <c r="AE239" t="str">
        <f>"SH23001060"</f>
        <v>SH23001060</v>
      </c>
      <c r="AF239" t="str">
        <f>"משלוחים ללקוח"</f>
        <v>משלוחים ללקוח</v>
      </c>
      <c r="AG239" s="1">
        <v>45155</v>
      </c>
      <c r="AM239" t="str">
        <f>"10"</f>
        <v>10</v>
      </c>
      <c r="AN239" t="str">
        <f>"500000"</f>
        <v>500000</v>
      </c>
      <c r="AO239" t="str">
        <f>"הכנסות  מלקוחות"</f>
        <v>הכנסות  מלקוחות</v>
      </c>
      <c r="AQ239" t="str">
        <f>"034"</f>
        <v>034</v>
      </c>
      <c r="AR239">
        <v>0</v>
      </c>
      <c r="AS239">
        <v>0</v>
      </c>
      <c r="AT239">
        <v>3.7730000000000001</v>
      </c>
      <c r="AX239" t="str">
        <f>"E000362815"</f>
        <v>E000362815</v>
      </c>
      <c r="BD239" t="str">
        <f>"ערן שלו"</f>
        <v>ערן שלו</v>
      </c>
    </row>
    <row r="240" spans="1:56" x14ac:dyDescent="0.3">
      <c r="A240" s="1">
        <v>45155</v>
      </c>
      <c r="B240" t="str">
        <f>"SI236001090"</f>
        <v>SI236001090</v>
      </c>
      <c r="C240" t="str">
        <f>"PR23000204"</f>
        <v>PR23000204</v>
      </c>
      <c r="E240" t="str">
        <f>"Y"</f>
        <v>Y</v>
      </c>
      <c r="F240" t="str">
        <f>"חשבוניות מרכזות"</f>
        <v>חשבוניות מרכזות</v>
      </c>
      <c r="G240" t="str">
        <f>"700065"</f>
        <v>700065</v>
      </c>
      <c r="H240" t="str">
        <f>"אלתא מערכות בע""מ"</f>
        <v>אלתא מערכות בע"מ</v>
      </c>
      <c r="I240" t="str">
        <f>"15"</f>
        <v>15</v>
      </c>
      <c r="J240" t="str">
        <f>"OP-AR03556"</f>
        <v>OP-AR03556</v>
      </c>
      <c r="K240" t="str">
        <f>"1032G901-001     CABLE 2W40"</f>
        <v>1032G901-001     CABLE 2W40</v>
      </c>
      <c r="L240">
        <v>2</v>
      </c>
      <c r="M240" t="str">
        <f>"יח"</f>
        <v>יח</v>
      </c>
      <c r="N240">
        <v>2</v>
      </c>
      <c r="O240" t="str">
        <f>"יח"</f>
        <v>יח</v>
      </c>
      <c r="P240">
        <v>634.04999999999995</v>
      </c>
      <c r="Q240" t="str">
        <f>"$"</f>
        <v>$</v>
      </c>
      <c r="R240" t="str">
        <f>"הזמנה"</f>
        <v>הזמנה</v>
      </c>
      <c r="S240">
        <v>0</v>
      </c>
      <c r="T240" s="2">
        <v>1268.0999999999999</v>
      </c>
      <c r="U240">
        <v>0</v>
      </c>
      <c r="V240" s="2">
        <v>1268.0999999999999</v>
      </c>
      <c r="W240" t="str">
        <f>"$"</f>
        <v>$</v>
      </c>
      <c r="X240">
        <v>0</v>
      </c>
      <c r="Y240">
        <v>0</v>
      </c>
      <c r="Z240">
        <v>0</v>
      </c>
      <c r="AA240" t="str">
        <f>"Y"</f>
        <v>Y</v>
      </c>
      <c r="AB240" t="str">
        <f>"SO23000138"</f>
        <v>SO23000138</v>
      </c>
      <c r="AC240">
        <v>1</v>
      </c>
      <c r="AD240" s="1">
        <v>44991</v>
      </c>
      <c r="AE240" t="str">
        <f>"SH23001062"</f>
        <v>SH23001062</v>
      </c>
      <c r="AF240" t="str">
        <f>"משלוחים ללקוח"</f>
        <v>משלוחים ללקוח</v>
      </c>
      <c r="AG240" s="1">
        <v>45155</v>
      </c>
      <c r="AM240" t="str">
        <f>"10"</f>
        <v>10</v>
      </c>
      <c r="AN240" t="str">
        <f>"500000"</f>
        <v>500000</v>
      </c>
      <c r="AO240" t="str">
        <f>"הכנסות  מלקוחות"</f>
        <v>הכנסות  מלקוחות</v>
      </c>
      <c r="AQ240" t="str">
        <f>"040"</f>
        <v>040</v>
      </c>
      <c r="AR240">
        <v>0</v>
      </c>
      <c r="AS240">
        <v>0</v>
      </c>
      <c r="AT240">
        <v>3.754</v>
      </c>
      <c r="AX240" t="str">
        <f>"E000386580"</f>
        <v>E000386580</v>
      </c>
      <c r="BD240" t="str">
        <f>"רחמים זרוק"</f>
        <v>רחמים זרוק</v>
      </c>
    </row>
    <row r="241" spans="1:56" x14ac:dyDescent="0.3">
      <c r="A241" s="1">
        <v>45155</v>
      </c>
      <c r="B241" t="str">
        <f>"SI236001090"</f>
        <v>SI236001090</v>
      </c>
      <c r="C241" t="str">
        <f>"PR23000204"</f>
        <v>PR23000204</v>
      </c>
      <c r="E241" t="str">
        <f>"Y"</f>
        <v>Y</v>
      </c>
      <c r="F241" t="str">
        <f>"חשבוניות מרכזות"</f>
        <v>חשבוניות מרכזות</v>
      </c>
      <c r="G241" t="str">
        <f>"700065"</f>
        <v>700065</v>
      </c>
      <c r="H241" t="str">
        <f>"אלתא מערכות בע""מ"</f>
        <v>אלתא מערכות בע"מ</v>
      </c>
      <c r="I241" t="str">
        <f>"15"</f>
        <v>15</v>
      </c>
      <c r="J241" t="str">
        <f>"OP-AR03558"</f>
        <v>OP-AR03558</v>
      </c>
      <c r="K241" t="str">
        <f>"1032G903-001     CABLE 2W42"</f>
        <v>1032G903-001     CABLE 2W42</v>
      </c>
      <c r="L241">
        <v>2</v>
      </c>
      <c r="M241" t="str">
        <f>"יח"</f>
        <v>יח</v>
      </c>
      <c r="N241">
        <v>2</v>
      </c>
      <c r="O241" t="str">
        <f>"יח"</f>
        <v>יח</v>
      </c>
      <c r="P241">
        <v>396.63</v>
      </c>
      <c r="Q241" t="str">
        <f>"$"</f>
        <v>$</v>
      </c>
      <c r="R241" t="str">
        <f>"הזמנה"</f>
        <v>הזמנה</v>
      </c>
      <c r="S241">
        <v>0</v>
      </c>
      <c r="T241">
        <v>793.26</v>
      </c>
      <c r="U241">
        <v>0</v>
      </c>
      <c r="V241">
        <v>793.26</v>
      </c>
      <c r="W241" t="str">
        <f>"$"</f>
        <v>$</v>
      </c>
      <c r="X241">
        <v>0</v>
      </c>
      <c r="Y241">
        <v>0</v>
      </c>
      <c r="Z241">
        <v>0</v>
      </c>
      <c r="AA241" t="str">
        <f>"Y"</f>
        <v>Y</v>
      </c>
      <c r="AB241" t="str">
        <f>"SO23000138"</f>
        <v>SO23000138</v>
      </c>
      <c r="AC241">
        <v>3</v>
      </c>
      <c r="AD241" s="1">
        <v>44991</v>
      </c>
      <c r="AE241" t="str">
        <f>"SH23001062"</f>
        <v>SH23001062</v>
      </c>
      <c r="AF241" t="str">
        <f>"משלוחים ללקוח"</f>
        <v>משלוחים ללקוח</v>
      </c>
      <c r="AG241" s="1">
        <v>45155</v>
      </c>
      <c r="AM241" t="str">
        <f>"10"</f>
        <v>10</v>
      </c>
      <c r="AN241" t="str">
        <f>"500000"</f>
        <v>500000</v>
      </c>
      <c r="AO241" t="str">
        <f>"הכנסות  מלקוחות"</f>
        <v>הכנסות  מלקוחות</v>
      </c>
      <c r="AQ241" t="str">
        <f>"040"</f>
        <v>040</v>
      </c>
      <c r="AR241">
        <v>0</v>
      </c>
      <c r="AS241">
        <v>0</v>
      </c>
      <c r="AT241">
        <v>3.754</v>
      </c>
      <c r="AX241" t="str">
        <f>"E000386580"</f>
        <v>E000386580</v>
      </c>
      <c r="BD241" t="str">
        <f>"רחמים זרוק"</f>
        <v>רחמים זרוק</v>
      </c>
    </row>
    <row r="242" spans="1:56" x14ac:dyDescent="0.3">
      <c r="A242" s="1">
        <v>45155</v>
      </c>
      <c r="B242" t="str">
        <f>"SI236001090"</f>
        <v>SI236001090</v>
      </c>
      <c r="C242" t="str">
        <f>"PR23000204"</f>
        <v>PR23000204</v>
      </c>
      <c r="E242" t="str">
        <f>"Y"</f>
        <v>Y</v>
      </c>
      <c r="F242" t="str">
        <f>"חשבוניות מרכזות"</f>
        <v>חשבוניות מרכזות</v>
      </c>
      <c r="G242" t="str">
        <f>"700065"</f>
        <v>700065</v>
      </c>
      <c r="H242" t="str">
        <f>"אלתא מערכות בע""מ"</f>
        <v>אלתא מערכות בע"מ</v>
      </c>
      <c r="I242" t="str">
        <f>"15"</f>
        <v>15</v>
      </c>
      <c r="J242" t="str">
        <f>"OP-AR03559"</f>
        <v>OP-AR03559</v>
      </c>
      <c r="K242" t="str">
        <f>"1032G904-001     CABLE 2W43"</f>
        <v>1032G904-001     CABLE 2W43</v>
      </c>
      <c r="L242">
        <v>2</v>
      </c>
      <c r="M242" t="str">
        <f>"יח"</f>
        <v>יח</v>
      </c>
      <c r="N242">
        <v>2</v>
      </c>
      <c r="O242" t="str">
        <f>"יח"</f>
        <v>יח</v>
      </c>
      <c r="P242">
        <v>396.63</v>
      </c>
      <c r="Q242" t="str">
        <f>"$"</f>
        <v>$</v>
      </c>
      <c r="R242" t="str">
        <f>"הזמנה"</f>
        <v>הזמנה</v>
      </c>
      <c r="S242">
        <v>0</v>
      </c>
      <c r="T242">
        <v>793.26</v>
      </c>
      <c r="U242">
        <v>0</v>
      </c>
      <c r="V242">
        <v>793.26</v>
      </c>
      <c r="W242" t="str">
        <f>"$"</f>
        <v>$</v>
      </c>
      <c r="X242">
        <v>0</v>
      </c>
      <c r="Y242">
        <v>0</v>
      </c>
      <c r="Z242">
        <v>0</v>
      </c>
      <c r="AA242" t="str">
        <f>"Y"</f>
        <v>Y</v>
      </c>
      <c r="AB242" t="str">
        <f>"SO23000138"</f>
        <v>SO23000138</v>
      </c>
      <c r="AC242">
        <v>4</v>
      </c>
      <c r="AD242" s="1">
        <v>44991</v>
      </c>
      <c r="AE242" t="str">
        <f>"SH23001062"</f>
        <v>SH23001062</v>
      </c>
      <c r="AF242" t="str">
        <f>"משלוחים ללקוח"</f>
        <v>משלוחים ללקוח</v>
      </c>
      <c r="AG242" s="1">
        <v>45155</v>
      </c>
      <c r="AM242" t="str">
        <f>"10"</f>
        <v>10</v>
      </c>
      <c r="AN242" t="str">
        <f>"500000"</f>
        <v>500000</v>
      </c>
      <c r="AO242" t="str">
        <f>"הכנסות  מלקוחות"</f>
        <v>הכנסות  מלקוחות</v>
      </c>
      <c r="AQ242" t="str">
        <f>"040"</f>
        <v>040</v>
      </c>
      <c r="AR242">
        <v>0</v>
      </c>
      <c r="AS242">
        <v>0</v>
      </c>
      <c r="AT242">
        <v>3.754</v>
      </c>
      <c r="AX242" t="str">
        <f>"E000386580"</f>
        <v>E000386580</v>
      </c>
      <c r="BD242" t="str">
        <f>"רחמים זרוק"</f>
        <v>רחמים זרוק</v>
      </c>
    </row>
    <row r="243" spans="1:56" x14ac:dyDescent="0.3">
      <c r="A243" s="1">
        <v>45155</v>
      </c>
      <c r="B243" t="str">
        <f>"SI236001090"</f>
        <v>SI236001090</v>
      </c>
      <c r="C243" t="str">
        <f>"PR23000204"</f>
        <v>PR23000204</v>
      </c>
      <c r="E243" t="str">
        <f>"Y"</f>
        <v>Y</v>
      </c>
      <c r="F243" t="str">
        <f>"חשבוניות מרכזות"</f>
        <v>חשבוניות מרכזות</v>
      </c>
      <c r="G243" t="str">
        <f>"700065"</f>
        <v>700065</v>
      </c>
      <c r="H243" t="str">
        <f>"אלתא מערכות בע""מ"</f>
        <v>אלתא מערכות בע"מ</v>
      </c>
      <c r="I243" t="str">
        <f>"15"</f>
        <v>15</v>
      </c>
      <c r="J243" t="str">
        <f>"OP-AR03560"</f>
        <v>OP-AR03560</v>
      </c>
      <c r="K243" t="str">
        <f>"1032G905-001     CABLE 2W44"</f>
        <v>1032G905-001     CABLE 2W44</v>
      </c>
      <c r="L243">
        <v>2</v>
      </c>
      <c r="M243" t="str">
        <f>"יח"</f>
        <v>יח</v>
      </c>
      <c r="N243">
        <v>2</v>
      </c>
      <c r="O243" t="str">
        <f>"יח"</f>
        <v>יח</v>
      </c>
      <c r="P243">
        <v>396.63</v>
      </c>
      <c r="Q243" t="str">
        <f>"$"</f>
        <v>$</v>
      </c>
      <c r="R243" t="str">
        <f>"הזמנה"</f>
        <v>הזמנה</v>
      </c>
      <c r="S243">
        <v>0</v>
      </c>
      <c r="T243">
        <v>793.26</v>
      </c>
      <c r="U243">
        <v>0</v>
      </c>
      <c r="V243">
        <v>793.26</v>
      </c>
      <c r="W243" t="str">
        <f>"$"</f>
        <v>$</v>
      </c>
      <c r="X243">
        <v>0</v>
      </c>
      <c r="Y243">
        <v>0</v>
      </c>
      <c r="Z243">
        <v>0</v>
      </c>
      <c r="AA243" t="str">
        <f>"Y"</f>
        <v>Y</v>
      </c>
      <c r="AB243" t="str">
        <f>"SO23000138"</f>
        <v>SO23000138</v>
      </c>
      <c r="AC243">
        <v>5</v>
      </c>
      <c r="AD243" s="1">
        <v>44991</v>
      </c>
      <c r="AE243" t="str">
        <f>"SH23001062"</f>
        <v>SH23001062</v>
      </c>
      <c r="AF243" t="str">
        <f>"משלוחים ללקוח"</f>
        <v>משלוחים ללקוח</v>
      </c>
      <c r="AG243" s="1">
        <v>45155</v>
      </c>
      <c r="AM243" t="str">
        <f>"10"</f>
        <v>10</v>
      </c>
      <c r="AN243" t="str">
        <f>"500000"</f>
        <v>500000</v>
      </c>
      <c r="AO243" t="str">
        <f>"הכנסות  מלקוחות"</f>
        <v>הכנסות  מלקוחות</v>
      </c>
      <c r="AQ243" t="str">
        <f>"040"</f>
        <v>040</v>
      </c>
      <c r="AR243">
        <v>0</v>
      </c>
      <c r="AS243">
        <v>0</v>
      </c>
      <c r="AT243">
        <v>3.754</v>
      </c>
      <c r="AX243" t="str">
        <f>"E000386580"</f>
        <v>E000386580</v>
      </c>
      <c r="BD243" t="str">
        <f>"רחמים זרוק"</f>
        <v>רחמים זרוק</v>
      </c>
    </row>
    <row r="244" spans="1:56" x14ac:dyDescent="0.3">
      <c r="A244" s="1">
        <v>45155</v>
      </c>
      <c r="B244" t="str">
        <f>"SI236001090"</f>
        <v>SI236001090</v>
      </c>
      <c r="C244" t="str">
        <f>"PR23000204"</f>
        <v>PR23000204</v>
      </c>
      <c r="E244" t="str">
        <f>"Y"</f>
        <v>Y</v>
      </c>
      <c r="F244" t="str">
        <f>"חשבוניות מרכזות"</f>
        <v>חשבוניות מרכזות</v>
      </c>
      <c r="G244" t="str">
        <f>"700065"</f>
        <v>700065</v>
      </c>
      <c r="H244" t="str">
        <f>"אלתא מערכות בע""מ"</f>
        <v>אלתא מערכות בע"מ</v>
      </c>
      <c r="I244" t="str">
        <f>"15"</f>
        <v>15</v>
      </c>
      <c r="J244" t="str">
        <f>"OP-AR03561"</f>
        <v>OP-AR03561</v>
      </c>
      <c r="K244" t="str">
        <f>"1032G906-001     CABLE 2W45"</f>
        <v>1032G906-001     CABLE 2W45</v>
      </c>
      <c r="L244">
        <v>2</v>
      </c>
      <c r="M244" t="str">
        <f>"יח"</f>
        <v>יח</v>
      </c>
      <c r="N244">
        <v>2</v>
      </c>
      <c r="O244" t="str">
        <f>"יח"</f>
        <v>יח</v>
      </c>
      <c r="P244">
        <v>578.35</v>
      </c>
      <c r="Q244" t="str">
        <f>"$"</f>
        <v>$</v>
      </c>
      <c r="R244" t="str">
        <f>"הזמנה"</f>
        <v>הזמנה</v>
      </c>
      <c r="S244">
        <v>0</v>
      </c>
      <c r="T244" s="2">
        <v>1156.7</v>
      </c>
      <c r="U244">
        <v>0</v>
      </c>
      <c r="V244" s="2">
        <v>1156.7</v>
      </c>
      <c r="W244" t="str">
        <f>"$"</f>
        <v>$</v>
      </c>
      <c r="X244">
        <v>0</v>
      </c>
      <c r="Y244">
        <v>0</v>
      </c>
      <c r="Z244">
        <v>0</v>
      </c>
      <c r="AA244" t="str">
        <f>"Y"</f>
        <v>Y</v>
      </c>
      <c r="AB244" t="str">
        <f>"SO23000138"</f>
        <v>SO23000138</v>
      </c>
      <c r="AC244">
        <v>6</v>
      </c>
      <c r="AD244" s="1">
        <v>44991</v>
      </c>
      <c r="AE244" t="str">
        <f>"SH23001062"</f>
        <v>SH23001062</v>
      </c>
      <c r="AF244" t="str">
        <f>"משלוחים ללקוח"</f>
        <v>משלוחים ללקוח</v>
      </c>
      <c r="AG244" s="1">
        <v>45155</v>
      </c>
      <c r="AM244" t="str">
        <f>"10"</f>
        <v>10</v>
      </c>
      <c r="AN244" t="str">
        <f>"500000"</f>
        <v>500000</v>
      </c>
      <c r="AO244" t="str">
        <f>"הכנסות  מלקוחות"</f>
        <v>הכנסות  מלקוחות</v>
      </c>
      <c r="AQ244" t="str">
        <f>"040"</f>
        <v>040</v>
      </c>
      <c r="AR244">
        <v>0</v>
      </c>
      <c r="AS244">
        <v>0</v>
      </c>
      <c r="AT244">
        <v>3.754</v>
      </c>
      <c r="AX244" t="str">
        <f>"E000386580"</f>
        <v>E000386580</v>
      </c>
      <c r="BD244" t="str">
        <f>"רחמים זרוק"</f>
        <v>רחמים זרוק</v>
      </c>
    </row>
    <row r="245" spans="1:56" x14ac:dyDescent="0.3">
      <c r="A245" s="1">
        <v>45155</v>
      </c>
      <c r="B245" t="str">
        <f>"SI236001090"</f>
        <v>SI236001090</v>
      </c>
      <c r="C245" t="str">
        <f>"PR23000204"</f>
        <v>PR23000204</v>
      </c>
      <c r="E245" t="str">
        <f>"Y"</f>
        <v>Y</v>
      </c>
      <c r="F245" t="str">
        <f>"חשבוניות מרכזות"</f>
        <v>חשבוניות מרכזות</v>
      </c>
      <c r="G245" t="str">
        <f>"700065"</f>
        <v>700065</v>
      </c>
      <c r="H245" t="str">
        <f>"אלתא מערכות בע""מ"</f>
        <v>אלתא מערכות בע"מ</v>
      </c>
      <c r="I245" t="str">
        <f>"15"</f>
        <v>15</v>
      </c>
      <c r="J245" t="str">
        <f>"OP-AR03562"</f>
        <v>OP-AR03562</v>
      </c>
      <c r="K245" t="str">
        <f>"1032G907-001     CABLE 2W46"</f>
        <v>1032G907-001     CABLE 2W46</v>
      </c>
      <c r="L245">
        <v>2</v>
      </c>
      <c r="M245" t="str">
        <f>"יח"</f>
        <v>יח</v>
      </c>
      <c r="N245">
        <v>2</v>
      </c>
      <c r="O245" t="str">
        <f>"יח"</f>
        <v>יח</v>
      </c>
      <c r="P245">
        <v>396.63</v>
      </c>
      <c r="Q245" t="str">
        <f>"$"</f>
        <v>$</v>
      </c>
      <c r="R245" t="str">
        <f>"הזמנה"</f>
        <v>הזמנה</v>
      </c>
      <c r="S245">
        <v>0</v>
      </c>
      <c r="T245">
        <v>793.26</v>
      </c>
      <c r="U245">
        <v>0</v>
      </c>
      <c r="V245">
        <v>793.26</v>
      </c>
      <c r="W245" t="str">
        <f>"$"</f>
        <v>$</v>
      </c>
      <c r="X245">
        <v>0</v>
      </c>
      <c r="Y245">
        <v>0</v>
      </c>
      <c r="Z245">
        <v>0</v>
      </c>
      <c r="AA245" t="str">
        <f>"Y"</f>
        <v>Y</v>
      </c>
      <c r="AB245" t="str">
        <f>"SO23000138"</f>
        <v>SO23000138</v>
      </c>
      <c r="AC245">
        <v>7</v>
      </c>
      <c r="AD245" s="1">
        <v>44991</v>
      </c>
      <c r="AE245" t="str">
        <f>"SH23001062"</f>
        <v>SH23001062</v>
      </c>
      <c r="AF245" t="str">
        <f>"משלוחים ללקוח"</f>
        <v>משלוחים ללקוח</v>
      </c>
      <c r="AG245" s="1">
        <v>45155</v>
      </c>
      <c r="AM245" t="str">
        <f>"10"</f>
        <v>10</v>
      </c>
      <c r="AN245" t="str">
        <f>"500000"</f>
        <v>500000</v>
      </c>
      <c r="AO245" t="str">
        <f>"הכנסות  מלקוחות"</f>
        <v>הכנסות  מלקוחות</v>
      </c>
      <c r="AQ245" t="str">
        <f>"040"</f>
        <v>040</v>
      </c>
      <c r="AR245">
        <v>0</v>
      </c>
      <c r="AS245">
        <v>0</v>
      </c>
      <c r="AT245">
        <v>3.754</v>
      </c>
      <c r="AX245" t="str">
        <f>"E000386580"</f>
        <v>E000386580</v>
      </c>
      <c r="BD245" t="str">
        <f>"רחמים זרוק"</f>
        <v>רחמים זרוק</v>
      </c>
    </row>
    <row r="246" spans="1:56" x14ac:dyDescent="0.3">
      <c r="A246" s="1">
        <v>45155</v>
      </c>
      <c r="B246" t="str">
        <f>"SI236001090"</f>
        <v>SI236001090</v>
      </c>
      <c r="C246" t="str">
        <f>"PR23000204"</f>
        <v>PR23000204</v>
      </c>
      <c r="E246" t="str">
        <f>"Y"</f>
        <v>Y</v>
      </c>
      <c r="F246" t="str">
        <f>"חשבוניות מרכזות"</f>
        <v>חשבוניות מרכזות</v>
      </c>
      <c r="G246" t="str">
        <f>"700065"</f>
        <v>700065</v>
      </c>
      <c r="H246" t="str">
        <f>"אלתא מערכות בע""מ"</f>
        <v>אלתא מערכות בע"מ</v>
      </c>
      <c r="I246" t="str">
        <f>"15"</f>
        <v>15</v>
      </c>
      <c r="J246" t="str">
        <f>"OP-AR03563"</f>
        <v>OP-AR03563</v>
      </c>
      <c r="K246" t="str">
        <f>"1032G908-001     CABLE 2W47"</f>
        <v>1032G908-001     CABLE 2W47</v>
      </c>
      <c r="L246">
        <v>2</v>
      </c>
      <c r="M246" t="str">
        <f>"יח"</f>
        <v>יח</v>
      </c>
      <c r="N246">
        <v>2</v>
      </c>
      <c r="O246" t="str">
        <f>"יח"</f>
        <v>יח</v>
      </c>
      <c r="P246">
        <v>396.63</v>
      </c>
      <c r="Q246" t="str">
        <f>"$"</f>
        <v>$</v>
      </c>
      <c r="R246" t="str">
        <f>"הזמנה"</f>
        <v>הזמנה</v>
      </c>
      <c r="S246">
        <v>0</v>
      </c>
      <c r="T246">
        <v>793.26</v>
      </c>
      <c r="U246">
        <v>0</v>
      </c>
      <c r="V246">
        <v>793.26</v>
      </c>
      <c r="W246" t="str">
        <f>"$"</f>
        <v>$</v>
      </c>
      <c r="X246">
        <v>0</v>
      </c>
      <c r="Y246">
        <v>0</v>
      </c>
      <c r="Z246">
        <v>0</v>
      </c>
      <c r="AA246" t="str">
        <f>"Y"</f>
        <v>Y</v>
      </c>
      <c r="AB246" t="str">
        <f>"SO23000138"</f>
        <v>SO23000138</v>
      </c>
      <c r="AC246">
        <v>8</v>
      </c>
      <c r="AD246" s="1">
        <v>44991</v>
      </c>
      <c r="AE246" t="str">
        <f>"SH23001062"</f>
        <v>SH23001062</v>
      </c>
      <c r="AF246" t="str">
        <f>"משלוחים ללקוח"</f>
        <v>משלוחים ללקוח</v>
      </c>
      <c r="AG246" s="1">
        <v>45155</v>
      </c>
      <c r="AM246" t="str">
        <f>"10"</f>
        <v>10</v>
      </c>
      <c r="AN246" t="str">
        <f>"500000"</f>
        <v>500000</v>
      </c>
      <c r="AO246" t="str">
        <f>"הכנסות  מלקוחות"</f>
        <v>הכנסות  מלקוחות</v>
      </c>
      <c r="AQ246" t="str">
        <f>"040"</f>
        <v>040</v>
      </c>
      <c r="AR246">
        <v>0</v>
      </c>
      <c r="AS246">
        <v>0</v>
      </c>
      <c r="AT246">
        <v>3.754</v>
      </c>
      <c r="AX246" t="str">
        <f>"E000386580"</f>
        <v>E000386580</v>
      </c>
      <c r="BD246" t="str">
        <f>"רחמים זרוק"</f>
        <v>רחמים זרוק</v>
      </c>
    </row>
    <row r="247" spans="1:56" x14ac:dyDescent="0.3">
      <c r="A247" s="1">
        <v>45155</v>
      </c>
      <c r="B247" t="str">
        <f>"SI236001090"</f>
        <v>SI236001090</v>
      </c>
      <c r="C247" t="str">
        <f>"PR23000204"</f>
        <v>PR23000204</v>
      </c>
      <c r="E247" t="str">
        <f>"Y"</f>
        <v>Y</v>
      </c>
      <c r="F247" t="str">
        <f>"חשבוניות מרכזות"</f>
        <v>חשבוניות מרכזות</v>
      </c>
      <c r="G247" t="str">
        <f>"700065"</f>
        <v>700065</v>
      </c>
      <c r="H247" t="str">
        <f>"אלתא מערכות בע""מ"</f>
        <v>אלתא מערכות בע"מ</v>
      </c>
      <c r="I247" t="str">
        <f>"15"</f>
        <v>15</v>
      </c>
      <c r="J247" t="str">
        <f>"OP-AR03564"</f>
        <v>OP-AR03564</v>
      </c>
      <c r="K247" t="str">
        <f>"1032G909-001     CABLE 2W49"</f>
        <v>1032G909-001     CABLE 2W49</v>
      </c>
      <c r="L247">
        <v>2</v>
      </c>
      <c r="M247" t="str">
        <f>"יח"</f>
        <v>יח</v>
      </c>
      <c r="N247">
        <v>2</v>
      </c>
      <c r="O247" t="str">
        <f>"יח"</f>
        <v>יח</v>
      </c>
      <c r="P247">
        <v>396.63</v>
      </c>
      <c r="Q247" t="str">
        <f>"$"</f>
        <v>$</v>
      </c>
      <c r="R247" t="str">
        <f>"הזמנה"</f>
        <v>הזמנה</v>
      </c>
      <c r="S247">
        <v>0</v>
      </c>
      <c r="T247">
        <v>793.26</v>
      </c>
      <c r="U247">
        <v>0</v>
      </c>
      <c r="V247">
        <v>793.26</v>
      </c>
      <c r="W247" t="str">
        <f>"$"</f>
        <v>$</v>
      </c>
      <c r="X247">
        <v>0</v>
      </c>
      <c r="Y247">
        <v>0</v>
      </c>
      <c r="Z247">
        <v>0</v>
      </c>
      <c r="AA247" t="str">
        <f>"Y"</f>
        <v>Y</v>
      </c>
      <c r="AB247" t="str">
        <f>"SO23000138"</f>
        <v>SO23000138</v>
      </c>
      <c r="AC247">
        <v>9</v>
      </c>
      <c r="AD247" s="1">
        <v>44991</v>
      </c>
      <c r="AE247" t="str">
        <f>"SH23001062"</f>
        <v>SH23001062</v>
      </c>
      <c r="AF247" t="str">
        <f>"משלוחים ללקוח"</f>
        <v>משלוחים ללקוח</v>
      </c>
      <c r="AG247" s="1">
        <v>45155</v>
      </c>
      <c r="AM247" t="str">
        <f>"10"</f>
        <v>10</v>
      </c>
      <c r="AN247" t="str">
        <f>"500000"</f>
        <v>500000</v>
      </c>
      <c r="AO247" t="str">
        <f>"הכנסות  מלקוחות"</f>
        <v>הכנסות  מלקוחות</v>
      </c>
      <c r="AQ247" t="str">
        <f>"040"</f>
        <v>040</v>
      </c>
      <c r="AR247">
        <v>0</v>
      </c>
      <c r="AS247">
        <v>0</v>
      </c>
      <c r="AT247">
        <v>3.754</v>
      </c>
      <c r="AX247" t="str">
        <f>"E000386580"</f>
        <v>E000386580</v>
      </c>
      <c r="BD247" t="str">
        <f>"רחמים זרוק"</f>
        <v>רחמים זרוק</v>
      </c>
    </row>
    <row r="248" spans="1:56" x14ac:dyDescent="0.3">
      <c r="A248" s="1">
        <v>45155</v>
      </c>
      <c r="B248" t="str">
        <f>"SI236001090"</f>
        <v>SI236001090</v>
      </c>
      <c r="C248" t="str">
        <f>"PR23000204"</f>
        <v>PR23000204</v>
      </c>
      <c r="E248" t="str">
        <f>"Y"</f>
        <v>Y</v>
      </c>
      <c r="F248" t="str">
        <f>"חשבוניות מרכזות"</f>
        <v>חשבוניות מרכזות</v>
      </c>
      <c r="G248" t="str">
        <f>"700065"</f>
        <v>700065</v>
      </c>
      <c r="H248" t="str">
        <f>"אלתא מערכות בע""מ"</f>
        <v>אלתא מערכות בע"מ</v>
      </c>
      <c r="I248" t="str">
        <f>"15"</f>
        <v>15</v>
      </c>
      <c r="J248" t="str">
        <f>"OP-AR03567"</f>
        <v>OP-AR03567</v>
      </c>
      <c r="K248" t="str">
        <f>"1032G912-001     CABLE 2W105"</f>
        <v>1032G912-001     CABLE 2W105</v>
      </c>
      <c r="L248">
        <v>2</v>
      </c>
      <c r="M248" t="str">
        <f>"יח"</f>
        <v>יח</v>
      </c>
      <c r="N248">
        <v>2</v>
      </c>
      <c r="O248" t="str">
        <f>"יח"</f>
        <v>יח</v>
      </c>
      <c r="P248" s="2">
        <v>1051.26</v>
      </c>
      <c r="Q248" t="str">
        <f>"$"</f>
        <v>$</v>
      </c>
      <c r="R248" t="str">
        <f>"הזמנה"</f>
        <v>הזמנה</v>
      </c>
      <c r="S248">
        <v>0</v>
      </c>
      <c r="T248" s="2">
        <v>2102.52</v>
      </c>
      <c r="U248">
        <v>0</v>
      </c>
      <c r="V248" s="2">
        <v>2102.52</v>
      </c>
      <c r="W248" t="str">
        <f>"$"</f>
        <v>$</v>
      </c>
      <c r="X248">
        <v>0</v>
      </c>
      <c r="Y248">
        <v>0</v>
      </c>
      <c r="Z248">
        <v>0</v>
      </c>
      <c r="AA248" t="str">
        <f>"Y"</f>
        <v>Y</v>
      </c>
      <c r="AB248" t="str">
        <f>"SO23000138"</f>
        <v>SO23000138</v>
      </c>
      <c r="AC248">
        <v>12</v>
      </c>
      <c r="AD248" s="1">
        <v>44991</v>
      </c>
      <c r="AE248" t="str">
        <f>"SH23001062"</f>
        <v>SH23001062</v>
      </c>
      <c r="AF248" t="str">
        <f>"משלוחים ללקוח"</f>
        <v>משלוחים ללקוח</v>
      </c>
      <c r="AG248" s="1">
        <v>45155</v>
      </c>
      <c r="AM248" t="str">
        <f>"10"</f>
        <v>10</v>
      </c>
      <c r="AN248" t="str">
        <f>"500000"</f>
        <v>500000</v>
      </c>
      <c r="AO248" t="str">
        <f>"הכנסות  מלקוחות"</f>
        <v>הכנסות  מלקוחות</v>
      </c>
      <c r="AQ248" t="str">
        <f>"040"</f>
        <v>040</v>
      </c>
      <c r="AR248">
        <v>0</v>
      </c>
      <c r="AS248">
        <v>0</v>
      </c>
      <c r="AT248">
        <v>3.754</v>
      </c>
      <c r="AX248" t="str">
        <f>"E000386580"</f>
        <v>E000386580</v>
      </c>
      <c r="BD248" t="str">
        <f>"רחמים זרוק"</f>
        <v>רחמים זרוק</v>
      </c>
    </row>
    <row r="249" spans="1:56" x14ac:dyDescent="0.3">
      <c r="A249" s="1">
        <v>45155</v>
      </c>
      <c r="B249" t="str">
        <f>"SI236001090"</f>
        <v>SI236001090</v>
      </c>
      <c r="C249" t="str">
        <f>"PR23000204"</f>
        <v>PR23000204</v>
      </c>
      <c r="E249" t="str">
        <f>"Y"</f>
        <v>Y</v>
      </c>
      <c r="F249" t="str">
        <f>"חשבוניות מרכזות"</f>
        <v>חשבוניות מרכזות</v>
      </c>
      <c r="G249" t="str">
        <f>"700065"</f>
        <v>700065</v>
      </c>
      <c r="H249" t="str">
        <f>"אלתא מערכות בע""מ"</f>
        <v>אלתא מערכות בע"מ</v>
      </c>
      <c r="I249" t="str">
        <f>"15"</f>
        <v>15</v>
      </c>
      <c r="J249" t="str">
        <f>"OP-AR03569"</f>
        <v>OP-AR03569</v>
      </c>
      <c r="K249" t="str">
        <f>"1032G914-001     CABLE 2W107"</f>
        <v>1032G914-001     CABLE 2W107</v>
      </c>
      <c r="L249">
        <v>2</v>
      </c>
      <c r="M249" t="str">
        <f>"יח"</f>
        <v>יח</v>
      </c>
      <c r="N249">
        <v>2</v>
      </c>
      <c r="O249" t="str">
        <f>"יח"</f>
        <v>יח</v>
      </c>
      <c r="P249">
        <v>225.3</v>
      </c>
      <c r="Q249" t="str">
        <f>"$"</f>
        <v>$</v>
      </c>
      <c r="R249" t="str">
        <f>"הזמנה"</f>
        <v>הזמנה</v>
      </c>
      <c r="S249">
        <v>0</v>
      </c>
      <c r="T249">
        <v>450.6</v>
      </c>
      <c r="U249">
        <v>0</v>
      </c>
      <c r="V249">
        <v>450.6</v>
      </c>
      <c r="W249" t="str">
        <f>"$"</f>
        <v>$</v>
      </c>
      <c r="X249">
        <v>0</v>
      </c>
      <c r="Y249">
        <v>0</v>
      </c>
      <c r="Z249">
        <v>0</v>
      </c>
      <c r="AA249" t="str">
        <f>"Y"</f>
        <v>Y</v>
      </c>
      <c r="AB249" t="str">
        <f>"SO23000138"</f>
        <v>SO23000138</v>
      </c>
      <c r="AC249">
        <v>14</v>
      </c>
      <c r="AD249" s="1">
        <v>44991</v>
      </c>
      <c r="AE249" t="str">
        <f>"SH23001062"</f>
        <v>SH23001062</v>
      </c>
      <c r="AF249" t="str">
        <f>"משלוחים ללקוח"</f>
        <v>משלוחים ללקוח</v>
      </c>
      <c r="AG249" s="1">
        <v>45155</v>
      </c>
      <c r="AM249" t="str">
        <f>"10"</f>
        <v>10</v>
      </c>
      <c r="AN249" t="str">
        <f>"500000"</f>
        <v>500000</v>
      </c>
      <c r="AO249" t="str">
        <f>"הכנסות  מלקוחות"</f>
        <v>הכנסות  מלקוחות</v>
      </c>
      <c r="AQ249" t="str">
        <f>"040"</f>
        <v>040</v>
      </c>
      <c r="AR249">
        <v>0</v>
      </c>
      <c r="AS249">
        <v>0</v>
      </c>
      <c r="AT249">
        <v>3.754</v>
      </c>
      <c r="AX249" t="str">
        <f>"E000386580"</f>
        <v>E000386580</v>
      </c>
      <c r="BD249" t="str">
        <f>"רחמים זרוק"</f>
        <v>רחמים זרוק</v>
      </c>
    </row>
    <row r="250" spans="1:56" x14ac:dyDescent="0.3">
      <c r="A250" s="1">
        <v>45155</v>
      </c>
      <c r="B250" t="str">
        <f>"SI236001090"</f>
        <v>SI236001090</v>
      </c>
      <c r="C250" t="str">
        <f>"PR23000204"</f>
        <v>PR23000204</v>
      </c>
      <c r="E250" t="str">
        <f>"Y"</f>
        <v>Y</v>
      </c>
      <c r="F250" t="str">
        <f>"חשבוניות מרכזות"</f>
        <v>חשבוניות מרכזות</v>
      </c>
      <c r="G250" t="str">
        <f>"700065"</f>
        <v>700065</v>
      </c>
      <c r="H250" t="str">
        <f>"אלתא מערכות בע""מ"</f>
        <v>אלתא מערכות בע"מ</v>
      </c>
      <c r="I250" t="str">
        <f>"15"</f>
        <v>15</v>
      </c>
      <c r="J250" t="str">
        <f>"OP-AR03572"</f>
        <v>OP-AR03572</v>
      </c>
      <c r="K250" t="str">
        <f>"1032G917-001     CABLE 2W21"</f>
        <v>1032G917-001     CABLE 2W21</v>
      </c>
      <c r="L250">
        <v>2</v>
      </c>
      <c r="M250" t="str">
        <f>"יח"</f>
        <v>יח</v>
      </c>
      <c r="N250">
        <v>2</v>
      </c>
      <c r="O250" t="str">
        <f>"יח"</f>
        <v>יח</v>
      </c>
      <c r="P250" s="2">
        <v>2569.38</v>
      </c>
      <c r="Q250" t="str">
        <f>"$"</f>
        <v>$</v>
      </c>
      <c r="R250" t="str">
        <f>"הזמנה"</f>
        <v>הזמנה</v>
      </c>
      <c r="S250">
        <v>0</v>
      </c>
      <c r="T250" s="2">
        <v>5138.76</v>
      </c>
      <c r="U250">
        <v>0</v>
      </c>
      <c r="V250" s="2">
        <v>5138.76</v>
      </c>
      <c r="W250" t="str">
        <f>"$"</f>
        <v>$</v>
      </c>
      <c r="X250">
        <v>0</v>
      </c>
      <c r="Y250">
        <v>0</v>
      </c>
      <c r="Z250">
        <v>0</v>
      </c>
      <c r="AA250" t="str">
        <f>"Y"</f>
        <v>Y</v>
      </c>
      <c r="AB250" t="str">
        <f>"SO23000138"</f>
        <v>SO23000138</v>
      </c>
      <c r="AC250">
        <v>17</v>
      </c>
      <c r="AD250" s="1">
        <v>44991</v>
      </c>
      <c r="AE250" t="str">
        <f>"SH23001062"</f>
        <v>SH23001062</v>
      </c>
      <c r="AF250" t="str">
        <f>"משלוחים ללקוח"</f>
        <v>משלוחים ללקוח</v>
      </c>
      <c r="AG250" s="1">
        <v>45155</v>
      </c>
      <c r="AM250" t="str">
        <f>"10"</f>
        <v>10</v>
      </c>
      <c r="AN250" t="str">
        <f>"500000"</f>
        <v>500000</v>
      </c>
      <c r="AO250" t="str">
        <f>"הכנסות  מלקוחות"</f>
        <v>הכנסות  מלקוחות</v>
      </c>
      <c r="AQ250" t="str">
        <f>"040"</f>
        <v>040</v>
      </c>
      <c r="AR250">
        <v>0</v>
      </c>
      <c r="AS250">
        <v>0</v>
      </c>
      <c r="AT250">
        <v>3.754</v>
      </c>
      <c r="AX250" t="str">
        <f>"E000386580"</f>
        <v>E000386580</v>
      </c>
      <c r="BD250" t="str">
        <f>"רחמים זרוק"</f>
        <v>רחמים זרוק</v>
      </c>
    </row>
    <row r="251" spans="1:56" x14ac:dyDescent="0.3">
      <c r="A251" s="1">
        <v>45155</v>
      </c>
      <c r="B251" t="str">
        <f>"SI236001090"</f>
        <v>SI236001090</v>
      </c>
      <c r="C251" t="str">
        <f>"PR23000204"</f>
        <v>PR23000204</v>
      </c>
      <c r="E251" t="str">
        <f>"Y"</f>
        <v>Y</v>
      </c>
      <c r="F251" t="str">
        <f>"חשבוניות מרכזות"</f>
        <v>חשבוניות מרכזות</v>
      </c>
      <c r="G251" t="str">
        <f>"700065"</f>
        <v>700065</v>
      </c>
      <c r="H251" t="str">
        <f>"אלתא מערכות בע""מ"</f>
        <v>אלתא מערכות בע"מ</v>
      </c>
      <c r="I251" t="str">
        <f>"15"</f>
        <v>15</v>
      </c>
      <c r="J251" t="str">
        <f>"OP-AR03576"</f>
        <v>OP-AR03576</v>
      </c>
      <c r="K251" t="str">
        <f>"1032G921-001     CABLE 2W48"</f>
        <v>1032G921-001     CABLE 2W48</v>
      </c>
      <c r="L251">
        <v>2</v>
      </c>
      <c r="M251" t="str">
        <f>"יח"</f>
        <v>יח</v>
      </c>
      <c r="N251">
        <v>2</v>
      </c>
      <c r="O251" t="str">
        <f>"יח"</f>
        <v>יח</v>
      </c>
      <c r="P251">
        <v>396.63</v>
      </c>
      <c r="Q251" t="str">
        <f>"$"</f>
        <v>$</v>
      </c>
      <c r="R251" t="str">
        <f>"הזמנה"</f>
        <v>הזמנה</v>
      </c>
      <c r="S251">
        <v>0</v>
      </c>
      <c r="T251">
        <v>793.26</v>
      </c>
      <c r="U251">
        <v>0</v>
      </c>
      <c r="V251">
        <v>793.26</v>
      </c>
      <c r="W251" t="str">
        <f>"$"</f>
        <v>$</v>
      </c>
      <c r="X251">
        <v>0</v>
      </c>
      <c r="Y251">
        <v>0</v>
      </c>
      <c r="Z251">
        <v>0</v>
      </c>
      <c r="AA251" t="str">
        <f>"Y"</f>
        <v>Y</v>
      </c>
      <c r="AB251" t="str">
        <f>"SO23000138"</f>
        <v>SO23000138</v>
      </c>
      <c r="AC251">
        <v>21</v>
      </c>
      <c r="AD251" s="1">
        <v>44991</v>
      </c>
      <c r="AE251" t="str">
        <f>"SH23001062"</f>
        <v>SH23001062</v>
      </c>
      <c r="AF251" t="str">
        <f>"משלוחים ללקוח"</f>
        <v>משלוחים ללקוח</v>
      </c>
      <c r="AG251" s="1">
        <v>45155</v>
      </c>
      <c r="AM251" t="str">
        <f>"10"</f>
        <v>10</v>
      </c>
      <c r="AN251" t="str">
        <f>"500000"</f>
        <v>500000</v>
      </c>
      <c r="AO251" t="str">
        <f>"הכנסות  מלקוחות"</f>
        <v>הכנסות  מלקוחות</v>
      </c>
      <c r="AQ251" t="str">
        <f>"040"</f>
        <v>040</v>
      </c>
      <c r="AR251">
        <v>0</v>
      </c>
      <c r="AS251">
        <v>0</v>
      </c>
      <c r="AT251">
        <v>3.754</v>
      </c>
      <c r="AX251" t="str">
        <f>"E000386580"</f>
        <v>E000386580</v>
      </c>
      <c r="BD251" t="str">
        <f>"רחמים זרוק"</f>
        <v>רחמים זרוק</v>
      </c>
    </row>
    <row r="252" spans="1:56" x14ac:dyDescent="0.3">
      <c r="A252" s="1">
        <v>45155</v>
      </c>
      <c r="B252" t="str">
        <f>"SI236001089"</f>
        <v>SI236001089</v>
      </c>
      <c r="E252" t="str">
        <f>"Y"</f>
        <v>Y</v>
      </c>
      <c r="F252" t="str">
        <f>"חשבוניות מרכזות"</f>
        <v>חשבוניות מרכזות</v>
      </c>
      <c r="G252" t="str">
        <f>"700065"</f>
        <v>700065</v>
      </c>
      <c r="H252" t="str">
        <f>"אלתא מערכות בע""מ"</f>
        <v>אלתא מערכות בע"מ</v>
      </c>
      <c r="I252" t="str">
        <f>"10"</f>
        <v>10</v>
      </c>
      <c r="J252" t="str">
        <f>"OP-ML00218"</f>
        <v>OP-ML00218</v>
      </c>
      <c r="K252" t="str">
        <f>"1042A900-001 RECTIFIER RACK"</f>
        <v>1042A900-001 RECTIFIER RACK</v>
      </c>
      <c r="L252">
        <v>1</v>
      </c>
      <c r="M252" t="str">
        <f>"יח"</f>
        <v>יח</v>
      </c>
      <c r="N252">
        <v>1</v>
      </c>
      <c r="O252" t="str">
        <f>"יח"</f>
        <v>יח</v>
      </c>
      <c r="P252" s="2">
        <v>42500</v>
      </c>
      <c r="Q252" t="str">
        <f>"$"</f>
        <v>$</v>
      </c>
      <c r="R252" t="str">
        <f>"הזמנה"</f>
        <v>הזמנה</v>
      </c>
      <c r="S252">
        <v>0</v>
      </c>
      <c r="T252" s="2">
        <v>42500</v>
      </c>
      <c r="U252">
        <v>0</v>
      </c>
      <c r="V252" s="2">
        <v>42500</v>
      </c>
      <c r="W252" t="str">
        <f>"$"</f>
        <v>$</v>
      </c>
      <c r="X252">
        <v>0</v>
      </c>
      <c r="Y252">
        <v>0</v>
      </c>
      <c r="Z252">
        <v>0</v>
      </c>
      <c r="AA252" t="str">
        <f>"Y"</f>
        <v>Y</v>
      </c>
      <c r="AB252" t="str">
        <f>"SO22000181"</f>
        <v>SO22000181</v>
      </c>
      <c r="AC252">
        <v>10</v>
      </c>
      <c r="AD252" s="1">
        <v>44696</v>
      </c>
      <c r="AM252" t="str">
        <f>"10"</f>
        <v>10</v>
      </c>
      <c r="AN252" t="str">
        <f>"500000"</f>
        <v>500000</v>
      </c>
      <c r="AO252" t="str">
        <f>"הכנסות  מלקוחות"</f>
        <v>הכנסות  מלקוחות</v>
      </c>
      <c r="AQ252" t="str">
        <f>"034"</f>
        <v>034</v>
      </c>
      <c r="AR252">
        <v>0</v>
      </c>
      <c r="AS252">
        <v>0</v>
      </c>
      <c r="AT252">
        <v>3.754</v>
      </c>
      <c r="AX252" t="str">
        <f>"E000362815"</f>
        <v>E000362815</v>
      </c>
      <c r="BD252" t="str">
        <f>"ערן שלו"</f>
        <v>ערן שלו</v>
      </c>
    </row>
    <row r="253" spans="1:56" x14ac:dyDescent="0.3">
      <c r="A253" s="1">
        <v>45155</v>
      </c>
      <c r="B253" t="str">
        <f>"SI236001088"</f>
        <v>SI236001088</v>
      </c>
      <c r="E253" t="str">
        <f>"Y"</f>
        <v>Y</v>
      </c>
      <c r="F253" t="str">
        <f>"חשבוניות מרכזות"</f>
        <v>חשבוניות מרכזות</v>
      </c>
      <c r="G253" t="str">
        <f>"700065"</f>
        <v>700065</v>
      </c>
      <c r="H253" t="str">
        <f>"אלתא מערכות בע""מ"</f>
        <v>אלתא מערכות בע"מ</v>
      </c>
      <c r="I253" t="str">
        <f>"10"</f>
        <v>10</v>
      </c>
      <c r="J253" t="str">
        <f>"OP-ML00217"</f>
        <v>OP-ML00217</v>
      </c>
      <c r="K253" t="str">
        <f>"1042A920-001 COMPUTER RACK"</f>
        <v>1042A920-001 COMPUTER RACK</v>
      </c>
      <c r="L253">
        <v>1</v>
      </c>
      <c r="M253" t="str">
        <f>"יח"</f>
        <v>יח</v>
      </c>
      <c r="N253">
        <v>1</v>
      </c>
      <c r="O253" t="str">
        <f>"יח"</f>
        <v>יח</v>
      </c>
      <c r="P253" s="2">
        <v>36500</v>
      </c>
      <c r="Q253" t="str">
        <f>"$"</f>
        <v>$</v>
      </c>
      <c r="R253" t="str">
        <f>"הזמנה"</f>
        <v>הזמנה</v>
      </c>
      <c r="S253">
        <v>0</v>
      </c>
      <c r="T253" s="2">
        <v>36500</v>
      </c>
      <c r="U253">
        <v>0</v>
      </c>
      <c r="V253" s="2">
        <v>36500</v>
      </c>
      <c r="W253" t="str">
        <f>"$"</f>
        <v>$</v>
      </c>
      <c r="X253">
        <v>0</v>
      </c>
      <c r="Y253">
        <v>0</v>
      </c>
      <c r="Z253">
        <v>0</v>
      </c>
      <c r="AA253" t="str">
        <f>"Y"</f>
        <v>Y</v>
      </c>
      <c r="AB253" t="str">
        <f>"SO22000181"</f>
        <v>SO22000181</v>
      </c>
      <c r="AC253">
        <v>3</v>
      </c>
      <c r="AD253" s="1">
        <v>44696</v>
      </c>
      <c r="AM253" t="str">
        <f>"10"</f>
        <v>10</v>
      </c>
      <c r="AN253" t="str">
        <f>"500000"</f>
        <v>500000</v>
      </c>
      <c r="AO253" t="str">
        <f>"הכנסות  מלקוחות"</f>
        <v>הכנסות  מלקוחות</v>
      </c>
      <c r="AQ253" t="str">
        <f>"034"</f>
        <v>034</v>
      </c>
      <c r="AR253">
        <v>0</v>
      </c>
      <c r="AS253">
        <v>0</v>
      </c>
      <c r="AT253">
        <v>3.754</v>
      </c>
      <c r="AX253" t="str">
        <f>"E000362815"</f>
        <v>E000362815</v>
      </c>
      <c r="BD253" t="str">
        <f>"ערן שלו"</f>
        <v>ערן שלו</v>
      </c>
    </row>
    <row r="254" spans="1:56" x14ac:dyDescent="0.3">
      <c r="A254" s="1">
        <v>45155</v>
      </c>
      <c r="B254" t="str">
        <f>"SI236001087"</f>
        <v>SI236001087</v>
      </c>
      <c r="C254" t="str">
        <f>"PR23000270"</f>
        <v>PR23000270</v>
      </c>
      <c r="D254" t="str">
        <f>"PR23000270"</f>
        <v>PR23000270</v>
      </c>
      <c r="E254" t="str">
        <f>"Y"</f>
        <v>Y</v>
      </c>
      <c r="F254" t="str">
        <f>"חשבוניות מרכזות"</f>
        <v>חשבוניות מרכזות</v>
      </c>
      <c r="G254" t="str">
        <f>"700065"</f>
        <v>700065</v>
      </c>
      <c r="H254" t="str">
        <f>"אלתא מערכות בע""מ"</f>
        <v>אלתא מערכות בע"מ</v>
      </c>
      <c r="I254" t="str">
        <f>"10"</f>
        <v>10</v>
      </c>
      <c r="J254" t="str">
        <f>"OP-ML00231"</f>
        <v>OP-ML00231</v>
      </c>
      <c r="K254" t="str">
        <f>"BBD-24-40 24VDC 40A UPS WITH BATT 2U DRAWER"</f>
        <v>BBD-24-40 24VDC 40A UPS WITH BATT 2U DRAWER</v>
      </c>
      <c r="L254">
        <v>2</v>
      </c>
      <c r="M254" t="str">
        <f>"יח"</f>
        <v>יח</v>
      </c>
      <c r="N254">
        <v>2</v>
      </c>
      <c r="O254" t="str">
        <f>"יח"</f>
        <v>יח</v>
      </c>
      <c r="P254" s="2">
        <v>4350</v>
      </c>
      <c r="Q254" t="str">
        <f>"$"</f>
        <v>$</v>
      </c>
      <c r="R254" t="str">
        <f>"הזמנה"</f>
        <v>הזמנה</v>
      </c>
      <c r="S254">
        <v>0</v>
      </c>
      <c r="T254" s="2">
        <v>8700</v>
      </c>
      <c r="U254">
        <v>0</v>
      </c>
      <c r="V254" s="2">
        <v>8700</v>
      </c>
      <c r="W254" t="str">
        <f>"$"</f>
        <v>$</v>
      </c>
      <c r="X254">
        <v>0</v>
      </c>
      <c r="Y254">
        <v>0</v>
      </c>
      <c r="Z254">
        <v>0</v>
      </c>
      <c r="AA254" t="str">
        <f>"Y"</f>
        <v>Y</v>
      </c>
      <c r="AB254" t="str">
        <f>"SO23000181"</f>
        <v>SO23000181</v>
      </c>
      <c r="AC254">
        <v>1</v>
      </c>
      <c r="AD254" s="1">
        <v>45032</v>
      </c>
      <c r="AM254" t="str">
        <f>"10"</f>
        <v>10</v>
      </c>
      <c r="AN254" t="str">
        <f>"500000"</f>
        <v>500000</v>
      </c>
      <c r="AO254" t="str">
        <f>"הכנסות  מלקוחות"</f>
        <v>הכנסות  מלקוחות</v>
      </c>
      <c r="AQ254" t="str">
        <f>"007"</f>
        <v>007</v>
      </c>
      <c r="AR254">
        <v>0</v>
      </c>
      <c r="AS254">
        <v>0</v>
      </c>
      <c r="AT254">
        <v>3.754</v>
      </c>
      <c r="AX254" t="str">
        <f>"E000390357"</f>
        <v>E000390357</v>
      </c>
      <c r="BD254" t="str">
        <f>"רוני דידי"</f>
        <v>רוני דידי</v>
      </c>
    </row>
    <row r="255" spans="1:56" x14ac:dyDescent="0.3">
      <c r="A255" s="1">
        <v>45153</v>
      </c>
      <c r="B255" t="str">
        <f>"SI236001109"</f>
        <v>SI236001109</v>
      </c>
      <c r="C255" t="str">
        <f>"PR23000556"</f>
        <v>PR23000556</v>
      </c>
      <c r="E255" t="str">
        <f>"Y"</f>
        <v>Y</v>
      </c>
      <c r="F255" t="str">
        <f>"חשבוניות מרכזות"</f>
        <v>חשבוניות מרכזות</v>
      </c>
      <c r="G255" t="str">
        <f>"700065"</f>
        <v>700065</v>
      </c>
      <c r="H255" t="str">
        <f>"אלתא מערכות בע""מ"</f>
        <v>אלתא מערכות בע"מ</v>
      </c>
      <c r="I255" t="str">
        <f>"10"</f>
        <v>10</v>
      </c>
      <c r="J255" t="str">
        <f>"OP-ML00256"</f>
        <v>OP-ML00256</v>
      </c>
      <c r="K255" t="str">
        <f>"RPU 10M GND CABLE"</f>
        <v>RPU 10M GND CABLE</v>
      </c>
      <c r="L255">
        <v>10</v>
      </c>
      <c r="M255" t="str">
        <f>"יח"</f>
        <v>יח</v>
      </c>
      <c r="N255">
        <v>10</v>
      </c>
      <c r="O255" t="str">
        <f>"יח"</f>
        <v>יח</v>
      </c>
      <c r="P255">
        <v>140.13</v>
      </c>
      <c r="Q255" t="str">
        <f>"$"</f>
        <v>$</v>
      </c>
      <c r="R255" t="str">
        <f>"הזמנה"</f>
        <v>הזמנה</v>
      </c>
      <c r="S255">
        <v>0</v>
      </c>
      <c r="T255" s="2">
        <v>1401.3</v>
      </c>
      <c r="U255">
        <v>0</v>
      </c>
      <c r="V255" s="2">
        <v>1401.3</v>
      </c>
      <c r="W255" t="str">
        <f>"$"</f>
        <v>$</v>
      </c>
      <c r="X255">
        <v>0</v>
      </c>
      <c r="Y255">
        <v>0</v>
      </c>
      <c r="Z255">
        <v>0</v>
      </c>
      <c r="AA255" t="str">
        <f>"Y"</f>
        <v>Y</v>
      </c>
      <c r="AB255" t="str">
        <f>"SO23000367"</f>
        <v>SO23000367</v>
      </c>
      <c r="AC255">
        <v>1</v>
      </c>
      <c r="AD255" s="1">
        <v>45145</v>
      </c>
      <c r="AE255" t="str">
        <f>"SH23001041"</f>
        <v>SH23001041</v>
      </c>
      <c r="AF255" t="str">
        <f>"משלוחים ללקוח"</f>
        <v>משלוחים ללקוח</v>
      </c>
      <c r="AG255" s="1">
        <v>45153</v>
      </c>
      <c r="AM255" t="str">
        <f>"10"</f>
        <v>10</v>
      </c>
      <c r="AN255" t="str">
        <f>"500000"</f>
        <v>500000</v>
      </c>
      <c r="AO255" t="str">
        <f>"הכנסות  מלקוחות"</f>
        <v>הכנסות  מלקוחות</v>
      </c>
      <c r="AQ255" t="str">
        <f>"040"</f>
        <v>040</v>
      </c>
      <c r="AR255">
        <v>0</v>
      </c>
      <c r="AS255">
        <v>0</v>
      </c>
      <c r="AT255">
        <v>3.7629999999999999</v>
      </c>
      <c r="AX255" t="str">
        <f>"E000402130"</f>
        <v>E000402130</v>
      </c>
      <c r="BD255" t="str">
        <f>"רחמים זרוק"</f>
        <v>רחמים זרוק</v>
      </c>
    </row>
    <row r="256" spans="1:56" x14ac:dyDescent="0.3">
      <c r="A256" s="1">
        <v>45153</v>
      </c>
      <c r="B256" t="str">
        <f>"SI236001108"</f>
        <v>SI236001108</v>
      </c>
      <c r="C256" t="str">
        <f>"PR23000556"</f>
        <v>PR23000556</v>
      </c>
      <c r="E256" t="str">
        <f>"Y"</f>
        <v>Y</v>
      </c>
      <c r="F256" t="str">
        <f>"חשבוניות מרכזות"</f>
        <v>חשבוניות מרכזות</v>
      </c>
      <c r="G256" t="str">
        <f>"700065"</f>
        <v>700065</v>
      </c>
      <c r="H256" t="str">
        <f>"אלתא מערכות בע""מ"</f>
        <v>אלתא מערכות בע"מ</v>
      </c>
      <c r="I256" t="str">
        <f>"10"</f>
        <v>10</v>
      </c>
      <c r="J256" t="str">
        <f>"OP-ML00256"</f>
        <v>OP-ML00256</v>
      </c>
      <c r="K256" t="str">
        <f>"RPU 10M GND CABLE"</f>
        <v>RPU 10M GND CABLE</v>
      </c>
      <c r="L256">
        <v>-10</v>
      </c>
      <c r="M256" t="str">
        <f>"יח"</f>
        <v>יח</v>
      </c>
      <c r="N256">
        <v>-10</v>
      </c>
      <c r="O256" t="str">
        <f>"יח"</f>
        <v>יח</v>
      </c>
      <c r="P256" s="2">
        <v>1401.3</v>
      </c>
      <c r="Q256" t="str">
        <f>"$"</f>
        <v>$</v>
      </c>
      <c r="R256" t="str">
        <f>"הזמנה"</f>
        <v>הזמנה</v>
      </c>
      <c r="S256">
        <v>0</v>
      </c>
      <c r="T256" s="2">
        <v>-14013</v>
      </c>
      <c r="U256">
        <v>0</v>
      </c>
      <c r="V256" s="2">
        <v>-14013</v>
      </c>
      <c r="W256" t="str">
        <f>"$"</f>
        <v>$</v>
      </c>
      <c r="X256">
        <v>0</v>
      </c>
      <c r="Y256">
        <v>0</v>
      </c>
      <c r="Z256">
        <v>0</v>
      </c>
      <c r="AA256" t="str">
        <f>"Y"</f>
        <v>Y</v>
      </c>
      <c r="AC256">
        <v>0</v>
      </c>
      <c r="AM256" t="str">
        <f>"10"</f>
        <v>10</v>
      </c>
      <c r="AN256" t="str">
        <f>"500000"</f>
        <v>500000</v>
      </c>
      <c r="AO256" t="str">
        <f>"הכנסות  מלקוחות"</f>
        <v>הכנסות  מלקוחות</v>
      </c>
      <c r="AQ256" t="str">
        <f>"040"</f>
        <v>040</v>
      </c>
      <c r="AR256">
        <v>0</v>
      </c>
      <c r="AS256">
        <v>0</v>
      </c>
      <c r="AT256">
        <v>3.7629999999999999</v>
      </c>
      <c r="BB256" t="str">
        <f>"Y"</f>
        <v>Y</v>
      </c>
      <c r="BD256" t="str">
        <f>"רחמים זרוק"</f>
        <v>רחמים זרוק</v>
      </c>
    </row>
    <row r="257" spans="1:56" x14ac:dyDescent="0.3">
      <c r="A257" s="1">
        <v>45153</v>
      </c>
      <c r="B257" t="str">
        <f>"SI236001086"</f>
        <v>SI236001086</v>
      </c>
      <c r="C257" t="str">
        <f>"PR23000556"</f>
        <v>PR23000556</v>
      </c>
      <c r="E257" t="str">
        <f>"Y"</f>
        <v>Y</v>
      </c>
      <c r="F257" t="str">
        <f>"חשבוניות מרכזות"</f>
        <v>חשבוניות מרכזות</v>
      </c>
      <c r="G257" t="str">
        <f>"700065"</f>
        <v>700065</v>
      </c>
      <c r="H257" t="str">
        <f>"אלתא מערכות בע""מ"</f>
        <v>אלתא מערכות בע"מ</v>
      </c>
      <c r="I257" t="str">
        <f>"10"</f>
        <v>10</v>
      </c>
      <c r="J257" t="str">
        <f>"OP-ML00256"</f>
        <v>OP-ML00256</v>
      </c>
      <c r="K257" t="str">
        <f>"RPU 10M GND CABLE"</f>
        <v>RPU 10M GND CABLE</v>
      </c>
      <c r="L257">
        <v>10</v>
      </c>
      <c r="M257" t="str">
        <f>"יח"</f>
        <v>יח</v>
      </c>
      <c r="N257">
        <v>10</v>
      </c>
      <c r="O257" t="str">
        <f>"יח"</f>
        <v>יח</v>
      </c>
      <c r="P257" s="2">
        <v>1401.3</v>
      </c>
      <c r="Q257" t="str">
        <f>"$"</f>
        <v>$</v>
      </c>
      <c r="R257" t="str">
        <f>"הזמנה"</f>
        <v>הזמנה</v>
      </c>
      <c r="S257">
        <v>0</v>
      </c>
      <c r="T257" s="2">
        <v>14013</v>
      </c>
      <c r="U257">
        <v>0</v>
      </c>
      <c r="V257" s="2">
        <v>14013</v>
      </c>
      <c r="W257" t="str">
        <f>"$"</f>
        <v>$</v>
      </c>
      <c r="X257">
        <v>0</v>
      </c>
      <c r="Y257">
        <v>0</v>
      </c>
      <c r="Z257">
        <v>0</v>
      </c>
      <c r="AA257" t="str">
        <f>"Y"</f>
        <v>Y</v>
      </c>
      <c r="AC257">
        <v>0</v>
      </c>
      <c r="AM257" t="str">
        <f>"10"</f>
        <v>10</v>
      </c>
      <c r="AN257" t="str">
        <f>"500000"</f>
        <v>500000</v>
      </c>
      <c r="AO257" t="str">
        <f>"הכנסות  מלקוחות"</f>
        <v>הכנסות  מלקוחות</v>
      </c>
      <c r="AQ257" t="str">
        <f>"040"</f>
        <v>040</v>
      </c>
      <c r="AR257">
        <v>0</v>
      </c>
      <c r="AS257">
        <v>0</v>
      </c>
      <c r="AT257">
        <v>3.7629999999999999</v>
      </c>
      <c r="BB257" t="str">
        <f>"Y"</f>
        <v>Y</v>
      </c>
      <c r="BD257" t="str">
        <f>"רחמים זרוק"</f>
        <v>רחמים זרוק</v>
      </c>
    </row>
    <row r="258" spans="1:56" x14ac:dyDescent="0.3">
      <c r="A258" s="1">
        <v>45153</v>
      </c>
      <c r="B258" t="str">
        <f>"SI236001072"</f>
        <v>SI236001072</v>
      </c>
      <c r="E258" t="str">
        <f>"Y"</f>
        <v>Y</v>
      </c>
      <c r="F258" t="str">
        <f>"חשבוניות מרכזות"</f>
        <v>חשבוניות מרכזות</v>
      </c>
      <c r="G258" t="str">
        <f>"700065"</f>
        <v>700065</v>
      </c>
      <c r="H258" t="str">
        <f>"אלתא מערכות בע""מ"</f>
        <v>אלתא מערכות בע"מ</v>
      </c>
      <c r="I258" t="str">
        <f>"10"</f>
        <v>10</v>
      </c>
      <c r="J258" t="str">
        <f>"000"</f>
        <v>000</v>
      </c>
      <c r="K258" t="str">
        <f>"מארז מחשוב PDB1+UPS מערכת 8"</f>
        <v>מארז מחשוב PDB1+UPS מערכת 8</v>
      </c>
      <c r="L258">
        <v>1</v>
      </c>
      <c r="M258" t="str">
        <f>"יח"</f>
        <v>יח</v>
      </c>
      <c r="N258">
        <v>1</v>
      </c>
      <c r="O258" t="str">
        <f>"יח"</f>
        <v>יח</v>
      </c>
      <c r="P258" s="2">
        <v>2400</v>
      </c>
      <c r="Q258" t="str">
        <f>"$"</f>
        <v>$</v>
      </c>
      <c r="R258" t="str">
        <f>"הזמנה"</f>
        <v>הזמנה</v>
      </c>
      <c r="S258">
        <v>0</v>
      </c>
      <c r="T258" s="2">
        <v>2400</v>
      </c>
      <c r="U258">
        <v>0</v>
      </c>
      <c r="V258" s="2">
        <v>2400</v>
      </c>
      <c r="W258" t="str">
        <f>"$"</f>
        <v>$</v>
      </c>
      <c r="X258">
        <v>0</v>
      </c>
      <c r="Y258">
        <v>0</v>
      </c>
      <c r="Z258">
        <v>0</v>
      </c>
      <c r="AA258" t="str">
        <f>"Y"</f>
        <v>Y</v>
      </c>
      <c r="AB258" t="str">
        <f>"SO22000489"</f>
        <v>SO22000489</v>
      </c>
      <c r="AC258">
        <v>9</v>
      </c>
      <c r="AD258" s="1">
        <v>44922</v>
      </c>
      <c r="AM258" t="str">
        <f>"10"</f>
        <v>10</v>
      </c>
      <c r="AN258" t="str">
        <f>"500000"</f>
        <v>500000</v>
      </c>
      <c r="AO258" t="str">
        <f>"הכנסות  מלקוחות"</f>
        <v>הכנסות  מלקוחות</v>
      </c>
      <c r="AQ258" t="str">
        <f>"040"</f>
        <v>040</v>
      </c>
      <c r="AR258">
        <v>0</v>
      </c>
      <c r="AS258">
        <v>0</v>
      </c>
      <c r="AT258">
        <v>3.7240000000000002</v>
      </c>
      <c r="AX258" t="str">
        <f>"E000382417"</f>
        <v>E000382417</v>
      </c>
      <c r="BD258" t="str">
        <f>"רחמים זרוק"</f>
        <v>רחמים זרוק</v>
      </c>
    </row>
    <row r="259" spans="1:56" x14ac:dyDescent="0.3">
      <c r="A259" s="1">
        <v>45153</v>
      </c>
      <c r="B259" t="str">
        <f>"SI236001071"</f>
        <v>SI236001071</v>
      </c>
      <c r="E259" t="str">
        <f>"Y"</f>
        <v>Y</v>
      </c>
      <c r="F259" t="str">
        <f>"חשבוניות מרכזות"</f>
        <v>חשבוניות מרכזות</v>
      </c>
      <c r="G259" t="str">
        <f>"700065"</f>
        <v>700065</v>
      </c>
      <c r="H259" t="str">
        <f>"אלתא מערכות בע""מ"</f>
        <v>אלתא מערכות בע"מ</v>
      </c>
      <c r="I259" t="str">
        <f>"10"</f>
        <v>10</v>
      </c>
      <c r="J259" t="str">
        <f>"000"</f>
        <v>000</v>
      </c>
      <c r="K259" t="str">
        <f>"מארז מחשוב PDB1+UPS מערכת 8"</f>
        <v>מארז מחשוב PDB1+UPS מערכת 8</v>
      </c>
      <c r="L259">
        <v>-1</v>
      </c>
      <c r="M259" t="str">
        <f>"יח"</f>
        <v>יח</v>
      </c>
      <c r="N259">
        <v>-1</v>
      </c>
      <c r="O259" t="str">
        <f>"יח"</f>
        <v>יח</v>
      </c>
      <c r="P259" s="2">
        <v>2950</v>
      </c>
      <c r="Q259" t="str">
        <f>"$"</f>
        <v>$</v>
      </c>
      <c r="R259" t="str">
        <f>"הזמנה"</f>
        <v>הזמנה</v>
      </c>
      <c r="S259">
        <v>0</v>
      </c>
      <c r="T259" s="2">
        <v>-2950</v>
      </c>
      <c r="U259">
        <v>0</v>
      </c>
      <c r="V259" s="2">
        <v>-2950</v>
      </c>
      <c r="W259" t="str">
        <f>"$"</f>
        <v>$</v>
      </c>
      <c r="X259">
        <v>0</v>
      </c>
      <c r="Y259">
        <v>0</v>
      </c>
      <c r="Z259">
        <v>0</v>
      </c>
      <c r="AA259" t="str">
        <f>"Y"</f>
        <v>Y</v>
      </c>
      <c r="AC259">
        <v>0</v>
      </c>
      <c r="AM259" t="str">
        <f>"10"</f>
        <v>10</v>
      </c>
      <c r="AN259" t="str">
        <f>"500000"</f>
        <v>500000</v>
      </c>
      <c r="AO259" t="str">
        <f>"הכנסות  מלקוחות"</f>
        <v>הכנסות  מלקוחות</v>
      </c>
      <c r="AQ259" t="str">
        <f>"040"</f>
        <v>040</v>
      </c>
      <c r="AR259">
        <v>0</v>
      </c>
      <c r="AS259">
        <v>0</v>
      </c>
      <c r="AT259">
        <v>3.7240000000000002</v>
      </c>
      <c r="BB259" t="str">
        <f>"Y"</f>
        <v>Y</v>
      </c>
      <c r="BD259" t="str">
        <f>"רחמים זרוק"</f>
        <v>רחמים זרוק</v>
      </c>
    </row>
    <row r="260" spans="1:56" x14ac:dyDescent="0.3">
      <c r="A260" s="1">
        <v>45153</v>
      </c>
      <c r="B260" t="str">
        <f>"SI236001070"</f>
        <v>SI236001070</v>
      </c>
      <c r="E260" t="str">
        <f>"Y"</f>
        <v>Y</v>
      </c>
      <c r="F260" t="str">
        <f>"חשבוניות מרכזות"</f>
        <v>חשבוניות מרכזות</v>
      </c>
      <c r="G260" t="str">
        <f>"700065"</f>
        <v>700065</v>
      </c>
      <c r="H260" t="str">
        <f>"אלתא מערכות בע""מ"</f>
        <v>אלתא מערכות בע"מ</v>
      </c>
      <c r="I260" t="str">
        <f>"10"</f>
        <v>10</v>
      </c>
      <c r="J260" t="str">
        <f>"000"</f>
        <v>000</v>
      </c>
      <c r="K260" t="str">
        <f>"מארז מחשוב PDB1+UPS מערכת 8"</f>
        <v>מארז מחשוב PDB1+UPS מערכת 8</v>
      </c>
      <c r="L260">
        <v>1</v>
      </c>
      <c r="M260" t="str">
        <f>"יח"</f>
        <v>יח</v>
      </c>
      <c r="N260">
        <v>1</v>
      </c>
      <c r="O260" t="str">
        <f>"יח"</f>
        <v>יח</v>
      </c>
      <c r="P260" s="2">
        <v>2950</v>
      </c>
      <c r="Q260" t="str">
        <f>"$"</f>
        <v>$</v>
      </c>
      <c r="R260" t="str">
        <f>"הזמנה"</f>
        <v>הזמנה</v>
      </c>
      <c r="S260">
        <v>0</v>
      </c>
      <c r="T260" s="2">
        <v>2950</v>
      </c>
      <c r="U260">
        <v>0</v>
      </c>
      <c r="V260" s="2">
        <v>2950</v>
      </c>
      <c r="W260" t="str">
        <f>"$"</f>
        <v>$</v>
      </c>
      <c r="X260">
        <v>0</v>
      </c>
      <c r="Y260">
        <v>0</v>
      </c>
      <c r="Z260">
        <v>0</v>
      </c>
      <c r="AA260" t="str">
        <f>"Y"</f>
        <v>Y</v>
      </c>
      <c r="AC260">
        <v>0</v>
      </c>
      <c r="AM260" t="str">
        <f>"10"</f>
        <v>10</v>
      </c>
      <c r="AN260" t="str">
        <f>"500000"</f>
        <v>500000</v>
      </c>
      <c r="AO260" t="str">
        <f>"הכנסות  מלקוחות"</f>
        <v>הכנסות  מלקוחות</v>
      </c>
      <c r="AQ260" t="str">
        <f>"040"</f>
        <v>040</v>
      </c>
      <c r="AR260">
        <v>0</v>
      </c>
      <c r="AS260">
        <v>0</v>
      </c>
      <c r="AT260">
        <v>3.7240000000000002</v>
      </c>
      <c r="BB260" t="str">
        <f>"Y"</f>
        <v>Y</v>
      </c>
      <c r="BD260" t="str">
        <f>"רחמים זרוק"</f>
        <v>רחמים זרוק</v>
      </c>
    </row>
    <row r="261" spans="1:56" x14ac:dyDescent="0.3">
      <c r="A261" s="1">
        <v>45153</v>
      </c>
      <c r="B261" t="str">
        <f>"CR237000094"</f>
        <v>CR237000094</v>
      </c>
      <c r="E261" t="str">
        <f>"Y"</f>
        <v>Y</v>
      </c>
      <c r="F261" t="str">
        <f>"חשבוניות זיכוי"</f>
        <v>חשבוניות זיכוי</v>
      </c>
      <c r="G261" t="str">
        <f>"700065"</f>
        <v>700065</v>
      </c>
      <c r="H261" t="str">
        <f>"אלתא מערכות בע""מ"</f>
        <v>אלתא מערכות בע"מ</v>
      </c>
      <c r="I261" t="str">
        <f>"10"</f>
        <v>10</v>
      </c>
      <c r="J261" t="str">
        <f>"999"</f>
        <v>999</v>
      </c>
      <c r="K261" t="str">
        <f>"זיכוי לחשבונית SI226000801"</f>
        <v>זיכוי לחשבונית SI226000801</v>
      </c>
      <c r="L261">
        <v>1</v>
      </c>
      <c r="M261" t="str">
        <f>"חל"</f>
        <v>חל</v>
      </c>
      <c r="N261">
        <v>1</v>
      </c>
      <c r="O261" t="str">
        <f>"חל"</f>
        <v>חל</v>
      </c>
      <c r="P261">
        <v>330</v>
      </c>
      <c r="Q261" t="str">
        <f>"$"</f>
        <v>$</v>
      </c>
      <c r="R261" t="str">
        <f>"ידני"</f>
        <v>ידני</v>
      </c>
      <c r="S261">
        <v>0</v>
      </c>
      <c r="T261">
        <v>330</v>
      </c>
      <c r="U261">
        <v>0</v>
      </c>
      <c r="V261">
        <v>330</v>
      </c>
      <c r="W261" t="str">
        <f>"$"</f>
        <v>$</v>
      </c>
      <c r="X261">
        <v>0</v>
      </c>
      <c r="Y261">
        <v>0</v>
      </c>
      <c r="Z261">
        <v>0</v>
      </c>
      <c r="AA261" t="str">
        <f>"Y"</f>
        <v>Y</v>
      </c>
      <c r="AC261">
        <v>0</v>
      </c>
      <c r="AM261" t="str">
        <f>"10"</f>
        <v>10</v>
      </c>
      <c r="AN261" t="str">
        <f>"500000"</f>
        <v>500000</v>
      </c>
      <c r="AO261" t="str">
        <f>"הכנסות  מלקוחות"</f>
        <v>הכנסות  מלקוחות</v>
      </c>
      <c r="AQ261" t="str">
        <f>"034"</f>
        <v>034</v>
      </c>
      <c r="AR261">
        <v>0</v>
      </c>
      <c r="AS261">
        <v>0</v>
      </c>
      <c r="AT261">
        <v>3.4550000000000001</v>
      </c>
      <c r="BD261" t="str">
        <f>"ערן שלו"</f>
        <v>ערן שלו</v>
      </c>
    </row>
    <row r="262" spans="1:56" x14ac:dyDescent="0.3">
      <c r="A262" s="1">
        <v>45151</v>
      </c>
      <c r="B262" t="str">
        <f>"SI236001105"</f>
        <v>SI236001105</v>
      </c>
      <c r="C262" t="str">
        <f>"PR22000362"</f>
        <v>PR22000362</v>
      </c>
      <c r="E262" t="str">
        <f>"Y"</f>
        <v>Y</v>
      </c>
      <c r="F262" t="str">
        <f>"חשבוניות מרכזות"</f>
        <v>חשבוניות מרכזות</v>
      </c>
      <c r="G262" t="str">
        <f>"700065"</f>
        <v>700065</v>
      </c>
      <c r="H262" t="str">
        <f>"אלתא מערכות בע""מ"</f>
        <v>אלתא מערכות בע"מ</v>
      </c>
      <c r="I262" t="str">
        <f>"10"</f>
        <v>10</v>
      </c>
      <c r="J262" t="str">
        <f>"OP-ML00217"</f>
        <v>OP-ML00217</v>
      </c>
      <c r="K262" t="str">
        <f>"1042A920-001 COMPUTER RACK"</f>
        <v>1042A920-001 COMPUTER RACK</v>
      </c>
      <c r="L262">
        <v>1</v>
      </c>
      <c r="M262" t="str">
        <f>"יח"</f>
        <v>יח</v>
      </c>
      <c r="N262">
        <v>1</v>
      </c>
      <c r="O262" t="str">
        <f>"יח"</f>
        <v>יח</v>
      </c>
      <c r="P262" s="2">
        <v>36500</v>
      </c>
      <c r="Q262" t="str">
        <f>"$"</f>
        <v>$</v>
      </c>
      <c r="R262" t="str">
        <f>"הזמנה"</f>
        <v>הזמנה</v>
      </c>
      <c r="S262">
        <v>0</v>
      </c>
      <c r="T262" s="2">
        <v>36500</v>
      </c>
      <c r="U262">
        <v>0</v>
      </c>
      <c r="V262" s="2">
        <v>36500</v>
      </c>
      <c r="W262" t="str">
        <f>"$"</f>
        <v>$</v>
      </c>
      <c r="X262">
        <v>0</v>
      </c>
      <c r="Y262">
        <v>0</v>
      </c>
      <c r="Z262">
        <v>0</v>
      </c>
      <c r="AA262" t="str">
        <f>"Y"</f>
        <v>Y</v>
      </c>
      <c r="AB262" t="str">
        <f>"SO22000181"</f>
        <v>SO22000181</v>
      </c>
      <c r="AC262">
        <v>2</v>
      </c>
      <c r="AD262" s="1">
        <v>44696</v>
      </c>
      <c r="AE262" t="str">
        <f>"SH23001035"</f>
        <v>SH23001035</v>
      </c>
      <c r="AF262" t="str">
        <f>"משלוחים ללקוח"</f>
        <v>משלוחים ללקוח</v>
      </c>
      <c r="AG262" s="1">
        <v>45151</v>
      </c>
      <c r="AM262" t="str">
        <f>"10"</f>
        <v>10</v>
      </c>
      <c r="AN262" t="str">
        <f>"500000"</f>
        <v>500000</v>
      </c>
      <c r="AO262" t="str">
        <f>"הכנסות  מלקוחות"</f>
        <v>הכנסות  מלקוחות</v>
      </c>
      <c r="AQ262" t="str">
        <f>"034"</f>
        <v>034</v>
      </c>
      <c r="AR262">
        <v>0</v>
      </c>
      <c r="AS262">
        <v>0</v>
      </c>
      <c r="AT262">
        <v>3.7229999999999999</v>
      </c>
      <c r="AX262" t="str">
        <f>"E000362815"</f>
        <v>E000362815</v>
      </c>
      <c r="BD262" t="str">
        <f>"ערן שלו"</f>
        <v>ערן שלו</v>
      </c>
    </row>
    <row r="263" spans="1:56" x14ac:dyDescent="0.3">
      <c r="A263" s="1">
        <v>45150</v>
      </c>
      <c r="B263" t="str">
        <f>"SI236001066"</f>
        <v>SI236001066</v>
      </c>
      <c r="E263" t="str">
        <f>"Y"</f>
        <v>Y</v>
      </c>
      <c r="F263" t="str">
        <f>"חשבוניות מרכזות"</f>
        <v>חשבוניות מרכזות</v>
      </c>
      <c r="G263" t="str">
        <f>"700065"</f>
        <v>700065</v>
      </c>
      <c r="H263" t="str">
        <f>"אלתא מערכות בע""מ"</f>
        <v>אלתא מערכות בע"מ</v>
      </c>
      <c r="I263" t="str">
        <f>"10"</f>
        <v>10</v>
      </c>
      <c r="J263" t="str">
        <f>"000"</f>
        <v>000</v>
      </c>
      <c r="K263" t="str">
        <f>"שינוי מסדי מחשבים 1-2"</f>
        <v>שינוי מסדי מחשבים 1-2</v>
      </c>
      <c r="L263">
        <v>1</v>
      </c>
      <c r="M263" t="str">
        <f>"יח"</f>
        <v>יח</v>
      </c>
      <c r="N263">
        <v>1</v>
      </c>
      <c r="O263" t="str">
        <f>"יח"</f>
        <v>יח</v>
      </c>
      <c r="P263" s="2">
        <v>2200</v>
      </c>
      <c r="Q263" t="str">
        <f>"$"</f>
        <v>$</v>
      </c>
      <c r="R263" t="str">
        <f>"הזמנה"</f>
        <v>הזמנה</v>
      </c>
      <c r="S263">
        <v>0</v>
      </c>
      <c r="T263" s="2">
        <v>2200</v>
      </c>
      <c r="U263">
        <v>0</v>
      </c>
      <c r="V263" s="2">
        <v>2200</v>
      </c>
      <c r="W263" t="str">
        <f>"$"</f>
        <v>$</v>
      </c>
      <c r="X263">
        <v>0</v>
      </c>
      <c r="Y263">
        <v>0</v>
      </c>
      <c r="Z263">
        <v>0</v>
      </c>
      <c r="AA263" t="str">
        <f>"Y"</f>
        <v>Y</v>
      </c>
      <c r="AB263" t="str">
        <f>"SO23000378"</f>
        <v>SO23000378</v>
      </c>
      <c r="AC263">
        <v>1</v>
      </c>
      <c r="AD263" s="1">
        <v>45150</v>
      </c>
      <c r="AM263" t="str">
        <f>"10"</f>
        <v>10</v>
      </c>
      <c r="AN263" t="str">
        <f>"500000"</f>
        <v>500000</v>
      </c>
      <c r="AO263" t="str">
        <f>"הכנסות  מלקוחות"</f>
        <v>הכנסות  מלקוחות</v>
      </c>
      <c r="AQ263" t="str">
        <f>"007"</f>
        <v>007</v>
      </c>
      <c r="AR263">
        <v>0</v>
      </c>
      <c r="AS263">
        <v>0</v>
      </c>
      <c r="AT263">
        <v>3.7229999999999999</v>
      </c>
      <c r="AX263" t="str">
        <f>"E000400792"</f>
        <v>E000400792</v>
      </c>
      <c r="BD263" t="str">
        <f>"רוני דידי"</f>
        <v>רוני דידי</v>
      </c>
    </row>
    <row r="264" spans="1:56" x14ac:dyDescent="0.3">
      <c r="A264" s="1">
        <v>45150</v>
      </c>
      <c r="B264" t="str">
        <f>"SI236001066"</f>
        <v>SI236001066</v>
      </c>
      <c r="E264" t="str">
        <f>"Y"</f>
        <v>Y</v>
      </c>
      <c r="F264" t="str">
        <f>"חשבוניות מרכזות"</f>
        <v>חשבוניות מרכזות</v>
      </c>
      <c r="G264" t="str">
        <f>"700065"</f>
        <v>700065</v>
      </c>
      <c r="H264" t="str">
        <f>"אלתא מערכות בע""מ"</f>
        <v>אלתא מערכות בע"מ</v>
      </c>
      <c r="I264" t="str">
        <f>"10"</f>
        <v>10</v>
      </c>
      <c r="J264" t="str">
        <f>"000"</f>
        <v>000</v>
      </c>
      <c r="K264" t="str">
        <f>"שינוי תכן מסדי מחשבים"</f>
        <v>שינוי תכן מסדי מחשבים</v>
      </c>
      <c r="L264">
        <v>1</v>
      </c>
      <c r="M264" t="str">
        <f>"יח"</f>
        <v>יח</v>
      </c>
      <c r="N264">
        <v>1</v>
      </c>
      <c r="O264" t="str">
        <f>"יח"</f>
        <v>יח</v>
      </c>
      <c r="P264" s="2">
        <v>5500</v>
      </c>
      <c r="Q264" t="str">
        <f>"$"</f>
        <v>$</v>
      </c>
      <c r="R264" t="str">
        <f>"הזמנה"</f>
        <v>הזמנה</v>
      </c>
      <c r="S264">
        <v>0</v>
      </c>
      <c r="T264" s="2">
        <v>5500</v>
      </c>
      <c r="U264">
        <v>0</v>
      </c>
      <c r="V264" s="2">
        <v>5500</v>
      </c>
      <c r="W264" t="str">
        <f>"$"</f>
        <v>$</v>
      </c>
      <c r="X264">
        <v>0</v>
      </c>
      <c r="Y264">
        <v>0</v>
      </c>
      <c r="Z264">
        <v>0</v>
      </c>
      <c r="AA264" t="str">
        <f>"Y"</f>
        <v>Y</v>
      </c>
      <c r="AB264" t="str">
        <f>"SO23000378"</f>
        <v>SO23000378</v>
      </c>
      <c r="AC264">
        <v>3</v>
      </c>
      <c r="AD264" s="1">
        <v>45150</v>
      </c>
      <c r="AM264" t="str">
        <f>"10"</f>
        <v>10</v>
      </c>
      <c r="AN264" t="str">
        <f>"500000"</f>
        <v>500000</v>
      </c>
      <c r="AO264" t="str">
        <f>"הכנסות  מלקוחות"</f>
        <v>הכנסות  מלקוחות</v>
      </c>
      <c r="AQ264" t="str">
        <f>"007"</f>
        <v>007</v>
      </c>
      <c r="AR264">
        <v>0</v>
      </c>
      <c r="AS264">
        <v>0</v>
      </c>
      <c r="AT264">
        <v>3.7229999999999999</v>
      </c>
      <c r="AX264" t="str">
        <f>"E000400792"</f>
        <v>E000400792</v>
      </c>
      <c r="BD264" t="str">
        <f>"רוני דידי"</f>
        <v>רוני דידי</v>
      </c>
    </row>
    <row r="265" spans="1:56" x14ac:dyDescent="0.3">
      <c r="A265" s="1">
        <v>45147</v>
      </c>
      <c r="B265" t="str">
        <f>"SI236001064"</f>
        <v>SI236001064</v>
      </c>
      <c r="C265" t="str">
        <f>"PR22000904"</f>
        <v>PR22000904</v>
      </c>
      <c r="E265" t="str">
        <f>"Y"</f>
        <v>Y</v>
      </c>
      <c r="F265" t="str">
        <f>"חשבוניות מרכזות"</f>
        <v>חשבוניות מרכזות</v>
      </c>
      <c r="G265" t="str">
        <f>"700065"</f>
        <v>700065</v>
      </c>
      <c r="H265" t="str">
        <f>"אלתא מערכות בע""מ"</f>
        <v>אלתא מערכות בע"מ</v>
      </c>
      <c r="I265" t="str">
        <f>"15"</f>
        <v>15</v>
      </c>
      <c r="J265" t="str">
        <f>"OP-AR03398"</f>
        <v>OP-AR03398</v>
      </c>
      <c r="K265" t="str">
        <f>"1032F134-001    HARNESS WL134 - RECTIFIER INPUT AC VOLT"</f>
        <v>1032F134-001    HARNESS WL134 - RECTIFIER INPUT AC VOLT</v>
      </c>
      <c r="L265">
        <v>1</v>
      </c>
      <c r="M265" t="str">
        <f>"יח"</f>
        <v>יח</v>
      </c>
      <c r="N265">
        <v>1</v>
      </c>
      <c r="O265" t="str">
        <f>"יח"</f>
        <v>יח</v>
      </c>
      <c r="P265">
        <v>605.91</v>
      </c>
      <c r="Q265" t="str">
        <f>"$"</f>
        <v>$</v>
      </c>
      <c r="R265" t="str">
        <f>"הזמנה"</f>
        <v>הזמנה</v>
      </c>
      <c r="S265">
        <v>0</v>
      </c>
      <c r="T265">
        <v>605.91</v>
      </c>
      <c r="U265">
        <v>0</v>
      </c>
      <c r="V265">
        <v>605.91</v>
      </c>
      <c r="W265" t="str">
        <f>"$"</f>
        <v>$</v>
      </c>
      <c r="X265">
        <v>0</v>
      </c>
      <c r="Y265">
        <v>0</v>
      </c>
      <c r="Z265">
        <v>0</v>
      </c>
      <c r="AA265" t="str">
        <f>"Y"</f>
        <v>Y</v>
      </c>
      <c r="AB265" t="str">
        <f>"SO22000469"</f>
        <v>SO22000469</v>
      </c>
      <c r="AC265">
        <v>12</v>
      </c>
      <c r="AD265" s="1">
        <v>44915</v>
      </c>
      <c r="AE265" t="str">
        <f>"SH23001001"</f>
        <v>SH23001001</v>
      </c>
      <c r="AF265" t="str">
        <f>"משלוחים ללקוח"</f>
        <v>משלוחים ללקוח</v>
      </c>
      <c r="AG265" s="1">
        <v>45144</v>
      </c>
      <c r="AM265" t="str">
        <f>"10"</f>
        <v>10</v>
      </c>
      <c r="AN265" t="str">
        <f>"500000"</f>
        <v>500000</v>
      </c>
      <c r="AO265" t="str">
        <f>"הכנסות  מלקוחות"</f>
        <v>הכנסות  מלקוחות</v>
      </c>
      <c r="AQ265" t="str">
        <f>"040"</f>
        <v>040</v>
      </c>
      <c r="AR265">
        <v>0</v>
      </c>
      <c r="AS265">
        <v>0</v>
      </c>
      <c r="AT265">
        <v>3.7160000000000002</v>
      </c>
      <c r="AX265" t="str">
        <f>"E000374099"</f>
        <v>E000374099</v>
      </c>
      <c r="BD265" t="str">
        <f>"רחמים זרוק"</f>
        <v>רחמים זרוק</v>
      </c>
    </row>
    <row r="266" spans="1:56" x14ac:dyDescent="0.3">
      <c r="A266" s="1">
        <v>45147</v>
      </c>
      <c r="B266" t="str">
        <f>"SI236001064"</f>
        <v>SI236001064</v>
      </c>
      <c r="C266" t="str">
        <f>"PR22000904"</f>
        <v>PR22000904</v>
      </c>
      <c r="E266" t="str">
        <f>"Y"</f>
        <v>Y</v>
      </c>
      <c r="F266" t="str">
        <f>"חשבוניות מרכזות"</f>
        <v>חשבוניות מרכזות</v>
      </c>
      <c r="G266" t="str">
        <f>"700065"</f>
        <v>700065</v>
      </c>
      <c r="H266" t="str">
        <f>"אלתא מערכות בע""מ"</f>
        <v>אלתא מערכות בע"מ</v>
      </c>
      <c r="I266" t="str">
        <f>"15"</f>
        <v>15</v>
      </c>
      <c r="J266" t="str">
        <f>"OP-AR03398"</f>
        <v>OP-AR03398</v>
      </c>
      <c r="K266" t="str">
        <f>"1032F134-001    HARNESS WL134 - RECTIFIER INPUT AC VOLT"</f>
        <v>1032F134-001    HARNESS WL134 - RECTIFIER INPUT AC VOLT</v>
      </c>
      <c r="L266">
        <v>1</v>
      </c>
      <c r="M266" t="str">
        <f>"יח"</f>
        <v>יח</v>
      </c>
      <c r="N266">
        <v>1</v>
      </c>
      <c r="O266" t="str">
        <f>"יח"</f>
        <v>יח</v>
      </c>
      <c r="P266">
        <v>605.91</v>
      </c>
      <c r="Q266" t="str">
        <f>"$"</f>
        <v>$</v>
      </c>
      <c r="R266" t="str">
        <f>"הזמנה"</f>
        <v>הזמנה</v>
      </c>
      <c r="S266">
        <v>0</v>
      </c>
      <c r="T266">
        <v>605.91</v>
      </c>
      <c r="U266">
        <v>0</v>
      </c>
      <c r="V266">
        <v>605.91</v>
      </c>
      <c r="W266" t="str">
        <f>"$"</f>
        <v>$</v>
      </c>
      <c r="X266">
        <v>0</v>
      </c>
      <c r="Y266">
        <v>0</v>
      </c>
      <c r="Z266">
        <v>0</v>
      </c>
      <c r="AA266" t="str">
        <f>"Y"</f>
        <v>Y</v>
      </c>
      <c r="AB266" t="str">
        <f>"SO22000469"</f>
        <v>SO22000469</v>
      </c>
      <c r="AC266">
        <v>13</v>
      </c>
      <c r="AD266" s="1">
        <v>44915</v>
      </c>
      <c r="AE266" t="str">
        <f>"SH23001001"</f>
        <v>SH23001001</v>
      </c>
      <c r="AF266" t="str">
        <f>"משלוחים ללקוח"</f>
        <v>משלוחים ללקוח</v>
      </c>
      <c r="AG266" s="1">
        <v>45144</v>
      </c>
      <c r="AM266" t="str">
        <f>"10"</f>
        <v>10</v>
      </c>
      <c r="AN266" t="str">
        <f>"500000"</f>
        <v>500000</v>
      </c>
      <c r="AO266" t="str">
        <f>"הכנסות  מלקוחות"</f>
        <v>הכנסות  מלקוחות</v>
      </c>
      <c r="AQ266" t="str">
        <f>"040"</f>
        <v>040</v>
      </c>
      <c r="AR266">
        <v>0</v>
      </c>
      <c r="AS266">
        <v>0</v>
      </c>
      <c r="AT266">
        <v>3.7160000000000002</v>
      </c>
      <c r="AX266" t="str">
        <f>"E000374099"</f>
        <v>E000374099</v>
      </c>
      <c r="BD266" t="str">
        <f>"רחמים זרוק"</f>
        <v>רחמים זרוק</v>
      </c>
    </row>
    <row r="267" spans="1:56" x14ac:dyDescent="0.3">
      <c r="A267" s="1">
        <v>45147</v>
      </c>
      <c r="B267" t="str">
        <f>"SI236001064"</f>
        <v>SI236001064</v>
      </c>
      <c r="C267" t="str">
        <f>"PR22000904"</f>
        <v>PR22000904</v>
      </c>
      <c r="E267" t="str">
        <f>"Y"</f>
        <v>Y</v>
      </c>
      <c r="F267" t="str">
        <f>"חשבוניות מרכזות"</f>
        <v>חשבוניות מרכזות</v>
      </c>
      <c r="G267" t="str">
        <f>"700065"</f>
        <v>700065</v>
      </c>
      <c r="H267" t="str">
        <f>"אלתא מערכות בע""מ"</f>
        <v>אלתא מערכות בע"מ</v>
      </c>
      <c r="I267" t="str">
        <f>"15"</f>
        <v>15</v>
      </c>
      <c r="J267" t="str">
        <f>"OP-AR03494"</f>
        <v>OP-AR03494</v>
      </c>
      <c r="K267" t="str">
        <f>"1036C706-001    HARNESS WE006 - EPU1 - POWER PDU TO RSU"</f>
        <v>1036C706-001    HARNESS WE006 - EPU1 - POWER PDU TO RSU</v>
      </c>
      <c r="L267">
        <v>1</v>
      </c>
      <c r="M267" t="str">
        <f>"יח"</f>
        <v>יח</v>
      </c>
      <c r="N267">
        <v>1</v>
      </c>
      <c r="O267" t="str">
        <f>"יח"</f>
        <v>יח</v>
      </c>
      <c r="P267">
        <v>502.82</v>
      </c>
      <c r="Q267" t="str">
        <f>"$"</f>
        <v>$</v>
      </c>
      <c r="R267" t="str">
        <f>"הזמנה"</f>
        <v>הזמנה</v>
      </c>
      <c r="S267">
        <v>0</v>
      </c>
      <c r="T267">
        <v>502.82</v>
      </c>
      <c r="U267">
        <v>0</v>
      </c>
      <c r="V267">
        <v>502.82</v>
      </c>
      <c r="W267" t="str">
        <f>"$"</f>
        <v>$</v>
      </c>
      <c r="X267">
        <v>0</v>
      </c>
      <c r="Y267">
        <v>0</v>
      </c>
      <c r="Z267">
        <v>0</v>
      </c>
      <c r="AA267" t="str">
        <f>"Y"</f>
        <v>Y</v>
      </c>
      <c r="AB267" t="str">
        <f>"SO22000469"</f>
        <v>SO22000469</v>
      </c>
      <c r="AC267">
        <v>38</v>
      </c>
      <c r="AD267" s="1">
        <v>44915</v>
      </c>
      <c r="AE267" t="str">
        <f>"SH23001001"</f>
        <v>SH23001001</v>
      </c>
      <c r="AF267" t="str">
        <f>"משלוחים ללקוח"</f>
        <v>משלוחים ללקוח</v>
      </c>
      <c r="AG267" s="1">
        <v>45144</v>
      </c>
      <c r="AM267" t="str">
        <f>"10"</f>
        <v>10</v>
      </c>
      <c r="AN267" t="str">
        <f>"500000"</f>
        <v>500000</v>
      </c>
      <c r="AO267" t="str">
        <f>"הכנסות  מלקוחות"</f>
        <v>הכנסות  מלקוחות</v>
      </c>
      <c r="AQ267" t="str">
        <f>"040"</f>
        <v>040</v>
      </c>
      <c r="AR267">
        <v>0</v>
      </c>
      <c r="AS267">
        <v>0</v>
      </c>
      <c r="AT267">
        <v>3.7160000000000002</v>
      </c>
      <c r="AX267" t="str">
        <f>"E000374099"</f>
        <v>E000374099</v>
      </c>
      <c r="BD267" t="str">
        <f>"רחמים זרוק"</f>
        <v>רחמים זרוק</v>
      </c>
    </row>
    <row r="268" spans="1:56" x14ac:dyDescent="0.3">
      <c r="A268" s="1">
        <v>45147</v>
      </c>
      <c r="B268" t="str">
        <f>"SI236001064"</f>
        <v>SI236001064</v>
      </c>
      <c r="C268" t="str">
        <f>"PR22000904"</f>
        <v>PR22000904</v>
      </c>
      <c r="E268" t="str">
        <f>"Y"</f>
        <v>Y</v>
      </c>
      <c r="F268" t="str">
        <f>"חשבוניות מרכזות"</f>
        <v>חשבוניות מרכזות</v>
      </c>
      <c r="G268" t="str">
        <f>"700065"</f>
        <v>700065</v>
      </c>
      <c r="H268" t="str">
        <f>"אלתא מערכות בע""מ"</f>
        <v>אלתא מערכות בע"מ</v>
      </c>
      <c r="I268" t="str">
        <f>"15"</f>
        <v>15</v>
      </c>
      <c r="J268" t="str">
        <f>"OP-AR03509"</f>
        <v>OP-AR03509</v>
      </c>
      <c r="K268" t="str">
        <f>"1036C734-001    HARNESS WE032 - EPU1 - PSPU4 TO KVM"</f>
        <v>1036C734-001    HARNESS WE032 - EPU1 - PSPU4 TO KVM</v>
      </c>
      <c r="L268">
        <v>1</v>
      </c>
      <c r="M268" t="str">
        <f>"יח"</f>
        <v>יח</v>
      </c>
      <c r="N268">
        <v>1</v>
      </c>
      <c r="O268" t="str">
        <f>"יח"</f>
        <v>יח</v>
      </c>
      <c r="P268">
        <v>857.46</v>
      </c>
      <c r="Q268" t="str">
        <f>"$"</f>
        <v>$</v>
      </c>
      <c r="R268" t="str">
        <f>"הזמנה"</f>
        <v>הזמנה</v>
      </c>
      <c r="S268">
        <v>0</v>
      </c>
      <c r="T268">
        <v>857.46</v>
      </c>
      <c r="U268">
        <v>0</v>
      </c>
      <c r="V268">
        <v>857.46</v>
      </c>
      <c r="W268" t="str">
        <f>"$"</f>
        <v>$</v>
      </c>
      <c r="X268">
        <v>0</v>
      </c>
      <c r="Y268">
        <v>0</v>
      </c>
      <c r="Z268">
        <v>0</v>
      </c>
      <c r="AA268" t="str">
        <f>"Y"</f>
        <v>Y</v>
      </c>
      <c r="AB268" t="str">
        <f>"SO22000469"</f>
        <v>SO22000469</v>
      </c>
      <c r="AC268">
        <v>53</v>
      </c>
      <c r="AD268" s="1">
        <v>44915</v>
      </c>
      <c r="AE268" t="str">
        <f>"SH23001001"</f>
        <v>SH23001001</v>
      </c>
      <c r="AF268" t="str">
        <f>"משלוחים ללקוח"</f>
        <v>משלוחים ללקוח</v>
      </c>
      <c r="AG268" s="1">
        <v>45144</v>
      </c>
      <c r="AM268" t="str">
        <f>"10"</f>
        <v>10</v>
      </c>
      <c r="AN268" t="str">
        <f>"500000"</f>
        <v>500000</v>
      </c>
      <c r="AO268" t="str">
        <f>"הכנסות  מלקוחות"</f>
        <v>הכנסות  מלקוחות</v>
      </c>
      <c r="AQ268" t="str">
        <f>"040"</f>
        <v>040</v>
      </c>
      <c r="AR268">
        <v>0</v>
      </c>
      <c r="AS268">
        <v>0</v>
      </c>
      <c r="AT268">
        <v>3.7160000000000002</v>
      </c>
      <c r="AX268" t="str">
        <f>"E000374099"</f>
        <v>E000374099</v>
      </c>
      <c r="BD268" t="str">
        <f>"רחמים זרוק"</f>
        <v>רחמים זרוק</v>
      </c>
    </row>
    <row r="269" spans="1:56" x14ac:dyDescent="0.3">
      <c r="A269" s="1">
        <v>45147</v>
      </c>
      <c r="B269" t="str">
        <f>"SI236001064"</f>
        <v>SI236001064</v>
      </c>
      <c r="C269" t="str">
        <f>"PR22000904"</f>
        <v>PR22000904</v>
      </c>
      <c r="E269" t="str">
        <f>"Y"</f>
        <v>Y</v>
      </c>
      <c r="F269" t="str">
        <f>"חשבוניות מרכזות"</f>
        <v>חשבוניות מרכזות</v>
      </c>
      <c r="G269" t="str">
        <f>"700065"</f>
        <v>700065</v>
      </c>
      <c r="H269" t="str">
        <f>"אלתא מערכות בע""מ"</f>
        <v>אלתא מערכות בע"מ</v>
      </c>
      <c r="I269" t="str">
        <f>"15"</f>
        <v>15</v>
      </c>
      <c r="J269" t="str">
        <f>"OP-AR03511"</f>
        <v>OP-AR03511</v>
      </c>
      <c r="K269" t="str">
        <f>"1036C736-001    HARNESS WE036 - EPU1 - RC TO KVM"</f>
        <v>1036C736-001    HARNESS WE036 - EPU1 - RC TO KVM</v>
      </c>
      <c r="L269">
        <v>1</v>
      </c>
      <c r="M269" t="str">
        <f>"יח"</f>
        <v>יח</v>
      </c>
      <c r="N269">
        <v>1</v>
      </c>
      <c r="O269" t="str">
        <f>"יח"</f>
        <v>יח</v>
      </c>
      <c r="P269" s="2">
        <v>1303.02</v>
      </c>
      <c r="Q269" t="str">
        <f>"$"</f>
        <v>$</v>
      </c>
      <c r="R269" t="str">
        <f>"הזמנה"</f>
        <v>הזמנה</v>
      </c>
      <c r="S269">
        <v>0</v>
      </c>
      <c r="T269" s="2">
        <v>1303.02</v>
      </c>
      <c r="U269">
        <v>0</v>
      </c>
      <c r="V269" s="2">
        <v>1303.02</v>
      </c>
      <c r="W269" t="str">
        <f>"$"</f>
        <v>$</v>
      </c>
      <c r="X269">
        <v>0</v>
      </c>
      <c r="Y269">
        <v>0</v>
      </c>
      <c r="Z269">
        <v>0</v>
      </c>
      <c r="AA269" t="str">
        <f>"Y"</f>
        <v>Y</v>
      </c>
      <c r="AB269" t="str">
        <f>"SO22000469"</f>
        <v>SO22000469</v>
      </c>
      <c r="AC269">
        <v>55</v>
      </c>
      <c r="AD269" s="1">
        <v>44915</v>
      </c>
      <c r="AE269" t="str">
        <f>"SH23001001"</f>
        <v>SH23001001</v>
      </c>
      <c r="AF269" t="str">
        <f>"משלוחים ללקוח"</f>
        <v>משלוחים ללקוח</v>
      </c>
      <c r="AG269" s="1">
        <v>45144</v>
      </c>
      <c r="AM269" t="str">
        <f>"10"</f>
        <v>10</v>
      </c>
      <c r="AN269" t="str">
        <f>"500000"</f>
        <v>500000</v>
      </c>
      <c r="AO269" t="str">
        <f>"הכנסות  מלקוחות"</f>
        <v>הכנסות  מלקוחות</v>
      </c>
      <c r="AQ269" t="str">
        <f>"040"</f>
        <v>040</v>
      </c>
      <c r="AR269">
        <v>0</v>
      </c>
      <c r="AS269">
        <v>0</v>
      </c>
      <c r="AT269">
        <v>3.7160000000000002</v>
      </c>
      <c r="AX269" t="str">
        <f>"E000374099"</f>
        <v>E000374099</v>
      </c>
      <c r="BD269" t="str">
        <f>"רחמים זרוק"</f>
        <v>רחמים זרוק</v>
      </c>
    </row>
    <row r="270" spans="1:56" x14ac:dyDescent="0.3">
      <c r="A270" s="1">
        <v>45147</v>
      </c>
      <c r="B270" t="str">
        <f>"SI236001064"</f>
        <v>SI236001064</v>
      </c>
      <c r="C270" t="str">
        <f>"PR22000904"</f>
        <v>PR22000904</v>
      </c>
      <c r="E270" t="str">
        <f>"Y"</f>
        <v>Y</v>
      </c>
      <c r="F270" t="str">
        <f>"חשבוניות מרכזות"</f>
        <v>חשבוניות מרכזות</v>
      </c>
      <c r="G270" t="str">
        <f>"700065"</f>
        <v>700065</v>
      </c>
      <c r="H270" t="str">
        <f>"אלתא מערכות בע""מ"</f>
        <v>אלתא מערכות בע"מ</v>
      </c>
      <c r="I270" t="str">
        <f>"15"</f>
        <v>15</v>
      </c>
      <c r="J270" t="str">
        <f>"OP-AR03512"</f>
        <v>OP-AR03512</v>
      </c>
      <c r="K270" t="str">
        <f>"1036C738-001    HARNESS WE038 - EPU1 - ETHERNET, RC TO E"</f>
        <v>1036C738-001    HARNESS WE038 - EPU1 - ETHERNET, RC TO E</v>
      </c>
      <c r="L270">
        <v>1</v>
      </c>
      <c r="M270" t="str">
        <f>"יח"</f>
        <v>יח</v>
      </c>
      <c r="N270">
        <v>1</v>
      </c>
      <c r="O270" t="str">
        <f>"יח"</f>
        <v>יח</v>
      </c>
      <c r="P270" s="2">
        <v>1789.64</v>
      </c>
      <c r="Q270" t="str">
        <f>"$"</f>
        <v>$</v>
      </c>
      <c r="R270" t="str">
        <f>"הזמנה"</f>
        <v>הזמנה</v>
      </c>
      <c r="S270">
        <v>0</v>
      </c>
      <c r="T270" s="2">
        <v>1789.64</v>
      </c>
      <c r="U270">
        <v>0</v>
      </c>
      <c r="V270" s="2">
        <v>1789.64</v>
      </c>
      <c r="W270" t="str">
        <f>"$"</f>
        <v>$</v>
      </c>
      <c r="X270">
        <v>0</v>
      </c>
      <c r="Y270">
        <v>0</v>
      </c>
      <c r="Z270">
        <v>0</v>
      </c>
      <c r="AA270" t="str">
        <f>"Y"</f>
        <v>Y</v>
      </c>
      <c r="AB270" t="str">
        <f>"SO22000469"</f>
        <v>SO22000469</v>
      </c>
      <c r="AC270">
        <v>56</v>
      </c>
      <c r="AD270" s="1">
        <v>44915</v>
      </c>
      <c r="AE270" t="str">
        <f>"SH23001001"</f>
        <v>SH23001001</v>
      </c>
      <c r="AF270" t="str">
        <f>"משלוחים ללקוח"</f>
        <v>משלוחים ללקוח</v>
      </c>
      <c r="AG270" s="1">
        <v>45144</v>
      </c>
      <c r="AM270" t="str">
        <f>"10"</f>
        <v>10</v>
      </c>
      <c r="AN270" t="str">
        <f>"500000"</f>
        <v>500000</v>
      </c>
      <c r="AO270" t="str">
        <f>"הכנסות  מלקוחות"</f>
        <v>הכנסות  מלקוחות</v>
      </c>
      <c r="AQ270" t="str">
        <f>"040"</f>
        <v>040</v>
      </c>
      <c r="AR270">
        <v>0</v>
      </c>
      <c r="AS270">
        <v>0</v>
      </c>
      <c r="AT270">
        <v>3.7160000000000002</v>
      </c>
      <c r="AX270" t="str">
        <f>"E000374099"</f>
        <v>E000374099</v>
      </c>
      <c r="BD270" t="str">
        <f>"רחמים זרוק"</f>
        <v>רחמים זרוק</v>
      </c>
    </row>
    <row r="271" spans="1:56" x14ac:dyDescent="0.3">
      <c r="A271" s="1">
        <v>45147</v>
      </c>
      <c r="B271" t="str">
        <f>"SI236001063"</f>
        <v>SI236001063</v>
      </c>
      <c r="C271" t="str">
        <f>"PR22000552"</f>
        <v>PR22000552</v>
      </c>
      <c r="D271" t="str">
        <f>"PR22000552"</f>
        <v>PR22000552</v>
      </c>
      <c r="E271" t="str">
        <f>"Y"</f>
        <v>Y</v>
      </c>
      <c r="F271" t="str">
        <f>"חשבוניות מרכזות"</f>
        <v>חשבוניות מרכזות</v>
      </c>
      <c r="G271" t="str">
        <f>"700065"</f>
        <v>700065</v>
      </c>
      <c r="H271" t="str">
        <f>"אלתא מערכות בע""מ"</f>
        <v>אלתא מערכות בע"מ</v>
      </c>
      <c r="I271" t="str">
        <f>"15"</f>
        <v>15</v>
      </c>
      <c r="J271" t="str">
        <f>"OP-AR03223"</f>
        <v>OP-AR03223</v>
      </c>
      <c r="K271" t="str">
        <f>"2201E332-001    TEST CABLE LAB"</f>
        <v>2201E332-001    TEST CABLE LAB</v>
      </c>
      <c r="L271">
        <v>4</v>
      </c>
      <c r="M271" t="str">
        <f>"יח"</f>
        <v>יח</v>
      </c>
      <c r="N271">
        <v>4</v>
      </c>
      <c r="O271" t="str">
        <f>"יח"</f>
        <v>יח</v>
      </c>
      <c r="P271">
        <v>781.56</v>
      </c>
      <c r="Q271" t="str">
        <f>"$"</f>
        <v>$</v>
      </c>
      <c r="R271" t="str">
        <f>"הזמנה"</f>
        <v>הזמנה</v>
      </c>
      <c r="S271">
        <v>0</v>
      </c>
      <c r="T271" s="2">
        <v>3126.24</v>
      </c>
      <c r="U271">
        <v>0</v>
      </c>
      <c r="V271" s="2">
        <v>3126.24</v>
      </c>
      <c r="W271" t="str">
        <f>"$"</f>
        <v>$</v>
      </c>
      <c r="X271">
        <v>0</v>
      </c>
      <c r="Y271">
        <v>0</v>
      </c>
      <c r="Z271">
        <v>0</v>
      </c>
      <c r="AA271" t="str">
        <f>"Y"</f>
        <v>Y</v>
      </c>
      <c r="AB271" t="str">
        <f>"SO22000334"</f>
        <v>SO22000334</v>
      </c>
      <c r="AC271">
        <v>1</v>
      </c>
      <c r="AD271" s="1">
        <v>44789</v>
      </c>
      <c r="AE271" t="str">
        <f>"SH23001025"</f>
        <v>SH23001025</v>
      </c>
      <c r="AF271" t="str">
        <f>"משלוחים ללקוח"</f>
        <v>משלוחים ללקוח</v>
      </c>
      <c r="AG271" s="1">
        <v>45146</v>
      </c>
      <c r="AM271" t="str">
        <f>"10"</f>
        <v>10</v>
      </c>
      <c r="AN271" t="str">
        <f>"500000"</f>
        <v>500000</v>
      </c>
      <c r="AO271" t="str">
        <f>"הכנסות  מלקוחות"</f>
        <v>הכנסות  מלקוחות</v>
      </c>
      <c r="AQ271" t="str">
        <f>"040"</f>
        <v>040</v>
      </c>
      <c r="AR271">
        <v>0</v>
      </c>
      <c r="AS271">
        <v>0</v>
      </c>
      <c r="AT271">
        <v>3.7160000000000002</v>
      </c>
      <c r="AX271" t="str">
        <f>"E000369247"</f>
        <v>E000369247</v>
      </c>
      <c r="BD271" t="str">
        <f>"רחמים זרוק"</f>
        <v>רחמים זרוק</v>
      </c>
    </row>
    <row r="272" spans="1:56" x14ac:dyDescent="0.3">
      <c r="A272" s="1">
        <v>45147</v>
      </c>
      <c r="B272" t="str">
        <f>"SI236001062"</f>
        <v>SI236001062</v>
      </c>
      <c r="C272" t="str">
        <f>"PR23000204"</f>
        <v>PR23000204</v>
      </c>
      <c r="E272" t="str">
        <f>"Y"</f>
        <v>Y</v>
      </c>
      <c r="F272" t="str">
        <f>"חשבוניות מרכזות"</f>
        <v>חשבוניות מרכזות</v>
      </c>
      <c r="G272" t="str">
        <f>"700065"</f>
        <v>700065</v>
      </c>
      <c r="H272" t="str">
        <f>"אלתא מערכות בע""מ"</f>
        <v>אלתא מערכות בע"מ</v>
      </c>
      <c r="I272" t="str">
        <f>"15"</f>
        <v>15</v>
      </c>
      <c r="J272" t="str">
        <f>"OP-AR03557"</f>
        <v>OP-AR03557</v>
      </c>
      <c r="K272" t="str">
        <f>"1032G902-001     CABLE 2W41"</f>
        <v>1032G902-001     CABLE 2W41</v>
      </c>
      <c r="L272">
        <v>2</v>
      </c>
      <c r="M272" t="str">
        <f>"יח"</f>
        <v>יח</v>
      </c>
      <c r="N272">
        <v>2</v>
      </c>
      <c r="O272" t="str">
        <f>"יח"</f>
        <v>יח</v>
      </c>
      <c r="P272">
        <v>396.63</v>
      </c>
      <c r="Q272" t="str">
        <f>"$"</f>
        <v>$</v>
      </c>
      <c r="R272" t="str">
        <f>"הזמנה"</f>
        <v>הזמנה</v>
      </c>
      <c r="S272">
        <v>0</v>
      </c>
      <c r="T272">
        <v>793.26</v>
      </c>
      <c r="U272">
        <v>0</v>
      </c>
      <c r="V272">
        <v>793.26</v>
      </c>
      <c r="W272" t="str">
        <f>"$"</f>
        <v>$</v>
      </c>
      <c r="X272">
        <v>0</v>
      </c>
      <c r="Y272">
        <v>0</v>
      </c>
      <c r="Z272">
        <v>0</v>
      </c>
      <c r="AA272" t="str">
        <f>"Y"</f>
        <v>Y</v>
      </c>
      <c r="AB272" t="str">
        <f>"SO23000138"</f>
        <v>SO23000138</v>
      </c>
      <c r="AC272">
        <v>2</v>
      </c>
      <c r="AD272" s="1">
        <v>44991</v>
      </c>
      <c r="AE272" t="str">
        <f>"SH23001007"</f>
        <v>SH23001007</v>
      </c>
      <c r="AF272" t="str">
        <f>"משלוחים ללקוח"</f>
        <v>משלוחים ללקוח</v>
      </c>
      <c r="AG272" s="1">
        <v>45144</v>
      </c>
      <c r="AM272" t="str">
        <f>"10"</f>
        <v>10</v>
      </c>
      <c r="AN272" t="str">
        <f>"500000"</f>
        <v>500000</v>
      </c>
      <c r="AO272" t="str">
        <f>"הכנסות  מלקוחות"</f>
        <v>הכנסות  מלקוחות</v>
      </c>
      <c r="AQ272" t="str">
        <f>"040"</f>
        <v>040</v>
      </c>
      <c r="AR272">
        <v>0</v>
      </c>
      <c r="AS272">
        <v>0</v>
      </c>
      <c r="AT272">
        <v>3.7160000000000002</v>
      </c>
      <c r="AX272" t="str">
        <f>"E000386580"</f>
        <v>E000386580</v>
      </c>
      <c r="BD272" t="str">
        <f>"רחמים זרוק"</f>
        <v>רחמים זרוק</v>
      </c>
    </row>
    <row r="273" spans="1:56" x14ac:dyDescent="0.3">
      <c r="A273" s="1">
        <v>45147</v>
      </c>
      <c r="B273" t="str">
        <f>"SI236001062"</f>
        <v>SI236001062</v>
      </c>
      <c r="C273" t="str">
        <f>"PR23000204"</f>
        <v>PR23000204</v>
      </c>
      <c r="E273" t="str">
        <f>"Y"</f>
        <v>Y</v>
      </c>
      <c r="F273" t="str">
        <f>"חשבוניות מרכזות"</f>
        <v>חשבוניות מרכזות</v>
      </c>
      <c r="G273" t="str">
        <f>"700065"</f>
        <v>700065</v>
      </c>
      <c r="H273" t="str">
        <f>"אלתא מערכות בע""מ"</f>
        <v>אלתא מערכות בע"מ</v>
      </c>
      <c r="I273" t="str">
        <f>"15"</f>
        <v>15</v>
      </c>
      <c r="J273" t="str">
        <f>"OP-AR03568"</f>
        <v>OP-AR03568</v>
      </c>
      <c r="K273" t="str">
        <f>"1032G913-001     CABLE 2W106"</f>
        <v>1032G913-001     CABLE 2W106</v>
      </c>
      <c r="L273">
        <v>2</v>
      </c>
      <c r="M273" t="str">
        <f>"יח"</f>
        <v>יח</v>
      </c>
      <c r="N273">
        <v>2</v>
      </c>
      <c r="O273" t="str">
        <f>"יח"</f>
        <v>יח</v>
      </c>
      <c r="P273" s="2">
        <v>1051.26</v>
      </c>
      <c r="Q273" t="str">
        <f>"$"</f>
        <v>$</v>
      </c>
      <c r="R273" t="str">
        <f>"הזמנה"</f>
        <v>הזמנה</v>
      </c>
      <c r="S273">
        <v>0</v>
      </c>
      <c r="T273" s="2">
        <v>2102.52</v>
      </c>
      <c r="U273">
        <v>0</v>
      </c>
      <c r="V273" s="2">
        <v>2102.52</v>
      </c>
      <c r="W273" t="str">
        <f>"$"</f>
        <v>$</v>
      </c>
      <c r="X273">
        <v>0</v>
      </c>
      <c r="Y273">
        <v>0</v>
      </c>
      <c r="Z273">
        <v>0</v>
      </c>
      <c r="AA273" t="str">
        <f>"Y"</f>
        <v>Y</v>
      </c>
      <c r="AB273" t="str">
        <f>"SO23000138"</f>
        <v>SO23000138</v>
      </c>
      <c r="AC273">
        <v>13</v>
      </c>
      <c r="AD273" s="1">
        <v>44991</v>
      </c>
      <c r="AE273" t="str">
        <f>"SH23001007"</f>
        <v>SH23001007</v>
      </c>
      <c r="AF273" t="str">
        <f>"משלוחים ללקוח"</f>
        <v>משלוחים ללקוח</v>
      </c>
      <c r="AG273" s="1">
        <v>45144</v>
      </c>
      <c r="AM273" t="str">
        <f>"10"</f>
        <v>10</v>
      </c>
      <c r="AN273" t="str">
        <f>"500000"</f>
        <v>500000</v>
      </c>
      <c r="AO273" t="str">
        <f>"הכנסות  מלקוחות"</f>
        <v>הכנסות  מלקוחות</v>
      </c>
      <c r="AQ273" t="str">
        <f>"040"</f>
        <v>040</v>
      </c>
      <c r="AR273">
        <v>0</v>
      </c>
      <c r="AS273">
        <v>0</v>
      </c>
      <c r="AT273">
        <v>3.7160000000000002</v>
      </c>
      <c r="AX273" t="str">
        <f>"E000386580"</f>
        <v>E000386580</v>
      </c>
      <c r="BD273" t="str">
        <f>"רחמים זרוק"</f>
        <v>רחמים זרוק</v>
      </c>
    </row>
    <row r="274" spans="1:56" x14ac:dyDescent="0.3">
      <c r="A274" s="1">
        <v>45147</v>
      </c>
      <c r="B274" t="str">
        <f>"SI236001062"</f>
        <v>SI236001062</v>
      </c>
      <c r="C274" t="str">
        <f>"PR23000204"</f>
        <v>PR23000204</v>
      </c>
      <c r="E274" t="str">
        <f>"Y"</f>
        <v>Y</v>
      </c>
      <c r="F274" t="str">
        <f>"חשבוניות מרכזות"</f>
        <v>חשבוניות מרכזות</v>
      </c>
      <c r="G274" t="str">
        <f>"700065"</f>
        <v>700065</v>
      </c>
      <c r="H274" t="str">
        <f>"אלתא מערכות בע""מ"</f>
        <v>אלתא מערכות בע"מ</v>
      </c>
      <c r="I274" t="str">
        <f>"15"</f>
        <v>15</v>
      </c>
      <c r="J274" t="str">
        <f>"OP-AR03571"</f>
        <v>OP-AR03571</v>
      </c>
      <c r="K274" t="str">
        <f>"1032G916-001     CABLE 2W002"</f>
        <v>1032G916-001     CABLE 2W002</v>
      </c>
      <c r="L274">
        <v>2</v>
      </c>
      <c r="M274" t="str">
        <f>"יח"</f>
        <v>יח</v>
      </c>
      <c r="N274">
        <v>2</v>
      </c>
      <c r="O274" t="str">
        <f>"יח"</f>
        <v>יח</v>
      </c>
      <c r="P274">
        <v>521.34</v>
      </c>
      <c r="Q274" t="str">
        <f>"$"</f>
        <v>$</v>
      </c>
      <c r="R274" t="str">
        <f>"הזמנה"</f>
        <v>הזמנה</v>
      </c>
      <c r="S274">
        <v>0</v>
      </c>
      <c r="T274" s="2">
        <v>1042.68</v>
      </c>
      <c r="U274">
        <v>0</v>
      </c>
      <c r="V274" s="2">
        <v>1042.68</v>
      </c>
      <c r="W274" t="str">
        <f>"$"</f>
        <v>$</v>
      </c>
      <c r="X274">
        <v>0</v>
      </c>
      <c r="Y274">
        <v>0</v>
      </c>
      <c r="Z274">
        <v>0</v>
      </c>
      <c r="AA274" t="str">
        <f>"Y"</f>
        <v>Y</v>
      </c>
      <c r="AB274" t="str">
        <f>"SO23000138"</f>
        <v>SO23000138</v>
      </c>
      <c r="AC274">
        <v>16</v>
      </c>
      <c r="AD274" s="1">
        <v>44991</v>
      </c>
      <c r="AE274" t="str">
        <f>"SH23001007"</f>
        <v>SH23001007</v>
      </c>
      <c r="AF274" t="str">
        <f>"משלוחים ללקוח"</f>
        <v>משלוחים ללקוח</v>
      </c>
      <c r="AG274" s="1">
        <v>45144</v>
      </c>
      <c r="AM274" t="str">
        <f>"10"</f>
        <v>10</v>
      </c>
      <c r="AN274" t="str">
        <f>"500000"</f>
        <v>500000</v>
      </c>
      <c r="AO274" t="str">
        <f>"הכנסות  מלקוחות"</f>
        <v>הכנסות  מלקוחות</v>
      </c>
      <c r="AQ274" t="str">
        <f>"040"</f>
        <v>040</v>
      </c>
      <c r="AR274">
        <v>0</v>
      </c>
      <c r="AS274">
        <v>0</v>
      </c>
      <c r="AT274">
        <v>3.7160000000000002</v>
      </c>
      <c r="AX274" t="str">
        <f>"E000386580"</f>
        <v>E000386580</v>
      </c>
      <c r="BD274" t="str">
        <f>"רחמים זרוק"</f>
        <v>רחמים זרוק</v>
      </c>
    </row>
    <row r="275" spans="1:56" x14ac:dyDescent="0.3">
      <c r="A275" s="1">
        <v>45147</v>
      </c>
      <c r="B275" t="str">
        <f>"SI236001062"</f>
        <v>SI236001062</v>
      </c>
      <c r="C275" t="str">
        <f>"PR23000204"</f>
        <v>PR23000204</v>
      </c>
      <c r="E275" t="str">
        <f>"Y"</f>
        <v>Y</v>
      </c>
      <c r="F275" t="str">
        <f>"חשבוניות מרכזות"</f>
        <v>חשבוניות מרכזות</v>
      </c>
      <c r="G275" t="str">
        <f>"700065"</f>
        <v>700065</v>
      </c>
      <c r="H275" t="str">
        <f>"אלתא מערכות בע""מ"</f>
        <v>אלתא מערכות בע"מ</v>
      </c>
      <c r="I275" t="str">
        <f>"15"</f>
        <v>15</v>
      </c>
      <c r="J275" t="str">
        <f>"OP-AR03575"</f>
        <v>OP-AR03575</v>
      </c>
      <c r="K275" t="str">
        <f>"1032G920-001     CABLE 2W109"</f>
        <v>1032G920-001     CABLE 2W109</v>
      </c>
      <c r="L275">
        <v>2</v>
      </c>
      <c r="M275" t="str">
        <f>"יח"</f>
        <v>יח</v>
      </c>
      <c r="N275">
        <v>2</v>
      </c>
      <c r="O275" t="str">
        <f>"יח"</f>
        <v>יח</v>
      </c>
      <c r="P275">
        <v>204.23</v>
      </c>
      <c r="Q275" t="str">
        <f>"$"</f>
        <v>$</v>
      </c>
      <c r="R275" t="str">
        <f>"הזמנה"</f>
        <v>הזמנה</v>
      </c>
      <c r="S275">
        <v>0</v>
      </c>
      <c r="T275">
        <v>408.46</v>
      </c>
      <c r="U275">
        <v>0</v>
      </c>
      <c r="V275">
        <v>408.46</v>
      </c>
      <c r="W275" t="str">
        <f>"$"</f>
        <v>$</v>
      </c>
      <c r="X275">
        <v>0</v>
      </c>
      <c r="Y275">
        <v>0</v>
      </c>
      <c r="Z275">
        <v>0</v>
      </c>
      <c r="AA275" t="str">
        <f>"Y"</f>
        <v>Y</v>
      </c>
      <c r="AB275" t="str">
        <f>"SO23000138"</f>
        <v>SO23000138</v>
      </c>
      <c r="AC275">
        <v>20</v>
      </c>
      <c r="AD275" s="1">
        <v>44991</v>
      </c>
      <c r="AE275" t="str">
        <f>"SH23001007"</f>
        <v>SH23001007</v>
      </c>
      <c r="AF275" t="str">
        <f>"משלוחים ללקוח"</f>
        <v>משלוחים ללקוח</v>
      </c>
      <c r="AG275" s="1">
        <v>45144</v>
      </c>
      <c r="AM275" t="str">
        <f>"10"</f>
        <v>10</v>
      </c>
      <c r="AN275" t="str">
        <f>"500000"</f>
        <v>500000</v>
      </c>
      <c r="AO275" t="str">
        <f>"הכנסות  מלקוחות"</f>
        <v>הכנסות  מלקוחות</v>
      </c>
      <c r="AQ275" t="str">
        <f>"040"</f>
        <v>040</v>
      </c>
      <c r="AR275">
        <v>0</v>
      </c>
      <c r="AS275">
        <v>0</v>
      </c>
      <c r="AT275">
        <v>3.7160000000000002</v>
      </c>
      <c r="AX275" t="str">
        <f>"E000386580"</f>
        <v>E000386580</v>
      </c>
      <c r="BD275" t="str">
        <f>"רחמים זרוק"</f>
        <v>רחמים זרוק</v>
      </c>
    </row>
    <row r="276" spans="1:56" x14ac:dyDescent="0.3">
      <c r="A276" s="1">
        <v>45147</v>
      </c>
      <c r="B276" t="str">
        <f>"SI236001061"</f>
        <v>SI236001061</v>
      </c>
      <c r="C276" t="str">
        <f>"PR22000911"</f>
        <v>PR22000911</v>
      </c>
      <c r="E276" t="str">
        <f>"Y"</f>
        <v>Y</v>
      </c>
      <c r="F276" t="str">
        <f>"חשבוניות מרכזות"</f>
        <v>חשבוניות מרכזות</v>
      </c>
      <c r="G276" t="str">
        <f>"700065"</f>
        <v>700065</v>
      </c>
      <c r="H276" t="str">
        <f>"אלתא מערכות בע""מ"</f>
        <v>אלתא מערכות בע"מ</v>
      </c>
      <c r="I276" t="str">
        <f>"15"</f>
        <v>15</v>
      </c>
      <c r="J276" t="str">
        <f>"OP-AR02196"</f>
        <v>OP-AR02196</v>
      </c>
      <c r="K276" t="str">
        <f>"2120B094-001   CABLE ASSY WGPM"</f>
        <v>2120B094-001   CABLE ASSY WGPM</v>
      </c>
      <c r="L276">
        <v>1</v>
      </c>
      <c r="M276" t="str">
        <f>"יח"</f>
        <v>יח</v>
      </c>
      <c r="N276">
        <v>1</v>
      </c>
      <c r="O276" t="str">
        <f>"יח"</f>
        <v>יח</v>
      </c>
      <c r="P276">
        <v>659.61</v>
      </c>
      <c r="Q276" t="str">
        <f>"$"</f>
        <v>$</v>
      </c>
      <c r="R276" t="str">
        <f>"הזמנה"</f>
        <v>הזמנה</v>
      </c>
      <c r="S276">
        <v>0</v>
      </c>
      <c r="T276">
        <v>659.61</v>
      </c>
      <c r="U276">
        <v>0</v>
      </c>
      <c r="V276">
        <v>659.61</v>
      </c>
      <c r="W276" t="str">
        <f>"$"</f>
        <v>$</v>
      </c>
      <c r="X276">
        <v>0</v>
      </c>
      <c r="Y276">
        <v>0</v>
      </c>
      <c r="Z276">
        <v>0</v>
      </c>
      <c r="AA276" t="str">
        <f>"Y"</f>
        <v>Y</v>
      </c>
      <c r="AB276" t="str">
        <f>"SO22000476"</f>
        <v>SO22000476</v>
      </c>
      <c r="AC276">
        <v>3</v>
      </c>
      <c r="AD276" s="1">
        <v>44917</v>
      </c>
      <c r="AE276" t="str">
        <f>"SH23001005"</f>
        <v>SH23001005</v>
      </c>
      <c r="AF276" t="str">
        <f>"משלוחים ללקוח"</f>
        <v>משלוחים ללקוח</v>
      </c>
      <c r="AG276" s="1">
        <v>45144</v>
      </c>
      <c r="AM276" t="str">
        <f>"10"</f>
        <v>10</v>
      </c>
      <c r="AN276" t="str">
        <f>"500000"</f>
        <v>500000</v>
      </c>
      <c r="AO276" t="str">
        <f>"הכנסות  מלקוחות"</f>
        <v>הכנסות  מלקוחות</v>
      </c>
      <c r="AQ276" t="str">
        <f>"040"</f>
        <v>040</v>
      </c>
      <c r="AR276">
        <v>0</v>
      </c>
      <c r="AS276">
        <v>0</v>
      </c>
      <c r="AT276">
        <v>3.7160000000000002</v>
      </c>
      <c r="AX276" t="str">
        <f>"E000381315"</f>
        <v>E000381315</v>
      </c>
      <c r="BD276" t="str">
        <f>"רחמים זרוק"</f>
        <v>רחמים זרוק</v>
      </c>
    </row>
    <row r="277" spans="1:56" x14ac:dyDescent="0.3">
      <c r="A277" s="1">
        <v>45147</v>
      </c>
      <c r="B277" t="str">
        <f>"SI236001060"</f>
        <v>SI236001060</v>
      </c>
      <c r="C277" t="str">
        <f>"PR22000329"</f>
        <v>PR22000329</v>
      </c>
      <c r="D277" t="str">
        <f>"PR23000329"</f>
        <v>PR23000329</v>
      </c>
      <c r="E277" t="str">
        <f>"Y"</f>
        <v>Y</v>
      </c>
      <c r="F277" t="str">
        <f>"חשבוניות מרכזות"</f>
        <v>חשבוניות מרכזות</v>
      </c>
      <c r="G277" t="str">
        <f>"700065"</f>
        <v>700065</v>
      </c>
      <c r="H277" t="str">
        <f>"אלתא מערכות בע""מ"</f>
        <v>אלתא מערכות בע"מ</v>
      </c>
      <c r="I277" t="str">
        <f>"15"</f>
        <v>15</v>
      </c>
      <c r="J277" t="str">
        <f>"OP-AR03155"</f>
        <v>OP-AR03155</v>
      </c>
      <c r="K277" t="str">
        <f>"1021M777-002    CABLE ASSY W8"</f>
        <v>1021M777-002    CABLE ASSY W8</v>
      </c>
      <c r="L277">
        <v>2</v>
      </c>
      <c r="M277" t="str">
        <f>"יח"</f>
        <v>יח</v>
      </c>
      <c r="N277">
        <v>2</v>
      </c>
      <c r="O277" t="str">
        <f>"יח"</f>
        <v>יח</v>
      </c>
      <c r="P277">
        <v>247.76</v>
      </c>
      <c r="Q277" t="str">
        <f>"$"</f>
        <v>$</v>
      </c>
      <c r="R277" t="str">
        <f>"הזמנה"</f>
        <v>הזמנה</v>
      </c>
      <c r="S277">
        <v>0</v>
      </c>
      <c r="T277">
        <v>495.52</v>
      </c>
      <c r="U277">
        <v>0</v>
      </c>
      <c r="V277">
        <v>495.52</v>
      </c>
      <c r="W277" t="str">
        <f>"$"</f>
        <v>$</v>
      </c>
      <c r="X277">
        <v>0</v>
      </c>
      <c r="Y277">
        <v>0</v>
      </c>
      <c r="Z277">
        <v>0</v>
      </c>
      <c r="AA277" t="str">
        <f>"Y"</f>
        <v>Y</v>
      </c>
      <c r="AB277" t="str">
        <f>"SO23000235"</f>
        <v>SO23000235</v>
      </c>
      <c r="AC277">
        <v>21</v>
      </c>
      <c r="AD277" s="1">
        <v>45061</v>
      </c>
      <c r="AE277" t="str">
        <f>"SH23001003"</f>
        <v>SH23001003</v>
      </c>
      <c r="AF277" t="str">
        <f>"משלוחים ללקוח"</f>
        <v>משלוחים ללקוח</v>
      </c>
      <c r="AG277" s="1">
        <v>45144</v>
      </c>
      <c r="AM277" t="str">
        <f>"10"</f>
        <v>10</v>
      </c>
      <c r="AN277" t="str">
        <f>"500000"</f>
        <v>500000</v>
      </c>
      <c r="AO277" t="str">
        <f>"הכנסות  מלקוחות"</f>
        <v>הכנסות  מלקוחות</v>
      </c>
      <c r="AQ277" t="str">
        <f>"040"</f>
        <v>040</v>
      </c>
      <c r="AR277">
        <v>0</v>
      </c>
      <c r="AS277">
        <v>0</v>
      </c>
      <c r="AT277">
        <v>3.7160000000000002</v>
      </c>
      <c r="AX277" t="str">
        <f>"E000392546"</f>
        <v>E000392546</v>
      </c>
      <c r="BD277" t="str">
        <f>"רחמים זרוק"</f>
        <v>רחמים זרוק</v>
      </c>
    </row>
    <row r="278" spans="1:56" x14ac:dyDescent="0.3">
      <c r="A278" s="1">
        <v>45147</v>
      </c>
      <c r="B278" t="str">
        <f>"SI236001060"</f>
        <v>SI236001060</v>
      </c>
      <c r="C278" t="str">
        <f>"PR22000329"</f>
        <v>PR22000329</v>
      </c>
      <c r="D278" t="str">
        <f>"PR23000329"</f>
        <v>PR23000329</v>
      </c>
      <c r="E278" t="str">
        <f>"Y"</f>
        <v>Y</v>
      </c>
      <c r="F278" t="str">
        <f>"חשבוניות מרכזות"</f>
        <v>חשבוניות מרכזות</v>
      </c>
      <c r="G278" t="str">
        <f>"700065"</f>
        <v>700065</v>
      </c>
      <c r="H278" t="str">
        <f>"אלתא מערכות בע""מ"</f>
        <v>אלתא מערכות בע"מ</v>
      </c>
      <c r="I278" t="str">
        <f>"15"</f>
        <v>15</v>
      </c>
      <c r="J278" t="str">
        <f>"OP-AR03155"</f>
        <v>OP-AR03155</v>
      </c>
      <c r="K278" t="str">
        <f>"1021M777-002    CABLE ASSY W8"</f>
        <v>1021M777-002    CABLE ASSY W8</v>
      </c>
      <c r="L278">
        <v>4</v>
      </c>
      <c r="M278" t="str">
        <f>"יח"</f>
        <v>יח</v>
      </c>
      <c r="N278">
        <v>4</v>
      </c>
      <c r="O278" t="str">
        <f>"יח"</f>
        <v>יח</v>
      </c>
      <c r="P278">
        <v>247.76</v>
      </c>
      <c r="Q278" t="str">
        <f>"$"</f>
        <v>$</v>
      </c>
      <c r="R278" t="str">
        <f>"הזמנה"</f>
        <v>הזמנה</v>
      </c>
      <c r="S278">
        <v>0</v>
      </c>
      <c r="T278">
        <v>991.04</v>
      </c>
      <c r="U278">
        <v>0</v>
      </c>
      <c r="V278">
        <v>991.04</v>
      </c>
      <c r="W278" t="str">
        <f>"$"</f>
        <v>$</v>
      </c>
      <c r="X278">
        <v>0</v>
      </c>
      <c r="Y278">
        <v>0</v>
      </c>
      <c r="Z278">
        <v>0</v>
      </c>
      <c r="AA278" t="str">
        <f>"Y"</f>
        <v>Y</v>
      </c>
      <c r="AB278" t="str">
        <f>"SO23000235"</f>
        <v>SO23000235</v>
      </c>
      <c r="AC278">
        <v>22</v>
      </c>
      <c r="AD278" s="1">
        <v>45061</v>
      </c>
      <c r="AE278" t="str">
        <f>"SH23001003"</f>
        <v>SH23001003</v>
      </c>
      <c r="AF278" t="str">
        <f>"משלוחים ללקוח"</f>
        <v>משלוחים ללקוח</v>
      </c>
      <c r="AG278" s="1">
        <v>45144</v>
      </c>
      <c r="AM278" t="str">
        <f>"10"</f>
        <v>10</v>
      </c>
      <c r="AN278" t="str">
        <f>"500000"</f>
        <v>500000</v>
      </c>
      <c r="AO278" t="str">
        <f>"הכנסות  מלקוחות"</f>
        <v>הכנסות  מלקוחות</v>
      </c>
      <c r="AQ278" t="str">
        <f>"040"</f>
        <v>040</v>
      </c>
      <c r="AR278">
        <v>0</v>
      </c>
      <c r="AS278">
        <v>0</v>
      </c>
      <c r="AT278">
        <v>3.7160000000000002</v>
      </c>
      <c r="AX278" t="str">
        <f>"E000392546"</f>
        <v>E000392546</v>
      </c>
      <c r="BD278" t="str">
        <f>"רחמים זרוק"</f>
        <v>רחמים זרוק</v>
      </c>
    </row>
    <row r="279" spans="1:56" x14ac:dyDescent="0.3">
      <c r="A279" s="1">
        <v>45147</v>
      </c>
      <c r="B279" t="str">
        <f>"SI236001060"</f>
        <v>SI236001060</v>
      </c>
      <c r="C279" t="str">
        <f>"PR22000329"</f>
        <v>PR22000329</v>
      </c>
      <c r="D279" t="str">
        <f>"PR23000329"</f>
        <v>PR23000329</v>
      </c>
      <c r="E279" t="str">
        <f>"Y"</f>
        <v>Y</v>
      </c>
      <c r="F279" t="str">
        <f>"חשבוניות מרכזות"</f>
        <v>חשבוניות מרכזות</v>
      </c>
      <c r="G279" t="str">
        <f>"700065"</f>
        <v>700065</v>
      </c>
      <c r="H279" t="str">
        <f>"אלתא מערכות בע""מ"</f>
        <v>אלתא מערכות בע"מ</v>
      </c>
      <c r="I279" t="str">
        <f>"15"</f>
        <v>15</v>
      </c>
      <c r="J279" t="str">
        <f>"OP-AR03155"</f>
        <v>OP-AR03155</v>
      </c>
      <c r="K279" t="str">
        <f>"1021M777-002    CABLE ASSY W8"</f>
        <v>1021M777-002    CABLE ASSY W8</v>
      </c>
      <c r="L279">
        <v>1</v>
      </c>
      <c r="M279" t="str">
        <f>"יח"</f>
        <v>יח</v>
      </c>
      <c r="N279">
        <v>1</v>
      </c>
      <c r="O279" t="str">
        <f>"יח"</f>
        <v>יח</v>
      </c>
      <c r="P279">
        <v>247.76</v>
      </c>
      <c r="Q279" t="str">
        <f>"$"</f>
        <v>$</v>
      </c>
      <c r="R279" t="str">
        <f>"הזמנה"</f>
        <v>הזמנה</v>
      </c>
      <c r="S279">
        <v>0</v>
      </c>
      <c r="T279">
        <v>247.76</v>
      </c>
      <c r="U279">
        <v>0</v>
      </c>
      <c r="V279">
        <v>247.76</v>
      </c>
      <c r="W279" t="str">
        <f>"$"</f>
        <v>$</v>
      </c>
      <c r="X279">
        <v>0</v>
      </c>
      <c r="Y279">
        <v>0</v>
      </c>
      <c r="Z279">
        <v>0</v>
      </c>
      <c r="AA279" t="str">
        <f>"Y"</f>
        <v>Y</v>
      </c>
      <c r="AB279" t="str">
        <f>"SO23000235"</f>
        <v>SO23000235</v>
      </c>
      <c r="AC279">
        <v>23</v>
      </c>
      <c r="AD279" s="1">
        <v>45061</v>
      </c>
      <c r="AE279" t="str">
        <f>"SH23001003"</f>
        <v>SH23001003</v>
      </c>
      <c r="AF279" t="str">
        <f>"משלוחים ללקוח"</f>
        <v>משלוחים ללקוח</v>
      </c>
      <c r="AG279" s="1">
        <v>45144</v>
      </c>
      <c r="AM279" t="str">
        <f>"10"</f>
        <v>10</v>
      </c>
      <c r="AN279" t="str">
        <f>"500000"</f>
        <v>500000</v>
      </c>
      <c r="AO279" t="str">
        <f>"הכנסות  מלקוחות"</f>
        <v>הכנסות  מלקוחות</v>
      </c>
      <c r="AQ279" t="str">
        <f>"040"</f>
        <v>040</v>
      </c>
      <c r="AR279">
        <v>0</v>
      </c>
      <c r="AS279">
        <v>0</v>
      </c>
      <c r="AT279">
        <v>3.7160000000000002</v>
      </c>
      <c r="AX279" t="str">
        <f>"E000392546"</f>
        <v>E000392546</v>
      </c>
      <c r="BD279" t="str">
        <f>"רחמים זרוק"</f>
        <v>רחמים זרוק</v>
      </c>
    </row>
    <row r="280" spans="1:56" x14ac:dyDescent="0.3">
      <c r="A280" s="1">
        <v>45147</v>
      </c>
      <c r="B280" t="str">
        <f>"SI236001059"</f>
        <v>SI236001059</v>
      </c>
      <c r="C280" t="str">
        <f>"PR23000317"</f>
        <v>PR23000317</v>
      </c>
      <c r="E280" t="str">
        <f>"Y"</f>
        <v>Y</v>
      </c>
      <c r="F280" t="str">
        <f>"חשבוניות מרכזות"</f>
        <v>חשבוניות מרכזות</v>
      </c>
      <c r="G280" t="str">
        <f>"700065"</f>
        <v>700065</v>
      </c>
      <c r="H280" t="str">
        <f>"אלתא מערכות בע""מ"</f>
        <v>אלתא מערכות בע"מ</v>
      </c>
      <c r="I280" t="str">
        <f>"15"</f>
        <v>15</v>
      </c>
      <c r="J280" t="str">
        <f>"OP-AR03633"</f>
        <v>OP-AR03633</v>
      </c>
      <c r="K280" t="str">
        <f>"1023R750-001    MOTOR POWER CABLE"</f>
        <v>1023R750-001    MOTOR POWER CABLE</v>
      </c>
      <c r="L280">
        <v>1</v>
      </c>
      <c r="M280" t="str">
        <f>"יח"</f>
        <v>יח</v>
      </c>
      <c r="N280">
        <v>1</v>
      </c>
      <c r="O280" t="str">
        <f>"יח"</f>
        <v>יח</v>
      </c>
      <c r="P280">
        <v>575.36</v>
      </c>
      <c r="Q280" t="str">
        <f>"$"</f>
        <v>$</v>
      </c>
      <c r="R280" t="str">
        <f>"הזמנה"</f>
        <v>הזמנה</v>
      </c>
      <c r="S280">
        <v>0</v>
      </c>
      <c r="T280">
        <v>575.36</v>
      </c>
      <c r="U280">
        <v>0</v>
      </c>
      <c r="V280">
        <v>575.36</v>
      </c>
      <c r="W280" t="str">
        <f>"$"</f>
        <v>$</v>
      </c>
      <c r="X280">
        <v>0</v>
      </c>
      <c r="Y280">
        <v>0</v>
      </c>
      <c r="Z280">
        <v>0</v>
      </c>
      <c r="AA280" t="str">
        <f>"Y"</f>
        <v>Y</v>
      </c>
      <c r="AB280" t="str">
        <f>"SO23000226"</f>
        <v>SO23000226</v>
      </c>
      <c r="AC280">
        <v>9</v>
      </c>
      <c r="AD280" s="1">
        <v>45054</v>
      </c>
      <c r="AE280" t="str">
        <f>"SH23001010"</f>
        <v>SH23001010</v>
      </c>
      <c r="AF280" t="str">
        <f>"משלוחים ללקוח"</f>
        <v>משלוחים ללקוח</v>
      </c>
      <c r="AG280" s="1">
        <v>45144</v>
      </c>
      <c r="AM280" t="str">
        <f>"10"</f>
        <v>10</v>
      </c>
      <c r="AN280" t="str">
        <f>"500000"</f>
        <v>500000</v>
      </c>
      <c r="AO280" t="str">
        <f>"הכנסות  מלקוחות"</f>
        <v>הכנסות  מלקוחות</v>
      </c>
      <c r="AQ280" t="str">
        <f>"040"</f>
        <v>040</v>
      </c>
      <c r="AR280">
        <v>0</v>
      </c>
      <c r="AS280">
        <v>0</v>
      </c>
      <c r="AT280">
        <v>3.7160000000000002</v>
      </c>
      <c r="AX280" t="str">
        <f>"E000393606"</f>
        <v>E000393606</v>
      </c>
      <c r="BD280" t="str">
        <f>"רחמים זרוק"</f>
        <v>רחמים זרוק</v>
      </c>
    </row>
    <row r="281" spans="1:56" x14ac:dyDescent="0.3">
      <c r="A281" s="1">
        <v>45147</v>
      </c>
      <c r="B281" t="str">
        <f>"SI236001058"</f>
        <v>SI236001058</v>
      </c>
      <c r="C281" t="str">
        <f>"PR22000823"</f>
        <v>PR22000823</v>
      </c>
      <c r="E281" t="str">
        <f>"Y"</f>
        <v>Y</v>
      </c>
      <c r="F281" t="str">
        <f>"חשבוניות מרכזות"</f>
        <v>חשבוניות מרכזות</v>
      </c>
      <c r="G281" t="str">
        <f>"700065"</f>
        <v>700065</v>
      </c>
      <c r="H281" t="str">
        <f>"אלתא מערכות בע""מ"</f>
        <v>אלתא מערכות בע"מ</v>
      </c>
      <c r="I281" t="str">
        <f>"15"</f>
        <v>15</v>
      </c>
      <c r="J281" t="str">
        <f>"OP-AR03398"</f>
        <v>OP-AR03398</v>
      </c>
      <c r="K281" t="str">
        <f>"1032F134-001    HARNESS WL134 - RECTIFIER INPUT AC VOLT"</f>
        <v>1032F134-001    HARNESS WL134 - RECTIFIER INPUT AC VOLT</v>
      </c>
      <c r="L281">
        <v>3</v>
      </c>
      <c r="M281" t="str">
        <f>"יח"</f>
        <v>יח</v>
      </c>
      <c r="N281">
        <v>3</v>
      </c>
      <c r="O281" t="str">
        <f>"יח"</f>
        <v>יח</v>
      </c>
      <c r="P281">
        <v>605.91</v>
      </c>
      <c r="Q281" t="str">
        <f>"$"</f>
        <v>$</v>
      </c>
      <c r="R281" t="str">
        <f>"הזמנה"</f>
        <v>הזמנה</v>
      </c>
      <c r="S281">
        <v>0</v>
      </c>
      <c r="T281" s="2">
        <v>1817.73</v>
      </c>
      <c r="U281">
        <v>0</v>
      </c>
      <c r="V281" s="2">
        <v>1817.73</v>
      </c>
      <c r="W281" t="str">
        <f>"$"</f>
        <v>$</v>
      </c>
      <c r="X281">
        <v>0</v>
      </c>
      <c r="Y281">
        <v>0</v>
      </c>
      <c r="Z281">
        <v>0</v>
      </c>
      <c r="AA281" t="str">
        <f>"Y"</f>
        <v>Y</v>
      </c>
      <c r="AB281" t="str">
        <f>"SO22000425"</f>
        <v>SO22000425</v>
      </c>
      <c r="AC281">
        <v>1</v>
      </c>
      <c r="AD281" s="1">
        <v>44892</v>
      </c>
      <c r="AE281" t="str">
        <f>"SH23001004"</f>
        <v>SH23001004</v>
      </c>
      <c r="AF281" t="str">
        <f>"משלוחים ללקוח"</f>
        <v>משלוחים ללקוח</v>
      </c>
      <c r="AG281" s="1">
        <v>45144</v>
      </c>
      <c r="AM281" t="str">
        <f>"10"</f>
        <v>10</v>
      </c>
      <c r="AN281" t="str">
        <f>"500000"</f>
        <v>500000</v>
      </c>
      <c r="AO281" t="str">
        <f>"הכנסות  מלקוחות"</f>
        <v>הכנסות  מלקוחות</v>
      </c>
      <c r="AQ281" t="str">
        <f>"040"</f>
        <v>040</v>
      </c>
      <c r="AR281">
        <v>0</v>
      </c>
      <c r="AS281">
        <v>0</v>
      </c>
      <c r="AT281">
        <v>3.7160000000000002</v>
      </c>
      <c r="AX281" t="str">
        <f>"E000375293"</f>
        <v>E000375293</v>
      </c>
      <c r="BD281" t="str">
        <f>"רחמים זרוק"</f>
        <v>רחמים זרוק</v>
      </c>
    </row>
    <row r="282" spans="1:56" x14ac:dyDescent="0.3">
      <c r="A282" s="1">
        <v>45147</v>
      </c>
      <c r="B282" t="str">
        <f>"SI236001057"</f>
        <v>SI236001057</v>
      </c>
      <c r="C282" t="str">
        <f>"PR23000077"</f>
        <v>PR23000077</v>
      </c>
      <c r="D282" t="str">
        <f>"PR23000077"</f>
        <v>PR23000077</v>
      </c>
      <c r="E282" t="str">
        <f>"Y"</f>
        <v>Y</v>
      </c>
      <c r="F282" t="str">
        <f>"חשבוניות מרכזות"</f>
        <v>חשבוניות מרכזות</v>
      </c>
      <c r="G282" t="str">
        <f>"700065"</f>
        <v>700065</v>
      </c>
      <c r="H282" t="str">
        <f>"אלתא מערכות בע""מ"</f>
        <v>אלתא מערכות בע"מ</v>
      </c>
      <c r="I282" t="str">
        <f>"15"</f>
        <v>15</v>
      </c>
      <c r="J282" t="str">
        <f>"OP-AR03543"</f>
        <v>OP-AR03543</v>
      </c>
      <c r="K282" t="str">
        <f>"1032M705-002    LDE POWER CABLE J7"</f>
        <v>1032M705-002    LDE POWER CABLE J7</v>
      </c>
      <c r="L282">
        <v>3</v>
      </c>
      <c r="M282" t="str">
        <f>"יח"</f>
        <v>יח</v>
      </c>
      <c r="N282">
        <v>3</v>
      </c>
      <c r="O282" t="str">
        <f>"יח"</f>
        <v>יח</v>
      </c>
      <c r="P282">
        <v>217.85</v>
      </c>
      <c r="Q282" t="str">
        <f>"$"</f>
        <v>$</v>
      </c>
      <c r="R282" t="str">
        <f>"הזמנה"</f>
        <v>הזמנה</v>
      </c>
      <c r="S282">
        <v>0</v>
      </c>
      <c r="T282">
        <v>653.54999999999995</v>
      </c>
      <c r="U282">
        <v>0</v>
      </c>
      <c r="V282">
        <v>653.54999999999995</v>
      </c>
      <c r="W282" t="str">
        <f>"$"</f>
        <v>$</v>
      </c>
      <c r="X282">
        <v>0</v>
      </c>
      <c r="Y282">
        <v>0</v>
      </c>
      <c r="Z282">
        <v>0</v>
      </c>
      <c r="AA282" t="str">
        <f>"Y"</f>
        <v>Y</v>
      </c>
      <c r="AB282" t="str">
        <f>"SO23000048"</f>
        <v>SO23000048</v>
      </c>
      <c r="AC282">
        <v>4</v>
      </c>
      <c r="AD282" s="1">
        <v>44944</v>
      </c>
      <c r="AE282" t="str">
        <f>"SH23001006"</f>
        <v>SH23001006</v>
      </c>
      <c r="AF282" t="str">
        <f>"משלוחים ללקוח"</f>
        <v>משלוחים ללקוח</v>
      </c>
      <c r="AG282" s="1">
        <v>45144</v>
      </c>
      <c r="AM282" t="str">
        <f>"10"</f>
        <v>10</v>
      </c>
      <c r="AN282" t="str">
        <f>"500000"</f>
        <v>500000</v>
      </c>
      <c r="AO282" t="str">
        <f>"הכנסות  מלקוחות"</f>
        <v>הכנסות  מלקוחות</v>
      </c>
      <c r="AQ282" t="str">
        <f>"040"</f>
        <v>040</v>
      </c>
      <c r="AR282">
        <v>0</v>
      </c>
      <c r="AS282">
        <v>0</v>
      </c>
      <c r="AT282">
        <v>3.7160000000000002</v>
      </c>
      <c r="AX282" t="str">
        <f>"E000383715"</f>
        <v>E000383715</v>
      </c>
      <c r="BD282" t="str">
        <f>"רחמים זרוק"</f>
        <v>רחמים זרוק</v>
      </c>
    </row>
    <row r="283" spans="1:56" x14ac:dyDescent="0.3">
      <c r="A283" s="1">
        <v>45147</v>
      </c>
      <c r="B283" t="str">
        <f>"SI236001057"</f>
        <v>SI236001057</v>
      </c>
      <c r="C283" t="str">
        <f>"PR23000077"</f>
        <v>PR23000077</v>
      </c>
      <c r="D283" t="str">
        <f>"PR23000077"</f>
        <v>PR23000077</v>
      </c>
      <c r="E283" t="str">
        <f>"Y"</f>
        <v>Y</v>
      </c>
      <c r="F283" t="str">
        <f>"חשבוניות מרכזות"</f>
        <v>חשבוניות מרכזות</v>
      </c>
      <c r="G283" t="str">
        <f>"700065"</f>
        <v>700065</v>
      </c>
      <c r="H283" t="str">
        <f>"אלתא מערכות בע""מ"</f>
        <v>אלתא מערכות בע"מ</v>
      </c>
      <c r="I283" t="str">
        <f>"15"</f>
        <v>15</v>
      </c>
      <c r="J283" t="str">
        <f>"OP-AR03544"</f>
        <v>OP-AR03544</v>
      </c>
      <c r="K283" t="str">
        <f>"1032M707-002    LDE POWER CABLE J8"</f>
        <v>1032M707-002    LDE POWER CABLE J8</v>
      </c>
      <c r="L283">
        <v>3</v>
      </c>
      <c r="M283" t="str">
        <f>"יח"</f>
        <v>יח</v>
      </c>
      <c r="N283">
        <v>3</v>
      </c>
      <c r="O283" t="str">
        <f>"יח"</f>
        <v>יח</v>
      </c>
      <c r="P283">
        <v>221.09</v>
      </c>
      <c r="Q283" t="str">
        <f>"$"</f>
        <v>$</v>
      </c>
      <c r="R283" t="str">
        <f>"הזמנה"</f>
        <v>הזמנה</v>
      </c>
      <c r="S283">
        <v>0</v>
      </c>
      <c r="T283">
        <v>663.27</v>
      </c>
      <c r="U283">
        <v>0</v>
      </c>
      <c r="V283">
        <v>663.27</v>
      </c>
      <c r="W283" t="str">
        <f>"$"</f>
        <v>$</v>
      </c>
      <c r="X283">
        <v>0</v>
      </c>
      <c r="Y283">
        <v>0</v>
      </c>
      <c r="Z283">
        <v>0</v>
      </c>
      <c r="AA283" t="str">
        <f>"Y"</f>
        <v>Y</v>
      </c>
      <c r="AB283" t="str">
        <f>"SO23000048"</f>
        <v>SO23000048</v>
      </c>
      <c r="AC283">
        <v>5</v>
      </c>
      <c r="AD283" s="1">
        <v>44944</v>
      </c>
      <c r="AE283" t="str">
        <f>"SH23001006"</f>
        <v>SH23001006</v>
      </c>
      <c r="AF283" t="str">
        <f>"משלוחים ללקוח"</f>
        <v>משלוחים ללקוח</v>
      </c>
      <c r="AG283" s="1">
        <v>45144</v>
      </c>
      <c r="AM283" t="str">
        <f>"10"</f>
        <v>10</v>
      </c>
      <c r="AN283" t="str">
        <f>"500000"</f>
        <v>500000</v>
      </c>
      <c r="AO283" t="str">
        <f>"הכנסות  מלקוחות"</f>
        <v>הכנסות  מלקוחות</v>
      </c>
      <c r="AQ283" t="str">
        <f>"040"</f>
        <v>040</v>
      </c>
      <c r="AR283">
        <v>0</v>
      </c>
      <c r="AS283">
        <v>0</v>
      </c>
      <c r="AT283">
        <v>3.7160000000000002</v>
      </c>
      <c r="AX283" t="str">
        <f>"E000383715"</f>
        <v>E000383715</v>
      </c>
      <c r="BD283" t="str">
        <f>"רחמים זרוק"</f>
        <v>רחמים זרוק</v>
      </c>
    </row>
    <row r="284" spans="1:56" x14ac:dyDescent="0.3">
      <c r="A284" s="1">
        <v>45147</v>
      </c>
      <c r="B284" t="str">
        <f>"SI236001056"</f>
        <v>SI236001056</v>
      </c>
      <c r="C284" t="str">
        <f>"PR23000315"</f>
        <v>PR23000315</v>
      </c>
      <c r="D284" t="str">
        <f>"PR23000315"</f>
        <v>PR23000315</v>
      </c>
      <c r="E284" t="str">
        <f>"Y"</f>
        <v>Y</v>
      </c>
      <c r="F284" t="str">
        <f>"חשבוניות מרכזות"</f>
        <v>חשבוניות מרכזות</v>
      </c>
      <c r="G284" t="str">
        <f>"700065"</f>
        <v>700065</v>
      </c>
      <c r="H284" t="str">
        <f>"אלתא מערכות בע""מ"</f>
        <v>אלתא מערכות בע"מ</v>
      </c>
      <c r="I284" t="str">
        <f>"15"</f>
        <v>15</v>
      </c>
      <c r="J284" t="str">
        <f>"OP-AR03627"</f>
        <v>OP-AR03627</v>
      </c>
      <c r="K284" t="str">
        <f>"9001J265-001    HARNESS WML 21 - DC POWER IN TO LRP"</f>
        <v>9001J265-001    HARNESS WML 21 - DC POWER IN TO LRP</v>
      </c>
      <c r="L284">
        <v>1</v>
      </c>
      <c r="M284" t="str">
        <f>"יח"</f>
        <v>יח</v>
      </c>
      <c r="N284">
        <v>1</v>
      </c>
      <c r="O284" t="str">
        <f>"יח"</f>
        <v>יח</v>
      </c>
      <c r="P284">
        <v>872.36</v>
      </c>
      <c r="Q284" t="str">
        <f>"$"</f>
        <v>$</v>
      </c>
      <c r="R284" t="str">
        <f>"הזמנה"</f>
        <v>הזמנה</v>
      </c>
      <c r="S284">
        <v>0</v>
      </c>
      <c r="T284">
        <v>872.36</v>
      </c>
      <c r="U284">
        <v>0</v>
      </c>
      <c r="V284">
        <v>872.36</v>
      </c>
      <c r="W284" t="str">
        <f>"$"</f>
        <v>$</v>
      </c>
      <c r="X284">
        <v>0</v>
      </c>
      <c r="Y284">
        <v>0</v>
      </c>
      <c r="Z284">
        <v>0</v>
      </c>
      <c r="AA284" t="str">
        <f>"Y"</f>
        <v>Y</v>
      </c>
      <c r="AB284" t="str">
        <f>"SO23000227"</f>
        <v>SO23000227</v>
      </c>
      <c r="AC284">
        <v>2</v>
      </c>
      <c r="AD284" s="1">
        <v>45054</v>
      </c>
      <c r="AE284" t="str">
        <f>"SH23001012"</f>
        <v>SH23001012</v>
      </c>
      <c r="AF284" t="str">
        <f>"משלוחים ללקוח"</f>
        <v>משלוחים ללקוח</v>
      </c>
      <c r="AG284" s="1">
        <v>45144</v>
      </c>
      <c r="AM284" t="str">
        <f>"10"</f>
        <v>10</v>
      </c>
      <c r="AN284" t="str">
        <f>"500000"</f>
        <v>500000</v>
      </c>
      <c r="AO284" t="str">
        <f>"הכנסות  מלקוחות"</f>
        <v>הכנסות  מלקוחות</v>
      </c>
      <c r="AQ284" t="str">
        <f>"040"</f>
        <v>040</v>
      </c>
      <c r="AR284">
        <v>0</v>
      </c>
      <c r="AS284">
        <v>0</v>
      </c>
      <c r="AT284">
        <v>3.7160000000000002</v>
      </c>
      <c r="AX284" t="str">
        <f>"E000390858"</f>
        <v>E000390858</v>
      </c>
      <c r="BD284" t="str">
        <f>"רחמים זרוק"</f>
        <v>רחמים זרוק</v>
      </c>
    </row>
    <row r="285" spans="1:56" x14ac:dyDescent="0.3">
      <c r="A285" s="1">
        <v>45147</v>
      </c>
      <c r="B285" t="str">
        <f>"SI236001055"</f>
        <v>SI236001055</v>
      </c>
      <c r="C285" t="str">
        <f>"PR23000266"</f>
        <v>PR23000266</v>
      </c>
      <c r="D285" t="str">
        <f>"PR23000266"</f>
        <v>PR23000266</v>
      </c>
      <c r="E285" t="str">
        <f>"Y"</f>
        <v>Y</v>
      </c>
      <c r="F285" t="str">
        <f>"חשבוניות מרכזות"</f>
        <v>חשבוניות מרכזות</v>
      </c>
      <c r="G285" t="str">
        <f>"700065"</f>
        <v>700065</v>
      </c>
      <c r="H285" t="str">
        <f>"אלתא מערכות בע""מ"</f>
        <v>אלתא מערכות בע"מ</v>
      </c>
      <c r="I285" t="str">
        <f>"10"</f>
        <v>10</v>
      </c>
      <c r="J285" t="str">
        <f>"OP-AR03607"</f>
        <v>OP-AR03607</v>
      </c>
      <c r="K285" t="str">
        <f>"2227B158-001    FEX KA28 ADAPTOR CABLE"</f>
        <v>2227B158-001    FEX KA28 ADAPTOR CABLE</v>
      </c>
      <c r="L285">
        <v>1</v>
      </c>
      <c r="M285" t="str">
        <f>"יח"</f>
        <v>יח</v>
      </c>
      <c r="N285">
        <v>1</v>
      </c>
      <c r="O285" t="str">
        <f>"יח"</f>
        <v>יח</v>
      </c>
      <c r="P285">
        <v>318.19</v>
      </c>
      <c r="Q285" t="str">
        <f>"$"</f>
        <v>$</v>
      </c>
      <c r="R285" t="str">
        <f>"הזמנה"</f>
        <v>הזמנה</v>
      </c>
      <c r="S285">
        <v>0</v>
      </c>
      <c r="T285">
        <v>318.19</v>
      </c>
      <c r="U285">
        <v>0</v>
      </c>
      <c r="V285">
        <v>318.19</v>
      </c>
      <c r="W285" t="str">
        <f>"$"</f>
        <v>$</v>
      </c>
      <c r="X285">
        <v>0</v>
      </c>
      <c r="Y285">
        <v>0</v>
      </c>
      <c r="Z285">
        <v>0</v>
      </c>
      <c r="AA285" t="str">
        <f>"Y"</f>
        <v>Y</v>
      </c>
      <c r="AB285" t="str">
        <f>"SO23000179"</f>
        <v>SO23000179</v>
      </c>
      <c r="AC285">
        <v>7</v>
      </c>
      <c r="AD285" s="1">
        <v>45020</v>
      </c>
      <c r="AE285" t="str">
        <f>"SH23001009"</f>
        <v>SH23001009</v>
      </c>
      <c r="AF285" t="str">
        <f>"משלוחים ללקוח"</f>
        <v>משלוחים ללקוח</v>
      </c>
      <c r="AG285" s="1">
        <v>45144</v>
      </c>
      <c r="AM285" t="str">
        <f>"10"</f>
        <v>10</v>
      </c>
      <c r="AN285" t="str">
        <f>"500000"</f>
        <v>500000</v>
      </c>
      <c r="AO285" t="str">
        <f>"הכנסות  מלקוחות"</f>
        <v>הכנסות  מלקוחות</v>
      </c>
      <c r="AQ285" t="str">
        <f>"040"</f>
        <v>040</v>
      </c>
      <c r="AR285">
        <v>0</v>
      </c>
      <c r="AS285">
        <v>0</v>
      </c>
      <c r="AT285">
        <v>3.7160000000000002</v>
      </c>
      <c r="AX285" t="str">
        <f>"E000390898"</f>
        <v>E000390898</v>
      </c>
      <c r="BD285" t="str">
        <f>"רחמים זרוק"</f>
        <v>רחמים זרוק</v>
      </c>
    </row>
    <row r="286" spans="1:56" x14ac:dyDescent="0.3">
      <c r="A286" s="1">
        <v>45147</v>
      </c>
      <c r="B286" t="str">
        <f>"SI236001049"</f>
        <v>SI236001049</v>
      </c>
      <c r="E286" t="str">
        <f>"Y"</f>
        <v>Y</v>
      </c>
      <c r="F286" t="str">
        <f>"חשבוניות מרכזות"</f>
        <v>חשבוניות מרכזות</v>
      </c>
      <c r="G286" t="str">
        <f>"700065"</f>
        <v>700065</v>
      </c>
      <c r="H286" t="str">
        <f>"אלתא מערכות בע""מ"</f>
        <v>אלתא מערכות בע"מ</v>
      </c>
      <c r="I286" t="str">
        <f>"10"</f>
        <v>10</v>
      </c>
      <c r="J286" t="str">
        <f>"OP-AR02041"</f>
        <v>OP-AR02041</v>
      </c>
      <c r="K286" t="str">
        <f>"PDB1 1038C860-001"</f>
        <v>PDB1 1038C860-001</v>
      </c>
      <c r="L286">
        <v>-1</v>
      </c>
      <c r="M286" t="str">
        <f>"יח"</f>
        <v>יח</v>
      </c>
      <c r="N286">
        <v>-1</v>
      </c>
      <c r="O286" t="str">
        <f>"יח"</f>
        <v>יח</v>
      </c>
      <c r="P286" s="2">
        <v>41000</v>
      </c>
      <c r="Q286" t="str">
        <f>"$"</f>
        <v>$</v>
      </c>
      <c r="R286" t="str">
        <f>"הזמנה"</f>
        <v>הזמנה</v>
      </c>
      <c r="S286">
        <v>0</v>
      </c>
      <c r="T286" s="2">
        <v>-41000</v>
      </c>
      <c r="U286">
        <v>0</v>
      </c>
      <c r="V286" s="2">
        <v>-41000</v>
      </c>
      <c r="W286" t="str">
        <f>"$"</f>
        <v>$</v>
      </c>
      <c r="X286">
        <v>0</v>
      </c>
      <c r="Y286">
        <v>0</v>
      </c>
      <c r="Z286">
        <v>0</v>
      </c>
      <c r="AA286" t="str">
        <f>"Y"</f>
        <v>Y</v>
      </c>
      <c r="AC286">
        <v>0</v>
      </c>
      <c r="AM286" t="str">
        <f>"10"</f>
        <v>10</v>
      </c>
      <c r="AN286" t="str">
        <f>"500000"</f>
        <v>500000</v>
      </c>
      <c r="AO286" t="str">
        <f>"הכנסות  מלקוחות"</f>
        <v>הכנסות  מלקוחות</v>
      </c>
      <c r="AQ286" t="str">
        <f>"007"</f>
        <v>007</v>
      </c>
      <c r="AR286">
        <v>0</v>
      </c>
      <c r="AS286">
        <v>0</v>
      </c>
      <c r="AT286">
        <v>3.661</v>
      </c>
      <c r="BB286" t="str">
        <f>"Y"</f>
        <v>Y</v>
      </c>
      <c r="BD286" t="str">
        <f>"רוני דידי"</f>
        <v>רוני דידי</v>
      </c>
    </row>
    <row r="287" spans="1:56" x14ac:dyDescent="0.3">
      <c r="A287" s="1">
        <v>45146</v>
      </c>
      <c r="B287" t="str">
        <f>"SI236001202"</f>
        <v>SI236001202</v>
      </c>
      <c r="C287" t="str">
        <f>"PR22000147"</f>
        <v>PR22000147</v>
      </c>
      <c r="E287" t="str">
        <f>"Y"</f>
        <v>Y</v>
      </c>
      <c r="F287" t="str">
        <f>"חשבוניות מרכזות"</f>
        <v>חשבוניות מרכזות</v>
      </c>
      <c r="G287" t="str">
        <f>"700065"</f>
        <v>700065</v>
      </c>
      <c r="H287" t="str">
        <f>"אלתא מערכות בע""מ"</f>
        <v>אלתא מערכות בע"מ</v>
      </c>
      <c r="I287" t="str">
        <f>"10"</f>
        <v>10</v>
      </c>
      <c r="J287" t="str">
        <f>"OP-AR02041-1S"</f>
        <v>OP-AR02041-1S</v>
      </c>
      <c r="K287" t="str">
        <f>"SL PDB  1 1042A860-001"</f>
        <v>SL PDB  1 1042A860-001</v>
      </c>
      <c r="L287">
        <v>1</v>
      </c>
      <c r="M287" t="str">
        <f>"יח"</f>
        <v>יח</v>
      </c>
      <c r="N287">
        <v>1</v>
      </c>
      <c r="O287" t="str">
        <f>"יח"</f>
        <v>יח</v>
      </c>
      <c r="P287" s="2">
        <v>41000</v>
      </c>
      <c r="Q287" t="str">
        <f>"$"</f>
        <v>$</v>
      </c>
      <c r="R287" t="str">
        <f>"הזמנה"</f>
        <v>הזמנה</v>
      </c>
      <c r="S287">
        <v>0</v>
      </c>
      <c r="T287" s="2">
        <v>41000</v>
      </c>
      <c r="U287">
        <v>0</v>
      </c>
      <c r="V287" s="2">
        <v>41000</v>
      </c>
      <c r="W287" t="str">
        <f>"$"</f>
        <v>$</v>
      </c>
      <c r="X287">
        <v>0</v>
      </c>
      <c r="Y287">
        <v>0</v>
      </c>
      <c r="Z287">
        <v>0</v>
      </c>
      <c r="AA287" t="str">
        <f>"Y"</f>
        <v>Y</v>
      </c>
      <c r="AB287" t="str">
        <f>"SO22000016"</f>
        <v>SO22000016</v>
      </c>
      <c r="AC287">
        <v>29</v>
      </c>
      <c r="AD287" s="1">
        <v>44574</v>
      </c>
      <c r="AE287" t="str">
        <f>"SH23001070"</f>
        <v>SH23001070</v>
      </c>
      <c r="AF287" t="str">
        <f>"משלוחים ללקוח"</f>
        <v>משלוחים ללקוח</v>
      </c>
      <c r="AG287" s="1">
        <v>45158</v>
      </c>
      <c r="AM287" t="str">
        <f>"10"</f>
        <v>10</v>
      </c>
      <c r="AN287" t="str">
        <f>"500000"</f>
        <v>500000</v>
      </c>
      <c r="AO287" t="str">
        <f>"הכנסות  מלקוחות"</f>
        <v>הכנסות  מלקוחות</v>
      </c>
      <c r="AQ287" t="str">
        <f>"007"</f>
        <v>007</v>
      </c>
      <c r="AR287">
        <v>0</v>
      </c>
      <c r="AS287">
        <v>0</v>
      </c>
      <c r="AT287">
        <v>3.7</v>
      </c>
      <c r="AX287" t="str">
        <f>"E000355064"</f>
        <v>E000355064</v>
      </c>
      <c r="BD287" t="str">
        <f>"רוני דידי"</f>
        <v>רוני דידי</v>
      </c>
    </row>
    <row r="288" spans="1:56" x14ac:dyDescent="0.3">
      <c r="A288" s="1">
        <v>45145</v>
      </c>
      <c r="B288" t="str">
        <f>"SI236001201"</f>
        <v>SI236001201</v>
      </c>
      <c r="C288" t="str">
        <f>"PR22000141"</f>
        <v>PR22000141</v>
      </c>
      <c r="E288" t="str">
        <f>"Y"</f>
        <v>Y</v>
      </c>
      <c r="F288" t="str">
        <f>"חשבוניות מרכזות"</f>
        <v>חשבוניות מרכזות</v>
      </c>
      <c r="G288" t="str">
        <f>"700065"</f>
        <v>700065</v>
      </c>
      <c r="H288" t="str">
        <f>"אלתא מערכות בע""מ"</f>
        <v>אלתא מערכות בע"מ</v>
      </c>
      <c r="I288" t="str">
        <f>"10"</f>
        <v>10</v>
      </c>
      <c r="J288" t="str">
        <f>"OP-AR02041-1S"</f>
        <v>OP-AR02041-1S</v>
      </c>
      <c r="K288" t="str">
        <f>"SL PDB  1 1042A860-001"</f>
        <v>SL PDB  1 1042A860-001</v>
      </c>
      <c r="L288">
        <v>-1</v>
      </c>
      <c r="M288" t="str">
        <f>"יח"</f>
        <v>יח</v>
      </c>
      <c r="N288">
        <v>-1</v>
      </c>
      <c r="O288" t="str">
        <f>"יח"</f>
        <v>יח</v>
      </c>
      <c r="P288" s="2">
        <v>41000</v>
      </c>
      <c r="Q288" t="str">
        <f>"$"</f>
        <v>$</v>
      </c>
      <c r="R288" t="str">
        <f>"הזמנה"</f>
        <v>הזמנה</v>
      </c>
      <c r="S288">
        <v>0</v>
      </c>
      <c r="T288" s="2">
        <v>-41000</v>
      </c>
      <c r="U288">
        <v>0</v>
      </c>
      <c r="V288" s="2">
        <v>-41000</v>
      </c>
      <c r="W288" t="str">
        <f>"$"</f>
        <v>$</v>
      </c>
      <c r="X288">
        <v>0</v>
      </c>
      <c r="Y288">
        <v>0</v>
      </c>
      <c r="Z288">
        <v>0</v>
      </c>
      <c r="AA288" t="str">
        <f>"Y"</f>
        <v>Y</v>
      </c>
      <c r="AC288">
        <v>0</v>
      </c>
      <c r="AM288" t="str">
        <f>"10"</f>
        <v>10</v>
      </c>
      <c r="AN288" t="str">
        <f>"500000"</f>
        <v>500000</v>
      </c>
      <c r="AO288" t="str">
        <f>"הכנסות  מלקוחות"</f>
        <v>הכנסות  מלקוחות</v>
      </c>
      <c r="AQ288" t="str">
        <f>"007"</f>
        <v>007</v>
      </c>
      <c r="AR288">
        <v>0</v>
      </c>
      <c r="AS288">
        <v>0</v>
      </c>
      <c r="AT288">
        <v>3.7</v>
      </c>
      <c r="BB288" t="str">
        <f>"Y"</f>
        <v>Y</v>
      </c>
      <c r="BD288" t="str">
        <f>"רוני דידי"</f>
        <v>רוני דידי</v>
      </c>
    </row>
    <row r="289" spans="1:56" x14ac:dyDescent="0.3">
      <c r="A289" s="1">
        <v>45145</v>
      </c>
      <c r="B289" t="str">
        <f>"SI236001048"</f>
        <v>SI236001048</v>
      </c>
      <c r="C289" t="str">
        <f>"PR23000507"</f>
        <v>PR23000507</v>
      </c>
      <c r="E289" t="str">
        <f>"Y"</f>
        <v>Y</v>
      </c>
      <c r="F289" t="str">
        <f>"חשבוניות מרכזות"</f>
        <v>חשבוניות מרכזות</v>
      </c>
      <c r="G289" t="str">
        <f>"700065"</f>
        <v>700065</v>
      </c>
      <c r="H289" t="str">
        <f>"אלתא מערכות בע""מ"</f>
        <v>אלתא מערכות בע"מ</v>
      </c>
      <c r="I289" t="str">
        <f>"10"</f>
        <v>10</v>
      </c>
      <c r="J289" t="str">
        <f>"PD0102100"</f>
        <v>PD0102100</v>
      </c>
      <c r="K289" t="str">
        <f>"מפתח פלסטי אוניברסלי FL99Z hager"</f>
        <v>מפתח פלסטי אוניברסלי FL99Z hager</v>
      </c>
      <c r="L289">
        <v>10</v>
      </c>
      <c r="M289" t="str">
        <f>"יח"</f>
        <v>יח</v>
      </c>
      <c r="N289">
        <v>10</v>
      </c>
      <c r="O289" t="str">
        <f>"יח"</f>
        <v>יח</v>
      </c>
      <c r="P289">
        <v>80</v>
      </c>
      <c r="Q289" t="str">
        <f>"$"</f>
        <v>$</v>
      </c>
      <c r="R289" t="str">
        <f>"הזמנה"</f>
        <v>הזמנה</v>
      </c>
      <c r="S289">
        <v>0</v>
      </c>
      <c r="T289">
        <v>800</v>
      </c>
      <c r="U289">
        <v>0</v>
      </c>
      <c r="V289">
        <v>800</v>
      </c>
      <c r="W289" t="str">
        <f>"$"</f>
        <v>$</v>
      </c>
      <c r="X289">
        <v>0</v>
      </c>
      <c r="Y289">
        <v>0</v>
      </c>
      <c r="Z289">
        <v>0</v>
      </c>
      <c r="AA289" t="str">
        <f>"Y"</f>
        <v>Y</v>
      </c>
      <c r="AB289" t="str">
        <f>"SO23000329"</f>
        <v>SO23000329</v>
      </c>
      <c r="AC289">
        <v>2</v>
      </c>
      <c r="AD289" s="1">
        <v>45123</v>
      </c>
      <c r="AE289" t="str">
        <f>"SH23001020"</f>
        <v>SH23001020</v>
      </c>
      <c r="AF289" t="str">
        <f>"משלוחים ללקוח"</f>
        <v>משלוחים ללקוח</v>
      </c>
      <c r="AG289" s="1">
        <v>45145</v>
      </c>
      <c r="AM289" t="str">
        <f>"10"</f>
        <v>10</v>
      </c>
      <c r="AN289" t="str">
        <f>"500000"</f>
        <v>500000</v>
      </c>
      <c r="AO289" t="str">
        <f>"הכנסות  מלקוחות"</f>
        <v>הכנסות  מלקוחות</v>
      </c>
      <c r="AQ289" t="str">
        <f>"034"</f>
        <v>034</v>
      </c>
      <c r="AR289">
        <v>0</v>
      </c>
      <c r="AS289">
        <v>0</v>
      </c>
      <c r="AT289">
        <v>3.6760000000000002</v>
      </c>
      <c r="AX289" t="str">
        <f>"E000399568"</f>
        <v>E000399568</v>
      </c>
      <c r="BD289" t="str">
        <f>"ערן שלו"</f>
        <v>ערן שלו</v>
      </c>
    </row>
    <row r="290" spans="1:56" x14ac:dyDescent="0.3">
      <c r="A290" s="1">
        <v>45145</v>
      </c>
      <c r="B290" t="str">
        <f>"SI236001048"</f>
        <v>SI236001048</v>
      </c>
      <c r="C290" t="str">
        <f>"PR23000507"</f>
        <v>PR23000507</v>
      </c>
      <c r="E290" t="str">
        <f>"Y"</f>
        <v>Y</v>
      </c>
      <c r="F290" t="str">
        <f>"חשבוניות מרכזות"</f>
        <v>חשבוניות מרכזות</v>
      </c>
      <c r="G290" t="str">
        <f>"700065"</f>
        <v>700065</v>
      </c>
      <c r="H290" t="str">
        <f>"אלתא מערכות בע""מ"</f>
        <v>אלתא מערכות בע"מ</v>
      </c>
      <c r="I290" t="str">
        <f>"10"</f>
        <v>10</v>
      </c>
      <c r="J290" t="str">
        <f>"PD0101941"</f>
        <v>PD0101941</v>
      </c>
      <c r="K290" t="str">
        <f>"מפתח חצוי למנעול משולש LOKYM-368-15"</f>
        <v>מפתח חצוי למנעול משולש LOKYM-368-15</v>
      </c>
      <c r="L290">
        <v>10</v>
      </c>
      <c r="M290" t="str">
        <f>"יח"</f>
        <v>יח</v>
      </c>
      <c r="N290">
        <v>10</v>
      </c>
      <c r="O290" t="str">
        <f>"יח"</f>
        <v>יח</v>
      </c>
      <c r="P290">
        <v>40</v>
      </c>
      <c r="Q290" t="str">
        <f>"$"</f>
        <v>$</v>
      </c>
      <c r="R290" t="str">
        <f>"הזמנה"</f>
        <v>הזמנה</v>
      </c>
      <c r="S290">
        <v>0</v>
      </c>
      <c r="T290">
        <v>400</v>
      </c>
      <c r="U290">
        <v>0</v>
      </c>
      <c r="V290">
        <v>400</v>
      </c>
      <c r="W290" t="str">
        <f>"$"</f>
        <v>$</v>
      </c>
      <c r="X290">
        <v>0</v>
      </c>
      <c r="Y290">
        <v>0</v>
      </c>
      <c r="Z290">
        <v>0</v>
      </c>
      <c r="AA290" t="str">
        <f>"Y"</f>
        <v>Y</v>
      </c>
      <c r="AB290" t="str">
        <f>"SO23000329"</f>
        <v>SO23000329</v>
      </c>
      <c r="AC290">
        <v>3</v>
      </c>
      <c r="AD290" s="1">
        <v>45123</v>
      </c>
      <c r="AE290" t="str">
        <f>"SH23001020"</f>
        <v>SH23001020</v>
      </c>
      <c r="AF290" t="str">
        <f>"משלוחים ללקוח"</f>
        <v>משלוחים ללקוח</v>
      </c>
      <c r="AG290" s="1">
        <v>45145</v>
      </c>
      <c r="AM290" t="str">
        <f>"10"</f>
        <v>10</v>
      </c>
      <c r="AN290" t="str">
        <f>"500000"</f>
        <v>500000</v>
      </c>
      <c r="AO290" t="str">
        <f>"הכנסות  מלקוחות"</f>
        <v>הכנסות  מלקוחות</v>
      </c>
      <c r="AQ290" t="str">
        <f>"034"</f>
        <v>034</v>
      </c>
      <c r="AR290">
        <v>0</v>
      </c>
      <c r="AS290">
        <v>0</v>
      </c>
      <c r="AT290">
        <v>3.6760000000000002</v>
      </c>
      <c r="AX290" t="str">
        <f>"E000399568"</f>
        <v>E000399568</v>
      </c>
      <c r="BD290" t="str">
        <f>"ערן שלו"</f>
        <v>ערן שלו</v>
      </c>
    </row>
    <row r="291" spans="1:56" x14ac:dyDescent="0.3">
      <c r="A291" s="1">
        <v>45145</v>
      </c>
      <c r="B291" t="str">
        <f>"SI236001043"</f>
        <v>SI236001043</v>
      </c>
      <c r="C291" t="str">
        <f>"PR22000606"</f>
        <v>PR22000606</v>
      </c>
      <c r="D291" t="str">
        <f>"PR22000606"</f>
        <v>PR22000606</v>
      </c>
      <c r="E291" t="str">
        <f>"Y"</f>
        <v>Y</v>
      </c>
      <c r="F291" t="str">
        <f>"חשבוניות מרכזות"</f>
        <v>חשבוניות מרכזות</v>
      </c>
      <c r="G291" t="str">
        <f>"700065"</f>
        <v>700065</v>
      </c>
      <c r="H291" t="str">
        <f>"אלתא מערכות בע""מ"</f>
        <v>אלתא מערכות בע"מ</v>
      </c>
      <c r="I291" t="str">
        <f>"15"</f>
        <v>15</v>
      </c>
      <c r="J291" t="str">
        <f>"OP-AR03331"</f>
        <v>OP-AR03331</v>
      </c>
      <c r="K291" t="str">
        <f>"1036F692-001    BFC TEST AND CONTROL CABLE"</f>
        <v>1036F692-001    BFC TEST AND CONTROL CABLE</v>
      </c>
      <c r="L291">
        <v>1</v>
      </c>
      <c r="M291" t="str">
        <f>"יח"</f>
        <v>יח</v>
      </c>
      <c r="N291">
        <v>1</v>
      </c>
      <c r="O291" t="str">
        <f>"יח"</f>
        <v>יח</v>
      </c>
      <c r="P291" s="2">
        <v>1189.75</v>
      </c>
      <c r="Q291" t="str">
        <f>"$"</f>
        <v>$</v>
      </c>
      <c r="R291" t="str">
        <f>"הזמנה"</f>
        <v>הזמנה</v>
      </c>
      <c r="S291">
        <v>0</v>
      </c>
      <c r="T291" s="2">
        <v>1189.75</v>
      </c>
      <c r="U291">
        <v>0</v>
      </c>
      <c r="V291" s="2">
        <v>1189.75</v>
      </c>
      <c r="W291" t="str">
        <f>"$"</f>
        <v>$</v>
      </c>
      <c r="X291">
        <v>0</v>
      </c>
      <c r="Y291">
        <v>0</v>
      </c>
      <c r="Z291">
        <v>0</v>
      </c>
      <c r="AA291" t="str">
        <f>"Y"</f>
        <v>Y</v>
      </c>
      <c r="AB291" t="str">
        <f>"SO22000355"</f>
        <v>SO22000355</v>
      </c>
      <c r="AC291">
        <v>3</v>
      </c>
      <c r="AD291" s="1">
        <v>44816</v>
      </c>
      <c r="AE291" t="str">
        <f>"SH23000977"</f>
        <v>SH23000977</v>
      </c>
      <c r="AF291" t="str">
        <f>"משלוחים ללקוח"</f>
        <v>משלוחים ללקוח</v>
      </c>
      <c r="AG291" s="1">
        <v>45137</v>
      </c>
      <c r="AM291" t="str">
        <f>"10"</f>
        <v>10</v>
      </c>
      <c r="AN291" t="str">
        <f>"500000"</f>
        <v>500000</v>
      </c>
      <c r="AO291" t="str">
        <f>"הכנסות  מלקוחות"</f>
        <v>הכנסות  מלקוחות</v>
      </c>
      <c r="AQ291" t="str">
        <f>"040"</f>
        <v>040</v>
      </c>
      <c r="AR291">
        <v>0</v>
      </c>
      <c r="AS291">
        <v>0</v>
      </c>
      <c r="AT291">
        <v>3.6869999999999998</v>
      </c>
      <c r="AX291" t="str">
        <f>"E000374107"</f>
        <v>E000374107</v>
      </c>
      <c r="BD291" t="str">
        <f>"רחמים זרוק"</f>
        <v>רחמים זרוק</v>
      </c>
    </row>
    <row r="292" spans="1:56" x14ac:dyDescent="0.3">
      <c r="A292" s="1">
        <v>45145</v>
      </c>
      <c r="B292" t="str">
        <f>"SI236001043"</f>
        <v>SI236001043</v>
      </c>
      <c r="C292" t="str">
        <f>"PR22000606"</f>
        <v>PR22000606</v>
      </c>
      <c r="D292" t="str">
        <f>"PR22000606"</f>
        <v>PR22000606</v>
      </c>
      <c r="E292" t="str">
        <f>"Y"</f>
        <v>Y</v>
      </c>
      <c r="F292" t="str">
        <f>"חשבוניות מרכזות"</f>
        <v>חשבוניות מרכזות</v>
      </c>
      <c r="G292" t="str">
        <f>"700065"</f>
        <v>700065</v>
      </c>
      <c r="H292" t="str">
        <f>"אלתא מערכות בע""מ"</f>
        <v>אלתא מערכות בע"מ</v>
      </c>
      <c r="I292" t="str">
        <f>"15"</f>
        <v>15</v>
      </c>
      <c r="J292" t="str">
        <f>"OP-AR03331"</f>
        <v>OP-AR03331</v>
      </c>
      <c r="K292" t="str">
        <f>"1036F692-001    BFC TEST AND CONTROL CABLE"</f>
        <v>1036F692-001    BFC TEST AND CONTROL CABLE</v>
      </c>
      <c r="L292">
        <v>1</v>
      </c>
      <c r="M292" t="str">
        <f>"יח"</f>
        <v>יח</v>
      </c>
      <c r="N292">
        <v>1</v>
      </c>
      <c r="O292" t="str">
        <f>"יח"</f>
        <v>יח</v>
      </c>
      <c r="P292" s="2">
        <v>1189.75</v>
      </c>
      <c r="Q292" t="str">
        <f>"$"</f>
        <v>$</v>
      </c>
      <c r="R292" t="str">
        <f>"הזמנה"</f>
        <v>הזמנה</v>
      </c>
      <c r="S292">
        <v>0</v>
      </c>
      <c r="T292" s="2">
        <v>1189.75</v>
      </c>
      <c r="U292">
        <v>0</v>
      </c>
      <c r="V292" s="2">
        <v>1189.75</v>
      </c>
      <c r="W292" t="str">
        <f>"$"</f>
        <v>$</v>
      </c>
      <c r="X292">
        <v>0</v>
      </c>
      <c r="Y292">
        <v>0</v>
      </c>
      <c r="Z292">
        <v>0</v>
      </c>
      <c r="AA292" t="str">
        <f>"Y"</f>
        <v>Y</v>
      </c>
      <c r="AB292" t="str">
        <f>"SO22000355"</f>
        <v>SO22000355</v>
      </c>
      <c r="AC292">
        <v>4</v>
      </c>
      <c r="AD292" s="1">
        <v>44816</v>
      </c>
      <c r="AE292" t="str">
        <f>"SH23000977"</f>
        <v>SH23000977</v>
      </c>
      <c r="AF292" t="str">
        <f>"משלוחים ללקוח"</f>
        <v>משלוחים ללקוח</v>
      </c>
      <c r="AG292" s="1">
        <v>45137</v>
      </c>
      <c r="AM292" t="str">
        <f>"10"</f>
        <v>10</v>
      </c>
      <c r="AN292" t="str">
        <f>"500000"</f>
        <v>500000</v>
      </c>
      <c r="AO292" t="str">
        <f>"הכנסות  מלקוחות"</f>
        <v>הכנסות  מלקוחות</v>
      </c>
      <c r="AQ292" t="str">
        <f>"040"</f>
        <v>040</v>
      </c>
      <c r="AR292">
        <v>0</v>
      </c>
      <c r="AS292">
        <v>0</v>
      </c>
      <c r="AT292">
        <v>3.6869999999999998</v>
      </c>
      <c r="AX292" t="str">
        <f>"E000374107"</f>
        <v>E000374107</v>
      </c>
      <c r="BD292" t="str">
        <f>"רחמים זרוק"</f>
        <v>רחמים זרוק</v>
      </c>
    </row>
    <row r="293" spans="1:56" x14ac:dyDescent="0.3">
      <c r="A293" s="1">
        <v>45145</v>
      </c>
      <c r="B293" t="str">
        <f>"SI236001042"</f>
        <v>SI236001042</v>
      </c>
      <c r="C293" t="str">
        <f>"PR23000001"</f>
        <v>PR23000001</v>
      </c>
      <c r="E293" t="str">
        <f>"Y"</f>
        <v>Y</v>
      </c>
      <c r="F293" t="str">
        <f>"חשבוניות מרכזות"</f>
        <v>חשבוניות מרכזות</v>
      </c>
      <c r="G293" t="str">
        <f>"700065"</f>
        <v>700065</v>
      </c>
      <c r="H293" t="str">
        <f>"אלתא מערכות בע""מ"</f>
        <v>אלתא מערכות בע"מ</v>
      </c>
      <c r="I293" t="str">
        <f>"15"</f>
        <v>15</v>
      </c>
      <c r="J293" t="str">
        <f>"OP-AR01702"</f>
        <v>OP-AR01702</v>
      </c>
      <c r="K293" t="str">
        <f>"1020B584-003 P.C.U HARN/W7/ABS NC/DATA POS"</f>
        <v>1020B584-003 P.C.U HARN/W7/ABS NC/DATA POS</v>
      </c>
      <c r="L293">
        <v>1</v>
      </c>
      <c r="M293" t="str">
        <f>"יח"</f>
        <v>יח</v>
      </c>
      <c r="N293">
        <v>1</v>
      </c>
      <c r="O293" t="str">
        <f>"יח"</f>
        <v>יח</v>
      </c>
      <c r="P293" s="2">
        <v>1400</v>
      </c>
      <c r="Q293" t="str">
        <f>"$"</f>
        <v>$</v>
      </c>
      <c r="R293" t="str">
        <f>"הזמנה"</f>
        <v>הזמנה</v>
      </c>
      <c r="S293">
        <v>0</v>
      </c>
      <c r="T293" s="2">
        <v>1400</v>
      </c>
      <c r="U293">
        <v>0</v>
      </c>
      <c r="V293" s="2">
        <v>1400</v>
      </c>
      <c r="W293" t="str">
        <f>"$"</f>
        <v>$</v>
      </c>
      <c r="X293">
        <v>0</v>
      </c>
      <c r="Y293">
        <v>0</v>
      </c>
      <c r="Z293">
        <v>0</v>
      </c>
      <c r="AA293" t="str">
        <f>"Y"</f>
        <v>Y</v>
      </c>
      <c r="AB293" t="str">
        <f>"SO22000474"</f>
        <v>SO22000474</v>
      </c>
      <c r="AC293">
        <v>1</v>
      </c>
      <c r="AD293" s="1">
        <v>44917</v>
      </c>
      <c r="AE293" t="str">
        <f>"SH23000911"</f>
        <v>SH23000911</v>
      </c>
      <c r="AF293" t="str">
        <f>"משלוחים ללקוח"</f>
        <v>משלוחים ללקוח</v>
      </c>
      <c r="AG293" s="1">
        <v>45125</v>
      </c>
      <c r="AM293" t="str">
        <f>"10"</f>
        <v>10</v>
      </c>
      <c r="AN293" t="str">
        <f>"500000"</f>
        <v>500000</v>
      </c>
      <c r="AO293" t="str">
        <f>"הכנסות  מלקוחות"</f>
        <v>הכנסות  מלקוחות</v>
      </c>
      <c r="AQ293" t="str">
        <f>"040"</f>
        <v>040</v>
      </c>
      <c r="AR293">
        <v>0</v>
      </c>
      <c r="AS293">
        <v>0</v>
      </c>
      <c r="AT293">
        <v>3.6869999999999998</v>
      </c>
      <c r="AX293" t="str">
        <f>"E000381253"</f>
        <v>E000381253</v>
      </c>
      <c r="BD293" t="str">
        <f>"רחמים זרוק"</f>
        <v>רחמים זרוק</v>
      </c>
    </row>
    <row r="294" spans="1:56" x14ac:dyDescent="0.3">
      <c r="A294" s="1">
        <v>45145</v>
      </c>
      <c r="B294" t="str">
        <f>"SI236001041"</f>
        <v>SI236001041</v>
      </c>
      <c r="C294" t="str">
        <f>"PR23000330"</f>
        <v>PR23000330</v>
      </c>
      <c r="D294" t="str">
        <f>"PR23000330"</f>
        <v>PR23000330</v>
      </c>
      <c r="E294" t="str">
        <f>"Y"</f>
        <v>Y</v>
      </c>
      <c r="F294" t="str">
        <f>"חשבוניות מרכזות"</f>
        <v>חשבוניות מרכזות</v>
      </c>
      <c r="G294" t="str">
        <f>"700065"</f>
        <v>700065</v>
      </c>
      <c r="H294" t="str">
        <f>"אלתא מערכות בע""מ"</f>
        <v>אלתא מערכות בע"מ</v>
      </c>
      <c r="I294" t="str">
        <f>"15"</f>
        <v>15</v>
      </c>
      <c r="J294" t="str">
        <f>"OP-AR03645"</f>
        <v>OP-AR03645</v>
      </c>
      <c r="K294" t="str">
        <f>"3034F650-001    HARNESS W650 - MTX TO FRONT END LEFT"</f>
        <v>3034F650-001    HARNESS W650 - MTX TO FRONT END LEFT</v>
      </c>
      <c r="L294">
        <v>2</v>
      </c>
      <c r="M294" t="str">
        <f>"יח"</f>
        <v>יח</v>
      </c>
      <c r="N294">
        <v>2</v>
      </c>
      <c r="O294" t="str">
        <f>"יח"</f>
        <v>יח</v>
      </c>
      <c r="P294">
        <v>607.65</v>
      </c>
      <c r="Q294" t="str">
        <f>"$"</f>
        <v>$</v>
      </c>
      <c r="R294" t="str">
        <f>"הזמנה"</f>
        <v>הזמנה</v>
      </c>
      <c r="S294">
        <v>0</v>
      </c>
      <c r="T294" s="2">
        <v>1215.3</v>
      </c>
      <c r="U294">
        <v>0</v>
      </c>
      <c r="V294" s="2">
        <v>1215.3</v>
      </c>
      <c r="W294" t="str">
        <f>"$"</f>
        <v>$</v>
      </c>
      <c r="X294">
        <v>0</v>
      </c>
      <c r="Y294">
        <v>0</v>
      </c>
      <c r="Z294">
        <v>0</v>
      </c>
      <c r="AA294" t="str">
        <f>"Y"</f>
        <v>Y</v>
      </c>
      <c r="AB294" t="str">
        <f>"SO23000236"</f>
        <v>SO23000236</v>
      </c>
      <c r="AC294">
        <v>1</v>
      </c>
      <c r="AD294" s="1">
        <v>45062</v>
      </c>
      <c r="AE294" t="str">
        <f>"SH23000990"</f>
        <v>SH23000990</v>
      </c>
      <c r="AF294" t="str">
        <f>"משלוחים ללקוח"</f>
        <v>משלוחים ללקוח</v>
      </c>
      <c r="AG294" s="1">
        <v>45140</v>
      </c>
      <c r="AM294" t="str">
        <f>"10"</f>
        <v>10</v>
      </c>
      <c r="AN294" t="str">
        <f>"500000"</f>
        <v>500000</v>
      </c>
      <c r="AO294" t="str">
        <f>"הכנסות  מלקוחות"</f>
        <v>הכנסות  מלקוחות</v>
      </c>
      <c r="AQ294" t="str">
        <f>"040"</f>
        <v>040</v>
      </c>
      <c r="AR294">
        <v>0</v>
      </c>
      <c r="AS294">
        <v>0</v>
      </c>
      <c r="AT294">
        <v>3.6869999999999998</v>
      </c>
      <c r="AX294" t="str">
        <f>"E000393939"</f>
        <v>E000393939</v>
      </c>
      <c r="BD294" t="str">
        <f>"רחמים זרוק"</f>
        <v>רחמים זרוק</v>
      </c>
    </row>
    <row r="295" spans="1:56" x14ac:dyDescent="0.3">
      <c r="A295" s="1">
        <v>45145</v>
      </c>
      <c r="B295" t="str">
        <f>"SI236001041"</f>
        <v>SI236001041</v>
      </c>
      <c r="C295" t="str">
        <f>"PR23000330"</f>
        <v>PR23000330</v>
      </c>
      <c r="D295" t="str">
        <f>"PR23000330"</f>
        <v>PR23000330</v>
      </c>
      <c r="E295" t="str">
        <f>"Y"</f>
        <v>Y</v>
      </c>
      <c r="F295" t="str">
        <f>"חשבוניות מרכזות"</f>
        <v>חשבוניות מרכזות</v>
      </c>
      <c r="G295" t="str">
        <f>"700065"</f>
        <v>700065</v>
      </c>
      <c r="H295" t="str">
        <f>"אלתא מערכות בע""מ"</f>
        <v>אלתא מערכות בע"מ</v>
      </c>
      <c r="I295" t="str">
        <f>"15"</f>
        <v>15</v>
      </c>
      <c r="J295" t="str">
        <f>"OP-AR03646"</f>
        <v>OP-AR03646</v>
      </c>
      <c r="K295" t="str">
        <f>"3034F660-001    HARNESS W660 - MTX TO FRONT END RIGHT"</f>
        <v>3034F660-001    HARNESS W660 - MTX TO FRONT END RIGHT</v>
      </c>
      <c r="L295">
        <v>2</v>
      </c>
      <c r="M295" t="str">
        <f>"יח"</f>
        <v>יח</v>
      </c>
      <c r="N295">
        <v>2</v>
      </c>
      <c r="O295" t="str">
        <f>"יח"</f>
        <v>יח</v>
      </c>
      <c r="P295">
        <v>607.65</v>
      </c>
      <c r="Q295" t="str">
        <f>"$"</f>
        <v>$</v>
      </c>
      <c r="R295" t="str">
        <f>"הזמנה"</f>
        <v>הזמנה</v>
      </c>
      <c r="S295">
        <v>0</v>
      </c>
      <c r="T295" s="2">
        <v>1215.3</v>
      </c>
      <c r="U295">
        <v>0</v>
      </c>
      <c r="V295" s="2">
        <v>1215.3</v>
      </c>
      <c r="W295" t="str">
        <f>"$"</f>
        <v>$</v>
      </c>
      <c r="X295">
        <v>0</v>
      </c>
      <c r="Y295">
        <v>0</v>
      </c>
      <c r="Z295">
        <v>0</v>
      </c>
      <c r="AA295" t="str">
        <f>"Y"</f>
        <v>Y</v>
      </c>
      <c r="AB295" t="str">
        <f>"SO23000236"</f>
        <v>SO23000236</v>
      </c>
      <c r="AC295">
        <v>2</v>
      </c>
      <c r="AD295" s="1">
        <v>45062</v>
      </c>
      <c r="AE295" t="str">
        <f>"SH23000990"</f>
        <v>SH23000990</v>
      </c>
      <c r="AF295" t="str">
        <f>"משלוחים ללקוח"</f>
        <v>משלוחים ללקוח</v>
      </c>
      <c r="AG295" s="1">
        <v>45140</v>
      </c>
      <c r="AM295" t="str">
        <f>"10"</f>
        <v>10</v>
      </c>
      <c r="AN295" t="str">
        <f>"500000"</f>
        <v>500000</v>
      </c>
      <c r="AO295" t="str">
        <f>"הכנסות  מלקוחות"</f>
        <v>הכנסות  מלקוחות</v>
      </c>
      <c r="AQ295" t="str">
        <f>"040"</f>
        <v>040</v>
      </c>
      <c r="AR295">
        <v>0</v>
      </c>
      <c r="AS295">
        <v>0</v>
      </c>
      <c r="AT295">
        <v>3.6869999999999998</v>
      </c>
      <c r="AX295" t="str">
        <f>"E000393939"</f>
        <v>E000393939</v>
      </c>
      <c r="BD295" t="str">
        <f>"רחמים זרוק"</f>
        <v>רחמים זרוק</v>
      </c>
    </row>
    <row r="296" spans="1:56" x14ac:dyDescent="0.3">
      <c r="A296" s="1">
        <v>45145</v>
      </c>
      <c r="B296" t="str">
        <f>"SI236001041"</f>
        <v>SI236001041</v>
      </c>
      <c r="C296" t="str">
        <f>"PR23000330"</f>
        <v>PR23000330</v>
      </c>
      <c r="D296" t="str">
        <f>"PR23000330"</f>
        <v>PR23000330</v>
      </c>
      <c r="E296" t="str">
        <f>"Y"</f>
        <v>Y</v>
      </c>
      <c r="F296" t="str">
        <f>"חשבוניות מרכזות"</f>
        <v>חשבוניות מרכזות</v>
      </c>
      <c r="G296" t="str">
        <f>"700065"</f>
        <v>700065</v>
      </c>
      <c r="H296" t="str">
        <f>"אלתא מערכות בע""מ"</f>
        <v>אלתא מערכות בע"מ</v>
      </c>
      <c r="I296" t="str">
        <f>"15"</f>
        <v>15</v>
      </c>
      <c r="J296" t="str">
        <f>"OP-AR03647"</f>
        <v>OP-AR03647</v>
      </c>
      <c r="K296" t="str">
        <f>"3034F670-001    HARNESS W670 - MTX TO FRONT END FWD"</f>
        <v>3034F670-001    HARNESS W670 - MTX TO FRONT END FWD</v>
      </c>
      <c r="L296">
        <v>2</v>
      </c>
      <c r="M296" t="str">
        <f>"יח"</f>
        <v>יח</v>
      </c>
      <c r="N296">
        <v>2</v>
      </c>
      <c r="O296" t="str">
        <f>"יח"</f>
        <v>יח</v>
      </c>
      <c r="P296">
        <v>607.65</v>
      </c>
      <c r="Q296" t="str">
        <f>"$"</f>
        <v>$</v>
      </c>
      <c r="R296" t="str">
        <f>"הזמנה"</f>
        <v>הזמנה</v>
      </c>
      <c r="S296">
        <v>0</v>
      </c>
      <c r="T296" s="2">
        <v>1215.3</v>
      </c>
      <c r="U296">
        <v>0</v>
      </c>
      <c r="V296" s="2">
        <v>1215.3</v>
      </c>
      <c r="W296" t="str">
        <f>"$"</f>
        <v>$</v>
      </c>
      <c r="X296">
        <v>0</v>
      </c>
      <c r="Y296">
        <v>0</v>
      </c>
      <c r="Z296">
        <v>0</v>
      </c>
      <c r="AA296" t="str">
        <f>"Y"</f>
        <v>Y</v>
      </c>
      <c r="AB296" t="str">
        <f>"SO23000236"</f>
        <v>SO23000236</v>
      </c>
      <c r="AC296">
        <v>3</v>
      </c>
      <c r="AD296" s="1">
        <v>45062</v>
      </c>
      <c r="AE296" t="str">
        <f>"SH23000990"</f>
        <v>SH23000990</v>
      </c>
      <c r="AF296" t="str">
        <f>"משלוחים ללקוח"</f>
        <v>משלוחים ללקוח</v>
      </c>
      <c r="AG296" s="1">
        <v>45140</v>
      </c>
      <c r="AM296" t="str">
        <f>"10"</f>
        <v>10</v>
      </c>
      <c r="AN296" t="str">
        <f>"500000"</f>
        <v>500000</v>
      </c>
      <c r="AO296" t="str">
        <f>"הכנסות  מלקוחות"</f>
        <v>הכנסות  מלקוחות</v>
      </c>
      <c r="AQ296" t="str">
        <f>"040"</f>
        <v>040</v>
      </c>
      <c r="AR296">
        <v>0</v>
      </c>
      <c r="AS296">
        <v>0</v>
      </c>
      <c r="AT296">
        <v>3.6869999999999998</v>
      </c>
      <c r="AX296" t="str">
        <f>"E000393939"</f>
        <v>E000393939</v>
      </c>
      <c r="BD296" t="str">
        <f>"רחמים זרוק"</f>
        <v>רחמים זרוק</v>
      </c>
    </row>
    <row r="297" spans="1:56" x14ac:dyDescent="0.3">
      <c r="A297" s="1">
        <v>45145</v>
      </c>
      <c r="B297" t="str">
        <f>"SI236001041"</f>
        <v>SI236001041</v>
      </c>
      <c r="C297" t="str">
        <f>"PR23000330"</f>
        <v>PR23000330</v>
      </c>
      <c r="D297" t="str">
        <f>"PR23000330"</f>
        <v>PR23000330</v>
      </c>
      <c r="E297" t="str">
        <f>"Y"</f>
        <v>Y</v>
      </c>
      <c r="F297" t="str">
        <f>"חשבוניות מרכזות"</f>
        <v>חשבוניות מרכזות</v>
      </c>
      <c r="G297" t="str">
        <f>"700065"</f>
        <v>700065</v>
      </c>
      <c r="H297" t="str">
        <f>"אלתא מערכות בע""מ"</f>
        <v>אלתא מערכות בע"מ</v>
      </c>
      <c r="I297" t="str">
        <f>"15"</f>
        <v>15</v>
      </c>
      <c r="J297" t="str">
        <f>"OP-AR03648"</f>
        <v>OP-AR03648</v>
      </c>
      <c r="K297" t="str">
        <f>"3034F680-001    HARNESS W680 - MTX TO FRONT END AFT"</f>
        <v>3034F680-001    HARNESS W680 - MTX TO FRONT END AFT</v>
      </c>
      <c r="L297">
        <v>2</v>
      </c>
      <c r="M297" t="str">
        <f>"יח"</f>
        <v>יח</v>
      </c>
      <c r="N297">
        <v>2</v>
      </c>
      <c r="O297" t="str">
        <f>"יח"</f>
        <v>יח</v>
      </c>
      <c r="P297">
        <v>607.65</v>
      </c>
      <c r="Q297" t="str">
        <f>"$"</f>
        <v>$</v>
      </c>
      <c r="R297" t="str">
        <f>"הזמנה"</f>
        <v>הזמנה</v>
      </c>
      <c r="S297">
        <v>0</v>
      </c>
      <c r="T297" s="2">
        <v>1215.3</v>
      </c>
      <c r="U297">
        <v>0</v>
      </c>
      <c r="V297" s="2">
        <v>1215.3</v>
      </c>
      <c r="W297" t="str">
        <f>"$"</f>
        <v>$</v>
      </c>
      <c r="X297">
        <v>0</v>
      </c>
      <c r="Y297">
        <v>0</v>
      </c>
      <c r="Z297">
        <v>0</v>
      </c>
      <c r="AA297" t="str">
        <f>"Y"</f>
        <v>Y</v>
      </c>
      <c r="AB297" t="str">
        <f>"SO23000236"</f>
        <v>SO23000236</v>
      </c>
      <c r="AC297">
        <v>4</v>
      </c>
      <c r="AD297" s="1">
        <v>45062</v>
      </c>
      <c r="AE297" t="str">
        <f>"SH23000990"</f>
        <v>SH23000990</v>
      </c>
      <c r="AF297" t="str">
        <f>"משלוחים ללקוח"</f>
        <v>משלוחים ללקוח</v>
      </c>
      <c r="AG297" s="1">
        <v>45140</v>
      </c>
      <c r="AM297" t="str">
        <f>"10"</f>
        <v>10</v>
      </c>
      <c r="AN297" t="str">
        <f>"500000"</f>
        <v>500000</v>
      </c>
      <c r="AO297" t="str">
        <f>"הכנסות  מלקוחות"</f>
        <v>הכנסות  מלקוחות</v>
      </c>
      <c r="AQ297" t="str">
        <f>"040"</f>
        <v>040</v>
      </c>
      <c r="AR297">
        <v>0</v>
      </c>
      <c r="AS297">
        <v>0</v>
      </c>
      <c r="AT297">
        <v>3.6869999999999998</v>
      </c>
      <c r="AX297" t="str">
        <f>"E000393939"</f>
        <v>E000393939</v>
      </c>
      <c r="BD297" t="str">
        <f>"רחמים זרוק"</f>
        <v>רחמים זרוק</v>
      </c>
    </row>
    <row r="298" spans="1:56" x14ac:dyDescent="0.3">
      <c r="A298" s="1">
        <v>45145</v>
      </c>
      <c r="B298" t="str">
        <f>"SI236001041"</f>
        <v>SI236001041</v>
      </c>
      <c r="C298" t="str">
        <f>"PR23000330"</f>
        <v>PR23000330</v>
      </c>
      <c r="D298" t="str">
        <f>"PR23000330"</f>
        <v>PR23000330</v>
      </c>
      <c r="E298" t="str">
        <f>"Y"</f>
        <v>Y</v>
      </c>
      <c r="F298" t="str">
        <f>"חשבוניות מרכזות"</f>
        <v>חשבוניות מרכזות</v>
      </c>
      <c r="G298" t="str">
        <f>"700065"</f>
        <v>700065</v>
      </c>
      <c r="H298" t="str">
        <f>"אלתא מערכות בע""מ"</f>
        <v>אלתא מערכות בע"מ</v>
      </c>
      <c r="I298" t="str">
        <f>"15"</f>
        <v>15</v>
      </c>
      <c r="J298" t="str">
        <f>"OP-AR03649"</f>
        <v>OP-AR03649</v>
      </c>
      <c r="K298" t="str">
        <f>"3034F690-001    HARNESS W690 - MTX TO CONNECTION BOX"</f>
        <v>3034F690-001    HARNESS W690 - MTX TO CONNECTION BOX</v>
      </c>
      <c r="L298">
        <v>2</v>
      </c>
      <c r="M298" t="str">
        <f>"יח"</f>
        <v>יח</v>
      </c>
      <c r="N298">
        <v>2</v>
      </c>
      <c r="O298" t="str">
        <f>"יח"</f>
        <v>יח</v>
      </c>
      <c r="P298">
        <v>471.19</v>
      </c>
      <c r="Q298" t="str">
        <f>"$"</f>
        <v>$</v>
      </c>
      <c r="R298" t="str">
        <f>"הזמנה"</f>
        <v>הזמנה</v>
      </c>
      <c r="S298">
        <v>0</v>
      </c>
      <c r="T298">
        <v>942.38</v>
      </c>
      <c r="U298">
        <v>0</v>
      </c>
      <c r="V298">
        <v>942.38</v>
      </c>
      <c r="W298" t="str">
        <f>"$"</f>
        <v>$</v>
      </c>
      <c r="X298">
        <v>0</v>
      </c>
      <c r="Y298">
        <v>0</v>
      </c>
      <c r="Z298">
        <v>0</v>
      </c>
      <c r="AA298" t="str">
        <f>"Y"</f>
        <v>Y</v>
      </c>
      <c r="AB298" t="str">
        <f>"SO23000236"</f>
        <v>SO23000236</v>
      </c>
      <c r="AC298">
        <v>5</v>
      </c>
      <c r="AD298" s="1">
        <v>45062</v>
      </c>
      <c r="AE298" t="str">
        <f>"SH23000990"</f>
        <v>SH23000990</v>
      </c>
      <c r="AF298" t="str">
        <f>"משלוחים ללקוח"</f>
        <v>משלוחים ללקוח</v>
      </c>
      <c r="AG298" s="1">
        <v>45140</v>
      </c>
      <c r="AM298" t="str">
        <f>"10"</f>
        <v>10</v>
      </c>
      <c r="AN298" t="str">
        <f>"500000"</f>
        <v>500000</v>
      </c>
      <c r="AO298" t="str">
        <f>"הכנסות  מלקוחות"</f>
        <v>הכנסות  מלקוחות</v>
      </c>
      <c r="AQ298" t="str">
        <f>"040"</f>
        <v>040</v>
      </c>
      <c r="AR298">
        <v>0</v>
      </c>
      <c r="AS298">
        <v>0</v>
      </c>
      <c r="AT298">
        <v>3.6869999999999998</v>
      </c>
      <c r="AX298" t="str">
        <f>"E000393939"</f>
        <v>E000393939</v>
      </c>
      <c r="BD298" t="str">
        <f>"רחמים זרוק"</f>
        <v>רחמים זרוק</v>
      </c>
    </row>
    <row r="299" spans="1:56" x14ac:dyDescent="0.3">
      <c r="A299" s="1">
        <v>45145</v>
      </c>
      <c r="B299" t="str">
        <f>"SI236001041"</f>
        <v>SI236001041</v>
      </c>
      <c r="C299" t="str">
        <f>"PR23000330"</f>
        <v>PR23000330</v>
      </c>
      <c r="D299" t="str">
        <f>"PR23000330"</f>
        <v>PR23000330</v>
      </c>
      <c r="E299" t="str">
        <f>"Y"</f>
        <v>Y</v>
      </c>
      <c r="F299" t="str">
        <f>"חשבוניות מרכזות"</f>
        <v>חשבוניות מרכזות</v>
      </c>
      <c r="G299" t="str">
        <f>"700065"</f>
        <v>700065</v>
      </c>
      <c r="H299" t="str">
        <f>"אלתא מערכות בע""מ"</f>
        <v>אלתא מערכות בע"מ</v>
      </c>
      <c r="I299" t="str">
        <f>"15"</f>
        <v>15</v>
      </c>
      <c r="J299" t="str">
        <f>"OP-AR03650"</f>
        <v>OP-AR03650</v>
      </c>
      <c r="K299" t="str">
        <f>"3034F730-001    HARNESS W730 - QMDC TP MMW FE LEFT"</f>
        <v>3034F730-001    HARNESS W730 - QMDC TP MMW FE LEFT</v>
      </c>
      <c r="L299">
        <v>6</v>
      </c>
      <c r="M299" t="str">
        <f>"יח"</f>
        <v>יח</v>
      </c>
      <c r="N299">
        <v>6</v>
      </c>
      <c r="O299" t="str">
        <f>"יח"</f>
        <v>יח</v>
      </c>
      <c r="P299">
        <v>469.11</v>
      </c>
      <c r="Q299" t="str">
        <f>"$"</f>
        <v>$</v>
      </c>
      <c r="R299" t="str">
        <f>"הזמנה"</f>
        <v>הזמנה</v>
      </c>
      <c r="S299">
        <v>0</v>
      </c>
      <c r="T299" s="2">
        <v>2814.66</v>
      </c>
      <c r="U299">
        <v>0</v>
      </c>
      <c r="V299" s="2">
        <v>2814.66</v>
      </c>
      <c r="W299" t="str">
        <f>"$"</f>
        <v>$</v>
      </c>
      <c r="X299">
        <v>0</v>
      </c>
      <c r="Y299">
        <v>0</v>
      </c>
      <c r="Z299">
        <v>0</v>
      </c>
      <c r="AA299" t="str">
        <f>"Y"</f>
        <v>Y</v>
      </c>
      <c r="AB299" t="str">
        <f>"SO23000236"</f>
        <v>SO23000236</v>
      </c>
      <c r="AC299">
        <v>6</v>
      </c>
      <c r="AD299" s="1">
        <v>45062</v>
      </c>
      <c r="AE299" t="str">
        <f>"SH23000990"</f>
        <v>SH23000990</v>
      </c>
      <c r="AF299" t="str">
        <f>"משלוחים ללקוח"</f>
        <v>משלוחים ללקוח</v>
      </c>
      <c r="AG299" s="1">
        <v>45140</v>
      </c>
      <c r="AM299" t="str">
        <f>"10"</f>
        <v>10</v>
      </c>
      <c r="AN299" t="str">
        <f>"500000"</f>
        <v>500000</v>
      </c>
      <c r="AO299" t="str">
        <f>"הכנסות  מלקוחות"</f>
        <v>הכנסות  מלקוחות</v>
      </c>
      <c r="AQ299" t="str">
        <f>"040"</f>
        <v>040</v>
      </c>
      <c r="AR299">
        <v>0</v>
      </c>
      <c r="AS299">
        <v>0</v>
      </c>
      <c r="AT299">
        <v>3.6869999999999998</v>
      </c>
      <c r="AX299" t="str">
        <f>"E000393939"</f>
        <v>E000393939</v>
      </c>
      <c r="BD299" t="str">
        <f>"רחמים זרוק"</f>
        <v>רחמים זרוק</v>
      </c>
    </row>
    <row r="300" spans="1:56" x14ac:dyDescent="0.3">
      <c r="A300" s="1">
        <v>45145</v>
      </c>
      <c r="B300" t="str">
        <f>"SI236001041"</f>
        <v>SI236001041</v>
      </c>
      <c r="C300" t="str">
        <f>"PR23000330"</f>
        <v>PR23000330</v>
      </c>
      <c r="D300" t="str">
        <f>"PR23000330"</f>
        <v>PR23000330</v>
      </c>
      <c r="E300" t="str">
        <f>"Y"</f>
        <v>Y</v>
      </c>
      <c r="F300" t="str">
        <f>"חשבוניות מרכזות"</f>
        <v>חשבוניות מרכזות</v>
      </c>
      <c r="G300" t="str">
        <f>"700065"</f>
        <v>700065</v>
      </c>
      <c r="H300" t="str">
        <f>"אלתא מערכות בע""מ"</f>
        <v>אלתא מערכות בע"מ</v>
      </c>
      <c r="I300" t="str">
        <f>"15"</f>
        <v>15</v>
      </c>
      <c r="J300" t="str">
        <f>"OP-AR03652"</f>
        <v>OP-AR03652</v>
      </c>
      <c r="K300" t="str">
        <f>"3034F750-001    HARNESS W750 - QMDC / mmW FE"</f>
        <v>3034F750-001    HARNESS W750 - QMDC / mmW FE</v>
      </c>
      <c r="L300">
        <v>6</v>
      </c>
      <c r="M300" t="str">
        <f>"יח"</f>
        <v>יח</v>
      </c>
      <c r="N300">
        <v>6</v>
      </c>
      <c r="O300" t="str">
        <f>"יח"</f>
        <v>יח</v>
      </c>
      <c r="P300">
        <v>486.02</v>
      </c>
      <c r="Q300" t="str">
        <f>"$"</f>
        <v>$</v>
      </c>
      <c r="R300" t="str">
        <f>"הזמנה"</f>
        <v>הזמנה</v>
      </c>
      <c r="S300">
        <v>0</v>
      </c>
      <c r="T300" s="2">
        <v>2916.12</v>
      </c>
      <c r="U300">
        <v>0</v>
      </c>
      <c r="V300" s="2">
        <v>2916.12</v>
      </c>
      <c r="W300" t="str">
        <f>"$"</f>
        <v>$</v>
      </c>
      <c r="X300">
        <v>0</v>
      </c>
      <c r="Y300">
        <v>0</v>
      </c>
      <c r="Z300">
        <v>0</v>
      </c>
      <c r="AA300" t="str">
        <f>"Y"</f>
        <v>Y</v>
      </c>
      <c r="AB300" t="str">
        <f>"SO23000236"</f>
        <v>SO23000236</v>
      </c>
      <c r="AC300">
        <v>8</v>
      </c>
      <c r="AD300" s="1">
        <v>45062</v>
      </c>
      <c r="AE300" t="str">
        <f>"SH23000990"</f>
        <v>SH23000990</v>
      </c>
      <c r="AF300" t="str">
        <f>"משלוחים ללקוח"</f>
        <v>משלוחים ללקוח</v>
      </c>
      <c r="AG300" s="1">
        <v>45140</v>
      </c>
      <c r="AM300" t="str">
        <f>"10"</f>
        <v>10</v>
      </c>
      <c r="AN300" t="str">
        <f>"500000"</f>
        <v>500000</v>
      </c>
      <c r="AO300" t="str">
        <f>"הכנסות  מלקוחות"</f>
        <v>הכנסות  מלקוחות</v>
      </c>
      <c r="AQ300" t="str">
        <f>"040"</f>
        <v>040</v>
      </c>
      <c r="AR300">
        <v>0</v>
      </c>
      <c r="AS300">
        <v>0</v>
      </c>
      <c r="AT300">
        <v>3.6869999999999998</v>
      </c>
      <c r="AX300" t="str">
        <f>"E000393939"</f>
        <v>E000393939</v>
      </c>
      <c r="BD300" t="str">
        <f>"רחמים זרוק"</f>
        <v>רחמים זרוק</v>
      </c>
    </row>
    <row r="301" spans="1:56" x14ac:dyDescent="0.3">
      <c r="A301" s="1">
        <v>45145</v>
      </c>
      <c r="B301" t="str">
        <f>"SI236001041"</f>
        <v>SI236001041</v>
      </c>
      <c r="C301" t="str">
        <f>"PR23000330"</f>
        <v>PR23000330</v>
      </c>
      <c r="D301" t="str">
        <f>"PR23000330"</f>
        <v>PR23000330</v>
      </c>
      <c r="E301" t="str">
        <f>"Y"</f>
        <v>Y</v>
      </c>
      <c r="F301" t="str">
        <f>"חשבוניות מרכזות"</f>
        <v>חשבוניות מרכזות</v>
      </c>
      <c r="G301" t="str">
        <f>"700065"</f>
        <v>700065</v>
      </c>
      <c r="H301" t="str">
        <f>"אלתא מערכות בע""מ"</f>
        <v>אלתא מערכות בע"מ</v>
      </c>
      <c r="I301" t="str">
        <f>"15"</f>
        <v>15</v>
      </c>
      <c r="J301" t="str">
        <f>"OP-AR03653"</f>
        <v>OP-AR03653</v>
      </c>
      <c r="K301" t="str">
        <f>"3034F760-001    HARNESS W760 - QMDC TO MMW FE BACK"</f>
        <v>3034F760-001    HARNESS W760 - QMDC TO MMW FE BACK</v>
      </c>
      <c r="L301">
        <v>6</v>
      </c>
      <c r="M301" t="str">
        <f>"יח"</f>
        <v>יח</v>
      </c>
      <c r="N301">
        <v>6</v>
      </c>
      <c r="O301" t="str">
        <f>"יח"</f>
        <v>יח</v>
      </c>
      <c r="P301">
        <v>469.11</v>
      </c>
      <c r="Q301" t="str">
        <f>"$"</f>
        <v>$</v>
      </c>
      <c r="R301" t="str">
        <f>"הזמנה"</f>
        <v>הזמנה</v>
      </c>
      <c r="S301">
        <v>0</v>
      </c>
      <c r="T301" s="2">
        <v>2814.66</v>
      </c>
      <c r="U301">
        <v>0</v>
      </c>
      <c r="V301" s="2">
        <v>2814.66</v>
      </c>
      <c r="W301" t="str">
        <f>"$"</f>
        <v>$</v>
      </c>
      <c r="X301">
        <v>0</v>
      </c>
      <c r="Y301">
        <v>0</v>
      </c>
      <c r="Z301">
        <v>0</v>
      </c>
      <c r="AA301" t="str">
        <f>"Y"</f>
        <v>Y</v>
      </c>
      <c r="AB301" t="str">
        <f>"SO23000236"</f>
        <v>SO23000236</v>
      </c>
      <c r="AC301">
        <v>9</v>
      </c>
      <c r="AD301" s="1">
        <v>45062</v>
      </c>
      <c r="AE301" t="str">
        <f>"SH23000990"</f>
        <v>SH23000990</v>
      </c>
      <c r="AF301" t="str">
        <f>"משלוחים ללקוח"</f>
        <v>משלוחים ללקוח</v>
      </c>
      <c r="AG301" s="1">
        <v>45140</v>
      </c>
      <c r="AM301" t="str">
        <f>"10"</f>
        <v>10</v>
      </c>
      <c r="AN301" t="str">
        <f>"500000"</f>
        <v>500000</v>
      </c>
      <c r="AO301" t="str">
        <f>"הכנסות  מלקוחות"</f>
        <v>הכנסות  מלקוחות</v>
      </c>
      <c r="AQ301" t="str">
        <f>"040"</f>
        <v>040</v>
      </c>
      <c r="AR301">
        <v>0</v>
      </c>
      <c r="AS301">
        <v>0</v>
      </c>
      <c r="AT301">
        <v>3.6869999999999998</v>
      </c>
      <c r="AX301" t="str">
        <f>"E000393939"</f>
        <v>E000393939</v>
      </c>
      <c r="BD301" t="str">
        <f>"רחמים זרוק"</f>
        <v>רחמים זרוק</v>
      </c>
    </row>
    <row r="302" spans="1:56" x14ac:dyDescent="0.3">
      <c r="A302" s="1">
        <v>45145</v>
      </c>
      <c r="B302" t="str">
        <f>"SI236001041"</f>
        <v>SI236001041</v>
      </c>
      <c r="C302" t="str">
        <f>"PR23000330"</f>
        <v>PR23000330</v>
      </c>
      <c r="D302" t="str">
        <f>"PR23000330"</f>
        <v>PR23000330</v>
      </c>
      <c r="E302" t="str">
        <f>"Y"</f>
        <v>Y</v>
      </c>
      <c r="F302" t="str">
        <f>"חשבוניות מרכזות"</f>
        <v>חשבוניות מרכזות</v>
      </c>
      <c r="G302" t="str">
        <f>"700065"</f>
        <v>700065</v>
      </c>
      <c r="H302" t="str">
        <f>"אלתא מערכות בע""מ"</f>
        <v>אלתא מערכות בע"מ</v>
      </c>
      <c r="I302" t="str">
        <f>"15"</f>
        <v>15</v>
      </c>
      <c r="J302" t="str">
        <f>"OP-AR03654"</f>
        <v>OP-AR03654</v>
      </c>
      <c r="K302" t="str">
        <f>"3034F770-001    HARNESS W770 - CONNECTION BOX TO MDRP B"</f>
        <v>3034F770-001    HARNESS W770 - CONNECTION BOX TO MDRP B</v>
      </c>
      <c r="L302">
        <v>6</v>
      </c>
      <c r="M302" t="str">
        <f>"יח"</f>
        <v>יח</v>
      </c>
      <c r="N302">
        <v>6</v>
      </c>
      <c r="O302" t="str">
        <f>"יח"</f>
        <v>יח</v>
      </c>
      <c r="P302">
        <v>958.71</v>
      </c>
      <c r="Q302" t="str">
        <f>"$"</f>
        <v>$</v>
      </c>
      <c r="R302" t="str">
        <f>"הזמנה"</f>
        <v>הזמנה</v>
      </c>
      <c r="S302">
        <v>0</v>
      </c>
      <c r="T302" s="2">
        <v>5752.26</v>
      </c>
      <c r="U302">
        <v>0</v>
      </c>
      <c r="V302" s="2">
        <v>5752.26</v>
      </c>
      <c r="W302" t="str">
        <f>"$"</f>
        <v>$</v>
      </c>
      <c r="X302">
        <v>0</v>
      </c>
      <c r="Y302">
        <v>0</v>
      </c>
      <c r="Z302">
        <v>0</v>
      </c>
      <c r="AA302" t="str">
        <f>"Y"</f>
        <v>Y</v>
      </c>
      <c r="AB302" t="str">
        <f>"SO23000236"</f>
        <v>SO23000236</v>
      </c>
      <c r="AC302">
        <v>10</v>
      </c>
      <c r="AD302" s="1">
        <v>45062</v>
      </c>
      <c r="AE302" t="str">
        <f>"SH23000990"</f>
        <v>SH23000990</v>
      </c>
      <c r="AF302" t="str">
        <f>"משלוחים ללקוח"</f>
        <v>משלוחים ללקוח</v>
      </c>
      <c r="AG302" s="1">
        <v>45140</v>
      </c>
      <c r="AM302" t="str">
        <f>"10"</f>
        <v>10</v>
      </c>
      <c r="AN302" t="str">
        <f>"500000"</f>
        <v>500000</v>
      </c>
      <c r="AO302" t="str">
        <f>"הכנסות  מלקוחות"</f>
        <v>הכנסות  מלקוחות</v>
      </c>
      <c r="AQ302" t="str">
        <f>"040"</f>
        <v>040</v>
      </c>
      <c r="AR302">
        <v>0</v>
      </c>
      <c r="AS302">
        <v>0</v>
      </c>
      <c r="AT302">
        <v>3.6869999999999998</v>
      </c>
      <c r="AX302" t="str">
        <f>"E000393939"</f>
        <v>E000393939</v>
      </c>
      <c r="BD302" t="str">
        <f>"רחמים זרוק"</f>
        <v>רחמים זרוק</v>
      </c>
    </row>
    <row r="303" spans="1:56" x14ac:dyDescent="0.3">
      <c r="A303" s="1">
        <v>45145</v>
      </c>
      <c r="B303" t="str">
        <f>"SI236001041"</f>
        <v>SI236001041</v>
      </c>
      <c r="C303" t="str">
        <f>"PR23000330"</f>
        <v>PR23000330</v>
      </c>
      <c r="D303" t="str">
        <f>"PR23000330"</f>
        <v>PR23000330</v>
      </c>
      <c r="E303" t="str">
        <f>"Y"</f>
        <v>Y</v>
      </c>
      <c r="F303" t="str">
        <f>"חשבוניות מרכזות"</f>
        <v>חשבוניות מרכזות</v>
      </c>
      <c r="G303" t="str">
        <f>"700065"</f>
        <v>700065</v>
      </c>
      <c r="H303" t="str">
        <f>"אלתא מערכות בע""מ"</f>
        <v>אלתא מערכות בע"מ</v>
      </c>
      <c r="I303" t="str">
        <f>"15"</f>
        <v>15</v>
      </c>
      <c r="J303" t="str">
        <f>"OP-AR03655"</f>
        <v>OP-AR03655</v>
      </c>
      <c r="K303" t="str">
        <f>"3034F780-001    HARNESS W780 - CONNECTION BOX TO MDRP A"</f>
        <v>3034F780-001    HARNESS W780 - CONNECTION BOX TO MDRP A</v>
      </c>
      <c r="L303">
        <v>6</v>
      </c>
      <c r="M303" t="str">
        <f>"יח"</f>
        <v>יח</v>
      </c>
      <c r="N303">
        <v>6</v>
      </c>
      <c r="O303" t="str">
        <f>"יח"</f>
        <v>יח</v>
      </c>
      <c r="P303">
        <v>958.71</v>
      </c>
      <c r="Q303" t="str">
        <f>"$"</f>
        <v>$</v>
      </c>
      <c r="R303" t="str">
        <f>"הזמנה"</f>
        <v>הזמנה</v>
      </c>
      <c r="S303">
        <v>0</v>
      </c>
      <c r="T303" s="2">
        <v>5752.26</v>
      </c>
      <c r="U303">
        <v>0</v>
      </c>
      <c r="V303" s="2">
        <v>5752.26</v>
      </c>
      <c r="W303" t="str">
        <f>"$"</f>
        <v>$</v>
      </c>
      <c r="X303">
        <v>0</v>
      </c>
      <c r="Y303">
        <v>0</v>
      </c>
      <c r="Z303">
        <v>0</v>
      </c>
      <c r="AA303" t="str">
        <f>"Y"</f>
        <v>Y</v>
      </c>
      <c r="AB303" t="str">
        <f>"SO23000236"</f>
        <v>SO23000236</v>
      </c>
      <c r="AC303">
        <v>11</v>
      </c>
      <c r="AD303" s="1">
        <v>45062</v>
      </c>
      <c r="AE303" t="str">
        <f>"SH23000990"</f>
        <v>SH23000990</v>
      </c>
      <c r="AF303" t="str">
        <f>"משלוחים ללקוח"</f>
        <v>משלוחים ללקוח</v>
      </c>
      <c r="AG303" s="1">
        <v>45140</v>
      </c>
      <c r="AM303" t="str">
        <f>"10"</f>
        <v>10</v>
      </c>
      <c r="AN303" t="str">
        <f>"500000"</f>
        <v>500000</v>
      </c>
      <c r="AO303" t="str">
        <f>"הכנסות  מלקוחות"</f>
        <v>הכנסות  מלקוחות</v>
      </c>
      <c r="AQ303" t="str">
        <f>"040"</f>
        <v>040</v>
      </c>
      <c r="AR303">
        <v>0</v>
      </c>
      <c r="AS303">
        <v>0</v>
      </c>
      <c r="AT303">
        <v>3.6869999999999998</v>
      </c>
      <c r="AX303" t="str">
        <f>"E000393939"</f>
        <v>E000393939</v>
      </c>
      <c r="BD303" t="str">
        <f>"רחמים זרוק"</f>
        <v>רחמים זרוק</v>
      </c>
    </row>
    <row r="304" spans="1:56" x14ac:dyDescent="0.3">
      <c r="A304" s="1">
        <v>45145</v>
      </c>
      <c r="B304" t="str">
        <f>"SI236001041"</f>
        <v>SI236001041</v>
      </c>
      <c r="C304" t="str">
        <f>"PR23000330"</f>
        <v>PR23000330</v>
      </c>
      <c r="D304" t="str">
        <f>"PR23000330"</f>
        <v>PR23000330</v>
      </c>
      <c r="E304" t="str">
        <f>"Y"</f>
        <v>Y</v>
      </c>
      <c r="F304" t="str">
        <f>"חשבוניות מרכזות"</f>
        <v>חשבוניות מרכזות</v>
      </c>
      <c r="G304" t="str">
        <f>"700065"</f>
        <v>700065</v>
      </c>
      <c r="H304" t="str">
        <f>"אלתא מערכות בע""מ"</f>
        <v>אלתא מערכות בע"מ</v>
      </c>
      <c r="I304" t="str">
        <f>"15"</f>
        <v>15</v>
      </c>
      <c r="J304" t="str">
        <f>"OP-AR03656"</f>
        <v>OP-AR03656</v>
      </c>
      <c r="K304" t="str">
        <f>"3034F790-001    HARNESS W790 - CONNECTION BOX TO QMDC"</f>
        <v>3034F790-001    HARNESS W790 - CONNECTION BOX TO QMDC</v>
      </c>
      <c r="L304">
        <v>6</v>
      </c>
      <c r="M304" t="str">
        <f>"יח"</f>
        <v>יח</v>
      </c>
      <c r="N304">
        <v>6</v>
      </c>
      <c r="O304" t="str">
        <f>"יח"</f>
        <v>יח</v>
      </c>
      <c r="P304">
        <v>372.18</v>
      </c>
      <c r="Q304" t="str">
        <f>"$"</f>
        <v>$</v>
      </c>
      <c r="R304" t="str">
        <f>"הזמנה"</f>
        <v>הזמנה</v>
      </c>
      <c r="S304">
        <v>0</v>
      </c>
      <c r="T304" s="2">
        <v>2233.08</v>
      </c>
      <c r="U304">
        <v>0</v>
      </c>
      <c r="V304" s="2">
        <v>2233.08</v>
      </c>
      <c r="W304" t="str">
        <f>"$"</f>
        <v>$</v>
      </c>
      <c r="X304">
        <v>0</v>
      </c>
      <c r="Y304">
        <v>0</v>
      </c>
      <c r="Z304">
        <v>0</v>
      </c>
      <c r="AA304" t="str">
        <f>"Y"</f>
        <v>Y</v>
      </c>
      <c r="AB304" t="str">
        <f>"SO23000236"</f>
        <v>SO23000236</v>
      </c>
      <c r="AC304">
        <v>12</v>
      </c>
      <c r="AD304" s="1">
        <v>45062</v>
      </c>
      <c r="AE304" t="str">
        <f>"SH23000990"</f>
        <v>SH23000990</v>
      </c>
      <c r="AF304" t="str">
        <f>"משלוחים ללקוח"</f>
        <v>משלוחים ללקוח</v>
      </c>
      <c r="AG304" s="1">
        <v>45140</v>
      </c>
      <c r="AM304" t="str">
        <f>"10"</f>
        <v>10</v>
      </c>
      <c r="AN304" t="str">
        <f>"500000"</f>
        <v>500000</v>
      </c>
      <c r="AO304" t="str">
        <f>"הכנסות  מלקוחות"</f>
        <v>הכנסות  מלקוחות</v>
      </c>
      <c r="AQ304" t="str">
        <f>"040"</f>
        <v>040</v>
      </c>
      <c r="AR304">
        <v>0</v>
      </c>
      <c r="AS304">
        <v>0</v>
      </c>
      <c r="AT304">
        <v>3.6869999999999998</v>
      </c>
      <c r="AX304" t="str">
        <f>"E000393939"</f>
        <v>E000393939</v>
      </c>
      <c r="BD304" t="str">
        <f>"רחמים זרוק"</f>
        <v>רחמים זרוק</v>
      </c>
    </row>
    <row r="305" spans="1:56" x14ac:dyDescent="0.3">
      <c r="A305" s="1">
        <v>45145</v>
      </c>
      <c r="B305" t="str">
        <f>"SI236001041"</f>
        <v>SI236001041</v>
      </c>
      <c r="C305" t="str">
        <f>"PR23000330"</f>
        <v>PR23000330</v>
      </c>
      <c r="D305" t="str">
        <f>"PR23000330"</f>
        <v>PR23000330</v>
      </c>
      <c r="E305" t="str">
        <f>"Y"</f>
        <v>Y</v>
      </c>
      <c r="F305" t="str">
        <f>"חשבוניות מרכזות"</f>
        <v>חשבוניות מרכזות</v>
      </c>
      <c r="G305" t="str">
        <f>"700065"</f>
        <v>700065</v>
      </c>
      <c r="H305" t="str">
        <f>"אלתא מערכות בע""מ"</f>
        <v>אלתא מערכות בע"מ</v>
      </c>
      <c r="I305" t="str">
        <f>"15"</f>
        <v>15</v>
      </c>
      <c r="J305" t="str">
        <f>"OP-AR03651"</f>
        <v>OP-AR03651</v>
      </c>
      <c r="K305" t="str">
        <f>"3034F740-001    HARNESS W740 - QMDC TO MMW FE RIGHT"</f>
        <v>3034F740-001    HARNESS W740 - QMDC TO MMW FE RIGHT</v>
      </c>
      <c r="L305">
        <v>2</v>
      </c>
      <c r="M305" t="str">
        <f>"יח"</f>
        <v>יח</v>
      </c>
      <c r="N305">
        <v>2</v>
      </c>
      <c r="O305" t="str">
        <f>"יח"</f>
        <v>יח</v>
      </c>
      <c r="P305">
        <v>469.11</v>
      </c>
      <c r="Q305" t="str">
        <f>"$"</f>
        <v>$</v>
      </c>
      <c r="R305" t="str">
        <f>"הזמנה"</f>
        <v>הזמנה</v>
      </c>
      <c r="S305">
        <v>0</v>
      </c>
      <c r="T305">
        <v>938.22</v>
      </c>
      <c r="U305">
        <v>0</v>
      </c>
      <c r="V305">
        <v>938.22</v>
      </c>
      <c r="W305" t="str">
        <f>"$"</f>
        <v>$</v>
      </c>
      <c r="X305">
        <v>0</v>
      </c>
      <c r="Y305">
        <v>0</v>
      </c>
      <c r="Z305">
        <v>0</v>
      </c>
      <c r="AA305" t="str">
        <f>"Y"</f>
        <v>Y</v>
      </c>
      <c r="AB305" t="str">
        <f>"SO23000236"</f>
        <v>SO23000236</v>
      </c>
      <c r="AC305">
        <v>7</v>
      </c>
      <c r="AD305" s="1">
        <v>45062</v>
      </c>
      <c r="AE305" t="str">
        <f>"SH23000990"</f>
        <v>SH23000990</v>
      </c>
      <c r="AF305" t="str">
        <f>"משלוחים ללקוח"</f>
        <v>משלוחים ללקוח</v>
      </c>
      <c r="AG305" s="1">
        <v>45140</v>
      </c>
      <c r="AM305" t="str">
        <f>"10"</f>
        <v>10</v>
      </c>
      <c r="AN305" t="str">
        <f>"500000"</f>
        <v>500000</v>
      </c>
      <c r="AO305" t="str">
        <f>"הכנסות  מלקוחות"</f>
        <v>הכנסות  מלקוחות</v>
      </c>
      <c r="AQ305" t="str">
        <f>"040"</f>
        <v>040</v>
      </c>
      <c r="AR305">
        <v>0</v>
      </c>
      <c r="AS305">
        <v>0</v>
      </c>
      <c r="AT305">
        <v>3.6869999999999998</v>
      </c>
      <c r="AX305" t="str">
        <f>"E000393939"</f>
        <v>E000393939</v>
      </c>
      <c r="BD305" t="str">
        <f>"רחמים זרוק"</f>
        <v>רחמים זרוק</v>
      </c>
    </row>
    <row r="306" spans="1:56" x14ac:dyDescent="0.3">
      <c r="A306" s="1">
        <v>45140</v>
      </c>
      <c r="B306" t="str">
        <f>"SI236001010"</f>
        <v>SI236001010</v>
      </c>
      <c r="C306" t="str">
        <f>"PR23000127"</f>
        <v>PR23000127</v>
      </c>
      <c r="D306" t="str">
        <f>"PR23000127"</f>
        <v>PR23000127</v>
      </c>
      <c r="E306" t="str">
        <f>"Y"</f>
        <v>Y</v>
      </c>
      <c r="F306" t="str">
        <f>"חשבוניות מרכזות"</f>
        <v>חשבוניות מרכזות</v>
      </c>
      <c r="G306" t="str">
        <f>"700065"</f>
        <v>700065</v>
      </c>
      <c r="H306" t="str">
        <f>"אלתא מערכות בע""מ"</f>
        <v>אלתא מערכות בע"מ</v>
      </c>
      <c r="I306" t="str">
        <f>"10"</f>
        <v>10</v>
      </c>
      <c r="J306" t="str">
        <f>"PS0200161"</f>
        <v>PS0200161</v>
      </c>
      <c r="K306" t="str">
        <f>"ספק כח ווידמולר 1478150000 pro max 960W 24V 40A"</f>
        <v>ספק כח ווידמולר 1478150000 pro max 960W 24V 40A</v>
      </c>
      <c r="L306">
        <v>2</v>
      </c>
      <c r="M306" t="str">
        <f>"יח"</f>
        <v>יח</v>
      </c>
      <c r="N306">
        <v>2</v>
      </c>
      <c r="O306" t="str">
        <f>"יח"</f>
        <v>יח</v>
      </c>
      <c r="P306">
        <v>645</v>
      </c>
      <c r="Q306" t="str">
        <f>"$"</f>
        <v>$</v>
      </c>
      <c r="R306" t="str">
        <f>"הזמנה"</f>
        <v>הזמנה</v>
      </c>
      <c r="S306">
        <v>0</v>
      </c>
      <c r="T306" s="2">
        <v>1290</v>
      </c>
      <c r="U306">
        <v>0</v>
      </c>
      <c r="V306" s="2">
        <v>1290</v>
      </c>
      <c r="W306" t="str">
        <f>"$"</f>
        <v>$</v>
      </c>
      <c r="X306">
        <v>0</v>
      </c>
      <c r="Y306">
        <v>0</v>
      </c>
      <c r="Z306">
        <v>0</v>
      </c>
      <c r="AA306" t="str">
        <f>"Y"</f>
        <v>Y</v>
      </c>
      <c r="AB306" t="str">
        <f>"SO23000063"</f>
        <v>SO23000063</v>
      </c>
      <c r="AC306">
        <v>1</v>
      </c>
      <c r="AD306" s="1">
        <v>44956</v>
      </c>
      <c r="AE306" t="str">
        <f>"SH23000890"</f>
        <v>SH23000890</v>
      </c>
      <c r="AF306" t="str">
        <f>"משלוחים ללקוח"</f>
        <v>משלוחים ללקוח</v>
      </c>
      <c r="AG306" s="1">
        <v>45120</v>
      </c>
      <c r="AM306" t="str">
        <f>"10"</f>
        <v>10</v>
      </c>
      <c r="AN306" t="str">
        <f>"500000"</f>
        <v>500000</v>
      </c>
      <c r="AO306" t="str">
        <f>"הכנסות  מלקוחות"</f>
        <v>הכנסות  מלקוחות</v>
      </c>
      <c r="AQ306" t="str">
        <f>"007"</f>
        <v>007</v>
      </c>
      <c r="AR306">
        <v>0</v>
      </c>
      <c r="AS306">
        <v>0</v>
      </c>
      <c r="AT306">
        <v>3.653</v>
      </c>
      <c r="AX306" t="str">
        <f>"E000383952"</f>
        <v>E000383952</v>
      </c>
      <c r="BD306" t="str">
        <f>"רוני דידי"</f>
        <v>רוני דידי</v>
      </c>
    </row>
    <row r="307" spans="1:56" x14ac:dyDescent="0.3">
      <c r="A307" s="1">
        <v>45140</v>
      </c>
      <c r="B307" t="str">
        <f>"SI236000999"</f>
        <v>SI236000999</v>
      </c>
      <c r="C307" t="str">
        <f>"PR23000082"</f>
        <v>PR23000082</v>
      </c>
      <c r="D307" t="str">
        <f>"PR23000082"</f>
        <v>PR23000082</v>
      </c>
      <c r="E307" t="str">
        <f>"Y"</f>
        <v>Y</v>
      </c>
      <c r="F307" t="str">
        <f>"חשבוניות מרכזות"</f>
        <v>חשבוניות מרכזות</v>
      </c>
      <c r="G307" t="str">
        <f>"700065"</f>
        <v>700065</v>
      </c>
      <c r="H307" t="str">
        <f>"אלתא מערכות בע""מ"</f>
        <v>אלתא מערכות בע"מ</v>
      </c>
      <c r="I307" t="str">
        <f>"10"</f>
        <v>10</v>
      </c>
      <c r="J307" t="str">
        <f>"OP-ML00236"</f>
        <v>OP-ML00236</v>
      </c>
      <c r="K307" t="str">
        <f>"מיישר זרם KW120"</f>
        <v>מיישר זרם KW120</v>
      </c>
      <c r="L307">
        <v>1</v>
      </c>
      <c r="M307" t="str">
        <f>"יח"</f>
        <v>יח</v>
      </c>
      <c r="N307">
        <v>1</v>
      </c>
      <c r="O307" t="str">
        <f>"יח"</f>
        <v>יח</v>
      </c>
      <c r="P307" s="2">
        <v>26350</v>
      </c>
      <c r="Q307" t="str">
        <f>"$"</f>
        <v>$</v>
      </c>
      <c r="R307" t="str">
        <f>"הזמנה"</f>
        <v>הזמנה</v>
      </c>
      <c r="S307">
        <v>0</v>
      </c>
      <c r="T307" s="2">
        <v>26350</v>
      </c>
      <c r="U307">
        <v>0</v>
      </c>
      <c r="V307" s="2">
        <v>26350</v>
      </c>
      <c r="W307" t="str">
        <f>"$"</f>
        <v>$</v>
      </c>
      <c r="X307">
        <v>0</v>
      </c>
      <c r="Y307">
        <v>0</v>
      </c>
      <c r="Z307">
        <v>0</v>
      </c>
      <c r="AA307" t="str">
        <f>"Y"</f>
        <v>Y</v>
      </c>
      <c r="AB307" t="str">
        <f>"SO23000041"</f>
        <v>SO23000041</v>
      </c>
      <c r="AC307">
        <v>1</v>
      </c>
      <c r="AD307" s="1">
        <v>44942</v>
      </c>
      <c r="AE307" t="str">
        <f>"SH23001160"</f>
        <v>SH23001160</v>
      </c>
      <c r="AF307" t="str">
        <f>"משלוחים ללקוח"</f>
        <v>משלוחים ללקוח</v>
      </c>
      <c r="AG307" s="1">
        <v>45175</v>
      </c>
      <c r="AM307" t="str">
        <f>"10"</f>
        <v>10</v>
      </c>
      <c r="AN307" t="str">
        <f>"500000"</f>
        <v>500000</v>
      </c>
      <c r="AO307" t="str">
        <f>"הכנסות  מלקוחות"</f>
        <v>הכנסות  מלקוחות</v>
      </c>
      <c r="AQ307" t="str">
        <f>"007"</f>
        <v>007</v>
      </c>
      <c r="AR307">
        <v>0</v>
      </c>
      <c r="AS307">
        <v>0</v>
      </c>
      <c r="AT307">
        <v>3.653</v>
      </c>
      <c r="AX307" t="str">
        <f>"E000382728"</f>
        <v>E000382728</v>
      </c>
      <c r="BD307" t="str">
        <f>"רוני דידי"</f>
        <v>רוני דידי</v>
      </c>
    </row>
    <row r="308" spans="1:56" x14ac:dyDescent="0.3">
      <c r="A308" s="1">
        <v>45139</v>
      </c>
      <c r="B308" t="str">
        <f>"SI236001258"</f>
        <v>SI236001258</v>
      </c>
      <c r="E308" t="str">
        <f>"Y"</f>
        <v>Y</v>
      </c>
      <c r="F308" t="str">
        <f>"חשבוניות מרכזות"</f>
        <v>חשבוניות מרכזות</v>
      </c>
      <c r="G308" t="str">
        <f>"700065"</f>
        <v>700065</v>
      </c>
      <c r="H308" t="str">
        <f>"אלתא מערכות בע""מ"</f>
        <v>אלתא מערכות בע"מ</v>
      </c>
      <c r="I308" t="str">
        <f>"10"</f>
        <v>10</v>
      </c>
      <c r="J308" t="str">
        <f>"OP-AR03538"</f>
        <v>OP-AR03538</v>
      </c>
      <c r="K308" t="str">
        <f>"1043B860-001 PDB1 M"</f>
        <v>1043B860-001 PDB1 M</v>
      </c>
      <c r="L308">
        <v>1</v>
      </c>
      <c r="M308" t="str">
        <f>"יח"</f>
        <v>יח</v>
      </c>
      <c r="N308">
        <v>1</v>
      </c>
      <c r="O308" t="str">
        <f>"יח"</f>
        <v>יח</v>
      </c>
      <c r="P308" s="2">
        <v>43055</v>
      </c>
      <c r="Q308" t="str">
        <f>"$"</f>
        <v>$</v>
      </c>
      <c r="R308" t="str">
        <f>"הזמנה"</f>
        <v>הזמנה</v>
      </c>
      <c r="S308">
        <v>0</v>
      </c>
      <c r="T308" s="2">
        <v>43055</v>
      </c>
      <c r="U308">
        <v>0</v>
      </c>
      <c r="V308" s="2">
        <v>43055</v>
      </c>
      <c r="W308" t="str">
        <f>"$"</f>
        <v>$</v>
      </c>
      <c r="X308">
        <v>0</v>
      </c>
      <c r="Y308">
        <v>0</v>
      </c>
      <c r="Z308">
        <v>0</v>
      </c>
      <c r="AA308" t="str">
        <f>"Y"</f>
        <v>Y</v>
      </c>
      <c r="AB308" t="str">
        <f>"SO22000192"</f>
        <v>SO22000192</v>
      </c>
      <c r="AC308">
        <v>10</v>
      </c>
      <c r="AD308" s="1">
        <v>44698</v>
      </c>
      <c r="AE308" t="str">
        <f>"SH23001206"</f>
        <v>SH23001206</v>
      </c>
      <c r="AF308" t="str">
        <f>"משלוחים ללקוח"</f>
        <v>משלוחים ללקוח</v>
      </c>
      <c r="AG308" s="1">
        <v>45189</v>
      </c>
      <c r="AM308" t="str">
        <f>"10"</f>
        <v>10</v>
      </c>
      <c r="AN308" t="str">
        <f>"500000"</f>
        <v>500000</v>
      </c>
      <c r="AO308" t="str">
        <f>"הכנסות  מלקוחות"</f>
        <v>הכנסות  מלקוחות</v>
      </c>
      <c r="AQ308" t="str">
        <f>"034"</f>
        <v>034</v>
      </c>
      <c r="AR308">
        <v>0</v>
      </c>
      <c r="AS308">
        <v>0</v>
      </c>
      <c r="AT308">
        <v>3.653</v>
      </c>
      <c r="AX308" t="str">
        <f>"E000361337"</f>
        <v>E000361337</v>
      </c>
      <c r="BD308" t="str">
        <f>"ערן שלו"</f>
        <v>ערן שלו</v>
      </c>
    </row>
    <row r="309" spans="1:56" x14ac:dyDescent="0.3">
      <c r="A309" s="1">
        <v>45139</v>
      </c>
      <c r="B309" t="str">
        <f>"SI236001247"</f>
        <v>SI236001247</v>
      </c>
      <c r="E309" t="str">
        <f>"Y"</f>
        <v>Y</v>
      </c>
      <c r="F309" t="str">
        <f>"חשבוניות מרכזות"</f>
        <v>חשבוניות מרכזות</v>
      </c>
      <c r="G309" t="str">
        <f>"700065"</f>
        <v>700065</v>
      </c>
      <c r="H309" t="str">
        <f>"אלתא מערכות בע""מ"</f>
        <v>אלתא מערכות בע"מ</v>
      </c>
      <c r="I309" t="str">
        <f>"10"</f>
        <v>10</v>
      </c>
      <c r="J309" t="str">
        <f>"OP-AR02918"</f>
        <v>OP-AR02918</v>
      </c>
      <c r="K309" t="str">
        <f>"HU PDB1 1033H520-001"</f>
        <v>HU PDB1 1033H520-001</v>
      </c>
      <c r="L309">
        <v>1</v>
      </c>
      <c r="M309" t="str">
        <f>"יח"</f>
        <v>יח</v>
      </c>
      <c r="N309">
        <v>1</v>
      </c>
      <c r="O309" t="str">
        <f>"יח"</f>
        <v>יח</v>
      </c>
      <c r="P309" s="2">
        <v>47360</v>
      </c>
      <c r="Q309" t="str">
        <f>"$"</f>
        <v>$</v>
      </c>
      <c r="R309" t="str">
        <f>"הזמנה"</f>
        <v>הזמנה</v>
      </c>
      <c r="S309">
        <v>0</v>
      </c>
      <c r="T309" s="2">
        <v>47360</v>
      </c>
      <c r="U309">
        <v>0</v>
      </c>
      <c r="V309" s="2">
        <v>47360</v>
      </c>
      <c r="W309" t="str">
        <f>"$"</f>
        <v>$</v>
      </c>
      <c r="X309">
        <v>0</v>
      </c>
      <c r="Y309">
        <v>0</v>
      </c>
      <c r="Z309">
        <v>0</v>
      </c>
      <c r="AA309" t="str">
        <f>"Y"</f>
        <v>Y</v>
      </c>
      <c r="AB309" t="str">
        <f>"SO22000441"</f>
        <v>SO22000441</v>
      </c>
      <c r="AC309">
        <v>5</v>
      </c>
      <c r="AD309" s="1">
        <v>44900</v>
      </c>
      <c r="AE309" t="str">
        <f>"SH23001209"</f>
        <v>SH23001209</v>
      </c>
      <c r="AF309" t="str">
        <f>"משלוחים ללקוח"</f>
        <v>משלוחים ללקוח</v>
      </c>
      <c r="AG309" s="1">
        <v>45139</v>
      </c>
      <c r="AM309" t="str">
        <f>"10"</f>
        <v>10</v>
      </c>
      <c r="AN309" t="str">
        <f>"500000"</f>
        <v>500000</v>
      </c>
      <c r="AO309" t="str">
        <f>"הכנסות  מלקוחות"</f>
        <v>הכנסות  מלקוחות</v>
      </c>
      <c r="AQ309" t="str">
        <f>"034"</f>
        <v>034</v>
      </c>
      <c r="AR309">
        <v>0</v>
      </c>
      <c r="AS309">
        <v>0</v>
      </c>
      <c r="AT309">
        <v>3.653</v>
      </c>
      <c r="AX309" t="str">
        <f>"E000377788"</f>
        <v>E000377788</v>
      </c>
      <c r="BD309" t="str">
        <f>"ערן שלו"</f>
        <v>ערן שלו</v>
      </c>
    </row>
    <row r="310" spans="1:56" x14ac:dyDescent="0.3">
      <c r="A310" s="1">
        <v>45139</v>
      </c>
      <c r="B310" t="str">
        <f>"SI236001246"</f>
        <v>SI236001246</v>
      </c>
      <c r="E310" t="str">
        <f>"Y"</f>
        <v>Y</v>
      </c>
      <c r="F310" t="str">
        <f>"חשבוניות מרכזות"</f>
        <v>חשבוניות מרכזות</v>
      </c>
      <c r="G310" t="str">
        <f>"700065"</f>
        <v>700065</v>
      </c>
      <c r="H310" t="str">
        <f>"אלתא מערכות בע""מ"</f>
        <v>אלתא מערכות בע"מ</v>
      </c>
      <c r="I310" t="str">
        <f>"10"</f>
        <v>10</v>
      </c>
      <c r="J310" t="str">
        <f>"OP-AR02041-1S"</f>
        <v>OP-AR02041-1S</v>
      </c>
      <c r="K310" t="str">
        <f>"SL PDB  1 1042A860-001"</f>
        <v>SL PDB  1 1042A860-001</v>
      </c>
      <c r="L310">
        <v>1</v>
      </c>
      <c r="M310" t="str">
        <f>"יח"</f>
        <v>יח</v>
      </c>
      <c r="N310">
        <v>1</v>
      </c>
      <c r="O310" t="str">
        <f>"יח"</f>
        <v>יח</v>
      </c>
      <c r="P310" s="2">
        <v>46550</v>
      </c>
      <c r="Q310" t="str">
        <f>"$"</f>
        <v>$</v>
      </c>
      <c r="R310" t="str">
        <f>"הזמנה"</f>
        <v>הזמנה</v>
      </c>
      <c r="S310">
        <v>0</v>
      </c>
      <c r="T310" s="2">
        <v>46550</v>
      </c>
      <c r="U310">
        <v>0</v>
      </c>
      <c r="V310" s="2">
        <v>46550</v>
      </c>
      <c r="W310" t="str">
        <f>"$"</f>
        <v>$</v>
      </c>
      <c r="X310">
        <v>0</v>
      </c>
      <c r="Y310">
        <v>0</v>
      </c>
      <c r="Z310">
        <v>0</v>
      </c>
      <c r="AA310" t="str">
        <f>"Y"</f>
        <v>Y</v>
      </c>
      <c r="AB310" t="str">
        <f>"SO23000135"</f>
        <v>SO23000135</v>
      </c>
      <c r="AC310">
        <v>2</v>
      </c>
      <c r="AD310" s="1">
        <v>44991</v>
      </c>
      <c r="AE310" t="str">
        <f>"SH23001234"</f>
        <v>SH23001234</v>
      </c>
      <c r="AF310" t="str">
        <f>"משלוחים ללקוח"</f>
        <v>משלוחים ללקוח</v>
      </c>
      <c r="AG310" s="1">
        <v>45196</v>
      </c>
      <c r="AM310" t="str">
        <f>"10"</f>
        <v>10</v>
      </c>
      <c r="AN310" t="str">
        <f>"500000"</f>
        <v>500000</v>
      </c>
      <c r="AO310" t="str">
        <f>"הכנסות  מלקוחות"</f>
        <v>הכנסות  מלקוחות</v>
      </c>
      <c r="AQ310" t="str">
        <f>"007"</f>
        <v>007</v>
      </c>
      <c r="AR310">
        <v>0</v>
      </c>
      <c r="AS310">
        <v>0</v>
      </c>
      <c r="AT310">
        <v>3.8260000000000001</v>
      </c>
      <c r="AX310" t="str">
        <f>"E000388607"</f>
        <v>E000388607</v>
      </c>
      <c r="BD310" t="str">
        <f>"רוני דידי"</f>
        <v>רוני דידי</v>
      </c>
    </row>
    <row r="311" spans="1:56" x14ac:dyDescent="0.3">
      <c r="A311" s="1">
        <v>45139</v>
      </c>
      <c r="B311" t="str">
        <f>"SI236001207"</f>
        <v>SI236001207</v>
      </c>
      <c r="C311" t="str">
        <f>"PR22000149"</f>
        <v>PR22000149</v>
      </c>
      <c r="E311" t="str">
        <f>"Y"</f>
        <v>Y</v>
      </c>
      <c r="F311" t="str">
        <f>"חשבוניות מרכזות"</f>
        <v>חשבוניות מרכזות</v>
      </c>
      <c r="G311" t="str">
        <f>"700065"</f>
        <v>700065</v>
      </c>
      <c r="H311" t="str">
        <f>"אלתא מערכות בע""מ"</f>
        <v>אלתא מערכות בע"מ</v>
      </c>
      <c r="I311" t="str">
        <f>"10"</f>
        <v>10</v>
      </c>
      <c r="J311" t="str">
        <f>"OP-AR02041-1S"</f>
        <v>OP-AR02041-1S</v>
      </c>
      <c r="K311" t="str">
        <f>"SL PDB  1 1042A860-001"</f>
        <v>SL PDB  1 1042A860-001</v>
      </c>
      <c r="L311">
        <v>1</v>
      </c>
      <c r="M311" t="str">
        <f>"יח"</f>
        <v>יח</v>
      </c>
      <c r="N311">
        <v>1</v>
      </c>
      <c r="O311" t="str">
        <f>"יח"</f>
        <v>יח</v>
      </c>
      <c r="P311" s="2">
        <v>41000</v>
      </c>
      <c r="Q311" t="str">
        <f>"$"</f>
        <v>$</v>
      </c>
      <c r="R311" t="str">
        <f>"הזמנה"</f>
        <v>הזמנה</v>
      </c>
      <c r="S311">
        <v>0</v>
      </c>
      <c r="T311" s="2">
        <v>41000</v>
      </c>
      <c r="U311">
        <v>0</v>
      </c>
      <c r="V311" s="2">
        <v>41000</v>
      </c>
      <c r="W311" t="str">
        <f>"$"</f>
        <v>$</v>
      </c>
      <c r="X311">
        <v>0</v>
      </c>
      <c r="Y311">
        <v>0</v>
      </c>
      <c r="Z311">
        <v>0</v>
      </c>
      <c r="AA311" t="str">
        <f>"Y"</f>
        <v>Y</v>
      </c>
      <c r="AB311" t="str">
        <f>"SO22000016"</f>
        <v>SO22000016</v>
      </c>
      <c r="AC311">
        <v>31</v>
      </c>
      <c r="AD311" s="1">
        <v>44574</v>
      </c>
      <c r="AE311" t="str">
        <f>"SH23001072"</f>
        <v>SH23001072</v>
      </c>
      <c r="AF311" t="str">
        <f>"משלוחים ללקוח"</f>
        <v>משלוחים ללקוח</v>
      </c>
      <c r="AG311" s="1">
        <v>45158</v>
      </c>
      <c r="AM311" t="str">
        <f>"10"</f>
        <v>10</v>
      </c>
      <c r="AN311" t="str">
        <f>"500000"</f>
        <v>500000</v>
      </c>
      <c r="AO311" t="str">
        <f>"הכנסות  מלקוחות"</f>
        <v>הכנסות  מלקוחות</v>
      </c>
      <c r="AQ311" t="str">
        <f>"007"</f>
        <v>007</v>
      </c>
      <c r="AR311">
        <v>0</v>
      </c>
      <c r="AS311">
        <v>0</v>
      </c>
      <c r="AT311">
        <v>3.653</v>
      </c>
      <c r="AX311" t="str">
        <f>"E000355064"</f>
        <v>E000355064</v>
      </c>
      <c r="BD311" t="str">
        <f>"רוני דידי"</f>
        <v>רוני דידי</v>
      </c>
    </row>
    <row r="312" spans="1:56" x14ac:dyDescent="0.3">
      <c r="A312" s="1">
        <v>45139</v>
      </c>
      <c r="B312" t="str">
        <f>"SI236001117"</f>
        <v>SI236001117</v>
      </c>
      <c r="E312" t="str">
        <f>"Y"</f>
        <v>Y</v>
      </c>
      <c r="F312" t="str">
        <f>"חשבוניות מרכזות"</f>
        <v>חשבוניות מרכזות</v>
      </c>
      <c r="G312" t="str">
        <f>"700065"</f>
        <v>700065</v>
      </c>
      <c r="H312" t="str">
        <f>"אלתא מערכות בע""מ"</f>
        <v>אלתא מערכות בע"מ</v>
      </c>
      <c r="I312" t="str">
        <f>"15"</f>
        <v>15</v>
      </c>
      <c r="J312" t="str">
        <f>"OP-AR03629"</f>
        <v>OP-AR03629</v>
      </c>
      <c r="K312" t="str">
        <f>"2038B552-001    GND CABLE CNW913"</f>
        <v>2038B552-001    GND CABLE CNW913</v>
      </c>
      <c r="L312">
        <v>2</v>
      </c>
      <c r="M312" t="str">
        <f>"יח"</f>
        <v>יח</v>
      </c>
      <c r="N312">
        <v>2</v>
      </c>
      <c r="O312" t="str">
        <f>"יח"</f>
        <v>יח</v>
      </c>
      <c r="P312">
        <v>115.31</v>
      </c>
      <c r="Q312" t="str">
        <f>"$"</f>
        <v>$</v>
      </c>
      <c r="R312" t="str">
        <f>"הזמנה"</f>
        <v>הזמנה</v>
      </c>
      <c r="S312">
        <v>0</v>
      </c>
      <c r="T312">
        <v>230.62</v>
      </c>
      <c r="U312">
        <v>0</v>
      </c>
      <c r="V312">
        <v>230.62</v>
      </c>
      <c r="W312" t="str">
        <f>"$"</f>
        <v>$</v>
      </c>
      <c r="X312">
        <v>0</v>
      </c>
      <c r="Y312">
        <v>0</v>
      </c>
      <c r="Z312">
        <v>0</v>
      </c>
      <c r="AA312" t="str">
        <f>"Y"</f>
        <v>Y</v>
      </c>
      <c r="AB312" t="str">
        <f>"SO23000226"</f>
        <v>SO23000226</v>
      </c>
      <c r="AC312">
        <v>2</v>
      </c>
      <c r="AD312" s="1">
        <v>45054</v>
      </c>
      <c r="AM312" t="str">
        <f>"10"</f>
        <v>10</v>
      </c>
      <c r="AN312" t="str">
        <f>"500000"</f>
        <v>500000</v>
      </c>
      <c r="AO312" t="str">
        <f>"הכנסות  מלקוחות"</f>
        <v>הכנסות  מלקוחות</v>
      </c>
      <c r="AQ312" t="str">
        <f>"040"</f>
        <v>040</v>
      </c>
      <c r="AR312">
        <v>0</v>
      </c>
      <c r="AS312">
        <v>0</v>
      </c>
      <c r="AT312">
        <v>3.653</v>
      </c>
      <c r="AX312" t="str">
        <f>"E000393606"</f>
        <v>E000393606</v>
      </c>
      <c r="BD312" t="str">
        <f>"רחמים זרוק"</f>
        <v>רחמים זרוק</v>
      </c>
    </row>
    <row r="313" spans="1:56" x14ac:dyDescent="0.3">
      <c r="A313" s="1">
        <v>45139</v>
      </c>
      <c r="B313" t="str">
        <f>"SI236001117"</f>
        <v>SI236001117</v>
      </c>
      <c r="E313" t="str">
        <f>"Y"</f>
        <v>Y</v>
      </c>
      <c r="F313" t="str">
        <f>"חשבוניות מרכזות"</f>
        <v>חשבוניות מרכזות</v>
      </c>
      <c r="G313" t="str">
        <f>"700065"</f>
        <v>700065</v>
      </c>
      <c r="H313" t="str">
        <f>"אלתא מערכות בע""מ"</f>
        <v>אלתא מערכות בע"מ</v>
      </c>
      <c r="I313" t="str">
        <f>"15"</f>
        <v>15</v>
      </c>
      <c r="J313" t="str">
        <f>"OP-AR03630"</f>
        <v>OP-AR03630</v>
      </c>
      <c r="K313" t="str">
        <f>"2070B184-001    CABLE ASSY GNDW104"</f>
        <v>2070B184-001    CABLE ASSY GNDW104</v>
      </c>
      <c r="L313">
        <v>1</v>
      </c>
      <c r="M313" t="str">
        <f>"יח"</f>
        <v>יח</v>
      </c>
      <c r="N313">
        <v>1</v>
      </c>
      <c r="O313" t="str">
        <f>"יח"</f>
        <v>יח</v>
      </c>
      <c r="P313">
        <v>149.86000000000001</v>
      </c>
      <c r="Q313" t="str">
        <f>"$"</f>
        <v>$</v>
      </c>
      <c r="R313" t="str">
        <f>"הזמנה"</f>
        <v>הזמנה</v>
      </c>
      <c r="S313">
        <v>0</v>
      </c>
      <c r="T313">
        <v>149.86000000000001</v>
      </c>
      <c r="U313">
        <v>0</v>
      </c>
      <c r="V313">
        <v>149.86000000000001</v>
      </c>
      <c r="W313" t="str">
        <f>"$"</f>
        <v>$</v>
      </c>
      <c r="X313">
        <v>0</v>
      </c>
      <c r="Y313">
        <v>0</v>
      </c>
      <c r="Z313">
        <v>0</v>
      </c>
      <c r="AA313" t="str">
        <f>"Y"</f>
        <v>Y</v>
      </c>
      <c r="AB313" t="str">
        <f>"SO23000226"</f>
        <v>SO23000226</v>
      </c>
      <c r="AC313">
        <v>4</v>
      </c>
      <c r="AD313" s="1">
        <v>45054</v>
      </c>
      <c r="AE313" t="str">
        <f>"SH23000916"</f>
        <v>SH23000916</v>
      </c>
      <c r="AF313" t="str">
        <f>"משלוחים ללקוח"</f>
        <v>משלוחים ללקוח</v>
      </c>
      <c r="AG313" s="1">
        <v>45125</v>
      </c>
      <c r="AM313" t="str">
        <f>"10"</f>
        <v>10</v>
      </c>
      <c r="AN313" t="str">
        <f>"500000"</f>
        <v>500000</v>
      </c>
      <c r="AO313" t="str">
        <f>"הכנסות  מלקוחות"</f>
        <v>הכנסות  מלקוחות</v>
      </c>
      <c r="AQ313" t="str">
        <f>"040"</f>
        <v>040</v>
      </c>
      <c r="AR313">
        <v>0</v>
      </c>
      <c r="AS313">
        <v>0</v>
      </c>
      <c r="AT313">
        <v>3.653</v>
      </c>
      <c r="AX313" t="str">
        <f>"E000393606"</f>
        <v>E000393606</v>
      </c>
      <c r="BD313" t="str">
        <f>"רחמים זרוק"</f>
        <v>רחמים זרוק</v>
      </c>
    </row>
    <row r="314" spans="1:56" x14ac:dyDescent="0.3">
      <c r="A314" s="1">
        <v>45139</v>
      </c>
      <c r="B314" t="str">
        <f>"SI236001117"</f>
        <v>SI236001117</v>
      </c>
      <c r="E314" t="str">
        <f>"Y"</f>
        <v>Y</v>
      </c>
      <c r="F314" t="str">
        <f>"חשבוניות מרכזות"</f>
        <v>חשבוניות מרכזות</v>
      </c>
      <c r="G314" t="str">
        <f>"700065"</f>
        <v>700065</v>
      </c>
      <c r="H314" t="str">
        <f>"אלתא מערכות בע""מ"</f>
        <v>אלתא מערכות בע"מ</v>
      </c>
      <c r="I314" t="str">
        <f>"15"</f>
        <v>15</v>
      </c>
      <c r="J314" t="str">
        <f>"OP-AR03629"</f>
        <v>OP-AR03629</v>
      </c>
      <c r="K314" t="str">
        <f>"2038B552-001    GND CABLE CNW913"</f>
        <v>2038B552-001    GND CABLE CNW913</v>
      </c>
      <c r="L314">
        <v>2</v>
      </c>
      <c r="M314" t="str">
        <f>"יח"</f>
        <v>יח</v>
      </c>
      <c r="N314">
        <v>2</v>
      </c>
      <c r="O314" t="str">
        <f>"יח"</f>
        <v>יח</v>
      </c>
      <c r="P314">
        <v>115.31</v>
      </c>
      <c r="Q314" t="str">
        <f>"$"</f>
        <v>$</v>
      </c>
      <c r="R314" t="str">
        <f>"הזמנה"</f>
        <v>הזמנה</v>
      </c>
      <c r="S314">
        <v>0</v>
      </c>
      <c r="T314">
        <v>230.62</v>
      </c>
      <c r="U314">
        <v>0</v>
      </c>
      <c r="V314">
        <v>230.62</v>
      </c>
      <c r="W314" t="str">
        <f>"$"</f>
        <v>$</v>
      </c>
      <c r="X314">
        <v>0</v>
      </c>
      <c r="Y314">
        <v>0</v>
      </c>
      <c r="Z314">
        <v>0</v>
      </c>
      <c r="AA314" t="str">
        <f>"Y"</f>
        <v>Y</v>
      </c>
      <c r="AB314" t="str">
        <f>"SO23000226"</f>
        <v>SO23000226</v>
      </c>
      <c r="AC314">
        <v>10</v>
      </c>
      <c r="AD314" s="1">
        <v>45054</v>
      </c>
      <c r="AE314" t="str">
        <f>"SH23000916"</f>
        <v>SH23000916</v>
      </c>
      <c r="AF314" t="str">
        <f>"משלוחים ללקוח"</f>
        <v>משלוחים ללקוח</v>
      </c>
      <c r="AG314" s="1">
        <v>45125</v>
      </c>
      <c r="AM314" t="str">
        <f>"10"</f>
        <v>10</v>
      </c>
      <c r="AN314" t="str">
        <f>"500000"</f>
        <v>500000</v>
      </c>
      <c r="AO314" t="str">
        <f>"הכנסות  מלקוחות"</f>
        <v>הכנסות  מלקוחות</v>
      </c>
      <c r="AQ314" t="str">
        <f>"040"</f>
        <v>040</v>
      </c>
      <c r="AR314">
        <v>0</v>
      </c>
      <c r="AS314">
        <v>0</v>
      </c>
      <c r="AT314">
        <v>3.653</v>
      </c>
      <c r="AX314" t="str">
        <f>"E000393606"</f>
        <v>E000393606</v>
      </c>
      <c r="BD314" t="str">
        <f>"רחמים זרוק"</f>
        <v>רחמים זרוק</v>
      </c>
    </row>
    <row r="315" spans="1:56" x14ac:dyDescent="0.3">
      <c r="A315" s="1">
        <v>45138</v>
      </c>
      <c r="B315" t="str">
        <f>"SI236001022"</f>
        <v>SI236001022</v>
      </c>
      <c r="C315" t="str">
        <f>"PR23000001"</f>
        <v>PR23000001</v>
      </c>
      <c r="E315" t="str">
        <f>"Y"</f>
        <v>Y</v>
      </c>
      <c r="F315" t="str">
        <f>"חשבוניות מרכזות"</f>
        <v>חשבוניות מרכזות</v>
      </c>
      <c r="G315" t="str">
        <f>"700065"</f>
        <v>700065</v>
      </c>
      <c r="H315" t="str">
        <f>"אלתא מערכות בע""מ"</f>
        <v>אלתא מערכות בע"מ</v>
      </c>
      <c r="I315" t="str">
        <f>"10"</f>
        <v>10</v>
      </c>
      <c r="J315" t="str">
        <f>"OP-AR01701"</f>
        <v>OP-AR01701</v>
      </c>
      <c r="K315" t="str">
        <f>"1020B573-003 P.C.U W2 HARNESS MOTOR POWER"</f>
        <v>1020B573-003 P.C.U W2 HARNESS MOTOR POWER</v>
      </c>
      <c r="L315">
        <v>1</v>
      </c>
      <c r="M315" t="str">
        <f>"יח"</f>
        <v>יח</v>
      </c>
      <c r="N315">
        <v>1</v>
      </c>
      <c r="O315" t="str">
        <f>"יח"</f>
        <v>יח</v>
      </c>
      <c r="P315">
        <v>663.36</v>
      </c>
      <c r="Q315" t="str">
        <f>"$"</f>
        <v>$</v>
      </c>
      <c r="R315" t="str">
        <f>"הזמנה"</f>
        <v>הזמנה</v>
      </c>
      <c r="S315">
        <v>0</v>
      </c>
      <c r="T315">
        <v>663.36</v>
      </c>
      <c r="U315">
        <v>0</v>
      </c>
      <c r="V315">
        <v>663.36</v>
      </c>
      <c r="W315" t="str">
        <f>"$"</f>
        <v>$</v>
      </c>
      <c r="X315">
        <v>0</v>
      </c>
      <c r="Y315">
        <v>0</v>
      </c>
      <c r="Z315">
        <v>0</v>
      </c>
      <c r="AA315" t="str">
        <f>"Y"</f>
        <v>Y</v>
      </c>
      <c r="AB315" t="str">
        <f>"SO22000474"</f>
        <v>SO22000474</v>
      </c>
      <c r="AC315">
        <v>2</v>
      </c>
      <c r="AD315" s="1">
        <v>44917</v>
      </c>
      <c r="AE315" t="str">
        <f>"SH23000724"</f>
        <v>SH23000724</v>
      </c>
      <c r="AF315" t="str">
        <f>"משלוחים ללקוח"</f>
        <v>משלוחים ללקוח</v>
      </c>
      <c r="AG315" s="1">
        <v>45090</v>
      </c>
      <c r="AM315" t="str">
        <f>"10"</f>
        <v>10</v>
      </c>
      <c r="AN315" t="str">
        <f>"500000"</f>
        <v>500000</v>
      </c>
      <c r="AO315" t="str">
        <f>"הכנסות  מלקוחות"</f>
        <v>הכנסות  מלקוחות</v>
      </c>
      <c r="AQ315" t="str">
        <f>"040"</f>
        <v>040</v>
      </c>
      <c r="AR315">
        <v>0</v>
      </c>
      <c r="AS315">
        <v>0</v>
      </c>
      <c r="AT315">
        <v>3.6930000000000001</v>
      </c>
      <c r="AX315" t="str">
        <f>"E000381253"</f>
        <v>E000381253</v>
      </c>
      <c r="BD315" t="str">
        <f>"רחמים זרוק"</f>
        <v>רחמים זרוק</v>
      </c>
    </row>
    <row r="316" spans="1:56" x14ac:dyDescent="0.3">
      <c r="A316" s="1">
        <v>45138</v>
      </c>
      <c r="B316" t="str">
        <f>"SI236001021"</f>
        <v>SI236001021</v>
      </c>
      <c r="C316" t="str">
        <f>"PR22000552"</f>
        <v>PR22000552</v>
      </c>
      <c r="D316" t="str">
        <f>"PR22000552"</f>
        <v>PR22000552</v>
      </c>
      <c r="E316" t="str">
        <f>"Y"</f>
        <v>Y</v>
      </c>
      <c r="F316" t="str">
        <f>"חשבוניות מרכזות"</f>
        <v>חשבוניות מרכזות</v>
      </c>
      <c r="G316" t="str">
        <f>"700065"</f>
        <v>700065</v>
      </c>
      <c r="H316" t="str">
        <f>"אלתא מערכות בע""מ"</f>
        <v>אלתא מערכות בע"מ</v>
      </c>
      <c r="I316" t="str">
        <f>"15"</f>
        <v>15</v>
      </c>
      <c r="J316" t="str">
        <f>"OP-AR03224"</f>
        <v>OP-AR03224</v>
      </c>
      <c r="K316" t="str">
        <f>"6950A161-001    HARNESS WM01 - CU TO ANTENNA RIGHT FWD"</f>
        <v>6950A161-001    HARNESS WM01 - CU TO ANTENNA RIGHT FWD</v>
      </c>
      <c r="L316">
        <v>1</v>
      </c>
      <c r="M316" t="str">
        <f>"יח"</f>
        <v>יח</v>
      </c>
      <c r="N316">
        <v>1</v>
      </c>
      <c r="O316" t="str">
        <f>"יח"</f>
        <v>יח</v>
      </c>
      <c r="P316" s="2">
        <v>1291.22</v>
      </c>
      <c r="Q316" t="str">
        <f>"$"</f>
        <v>$</v>
      </c>
      <c r="R316" t="str">
        <f>"הזמנה"</f>
        <v>הזמנה</v>
      </c>
      <c r="S316">
        <v>0</v>
      </c>
      <c r="T316" s="2">
        <v>1291.22</v>
      </c>
      <c r="U316">
        <v>0</v>
      </c>
      <c r="V316" s="2">
        <v>1291.22</v>
      </c>
      <c r="W316" t="str">
        <f>"$"</f>
        <v>$</v>
      </c>
      <c r="X316">
        <v>0</v>
      </c>
      <c r="Y316">
        <v>0</v>
      </c>
      <c r="Z316">
        <v>0</v>
      </c>
      <c r="AA316" t="str">
        <f>"Y"</f>
        <v>Y</v>
      </c>
      <c r="AB316" t="str">
        <f>"SO22000334"</f>
        <v>SO22000334</v>
      </c>
      <c r="AC316">
        <v>2</v>
      </c>
      <c r="AD316" s="1">
        <v>44789</v>
      </c>
      <c r="AE316" t="str">
        <f>"SH23000922"</f>
        <v>SH23000922</v>
      </c>
      <c r="AF316" t="str">
        <f>"משלוחים ללקוח"</f>
        <v>משלוחים ללקוח</v>
      </c>
      <c r="AG316" s="1">
        <v>45126</v>
      </c>
      <c r="AM316" t="str">
        <f>"10"</f>
        <v>10</v>
      </c>
      <c r="AN316" t="str">
        <f>"500000"</f>
        <v>500000</v>
      </c>
      <c r="AO316" t="str">
        <f>"הכנסות  מלקוחות"</f>
        <v>הכנסות  מלקוחות</v>
      </c>
      <c r="AQ316" t="str">
        <f>"040"</f>
        <v>040</v>
      </c>
      <c r="AR316">
        <v>0</v>
      </c>
      <c r="AS316">
        <v>0</v>
      </c>
      <c r="AT316">
        <v>3.6930000000000001</v>
      </c>
      <c r="AX316" t="str">
        <f>"E000369247"</f>
        <v>E000369247</v>
      </c>
      <c r="BD316" t="str">
        <f>"רחמים זרוק"</f>
        <v>רחמים זרוק</v>
      </c>
    </row>
    <row r="317" spans="1:56" x14ac:dyDescent="0.3">
      <c r="A317" s="1">
        <v>45138</v>
      </c>
      <c r="B317" t="str">
        <f>"SI236001020"</f>
        <v>SI236001020</v>
      </c>
      <c r="C317" t="str">
        <f>"PR23000266"</f>
        <v>PR23000266</v>
      </c>
      <c r="D317" t="str">
        <f>"PR23000266"</f>
        <v>PR23000266</v>
      </c>
      <c r="E317" t="str">
        <f>"Y"</f>
        <v>Y</v>
      </c>
      <c r="F317" t="str">
        <f>"חשבוניות מרכזות"</f>
        <v>חשבוניות מרכזות</v>
      </c>
      <c r="G317" t="str">
        <f>"700065"</f>
        <v>700065</v>
      </c>
      <c r="H317" t="str">
        <f>"אלתא מערכות בע""מ"</f>
        <v>אלתא מערכות בע"מ</v>
      </c>
      <c r="I317" t="str">
        <f>"10"</f>
        <v>10</v>
      </c>
      <c r="J317" t="str">
        <f>"OP-AR03604"</f>
        <v>OP-AR03604</v>
      </c>
      <c r="K317" t="str">
        <f>"2227B116-001    ANT SEA KING OHMIC TEST MOTORS"</f>
        <v>2227B116-001    ANT SEA KING OHMIC TEST MOTORS</v>
      </c>
      <c r="L317">
        <v>1</v>
      </c>
      <c r="M317" t="str">
        <f>"יח"</f>
        <v>יח</v>
      </c>
      <c r="N317">
        <v>1</v>
      </c>
      <c r="O317" t="str">
        <f>"יח"</f>
        <v>יח</v>
      </c>
      <c r="P317">
        <v>407.72</v>
      </c>
      <c r="Q317" t="str">
        <f>"$"</f>
        <v>$</v>
      </c>
      <c r="R317" t="str">
        <f>"הזמנה"</f>
        <v>הזמנה</v>
      </c>
      <c r="S317">
        <v>0</v>
      </c>
      <c r="T317">
        <v>407.72</v>
      </c>
      <c r="U317">
        <v>0</v>
      </c>
      <c r="V317">
        <v>407.72</v>
      </c>
      <c r="W317" t="str">
        <f>"$"</f>
        <v>$</v>
      </c>
      <c r="X317">
        <v>0</v>
      </c>
      <c r="Y317">
        <v>0</v>
      </c>
      <c r="Z317">
        <v>0</v>
      </c>
      <c r="AA317" t="str">
        <f>"Y"</f>
        <v>Y</v>
      </c>
      <c r="AB317" t="str">
        <f>"SO23000179"</f>
        <v>SO23000179</v>
      </c>
      <c r="AC317">
        <v>4</v>
      </c>
      <c r="AD317" s="1">
        <v>45020</v>
      </c>
      <c r="AE317" t="str">
        <f>"SH23000781"</f>
        <v>SH23000781</v>
      </c>
      <c r="AF317" t="str">
        <f>"משלוחים ללקוח"</f>
        <v>משלוחים ללקוח</v>
      </c>
      <c r="AG317" s="1">
        <v>45102</v>
      </c>
      <c r="AM317" t="str">
        <f>"10"</f>
        <v>10</v>
      </c>
      <c r="AN317" t="str">
        <f>"500000"</f>
        <v>500000</v>
      </c>
      <c r="AO317" t="str">
        <f>"הכנסות  מלקוחות"</f>
        <v>הכנסות  מלקוחות</v>
      </c>
      <c r="AQ317" t="str">
        <f>"040"</f>
        <v>040</v>
      </c>
      <c r="AR317">
        <v>0</v>
      </c>
      <c r="AS317">
        <v>0</v>
      </c>
      <c r="AT317">
        <v>3.6930000000000001</v>
      </c>
      <c r="AX317" t="str">
        <f>"E000390898"</f>
        <v>E000390898</v>
      </c>
      <c r="BD317" t="str">
        <f>"רחמים זרוק"</f>
        <v>רחמים זרוק</v>
      </c>
    </row>
    <row r="318" spans="1:56" x14ac:dyDescent="0.3">
      <c r="A318" s="1">
        <v>45138</v>
      </c>
      <c r="B318" t="str">
        <f>"SI236001020"</f>
        <v>SI236001020</v>
      </c>
      <c r="C318" t="str">
        <f>"PR23000266"</f>
        <v>PR23000266</v>
      </c>
      <c r="D318" t="str">
        <f>"PR23000266"</f>
        <v>PR23000266</v>
      </c>
      <c r="E318" t="str">
        <f>"Y"</f>
        <v>Y</v>
      </c>
      <c r="F318" t="str">
        <f>"חשבוניות מרכזות"</f>
        <v>חשבוניות מרכזות</v>
      </c>
      <c r="G318" t="str">
        <f>"700065"</f>
        <v>700065</v>
      </c>
      <c r="H318" t="str">
        <f>"אלתא מערכות בע""מ"</f>
        <v>אלתא מערכות בע"מ</v>
      </c>
      <c r="I318" t="str">
        <f>"10"</f>
        <v>10</v>
      </c>
      <c r="J318" t="str">
        <f>"OP-AR03605"</f>
        <v>OP-AR03605</v>
      </c>
      <c r="K318" t="str">
        <f>"2227B118-001    ANT SEA KING OHMIC TEST RESOLVERS"</f>
        <v>2227B118-001    ANT SEA KING OHMIC TEST RESOLVERS</v>
      </c>
      <c r="L318">
        <v>1</v>
      </c>
      <c r="M318" t="str">
        <f>"יח"</f>
        <v>יח</v>
      </c>
      <c r="N318">
        <v>1</v>
      </c>
      <c r="O318" t="str">
        <f>"יח"</f>
        <v>יח</v>
      </c>
      <c r="P318">
        <v>424.19</v>
      </c>
      <c r="Q318" t="str">
        <f>"$"</f>
        <v>$</v>
      </c>
      <c r="R318" t="str">
        <f>"הזמנה"</f>
        <v>הזמנה</v>
      </c>
      <c r="S318">
        <v>0</v>
      </c>
      <c r="T318">
        <v>424.19</v>
      </c>
      <c r="U318">
        <v>0</v>
      </c>
      <c r="V318">
        <v>424.19</v>
      </c>
      <c r="W318" t="str">
        <f>"$"</f>
        <v>$</v>
      </c>
      <c r="X318">
        <v>0</v>
      </c>
      <c r="Y318">
        <v>0</v>
      </c>
      <c r="Z318">
        <v>0</v>
      </c>
      <c r="AA318" t="str">
        <f>"Y"</f>
        <v>Y</v>
      </c>
      <c r="AB318" t="str">
        <f>"SO23000179"</f>
        <v>SO23000179</v>
      </c>
      <c r="AC318">
        <v>5</v>
      </c>
      <c r="AD318" s="1">
        <v>45020</v>
      </c>
      <c r="AE318" t="str">
        <f>"SH23000781"</f>
        <v>SH23000781</v>
      </c>
      <c r="AF318" t="str">
        <f>"משלוחים ללקוח"</f>
        <v>משלוחים ללקוח</v>
      </c>
      <c r="AG318" s="1">
        <v>45102</v>
      </c>
      <c r="AM318" t="str">
        <f>"10"</f>
        <v>10</v>
      </c>
      <c r="AN318" t="str">
        <f>"500000"</f>
        <v>500000</v>
      </c>
      <c r="AO318" t="str">
        <f>"הכנסות  מלקוחות"</f>
        <v>הכנסות  מלקוחות</v>
      </c>
      <c r="AQ318" t="str">
        <f>"040"</f>
        <v>040</v>
      </c>
      <c r="AR318">
        <v>0</v>
      </c>
      <c r="AS318">
        <v>0</v>
      </c>
      <c r="AT318">
        <v>3.6930000000000001</v>
      </c>
      <c r="AX318" t="str">
        <f>"E000390898"</f>
        <v>E000390898</v>
      </c>
      <c r="BD318" t="str">
        <f>"רחמים זרוק"</f>
        <v>רחמים זרוק</v>
      </c>
    </row>
    <row r="319" spans="1:56" x14ac:dyDescent="0.3">
      <c r="A319" s="1">
        <v>45138</v>
      </c>
      <c r="B319" t="str">
        <f>"SI236001020"</f>
        <v>SI236001020</v>
      </c>
      <c r="C319" t="str">
        <f>"PR23000266"</f>
        <v>PR23000266</v>
      </c>
      <c r="D319" t="str">
        <f>"PR23000266"</f>
        <v>PR23000266</v>
      </c>
      <c r="E319" t="str">
        <f>"Y"</f>
        <v>Y</v>
      </c>
      <c r="F319" t="str">
        <f>"חשבוניות מרכזות"</f>
        <v>חשבוניות מרכזות</v>
      </c>
      <c r="G319" t="str">
        <f>"700065"</f>
        <v>700065</v>
      </c>
      <c r="H319" t="str">
        <f>"אלתא מערכות בע""מ"</f>
        <v>אלתא מערכות בע"מ</v>
      </c>
      <c r="I319" t="str">
        <f>"10"</f>
        <v>10</v>
      </c>
      <c r="J319" t="str">
        <f>"OP-AR03606"</f>
        <v>OP-AR03606</v>
      </c>
      <c r="K319" t="str">
        <f>"2227B122-001    ANT SEA KING MOTORS CABLE"</f>
        <v>2227B122-001    ANT SEA KING MOTORS CABLE</v>
      </c>
      <c r="L319">
        <v>1</v>
      </c>
      <c r="M319" t="str">
        <f>"יח"</f>
        <v>יח</v>
      </c>
      <c r="N319">
        <v>1</v>
      </c>
      <c r="O319" t="str">
        <f>"יח"</f>
        <v>יח</v>
      </c>
      <c r="P319">
        <v>341.28</v>
      </c>
      <c r="Q319" t="str">
        <f>"$"</f>
        <v>$</v>
      </c>
      <c r="R319" t="str">
        <f>"הזמנה"</f>
        <v>הזמנה</v>
      </c>
      <c r="S319">
        <v>0</v>
      </c>
      <c r="T319">
        <v>341.28</v>
      </c>
      <c r="U319">
        <v>0</v>
      </c>
      <c r="V319">
        <v>341.28</v>
      </c>
      <c r="W319" t="str">
        <f>"$"</f>
        <v>$</v>
      </c>
      <c r="X319">
        <v>0</v>
      </c>
      <c r="Y319">
        <v>0</v>
      </c>
      <c r="Z319">
        <v>0</v>
      </c>
      <c r="AA319" t="str">
        <f>"Y"</f>
        <v>Y</v>
      </c>
      <c r="AB319" t="str">
        <f>"SO23000179"</f>
        <v>SO23000179</v>
      </c>
      <c r="AC319">
        <v>6</v>
      </c>
      <c r="AD319" s="1">
        <v>45020</v>
      </c>
      <c r="AE319" t="str">
        <f>"SH23000781"</f>
        <v>SH23000781</v>
      </c>
      <c r="AF319" t="str">
        <f>"משלוחים ללקוח"</f>
        <v>משלוחים ללקוח</v>
      </c>
      <c r="AG319" s="1">
        <v>45102</v>
      </c>
      <c r="AM319" t="str">
        <f>"10"</f>
        <v>10</v>
      </c>
      <c r="AN319" t="str">
        <f>"500000"</f>
        <v>500000</v>
      </c>
      <c r="AO319" t="str">
        <f>"הכנסות  מלקוחות"</f>
        <v>הכנסות  מלקוחות</v>
      </c>
      <c r="AQ319" t="str">
        <f>"040"</f>
        <v>040</v>
      </c>
      <c r="AR319">
        <v>0</v>
      </c>
      <c r="AS319">
        <v>0</v>
      </c>
      <c r="AT319">
        <v>3.6930000000000001</v>
      </c>
      <c r="AX319" t="str">
        <f>"E000390898"</f>
        <v>E000390898</v>
      </c>
      <c r="BD319" t="str">
        <f>"רחמים זרוק"</f>
        <v>רחמים זרוק</v>
      </c>
    </row>
    <row r="320" spans="1:56" x14ac:dyDescent="0.3">
      <c r="A320" s="1">
        <v>45138</v>
      </c>
      <c r="B320" t="str">
        <f>"SI236001000"</f>
        <v>SI236001000</v>
      </c>
      <c r="C320" t="str">
        <f>"PR23000077"</f>
        <v>PR23000077</v>
      </c>
      <c r="D320" t="str">
        <f>"PR23000077"</f>
        <v>PR23000077</v>
      </c>
      <c r="E320" t="str">
        <f>"Y"</f>
        <v>Y</v>
      </c>
      <c r="F320" t="str">
        <f>"חשבוניות מרכזות"</f>
        <v>חשבוניות מרכזות</v>
      </c>
      <c r="G320" t="str">
        <f>"700065"</f>
        <v>700065</v>
      </c>
      <c r="H320" t="str">
        <f>"אלתא מערכות בע""מ"</f>
        <v>אלתא מערכות בע"מ</v>
      </c>
      <c r="I320" t="str">
        <f>"15"</f>
        <v>15</v>
      </c>
      <c r="J320" t="str">
        <f>"OP-AR03548"</f>
        <v>OP-AR03548</v>
      </c>
      <c r="K320" t="str">
        <f>"1037N451-001    CABLE ASSY W44"</f>
        <v>1037N451-001    CABLE ASSY W44</v>
      </c>
      <c r="L320">
        <v>3</v>
      </c>
      <c r="M320" t="str">
        <f>"יח"</f>
        <v>יח</v>
      </c>
      <c r="N320">
        <v>3</v>
      </c>
      <c r="O320" t="str">
        <f>"יח"</f>
        <v>יח</v>
      </c>
      <c r="P320">
        <v>328.89</v>
      </c>
      <c r="Q320" t="str">
        <f>"$"</f>
        <v>$</v>
      </c>
      <c r="R320" t="str">
        <f>"הזמנה"</f>
        <v>הזמנה</v>
      </c>
      <c r="S320">
        <v>0</v>
      </c>
      <c r="T320">
        <v>986.67</v>
      </c>
      <c r="U320">
        <v>0</v>
      </c>
      <c r="V320">
        <v>986.67</v>
      </c>
      <c r="W320" t="str">
        <f>"$"</f>
        <v>$</v>
      </c>
      <c r="X320">
        <v>0</v>
      </c>
      <c r="Y320">
        <v>0</v>
      </c>
      <c r="Z320">
        <v>0</v>
      </c>
      <c r="AA320" t="str">
        <f>"Y"</f>
        <v>Y</v>
      </c>
      <c r="AB320" t="str">
        <f>"SO23000048"</f>
        <v>SO23000048</v>
      </c>
      <c r="AC320">
        <v>9</v>
      </c>
      <c r="AD320" s="1">
        <v>44944</v>
      </c>
      <c r="AE320" t="str">
        <f>"SH23000912"</f>
        <v>SH23000912</v>
      </c>
      <c r="AF320" t="str">
        <f>"משלוחים ללקוח"</f>
        <v>משלוחים ללקוח</v>
      </c>
      <c r="AG320" s="1">
        <v>45125</v>
      </c>
      <c r="AM320" t="str">
        <f>"10"</f>
        <v>10</v>
      </c>
      <c r="AN320" t="str">
        <f>"500000"</f>
        <v>500000</v>
      </c>
      <c r="AO320" t="str">
        <f>"הכנסות  מלקוחות"</f>
        <v>הכנסות  מלקוחות</v>
      </c>
      <c r="AQ320" t="str">
        <f>"040"</f>
        <v>040</v>
      </c>
      <c r="AR320">
        <v>0</v>
      </c>
      <c r="AS320">
        <v>0</v>
      </c>
      <c r="AT320">
        <v>3.6930000000000001</v>
      </c>
      <c r="AX320" t="str">
        <f>"E000383715"</f>
        <v>E000383715</v>
      </c>
      <c r="BD320" t="str">
        <f>"רחמים זרוק"</f>
        <v>רחמים זרוק</v>
      </c>
    </row>
    <row r="321" spans="1:56" x14ac:dyDescent="0.3">
      <c r="A321" s="1">
        <v>45138</v>
      </c>
      <c r="B321" t="str">
        <f>"SI236001000"</f>
        <v>SI236001000</v>
      </c>
      <c r="C321" t="str">
        <f>"PR23000077"</f>
        <v>PR23000077</v>
      </c>
      <c r="D321" t="str">
        <f>"PR23000077"</f>
        <v>PR23000077</v>
      </c>
      <c r="E321" t="str">
        <f>"Y"</f>
        <v>Y</v>
      </c>
      <c r="F321" t="str">
        <f>"חשבוניות מרכזות"</f>
        <v>חשבוניות מרכזות</v>
      </c>
      <c r="G321" t="str">
        <f>"700065"</f>
        <v>700065</v>
      </c>
      <c r="H321" t="str">
        <f>"אלתא מערכות בע""מ"</f>
        <v>אלתא מערכות בע"מ</v>
      </c>
      <c r="I321" t="str">
        <f>"15"</f>
        <v>15</v>
      </c>
      <c r="J321" t="str">
        <f>"OP-AR03548"</f>
        <v>OP-AR03548</v>
      </c>
      <c r="K321" t="str">
        <f>"1037N451-001    CABLE ASSY W44"</f>
        <v>1037N451-001    CABLE ASSY W44</v>
      </c>
      <c r="L321">
        <v>2</v>
      </c>
      <c r="M321" t="str">
        <f>"יח"</f>
        <v>יח</v>
      </c>
      <c r="N321">
        <v>2</v>
      </c>
      <c r="O321" t="str">
        <f>"יח"</f>
        <v>יח</v>
      </c>
      <c r="P321">
        <v>328.89</v>
      </c>
      <c r="Q321" t="str">
        <f>"$"</f>
        <v>$</v>
      </c>
      <c r="R321" t="str">
        <f>"הזמנה"</f>
        <v>הזמנה</v>
      </c>
      <c r="S321">
        <v>0</v>
      </c>
      <c r="T321">
        <v>657.78</v>
      </c>
      <c r="U321">
        <v>0</v>
      </c>
      <c r="V321">
        <v>657.78</v>
      </c>
      <c r="W321" t="str">
        <f>"$"</f>
        <v>$</v>
      </c>
      <c r="X321">
        <v>0</v>
      </c>
      <c r="Y321">
        <v>0</v>
      </c>
      <c r="Z321">
        <v>0</v>
      </c>
      <c r="AA321" t="str">
        <f>"Y"</f>
        <v>Y</v>
      </c>
      <c r="AB321" t="str">
        <f>"SO23000048"</f>
        <v>SO23000048</v>
      </c>
      <c r="AC321">
        <v>10</v>
      </c>
      <c r="AD321" s="1">
        <v>44944</v>
      </c>
      <c r="AE321" t="str">
        <f>"SH23000912"</f>
        <v>SH23000912</v>
      </c>
      <c r="AF321" t="str">
        <f>"משלוחים ללקוח"</f>
        <v>משלוחים ללקוח</v>
      </c>
      <c r="AG321" s="1">
        <v>45125</v>
      </c>
      <c r="AM321" t="str">
        <f>"10"</f>
        <v>10</v>
      </c>
      <c r="AN321" t="str">
        <f>"500000"</f>
        <v>500000</v>
      </c>
      <c r="AO321" t="str">
        <f>"הכנסות  מלקוחות"</f>
        <v>הכנסות  מלקוחות</v>
      </c>
      <c r="AQ321" t="str">
        <f>"040"</f>
        <v>040</v>
      </c>
      <c r="AR321">
        <v>0</v>
      </c>
      <c r="AS321">
        <v>0</v>
      </c>
      <c r="AT321">
        <v>3.6930000000000001</v>
      </c>
      <c r="AX321" t="str">
        <f>"E000383715"</f>
        <v>E000383715</v>
      </c>
      <c r="BD321" t="str">
        <f>"רחמים זרוק"</f>
        <v>רחמים זרוק</v>
      </c>
    </row>
    <row r="322" spans="1:56" x14ac:dyDescent="0.3">
      <c r="A322" s="1">
        <v>45138</v>
      </c>
      <c r="B322" t="str">
        <f>"SI236001000"</f>
        <v>SI236001000</v>
      </c>
      <c r="C322" t="str">
        <f>"PR23000077"</f>
        <v>PR23000077</v>
      </c>
      <c r="D322" t="str">
        <f>"PR23000077"</f>
        <v>PR23000077</v>
      </c>
      <c r="E322" t="str">
        <f>"Y"</f>
        <v>Y</v>
      </c>
      <c r="F322" t="str">
        <f>"חשבוניות מרכזות"</f>
        <v>חשבוניות מרכזות</v>
      </c>
      <c r="G322" t="str">
        <f>"700065"</f>
        <v>700065</v>
      </c>
      <c r="H322" t="str">
        <f>"אלתא מערכות בע""מ"</f>
        <v>אלתא מערכות בע"מ</v>
      </c>
      <c r="I322" t="str">
        <f>"15"</f>
        <v>15</v>
      </c>
      <c r="J322" t="str">
        <f>"OP-AR03548"</f>
        <v>OP-AR03548</v>
      </c>
      <c r="K322" t="str">
        <f>"1037N451-001    CABLE ASSY W44"</f>
        <v>1037N451-001    CABLE ASSY W44</v>
      </c>
      <c r="L322">
        <v>2</v>
      </c>
      <c r="M322" t="str">
        <f>"יח"</f>
        <v>יח</v>
      </c>
      <c r="N322">
        <v>2</v>
      </c>
      <c r="O322" t="str">
        <f>"יח"</f>
        <v>יח</v>
      </c>
      <c r="P322">
        <v>328.89</v>
      </c>
      <c r="Q322" t="str">
        <f>"$"</f>
        <v>$</v>
      </c>
      <c r="R322" t="str">
        <f>"הזמנה"</f>
        <v>הזמנה</v>
      </c>
      <c r="S322">
        <v>0</v>
      </c>
      <c r="T322">
        <v>657.78</v>
      </c>
      <c r="U322">
        <v>0</v>
      </c>
      <c r="V322">
        <v>657.78</v>
      </c>
      <c r="W322" t="str">
        <f>"$"</f>
        <v>$</v>
      </c>
      <c r="X322">
        <v>0</v>
      </c>
      <c r="Y322">
        <v>0</v>
      </c>
      <c r="Z322">
        <v>0</v>
      </c>
      <c r="AA322" t="str">
        <f>"Y"</f>
        <v>Y</v>
      </c>
      <c r="AB322" t="str">
        <f>"SO23000048"</f>
        <v>SO23000048</v>
      </c>
      <c r="AC322">
        <v>11</v>
      </c>
      <c r="AD322" s="1">
        <v>44944</v>
      </c>
      <c r="AE322" t="str">
        <f>"SH23000912"</f>
        <v>SH23000912</v>
      </c>
      <c r="AF322" t="str">
        <f>"משלוחים ללקוח"</f>
        <v>משלוחים ללקוח</v>
      </c>
      <c r="AG322" s="1">
        <v>45125</v>
      </c>
      <c r="AM322" t="str">
        <f>"10"</f>
        <v>10</v>
      </c>
      <c r="AN322" t="str">
        <f>"500000"</f>
        <v>500000</v>
      </c>
      <c r="AO322" t="str">
        <f>"הכנסות  מלקוחות"</f>
        <v>הכנסות  מלקוחות</v>
      </c>
      <c r="AQ322" t="str">
        <f>"040"</f>
        <v>040</v>
      </c>
      <c r="AR322">
        <v>0</v>
      </c>
      <c r="AS322">
        <v>0</v>
      </c>
      <c r="AT322">
        <v>3.6930000000000001</v>
      </c>
      <c r="AX322" t="str">
        <f>"E000383715"</f>
        <v>E000383715</v>
      </c>
      <c r="BD322" t="str">
        <f>"רחמים זרוק"</f>
        <v>רחמים זרוק</v>
      </c>
    </row>
    <row r="323" spans="1:56" x14ac:dyDescent="0.3">
      <c r="A323" s="1">
        <v>45138</v>
      </c>
      <c r="B323" t="str">
        <f>"SI236001000"</f>
        <v>SI236001000</v>
      </c>
      <c r="C323" t="str">
        <f>"PR23000077"</f>
        <v>PR23000077</v>
      </c>
      <c r="D323" t="str">
        <f>"PR23000077"</f>
        <v>PR23000077</v>
      </c>
      <c r="E323" t="str">
        <f>"Y"</f>
        <v>Y</v>
      </c>
      <c r="F323" t="str">
        <f>"חשבוניות מרכזות"</f>
        <v>חשבוניות מרכזות</v>
      </c>
      <c r="G323" t="str">
        <f>"700065"</f>
        <v>700065</v>
      </c>
      <c r="H323" t="str">
        <f>"אלתא מערכות בע""מ"</f>
        <v>אלתא מערכות בע"מ</v>
      </c>
      <c r="I323" t="str">
        <f>"15"</f>
        <v>15</v>
      </c>
      <c r="J323" t="str">
        <f>"OP-AR03548"</f>
        <v>OP-AR03548</v>
      </c>
      <c r="K323" t="str">
        <f>"1037N451-001    CABLE ASSY W44"</f>
        <v>1037N451-001    CABLE ASSY W44</v>
      </c>
      <c r="L323">
        <v>2</v>
      </c>
      <c r="M323" t="str">
        <f>"יח"</f>
        <v>יח</v>
      </c>
      <c r="N323">
        <v>2</v>
      </c>
      <c r="O323" t="str">
        <f>"יח"</f>
        <v>יח</v>
      </c>
      <c r="P323">
        <v>328.89</v>
      </c>
      <c r="Q323" t="str">
        <f>"$"</f>
        <v>$</v>
      </c>
      <c r="R323" t="str">
        <f>"הזמנה"</f>
        <v>הזמנה</v>
      </c>
      <c r="S323">
        <v>0</v>
      </c>
      <c r="T323">
        <v>657.78</v>
      </c>
      <c r="U323">
        <v>0</v>
      </c>
      <c r="V323">
        <v>657.78</v>
      </c>
      <c r="W323" t="str">
        <f>"$"</f>
        <v>$</v>
      </c>
      <c r="X323">
        <v>0</v>
      </c>
      <c r="Y323">
        <v>0</v>
      </c>
      <c r="Z323">
        <v>0</v>
      </c>
      <c r="AA323" t="str">
        <f>"Y"</f>
        <v>Y</v>
      </c>
      <c r="AB323" t="str">
        <f>"SO23000048"</f>
        <v>SO23000048</v>
      </c>
      <c r="AC323">
        <v>13</v>
      </c>
      <c r="AD323" s="1">
        <v>44944</v>
      </c>
      <c r="AE323" t="str">
        <f>"SH23000912"</f>
        <v>SH23000912</v>
      </c>
      <c r="AF323" t="str">
        <f>"משלוחים ללקוח"</f>
        <v>משלוחים ללקוח</v>
      </c>
      <c r="AG323" s="1">
        <v>45125</v>
      </c>
      <c r="AM323" t="str">
        <f>"10"</f>
        <v>10</v>
      </c>
      <c r="AN323" t="str">
        <f>"500000"</f>
        <v>500000</v>
      </c>
      <c r="AO323" t="str">
        <f>"הכנסות  מלקוחות"</f>
        <v>הכנסות  מלקוחות</v>
      </c>
      <c r="AQ323" t="str">
        <f>"040"</f>
        <v>040</v>
      </c>
      <c r="AR323">
        <v>0</v>
      </c>
      <c r="AS323">
        <v>0</v>
      </c>
      <c r="AT323">
        <v>3.6930000000000001</v>
      </c>
      <c r="AX323" t="str">
        <f>"E000383715"</f>
        <v>E000383715</v>
      </c>
      <c r="BD323" t="str">
        <f>"רחמים זרוק"</f>
        <v>רחמים זרוק</v>
      </c>
    </row>
    <row r="324" spans="1:56" x14ac:dyDescent="0.3">
      <c r="A324" s="1">
        <v>45138</v>
      </c>
      <c r="B324" t="str">
        <f>"CR237000083"</f>
        <v>CR237000083</v>
      </c>
      <c r="E324" t="str">
        <f>"Y"</f>
        <v>Y</v>
      </c>
      <c r="F324" t="str">
        <f>"חשבוניות זיכוי"</f>
        <v>חשבוניות זיכוי</v>
      </c>
      <c r="G324" t="str">
        <f>"700065"</f>
        <v>700065</v>
      </c>
      <c r="H324" t="str">
        <f>"אלתא מערכות בע""מ"</f>
        <v>אלתא מערכות בע"מ</v>
      </c>
      <c r="I324" t="str">
        <f>"10"</f>
        <v>10</v>
      </c>
      <c r="J324" t="str">
        <f>"000"</f>
        <v>000</v>
      </c>
      <c r="K324" t="str">
        <f>"זיכוי"</f>
        <v>זיכוי</v>
      </c>
      <c r="L324">
        <v>1</v>
      </c>
      <c r="M324" t="str">
        <f>"יח"</f>
        <v>יח</v>
      </c>
      <c r="N324">
        <v>1</v>
      </c>
      <c r="O324" t="str">
        <f>"יח"</f>
        <v>יח</v>
      </c>
      <c r="P324">
        <v>377.37</v>
      </c>
      <c r="Q324" t="str">
        <f>"$"</f>
        <v>$</v>
      </c>
      <c r="R324" t="str">
        <f>"ידני"</f>
        <v>ידני</v>
      </c>
      <c r="S324">
        <v>0</v>
      </c>
      <c r="T324">
        <v>377.37</v>
      </c>
      <c r="U324">
        <v>0</v>
      </c>
      <c r="V324">
        <v>377.37</v>
      </c>
      <c r="W324" t="str">
        <f>"$"</f>
        <v>$</v>
      </c>
      <c r="X324">
        <v>0</v>
      </c>
      <c r="Y324">
        <v>0</v>
      </c>
      <c r="Z324">
        <v>0</v>
      </c>
      <c r="AA324" t="str">
        <f>"Y"</f>
        <v>Y</v>
      </c>
      <c r="AC324">
        <v>0</v>
      </c>
      <c r="AM324" t="str">
        <f>"10"</f>
        <v>10</v>
      </c>
      <c r="AN324" t="str">
        <f>"500000"</f>
        <v>500000</v>
      </c>
      <c r="AO324" t="str">
        <f>"הכנסות  מלקוחות"</f>
        <v>הכנסות  מלקוחות</v>
      </c>
      <c r="AQ324" t="str">
        <f>"034"</f>
        <v>034</v>
      </c>
      <c r="AR324">
        <v>0</v>
      </c>
      <c r="AS324">
        <v>0</v>
      </c>
      <c r="AT324">
        <v>3.5619999999999998</v>
      </c>
      <c r="BD324" t="str">
        <f>"ערן שלו"</f>
        <v>ערן שלו</v>
      </c>
    </row>
    <row r="325" spans="1:56" x14ac:dyDescent="0.3">
      <c r="A325" s="1">
        <v>45138</v>
      </c>
      <c r="B325" t="str">
        <f>"CR237000082"</f>
        <v>CR237000082</v>
      </c>
      <c r="E325" t="str">
        <f>"Y"</f>
        <v>Y</v>
      </c>
      <c r="F325" t="str">
        <f>"חשבוניות זיכוי"</f>
        <v>חשבוניות זיכוי</v>
      </c>
      <c r="G325" t="str">
        <f>"700065"</f>
        <v>700065</v>
      </c>
      <c r="H325" t="str">
        <f>"אלתא מערכות בע""מ"</f>
        <v>אלתא מערכות בע"מ</v>
      </c>
      <c r="I325" t="str">
        <f>"10"</f>
        <v>10</v>
      </c>
      <c r="J325" t="str">
        <f>"000"</f>
        <v>000</v>
      </c>
      <c r="K325" t="str">
        <f>"זיכוי"</f>
        <v>זיכוי</v>
      </c>
      <c r="L325">
        <v>-1</v>
      </c>
      <c r="M325" t="str">
        <f>"יח"</f>
        <v>יח</v>
      </c>
      <c r="N325">
        <v>-1</v>
      </c>
      <c r="O325" t="str">
        <f>"יח"</f>
        <v>יח</v>
      </c>
      <c r="P325">
        <v>377.37</v>
      </c>
      <c r="Q325" t="str">
        <f>"$"</f>
        <v>$</v>
      </c>
      <c r="R325" t="str">
        <f>"ידני"</f>
        <v>ידני</v>
      </c>
      <c r="S325">
        <v>0</v>
      </c>
      <c r="T325">
        <v>-377.37</v>
      </c>
      <c r="U325">
        <v>0</v>
      </c>
      <c r="V325">
        <v>-377.37</v>
      </c>
      <c r="W325" t="str">
        <f>"$"</f>
        <v>$</v>
      </c>
      <c r="X325">
        <v>0</v>
      </c>
      <c r="Y325">
        <v>0</v>
      </c>
      <c r="Z325">
        <v>0</v>
      </c>
      <c r="AA325" t="str">
        <f>"Y"</f>
        <v>Y</v>
      </c>
      <c r="AC325">
        <v>0</v>
      </c>
      <c r="AM325" t="str">
        <f>"10"</f>
        <v>10</v>
      </c>
      <c r="AN325" t="str">
        <f>"500000"</f>
        <v>500000</v>
      </c>
      <c r="AO325" t="str">
        <f>"הכנסות  מלקוחות"</f>
        <v>הכנסות  מלקוחות</v>
      </c>
      <c r="AQ325" t="str">
        <f>"034"</f>
        <v>034</v>
      </c>
      <c r="AR325">
        <v>0</v>
      </c>
      <c r="AS325">
        <v>0</v>
      </c>
      <c r="AT325">
        <v>3.5619999999999998</v>
      </c>
      <c r="BB325" t="str">
        <f>"Y"</f>
        <v>Y</v>
      </c>
      <c r="BD325" t="str">
        <f>"ערן שלו"</f>
        <v>ערן שלו</v>
      </c>
    </row>
    <row r="326" spans="1:56" x14ac:dyDescent="0.3">
      <c r="A326" s="1">
        <v>45138</v>
      </c>
      <c r="B326" t="str">
        <f>"CR237000081"</f>
        <v>CR237000081</v>
      </c>
      <c r="E326" t="str">
        <f>"Y"</f>
        <v>Y</v>
      </c>
      <c r="F326" t="str">
        <f>"חשבוניות זיכוי"</f>
        <v>חשבוניות זיכוי</v>
      </c>
      <c r="G326" t="str">
        <f>"700065"</f>
        <v>700065</v>
      </c>
      <c r="H326" t="str">
        <f>"אלתא מערכות בע""מ"</f>
        <v>אלתא מערכות בע"מ</v>
      </c>
      <c r="I326" t="str">
        <f>"10"</f>
        <v>10</v>
      </c>
      <c r="J326" t="str">
        <f>"000"</f>
        <v>000</v>
      </c>
      <c r="K326" t="str">
        <f>"זיכוי"</f>
        <v>זיכוי</v>
      </c>
      <c r="L326">
        <v>1</v>
      </c>
      <c r="M326" t="str">
        <f>"יח"</f>
        <v>יח</v>
      </c>
      <c r="N326">
        <v>1</v>
      </c>
      <c r="O326" t="str">
        <f>"יח"</f>
        <v>יח</v>
      </c>
      <c r="P326">
        <v>377.37</v>
      </c>
      <c r="Q326" t="str">
        <f>"$"</f>
        <v>$</v>
      </c>
      <c r="R326" t="str">
        <f>"ידני"</f>
        <v>ידני</v>
      </c>
      <c r="S326">
        <v>0</v>
      </c>
      <c r="T326">
        <v>377.37</v>
      </c>
      <c r="U326">
        <v>0</v>
      </c>
      <c r="V326">
        <v>377.37</v>
      </c>
      <c r="W326" t="str">
        <f>"$"</f>
        <v>$</v>
      </c>
      <c r="X326">
        <v>0</v>
      </c>
      <c r="Y326">
        <v>0</v>
      </c>
      <c r="Z326">
        <v>0</v>
      </c>
      <c r="AA326" t="str">
        <f>"Y"</f>
        <v>Y</v>
      </c>
      <c r="AC326">
        <v>0</v>
      </c>
      <c r="AM326" t="str">
        <f>"10"</f>
        <v>10</v>
      </c>
      <c r="AN326" t="str">
        <f>"500000"</f>
        <v>500000</v>
      </c>
      <c r="AO326" t="str">
        <f>"הכנסות  מלקוחות"</f>
        <v>הכנסות  מלקוחות</v>
      </c>
      <c r="AQ326" t="str">
        <f>"034"</f>
        <v>034</v>
      </c>
      <c r="AR326">
        <v>0</v>
      </c>
      <c r="AS326">
        <v>0</v>
      </c>
      <c r="AT326">
        <v>3.5619999999999998</v>
      </c>
      <c r="BB326" t="str">
        <f>"Y"</f>
        <v>Y</v>
      </c>
      <c r="BD326" t="str">
        <f>"ערן שלו"</f>
        <v>ערן שלו</v>
      </c>
    </row>
    <row r="327" spans="1:56" x14ac:dyDescent="0.3">
      <c r="A327" s="1">
        <v>45138</v>
      </c>
      <c r="B327" t="str">
        <f>"CR237000080"</f>
        <v>CR237000080</v>
      </c>
      <c r="E327" t="str">
        <f>"Y"</f>
        <v>Y</v>
      </c>
      <c r="F327" t="str">
        <f>"חשבוניות זיכוי"</f>
        <v>חשבוניות זיכוי</v>
      </c>
      <c r="G327" t="str">
        <f>"700065"</f>
        <v>700065</v>
      </c>
      <c r="H327" t="str">
        <f>"אלתא מערכות בע""מ"</f>
        <v>אלתא מערכות בע"מ</v>
      </c>
      <c r="I327" t="str">
        <f>"10"</f>
        <v>10</v>
      </c>
      <c r="J327" t="str">
        <f>"000"</f>
        <v>000</v>
      </c>
      <c r="K327" t="str">
        <f>"זיכוי"</f>
        <v>זיכוי</v>
      </c>
      <c r="L327">
        <v>1</v>
      </c>
      <c r="M327" t="str">
        <f>"יח"</f>
        <v>יח</v>
      </c>
      <c r="N327">
        <v>1</v>
      </c>
      <c r="O327" t="str">
        <f>"יח"</f>
        <v>יח</v>
      </c>
      <c r="P327">
        <v>125.37</v>
      </c>
      <c r="Q327" t="str">
        <f>"$"</f>
        <v>$</v>
      </c>
      <c r="R327" t="str">
        <f>"ידני"</f>
        <v>ידני</v>
      </c>
      <c r="S327">
        <v>0</v>
      </c>
      <c r="T327">
        <v>125.37</v>
      </c>
      <c r="U327">
        <v>0</v>
      </c>
      <c r="V327">
        <v>125.37</v>
      </c>
      <c r="W327" t="str">
        <f>"$"</f>
        <v>$</v>
      </c>
      <c r="X327">
        <v>0</v>
      </c>
      <c r="Y327">
        <v>0</v>
      </c>
      <c r="Z327">
        <v>0</v>
      </c>
      <c r="AA327" t="str">
        <f>"Y"</f>
        <v>Y</v>
      </c>
      <c r="AC327">
        <v>0</v>
      </c>
      <c r="AM327" t="str">
        <f>"10"</f>
        <v>10</v>
      </c>
      <c r="AN327" t="str">
        <f>"500000"</f>
        <v>500000</v>
      </c>
      <c r="AO327" t="str">
        <f>"הכנסות  מלקוחות"</f>
        <v>הכנסות  מלקוחות</v>
      </c>
      <c r="AQ327" t="str">
        <f>"034"</f>
        <v>034</v>
      </c>
      <c r="AR327">
        <v>0</v>
      </c>
      <c r="AS327">
        <v>0</v>
      </c>
      <c r="AT327">
        <v>3.5619999999999998</v>
      </c>
      <c r="BD327" t="str">
        <f>"ערן שלו"</f>
        <v>ערן שלו</v>
      </c>
    </row>
    <row r="328" spans="1:56" x14ac:dyDescent="0.3">
      <c r="A328" s="1">
        <v>45137</v>
      </c>
      <c r="B328" t="str">
        <f>"SI236001023"</f>
        <v>SI236001023</v>
      </c>
      <c r="C328" t="str">
        <f>"PR22000904"</f>
        <v>PR22000904</v>
      </c>
      <c r="E328" t="str">
        <f>"Y"</f>
        <v>Y</v>
      </c>
      <c r="F328" t="str">
        <f>"חשבוניות מרכזות"</f>
        <v>חשבוניות מרכזות</v>
      </c>
      <c r="G328" t="str">
        <f>"700065"</f>
        <v>700065</v>
      </c>
      <c r="H328" t="str">
        <f>"אלתא מערכות בע""מ"</f>
        <v>אלתא מערכות בע"מ</v>
      </c>
      <c r="I328" t="str">
        <f>"15"</f>
        <v>15</v>
      </c>
      <c r="J328" t="str">
        <f>"OP-AR03469"</f>
        <v>OP-AR03469</v>
      </c>
      <c r="K328" t="str">
        <f>"1021M633-002    HARNESS W10 - HVPS3 TO HVPS-J5"</f>
        <v>1021M633-002    HARNESS W10 - HVPS3 TO HVPS-J5</v>
      </c>
      <c r="L328">
        <v>1</v>
      </c>
      <c r="M328" t="str">
        <f>"יח"</f>
        <v>יח</v>
      </c>
      <c r="N328">
        <v>1</v>
      </c>
      <c r="O328" t="str">
        <f>"יח"</f>
        <v>יח</v>
      </c>
      <c r="P328">
        <v>741.99</v>
      </c>
      <c r="Q328" t="str">
        <f>"$"</f>
        <v>$</v>
      </c>
      <c r="R328" t="str">
        <f>"הזמנה"</f>
        <v>הזמנה</v>
      </c>
      <c r="S328">
        <v>0</v>
      </c>
      <c r="T328">
        <v>741.99</v>
      </c>
      <c r="U328">
        <v>0</v>
      </c>
      <c r="V328">
        <v>741.99</v>
      </c>
      <c r="W328" t="str">
        <f>"$"</f>
        <v>$</v>
      </c>
      <c r="X328">
        <v>0</v>
      </c>
      <c r="Y328">
        <v>0</v>
      </c>
      <c r="Z328">
        <v>0</v>
      </c>
      <c r="AA328" t="str">
        <f>"Y"</f>
        <v>Y</v>
      </c>
      <c r="AB328" t="str">
        <f>"SO22000469"</f>
        <v>SO22000469</v>
      </c>
      <c r="AC328">
        <v>8</v>
      </c>
      <c r="AD328" s="1">
        <v>44915</v>
      </c>
      <c r="AE328" t="str">
        <f>"SH23000956"</f>
        <v>SH23000956</v>
      </c>
      <c r="AF328" t="str">
        <f>"משלוחים ללקוח"</f>
        <v>משלוחים ללקוח</v>
      </c>
      <c r="AG328" s="1">
        <v>45133</v>
      </c>
      <c r="AM328" t="str">
        <f>"10"</f>
        <v>10</v>
      </c>
      <c r="AN328" t="str">
        <f>"500000"</f>
        <v>500000</v>
      </c>
      <c r="AO328" t="str">
        <f>"הכנסות  מלקוחות"</f>
        <v>הכנסות  מלקוחות</v>
      </c>
      <c r="AQ328" t="str">
        <f>"040"</f>
        <v>040</v>
      </c>
      <c r="AR328">
        <v>0</v>
      </c>
      <c r="AS328">
        <v>0</v>
      </c>
      <c r="AT328">
        <v>3.7130000000000001</v>
      </c>
      <c r="AX328" t="str">
        <f>"E000374099"</f>
        <v>E000374099</v>
      </c>
      <c r="BD328" t="str">
        <f>"רחמים זרוק"</f>
        <v>רחמים זרוק</v>
      </c>
    </row>
    <row r="329" spans="1:56" x14ac:dyDescent="0.3">
      <c r="A329" s="1">
        <v>45137</v>
      </c>
      <c r="B329" t="str">
        <f>"SI236001023"</f>
        <v>SI236001023</v>
      </c>
      <c r="C329" t="str">
        <f>"PR22000904"</f>
        <v>PR22000904</v>
      </c>
      <c r="E329" t="str">
        <f>"Y"</f>
        <v>Y</v>
      </c>
      <c r="F329" t="str">
        <f>"חשבוניות מרכזות"</f>
        <v>חשבוניות מרכזות</v>
      </c>
      <c r="G329" t="str">
        <f>"700065"</f>
        <v>700065</v>
      </c>
      <c r="H329" t="str">
        <f>"אלתא מערכות בע""מ"</f>
        <v>אלתא מערכות בע"מ</v>
      </c>
      <c r="I329" t="str">
        <f>"15"</f>
        <v>15</v>
      </c>
      <c r="J329" t="str">
        <f>"OP-AR03506"</f>
        <v>OP-AR03506</v>
      </c>
      <c r="K329" t="str">
        <f>"1036C731-001    HARNESS WE031 - EPU1 - PSPU1 TO KVM"</f>
        <v>1036C731-001    HARNESS WE031 - EPU1 - PSPU1 TO KVM</v>
      </c>
      <c r="L329">
        <v>1</v>
      </c>
      <c r="M329" t="str">
        <f>"יח"</f>
        <v>יח</v>
      </c>
      <c r="N329">
        <v>1</v>
      </c>
      <c r="O329" t="str">
        <f>"יח"</f>
        <v>יח</v>
      </c>
      <c r="P329">
        <v>844.71</v>
      </c>
      <c r="Q329" t="str">
        <f>"$"</f>
        <v>$</v>
      </c>
      <c r="R329" t="str">
        <f>"הזמנה"</f>
        <v>הזמנה</v>
      </c>
      <c r="S329">
        <v>0</v>
      </c>
      <c r="T329">
        <v>844.71</v>
      </c>
      <c r="U329">
        <v>0</v>
      </c>
      <c r="V329">
        <v>844.71</v>
      </c>
      <c r="W329" t="str">
        <f>"$"</f>
        <v>$</v>
      </c>
      <c r="X329">
        <v>0</v>
      </c>
      <c r="Y329">
        <v>0</v>
      </c>
      <c r="Z329">
        <v>0</v>
      </c>
      <c r="AA329" t="str">
        <f>"Y"</f>
        <v>Y</v>
      </c>
      <c r="AB329" t="str">
        <f>"SO22000469"</f>
        <v>SO22000469</v>
      </c>
      <c r="AC329">
        <v>50</v>
      </c>
      <c r="AD329" s="1">
        <v>44915</v>
      </c>
      <c r="AE329" t="str">
        <f>"SH23000956"</f>
        <v>SH23000956</v>
      </c>
      <c r="AF329" t="str">
        <f>"משלוחים ללקוח"</f>
        <v>משלוחים ללקוח</v>
      </c>
      <c r="AG329" s="1">
        <v>45133</v>
      </c>
      <c r="AM329" t="str">
        <f>"10"</f>
        <v>10</v>
      </c>
      <c r="AN329" t="str">
        <f>"500000"</f>
        <v>500000</v>
      </c>
      <c r="AO329" t="str">
        <f>"הכנסות  מלקוחות"</f>
        <v>הכנסות  מלקוחות</v>
      </c>
      <c r="AQ329" t="str">
        <f>"040"</f>
        <v>040</v>
      </c>
      <c r="AR329">
        <v>0</v>
      </c>
      <c r="AS329">
        <v>0</v>
      </c>
      <c r="AT329">
        <v>3.7130000000000001</v>
      </c>
      <c r="AX329" t="str">
        <f>"E000374099"</f>
        <v>E000374099</v>
      </c>
      <c r="BD329" t="str">
        <f>"רחמים זרוק"</f>
        <v>רחמים זרוק</v>
      </c>
    </row>
    <row r="330" spans="1:56" x14ac:dyDescent="0.3">
      <c r="A330" s="1">
        <v>45137</v>
      </c>
      <c r="B330" t="str">
        <f>"SI236001023"</f>
        <v>SI236001023</v>
      </c>
      <c r="C330" t="str">
        <f>"PR22000904"</f>
        <v>PR22000904</v>
      </c>
      <c r="E330" t="str">
        <f>"Y"</f>
        <v>Y</v>
      </c>
      <c r="F330" t="str">
        <f>"חשבוניות מרכזות"</f>
        <v>חשבוניות מרכזות</v>
      </c>
      <c r="G330" t="str">
        <f>"700065"</f>
        <v>700065</v>
      </c>
      <c r="H330" t="str">
        <f>"אלתא מערכות בע""מ"</f>
        <v>אלתא מערכות בע"מ</v>
      </c>
      <c r="I330" t="str">
        <f>"15"</f>
        <v>15</v>
      </c>
      <c r="J330" t="str">
        <f>"OP-AR03507"</f>
        <v>OP-AR03507</v>
      </c>
      <c r="K330" t="str">
        <f>"1036C732-001    HARNESS WE032 - EPU1 - PSPU2 TO KVM"</f>
        <v>1036C732-001    HARNESS WE032 - EPU1 - PSPU2 TO KVM</v>
      </c>
      <c r="L330">
        <v>1</v>
      </c>
      <c r="M330" t="str">
        <f>"יח"</f>
        <v>יח</v>
      </c>
      <c r="N330">
        <v>1</v>
      </c>
      <c r="O330" t="str">
        <f>"יח"</f>
        <v>יח</v>
      </c>
      <c r="P330">
        <v>848.09</v>
      </c>
      <c r="Q330" t="str">
        <f>"$"</f>
        <v>$</v>
      </c>
      <c r="R330" t="str">
        <f>"הזמנה"</f>
        <v>הזמנה</v>
      </c>
      <c r="S330">
        <v>0</v>
      </c>
      <c r="T330">
        <v>848.09</v>
      </c>
      <c r="U330">
        <v>0</v>
      </c>
      <c r="V330">
        <v>848.09</v>
      </c>
      <c r="W330" t="str">
        <f>"$"</f>
        <v>$</v>
      </c>
      <c r="X330">
        <v>0</v>
      </c>
      <c r="Y330">
        <v>0</v>
      </c>
      <c r="Z330">
        <v>0</v>
      </c>
      <c r="AA330" t="str">
        <f>"Y"</f>
        <v>Y</v>
      </c>
      <c r="AB330" t="str">
        <f>"SO22000469"</f>
        <v>SO22000469</v>
      </c>
      <c r="AC330">
        <v>51</v>
      </c>
      <c r="AD330" s="1">
        <v>44915</v>
      </c>
      <c r="AE330" t="str">
        <f>"SH23000956"</f>
        <v>SH23000956</v>
      </c>
      <c r="AF330" t="str">
        <f>"משלוחים ללקוח"</f>
        <v>משלוחים ללקוח</v>
      </c>
      <c r="AG330" s="1">
        <v>45133</v>
      </c>
      <c r="AM330" t="str">
        <f>"10"</f>
        <v>10</v>
      </c>
      <c r="AN330" t="str">
        <f>"500000"</f>
        <v>500000</v>
      </c>
      <c r="AO330" t="str">
        <f>"הכנסות  מלקוחות"</f>
        <v>הכנסות  מלקוחות</v>
      </c>
      <c r="AQ330" t="str">
        <f>"040"</f>
        <v>040</v>
      </c>
      <c r="AR330">
        <v>0</v>
      </c>
      <c r="AS330">
        <v>0</v>
      </c>
      <c r="AT330">
        <v>3.7130000000000001</v>
      </c>
      <c r="AX330" t="str">
        <f>"E000374099"</f>
        <v>E000374099</v>
      </c>
      <c r="BD330" t="str">
        <f>"רחמים זרוק"</f>
        <v>רחמים זרוק</v>
      </c>
    </row>
    <row r="331" spans="1:56" x14ac:dyDescent="0.3">
      <c r="A331" s="1">
        <v>45137</v>
      </c>
      <c r="B331" t="str">
        <f>"SI236001023"</f>
        <v>SI236001023</v>
      </c>
      <c r="C331" t="str">
        <f>"PR22000904"</f>
        <v>PR22000904</v>
      </c>
      <c r="E331" t="str">
        <f>"Y"</f>
        <v>Y</v>
      </c>
      <c r="F331" t="str">
        <f>"חשבוניות מרכזות"</f>
        <v>חשבוניות מרכזות</v>
      </c>
      <c r="G331" t="str">
        <f>"700065"</f>
        <v>700065</v>
      </c>
      <c r="H331" t="str">
        <f>"אלתא מערכות בע""מ"</f>
        <v>אלתא מערכות בע"מ</v>
      </c>
      <c r="I331" t="str">
        <f>"15"</f>
        <v>15</v>
      </c>
      <c r="J331" t="str">
        <f>"OP-AR03510"</f>
        <v>OP-AR03510</v>
      </c>
      <c r="K331" t="str">
        <f>"1036C735-001    HARNESS WE035 - EPU1 - RC TO KVM"</f>
        <v>1036C735-001    HARNESS WE035 - EPU1 - RC TO KVM</v>
      </c>
      <c r="L331">
        <v>1</v>
      </c>
      <c r="M331" t="str">
        <f>"יח"</f>
        <v>יח</v>
      </c>
      <c r="N331">
        <v>1</v>
      </c>
      <c r="O331" t="str">
        <f>"יח"</f>
        <v>יח</v>
      </c>
      <c r="P331" s="2">
        <v>1295.32</v>
      </c>
      <c r="Q331" t="str">
        <f>"$"</f>
        <v>$</v>
      </c>
      <c r="R331" t="str">
        <f>"הזמנה"</f>
        <v>הזמנה</v>
      </c>
      <c r="S331">
        <v>0</v>
      </c>
      <c r="T331" s="2">
        <v>1295.32</v>
      </c>
      <c r="U331">
        <v>0</v>
      </c>
      <c r="V331" s="2">
        <v>1295.32</v>
      </c>
      <c r="W331" t="str">
        <f>"$"</f>
        <v>$</v>
      </c>
      <c r="X331">
        <v>0</v>
      </c>
      <c r="Y331">
        <v>0</v>
      </c>
      <c r="Z331">
        <v>0</v>
      </c>
      <c r="AA331" t="str">
        <f>"Y"</f>
        <v>Y</v>
      </c>
      <c r="AB331" t="str">
        <f>"SO22000469"</f>
        <v>SO22000469</v>
      </c>
      <c r="AC331">
        <v>54</v>
      </c>
      <c r="AD331" s="1">
        <v>44915</v>
      </c>
      <c r="AE331" t="str">
        <f>"SH23000956"</f>
        <v>SH23000956</v>
      </c>
      <c r="AF331" t="str">
        <f>"משלוחים ללקוח"</f>
        <v>משלוחים ללקוח</v>
      </c>
      <c r="AG331" s="1">
        <v>45133</v>
      </c>
      <c r="AM331" t="str">
        <f>"10"</f>
        <v>10</v>
      </c>
      <c r="AN331" t="str">
        <f>"500000"</f>
        <v>500000</v>
      </c>
      <c r="AO331" t="str">
        <f>"הכנסות  מלקוחות"</f>
        <v>הכנסות  מלקוחות</v>
      </c>
      <c r="AQ331" t="str">
        <f>"040"</f>
        <v>040</v>
      </c>
      <c r="AR331">
        <v>0</v>
      </c>
      <c r="AS331">
        <v>0</v>
      </c>
      <c r="AT331">
        <v>3.7130000000000001</v>
      </c>
      <c r="AX331" t="str">
        <f>"E000374099"</f>
        <v>E000374099</v>
      </c>
      <c r="BD331" t="str">
        <f>"רחמים זרוק"</f>
        <v>רחמים זרוק</v>
      </c>
    </row>
    <row r="332" spans="1:56" x14ac:dyDescent="0.3">
      <c r="A332" s="1">
        <v>45137</v>
      </c>
      <c r="B332" t="str">
        <f>"SI236001023"</f>
        <v>SI236001023</v>
      </c>
      <c r="C332" t="str">
        <f>"PR22000904"</f>
        <v>PR22000904</v>
      </c>
      <c r="E332" t="str">
        <f>"Y"</f>
        <v>Y</v>
      </c>
      <c r="F332" t="str">
        <f>"חשבוניות מרכזות"</f>
        <v>חשבוניות מרכזות</v>
      </c>
      <c r="G332" t="str">
        <f>"700065"</f>
        <v>700065</v>
      </c>
      <c r="H332" t="str">
        <f>"אלתא מערכות בע""מ"</f>
        <v>אלתא מערכות בע"מ</v>
      </c>
      <c r="I332" t="str">
        <f>"15"</f>
        <v>15</v>
      </c>
      <c r="J332" t="str">
        <f>"OP-AR03514"</f>
        <v>OP-AR03514</v>
      </c>
      <c r="K332" t="str">
        <f>"1036C762-001    HARNESS WE062 - EPU1 - OTXU"</f>
        <v>1036C762-001    HARNESS WE062 - EPU1 - OTXU</v>
      </c>
      <c r="L332">
        <v>3</v>
      </c>
      <c r="M332" t="str">
        <f>"יח"</f>
        <v>יח</v>
      </c>
      <c r="N332">
        <v>3</v>
      </c>
      <c r="O332" t="str">
        <f>"יח"</f>
        <v>יח</v>
      </c>
      <c r="P332">
        <v>135.68</v>
      </c>
      <c r="Q332" t="str">
        <f>"$"</f>
        <v>$</v>
      </c>
      <c r="R332" t="str">
        <f>"הזמנה"</f>
        <v>הזמנה</v>
      </c>
      <c r="S332">
        <v>0</v>
      </c>
      <c r="T332">
        <v>407.04</v>
      </c>
      <c r="U332">
        <v>0</v>
      </c>
      <c r="V332">
        <v>407.04</v>
      </c>
      <c r="W332" t="str">
        <f>"$"</f>
        <v>$</v>
      </c>
      <c r="X332">
        <v>0</v>
      </c>
      <c r="Y332">
        <v>0</v>
      </c>
      <c r="Z332">
        <v>0</v>
      </c>
      <c r="AA332" t="str">
        <f>"Y"</f>
        <v>Y</v>
      </c>
      <c r="AB332" t="str">
        <f>"SO22000469"</f>
        <v>SO22000469</v>
      </c>
      <c r="AC332">
        <v>58</v>
      </c>
      <c r="AD332" s="1">
        <v>44915</v>
      </c>
      <c r="AE332" t="str">
        <f>"SH23000956"</f>
        <v>SH23000956</v>
      </c>
      <c r="AF332" t="str">
        <f>"משלוחים ללקוח"</f>
        <v>משלוחים ללקוח</v>
      </c>
      <c r="AG332" s="1">
        <v>45133</v>
      </c>
      <c r="AM332" t="str">
        <f>"10"</f>
        <v>10</v>
      </c>
      <c r="AN332" t="str">
        <f>"500000"</f>
        <v>500000</v>
      </c>
      <c r="AO332" t="str">
        <f>"הכנסות  מלקוחות"</f>
        <v>הכנסות  מלקוחות</v>
      </c>
      <c r="AQ332" t="str">
        <f>"040"</f>
        <v>040</v>
      </c>
      <c r="AR332">
        <v>0</v>
      </c>
      <c r="AS332">
        <v>0</v>
      </c>
      <c r="AT332">
        <v>3.7130000000000001</v>
      </c>
      <c r="AX332" t="str">
        <f>"E000374099"</f>
        <v>E000374099</v>
      </c>
      <c r="BD332" t="str">
        <f>"רחמים זרוק"</f>
        <v>רחמים זרוק</v>
      </c>
    </row>
    <row r="333" spans="1:56" x14ac:dyDescent="0.3">
      <c r="A333" s="1">
        <v>45137</v>
      </c>
      <c r="B333" t="str">
        <f>"SI236001019"</f>
        <v>SI236001019</v>
      </c>
      <c r="C333" t="str">
        <f>"PR23000267"</f>
        <v>PR23000267</v>
      </c>
      <c r="D333" t="str">
        <f>"PR23000267"</f>
        <v>PR23000267</v>
      </c>
      <c r="E333" t="str">
        <f>"Y"</f>
        <v>Y</v>
      </c>
      <c r="F333" t="str">
        <f>"חשבוניות מרכזות"</f>
        <v>חשבוניות מרכזות</v>
      </c>
      <c r="G333" t="str">
        <f>"700065"</f>
        <v>700065</v>
      </c>
      <c r="H333" t="str">
        <f>"אלתא מערכות בע""מ"</f>
        <v>אלתא מערכות בע"מ</v>
      </c>
      <c r="I333" t="str">
        <f>"10"</f>
        <v>10</v>
      </c>
      <c r="J333" t="str">
        <f>"OP-AR03610"</f>
        <v>OP-AR03610</v>
      </c>
      <c r="K333" t="str">
        <f>"3025Y431-001    HARNESS W431 - RACK 14 - BC-MTX TO BP LO"</f>
        <v>3025Y431-001    HARNESS W431 - RACK 14 - BC-MTX TO BP LO</v>
      </c>
      <c r="L333">
        <v>3</v>
      </c>
      <c r="M333" t="str">
        <f>"יח"</f>
        <v>יח</v>
      </c>
      <c r="N333">
        <v>3</v>
      </c>
      <c r="O333" t="str">
        <f>"יח"</f>
        <v>יח</v>
      </c>
      <c r="P333">
        <v>395.2</v>
      </c>
      <c r="Q333" t="str">
        <f>"$"</f>
        <v>$</v>
      </c>
      <c r="R333" t="str">
        <f>"הזמנה"</f>
        <v>הזמנה</v>
      </c>
      <c r="S333">
        <v>0</v>
      </c>
      <c r="T333" s="2">
        <v>1185.5999999999999</v>
      </c>
      <c r="U333">
        <v>0</v>
      </c>
      <c r="V333" s="2">
        <v>1185.5999999999999</v>
      </c>
      <c r="W333" t="str">
        <f>"$"</f>
        <v>$</v>
      </c>
      <c r="X333">
        <v>0</v>
      </c>
      <c r="Y333">
        <v>0</v>
      </c>
      <c r="Z333">
        <v>0</v>
      </c>
      <c r="AA333" t="str">
        <f>"Y"</f>
        <v>Y</v>
      </c>
      <c r="AB333" t="str">
        <f>"SO23000178"</f>
        <v>SO23000178</v>
      </c>
      <c r="AC333">
        <v>1</v>
      </c>
      <c r="AD333" s="1">
        <v>45020</v>
      </c>
      <c r="AE333" t="str">
        <f>"SH23000960"</f>
        <v>SH23000960</v>
      </c>
      <c r="AF333" t="str">
        <f>"משלוחים ללקוח"</f>
        <v>משלוחים ללקוח</v>
      </c>
      <c r="AG333" s="1">
        <v>45133</v>
      </c>
      <c r="AM333" t="str">
        <f>"10"</f>
        <v>10</v>
      </c>
      <c r="AN333" t="str">
        <f>"500000"</f>
        <v>500000</v>
      </c>
      <c r="AO333" t="str">
        <f>"הכנסות  מלקוחות"</f>
        <v>הכנסות  מלקוחות</v>
      </c>
      <c r="AQ333" t="str">
        <f>"040"</f>
        <v>040</v>
      </c>
      <c r="AR333">
        <v>0</v>
      </c>
      <c r="AS333">
        <v>0</v>
      </c>
      <c r="AT333">
        <v>3.7130000000000001</v>
      </c>
      <c r="AX333" t="str">
        <f>"E000390863"</f>
        <v>E000390863</v>
      </c>
      <c r="BD333" t="str">
        <f>"רחמים זרוק"</f>
        <v>רחמים זרוק</v>
      </c>
    </row>
    <row r="334" spans="1:56" x14ac:dyDescent="0.3">
      <c r="A334" s="1">
        <v>45137</v>
      </c>
      <c r="B334" t="str">
        <f>"SI236001018"</f>
        <v>SI236001018</v>
      </c>
      <c r="C334" t="str">
        <f>"PR23000362"</f>
        <v>PR23000362</v>
      </c>
      <c r="E334" t="str">
        <f>"Y"</f>
        <v>Y</v>
      </c>
      <c r="F334" t="str">
        <f>"חשבוניות מרכזות"</f>
        <v>חשבוניות מרכזות</v>
      </c>
      <c r="G334" t="str">
        <f>"700065"</f>
        <v>700065</v>
      </c>
      <c r="H334" t="str">
        <f>"אלתא מערכות בע""מ"</f>
        <v>אלתא מערכות בע"מ</v>
      </c>
      <c r="I334" t="str">
        <f>"15"</f>
        <v>15</v>
      </c>
      <c r="J334" t="str">
        <f>"OP-AR03661"</f>
        <v>OP-AR03661</v>
      </c>
      <c r="K334" t="str">
        <f>"1029R655-001   ETHERNET CABLE W655 - RCU TO CUG-J8"</f>
        <v>1029R655-001   ETHERNET CABLE W655 - RCU TO CUG-J8</v>
      </c>
      <c r="L334">
        <v>2</v>
      </c>
      <c r="M334" t="str">
        <f>"יח"</f>
        <v>יח</v>
      </c>
      <c r="N334">
        <v>2</v>
      </c>
      <c r="O334" t="str">
        <f>"יח"</f>
        <v>יח</v>
      </c>
      <c r="P334">
        <v>435.71</v>
      </c>
      <c r="Q334" t="str">
        <f>"$"</f>
        <v>$</v>
      </c>
      <c r="R334" t="str">
        <f>"הזמנה"</f>
        <v>הזמנה</v>
      </c>
      <c r="S334">
        <v>0</v>
      </c>
      <c r="T334">
        <v>871.42</v>
      </c>
      <c r="U334">
        <v>0</v>
      </c>
      <c r="V334">
        <v>871.42</v>
      </c>
      <c r="W334" t="str">
        <f>"$"</f>
        <v>$</v>
      </c>
      <c r="X334">
        <v>0</v>
      </c>
      <c r="Y334">
        <v>0</v>
      </c>
      <c r="Z334">
        <v>0</v>
      </c>
      <c r="AA334" t="str">
        <f>"Y"</f>
        <v>Y</v>
      </c>
      <c r="AB334" t="str">
        <f>"SO23000264"</f>
        <v>SO23000264</v>
      </c>
      <c r="AC334">
        <v>1</v>
      </c>
      <c r="AD334" s="1">
        <v>45085</v>
      </c>
      <c r="AE334" t="str">
        <f>"SH23000958"</f>
        <v>SH23000958</v>
      </c>
      <c r="AF334" t="str">
        <f>"משלוחים ללקוח"</f>
        <v>משלוחים ללקוח</v>
      </c>
      <c r="AG334" s="1">
        <v>45133</v>
      </c>
      <c r="AM334" t="str">
        <f>"10"</f>
        <v>10</v>
      </c>
      <c r="AN334" t="str">
        <f>"500000"</f>
        <v>500000</v>
      </c>
      <c r="AO334" t="str">
        <f>"הכנסות  מלקוחות"</f>
        <v>הכנסות  מלקוחות</v>
      </c>
      <c r="AQ334" t="str">
        <f>"040"</f>
        <v>040</v>
      </c>
      <c r="AR334">
        <v>0</v>
      </c>
      <c r="AS334">
        <v>0</v>
      </c>
      <c r="AT334">
        <v>3.7130000000000001</v>
      </c>
      <c r="AX334" t="str">
        <f>"E000396078"</f>
        <v>E000396078</v>
      </c>
      <c r="BD334" t="str">
        <f>"רחמים זרוק"</f>
        <v>רחמים זרוק</v>
      </c>
    </row>
    <row r="335" spans="1:56" x14ac:dyDescent="0.3">
      <c r="A335" s="1">
        <v>45137</v>
      </c>
      <c r="B335" t="str">
        <f>"SI236001018"</f>
        <v>SI236001018</v>
      </c>
      <c r="C335" t="str">
        <f>"PR23000362"</f>
        <v>PR23000362</v>
      </c>
      <c r="E335" t="str">
        <f>"Y"</f>
        <v>Y</v>
      </c>
      <c r="F335" t="str">
        <f>"חשבוניות מרכזות"</f>
        <v>חשבוניות מרכזות</v>
      </c>
      <c r="G335" t="str">
        <f>"700065"</f>
        <v>700065</v>
      </c>
      <c r="H335" t="str">
        <f>"אלתא מערכות בע""מ"</f>
        <v>אלתא מערכות בע"מ</v>
      </c>
      <c r="I335" t="str">
        <f>"15"</f>
        <v>15</v>
      </c>
      <c r="J335" t="str">
        <f>"OP-AR03662"</f>
        <v>OP-AR03662</v>
      </c>
      <c r="K335" t="str">
        <f>"1029R654-001    HARNESS W654 - CUG TO DPSNS"</f>
        <v>1029R654-001    HARNESS W654 - CUG TO DPSNS</v>
      </c>
      <c r="L335">
        <v>2</v>
      </c>
      <c r="M335" t="str">
        <f>"יח"</f>
        <v>יח</v>
      </c>
      <c r="N335">
        <v>2</v>
      </c>
      <c r="O335" t="str">
        <f>"יח"</f>
        <v>יח</v>
      </c>
      <c r="P335">
        <v>752.36</v>
      </c>
      <c r="Q335" t="str">
        <f>"$"</f>
        <v>$</v>
      </c>
      <c r="R335" t="str">
        <f>"הזמנה"</f>
        <v>הזמנה</v>
      </c>
      <c r="S335">
        <v>0</v>
      </c>
      <c r="T335" s="2">
        <v>1504.72</v>
      </c>
      <c r="U335">
        <v>0</v>
      </c>
      <c r="V335" s="2">
        <v>1504.72</v>
      </c>
      <c r="W335" t="str">
        <f>"$"</f>
        <v>$</v>
      </c>
      <c r="X335">
        <v>0</v>
      </c>
      <c r="Y335">
        <v>0</v>
      </c>
      <c r="Z335">
        <v>0</v>
      </c>
      <c r="AA335" t="str">
        <f>"Y"</f>
        <v>Y</v>
      </c>
      <c r="AB335" t="str">
        <f>"SO23000264"</f>
        <v>SO23000264</v>
      </c>
      <c r="AC335">
        <v>2</v>
      </c>
      <c r="AD335" s="1">
        <v>45085</v>
      </c>
      <c r="AE335" t="str">
        <f>"SH23000958"</f>
        <v>SH23000958</v>
      </c>
      <c r="AF335" t="str">
        <f>"משלוחים ללקוח"</f>
        <v>משלוחים ללקוח</v>
      </c>
      <c r="AG335" s="1">
        <v>45133</v>
      </c>
      <c r="AM335" t="str">
        <f>"10"</f>
        <v>10</v>
      </c>
      <c r="AN335" t="str">
        <f>"500000"</f>
        <v>500000</v>
      </c>
      <c r="AO335" t="str">
        <f>"הכנסות  מלקוחות"</f>
        <v>הכנסות  מלקוחות</v>
      </c>
      <c r="AQ335" t="str">
        <f>"040"</f>
        <v>040</v>
      </c>
      <c r="AR335">
        <v>0</v>
      </c>
      <c r="AS335">
        <v>0</v>
      </c>
      <c r="AT335">
        <v>3.7130000000000001</v>
      </c>
      <c r="AX335" t="str">
        <f>"E000396078"</f>
        <v>E000396078</v>
      </c>
      <c r="BD335" t="str">
        <f>"רחמים זרוק"</f>
        <v>רחמים זרוק</v>
      </c>
    </row>
    <row r="336" spans="1:56" x14ac:dyDescent="0.3">
      <c r="A336" s="1">
        <v>45137</v>
      </c>
      <c r="B336" t="str">
        <f>"SI236001017"</f>
        <v>SI236001017</v>
      </c>
      <c r="C336" t="str">
        <f>"PR23000077"</f>
        <v>PR23000077</v>
      </c>
      <c r="D336" t="str">
        <f>"PR23000077"</f>
        <v>PR23000077</v>
      </c>
      <c r="E336" t="str">
        <f>"Y"</f>
        <v>Y</v>
      </c>
      <c r="F336" t="str">
        <f>"חשבוניות מרכזות"</f>
        <v>חשבוניות מרכזות</v>
      </c>
      <c r="G336" t="str">
        <f>"700065"</f>
        <v>700065</v>
      </c>
      <c r="H336" t="str">
        <f>"אלתא מערכות בע""מ"</f>
        <v>אלתא מערכות בע"מ</v>
      </c>
      <c r="I336" t="str">
        <f>"15"</f>
        <v>15</v>
      </c>
      <c r="J336" t="str">
        <f>"OP-AR03542"</f>
        <v>OP-AR03542</v>
      </c>
      <c r="K336" t="str">
        <f>"1032M703-002    LDE POWER CABLE J5"</f>
        <v>1032M703-002    LDE POWER CABLE J5</v>
      </c>
      <c r="L336">
        <v>3</v>
      </c>
      <c r="M336" t="str">
        <f>"יח"</f>
        <v>יח</v>
      </c>
      <c r="N336">
        <v>3</v>
      </c>
      <c r="O336" t="str">
        <f>"יח"</f>
        <v>יח</v>
      </c>
      <c r="P336">
        <v>220.01</v>
      </c>
      <c r="Q336" t="str">
        <f>"$"</f>
        <v>$</v>
      </c>
      <c r="R336" t="str">
        <f>"הזמנה"</f>
        <v>הזמנה</v>
      </c>
      <c r="S336">
        <v>0</v>
      </c>
      <c r="T336">
        <v>660.03</v>
      </c>
      <c r="U336">
        <v>0</v>
      </c>
      <c r="V336">
        <v>660.03</v>
      </c>
      <c r="W336" t="str">
        <f>"$"</f>
        <v>$</v>
      </c>
      <c r="X336">
        <v>0</v>
      </c>
      <c r="Y336">
        <v>0</v>
      </c>
      <c r="Z336">
        <v>0</v>
      </c>
      <c r="AA336" t="str">
        <f>"Y"</f>
        <v>Y</v>
      </c>
      <c r="AB336" t="str">
        <f>"SO23000048"</f>
        <v>SO23000048</v>
      </c>
      <c r="AC336">
        <v>3</v>
      </c>
      <c r="AD336" s="1">
        <v>44944</v>
      </c>
      <c r="AE336" t="str">
        <f>"SH23000957"</f>
        <v>SH23000957</v>
      </c>
      <c r="AF336" t="str">
        <f>"משלוחים ללקוח"</f>
        <v>משלוחים ללקוח</v>
      </c>
      <c r="AG336" s="1">
        <v>45133</v>
      </c>
      <c r="AM336" t="str">
        <f>"10"</f>
        <v>10</v>
      </c>
      <c r="AN336" t="str">
        <f>"500000"</f>
        <v>500000</v>
      </c>
      <c r="AO336" t="str">
        <f>"הכנסות  מלקוחות"</f>
        <v>הכנסות  מלקוחות</v>
      </c>
      <c r="AQ336" t="str">
        <f>"040"</f>
        <v>040</v>
      </c>
      <c r="AR336">
        <v>0</v>
      </c>
      <c r="AS336">
        <v>0</v>
      </c>
      <c r="AT336">
        <v>3.7130000000000001</v>
      </c>
      <c r="AX336" t="str">
        <f>"E000383715"</f>
        <v>E000383715</v>
      </c>
      <c r="BD336" t="str">
        <f>"רחמים זרוק"</f>
        <v>רחמים זרוק</v>
      </c>
    </row>
    <row r="337" spans="1:56" x14ac:dyDescent="0.3">
      <c r="A337" s="1">
        <v>45137</v>
      </c>
      <c r="B337" t="str">
        <f>"SI236001017"</f>
        <v>SI236001017</v>
      </c>
      <c r="C337" t="str">
        <f>"PR23000077"</f>
        <v>PR23000077</v>
      </c>
      <c r="D337" t="str">
        <f>"PR23000077"</f>
        <v>PR23000077</v>
      </c>
      <c r="E337" t="str">
        <f>"Y"</f>
        <v>Y</v>
      </c>
      <c r="F337" t="str">
        <f>"חשבוניות מרכזות"</f>
        <v>חשבוניות מרכזות</v>
      </c>
      <c r="G337" t="str">
        <f>"700065"</f>
        <v>700065</v>
      </c>
      <c r="H337" t="str">
        <f>"אלתא מערכות בע""מ"</f>
        <v>אלתא מערכות בע"מ</v>
      </c>
      <c r="I337" t="str">
        <f>"15"</f>
        <v>15</v>
      </c>
      <c r="J337" t="str">
        <f>"OP-AR03547"</f>
        <v>OP-AR03547</v>
      </c>
      <c r="K337" t="str">
        <f>"1032M721-001    LDE CONTROL CABLE J30 AND J2"</f>
        <v>1032M721-001    LDE CONTROL CABLE J30 AND J2</v>
      </c>
      <c r="L337">
        <v>3</v>
      </c>
      <c r="M337" t="str">
        <f>"יח"</f>
        <v>יח</v>
      </c>
      <c r="N337">
        <v>3</v>
      </c>
      <c r="O337" t="str">
        <f>"יח"</f>
        <v>יח</v>
      </c>
      <c r="P337">
        <v>580.45000000000005</v>
      </c>
      <c r="Q337" t="str">
        <f>"$"</f>
        <v>$</v>
      </c>
      <c r="R337" t="str">
        <f>"הזמנה"</f>
        <v>הזמנה</v>
      </c>
      <c r="S337">
        <v>0</v>
      </c>
      <c r="T337" s="2">
        <v>1741.35</v>
      </c>
      <c r="U337">
        <v>0</v>
      </c>
      <c r="V337" s="2">
        <v>1741.35</v>
      </c>
      <c r="W337" t="str">
        <f>"$"</f>
        <v>$</v>
      </c>
      <c r="X337">
        <v>0</v>
      </c>
      <c r="Y337">
        <v>0</v>
      </c>
      <c r="Z337">
        <v>0</v>
      </c>
      <c r="AA337" t="str">
        <f>"Y"</f>
        <v>Y</v>
      </c>
      <c r="AB337" t="str">
        <f>"SO23000048"</f>
        <v>SO23000048</v>
      </c>
      <c r="AC337">
        <v>8</v>
      </c>
      <c r="AD337" s="1">
        <v>44944</v>
      </c>
      <c r="AE337" t="str">
        <f>"SH23000957"</f>
        <v>SH23000957</v>
      </c>
      <c r="AF337" t="str">
        <f>"משלוחים ללקוח"</f>
        <v>משלוחים ללקוח</v>
      </c>
      <c r="AG337" s="1">
        <v>45133</v>
      </c>
      <c r="AM337" t="str">
        <f>"10"</f>
        <v>10</v>
      </c>
      <c r="AN337" t="str">
        <f>"500000"</f>
        <v>500000</v>
      </c>
      <c r="AO337" t="str">
        <f>"הכנסות  מלקוחות"</f>
        <v>הכנסות  מלקוחות</v>
      </c>
      <c r="AQ337" t="str">
        <f>"040"</f>
        <v>040</v>
      </c>
      <c r="AR337">
        <v>0</v>
      </c>
      <c r="AS337">
        <v>0</v>
      </c>
      <c r="AT337">
        <v>3.7130000000000001</v>
      </c>
      <c r="AX337" t="str">
        <f>"E000383715"</f>
        <v>E000383715</v>
      </c>
      <c r="BD337" t="str">
        <f>"רחמים זרוק"</f>
        <v>רחמים זרוק</v>
      </c>
    </row>
    <row r="338" spans="1:56" x14ac:dyDescent="0.3">
      <c r="A338" s="1">
        <v>45137</v>
      </c>
      <c r="B338" t="str">
        <f>"SI236001016"</f>
        <v>SI236001016</v>
      </c>
      <c r="C338" t="str">
        <f>"PR23000131"</f>
        <v>PR23000131</v>
      </c>
      <c r="E338" t="str">
        <f>"Y"</f>
        <v>Y</v>
      </c>
      <c r="F338" t="str">
        <f>"חשבוניות מרכזות"</f>
        <v>חשבוניות מרכזות</v>
      </c>
      <c r="G338" t="str">
        <f>"700065"</f>
        <v>700065</v>
      </c>
      <c r="H338" t="str">
        <f>"אלתא מערכות בע""מ"</f>
        <v>אלתא מערכות בע"מ</v>
      </c>
      <c r="I338" t="str">
        <f>"15"</f>
        <v>15</v>
      </c>
      <c r="J338" t="str">
        <f>"OP-AR03254"</f>
        <v>OP-AR03254</v>
      </c>
      <c r="K338" t="str">
        <f>"1036H285-001    HARNESS WC285 - MB TO PS2"</f>
        <v>1036H285-001    HARNESS WC285 - MB TO PS2</v>
      </c>
      <c r="L338">
        <v>1</v>
      </c>
      <c r="M338" t="str">
        <f>"יח"</f>
        <v>יח</v>
      </c>
      <c r="N338">
        <v>1</v>
      </c>
      <c r="O338" t="str">
        <f>"יח"</f>
        <v>יח</v>
      </c>
      <c r="P338">
        <v>185.71</v>
      </c>
      <c r="Q338" t="str">
        <f>"$"</f>
        <v>$</v>
      </c>
      <c r="R338" t="str">
        <f>"הזמנה"</f>
        <v>הזמנה</v>
      </c>
      <c r="S338">
        <v>0</v>
      </c>
      <c r="T338">
        <v>185.71</v>
      </c>
      <c r="U338">
        <v>0</v>
      </c>
      <c r="V338">
        <v>185.71</v>
      </c>
      <c r="W338" t="str">
        <f>"$"</f>
        <v>$</v>
      </c>
      <c r="X338">
        <v>0</v>
      </c>
      <c r="Y338">
        <v>0</v>
      </c>
      <c r="Z338">
        <v>0</v>
      </c>
      <c r="AA338" t="str">
        <f>"Y"</f>
        <v>Y</v>
      </c>
      <c r="AB338" t="str">
        <f>"SO23000072"</f>
        <v>SO23000072</v>
      </c>
      <c r="AC338">
        <v>3</v>
      </c>
      <c r="AD338" s="1">
        <v>44959</v>
      </c>
      <c r="AE338" t="str">
        <f>"SH23000964"</f>
        <v>SH23000964</v>
      </c>
      <c r="AF338" t="str">
        <f>"משלוחים ללקוח"</f>
        <v>משלוחים ללקוח</v>
      </c>
      <c r="AG338" s="1">
        <v>45133</v>
      </c>
      <c r="AM338" t="str">
        <f>"10"</f>
        <v>10</v>
      </c>
      <c r="AN338" t="str">
        <f>"500000"</f>
        <v>500000</v>
      </c>
      <c r="AO338" t="str">
        <f>"הכנסות  מלקוחות"</f>
        <v>הכנסות  מלקוחות</v>
      </c>
      <c r="AQ338" t="str">
        <f>"040"</f>
        <v>040</v>
      </c>
      <c r="AR338">
        <v>0</v>
      </c>
      <c r="AS338">
        <v>0</v>
      </c>
      <c r="AT338">
        <v>3.7130000000000001</v>
      </c>
      <c r="AX338" t="str">
        <f>"E000385438"</f>
        <v>E000385438</v>
      </c>
      <c r="BD338" t="str">
        <f>"רחמים זרוק"</f>
        <v>רחמים זרוק</v>
      </c>
    </row>
    <row r="339" spans="1:56" x14ac:dyDescent="0.3">
      <c r="A339" s="1">
        <v>45137</v>
      </c>
      <c r="B339" t="str">
        <f>"SI236001015"</f>
        <v>SI236001015</v>
      </c>
      <c r="C339" t="str">
        <f>"PR22000911"</f>
        <v>PR22000911</v>
      </c>
      <c r="E339" t="str">
        <f>"Y"</f>
        <v>Y</v>
      </c>
      <c r="F339" t="str">
        <f>"חשבוניות מרכזות"</f>
        <v>חשבוניות מרכזות</v>
      </c>
      <c r="G339" t="str">
        <f>"700065"</f>
        <v>700065</v>
      </c>
      <c r="H339" t="str">
        <f>"אלתא מערכות בע""מ"</f>
        <v>אלתא מערכות בע"מ</v>
      </c>
      <c r="I339" t="str">
        <f>"15"</f>
        <v>15</v>
      </c>
      <c r="J339" t="str">
        <f>"OP-AR03526"</f>
        <v>OP-AR03526</v>
      </c>
      <c r="K339" t="str">
        <f>"2120B092-001     CABLE ASSY WCABL1"</f>
        <v>2120B092-001     CABLE ASSY WCABL1</v>
      </c>
      <c r="L339">
        <v>1</v>
      </c>
      <c r="M339" t="str">
        <f>"יח"</f>
        <v>יח</v>
      </c>
      <c r="N339">
        <v>1</v>
      </c>
      <c r="O339" t="str">
        <f>"יח"</f>
        <v>יח</v>
      </c>
      <c r="P339">
        <v>882.3</v>
      </c>
      <c r="Q339" t="str">
        <f>"$"</f>
        <v>$</v>
      </c>
      <c r="R339" t="str">
        <f>"הזמנה"</f>
        <v>הזמנה</v>
      </c>
      <c r="S339">
        <v>0</v>
      </c>
      <c r="T339">
        <v>882.3</v>
      </c>
      <c r="U339">
        <v>0</v>
      </c>
      <c r="V339">
        <v>882.3</v>
      </c>
      <c r="W339" t="str">
        <f>"$"</f>
        <v>$</v>
      </c>
      <c r="X339">
        <v>0</v>
      </c>
      <c r="Y339">
        <v>0</v>
      </c>
      <c r="Z339">
        <v>0</v>
      </c>
      <c r="AA339" t="str">
        <f>"Y"</f>
        <v>Y</v>
      </c>
      <c r="AB339" t="str">
        <f>"SO22000476"</f>
        <v>SO22000476</v>
      </c>
      <c r="AC339">
        <v>2</v>
      </c>
      <c r="AD339" s="1">
        <v>44917</v>
      </c>
      <c r="AE339" t="str">
        <f>"SH23000966"</f>
        <v>SH23000966</v>
      </c>
      <c r="AF339" t="str">
        <f>"משלוחים ללקוח"</f>
        <v>משלוחים ללקוח</v>
      </c>
      <c r="AG339" s="1">
        <v>45133</v>
      </c>
      <c r="AM339" t="str">
        <f>"10"</f>
        <v>10</v>
      </c>
      <c r="AN339" t="str">
        <f>"500000"</f>
        <v>500000</v>
      </c>
      <c r="AO339" t="str">
        <f>"הכנסות  מלקוחות"</f>
        <v>הכנסות  מלקוחות</v>
      </c>
      <c r="AQ339" t="str">
        <f>"040"</f>
        <v>040</v>
      </c>
      <c r="AR339">
        <v>0</v>
      </c>
      <c r="AS339">
        <v>0</v>
      </c>
      <c r="AT339">
        <v>3.7130000000000001</v>
      </c>
      <c r="AX339" t="str">
        <f>"E000381315"</f>
        <v>E000381315</v>
      </c>
      <c r="BD339" t="str">
        <f>"רחמים זרוק"</f>
        <v>רחמים זרוק</v>
      </c>
    </row>
    <row r="340" spans="1:56" x14ac:dyDescent="0.3">
      <c r="A340" s="1">
        <v>45137</v>
      </c>
      <c r="B340" t="str">
        <f>"SI236001014"</f>
        <v>SI236001014</v>
      </c>
      <c r="C340" t="str">
        <f>"PR23000327"</f>
        <v>PR23000327</v>
      </c>
      <c r="D340" t="str">
        <f>"PR23000327"</f>
        <v>PR23000327</v>
      </c>
      <c r="E340" t="str">
        <f>"Y"</f>
        <v>Y</v>
      </c>
      <c r="F340" t="str">
        <f>"חשבוניות מרכזות"</f>
        <v>חשבוניות מרכזות</v>
      </c>
      <c r="G340" t="str">
        <f>"700065"</f>
        <v>700065</v>
      </c>
      <c r="H340" t="str">
        <f>"אלתא מערכות בע""מ"</f>
        <v>אלתא מערכות בע"מ</v>
      </c>
      <c r="I340" t="str">
        <f>"15"</f>
        <v>15</v>
      </c>
      <c r="J340" t="str">
        <f>"OP-AR02352"</f>
        <v>OP-AR02352</v>
      </c>
      <c r="K340" t="str">
        <f>"2202B036-001    TRW23 CABLE ASSY"</f>
        <v>2202B036-001    TRW23 CABLE ASSY</v>
      </c>
      <c r="L340">
        <v>2</v>
      </c>
      <c r="M340" t="str">
        <f>"יח"</f>
        <v>יח</v>
      </c>
      <c r="N340">
        <v>2</v>
      </c>
      <c r="O340" t="str">
        <f>"יח"</f>
        <v>יח</v>
      </c>
      <c r="P340">
        <v>80.069999999999993</v>
      </c>
      <c r="Q340" t="str">
        <f>"$"</f>
        <v>$</v>
      </c>
      <c r="R340" t="str">
        <f>"הזמנה"</f>
        <v>הזמנה</v>
      </c>
      <c r="S340">
        <v>0</v>
      </c>
      <c r="T340">
        <v>160.13999999999999</v>
      </c>
      <c r="U340">
        <v>0</v>
      </c>
      <c r="V340">
        <v>160.13999999999999</v>
      </c>
      <c r="W340" t="str">
        <f>"$"</f>
        <v>$</v>
      </c>
      <c r="X340">
        <v>0</v>
      </c>
      <c r="Y340">
        <v>0</v>
      </c>
      <c r="Z340">
        <v>0</v>
      </c>
      <c r="AA340" t="str">
        <f>"Y"</f>
        <v>Y</v>
      </c>
      <c r="AB340" t="str">
        <f>"SO23000233"</f>
        <v>SO23000233</v>
      </c>
      <c r="AC340">
        <v>4</v>
      </c>
      <c r="AD340" s="1">
        <v>45061</v>
      </c>
      <c r="AE340" t="str">
        <f>"SH23000965"</f>
        <v>SH23000965</v>
      </c>
      <c r="AF340" t="str">
        <f>"משלוחים ללקוח"</f>
        <v>משלוחים ללקוח</v>
      </c>
      <c r="AG340" s="1">
        <v>45133</v>
      </c>
      <c r="AM340" t="str">
        <f>"10"</f>
        <v>10</v>
      </c>
      <c r="AN340" t="str">
        <f>"500000"</f>
        <v>500000</v>
      </c>
      <c r="AO340" t="str">
        <f>"הכנסות  מלקוחות"</f>
        <v>הכנסות  מלקוחות</v>
      </c>
      <c r="AQ340" t="str">
        <f>"040"</f>
        <v>040</v>
      </c>
      <c r="AR340">
        <v>0</v>
      </c>
      <c r="AS340">
        <v>0</v>
      </c>
      <c r="AT340">
        <v>3.7130000000000001</v>
      </c>
      <c r="AX340" t="str">
        <f>"E000394557"</f>
        <v>E000394557</v>
      </c>
      <c r="BD340" t="str">
        <f>"רחמים זרוק"</f>
        <v>רחמים זרוק</v>
      </c>
    </row>
    <row r="341" spans="1:56" x14ac:dyDescent="0.3">
      <c r="A341" s="1">
        <v>45137</v>
      </c>
      <c r="B341" t="str">
        <f>"SI236001002"</f>
        <v>SI236001002</v>
      </c>
      <c r="C341" t="str">
        <f>"PR23000147"</f>
        <v>PR23000147</v>
      </c>
      <c r="D341" t="str">
        <f>"PR23000147"</f>
        <v>PR23000147</v>
      </c>
      <c r="E341" t="str">
        <f>"Y"</f>
        <v>Y</v>
      </c>
      <c r="F341" t="str">
        <f>"חשבוניות מרכזות"</f>
        <v>חשבוניות מרכזות</v>
      </c>
      <c r="G341" t="str">
        <f>"700065"</f>
        <v>700065</v>
      </c>
      <c r="H341" t="str">
        <f>"אלתא מערכות בע""מ"</f>
        <v>אלתא מערכות בע"מ</v>
      </c>
      <c r="I341" t="str">
        <f>"10"</f>
        <v>10</v>
      </c>
      <c r="J341" t="str">
        <f>"OP-KT00134"</f>
        <v>OP-KT00134</v>
      </c>
      <c r="K341" t="str">
        <f>"1036R033-001 ELM 2288MR Shelter Electrical Spare Parts"</f>
        <v>1036R033-001 ELM 2288MR Shelter Electrical Spare Parts</v>
      </c>
      <c r="L341">
        <v>1</v>
      </c>
      <c r="M341" t="str">
        <f>"יח"</f>
        <v>יח</v>
      </c>
      <c r="N341">
        <v>1</v>
      </c>
      <c r="O341" t="str">
        <f>"יח"</f>
        <v>יח</v>
      </c>
      <c r="P341" s="2">
        <v>16298.63</v>
      </c>
      <c r="Q341" t="str">
        <f>"$"</f>
        <v>$</v>
      </c>
      <c r="R341" t="str">
        <f>"הזמנה"</f>
        <v>הזמנה</v>
      </c>
      <c r="S341">
        <v>0</v>
      </c>
      <c r="T341" s="2">
        <v>16298.63</v>
      </c>
      <c r="U341">
        <v>0</v>
      </c>
      <c r="V341" s="2">
        <v>16298.63</v>
      </c>
      <c r="W341" t="str">
        <f>"$"</f>
        <v>$</v>
      </c>
      <c r="X341">
        <v>0</v>
      </c>
      <c r="Y341">
        <v>0</v>
      </c>
      <c r="Z341">
        <v>0</v>
      </c>
      <c r="AA341" t="str">
        <f>"Y"</f>
        <v>Y</v>
      </c>
      <c r="AB341" t="str">
        <f>"SO23000089"</f>
        <v>SO23000089</v>
      </c>
      <c r="AC341">
        <v>1</v>
      </c>
      <c r="AD341" s="1">
        <v>44969</v>
      </c>
      <c r="AE341" t="str">
        <f>"SH23000952"</f>
        <v>SH23000952</v>
      </c>
      <c r="AF341" t="str">
        <f>"משלוחים ללקוח"</f>
        <v>משלוחים ללקוח</v>
      </c>
      <c r="AG341" s="1">
        <v>45132</v>
      </c>
      <c r="AM341" t="str">
        <f>"10"</f>
        <v>10</v>
      </c>
      <c r="AN341" t="str">
        <f>"500000"</f>
        <v>500000</v>
      </c>
      <c r="AO341" t="str">
        <f>"הכנסות  מלקוחות"</f>
        <v>הכנסות  מלקוחות</v>
      </c>
      <c r="AQ341" t="str">
        <f>"034"</f>
        <v>034</v>
      </c>
      <c r="AR341">
        <v>0</v>
      </c>
      <c r="AS341">
        <v>0</v>
      </c>
      <c r="AT341">
        <v>3.7130000000000001</v>
      </c>
      <c r="AX341" t="str">
        <f>"E000370014"</f>
        <v>E000370014</v>
      </c>
      <c r="BD341" t="str">
        <f>"ערן שלו"</f>
        <v>ערן שלו</v>
      </c>
    </row>
    <row r="342" spans="1:56" x14ac:dyDescent="0.3">
      <c r="A342" s="1">
        <v>45132</v>
      </c>
      <c r="B342" t="str">
        <f>"SI236001013"</f>
        <v>SI236001013</v>
      </c>
      <c r="C342" t="str">
        <f>"PR23000427"</f>
        <v>PR23000427</v>
      </c>
      <c r="D342" t="str">
        <f>"PR23000427"</f>
        <v>PR23000427</v>
      </c>
      <c r="E342" t="str">
        <f>"Y"</f>
        <v>Y</v>
      </c>
      <c r="F342" t="str">
        <f>"חשבוניות מרכזות"</f>
        <v>חשבוניות מרכזות</v>
      </c>
      <c r="G342" t="str">
        <f>"700065"</f>
        <v>700065</v>
      </c>
      <c r="H342" t="str">
        <f>"אלתא מערכות בע""מ"</f>
        <v>אלתא מערכות בע"מ</v>
      </c>
      <c r="I342" t="str">
        <f>"10"</f>
        <v>10</v>
      </c>
      <c r="J342" t="str">
        <f>"PS9900058"</f>
        <v>PS9900058</v>
      </c>
      <c r="K342" t="str">
        <f>"Catena"</f>
        <v>Catena</v>
      </c>
      <c r="L342">
        <v>5</v>
      </c>
      <c r="M342" t="str">
        <f>"יח"</f>
        <v>יח</v>
      </c>
      <c r="N342">
        <v>5</v>
      </c>
      <c r="O342" t="str">
        <f>"יח"</f>
        <v>יח</v>
      </c>
      <c r="P342" s="2">
        <v>1050</v>
      </c>
      <c r="Q342" t="str">
        <f>"$"</f>
        <v>$</v>
      </c>
      <c r="R342" t="str">
        <f>"הזמנה"</f>
        <v>הזמנה</v>
      </c>
      <c r="S342">
        <v>0</v>
      </c>
      <c r="T342" s="2">
        <v>5250</v>
      </c>
      <c r="U342">
        <v>0</v>
      </c>
      <c r="V342" s="2">
        <v>5250</v>
      </c>
      <c r="W342" t="str">
        <f>"$"</f>
        <v>$</v>
      </c>
      <c r="X342">
        <v>0</v>
      </c>
      <c r="Y342">
        <v>0</v>
      </c>
      <c r="Z342">
        <v>0</v>
      </c>
      <c r="AA342" t="str">
        <f>"Y"</f>
        <v>Y</v>
      </c>
      <c r="AB342" t="str">
        <f>"SO23000309"</f>
        <v>SO23000309</v>
      </c>
      <c r="AC342">
        <v>1</v>
      </c>
      <c r="AD342" s="1">
        <v>45111</v>
      </c>
      <c r="AE342" t="str">
        <f>"SH23000897"</f>
        <v>SH23000897</v>
      </c>
      <c r="AF342" t="str">
        <f>"משלוחים ללקוח"</f>
        <v>משלוחים ללקוח</v>
      </c>
      <c r="AG342" s="1">
        <v>45124</v>
      </c>
      <c r="AM342" t="str">
        <f>"10"</f>
        <v>10</v>
      </c>
      <c r="AN342" t="str">
        <f>"500000"</f>
        <v>500000</v>
      </c>
      <c r="AO342" t="str">
        <f>"הכנסות  מלקוחות"</f>
        <v>הכנסות  מלקוחות</v>
      </c>
      <c r="AQ342" t="str">
        <f>"007"</f>
        <v>007</v>
      </c>
      <c r="AR342">
        <v>0</v>
      </c>
      <c r="AS342">
        <v>0</v>
      </c>
      <c r="AT342">
        <v>3.7170000000000001</v>
      </c>
      <c r="AX342" t="str">
        <f>"E000398351"</f>
        <v>E000398351</v>
      </c>
      <c r="BD342" t="str">
        <f>"רוני דידי"</f>
        <v>רוני דידי</v>
      </c>
    </row>
    <row r="343" spans="1:56" x14ac:dyDescent="0.3">
      <c r="A343" s="1">
        <v>45132</v>
      </c>
      <c r="B343" t="str">
        <f>"SI236001012"</f>
        <v>SI236001012</v>
      </c>
      <c r="C343" t="str">
        <f>"PR20000834"</f>
        <v>PR20000834</v>
      </c>
      <c r="D343" t="str">
        <f>"PR20000834"</f>
        <v>PR20000834</v>
      </c>
      <c r="E343" t="str">
        <f>"Y"</f>
        <v>Y</v>
      </c>
      <c r="F343" t="str">
        <f>"חשבוניות מרכזות"</f>
        <v>חשבוניות מרכזות</v>
      </c>
      <c r="G343" t="str">
        <f>"700065"</f>
        <v>700065</v>
      </c>
      <c r="H343" t="str">
        <f>"אלתא מערכות בע""מ"</f>
        <v>אלתא מערכות בע"מ</v>
      </c>
      <c r="I343" t="str">
        <f>"10"</f>
        <v>10</v>
      </c>
      <c r="J343" t="str">
        <f>"OP-AR02126"</f>
        <v>OP-AR02126</v>
      </c>
      <c r="K343" t="str">
        <f>"1032F942-001/-   ETHERNET CABLE MFR-W942 - FILTE"</f>
        <v>1032F942-001/-   ETHERNET CABLE MFR-W942 - FILTE</v>
      </c>
      <c r="L343">
        <v>4</v>
      </c>
      <c r="M343" t="str">
        <f>"יח"</f>
        <v>יח</v>
      </c>
      <c r="N343">
        <v>4</v>
      </c>
      <c r="O343" t="str">
        <f>"יח"</f>
        <v>יח</v>
      </c>
      <c r="P343">
        <v>174</v>
      </c>
      <c r="Q343" t="str">
        <f>"$"</f>
        <v>$</v>
      </c>
      <c r="R343" t="str">
        <f>"הזמנה"</f>
        <v>הזמנה</v>
      </c>
      <c r="S343">
        <v>0</v>
      </c>
      <c r="T343">
        <v>696</v>
      </c>
      <c r="U343">
        <v>0</v>
      </c>
      <c r="V343">
        <v>696</v>
      </c>
      <c r="W343" t="str">
        <f>"$"</f>
        <v>$</v>
      </c>
      <c r="X343">
        <v>0</v>
      </c>
      <c r="Y343">
        <v>0</v>
      </c>
      <c r="Z343">
        <v>0</v>
      </c>
      <c r="AA343" t="str">
        <f>"Y"</f>
        <v>Y</v>
      </c>
      <c r="AB343" t="str">
        <f>"SO20000532"</f>
        <v>SO20000532</v>
      </c>
      <c r="AC343">
        <v>135</v>
      </c>
      <c r="AD343" s="1">
        <v>44155</v>
      </c>
      <c r="AE343" t="str">
        <f>"SH23000920"</f>
        <v>SH23000920</v>
      </c>
      <c r="AF343" t="str">
        <f>"משלוחים ללקוח"</f>
        <v>משלוחים ללקוח</v>
      </c>
      <c r="AG343" s="1">
        <v>45126</v>
      </c>
      <c r="AM343" t="str">
        <f>"10"</f>
        <v>10</v>
      </c>
      <c r="AN343" t="str">
        <f>"500000"</f>
        <v>500000</v>
      </c>
      <c r="AO343" t="str">
        <f>"הכנסות  מלקוחות"</f>
        <v>הכנסות  מלקוחות</v>
      </c>
      <c r="AQ343" t="str">
        <f>"034"</f>
        <v>034</v>
      </c>
      <c r="AR343">
        <v>0</v>
      </c>
      <c r="AS343">
        <v>0</v>
      </c>
      <c r="AT343">
        <v>3.7170000000000001</v>
      </c>
      <c r="AX343" t="str">
        <f>"E000321177"</f>
        <v>E000321177</v>
      </c>
      <c r="BD343" t="str">
        <f>"ערן שלו"</f>
        <v>ערן שלו</v>
      </c>
    </row>
    <row r="344" spans="1:56" x14ac:dyDescent="0.3">
      <c r="A344" s="1">
        <v>45132</v>
      </c>
      <c r="B344" t="str">
        <f>"SI236001012"</f>
        <v>SI236001012</v>
      </c>
      <c r="C344" t="str">
        <f>"PR20000834"</f>
        <v>PR20000834</v>
      </c>
      <c r="D344" t="str">
        <f>"PR20000834"</f>
        <v>PR20000834</v>
      </c>
      <c r="E344" t="str">
        <f>"Y"</f>
        <v>Y</v>
      </c>
      <c r="F344" t="str">
        <f>"חשבוניות מרכזות"</f>
        <v>חשבוניות מרכזות</v>
      </c>
      <c r="G344" t="str">
        <f>"700065"</f>
        <v>700065</v>
      </c>
      <c r="H344" t="str">
        <f>"אלתא מערכות בע""מ"</f>
        <v>אלתא מערכות בע"מ</v>
      </c>
      <c r="I344" t="str">
        <f>"10"</f>
        <v>10</v>
      </c>
      <c r="J344" t="str">
        <f>"OP-AR02126"</f>
        <v>OP-AR02126</v>
      </c>
      <c r="K344" t="str">
        <f>"1032F942-001/-   ETHERNET CABLE MFR-W942 - FILTE"</f>
        <v>1032F942-001/-   ETHERNET CABLE MFR-W942 - FILTE</v>
      </c>
      <c r="L344">
        <v>4</v>
      </c>
      <c r="M344" t="str">
        <f>"יח"</f>
        <v>יח</v>
      </c>
      <c r="N344">
        <v>4</v>
      </c>
      <c r="O344" t="str">
        <f>"יח"</f>
        <v>יח</v>
      </c>
      <c r="P344">
        <v>174</v>
      </c>
      <c r="Q344" t="str">
        <f>"$"</f>
        <v>$</v>
      </c>
      <c r="R344" t="str">
        <f>"הזמנה"</f>
        <v>הזמנה</v>
      </c>
      <c r="S344">
        <v>0</v>
      </c>
      <c r="T344">
        <v>696</v>
      </c>
      <c r="U344">
        <v>0</v>
      </c>
      <c r="V344">
        <v>696</v>
      </c>
      <c r="W344" t="str">
        <f>"$"</f>
        <v>$</v>
      </c>
      <c r="X344">
        <v>0</v>
      </c>
      <c r="Y344">
        <v>0</v>
      </c>
      <c r="Z344">
        <v>0</v>
      </c>
      <c r="AA344" t="str">
        <f>"Y"</f>
        <v>Y</v>
      </c>
      <c r="AB344" t="str">
        <f>"SO20000532"</f>
        <v>SO20000532</v>
      </c>
      <c r="AC344">
        <v>136</v>
      </c>
      <c r="AD344" s="1">
        <v>44155</v>
      </c>
      <c r="AE344" t="str">
        <f>"SH23000920"</f>
        <v>SH23000920</v>
      </c>
      <c r="AF344" t="str">
        <f>"משלוחים ללקוח"</f>
        <v>משלוחים ללקוח</v>
      </c>
      <c r="AG344" s="1">
        <v>45126</v>
      </c>
      <c r="AM344" t="str">
        <f>"10"</f>
        <v>10</v>
      </c>
      <c r="AN344" t="str">
        <f>"500000"</f>
        <v>500000</v>
      </c>
      <c r="AO344" t="str">
        <f>"הכנסות  מלקוחות"</f>
        <v>הכנסות  מלקוחות</v>
      </c>
      <c r="AQ344" t="str">
        <f>"034"</f>
        <v>034</v>
      </c>
      <c r="AR344">
        <v>0</v>
      </c>
      <c r="AS344">
        <v>0</v>
      </c>
      <c r="AT344">
        <v>3.7170000000000001</v>
      </c>
      <c r="AX344" t="str">
        <f>"E000321177"</f>
        <v>E000321177</v>
      </c>
      <c r="BD344" t="str">
        <f>"ערן שלו"</f>
        <v>ערן שלו</v>
      </c>
    </row>
    <row r="345" spans="1:56" x14ac:dyDescent="0.3">
      <c r="A345" s="1">
        <v>45132</v>
      </c>
      <c r="B345" t="str">
        <f>"SI236001012"</f>
        <v>SI236001012</v>
      </c>
      <c r="C345" t="str">
        <f>"PR20000834"</f>
        <v>PR20000834</v>
      </c>
      <c r="D345" t="str">
        <f>"PR20000834"</f>
        <v>PR20000834</v>
      </c>
      <c r="E345" t="str">
        <f>"Y"</f>
        <v>Y</v>
      </c>
      <c r="F345" t="str">
        <f>"חשבוניות מרכזות"</f>
        <v>חשבוניות מרכזות</v>
      </c>
      <c r="G345" t="str">
        <f>"700065"</f>
        <v>700065</v>
      </c>
      <c r="H345" t="str">
        <f>"אלתא מערכות בע""מ"</f>
        <v>אלתא מערכות בע"מ</v>
      </c>
      <c r="I345" t="str">
        <f>"10"</f>
        <v>10</v>
      </c>
      <c r="J345" t="str">
        <f>"OP-AR02127"</f>
        <v>OP-AR02127</v>
      </c>
      <c r="K345" t="str">
        <f>"1032F943-001/-   ETHERNET CABLE MFR-W943 - FILTE"</f>
        <v>1032F943-001/-   ETHERNET CABLE MFR-W943 - FILTE</v>
      </c>
      <c r="L345">
        <v>4</v>
      </c>
      <c r="M345" t="str">
        <f>"יח"</f>
        <v>יח</v>
      </c>
      <c r="N345">
        <v>4</v>
      </c>
      <c r="O345" t="str">
        <f>"יח"</f>
        <v>יח</v>
      </c>
      <c r="P345">
        <v>174</v>
      </c>
      <c r="Q345" t="str">
        <f>"$"</f>
        <v>$</v>
      </c>
      <c r="R345" t="str">
        <f>"הזמנה"</f>
        <v>הזמנה</v>
      </c>
      <c r="S345">
        <v>0</v>
      </c>
      <c r="T345">
        <v>696</v>
      </c>
      <c r="U345">
        <v>0</v>
      </c>
      <c r="V345">
        <v>696</v>
      </c>
      <c r="W345" t="str">
        <f>"$"</f>
        <v>$</v>
      </c>
      <c r="X345">
        <v>0</v>
      </c>
      <c r="Y345">
        <v>0</v>
      </c>
      <c r="Z345">
        <v>0</v>
      </c>
      <c r="AA345" t="str">
        <f>"Y"</f>
        <v>Y</v>
      </c>
      <c r="AB345" t="str">
        <f>"SO20000532"</f>
        <v>SO20000532</v>
      </c>
      <c r="AC345">
        <v>141</v>
      </c>
      <c r="AD345" s="1">
        <v>44155</v>
      </c>
      <c r="AE345" t="str">
        <f>"SH23000920"</f>
        <v>SH23000920</v>
      </c>
      <c r="AF345" t="str">
        <f>"משלוחים ללקוח"</f>
        <v>משלוחים ללקוח</v>
      </c>
      <c r="AG345" s="1">
        <v>45126</v>
      </c>
      <c r="AM345" t="str">
        <f>"10"</f>
        <v>10</v>
      </c>
      <c r="AN345" t="str">
        <f>"500000"</f>
        <v>500000</v>
      </c>
      <c r="AO345" t="str">
        <f>"הכנסות  מלקוחות"</f>
        <v>הכנסות  מלקוחות</v>
      </c>
      <c r="AQ345" t="str">
        <f>"034"</f>
        <v>034</v>
      </c>
      <c r="AR345">
        <v>0</v>
      </c>
      <c r="AS345">
        <v>0</v>
      </c>
      <c r="AT345">
        <v>3.7170000000000001</v>
      </c>
      <c r="AX345" t="str">
        <f>"E000321177"</f>
        <v>E000321177</v>
      </c>
      <c r="BD345" t="str">
        <f>"ערן שלו"</f>
        <v>ערן שלו</v>
      </c>
    </row>
    <row r="346" spans="1:56" x14ac:dyDescent="0.3">
      <c r="A346" s="1">
        <v>45132</v>
      </c>
      <c r="B346" t="str">
        <f>"SI236001012"</f>
        <v>SI236001012</v>
      </c>
      <c r="C346" t="str">
        <f>"PR20000834"</f>
        <v>PR20000834</v>
      </c>
      <c r="D346" t="str">
        <f>"PR20000834"</f>
        <v>PR20000834</v>
      </c>
      <c r="E346" t="str">
        <f>"Y"</f>
        <v>Y</v>
      </c>
      <c r="F346" t="str">
        <f>"חשבוניות מרכזות"</f>
        <v>חשבוניות מרכזות</v>
      </c>
      <c r="G346" t="str">
        <f>"700065"</f>
        <v>700065</v>
      </c>
      <c r="H346" t="str">
        <f>"אלתא מערכות בע""מ"</f>
        <v>אלתא מערכות בע"מ</v>
      </c>
      <c r="I346" t="str">
        <f>"10"</f>
        <v>10</v>
      </c>
      <c r="J346" t="str">
        <f>"OP-AR02127"</f>
        <v>OP-AR02127</v>
      </c>
      <c r="K346" t="str">
        <f>"1032F943-001/-   ETHERNET CABLE MFR-W943 - FILTE"</f>
        <v>1032F943-001/-   ETHERNET CABLE MFR-W943 - FILTE</v>
      </c>
      <c r="L346">
        <v>4</v>
      </c>
      <c r="M346" t="str">
        <f>"יח"</f>
        <v>יח</v>
      </c>
      <c r="N346">
        <v>4</v>
      </c>
      <c r="O346" t="str">
        <f>"יח"</f>
        <v>יח</v>
      </c>
      <c r="P346">
        <v>174</v>
      </c>
      <c r="Q346" t="str">
        <f>"$"</f>
        <v>$</v>
      </c>
      <c r="R346" t="str">
        <f>"הזמנה"</f>
        <v>הזמנה</v>
      </c>
      <c r="S346">
        <v>0</v>
      </c>
      <c r="T346">
        <v>696</v>
      </c>
      <c r="U346">
        <v>0</v>
      </c>
      <c r="V346">
        <v>696</v>
      </c>
      <c r="W346" t="str">
        <f>"$"</f>
        <v>$</v>
      </c>
      <c r="X346">
        <v>0</v>
      </c>
      <c r="Y346">
        <v>0</v>
      </c>
      <c r="Z346">
        <v>0</v>
      </c>
      <c r="AA346" t="str">
        <f>"Y"</f>
        <v>Y</v>
      </c>
      <c r="AB346" t="str">
        <f>"SO20000532"</f>
        <v>SO20000532</v>
      </c>
      <c r="AC346">
        <v>142</v>
      </c>
      <c r="AD346" s="1">
        <v>44155</v>
      </c>
      <c r="AE346" t="str">
        <f>"SH23000920"</f>
        <v>SH23000920</v>
      </c>
      <c r="AF346" t="str">
        <f>"משלוחים ללקוח"</f>
        <v>משלוחים ללקוח</v>
      </c>
      <c r="AG346" s="1">
        <v>45126</v>
      </c>
      <c r="AM346" t="str">
        <f>"10"</f>
        <v>10</v>
      </c>
      <c r="AN346" t="str">
        <f>"500000"</f>
        <v>500000</v>
      </c>
      <c r="AO346" t="str">
        <f>"הכנסות  מלקוחות"</f>
        <v>הכנסות  מלקוחות</v>
      </c>
      <c r="AQ346" t="str">
        <f>"034"</f>
        <v>034</v>
      </c>
      <c r="AR346">
        <v>0</v>
      </c>
      <c r="AS346">
        <v>0</v>
      </c>
      <c r="AT346">
        <v>3.7170000000000001</v>
      </c>
      <c r="AX346" t="str">
        <f>"E000321177"</f>
        <v>E000321177</v>
      </c>
      <c r="BD346" t="str">
        <f>"ערן שלו"</f>
        <v>ערן שלו</v>
      </c>
    </row>
    <row r="347" spans="1:56" x14ac:dyDescent="0.3">
      <c r="A347" s="1">
        <v>45132</v>
      </c>
      <c r="B347" t="str">
        <f>"SI236001012"</f>
        <v>SI236001012</v>
      </c>
      <c r="C347" t="str">
        <f>"PR20000834"</f>
        <v>PR20000834</v>
      </c>
      <c r="D347" t="str">
        <f>"PR20000834"</f>
        <v>PR20000834</v>
      </c>
      <c r="E347" t="str">
        <f>"Y"</f>
        <v>Y</v>
      </c>
      <c r="F347" t="str">
        <f>"חשבוניות מרכזות"</f>
        <v>חשבוניות מרכזות</v>
      </c>
      <c r="G347" t="str">
        <f>"700065"</f>
        <v>700065</v>
      </c>
      <c r="H347" t="str">
        <f>"אלתא מערכות בע""מ"</f>
        <v>אלתא מערכות בע"מ</v>
      </c>
      <c r="I347" t="str">
        <f>"10"</f>
        <v>10</v>
      </c>
      <c r="J347" t="str">
        <f>"OP-AR02128"</f>
        <v>OP-AR02128</v>
      </c>
      <c r="K347" t="str">
        <f>"1032F944-001/-   ETHERNET CABLE MFR-W944 - FILTE"</f>
        <v>1032F944-001/-   ETHERNET CABLE MFR-W944 - FILTE</v>
      </c>
      <c r="L347">
        <v>4</v>
      </c>
      <c r="M347" t="str">
        <f>"יח"</f>
        <v>יח</v>
      </c>
      <c r="N347">
        <v>4</v>
      </c>
      <c r="O347" t="str">
        <f>"יח"</f>
        <v>יח</v>
      </c>
      <c r="P347">
        <v>174</v>
      </c>
      <c r="Q347" t="str">
        <f>"$"</f>
        <v>$</v>
      </c>
      <c r="R347" t="str">
        <f>"הזמנה"</f>
        <v>הזמנה</v>
      </c>
      <c r="S347">
        <v>0</v>
      </c>
      <c r="T347">
        <v>696</v>
      </c>
      <c r="U347">
        <v>0</v>
      </c>
      <c r="V347">
        <v>696</v>
      </c>
      <c r="W347" t="str">
        <f>"$"</f>
        <v>$</v>
      </c>
      <c r="X347">
        <v>0</v>
      </c>
      <c r="Y347">
        <v>0</v>
      </c>
      <c r="Z347">
        <v>0</v>
      </c>
      <c r="AA347" t="str">
        <f>"Y"</f>
        <v>Y</v>
      </c>
      <c r="AB347" t="str">
        <f>"SO20000532"</f>
        <v>SO20000532</v>
      </c>
      <c r="AC347">
        <v>147</v>
      </c>
      <c r="AD347" s="1">
        <v>44155</v>
      </c>
      <c r="AE347" t="str">
        <f>"SH23000920"</f>
        <v>SH23000920</v>
      </c>
      <c r="AF347" t="str">
        <f>"משלוחים ללקוח"</f>
        <v>משלוחים ללקוח</v>
      </c>
      <c r="AG347" s="1">
        <v>45126</v>
      </c>
      <c r="AM347" t="str">
        <f>"10"</f>
        <v>10</v>
      </c>
      <c r="AN347" t="str">
        <f>"500000"</f>
        <v>500000</v>
      </c>
      <c r="AO347" t="str">
        <f>"הכנסות  מלקוחות"</f>
        <v>הכנסות  מלקוחות</v>
      </c>
      <c r="AQ347" t="str">
        <f>"034"</f>
        <v>034</v>
      </c>
      <c r="AR347">
        <v>0</v>
      </c>
      <c r="AS347">
        <v>0</v>
      </c>
      <c r="AT347">
        <v>3.7170000000000001</v>
      </c>
      <c r="AX347" t="str">
        <f>"E000321177"</f>
        <v>E000321177</v>
      </c>
      <c r="BD347" t="str">
        <f>"ערן שלו"</f>
        <v>ערן שלו</v>
      </c>
    </row>
    <row r="348" spans="1:56" x14ac:dyDescent="0.3">
      <c r="A348" s="1">
        <v>45132</v>
      </c>
      <c r="B348" t="str">
        <f>"SI236001012"</f>
        <v>SI236001012</v>
      </c>
      <c r="C348" t="str">
        <f>"PR20000834"</f>
        <v>PR20000834</v>
      </c>
      <c r="D348" t="str">
        <f>"PR20000834"</f>
        <v>PR20000834</v>
      </c>
      <c r="E348" t="str">
        <f>"Y"</f>
        <v>Y</v>
      </c>
      <c r="F348" t="str">
        <f>"חשבוניות מרכזות"</f>
        <v>חשבוניות מרכזות</v>
      </c>
      <c r="G348" t="str">
        <f>"700065"</f>
        <v>700065</v>
      </c>
      <c r="H348" t="str">
        <f>"אלתא מערכות בע""מ"</f>
        <v>אלתא מערכות בע"מ</v>
      </c>
      <c r="I348" t="str">
        <f>"10"</f>
        <v>10</v>
      </c>
      <c r="J348" t="str">
        <f>"OP-AR02128"</f>
        <v>OP-AR02128</v>
      </c>
      <c r="K348" t="str">
        <f>"1032F944-001/-   ETHERNET CABLE MFR-W944 - FILTE"</f>
        <v>1032F944-001/-   ETHERNET CABLE MFR-W944 - FILTE</v>
      </c>
      <c r="L348">
        <v>4</v>
      </c>
      <c r="M348" t="str">
        <f>"יח"</f>
        <v>יח</v>
      </c>
      <c r="N348">
        <v>4</v>
      </c>
      <c r="O348" t="str">
        <f>"יח"</f>
        <v>יח</v>
      </c>
      <c r="P348">
        <v>174</v>
      </c>
      <c r="Q348" t="str">
        <f>"$"</f>
        <v>$</v>
      </c>
      <c r="R348" t="str">
        <f>"הזמנה"</f>
        <v>הזמנה</v>
      </c>
      <c r="S348">
        <v>0</v>
      </c>
      <c r="T348">
        <v>696</v>
      </c>
      <c r="U348">
        <v>0</v>
      </c>
      <c r="V348">
        <v>696</v>
      </c>
      <c r="W348" t="str">
        <f>"$"</f>
        <v>$</v>
      </c>
      <c r="X348">
        <v>0</v>
      </c>
      <c r="Y348">
        <v>0</v>
      </c>
      <c r="Z348">
        <v>0</v>
      </c>
      <c r="AA348" t="str">
        <f>"Y"</f>
        <v>Y</v>
      </c>
      <c r="AB348" t="str">
        <f>"SO20000532"</f>
        <v>SO20000532</v>
      </c>
      <c r="AC348">
        <v>148</v>
      </c>
      <c r="AD348" s="1">
        <v>44155</v>
      </c>
      <c r="AE348" t="str">
        <f>"SH23000920"</f>
        <v>SH23000920</v>
      </c>
      <c r="AF348" t="str">
        <f>"משלוחים ללקוח"</f>
        <v>משלוחים ללקוח</v>
      </c>
      <c r="AG348" s="1">
        <v>45126</v>
      </c>
      <c r="AM348" t="str">
        <f>"10"</f>
        <v>10</v>
      </c>
      <c r="AN348" t="str">
        <f>"500000"</f>
        <v>500000</v>
      </c>
      <c r="AO348" t="str">
        <f>"הכנסות  מלקוחות"</f>
        <v>הכנסות  מלקוחות</v>
      </c>
      <c r="AQ348" t="str">
        <f>"034"</f>
        <v>034</v>
      </c>
      <c r="AR348">
        <v>0</v>
      </c>
      <c r="AS348">
        <v>0</v>
      </c>
      <c r="AT348">
        <v>3.7170000000000001</v>
      </c>
      <c r="AX348" t="str">
        <f>"E000321177"</f>
        <v>E000321177</v>
      </c>
      <c r="BD348" t="str">
        <f>"ערן שלו"</f>
        <v>ערן שלו</v>
      </c>
    </row>
    <row r="349" spans="1:56" x14ac:dyDescent="0.3">
      <c r="A349" s="1">
        <v>45132</v>
      </c>
      <c r="B349" t="str">
        <f>"SI236001009"</f>
        <v>SI236001009</v>
      </c>
      <c r="C349" t="str">
        <f>"PR22000911"</f>
        <v>PR22000911</v>
      </c>
      <c r="E349" t="str">
        <f>"Y"</f>
        <v>Y</v>
      </c>
      <c r="F349" t="str">
        <f>"חשבוניות מרכזות"</f>
        <v>חשבוניות מרכזות</v>
      </c>
      <c r="G349" t="str">
        <f>"700065"</f>
        <v>700065</v>
      </c>
      <c r="H349" t="str">
        <f>"אלתא מערכות בע""מ"</f>
        <v>אלתא מערכות בע"מ</v>
      </c>
      <c r="I349" t="str">
        <f>"15"</f>
        <v>15</v>
      </c>
      <c r="J349" t="str">
        <f>"OP-AR03525"</f>
        <v>OP-AR03525</v>
      </c>
      <c r="K349" t="str">
        <f>"2060B589-001    MIC2 PW SW CABLE ASSY"</f>
        <v>2060B589-001    MIC2 PW SW CABLE ASSY</v>
      </c>
      <c r="L349">
        <v>1</v>
      </c>
      <c r="M349" t="str">
        <f>"יח"</f>
        <v>יח</v>
      </c>
      <c r="N349">
        <v>1</v>
      </c>
      <c r="O349" t="str">
        <f>"יח"</f>
        <v>יח</v>
      </c>
      <c r="P349">
        <v>658.71</v>
      </c>
      <c r="Q349" t="str">
        <f>"$"</f>
        <v>$</v>
      </c>
      <c r="R349" t="str">
        <f>"הזמנה"</f>
        <v>הזמנה</v>
      </c>
      <c r="S349">
        <v>0</v>
      </c>
      <c r="T349">
        <v>658.71</v>
      </c>
      <c r="U349">
        <v>0</v>
      </c>
      <c r="V349">
        <v>658.71</v>
      </c>
      <c r="W349" t="str">
        <f>"$"</f>
        <v>$</v>
      </c>
      <c r="X349">
        <v>0</v>
      </c>
      <c r="Y349">
        <v>0</v>
      </c>
      <c r="Z349">
        <v>0</v>
      </c>
      <c r="AA349" t="str">
        <f>"Y"</f>
        <v>Y</v>
      </c>
      <c r="AB349" t="str">
        <f>"SO22000476"</f>
        <v>SO22000476</v>
      </c>
      <c r="AC349">
        <v>1</v>
      </c>
      <c r="AD349" s="1">
        <v>44917</v>
      </c>
      <c r="AE349" t="str">
        <f>"SH23000910"</f>
        <v>SH23000910</v>
      </c>
      <c r="AF349" t="str">
        <f>"משלוחים ללקוח"</f>
        <v>משלוחים ללקוח</v>
      </c>
      <c r="AG349" s="1">
        <v>45125</v>
      </c>
      <c r="AM349" t="str">
        <f>"10"</f>
        <v>10</v>
      </c>
      <c r="AN349" t="str">
        <f>"500000"</f>
        <v>500000</v>
      </c>
      <c r="AO349" t="str">
        <f>"הכנסות  מלקוחות"</f>
        <v>הכנסות  מלקוחות</v>
      </c>
      <c r="AQ349" t="str">
        <f>"040"</f>
        <v>040</v>
      </c>
      <c r="AR349">
        <v>0</v>
      </c>
      <c r="AS349">
        <v>0</v>
      </c>
      <c r="AT349">
        <v>3.7170000000000001</v>
      </c>
      <c r="AX349" t="str">
        <f>"E000381315"</f>
        <v>E000381315</v>
      </c>
      <c r="BD349" t="str">
        <f>"רחמים זרוק"</f>
        <v>רחמים זרוק</v>
      </c>
    </row>
    <row r="350" spans="1:56" x14ac:dyDescent="0.3">
      <c r="A350" s="1">
        <v>45132</v>
      </c>
      <c r="B350" t="str">
        <f>"SI236001009"</f>
        <v>SI236001009</v>
      </c>
      <c r="C350" t="str">
        <f>"PR22000911"</f>
        <v>PR22000911</v>
      </c>
      <c r="E350" t="str">
        <f>"Y"</f>
        <v>Y</v>
      </c>
      <c r="F350" t="str">
        <f>"חשבוניות מרכזות"</f>
        <v>חשבוניות מרכזות</v>
      </c>
      <c r="G350" t="str">
        <f>"700065"</f>
        <v>700065</v>
      </c>
      <c r="H350" t="str">
        <f>"אלתא מערכות בע""מ"</f>
        <v>אלתא מערכות בע"מ</v>
      </c>
      <c r="I350" t="str">
        <f>"15"</f>
        <v>15</v>
      </c>
      <c r="J350" t="str">
        <f>"OP-AR03528"</f>
        <v>OP-AR03528</v>
      </c>
      <c r="K350" t="str">
        <f>"2120B097-001     ST PLUG ASSY"</f>
        <v>2120B097-001     ST PLUG ASSY</v>
      </c>
      <c r="L350">
        <v>1</v>
      </c>
      <c r="M350" t="str">
        <f>"יח"</f>
        <v>יח</v>
      </c>
      <c r="N350">
        <v>1</v>
      </c>
      <c r="O350" t="str">
        <f>"יח"</f>
        <v>יח</v>
      </c>
      <c r="P350">
        <v>182.6</v>
      </c>
      <c r="Q350" t="str">
        <f>"$"</f>
        <v>$</v>
      </c>
      <c r="R350" t="str">
        <f>"הזמנה"</f>
        <v>הזמנה</v>
      </c>
      <c r="S350">
        <v>0</v>
      </c>
      <c r="T350">
        <v>182.6</v>
      </c>
      <c r="U350">
        <v>0</v>
      </c>
      <c r="V350">
        <v>182.6</v>
      </c>
      <c r="W350" t="str">
        <f>"$"</f>
        <v>$</v>
      </c>
      <c r="X350">
        <v>0</v>
      </c>
      <c r="Y350">
        <v>0</v>
      </c>
      <c r="Z350">
        <v>0</v>
      </c>
      <c r="AA350" t="str">
        <f>"Y"</f>
        <v>Y</v>
      </c>
      <c r="AB350" t="str">
        <f>"SO22000476"</f>
        <v>SO22000476</v>
      </c>
      <c r="AC350">
        <v>5</v>
      </c>
      <c r="AD350" s="1">
        <v>44917</v>
      </c>
      <c r="AE350" t="str">
        <f>"SH23000910"</f>
        <v>SH23000910</v>
      </c>
      <c r="AF350" t="str">
        <f>"משלוחים ללקוח"</f>
        <v>משלוחים ללקוח</v>
      </c>
      <c r="AG350" s="1">
        <v>45125</v>
      </c>
      <c r="AM350" t="str">
        <f>"10"</f>
        <v>10</v>
      </c>
      <c r="AN350" t="str">
        <f>"500000"</f>
        <v>500000</v>
      </c>
      <c r="AO350" t="str">
        <f>"הכנסות  מלקוחות"</f>
        <v>הכנסות  מלקוחות</v>
      </c>
      <c r="AQ350" t="str">
        <f>"040"</f>
        <v>040</v>
      </c>
      <c r="AR350">
        <v>0</v>
      </c>
      <c r="AS350">
        <v>0</v>
      </c>
      <c r="AT350">
        <v>3.7170000000000001</v>
      </c>
      <c r="AX350" t="str">
        <f>"E000381315"</f>
        <v>E000381315</v>
      </c>
      <c r="BD350" t="str">
        <f>"רחמים זרוק"</f>
        <v>רחמים זרוק</v>
      </c>
    </row>
    <row r="351" spans="1:56" x14ac:dyDescent="0.3">
      <c r="A351" s="1">
        <v>45132</v>
      </c>
      <c r="B351" t="str">
        <f>"SI236001009"</f>
        <v>SI236001009</v>
      </c>
      <c r="C351" t="str">
        <f>"PR22000911"</f>
        <v>PR22000911</v>
      </c>
      <c r="E351" t="str">
        <f>"Y"</f>
        <v>Y</v>
      </c>
      <c r="F351" t="str">
        <f>"חשבוניות מרכזות"</f>
        <v>חשבוניות מרכזות</v>
      </c>
      <c r="G351" t="str">
        <f>"700065"</f>
        <v>700065</v>
      </c>
      <c r="H351" t="str">
        <f>"אלתא מערכות בע""מ"</f>
        <v>אלתא מערכות בע"מ</v>
      </c>
      <c r="I351" t="str">
        <f>"15"</f>
        <v>15</v>
      </c>
      <c r="J351" t="str">
        <f>"OP-AR02197"</f>
        <v>OP-AR02197</v>
      </c>
      <c r="K351" t="str">
        <f>"2120B112-001   CABLE ASSY WCAB"</f>
        <v>2120B112-001   CABLE ASSY WCAB</v>
      </c>
      <c r="L351">
        <v>1</v>
      </c>
      <c r="M351" t="str">
        <f>"יח"</f>
        <v>יח</v>
      </c>
      <c r="N351">
        <v>1</v>
      </c>
      <c r="O351" t="str">
        <f>"יח"</f>
        <v>יח</v>
      </c>
      <c r="P351">
        <v>696.6</v>
      </c>
      <c r="Q351" t="str">
        <f>"$"</f>
        <v>$</v>
      </c>
      <c r="R351" t="str">
        <f>"הזמנה"</f>
        <v>הזמנה</v>
      </c>
      <c r="S351">
        <v>0</v>
      </c>
      <c r="T351">
        <v>696.6</v>
      </c>
      <c r="U351">
        <v>0</v>
      </c>
      <c r="V351">
        <v>696.6</v>
      </c>
      <c r="W351" t="str">
        <f>"$"</f>
        <v>$</v>
      </c>
      <c r="X351">
        <v>0</v>
      </c>
      <c r="Y351">
        <v>0</v>
      </c>
      <c r="Z351">
        <v>0</v>
      </c>
      <c r="AA351" t="str">
        <f>"Y"</f>
        <v>Y</v>
      </c>
      <c r="AB351" t="str">
        <f>"SO22000476"</f>
        <v>SO22000476</v>
      </c>
      <c r="AC351">
        <v>6</v>
      </c>
      <c r="AD351" s="1">
        <v>44917</v>
      </c>
      <c r="AE351" t="str">
        <f>"SH23000910"</f>
        <v>SH23000910</v>
      </c>
      <c r="AF351" t="str">
        <f>"משלוחים ללקוח"</f>
        <v>משלוחים ללקוח</v>
      </c>
      <c r="AG351" s="1">
        <v>45125</v>
      </c>
      <c r="AM351" t="str">
        <f>"10"</f>
        <v>10</v>
      </c>
      <c r="AN351" t="str">
        <f>"500000"</f>
        <v>500000</v>
      </c>
      <c r="AO351" t="str">
        <f>"הכנסות  מלקוחות"</f>
        <v>הכנסות  מלקוחות</v>
      </c>
      <c r="AQ351" t="str">
        <f>"040"</f>
        <v>040</v>
      </c>
      <c r="AR351">
        <v>0</v>
      </c>
      <c r="AS351">
        <v>0</v>
      </c>
      <c r="AT351">
        <v>3.7170000000000001</v>
      </c>
      <c r="AX351" t="str">
        <f>"E000381315"</f>
        <v>E000381315</v>
      </c>
      <c r="BD351" t="str">
        <f>"רחמים זרוק"</f>
        <v>רחמים זרוק</v>
      </c>
    </row>
    <row r="352" spans="1:56" x14ac:dyDescent="0.3">
      <c r="A352" s="1">
        <v>45132</v>
      </c>
      <c r="B352" t="str">
        <f>"SI236001003"</f>
        <v>SI236001003</v>
      </c>
      <c r="C352" t="str">
        <f>"PR22000674"</f>
        <v>PR22000674</v>
      </c>
      <c r="E352" t="str">
        <f>"Y"</f>
        <v>Y</v>
      </c>
      <c r="F352" t="str">
        <f>"חשבוניות מרכזות"</f>
        <v>חשבוניות מרכזות</v>
      </c>
      <c r="G352" t="str">
        <f>"700065"</f>
        <v>700065</v>
      </c>
      <c r="H352" t="str">
        <f>"אלתא מערכות בע""מ"</f>
        <v>אלתא מערכות בע"מ</v>
      </c>
      <c r="I352" t="str">
        <f>"15"</f>
        <v>15</v>
      </c>
      <c r="J352" t="str">
        <f>"OP-AR03381"</f>
        <v>OP-AR03381</v>
      </c>
      <c r="K352" t="str">
        <f>"1094F820-001    CABLE W10"</f>
        <v>1094F820-001    CABLE W10</v>
      </c>
      <c r="L352">
        <v>1</v>
      </c>
      <c r="M352" t="str">
        <f>"יח"</f>
        <v>יח</v>
      </c>
      <c r="N352">
        <v>1</v>
      </c>
      <c r="O352" t="str">
        <f>"יח"</f>
        <v>יח</v>
      </c>
      <c r="P352">
        <v>784.23</v>
      </c>
      <c r="Q352" t="str">
        <f>"$"</f>
        <v>$</v>
      </c>
      <c r="R352" t="str">
        <f>"הזמנה"</f>
        <v>הזמנה</v>
      </c>
      <c r="S352">
        <v>0</v>
      </c>
      <c r="T352">
        <v>784.23</v>
      </c>
      <c r="U352">
        <v>0</v>
      </c>
      <c r="V352">
        <v>784.23</v>
      </c>
      <c r="W352" t="str">
        <f>"$"</f>
        <v>$</v>
      </c>
      <c r="X352">
        <v>0</v>
      </c>
      <c r="Y352">
        <v>0</v>
      </c>
      <c r="Z352">
        <v>0</v>
      </c>
      <c r="AA352" t="str">
        <f>"Y"</f>
        <v>Y</v>
      </c>
      <c r="AB352" t="str">
        <f>"SO22000389"</f>
        <v>SO22000389</v>
      </c>
      <c r="AC352">
        <v>2</v>
      </c>
      <c r="AD352" s="1">
        <v>44864</v>
      </c>
      <c r="AE352" t="str">
        <f>"SH23000780"</f>
        <v>SH23000780</v>
      </c>
      <c r="AF352" t="str">
        <f>"משלוחים ללקוח"</f>
        <v>משלוחים ללקוח</v>
      </c>
      <c r="AG352" s="1">
        <v>45102</v>
      </c>
      <c r="AM352" t="str">
        <f>"10"</f>
        <v>10</v>
      </c>
      <c r="AN352" t="str">
        <f>"500000"</f>
        <v>500000</v>
      </c>
      <c r="AO352" t="str">
        <f>"הכנסות  מלקוחות"</f>
        <v>הכנסות  מלקוחות</v>
      </c>
      <c r="AQ352" t="str">
        <f>"040"</f>
        <v>040</v>
      </c>
      <c r="AR352">
        <v>0</v>
      </c>
      <c r="AS352">
        <v>0</v>
      </c>
      <c r="AT352">
        <v>3.7170000000000001</v>
      </c>
      <c r="AX352" t="str">
        <f>"E000377324"</f>
        <v>E000377324</v>
      </c>
      <c r="BD352" t="str">
        <f>"רחמים זרוק"</f>
        <v>רחמים זרוק</v>
      </c>
    </row>
    <row r="353" spans="1:56" x14ac:dyDescent="0.3">
      <c r="A353" s="1">
        <v>45132</v>
      </c>
      <c r="B353" t="str">
        <f>"SI236001001"</f>
        <v>SI236001001</v>
      </c>
      <c r="C353" t="str">
        <f>"PR22000486"</f>
        <v>PR22000486</v>
      </c>
      <c r="E353" t="str">
        <f>"Y"</f>
        <v>Y</v>
      </c>
      <c r="F353" t="str">
        <f>"חשבוניות מרכזות"</f>
        <v>חשבוניות מרכזות</v>
      </c>
      <c r="G353" t="str">
        <f>"700065"</f>
        <v>700065</v>
      </c>
      <c r="H353" t="str">
        <f>"אלתא מערכות בע""מ"</f>
        <v>אלתא מערכות בע"מ</v>
      </c>
      <c r="I353" t="str">
        <f>"15"</f>
        <v>15</v>
      </c>
      <c r="J353" t="str">
        <f>"OP-AR03200"</f>
        <v>OP-AR03200</v>
      </c>
      <c r="K353" t="str">
        <f>"3003P303-002     HARNESS W3"</f>
        <v>3003P303-002     HARNESS W3</v>
      </c>
      <c r="L353">
        <v>7</v>
      </c>
      <c r="M353" t="str">
        <f>"יח"</f>
        <v>יח</v>
      </c>
      <c r="N353">
        <v>7</v>
      </c>
      <c r="O353" t="str">
        <f>"יח"</f>
        <v>יח</v>
      </c>
      <c r="P353" s="2">
        <v>2319.48</v>
      </c>
      <c r="Q353" t="str">
        <f>"$"</f>
        <v>$</v>
      </c>
      <c r="R353" t="str">
        <f>"הזמנה"</f>
        <v>הזמנה</v>
      </c>
      <c r="S353">
        <v>0</v>
      </c>
      <c r="T353" s="2">
        <v>16236.36</v>
      </c>
      <c r="U353">
        <v>0</v>
      </c>
      <c r="V353" s="2">
        <v>16236.36</v>
      </c>
      <c r="W353" t="str">
        <f>"$"</f>
        <v>$</v>
      </c>
      <c r="X353">
        <v>0</v>
      </c>
      <c r="Y353">
        <v>0</v>
      </c>
      <c r="Z353">
        <v>0</v>
      </c>
      <c r="AA353" t="str">
        <f>"Y"</f>
        <v>Y</v>
      </c>
      <c r="AB353" t="str">
        <f>"SO22000250"</f>
        <v>SO22000250</v>
      </c>
      <c r="AC353">
        <v>1</v>
      </c>
      <c r="AD353" s="1">
        <v>44733</v>
      </c>
      <c r="AE353" t="str">
        <f>"SH23000925"</f>
        <v>SH23000925</v>
      </c>
      <c r="AF353" t="str">
        <f>"משלוחים ללקוח"</f>
        <v>משלוחים ללקוח</v>
      </c>
      <c r="AG353" s="1">
        <v>45126</v>
      </c>
      <c r="AM353" t="str">
        <f>"10"</f>
        <v>10</v>
      </c>
      <c r="AN353" t="str">
        <f>"500000"</f>
        <v>500000</v>
      </c>
      <c r="AO353" t="str">
        <f>"הכנסות  מלקוחות"</f>
        <v>הכנסות  מלקוחות</v>
      </c>
      <c r="AQ353" t="str">
        <f>"034"</f>
        <v>034</v>
      </c>
      <c r="AR353">
        <v>0</v>
      </c>
      <c r="AS353">
        <v>0</v>
      </c>
      <c r="AT353">
        <v>3.7170000000000001</v>
      </c>
      <c r="AX353" t="str">
        <f>"E000366835"</f>
        <v>E000366835</v>
      </c>
      <c r="BD353" t="str">
        <f>"ערן שלו"</f>
        <v>ערן שלו</v>
      </c>
    </row>
    <row r="354" spans="1:56" x14ac:dyDescent="0.3">
      <c r="A354" s="1">
        <v>45130</v>
      </c>
      <c r="B354" t="str">
        <f>"SI236001085"</f>
        <v>SI236001085</v>
      </c>
      <c r="C354" t="str">
        <f>"PR23000270"</f>
        <v>PR23000270</v>
      </c>
      <c r="E354" t="str">
        <f>"Y"</f>
        <v>Y</v>
      </c>
      <c r="F354" t="str">
        <f>"חשבוניות מרכזות"</f>
        <v>חשבוניות מרכזות</v>
      </c>
      <c r="G354" t="str">
        <f>"700065"</f>
        <v>700065</v>
      </c>
      <c r="H354" t="str">
        <f>"אלתא מערכות בע""מ"</f>
        <v>אלתא מערכות בע"מ</v>
      </c>
      <c r="I354" t="str">
        <f>"10"</f>
        <v>10</v>
      </c>
      <c r="J354" t="str">
        <f>"OP-ML00231"</f>
        <v>OP-ML00231</v>
      </c>
      <c r="K354" t="str">
        <f>"BBD-24-40 24VDC 40A UPS WITH BATT 2U DRAWER"</f>
        <v>BBD-24-40 24VDC 40A UPS WITH BATT 2U DRAWER</v>
      </c>
      <c r="L354">
        <v>-8</v>
      </c>
      <c r="M354" t="str">
        <f>"יח"</f>
        <v>יח</v>
      </c>
      <c r="N354">
        <v>-8</v>
      </c>
      <c r="O354" t="str">
        <f>"יח"</f>
        <v>יח</v>
      </c>
      <c r="P354" s="2">
        <v>4350</v>
      </c>
      <c r="Q354" t="str">
        <f>"$"</f>
        <v>$</v>
      </c>
      <c r="R354" t="str">
        <f>"הזמנה"</f>
        <v>הזמנה</v>
      </c>
      <c r="S354">
        <v>0</v>
      </c>
      <c r="T354" s="2">
        <v>-34800</v>
      </c>
      <c r="U354">
        <v>0</v>
      </c>
      <c r="V354" s="2">
        <v>-34800</v>
      </c>
      <c r="W354" t="str">
        <f>"$"</f>
        <v>$</v>
      </c>
      <c r="X354">
        <v>0</v>
      </c>
      <c r="Y354">
        <v>0</v>
      </c>
      <c r="Z354">
        <v>0</v>
      </c>
      <c r="AA354" t="str">
        <f>"Y"</f>
        <v>Y</v>
      </c>
      <c r="AC354">
        <v>0</v>
      </c>
      <c r="AM354" t="str">
        <f>"10"</f>
        <v>10</v>
      </c>
      <c r="AN354" t="str">
        <f>"500000"</f>
        <v>500000</v>
      </c>
      <c r="AO354" t="str">
        <f>"הכנסות  מלקוחות"</f>
        <v>הכנסות  מלקוחות</v>
      </c>
      <c r="AQ354" t="str">
        <f>"007"</f>
        <v>007</v>
      </c>
      <c r="AR354">
        <v>0</v>
      </c>
      <c r="AS354">
        <v>0</v>
      </c>
      <c r="AT354">
        <v>3.617</v>
      </c>
      <c r="BB354" t="str">
        <f>"Y"</f>
        <v>Y</v>
      </c>
      <c r="BD354" t="str">
        <f>"רוני דידי"</f>
        <v>רוני דידי</v>
      </c>
    </row>
    <row r="355" spans="1:56" x14ac:dyDescent="0.3">
      <c r="A355" s="1">
        <v>45130</v>
      </c>
      <c r="B355" t="str">
        <f>"SI236001008"</f>
        <v>SI236001008</v>
      </c>
      <c r="E355" t="str">
        <f>"Y"</f>
        <v>Y</v>
      </c>
      <c r="F355" t="str">
        <f>"חשבוניות מרכזות"</f>
        <v>חשבוניות מרכזות</v>
      </c>
      <c r="G355" t="str">
        <f>"700065"</f>
        <v>700065</v>
      </c>
      <c r="H355" t="str">
        <f>"אלתא מערכות בע""מ"</f>
        <v>אלתא מערכות בע"מ</v>
      </c>
      <c r="I355" t="str">
        <f>"10"</f>
        <v>10</v>
      </c>
      <c r="J355" t="str">
        <f>"OP-AR02918"</f>
        <v>OP-AR02918</v>
      </c>
      <c r="K355" t="str">
        <f>"HU PDB1 1033H520-001"</f>
        <v>HU PDB1 1033H520-001</v>
      </c>
      <c r="L355">
        <v>1</v>
      </c>
      <c r="M355" t="str">
        <f>"יח"</f>
        <v>יח</v>
      </c>
      <c r="N355">
        <v>1</v>
      </c>
      <c r="O355" t="str">
        <f>"יח"</f>
        <v>יח</v>
      </c>
      <c r="P355" s="2">
        <v>41000</v>
      </c>
      <c r="Q355" t="str">
        <f>"$"</f>
        <v>$</v>
      </c>
      <c r="R355" t="str">
        <f>"הזמנה"</f>
        <v>הזמנה</v>
      </c>
      <c r="S355">
        <v>0</v>
      </c>
      <c r="T355" s="2">
        <v>41000</v>
      </c>
      <c r="U355">
        <v>0</v>
      </c>
      <c r="V355" s="2">
        <v>41000</v>
      </c>
      <c r="W355" t="str">
        <f>"$"</f>
        <v>$</v>
      </c>
      <c r="X355">
        <v>0</v>
      </c>
      <c r="Y355">
        <v>0</v>
      </c>
      <c r="Z355">
        <v>0</v>
      </c>
      <c r="AA355" t="str">
        <f>"Y"</f>
        <v>Y</v>
      </c>
      <c r="AB355" t="str">
        <f>"SO22000016"</f>
        <v>SO22000016</v>
      </c>
      <c r="AC355">
        <v>16</v>
      </c>
      <c r="AD355" s="1">
        <v>44574</v>
      </c>
      <c r="AE355" t="str">
        <f>"SH23001210"</f>
        <v>SH23001210</v>
      </c>
      <c r="AF355" t="str">
        <f>"משלוחים ללקוח"</f>
        <v>משלוחים ללקוח</v>
      </c>
      <c r="AG355" s="1">
        <v>45139</v>
      </c>
      <c r="AM355" t="str">
        <f>"10"</f>
        <v>10</v>
      </c>
      <c r="AN355" t="str">
        <f>"500000"</f>
        <v>500000</v>
      </c>
      <c r="AO355" t="str">
        <f>"הכנסות  מלקוחות"</f>
        <v>הכנסות  מלקוחות</v>
      </c>
      <c r="AQ355" t="str">
        <f>"007"</f>
        <v>007</v>
      </c>
      <c r="AR355">
        <v>0</v>
      </c>
      <c r="AS355">
        <v>0</v>
      </c>
      <c r="AT355">
        <v>3.617</v>
      </c>
      <c r="AX355" t="str">
        <f>"E000355064"</f>
        <v>E000355064</v>
      </c>
      <c r="BD355" t="str">
        <f>"רוני דידי"</f>
        <v>רוני דידי</v>
      </c>
    </row>
    <row r="356" spans="1:56" x14ac:dyDescent="0.3">
      <c r="A356" s="1">
        <v>45130</v>
      </c>
      <c r="B356" t="str">
        <f>"SI236001007"</f>
        <v>SI236001007</v>
      </c>
      <c r="E356" t="str">
        <f>"Y"</f>
        <v>Y</v>
      </c>
      <c r="F356" t="str">
        <f>"חשבוניות מרכזות"</f>
        <v>חשבוניות מרכזות</v>
      </c>
      <c r="G356" t="str">
        <f>"700065"</f>
        <v>700065</v>
      </c>
      <c r="H356" t="str">
        <f>"אלתא מערכות בע""מ"</f>
        <v>אלתא מערכות בע"מ</v>
      </c>
      <c r="I356" t="str">
        <f>"10"</f>
        <v>10</v>
      </c>
      <c r="J356" t="str">
        <f>"OP-AR03538"</f>
        <v>OP-AR03538</v>
      </c>
      <c r="K356" t="str">
        <f>"1043B860-001 PDB1 M"</f>
        <v>1043B860-001 PDB1 M</v>
      </c>
      <c r="L356">
        <v>1</v>
      </c>
      <c r="M356" t="str">
        <f>"יח"</f>
        <v>יח</v>
      </c>
      <c r="N356">
        <v>1</v>
      </c>
      <c r="O356" t="str">
        <f>"יח"</f>
        <v>יח</v>
      </c>
      <c r="P356" s="2">
        <v>43055</v>
      </c>
      <c r="Q356" t="str">
        <f>"$"</f>
        <v>$</v>
      </c>
      <c r="R356" t="str">
        <f>"הזמנה"</f>
        <v>הזמנה</v>
      </c>
      <c r="S356">
        <v>0</v>
      </c>
      <c r="T356" s="2">
        <v>43055</v>
      </c>
      <c r="U356">
        <v>0</v>
      </c>
      <c r="V356" s="2">
        <v>43055</v>
      </c>
      <c r="W356" t="str">
        <f>"$"</f>
        <v>$</v>
      </c>
      <c r="X356">
        <v>0</v>
      </c>
      <c r="Y356">
        <v>0</v>
      </c>
      <c r="Z356">
        <v>0</v>
      </c>
      <c r="AA356" t="str">
        <f>"Y"</f>
        <v>Y</v>
      </c>
      <c r="AB356" t="str">
        <f>"SO22000192"</f>
        <v>SO22000192</v>
      </c>
      <c r="AC356">
        <v>7</v>
      </c>
      <c r="AD356" s="1">
        <v>44698</v>
      </c>
      <c r="AE356" t="str">
        <f>"SH23001053"</f>
        <v>SH23001053</v>
      </c>
      <c r="AF356" t="str">
        <f>"משלוחים ללקוח"</f>
        <v>משלוחים ללקוח</v>
      </c>
      <c r="AG356" s="1">
        <v>45154</v>
      </c>
      <c r="AM356" t="str">
        <f>"10"</f>
        <v>10</v>
      </c>
      <c r="AN356" t="str">
        <f>"500000"</f>
        <v>500000</v>
      </c>
      <c r="AO356" t="str">
        <f>"הכנסות  מלקוחות"</f>
        <v>הכנסות  מלקוחות</v>
      </c>
      <c r="AQ356" t="str">
        <f>"034"</f>
        <v>034</v>
      </c>
      <c r="AR356">
        <v>0</v>
      </c>
      <c r="AS356">
        <v>0</v>
      </c>
      <c r="AT356">
        <v>3.617</v>
      </c>
      <c r="AX356" t="str">
        <f>"E000361337"</f>
        <v>E000361337</v>
      </c>
      <c r="BD356" t="str">
        <f>"ערן שלו"</f>
        <v>ערן שלו</v>
      </c>
    </row>
    <row r="357" spans="1:56" x14ac:dyDescent="0.3">
      <c r="A357" s="1">
        <v>45130</v>
      </c>
      <c r="B357" t="str">
        <f>"SI236001006"</f>
        <v>SI236001006</v>
      </c>
      <c r="E357" t="str">
        <f>"Y"</f>
        <v>Y</v>
      </c>
      <c r="F357" t="str">
        <f>"חשבוניות מרכזות"</f>
        <v>חשבוניות מרכזות</v>
      </c>
      <c r="G357" t="str">
        <f>"700065"</f>
        <v>700065</v>
      </c>
      <c r="H357" t="str">
        <f>"אלתא מערכות בע""מ"</f>
        <v>אלתא מערכות בע"מ</v>
      </c>
      <c r="I357" t="str">
        <f>"10"</f>
        <v>10</v>
      </c>
      <c r="J357" t="str">
        <f>"OP-KT00108"</f>
        <v>OP-KT00108</v>
      </c>
      <c r="K357" t="str">
        <f>"VOLTAGE RECTIFIER UNIT מק""ט 1039H790-001"</f>
        <v>VOLTAGE RECTIFIER UNIT מק"ט 1039H790-001</v>
      </c>
      <c r="L357">
        <v>1</v>
      </c>
      <c r="M357" t="str">
        <f>"יח"</f>
        <v>יח</v>
      </c>
      <c r="N357">
        <v>1</v>
      </c>
      <c r="O357" t="str">
        <f>"יח"</f>
        <v>יח</v>
      </c>
      <c r="P357" s="2">
        <v>8750</v>
      </c>
      <c r="Q357" t="str">
        <f>"$"</f>
        <v>$</v>
      </c>
      <c r="R357" t="str">
        <f>"הזמנה"</f>
        <v>הזמנה</v>
      </c>
      <c r="S357">
        <v>0</v>
      </c>
      <c r="T357" s="2">
        <v>8750</v>
      </c>
      <c r="U357">
        <v>0</v>
      </c>
      <c r="V357" s="2">
        <v>8750</v>
      </c>
      <c r="W357" t="str">
        <f>"$"</f>
        <v>$</v>
      </c>
      <c r="X357">
        <v>0</v>
      </c>
      <c r="Y357">
        <v>0</v>
      </c>
      <c r="Z357">
        <v>0</v>
      </c>
      <c r="AA357" t="str">
        <f>"Y"</f>
        <v>Y</v>
      </c>
      <c r="AB357" t="str">
        <f>"SO23000200"</f>
        <v>SO23000200</v>
      </c>
      <c r="AC357">
        <v>1</v>
      </c>
      <c r="AD357" s="1">
        <v>45041</v>
      </c>
      <c r="AM357" t="str">
        <f>"10"</f>
        <v>10</v>
      </c>
      <c r="AN357" t="str">
        <f>"500000"</f>
        <v>500000</v>
      </c>
      <c r="AO357" t="str">
        <f>"הכנסות  מלקוחות"</f>
        <v>הכנסות  מלקוחות</v>
      </c>
      <c r="AQ357" t="str">
        <f>"007"</f>
        <v>007</v>
      </c>
      <c r="AR357">
        <v>0</v>
      </c>
      <c r="AS357">
        <v>0</v>
      </c>
      <c r="AT357">
        <v>3.617</v>
      </c>
      <c r="AX357" t="str">
        <f>"E000392887"</f>
        <v>E000392887</v>
      </c>
      <c r="BD357" t="str">
        <f>"רוני דידי"</f>
        <v>רוני דידי</v>
      </c>
    </row>
    <row r="358" spans="1:56" x14ac:dyDescent="0.3">
      <c r="A358" s="1">
        <v>45130</v>
      </c>
      <c r="B358" t="str">
        <f>"SI236001005"</f>
        <v>SI236001005</v>
      </c>
      <c r="E358" t="str">
        <f>"Y"</f>
        <v>Y</v>
      </c>
      <c r="F358" t="str">
        <f>"חשבוניות מרכזות"</f>
        <v>חשבוניות מרכזות</v>
      </c>
      <c r="G358" t="str">
        <f>"700065"</f>
        <v>700065</v>
      </c>
      <c r="H358" t="str">
        <f>"אלתא מערכות בע""מ"</f>
        <v>אלתא מערכות בע"מ</v>
      </c>
      <c r="I358" t="str">
        <f>"10"</f>
        <v>10</v>
      </c>
      <c r="J358" t="str">
        <f>"OP-KT00108"</f>
        <v>OP-KT00108</v>
      </c>
      <c r="K358" t="str">
        <f>"VOLTAGE RECTIFIER UNIT מק""ט 1039H790-001"</f>
        <v>VOLTAGE RECTIFIER UNIT מק"ט 1039H790-001</v>
      </c>
      <c r="L358">
        <v>1</v>
      </c>
      <c r="M358" t="str">
        <f>"יח"</f>
        <v>יח</v>
      </c>
      <c r="N358">
        <v>1</v>
      </c>
      <c r="O358" t="str">
        <f>"יח"</f>
        <v>יח</v>
      </c>
      <c r="P358" s="2">
        <v>8750</v>
      </c>
      <c r="Q358" t="str">
        <f>"$"</f>
        <v>$</v>
      </c>
      <c r="R358" t="str">
        <f>"הזמנה"</f>
        <v>הזמנה</v>
      </c>
      <c r="S358">
        <v>0</v>
      </c>
      <c r="T358" s="2">
        <v>8750</v>
      </c>
      <c r="U358">
        <v>0</v>
      </c>
      <c r="V358" s="2">
        <v>8750</v>
      </c>
      <c r="W358" t="str">
        <f>"$"</f>
        <v>$</v>
      </c>
      <c r="X358">
        <v>0</v>
      </c>
      <c r="Y358">
        <v>0</v>
      </c>
      <c r="Z358">
        <v>0</v>
      </c>
      <c r="AA358" t="str">
        <f>"Y"</f>
        <v>Y</v>
      </c>
      <c r="AB358" t="str">
        <f>"SO23000200"</f>
        <v>SO23000200</v>
      </c>
      <c r="AC358">
        <v>1</v>
      </c>
      <c r="AD358" s="1">
        <v>45041</v>
      </c>
      <c r="AM358" t="str">
        <f>"10"</f>
        <v>10</v>
      </c>
      <c r="AN358" t="str">
        <f>"500000"</f>
        <v>500000</v>
      </c>
      <c r="AO358" t="str">
        <f>"הכנסות  מלקוחות"</f>
        <v>הכנסות  מלקוחות</v>
      </c>
      <c r="AQ358" t="str">
        <f>"007"</f>
        <v>007</v>
      </c>
      <c r="AR358">
        <v>0</v>
      </c>
      <c r="AS358">
        <v>0</v>
      </c>
      <c r="AT358">
        <v>3.617</v>
      </c>
      <c r="AX358" t="str">
        <f>"E000392887"</f>
        <v>E000392887</v>
      </c>
      <c r="BD358" t="str">
        <f>"רוני דידי"</f>
        <v>רוני דידי</v>
      </c>
    </row>
    <row r="359" spans="1:56" x14ac:dyDescent="0.3">
      <c r="A359" s="1">
        <v>45130</v>
      </c>
      <c r="B359" t="str">
        <f>"SI236001004"</f>
        <v>SI236001004</v>
      </c>
      <c r="C359" t="str">
        <f>"PR23000270"</f>
        <v>PR23000270</v>
      </c>
      <c r="E359" t="str">
        <f>"Y"</f>
        <v>Y</v>
      </c>
      <c r="F359" t="str">
        <f>"חשבוניות מרכזות"</f>
        <v>חשבוניות מרכזות</v>
      </c>
      <c r="G359" t="str">
        <f>"700065"</f>
        <v>700065</v>
      </c>
      <c r="H359" t="str">
        <f>"אלתא מערכות בע""מ"</f>
        <v>אלתא מערכות בע"מ</v>
      </c>
      <c r="I359" t="str">
        <f>"10"</f>
        <v>10</v>
      </c>
      <c r="J359" t="str">
        <f>"OP-ML00231"</f>
        <v>OP-ML00231</v>
      </c>
      <c r="K359" t="str">
        <f>"BBD-24-40 24VDC 40A UPS WITH BATT 2U DRAWER"</f>
        <v>BBD-24-40 24VDC 40A UPS WITH BATT 2U DRAWER</v>
      </c>
      <c r="L359">
        <v>8</v>
      </c>
      <c r="M359" t="str">
        <f>"יח"</f>
        <v>יח</v>
      </c>
      <c r="N359">
        <v>8</v>
      </c>
      <c r="O359" t="str">
        <f>"יח"</f>
        <v>יח</v>
      </c>
      <c r="P359" s="2">
        <v>4350</v>
      </c>
      <c r="Q359" t="str">
        <f>"$"</f>
        <v>$</v>
      </c>
      <c r="R359" t="str">
        <f>"הזמנה"</f>
        <v>הזמנה</v>
      </c>
      <c r="S359">
        <v>0</v>
      </c>
      <c r="T359" s="2">
        <v>34800</v>
      </c>
      <c r="U359">
        <v>0</v>
      </c>
      <c r="V359" s="2">
        <v>34800</v>
      </c>
      <c r="W359" t="str">
        <f>"$"</f>
        <v>$</v>
      </c>
      <c r="X359">
        <v>0</v>
      </c>
      <c r="Y359">
        <v>0</v>
      </c>
      <c r="Z359">
        <v>0</v>
      </c>
      <c r="AA359" t="str">
        <f>"Y"</f>
        <v>Y</v>
      </c>
      <c r="AC359">
        <v>0</v>
      </c>
      <c r="AM359" t="str">
        <f>"10"</f>
        <v>10</v>
      </c>
      <c r="AN359" t="str">
        <f>"500000"</f>
        <v>500000</v>
      </c>
      <c r="AO359" t="str">
        <f>"הכנסות  מלקוחות"</f>
        <v>הכנסות  מלקוחות</v>
      </c>
      <c r="AQ359" t="str">
        <f>"007"</f>
        <v>007</v>
      </c>
      <c r="AR359">
        <v>0</v>
      </c>
      <c r="AS359">
        <v>0</v>
      </c>
      <c r="AT359">
        <v>3.617</v>
      </c>
      <c r="BB359" t="str">
        <f>"Y"</f>
        <v>Y</v>
      </c>
      <c r="BD359" t="str">
        <f>"רוני דידי"</f>
        <v>רוני דידי</v>
      </c>
    </row>
    <row r="360" spans="1:56" x14ac:dyDescent="0.3">
      <c r="A360" s="1">
        <v>45130</v>
      </c>
      <c r="B360" t="str">
        <f>"SI236000992"</f>
        <v>SI236000992</v>
      </c>
      <c r="C360" t="str">
        <f>"PR22000904"</f>
        <v>PR22000904</v>
      </c>
      <c r="E360" t="str">
        <f>"Y"</f>
        <v>Y</v>
      </c>
      <c r="F360" t="str">
        <f>"חשבוניות מרכזות"</f>
        <v>חשבוניות מרכזות</v>
      </c>
      <c r="G360" t="str">
        <f>"700065"</f>
        <v>700065</v>
      </c>
      <c r="H360" t="str">
        <f>"אלתא מערכות בע""מ"</f>
        <v>אלתא מערכות בע"מ</v>
      </c>
      <c r="I360" t="str">
        <f>"15"</f>
        <v>15</v>
      </c>
      <c r="J360" t="str">
        <f>"OP-AR03486"</f>
        <v>OP-AR03486</v>
      </c>
      <c r="K360" t="str">
        <f>"1032F668-001    ETHERNET CABLE WB668 - LAB - EPU1 TO EPU"</f>
        <v>1032F668-001    ETHERNET CABLE WB668 - LAB - EPU1 TO EPU</v>
      </c>
      <c r="L360">
        <v>1</v>
      </c>
      <c r="M360" t="str">
        <f>"יח"</f>
        <v>יח</v>
      </c>
      <c r="N360">
        <v>1</v>
      </c>
      <c r="O360" t="str">
        <f>"יח"</f>
        <v>יח</v>
      </c>
      <c r="P360">
        <v>364.31</v>
      </c>
      <c r="Q360" t="str">
        <f>"$"</f>
        <v>$</v>
      </c>
      <c r="R360" t="str">
        <f>"הזמנה"</f>
        <v>הזמנה</v>
      </c>
      <c r="S360">
        <v>0</v>
      </c>
      <c r="T360">
        <v>364.31</v>
      </c>
      <c r="U360">
        <v>0</v>
      </c>
      <c r="V360">
        <v>364.31</v>
      </c>
      <c r="W360" t="str">
        <f>"$"</f>
        <v>$</v>
      </c>
      <c r="X360">
        <v>0</v>
      </c>
      <c r="Y360">
        <v>0</v>
      </c>
      <c r="Z360">
        <v>0</v>
      </c>
      <c r="AA360" t="str">
        <f>"Y"</f>
        <v>Y</v>
      </c>
      <c r="AB360" t="str">
        <f>"SO22000469"</f>
        <v>SO22000469</v>
      </c>
      <c r="AC360">
        <v>30</v>
      </c>
      <c r="AD360" s="1">
        <v>44915</v>
      </c>
      <c r="AE360" t="str">
        <f>"SH23000779"</f>
        <v>SH23000779</v>
      </c>
      <c r="AF360" t="str">
        <f>"משלוחים ללקוח"</f>
        <v>משלוחים ללקוח</v>
      </c>
      <c r="AG360" s="1">
        <v>45102</v>
      </c>
      <c r="AM360" t="str">
        <f>"10"</f>
        <v>10</v>
      </c>
      <c r="AN360" t="str">
        <f>"500000"</f>
        <v>500000</v>
      </c>
      <c r="AO360" t="str">
        <f>"הכנסות  מלקוחות"</f>
        <v>הכנסות  מלקוחות</v>
      </c>
      <c r="AQ360" t="str">
        <f>"040"</f>
        <v>040</v>
      </c>
      <c r="AR360">
        <v>0</v>
      </c>
      <c r="AS360">
        <v>0</v>
      </c>
      <c r="AT360">
        <v>3.617</v>
      </c>
      <c r="AX360" t="str">
        <f>"E000374099"</f>
        <v>E000374099</v>
      </c>
      <c r="BD360" t="str">
        <f>"רחמים זרוק"</f>
        <v>רחמים זרוק</v>
      </c>
    </row>
    <row r="361" spans="1:56" x14ac:dyDescent="0.3">
      <c r="A361" s="1">
        <v>45130</v>
      </c>
      <c r="B361" t="str">
        <f>"SI236000992"</f>
        <v>SI236000992</v>
      </c>
      <c r="C361" t="str">
        <f>"PR22000904"</f>
        <v>PR22000904</v>
      </c>
      <c r="E361" t="str">
        <f>"Y"</f>
        <v>Y</v>
      </c>
      <c r="F361" t="str">
        <f>"חשבוניות מרכזות"</f>
        <v>חשבוניות מרכזות</v>
      </c>
      <c r="G361" t="str">
        <f>"700065"</f>
        <v>700065</v>
      </c>
      <c r="H361" t="str">
        <f>"אלתא מערכות בע""מ"</f>
        <v>אלתא מערכות בע"מ</v>
      </c>
      <c r="I361" t="str">
        <f>"15"</f>
        <v>15</v>
      </c>
      <c r="J361" t="str">
        <f>"OP-AR03517"</f>
        <v>OP-AR03517</v>
      </c>
      <c r="K361" t="str">
        <f>"1032F135-001    HARNESS WL135 - BEL EPU1 TO LPX ACR FUL"</f>
        <v>1032F135-001    HARNESS WL135 - BEL EPU1 TO LPX ACR FUL</v>
      </c>
      <c r="L361">
        <v>2</v>
      </c>
      <c r="M361" t="str">
        <f>"יח"</f>
        <v>יח</v>
      </c>
      <c r="N361">
        <v>2</v>
      </c>
      <c r="O361" t="str">
        <f>"יח"</f>
        <v>יח</v>
      </c>
      <c r="P361">
        <v>324.12</v>
      </c>
      <c r="Q361" t="str">
        <f>"$"</f>
        <v>$</v>
      </c>
      <c r="R361" t="str">
        <f>"הזמנה"</f>
        <v>הזמנה</v>
      </c>
      <c r="S361">
        <v>0</v>
      </c>
      <c r="T361">
        <v>648.24</v>
      </c>
      <c r="U361">
        <v>0</v>
      </c>
      <c r="V361">
        <v>648.24</v>
      </c>
      <c r="W361" t="str">
        <f>"$"</f>
        <v>$</v>
      </c>
      <c r="X361">
        <v>0</v>
      </c>
      <c r="Y361">
        <v>0</v>
      </c>
      <c r="Z361">
        <v>0</v>
      </c>
      <c r="AA361" t="str">
        <f>"Y"</f>
        <v>Y</v>
      </c>
      <c r="AB361" t="str">
        <f>"SO22000469"</f>
        <v>SO22000469</v>
      </c>
      <c r="AC361">
        <v>61</v>
      </c>
      <c r="AD361" s="1">
        <v>44915</v>
      </c>
      <c r="AE361" t="str">
        <f>"SH23000779"</f>
        <v>SH23000779</v>
      </c>
      <c r="AF361" t="str">
        <f>"משלוחים ללקוח"</f>
        <v>משלוחים ללקוח</v>
      </c>
      <c r="AG361" s="1">
        <v>45102</v>
      </c>
      <c r="AM361" t="str">
        <f>"10"</f>
        <v>10</v>
      </c>
      <c r="AN361" t="str">
        <f>"500000"</f>
        <v>500000</v>
      </c>
      <c r="AO361" t="str">
        <f>"הכנסות  מלקוחות"</f>
        <v>הכנסות  מלקוחות</v>
      </c>
      <c r="AQ361" t="str">
        <f>"040"</f>
        <v>040</v>
      </c>
      <c r="AR361">
        <v>0</v>
      </c>
      <c r="AS361">
        <v>0</v>
      </c>
      <c r="AT361">
        <v>3.617</v>
      </c>
      <c r="AX361" t="str">
        <f>"E000374099"</f>
        <v>E000374099</v>
      </c>
      <c r="BD361" t="str">
        <f>"רחמים זרוק"</f>
        <v>רחמים זרוק</v>
      </c>
    </row>
    <row r="362" spans="1:56" x14ac:dyDescent="0.3">
      <c r="A362" s="1">
        <v>45130</v>
      </c>
      <c r="B362" t="str">
        <f>"SI236000992"</f>
        <v>SI236000992</v>
      </c>
      <c r="C362" t="str">
        <f>"PR22000904"</f>
        <v>PR22000904</v>
      </c>
      <c r="E362" t="str">
        <f>"Y"</f>
        <v>Y</v>
      </c>
      <c r="F362" t="str">
        <f>"חשבוניות מרכזות"</f>
        <v>חשבוניות מרכזות</v>
      </c>
      <c r="G362" t="str">
        <f>"700065"</f>
        <v>700065</v>
      </c>
      <c r="H362" t="str">
        <f>"אלתא מערכות בע""מ"</f>
        <v>אלתא מערכות בע"מ</v>
      </c>
      <c r="I362" t="str">
        <f>"15"</f>
        <v>15</v>
      </c>
      <c r="J362" t="str">
        <f>"OP-AR03470"</f>
        <v>OP-AR03470</v>
      </c>
      <c r="K362" t="str">
        <f>"1021M634-002    HARNESS W11 - HVPS4 TO HVPS-J6"</f>
        <v>1021M634-002    HARNESS W11 - HVPS4 TO HVPS-J6</v>
      </c>
      <c r="L362">
        <v>1</v>
      </c>
      <c r="M362" t="str">
        <f>"יח"</f>
        <v>יח</v>
      </c>
      <c r="N362">
        <v>1</v>
      </c>
      <c r="O362" t="str">
        <f>"יח"</f>
        <v>יח</v>
      </c>
      <c r="P362">
        <v>952.71</v>
      </c>
      <c r="Q362" t="str">
        <f>"$"</f>
        <v>$</v>
      </c>
      <c r="R362" t="str">
        <f>"הזמנה"</f>
        <v>הזמנה</v>
      </c>
      <c r="S362">
        <v>0</v>
      </c>
      <c r="T362">
        <v>952.71</v>
      </c>
      <c r="U362">
        <v>0</v>
      </c>
      <c r="V362">
        <v>952.71</v>
      </c>
      <c r="W362" t="str">
        <f>"$"</f>
        <v>$</v>
      </c>
      <c r="X362">
        <v>0</v>
      </c>
      <c r="Y362">
        <v>0</v>
      </c>
      <c r="Z362">
        <v>0</v>
      </c>
      <c r="AA362" t="str">
        <f>"Y"</f>
        <v>Y</v>
      </c>
      <c r="AB362" t="str">
        <f>"SO22000469"</f>
        <v>SO22000469</v>
      </c>
      <c r="AC362">
        <v>9</v>
      </c>
      <c r="AD362" s="1">
        <v>44915</v>
      </c>
      <c r="AE362" t="str">
        <f>"SH23000779"</f>
        <v>SH23000779</v>
      </c>
      <c r="AF362" t="str">
        <f>"משלוחים ללקוח"</f>
        <v>משלוחים ללקוח</v>
      </c>
      <c r="AG362" s="1">
        <v>45102</v>
      </c>
      <c r="AM362" t="str">
        <f>"10"</f>
        <v>10</v>
      </c>
      <c r="AN362" t="str">
        <f>"500000"</f>
        <v>500000</v>
      </c>
      <c r="AO362" t="str">
        <f>"הכנסות  מלקוחות"</f>
        <v>הכנסות  מלקוחות</v>
      </c>
      <c r="AQ362" t="str">
        <f>"040"</f>
        <v>040</v>
      </c>
      <c r="AR362">
        <v>0</v>
      </c>
      <c r="AS362">
        <v>0</v>
      </c>
      <c r="AT362">
        <v>3.617</v>
      </c>
      <c r="AX362" t="str">
        <f>"E000374099"</f>
        <v>E000374099</v>
      </c>
      <c r="BD362" t="str">
        <f>"רחמים זרוק"</f>
        <v>רחמים זרוק</v>
      </c>
    </row>
    <row r="363" spans="1:56" x14ac:dyDescent="0.3">
      <c r="A363" s="1">
        <v>45127</v>
      </c>
      <c r="B363" t="str">
        <f>"SI236000993"</f>
        <v>SI236000993</v>
      </c>
      <c r="C363" t="str">
        <f>"PR22000824"</f>
        <v>PR22000824</v>
      </c>
      <c r="E363" t="str">
        <f>"Y"</f>
        <v>Y</v>
      </c>
      <c r="F363" t="str">
        <f>"חשבוניות מרכזות"</f>
        <v>חשבוניות מרכזות</v>
      </c>
      <c r="G363" t="str">
        <f>"700065"</f>
        <v>700065</v>
      </c>
      <c r="H363" t="str">
        <f>"אלתא מערכות בע""מ"</f>
        <v>אלתא מערכות בע"מ</v>
      </c>
      <c r="I363" t="str">
        <f>"15"</f>
        <v>15</v>
      </c>
      <c r="J363" t="str">
        <f>"OP-AR03393"</f>
        <v>OP-AR03393</v>
      </c>
      <c r="K363" t="str">
        <f>"2212B620-001    WGNG2 CABLE ASSY"</f>
        <v>2212B620-001    WGNG2 CABLE ASSY</v>
      </c>
      <c r="L363">
        <v>2</v>
      </c>
      <c r="M363" t="str">
        <f>"יח"</f>
        <v>יח</v>
      </c>
      <c r="N363">
        <v>2</v>
      </c>
      <c r="O363" t="str">
        <f>"יח"</f>
        <v>יח</v>
      </c>
      <c r="P363" s="2">
        <v>1272.83</v>
      </c>
      <c r="Q363" t="str">
        <f>"$"</f>
        <v>$</v>
      </c>
      <c r="R363" t="str">
        <f>"הזמנה"</f>
        <v>הזמנה</v>
      </c>
      <c r="S363">
        <v>0</v>
      </c>
      <c r="T363" s="2">
        <v>2545.66</v>
      </c>
      <c r="U363">
        <v>0</v>
      </c>
      <c r="V363" s="2">
        <v>2545.66</v>
      </c>
      <c r="W363" t="str">
        <f>"$"</f>
        <v>$</v>
      </c>
      <c r="X363">
        <v>0</v>
      </c>
      <c r="Y363">
        <v>0</v>
      </c>
      <c r="Z363">
        <v>0</v>
      </c>
      <c r="AA363" t="str">
        <f>"Y"</f>
        <v>Y</v>
      </c>
      <c r="AB363" t="str">
        <f>"SO22000424"</f>
        <v>SO22000424</v>
      </c>
      <c r="AC363">
        <v>1</v>
      </c>
      <c r="AD363" s="1">
        <v>44892</v>
      </c>
      <c r="AE363" t="str">
        <f>"SH23000923"</f>
        <v>SH23000923</v>
      </c>
      <c r="AF363" t="str">
        <f>"משלוחים ללקוח"</f>
        <v>משלוחים ללקוח</v>
      </c>
      <c r="AG363" s="1">
        <v>45126</v>
      </c>
      <c r="AM363" t="str">
        <f>"10"</f>
        <v>10</v>
      </c>
      <c r="AN363" t="str">
        <f>"500000"</f>
        <v>500000</v>
      </c>
      <c r="AO363" t="str">
        <f>"הכנסות  מלקוחות"</f>
        <v>הכנסות  מלקוחות</v>
      </c>
      <c r="AQ363" t="str">
        <f>"040"</f>
        <v>040</v>
      </c>
      <c r="AR363">
        <v>0</v>
      </c>
      <c r="AS363">
        <v>0</v>
      </c>
      <c r="AT363">
        <v>3.593</v>
      </c>
      <c r="AX363" t="str">
        <f>"E000378274"</f>
        <v>E000378274</v>
      </c>
      <c r="BD363" t="str">
        <f>"רחמים זרוק"</f>
        <v>רחמים זרוק</v>
      </c>
    </row>
    <row r="364" spans="1:56" x14ac:dyDescent="0.3">
      <c r="A364" s="1">
        <v>45127</v>
      </c>
      <c r="B364" t="str">
        <f>"SI236000991"</f>
        <v>SI236000991</v>
      </c>
      <c r="C364" t="str">
        <f>"PR22000904"</f>
        <v>PR22000904</v>
      </c>
      <c r="E364" t="str">
        <f>"Y"</f>
        <v>Y</v>
      </c>
      <c r="F364" t="str">
        <f>"חשבוניות מרכזות"</f>
        <v>חשבוניות מרכזות</v>
      </c>
      <c r="G364" t="str">
        <f>"700065"</f>
        <v>700065</v>
      </c>
      <c r="H364" t="str">
        <f>"אלתא מערכות בע""מ"</f>
        <v>אלתא מערכות בע"מ</v>
      </c>
      <c r="I364" t="str">
        <f>"15"</f>
        <v>15</v>
      </c>
      <c r="J364" t="str">
        <f>"OP-AR03491"</f>
        <v>OP-AR03491</v>
      </c>
      <c r="K364" t="str">
        <f>"1036C701-001    HARNESS WE001 - EPU1 - POPWER ,MAIN"</f>
        <v>1036C701-001    HARNESS WE001 - EPU1 - POPWER ,MAIN</v>
      </c>
      <c r="L364">
        <v>1</v>
      </c>
      <c r="M364" t="str">
        <f>"יח"</f>
        <v>יח</v>
      </c>
      <c r="N364">
        <v>1</v>
      </c>
      <c r="O364" t="str">
        <f>"יח"</f>
        <v>יח</v>
      </c>
      <c r="P364" s="2">
        <v>1307.24</v>
      </c>
      <c r="Q364" t="str">
        <f>"$"</f>
        <v>$</v>
      </c>
      <c r="R364" t="str">
        <f>"הזמנה"</f>
        <v>הזמנה</v>
      </c>
      <c r="S364">
        <v>0</v>
      </c>
      <c r="T364" s="2">
        <v>1307.24</v>
      </c>
      <c r="U364">
        <v>0</v>
      </c>
      <c r="V364" s="2">
        <v>1307.24</v>
      </c>
      <c r="W364" t="str">
        <f>"$"</f>
        <v>$</v>
      </c>
      <c r="X364">
        <v>0</v>
      </c>
      <c r="Y364">
        <v>0</v>
      </c>
      <c r="Z364">
        <v>0</v>
      </c>
      <c r="AA364" t="str">
        <f>"Y"</f>
        <v>Y</v>
      </c>
      <c r="AB364" t="str">
        <f>"SO22000469"</f>
        <v>SO22000469</v>
      </c>
      <c r="AC364">
        <v>35</v>
      </c>
      <c r="AD364" s="1">
        <v>44915</v>
      </c>
      <c r="AE364" t="str">
        <f>"SH23000909"</f>
        <v>SH23000909</v>
      </c>
      <c r="AF364" t="str">
        <f>"משלוחים ללקוח"</f>
        <v>משלוחים ללקוח</v>
      </c>
      <c r="AG364" s="1">
        <v>45125</v>
      </c>
      <c r="AM364" t="str">
        <f>"10"</f>
        <v>10</v>
      </c>
      <c r="AN364" t="str">
        <f>"500000"</f>
        <v>500000</v>
      </c>
      <c r="AO364" t="str">
        <f>"הכנסות  מלקוחות"</f>
        <v>הכנסות  מלקוחות</v>
      </c>
      <c r="AQ364" t="str">
        <f>"040"</f>
        <v>040</v>
      </c>
      <c r="AR364">
        <v>0</v>
      </c>
      <c r="AS364">
        <v>0</v>
      </c>
      <c r="AT364">
        <v>3.593</v>
      </c>
      <c r="AX364" t="str">
        <f>"E000374099"</f>
        <v>E000374099</v>
      </c>
      <c r="BD364" t="str">
        <f>"רחמים זרוק"</f>
        <v>רחמים זרוק</v>
      </c>
    </row>
    <row r="365" spans="1:56" x14ac:dyDescent="0.3">
      <c r="A365" s="1">
        <v>45127</v>
      </c>
      <c r="B365" t="str">
        <f>"SI236000991"</f>
        <v>SI236000991</v>
      </c>
      <c r="C365" t="str">
        <f>"PR22000904"</f>
        <v>PR22000904</v>
      </c>
      <c r="E365" t="str">
        <f>"Y"</f>
        <v>Y</v>
      </c>
      <c r="F365" t="str">
        <f>"חשבוניות מרכזות"</f>
        <v>חשבוניות מרכזות</v>
      </c>
      <c r="G365" t="str">
        <f>"700065"</f>
        <v>700065</v>
      </c>
      <c r="H365" t="str">
        <f>"אלתא מערכות בע""מ"</f>
        <v>אלתא מערכות בע"מ</v>
      </c>
      <c r="I365" t="str">
        <f>"15"</f>
        <v>15</v>
      </c>
      <c r="J365" t="str">
        <f>"OP-AR03499"</f>
        <v>OP-AR03499</v>
      </c>
      <c r="K365" t="str">
        <f>"1036C712-001    HARNESS WE012 - EPU1 - POWER PDU TO ETHS"</f>
        <v>1036C712-001    HARNESS WE012 - EPU1 - POWER PDU TO ETHS</v>
      </c>
      <c r="L365">
        <v>1</v>
      </c>
      <c r="M365" t="str">
        <f>"יח"</f>
        <v>יח</v>
      </c>
      <c r="N365">
        <v>1</v>
      </c>
      <c r="O365" t="str">
        <f>"יח"</f>
        <v>יח</v>
      </c>
      <c r="P365">
        <v>364.69</v>
      </c>
      <c r="Q365" t="str">
        <f>"$"</f>
        <v>$</v>
      </c>
      <c r="R365" t="str">
        <f>"הזמנה"</f>
        <v>הזמנה</v>
      </c>
      <c r="S365">
        <v>0</v>
      </c>
      <c r="T365">
        <v>364.69</v>
      </c>
      <c r="U365">
        <v>0</v>
      </c>
      <c r="V365">
        <v>364.69</v>
      </c>
      <c r="W365" t="str">
        <f>"$"</f>
        <v>$</v>
      </c>
      <c r="X365">
        <v>0</v>
      </c>
      <c r="Y365">
        <v>0</v>
      </c>
      <c r="Z365">
        <v>0</v>
      </c>
      <c r="AA365" t="str">
        <f>"Y"</f>
        <v>Y</v>
      </c>
      <c r="AB365" t="str">
        <f>"SO22000469"</f>
        <v>SO22000469</v>
      </c>
      <c r="AC365">
        <v>43</v>
      </c>
      <c r="AD365" s="1">
        <v>44915</v>
      </c>
      <c r="AE365" t="str">
        <f>"SH23000909"</f>
        <v>SH23000909</v>
      </c>
      <c r="AF365" t="str">
        <f>"משלוחים ללקוח"</f>
        <v>משלוחים ללקוח</v>
      </c>
      <c r="AG365" s="1">
        <v>45125</v>
      </c>
      <c r="AM365" t="str">
        <f>"10"</f>
        <v>10</v>
      </c>
      <c r="AN365" t="str">
        <f>"500000"</f>
        <v>500000</v>
      </c>
      <c r="AO365" t="str">
        <f>"הכנסות  מלקוחות"</f>
        <v>הכנסות  מלקוחות</v>
      </c>
      <c r="AQ365" t="str">
        <f>"040"</f>
        <v>040</v>
      </c>
      <c r="AR365">
        <v>0</v>
      </c>
      <c r="AS365">
        <v>0</v>
      </c>
      <c r="AT365">
        <v>3.593</v>
      </c>
      <c r="AX365" t="str">
        <f>"E000374099"</f>
        <v>E000374099</v>
      </c>
      <c r="BD365" t="str">
        <f>"רחמים זרוק"</f>
        <v>רחמים זרוק</v>
      </c>
    </row>
    <row r="366" spans="1:56" x14ac:dyDescent="0.3">
      <c r="A366" s="1">
        <v>45127</v>
      </c>
      <c r="B366" t="str">
        <f>"SI236000991"</f>
        <v>SI236000991</v>
      </c>
      <c r="C366" t="str">
        <f>"PR22000904"</f>
        <v>PR22000904</v>
      </c>
      <c r="E366" t="str">
        <f>"Y"</f>
        <v>Y</v>
      </c>
      <c r="F366" t="str">
        <f>"חשבוניות מרכזות"</f>
        <v>חשבוניות מרכזות</v>
      </c>
      <c r="G366" t="str">
        <f>"700065"</f>
        <v>700065</v>
      </c>
      <c r="H366" t="str">
        <f>"אלתא מערכות בע""מ"</f>
        <v>אלתא מערכות בע"מ</v>
      </c>
      <c r="I366" t="str">
        <f>"15"</f>
        <v>15</v>
      </c>
      <c r="J366" t="str">
        <f>"OP-AR03508"</f>
        <v>OP-AR03508</v>
      </c>
      <c r="K366" t="str">
        <f>"1036C733-001    HARNESS WE032 - EPU1 - PSPU3 TO KVM"</f>
        <v>1036C733-001    HARNESS WE032 - EPU1 - PSPU3 TO KVM</v>
      </c>
      <c r="L366">
        <v>1</v>
      </c>
      <c r="M366" t="str">
        <f>"יח"</f>
        <v>יח</v>
      </c>
      <c r="N366">
        <v>1</v>
      </c>
      <c r="O366" t="str">
        <f>"יח"</f>
        <v>יח</v>
      </c>
      <c r="P366">
        <v>851.16</v>
      </c>
      <c r="Q366" t="str">
        <f>"$"</f>
        <v>$</v>
      </c>
      <c r="R366" t="str">
        <f>"הזמנה"</f>
        <v>הזמנה</v>
      </c>
      <c r="S366">
        <v>0</v>
      </c>
      <c r="T366">
        <v>851.16</v>
      </c>
      <c r="U366">
        <v>0</v>
      </c>
      <c r="V366">
        <v>851.16</v>
      </c>
      <c r="W366" t="str">
        <f>"$"</f>
        <v>$</v>
      </c>
      <c r="X366">
        <v>0</v>
      </c>
      <c r="Y366">
        <v>0</v>
      </c>
      <c r="Z366">
        <v>0</v>
      </c>
      <c r="AA366" t="str">
        <f>"Y"</f>
        <v>Y</v>
      </c>
      <c r="AB366" t="str">
        <f>"SO22000469"</f>
        <v>SO22000469</v>
      </c>
      <c r="AC366">
        <v>52</v>
      </c>
      <c r="AD366" s="1">
        <v>44915</v>
      </c>
      <c r="AE366" t="str">
        <f>"SH23000909"</f>
        <v>SH23000909</v>
      </c>
      <c r="AF366" t="str">
        <f>"משלוחים ללקוח"</f>
        <v>משלוחים ללקוח</v>
      </c>
      <c r="AG366" s="1">
        <v>45125</v>
      </c>
      <c r="AM366" t="str">
        <f>"10"</f>
        <v>10</v>
      </c>
      <c r="AN366" t="str">
        <f>"500000"</f>
        <v>500000</v>
      </c>
      <c r="AO366" t="str">
        <f>"הכנסות  מלקוחות"</f>
        <v>הכנסות  מלקוחות</v>
      </c>
      <c r="AQ366" t="str">
        <f>"040"</f>
        <v>040</v>
      </c>
      <c r="AR366">
        <v>0</v>
      </c>
      <c r="AS366">
        <v>0</v>
      </c>
      <c r="AT366">
        <v>3.593</v>
      </c>
      <c r="AX366" t="str">
        <f>"E000374099"</f>
        <v>E000374099</v>
      </c>
      <c r="BD366" t="str">
        <f>"רחמים זרוק"</f>
        <v>רחמים זרוק</v>
      </c>
    </row>
    <row r="367" spans="1:56" x14ac:dyDescent="0.3">
      <c r="A367" s="1">
        <v>45127</v>
      </c>
      <c r="B367" t="str">
        <f>"SI236000991"</f>
        <v>SI236000991</v>
      </c>
      <c r="C367" t="str">
        <f>"PR22000904"</f>
        <v>PR22000904</v>
      </c>
      <c r="E367" t="str">
        <f>"Y"</f>
        <v>Y</v>
      </c>
      <c r="F367" t="str">
        <f>"חשבוניות מרכזות"</f>
        <v>חשבוניות מרכזות</v>
      </c>
      <c r="G367" t="str">
        <f>"700065"</f>
        <v>700065</v>
      </c>
      <c r="H367" t="str">
        <f>"אלתא מערכות בע""מ"</f>
        <v>אלתא מערכות בע"מ</v>
      </c>
      <c r="I367" t="str">
        <f>"15"</f>
        <v>15</v>
      </c>
      <c r="J367" t="str">
        <f>"OP-AR03515"</f>
        <v>OP-AR03515</v>
      </c>
      <c r="K367" t="str">
        <f>"1036C766-001    HARNESS WE066 - EPU1 - PSPU/RC"</f>
        <v>1036C766-001    HARNESS WE066 - EPU1 - PSPU/RC</v>
      </c>
      <c r="L367">
        <v>4</v>
      </c>
      <c r="M367" t="str">
        <f>"יח"</f>
        <v>יח</v>
      </c>
      <c r="N367">
        <v>4</v>
      </c>
      <c r="O367" t="str">
        <f>"יח"</f>
        <v>יח</v>
      </c>
      <c r="P367">
        <v>135.68</v>
      </c>
      <c r="Q367" t="str">
        <f>"$"</f>
        <v>$</v>
      </c>
      <c r="R367" t="str">
        <f>"הזמנה"</f>
        <v>הזמנה</v>
      </c>
      <c r="S367">
        <v>0</v>
      </c>
      <c r="T367">
        <v>542.72</v>
      </c>
      <c r="U367">
        <v>0</v>
      </c>
      <c r="V367">
        <v>542.72</v>
      </c>
      <c r="W367" t="str">
        <f>"$"</f>
        <v>$</v>
      </c>
      <c r="X367">
        <v>0</v>
      </c>
      <c r="Y367">
        <v>0</v>
      </c>
      <c r="Z367">
        <v>0</v>
      </c>
      <c r="AA367" t="str">
        <f>"Y"</f>
        <v>Y</v>
      </c>
      <c r="AB367" t="str">
        <f>"SO22000469"</f>
        <v>SO22000469</v>
      </c>
      <c r="AC367">
        <v>59</v>
      </c>
      <c r="AD367" s="1">
        <v>44915</v>
      </c>
      <c r="AE367" t="str">
        <f>"SH23000909"</f>
        <v>SH23000909</v>
      </c>
      <c r="AF367" t="str">
        <f>"משלוחים ללקוח"</f>
        <v>משלוחים ללקוח</v>
      </c>
      <c r="AG367" s="1">
        <v>45125</v>
      </c>
      <c r="AM367" t="str">
        <f>"10"</f>
        <v>10</v>
      </c>
      <c r="AN367" t="str">
        <f>"500000"</f>
        <v>500000</v>
      </c>
      <c r="AO367" t="str">
        <f>"הכנסות  מלקוחות"</f>
        <v>הכנסות  מלקוחות</v>
      </c>
      <c r="AQ367" t="str">
        <f>"040"</f>
        <v>040</v>
      </c>
      <c r="AR367">
        <v>0</v>
      </c>
      <c r="AS367">
        <v>0</v>
      </c>
      <c r="AT367">
        <v>3.593</v>
      </c>
      <c r="AX367" t="str">
        <f>"E000374099"</f>
        <v>E000374099</v>
      </c>
      <c r="BD367" t="str">
        <f>"רחמים זרוק"</f>
        <v>רחמים זרוק</v>
      </c>
    </row>
    <row r="368" spans="1:56" x14ac:dyDescent="0.3">
      <c r="A368" s="1">
        <v>45126</v>
      </c>
      <c r="B368" t="str">
        <f>"SI236001067"</f>
        <v>SI236001067</v>
      </c>
      <c r="C368" t="str">
        <f>"PR23000317"</f>
        <v>PR23000317</v>
      </c>
      <c r="E368" t="str">
        <f>"Y"</f>
        <v>Y</v>
      </c>
      <c r="F368" t="str">
        <f>"חשבוניות מרכזות"</f>
        <v>חשבוניות מרכזות</v>
      </c>
      <c r="G368" t="str">
        <f>"700065"</f>
        <v>700065</v>
      </c>
      <c r="H368" t="str">
        <f>"אלתא מערכות בע""מ"</f>
        <v>אלתא מערכות בע"מ</v>
      </c>
      <c r="I368" t="str">
        <f>"15"</f>
        <v>15</v>
      </c>
      <c r="J368" t="str">
        <f>"OP-AR03630"</f>
        <v>OP-AR03630</v>
      </c>
      <c r="K368" t="str">
        <f>"2070B184-001    CABLE ASSY GNDW104"</f>
        <v>2070B184-001    CABLE ASSY GNDW104</v>
      </c>
      <c r="L368">
        <v>-1</v>
      </c>
      <c r="M368" t="str">
        <f>"יח"</f>
        <v>יח</v>
      </c>
      <c r="N368">
        <v>-1</v>
      </c>
      <c r="O368" t="str">
        <f>"יח"</f>
        <v>יח</v>
      </c>
      <c r="P368">
        <v>149.86000000000001</v>
      </c>
      <c r="Q368" t="str">
        <f>"$"</f>
        <v>$</v>
      </c>
      <c r="R368" t="str">
        <f>"הזמנה"</f>
        <v>הזמנה</v>
      </c>
      <c r="S368">
        <v>0</v>
      </c>
      <c r="T368">
        <v>-149.86000000000001</v>
      </c>
      <c r="U368">
        <v>0</v>
      </c>
      <c r="V368">
        <v>-149.86000000000001</v>
      </c>
      <c r="W368" t="str">
        <f>"$"</f>
        <v>$</v>
      </c>
      <c r="X368">
        <v>0</v>
      </c>
      <c r="Y368">
        <v>0</v>
      </c>
      <c r="Z368">
        <v>0</v>
      </c>
      <c r="AA368" t="str">
        <f>"Y"</f>
        <v>Y</v>
      </c>
      <c r="AC368">
        <v>0</v>
      </c>
      <c r="AM368" t="str">
        <f>"10"</f>
        <v>10</v>
      </c>
      <c r="AN368" t="str">
        <f>"500000"</f>
        <v>500000</v>
      </c>
      <c r="AO368" t="str">
        <f>"הכנסות  מלקוחות"</f>
        <v>הכנסות  מלקוחות</v>
      </c>
      <c r="AQ368" t="str">
        <f>"040"</f>
        <v>040</v>
      </c>
      <c r="AR368">
        <v>0</v>
      </c>
      <c r="AS368">
        <v>0</v>
      </c>
      <c r="AT368">
        <v>3.59</v>
      </c>
      <c r="BB368" t="str">
        <f>"Y"</f>
        <v>Y</v>
      </c>
      <c r="BD368" t="str">
        <f>"רחמים זרוק"</f>
        <v>רחמים זרוק</v>
      </c>
    </row>
    <row r="369" spans="1:56" x14ac:dyDescent="0.3">
      <c r="A369" s="1">
        <v>45126</v>
      </c>
      <c r="B369" t="str">
        <f>"SI236001067"</f>
        <v>SI236001067</v>
      </c>
      <c r="C369" t="str">
        <f>"PR23000317"</f>
        <v>PR23000317</v>
      </c>
      <c r="E369" t="str">
        <f>"Y"</f>
        <v>Y</v>
      </c>
      <c r="F369" t="str">
        <f>"חשבוניות מרכזות"</f>
        <v>חשבוניות מרכזות</v>
      </c>
      <c r="G369" t="str">
        <f>"700065"</f>
        <v>700065</v>
      </c>
      <c r="H369" t="str">
        <f>"אלתא מערכות בע""מ"</f>
        <v>אלתא מערכות בע"מ</v>
      </c>
      <c r="I369" t="str">
        <f>"15"</f>
        <v>15</v>
      </c>
      <c r="J369" t="str">
        <f>"OP-AR03629"</f>
        <v>OP-AR03629</v>
      </c>
      <c r="K369" t="str">
        <f>"2038B552-001    GND CABLE CNW913"</f>
        <v>2038B552-001    GND CABLE CNW913</v>
      </c>
      <c r="L369">
        <v>-4</v>
      </c>
      <c r="M369" t="str">
        <f>"יח"</f>
        <v>יח</v>
      </c>
      <c r="N369">
        <v>-4</v>
      </c>
      <c r="O369" t="str">
        <f>"יח"</f>
        <v>יח</v>
      </c>
      <c r="P369">
        <v>115.31</v>
      </c>
      <c r="Q369" t="str">
        <f>"$"</f>
        <v>$</v>
      </c>
      <c r="R369" t="str">
        <f>"הזמנה"</f>
        <v>הזמנה</v>
      </c>
      <c r="S369">
        <v>0</v>
      </c>
      <c r="T369">
        <v>-461.24</v>
      </c>
      <c r="U369">
        <v>0</v>
      </c>
      <c r="V369">
        <v>-461.24</v>
      </c>
      <c r="W369" t="str">
        <f>"$"</f>
        <v>$</v>
      </c>
      <c r="X369">
        <v>0</v>
      </c>
      <c r="Y369">
        <v>0</v>
      </c>
      <c r="Z369">
        <v>0</v>
      </c>
      <c r="AA369" t="str">
        <f>"Y"</f>
        <v>Y</v>
      </c>
      <c r="AC369">
        <v>0</v>
      </c>
      <c r="AM369" t="str">
        <f>"10"</f>
        <v>10</v>
      </c>
      <c r="AN369" t="str">
        <f>"500000"</f>
        <v>500000</v>
      </c>
      <c r="AO369" t="str">
        <f>"הכנסות  מלקוחות"</f>
        <v>הכנסות  מלקוחות</v>
      </c>
      <c r="AQ369" t="str">
        <f>"040"</f>
        <v>040</v>
      </c>
      <c r="AR369">
        <v>0</v>
      </c>
      <c r="AS369">
        <v>0</v>
      </c>
      <c r="AT369">
        <v>3.59</v>
      </c>
      <c r="BB369" t="str">
        <f>"Y"</f>
        <v>Y</v>
      </c>
      <c r="BD369" t="str">
        <f>"רחמים זרוק"</f>
        <v>רחמים זרוק</v>
      </c>
    </row>
    <row r="370" spans="1:56" x14ac:dyDescent="0.3">
      <c r="A370" s="1">
        <v>45126</v>
      </c>
      <c r="B370" t="str">
        <f>"SI236000977"</f>
        <v>SI236000977</v>
      </c>
      <c r="C370" t="str">
        <f>"PR22000356"</f>
        <v>PR22000356</v>
      </c>
      <c r="E370" t="str">
        <f>"Y"</f>
        <v>Y</v>
      </c>
      <c r="F370" t="str">
        <f>"חשבוניות מרכזות"</f>
        <v>חשבוניות מרכזות</v>
      </c>
      <c r="G370" t="str">
        <f>"700065"</f>
        <v>700065</v>
      </c>
      <c r="H370" t="str">
        <f>"אלתא מערכות בע""מ"</f>
        <v>אלתא מערכות בע"מ</v>
      </c>
      <c r="I370" t="str">
        <f>"10"</f>
        <v>10</v>
      </c>
      <c r="J370" t="str">
        <f>"OP-AR03131"</f>
        <v>OP-AR03131</v>
      </c>
      <c r="K370" t="str">
        <f>"4043B120-001   HARNESS W120 - SATCOM M-C CABLE"</f>
        <v>4043B120-001   HARNESS W120 - SATCOM M-C CABLE</v>
      </c>
      <c r="L370">
        <v>4</v>
      </c>
      <c r="M370" t="str">
        <f>"יח"</f>
        <v>יח</v>
      </c>
      <c r="N370">
        <v>4</v>
      </c>
      <c r="O370" t="str">
        <f>"יח"</f>
        <v>יח</v>
      </c>
      <c r="P370" s="2">
        <v>1006.78</v>
      </c>
      <c r="Q370" t="str">
        <f>"$"</f>
        <v>$</v>
      </c>
      <c r="R370" t="str">
        <f>"הזמנה"</f>
        <v>הזמנה</v>
      </c>
      <c r="S370">
        <v>0</v>
      </c>
      <c r="T370" s="2">
        <v>4027.12</v>
      </c>
      <c r="U370">
        <v>0</v>
      </c>
      <c r="V370" s="2">
        <v>4027.12</v>
      </c>
      <c r="W370" t="str">
        <f>"$"</f>
        <v>$</v>
      </c>
      <c r="X370">
        <v>0</v>
      </c>
      <c r="Y370">
        <v>0</v>
      </c>
      <c r="Z370">
        <v>0</v>
      </c>
      <c r="AA370" t="str">
        <f>"Y"</f>
        <v>Y</v>
      </c>
      <c r="AB370" t="str">
        <f>"SO22000180"</f>
        <v>SO22000180</v>
      </c>
      <c r="AC370">
        <v>2</v>
      </c>
      <c r="AD370" s="1">
        <v>44696</v>
      </c>
      <c r="AE370" t="str">
        <f>"SH23000901"</f>
        <v>SH23000901</v>
      </c>
      <c r="AF370" t="str">
        <f>"משלוחים ללקוח"</f>
        <v>משלוחים ללקוח</v>
      </c>
      <c r="AG370" s="1">
        <v>45124</v>
      </c>
      <c r="AM370" t="str">
        <f>"10"</f>
        <v>10</v>
      </c>
      <c r="AN370" t="str">
        <f>"500000"</f>
        <v>500000</v>
      </c>
      <c r="AO370" t="str">
        <f>"הכנסות  מלקוחות"</f>
        <v>הכנסות  מלקוחות</v>
      </c>
      <c r="AQ370" t="str">
        <f>"040"</f>
        <v>040</v>
      </c>
      <c r="AR370">
        <v>0</v>
      </c>
      <c r="AS370">
        <v>0</v>
      </c>
      <c r="AT370">
        <v>3.59</v>
      </c>
      <c r="AX370" t="str">
        <f>"E000364014"</f>
        <v>E000364014</v>
      </c>
      <c r="BD370" t="str">
        <f>"רחמים זרוק"</f>
        <v>רחמים זרוק</v>
      </c>
    </row>
    <row r="371" spans="1:56" x14ac:dyDescent="0.3">
      <c r="A371" s="1">
        <v>45126</v>
      </c>
      <c r="B371" t="str">
        <f>"SI236000977"</f>
        <v>SI236000977</v>
      </c>
      <c r="C371" t="str">
        <f>"PR22000356"</f>
        <v>PR22000356</v>
      </c>
      <c r="E371" t="str">
        <f>"Y"</f>
        <v>Y</v>
      </c>
      <c r="F371" t="str">
        <f>"חשבוניות מרכזות"</f>
        <v>חשבוניות מרכזות</v>
      </c>
      <c r="G371" t="str">
        <f>"700065"</f>
        <v>700065</v>
      </c>
      <c r="H371" t="str">
        <f>"אלתא מערכות בע""מ"</f>
        <v>אלתא מערכות בע"מ</v>
      </c>
      <c r="I371" t="str">
        <f>"10"</f>
        <v>10</v>
      </c>
      <c r="J371" t="str">
        <f>"OP-AR03131"</f>
        <v>OP-AR03131</v>
      </c>
      <c r="K371" t="str">
        <f>"4043B120-001   HARNESS W120 - SATCOM M-C CABLE"</f>
        <v>4043B120-001   HARNESS W120 - SATCOM M-C CABLE</v>
      </c>
      <c r="L371">
        <v>10</v>
      </c>
      <c r="M371" t="str">
        <f>"יח"</f>
        <v>יח</v>
      </c>
      <c r="N371">
        <v>10</v>
      </c>
      <c r="O371" t="str">
        <f>"יח"</f>
        <v>יח</v>
      </c>
      <c r="P371" s="2">
        <v>1006.78</v>
      </c>
      <c r="Q371" t="str">
        <f>"$"</f>
        <v>$</v>
      </c>
      <c r="R371" t="str">
        <f>"הזמנה"</f>
        <v>הזמנה</v>
      </c>
      <c r="S371">
        <v>0</v>
      </c>
      <c r="T371" s="2">
        <v>10067.799999999999</v>
      </c>
      <c r="U371">
        <v>0</v>
      </c>
      <c r="V371" s="2">
        <v>10067.799999999999</v>
      </c>
      <c r="W371" t="str">
        <f>"$"</f>
        <v>$</v>
      </c>
      <c r="X371">
        <v>0</v>
      </c>
      <c r="Y371">
        <v>0</v>
      </c>
      <c r="Z371">
        <v>0</v>
      </c>
      <c r="AA371" t="str">
        <f>"Y"</f>
        <v>Y</v>
      </c>
      <c r="AB371" t="str">
        <f>"SO22000180"</f>
        <v>SO22000180</v>
      </c>
      <c r="AC371">
        <v>3</v>
      </c>
      <c r="AD371" s="1">
        <v>44696</v>
      </c>
      <c r="AE371" t="str">
        <f>"SH23000901"</f>
        <v>SH23000901</v>
      </c>
      <c r="AF371" t="str">
        <f>"משלוחים ללקוח"</f>
        <v>משלוחים ללקוח</v>
      </c>
      <c r="AG371" s="1">
        <v>45124</v>
      </c>
      <c r="AM371" t="str">
        <f>"10"</f>
        <v>10</v>
      </c>
      <c r="AN371" t="str">
        <f>"500000"</f>
        <v>500000</v>
      </c>
      <c r="AO371" t="str">
        <f>"הכנסות  מלקוחות"</f>
        <v>הכנסות  מלקוחות</v>
      </c>
      <c r="AQ371" t="str">
        <f>"040"</f>
        <v>040</v>
      </c>
      <c r="AR371">
        <v>0</v>
      </c>
      <c r="AS371">
        <v>0</v>
      </c>
      <c r="AT371">
        <v>3.59</v>
      </c>
      <c r="AX371" t="str">
        <f>"E000364014"</f>
        <v>E000364014</v>
      </c>
      <c r="BD371" t="str">
        <f>"רחמים זרוק"</f>
        <v>רחמים זרוק</v>
      </c>
    </row>
    <row r="372" spans="1:56" x14ac:dyDescent="0.3">
      <c r="A372" s="1">
        <v>45126</v>
      </c>
      <c r="B372" t="str">
        <f>"SI236000976"</f>
        <v>SI236000976</v>
      </c>
      <c r="C372" t="str">
        <f>"PR22000631"</f>
        <v>PR22000631</v>
      </c>
      <c r="D372" t="str">
        <f>"PR22000631"</f>
        <v>PR22000631</v>
      </c>
      <c r="E372" t="str">
        <f>"Y"</f>
        <v>Y</v>
      </c>
      <c r="F372" t="str">
        <f>"חשבוניות מרכזות"</f>
        <v>חשבוניות מרכזות</v>
      </c>
      <c r="G372" t="str">
        <f>"700065"</f>
        <v>700065</v>
      </c>
      <c r="H372" t="str">
        <f>"אלתא מערכות בע""מ"</f>
        <v>אלתא מערכות בע"מ</v>
      </c>
      <c r="I372" t="str">
        <f>"15"</f>
        <v>15</v>
      </c>
      <c r="J372" t="str">
        <f>"OP-AR03347"</f>
        <v>OP-AR03347</v>
      </c>
      <c r="K372" t="str">
        <f>"4047K523-001    HARNESS WK523 - FETX 2"</f>
        <v>4047K523-001    HARNESS WK523 - FETX 2</v>
      </c>
      <c r="L372">
        <v>2</v>
      </c>
      <c r="M372" t="str">
        <f>"יח"</f>
        <v>יח</v>
      </c>
      <c r="N372">
        <v>2</v>
      </c>
      <c r="O372" t="str">
        <f>"יח"</f>
        <v>יח</v>
      </c>
      <c r="P372" s="2">
        <v>1910.88</v>
      </c>
      <c r="Q372" t="str">
        <f>"$"</f>
        <v>$</v>
      </c>
      <c r="R372" t="str">
        <f>"הזמנה"</f>
        <v>הזמנה</v>
      </c>
      <c r="S372">
        <v>0</v>
      </c>
      <c r="T372" s="2">
        <v>3821.76</v>
      </c>
      <c r="U372">
        <v>0</v>
      </c>
      <c r="V372" s="2">
        <v>3821.76</v>
      </c>
      <c r="W372" t="str">
        <f>"$"</f>
        <v>$</v>
      </c>
      <c r="X372">
        <v>0</v>
      </c>
      <c r="Y372">
        <v>0</v>
      </c>
      <c r="Z372">
        <v>0</v>
      </c>
      <c r="AA372" t="str">
        <f>"Y"</f>
        <v>Y</v>
      </c>
      <c r="AB372" t="str">
        <f>"SO22000371"</f>
        <v>SO22000371</v>
      </c>
      <c r="AC372">
        <v>3</v>
      </c>
      <c r="AD372" s="1">
        <v>44833</v>
      </c>
      <c r="AE372" t="str">
        <f>"SH23000900"</f>
        <v>SH23000900</v>
      </c>
      <c r="AF372" t="str">
        <f>"משלוחים ללקוח"</f>
        <v>משלוחים ללקוח</v>
      </c>
      <c r="AG372" s="1">
        <v>45124</v>
      </c>
      <c r="AM372" t="str">
        <f>"10"</f>
        <v>10</v>
      </c>
      <c r="AN372" t="str">
        <f>"500000"</f>
        <v>500000</v>
      </c>
      <c r="AO372" t="str">
        <f>"הכנסות  מלקוחות"</f>
        <v>הכנסות  מלקוחות</v>
      </c>
      <c r="AQ372" t="str">
        <f>"040"</f>
        <v>040</v>
      </c>
      <c r="AR372">
        <v>0</v>
      </c>
      <c r="AS372">
        <v>0</v>
      </c>
      <c r="AT372">
        <v>3.59</v>
      </c>
      <c r="AX372" t="str">
        <f>"E000374751"</f>
        <v>E000374751</v>
      </c>
      <c r="BD372" t="str">
        <f>"רחמים זרוק"</f>
        <v>רחמים זרוק</v>
      </c>
    </row>
    <row r="373" spans="1:56" x14ac:dyDescent="0.3">
      <c r="A373" s="1">
        <v>45126</v>
      </c>
      <c r="B373" t="str">
        <f>"SI236000976"</f>
        <v>SI236000976</v>
      </c>
      <c r="C373" t="str">
        <f>"PR22000631"</f>
        <v>PR22000631</v>
      </c>
      <c r="D373" t="str">
        <f>"PR22000631"</f>
        <v>PR22000631</v>
      </c>
      <c r="E373" t="str">
        <f>"Y"</f>
        <v>Y</v>
      </c>
      <c r="F373" t="str">
        <f>"חשבוניות מרכזות"</f>
        <v>חשבוניות מרכזות</v>
      </c>
      <c r="G373" t="str">
        <f>"700065"</f>
        <v>700065</v>
      </c>
      <c r="H373" t="str">
        <f>"אלתא מערכות בע""מ"</f>
        <v>אלתא מערכות בע"מ</v>
      </c>
      <c r="I373" t="str">
        <f>"15"</f>
        <v>15</v>
      </c>
      <c r="J373" t="str">
        <f>"OP-AR03347"</f>
        <v>OP-AR03347</v>
      </c>
      <c r="K373" t="str">
        <f>"4047K523-001    HARNESS WK523 - FETX 2"</f>
        <v>4047K523-001    HARNESS WK523 - FETX 2</v>
      </c>
      <c r="L373">
        <v>2</v>
      </c>
      <c r="M373" t="str">
        <f>"יח"</f>
        <v>יח</v>
      </c>
      <c r="N373">
        <v>2</v>
      </c>
      <c r="O373" t="str">
        <f>"יח"</f>
        <v>יח</v>
      </c>
      <c r="P373" s="2">
        <v>1910.88</v>
      </c>
      <c r="Q373" t="str">
        <f>"$"</f>
        <v>$</v>
      </c>
      <c r="R373" t="str">
        <f>"הזמנה"</f>
        <v>הזמנה</v>
      </c>
      <c r="S373">
        <v>0</v>
      </c>
      <c r="T373" s="2">
        <v>3821.76</v>
      </c>
      <c r="U373">
        <v>0</v>
      </c>
      <c r="V373" s="2">
        <v>3821.76</v>
      </c>
      <c r="W373" t="str">
        <f>"$"</f>
        <v>$</v>
      </c>
      <c r="X373">
        <v>0</v>
      </c>
      <c r="Y373">
        <v>0</v>
      </c>
      <c r="Z373">
        <v>0</v>
      </c>
      <c r="AA373" t="str">
        <f>"Y"</f>
        <v>Y</v>
      </c>
      <c r="AB373" t="str">
        <f>"SO22000371"</f>
        <v>SO22000371</v>
      </c>
      <c r="AC373">
        <v>4</v>
      </c>
      <c r="AD373" s="1">
        <v>44833</v>
      </c>
      <c r="AE373" t="str">
        <f>"SH23000900"</f>
        <v>SH23000900</v>
      </c>
      <c r="AF373" t="str">
        <f>"משלוחים ללקוח"</f>
        <v>משלוחים ללקוח</v>
      </c>
      <c r="AG373" s="1">
        <v>45124</v>
      </c>
      <c r="AM373" t="str">
        <f>"10"</f>
        <v>10</v>
      </c>
      <c r="AN373" t="str">
        <f>"500000"</f>
        <v>500000</v>
      </c>
      <c r="AO373" t="str">
        <f>"הכנסות  מלקוחות"</f>
        <v>הכנסות  מלקוחות</v>
      </c>
      <c r="AQ373" t="str">
        <f>"040"</f>
        <v>040</v>
      </c>
      <c r="AR373">
        <v>0</v>
      </c>
      <c r="AS373">
        <v>0</v>
      </c>
      <c r="AT373">
        <v>3.59</v>
      </c>
      <c r="AX373" t="str">
        <f>"E000374751"</f>
        <v>E000374751</v>
      </c>
      <c r="BD373" t="str">
        <f>"רחמים זרוק"</f>
        <v>רחמים זרוק</v>
      </c>
    </row>
    <row r="374" spans="1:56" x14ac:dyDescent="0.3">
      <c r="A374" s="1">
        <v>45126</v>
      </c>
      <c r="B374" t="str">
        <f>"SI236000975"</f>
        <v>SI236000975</v>
      </c>
      <c r="C374" t="str">
        <f>"PR23000263"</f>
        <v>PR23000263</v>
      </c>
      <c r="D374" t="str">
        <f>"PR23000263"</f>
        <v>PR23000263</v>
      </c>
      <c r="E374" t="str">
        <f>"Y"</f>
        <v>Y</v>
      </c>
      <c r="F374" t="str">
        <f>"חשבוניות מרכזות"</f>
        <v>חשבוניות מרכזות</v>
      </c>
      <c r="G374" t="str">
        <f>"700065"</f>
        <v>700065</v>
      </c>
      <c r="H374" t="str">
        <f>"אלתא מערכות בע""מ"</f>
        <v>אלתא מערכות בע"מ</v>
      </c>
      <c r="I374" t="str">
        <f>"15"</f>
        <v>15</v>
      </c>
      <c r="J374" t="str">
        <f>"OP-AR03594"</f>
        <v>OP-AR03594</v>
      </c>
      <c r="K374" t="str">
        <f>"1035C133-001    HARNESS 1W033 - COMM. and ETHERNET FROM"</f>
        <v>1035C133-001    HARNESS 1W033 - COMM. and ETHERNET FROM</v>
      </c>
      <c r="L374">
        <v>2</v>
      </c>
      <c r="M374" t="str">
        <f>"יח"</f>
        <v>יח</v>
      </c>
      <c r="N374">
        <v>2</v>
      </c>
      <c r="O374" t="str">
        <f>"יח"</f>
        <v>יח</v>
      </c>
      <c r="P374">
        <v>933.74</v>
      </c>
      <c r="Q374" t="str">
        <f>"$"</f>
        <v>$</v>
      </c>
      <c r="R374" t="str">
        <f>"הזמנה"</f>
        <v>הזמנה</v>
      </c>
      <c r="S374">
        <v>0</v>
      </c>
      <c r="T374" s="2">
        <v>1867.48</v>
      </c>
      <c r="U374">
        <v>0</v>
      </c>
      <c r="V374" s="2">
        <v>1867.48</v>
      </c>
      <c r="W374" t="str">
        <f>"$"</f>
        <v>$</v>
      </c>
      <c r="X374">
        <v>0</v>
      </c>
      <c r="Y374">
        <v>0</v>
      </c>
      <c r="Z374">
        <v>0</v>
      </c>
      <c r="AA374" t="str">
        <f>"Y"</f>
        <v>Y</v>
      </c>
      <c r="AB374" t="str">
        <f>"SO23000174"</f>
        <v>SO23000174</v>
      </c>
      <c r="AC374">
        <v>2</v>
      </c>
      <c r="AD374" s="1">
        <v>45019</v>
      </c>
      <c r="AE374" t="str">
        <f>"SH23000789"</f>
        <v>SH23000789</v>
      </c>
      <c r="AF374" t="str">
        <f>"משלוחים ללקוח"</f>
        <v>משלוחים ללקוח</v>
      </c>
      <c r="AG374" s="1">
        <v>45123</v>
      </c>
      <c r="AM374" t="str">
        <f>"10"</f>
        <v>10</v>
      </c>
      <c r="AN374" t="str">
        <f>"500000"</f>
        <v>500000</v>
      </c>
      <c r="AO374" t="str">
        <f>"הכנסות  מלקוחות"</f>
        <v>הכנסות  מלקוחות</v>
      </c>
      <c r="AQ374" t="str">
        <f>"040"</f>
        <v>040</v>
      </c>
      <c r="AR374">
        <v>0</v>
      </c>
      <c r="AS374">
        <v>0</v>
      </c>
      <c r="AT374">
        <v>3.59</v>
      </c>
      <c r="AX374" t="str">
        <f>"E000390904"</f>
        <v>E000390904</v>
      </c>
      <c r="BD374" t="str">
        <f>"רחמים זרוק"</f>
        <v>רחמים זרוק</v>
      </c>
    </row>
    <row r="375" spans="1:56" x14ac:dyDescent="0.3">
      <c r="A375" s="1">
        <v>45126</v>
      </c>
      <c r="B375" t="str">
        <f>"SI236000975"</f>
        <v>SI236000975</v>
      </c>
      <c r="C375" t="str">
        <f>"PR23000263"</f>
        <v>PR23000263</v>
      </c>
      <c r="D375" t="str">
        <f>"PR23000263"</f>
        <v>PR23000263</v>
      </c>
      <c r="E375" t="str">
        <f>"Y"</f>
        <v>Y</v>
      </c>
      <c r="F375" t="str">
        <f>"חשבוניות מרכזות"</f>
        <v>חשבוניות מרכזות</v>
      </c>
      <c r="G375" t="str">
        <f>"700065"</f>
        <v>700065</v>
      </c>
      <c r="H375" t="str">
        <f>"אלתא מערכות בע""מ"</f>
        <v>אלתא מערכות בע"מ</v>
      </c>
      <c r="I375" t="str">
        <f>"15"</f>
        <v>15</v>
      </c>
      <c r="J375" t="str">
        <f>"OP-AR03595"</f>
        <v>OP-AR03595</v>
      </c>
      <c r="K375" t="str">
        <f>"1035C134-001    HARNESS 1W034 - COMM. and ETHERNET FROM"</f>
        <v>1035C134-001    HARNESS 1W034 - COMM. and ETHERNET FROM</v>
      </c>
      <c r="L375">
        <v>2</v>
      </c>
      <c r="M375" t="str">
        <f>"יח"</f>
        <v>יח</v>
      </c>
      <c r="N375">
        <v>2</v>
      </c>
      <c r="O375" t="str">
        <f>"יח"</f>
        <v>יח</v>
      </c>
      <c r="P375">
        <v>381.4</v>
      </c>
      <c r="Q375" t="str">
        <f>"$"</f>
        <v>$</v>
      </c>
      <c r="R375" t="str">
        <f>"הזמנה"</f>
        <v>הזמנה</v>
      </c>
      <c r="S375">
        <v>0</v>
      </c>
      <c r="T375">
        <v>762.8</v>
      </c>
      <c r="U375">
        <v>0</v>
      </c>
      <c r="V375">
        <v>762.8</v>
      </c>
      <c r="W375" t="str">
        <f>"$"</f>
        <v>$</v>
      </c>
      <c r="X375">
        <v>0</v>
      </c>
      <c r="Y375">
        <v>0</v>
      </c>
      <c r="Z375">
        <v>0</v>
      </c>
      <c r="AA375" t="str">
        <f>"Y"</f>
        <v>Y</v>
      </c>
      <c r="AB375" t="str">
        <f>"SO23000174"</f>
        <v>SO23000174</v>
      </c>
      <c r="AC375">
        <v>3</v>
      </c>
      <c r="AD375" s="1">
        <v>45019</v>
      </c>
      <c r="AE375" t="str">
        <f>"SH23000789"</f>
        <v>SH23000789</v>
      </c>
      <c r="AF375" t="str">
        <f>"משלוחים ללקוח"</f>
        <v>משלוחים ללקוח</v>
      </c>
      <c r="AG375" s="1">
        <v>45123</v>
      </c>
      <c r="AM375" t="str">
        <f>"10"</f>
        <v>10</v>
      </c>
      <c r="AN375" t="str">
        <f>"500000"</f>
        <v>500000</v>
      </c>
      <c r="AO375" t="str">
        <f>"הכנסות  מלקוחות"</f>
        <v>הכנסות  מלקוחות</v>
      </c>
      <c r="AQ375" t="str">
        <f>"040"</f>
        <v>040</v>
      </c>
      <c r="AR375">
        <v>0</v>
      </c>
      <c r="AS375">
        <v>0</v>
      </c>
      <c r="AT375">
        <v>3.59</v>
      </c>
      <c r="AX375" t="str">
        <f>"E000390904"</f>
        <v>E000390904</v>
      </c>
      <c r="BD375" t="str">
        <f>"רחמים זרוק"</f>
        <v>רחמים זרוק</v>
      </c>
    </row>
    <row r="376" spans="1:56" x14ac:dyDescent="0.3">
      <c r="A376" s="1">
        <v>45126</v>
      </c>
      <c r="B376" t="str">
        <f>"SI236000975"</f>
        <v>SI236000975</v>
      </c>
      <c r="C376" t="str">
        <f>"PR23000263"</f>
        <v>PR23000263</v>
      </c>
      <c r="D376" t="str">
        <f>"PR23000263"</f>
        <v>PR23000263</v>
      </c>
      <c r="E376" t="str">
        <f>"Y"</f>
        <v>Y</v>
      </c>
      <c r="F376" t="str">
        <f>"חשבוניות מרכזות"</f>
        <v>חשבוניות מרכזות</v>
      </c>
      <c r="G376" t="str">
        <f>"700065"</f>
        <v>700065</v>
      </c>
      <c r="H376" t="str">
        <f>"אלתא מערכות בע""מ"</f>
        <v>אלתא מערכות בע"מ</v>
      </c>
      <c r="I376" t="str">
        <f>"15"</f>
        <v>15</v>
      </c>
      <c r="J376" t="str">
        <f>"OP-AR03596"</f>
        <v>OP-AR03596</v>
      </c>
      <c r="K376" t="str">
        <f>"1035C135-001    HARNESS 1W035 - COMM. and ETHERNET FROM"</f>
        <v>1035C135-001    HARNESS 1W035 - COMM. and ETHERNET FROM</v>
      </c>
      <c r="L376">
        <v>2</v>
      </c>
      <c r="M376" t="str">
        <f>"יח"</f>
        <v>יח</v>
      </c>
      <c r="N376">
        <v>2</v>
      </c>
      <c r="O376" t="str">
        <f>"יח"</f>
        <v>יח</v>
      </c>
      <c r="P376">
        <v>500.29</v>
      </c>
      <c r="Q376" t="str">
        <f>"$"</f>
        <v>$</v>
      </c>
      <c r="R376" t="str">
        <f>"הזמנה"</f>
        <v>הזמנה</v>
      </c>
      <c r="S376">
        <v>0</v>
      </c>
      <c r="T376" s="2">
        <v>1000.58</v>
      </c>
      <c r="U376">
        <v>0</v>
      </c>
      <c r="V376" s="2">
        <v>1000.58</v>
      </c>
      <c r="W376" t="str">
        <f>"$"</f>
        <v>$</v>
      </c>
      <c r="X376">
        <v>0</v>
      </c>
      <c r="Y376">
        <v>0</v>
      </c>
      <c r="Z376">
        <v>0</v>
      </c>
      <c r="AA376" t="str">
        <f>"Y"</f>
        <v>Y</v>
      </c>
      <c r="AB376" t="str">
        <f>"SO23000174"</f>
        <v>SO23000174</v>
      </c>
      <c r="AC376">
        <v>4</v>
      </c>
      <c r="AD376" s="1">
        <v>45019</v>
      </c>
      <c r="AE376" t="str">
        <f>"SH23000789"</f>
        <v>SH23000789</v>
      </c>
      <c r="AF376" t="str">
        <f>"משלוחים ללקוח"</f>
        <v>משלוחים ללקוח</v>
      </c>
      <c r="AG376" s="1">
        <v>45123</v>
      </c>
      <c r="AM376" t="str">
        <f>"10"</f>
        <v>10</v>
      </c>
      <c r="AN376" t="str">
        <f>"500000"</f>
        <v>500000</v>
      </c>
      <c r="AO376" t="str">
        <f>"הכנסות  מלקוחות"</f>
        <v>הכנסות  מלקוחות</v>
      </c>
      <c r="AQ376" t="str">
        <f>"040"</f>
        <v>040</v>
      </c>
      <c r="AR376">
        <v>0</v>
      </c>
      <c r="AS376">
        <v>0</v>
      </c>
      <c r="AT376">
        <v>3.59</v>
      </c>
      <c r="AX376" t="str">
        <f>"E000390904"</f>
        <v>E000390904</v>
      </c>
      <c r="BD376" t="str">
        <f>"רחמים זרוק"</f>
        <v>רחמים זרוק</v>
      </c>
    </row>
    <row r="377" spans="1:56" x14ac:dyDescent="0.3">
      <c r="A377" s="1">
        <v>45126</v>
      </c>
      <c r="B377" t="str">
        <f>"SI236000975"</f>
        <v>SI236000975</v>
      </c>
      <c r="C377" t="str">
        <f>"PR23000263"</f>
        <v>PR23000263</v>
      </c>
      <c r="D377" t="str">
        <f>"PR23000263"</f>
        <v>PR23000263</v>
      </c>
      <c r="E377" t="str">
        <f>"Y"</f>
        <v>Y</v>
      </c>
      <c r="F377" t="str">
        <f>"חשבוניות מרכזות"</f>
        <v>חשבוניות מרכזות</v>
      </c>
      <c r="G377" t="str">
        <f>"700065"</f>
        <v>700065</v>
      </c>
      <c r="H377" t="str">
        <f>"אלתא מערכות בע""מ"</f>
        <v>אלתא מערכות בע"מ</v>
      </c>
      <c r="I377" t="str">
        <f>"15"</f>
        <v>15</v>
      </c>
      <c r="J377" t="str">
        <f>"OP-AR03598"</f>
        <v>OP-AR03598</v>
      </c>
      <c r="K377" t="str">
        <f>"1035C137-001    HARNESS 1W037 - COMM. and ETHERNET FROM"</f>
        <v>1035C137-001    HARNESS 1W037 - COMM. and ETHERNET FROM</v>
      </c>
      <c r="L377">
        <v>2</v>
      </c>
      <c r="M377" t="str">
        <f>"יח"</f>
        <v>יח</v>
      </c>
      <c r="N377">
        <v>2</v>
      </c>
      <c r="O377" t="str">
        <f>"יח"</f>
        <v>יח</v>
      </c>
      <c r="P377">
        <v>481.26</v>
      </c>
      <c r="Q377" t="str">
        <f>"$"</f>
        <v>$</v>
      </c>
      <c r="R377" t="str">
        <f>"הזמנה"</f>
        <v>הזמנה</v>
      </c>
      <c r="S377">
        <v>0</v>
      </c>
      <c r="T377">
        <v>962.52</v>
      </c>
      <c r="U377">
        <v>0</v>
      </c>
      <c r="V377">
        <v>962.52</v>
      </c>
      <c r="W377" t="str">
        <f>"$"</f>
        <v>$</v>
      </c>
      <c r="X377">
        <v>0</v>
      </c>
      <c r="Y377">
        <v>0</v>
      </c>
      <c r="Z377">
        <v>0</v>
      </c>
      <c r="AA377" t="str">
        <f>"Y"</f>
        <v>Y</v>
      </c>
      <c r="AB377" t="str">
        <f>"SO23000174"</f>
        <v>SO23000174</v>
      </c>
      <c r="AC377">
        <v>6</v>
      </c>
      <c r="AD377" s="1">
        <v>45019</v>
      </c>
      <c r="AE377" t="str">
        <f>"SH23000789"</f>
        <v>SH23000789</v>
      </c>
      <c r="AF377" t="str">
        <f>"משלוחים ללקוח"</f>
        <v>משלוחים ללקוח</v>
      </c>
      <c r="AG377" s="1">
        <v>45123</v>
      </c>
      <c r="AM377" t="str">
        <f>"10"</f>
        <v>10</v>
      </c>
      <c r="AN377" t="str">
        <f>"500000"</f>
        <v>500000</v>
      </c>
      <c r="AO377" t="str">
        <f>"הכנסות  מלקוחות"</f>
        <v>הכנסות  מלקוחות</v>
      </c>
      <c r="AQ377" t="str">
        <f>"040"</f>
        <v>040</v>
      </c>
      <c r="AR377">
        <v>0</v>
      </c>
      <c r="AS377">
        <v>0</v>
      </c>
      <c r="AT377">
        <v>3.59</v>
      </c>
      <c r="AX377" t="str">
        <f>"E000390904"</f>
        <v>E000390904</v>
      </c>
      <c r="BD377" t="str">
        <f>"רחמים זרוק"</f>
        <v>רחמים זרוק</v>
      </c>
    </row>
    <row r="378" spans="1:56" x14ac:dyDescent="0.3">
      <c r="A378" s="1">
        <v>45126</v>
      </c>
      <c r="B378" t="str">
        <f>"SI236000975"</f>
        <v>SI236000975</v>
      </c>
      <c r="C378" t="str">
        <f>"PR23000263"</f>
        <v>PR23000263</v>
      </c>
      <c r="D378" t="str">
        <f>"PR23000263"</f>
        <v>PR23000263</v>
      </c>
      <c r="E378" t="str">
        <f>"Y"</f>
        <v>Y</v>
      </c>
      <c r="F378" t="str">
        <f>"חשבוניות מרכזות"</f>
        <v>חשבוניות מרכזות</v>
      </c>
      <c r="G378" t="str">
        <f>"700065"</f>
        <v>700065</v>
      </c>
      <c r="H378" t="str">
        <f>"אלתא מערכות בע""מ"</f>
        <v>אלתא מערכות בע"מ</v>
      </c>
      <c r="I378" t="str">
        <f>"15"</f>
        <v>15</v>
      </c>
      <c r="J378" t="str">
        <f>"OP-AR03599"</f>
        <v>OP-AR03599</v>
      </c>
      <c r="K378" t="str">
        <f>"1035C139-001    HARNESS 1W039 - COMM. and ETHERNET FROM"</f>
        <v>1035C139-001    HARNESS 1W039 - COMM. and ETHERNET FROM</v>
      </c>
      <c r="L378">
        <v>2</v>
      </c>
      <c r="M378" t="str">
        <f>"יח"</f>
        <v>יח</v>
      </c>
      <c r="N378">
        <v>2</v>
      </c>
      <c r="O378" t="str">
        <f>"יח"</f>
        <v>יח</v>
      </c>
      <c r="P378">
        <v>320.72000000000003</v>
      </c>
      <c r="Q378" t="str">
        <f>"$"</f>
        <v>$</v>
      </c>
      <c r="R378" t="str">
        <f>"הזמנה"</f>
        <v>הזמנה</v>
      </c>
      <c r="S378">
        <v>0</v>
      </c>
      <c r="T378">
        <v>641.44000000000005</v>
      </c>
      <c r="U378">
        <v>0</v>
      </c>
      <c r="V378">
        <v>641.44000000000005</v>
      </c>
      <c r="W378" t="str">
        <f>"$"</f>
        <v>$</v>
      </c>
      <c r="X378">
        <v>0</v>
      </c>
      <c r="Y378">
        <v>0</v>
      </c>
      <c r="Z378">
        <v>0</v>
      </c>
      <c r="AA378" t="str">
        <f>"Y"</f>
        <v>Y</v>
      </c>
      <c r="AB378" t="str">
        <f>"SO23000174"</f>
        <v>SO23000174</v>
      </c>
      <c r="AC378">
        <v>7</v>
      </c>
      <c r="AD378" s="1">
        <v>45019</v>
      </c>
      <c r="AE378" t="str">
        <f>"SH23000789"</f>
        <v>SH23000789</v>
      </c>
      <c r="AF378" t="str">
        <f>"משלוחים ללקוח"</f>
        <v>משלוחים ללקוח</v>
      </c>
      <c r="AG378" s="1">
        <v>45123</v>
      </c>
      <c r="AM378" t="str">
        <f>"10"</f>
        <v>10</v>
      </c>
      <c r="AN378" t="str">
        <f>"500000"</f>
        <v>500000</v>
      </c>
      <c r="AO378" t="str">
        <f>"הכנסות  מלקוחות"</f>
        <v>הכנסות  מלקוחות</v>
      </c>
      <c r="AQ378" t="str">
        <f>"040"</f>
        <v>040</v>
      </c>
      <c r="AR378">
        <v>0</v>
      </c>
      <c r="AS378">
        <v>0</v>
      </c>
      <c r="AT378">
        <v>3.59</v>
      </c>
      <c r="AX378" t="str">
        <f>"E000390904"</f>
        <v>E000390904</v>
      </c>
      <c r="BD378" t="str">
        <f>"רחמים זרוק"</f>
        <v>רחמים זרוק</v>
      </c>
    </row>
    <row r="379" spans="1:56" x14ac:dyDescent="0.3">
      <c r="A379" s="1">
        <v>45126</v>
      </c>
      <c r="B379" t="str">
        <f>"SI236000974"</f>
        <v>SI236000974</v>
      </c>
      <c r="C379" t="str">
        <f>"PR23000317"</f>
        <v>PR23000317</v>
      </c>
      <c r="E379" t="str">
        <f>"Y"</f>
        <v>Y</v>
      </c>
      <c r="F379" t="str">
        <f>"חשבוניות מרכזות"</f>
        <v>חשבוניות מרכזות</v>
      </c>
      <c r="G379" t="str">
        <f>"700065"</f>
        <v>700065</v>
      </c>
      <c r="H379" t="str">
        <f>"אלתא מערכות בע""מ"</f>
        <v>אלתא מערכות בע"מ</v>
      </c>
      <c r="I379" t="str">
        <f>"15"</f>
        <v>15</v>
      </c>
      <c r="J379" t="str">
        <f>"OP-AR03630"</f>
        <v>OP-AR03630</v>
      </c>
      <c r="K379" t="str">
        <f>"2070B184-001    CABLE ASSY GNDW104"</f>
        <v>2070B184-001    CABLE ASSY GNDW104</v>
      </c>
      <c r="L379">
        <v>1</v>
      </c>
      <c r="M379" t="str">
        <f>"יח"</f>
        <v>יח</v>
      </c>
      <c r="N379">
        <v>1</v>
      </c>
      <c r="O379" t="str">
        <f>"יח"</f>
        <v>יח</v>
      </c>
      <c r="P379">
        <v>149.86000000000001</v>
      </c>
      <c r="Q379" t="str">
        <f>"$"</f>
        <v>$</v>
      </c>
      <c r="R379" t="str">
        <f>"הזמנה"</f>
        <v>הזמנה</v>
      </c>
      <c r="S379">
        <v>0</v>
      </c>
      <c r="T379">
        <v>149.86000000000001</v>
      </c>
      <c r="U379">
        <v>0</v>
      </c>
      <c r="V379">
        <v>149.86000000000001</v>
      </c>
      <c r="W379" t="str">
        <f>"$"</f>
        <v>$</v>
      </c>
      <c r="X379">
        <v>0</v>
      </c>
      <c r="Y379">
        <v>0</v>
      </c>
      <c r="Z379">
        <v>0</v>
      </c>
      <c r="AA379" t="str">
        <f>"Y"</f>
        <v>Y</v>
      </c>
      <c r="AC379">
        <v>0</v>
      </c>
      <c r="AM379" t="str">
        <f>"10"</f>
        <v>10</v>
      </c>
      <c r="AN379" t="str">
        <f>"500000"</f>
        <v>500000</v>
      </c>
      <c r="AO379" t="str">
        <f>"הכנסות  מלקוחות"</f>
        <v>הכנסות  מלקוחות</v>
      </c>
      <c r="AQ379" t="str">
        <f>"040"</f>
        <v>040</v>
      </c>
      <c r="AR379">
        <v>0</v>
      </c>
      <c r="AS379">
        <v>0</v>
      </c>
      <c r="AT379">
        <v>3.59</v>
      </c>
      <c r="BB379" t="str">
        <f>"Y"</f>
        <v>Y</v>
      </c>
      <c r="BD379" t="str">
        <f>"רחמים זרוק"</f>
        <v>רחמים זרוק</v>
      </c>
    </row>
    <row r="380" spans="1:56" x14ac:dyDescent="0.3">
      <c r="A380" s="1">
        <v>45126</v>
      </c>
      <c r="B380" t="str">
        <f>"SI236000974"</f>
        <v>SI236000974</v>
      </c>
      <c r="C380" t="str">
        <f>"PR23000317"</f>
        <v>PR23000317</v>
      </c>
      <c r="E380" t="str">
        <f>"Y"</f>
        <v>Y</v>
      </c>
      <c r="F380" t="str">
        <f>"חשבוניות מרכזות"</f>
        <v>חשבוניות מרכזות</v>
      </c>
      <c r="G380" t="str">
        <f>"700065"</f>
        <v>700065</v>
      </c>
      <c r="H380" t="str">
        <f>"אלתא מערכות בע""מ"</f>
        <v>אלתא מערכות בע"מ</v>
      </c>
      <c r="I380" t="str">
        <f>"15"</f>
        <v>15</v>
      </c>
      <c r="J380" t="str">
        <f>"OP-AR03629"</f>
        <v>OP-AR03629</v>
      </c>
      <c r="K380" t="str">
        <f>"2038B552-001    GND CABLE CNW913"</f>
        <v>2038B552-001    GND CABLE CNW913</v>
      </c>
      <c r="L380">
        <v>4</v>
      </c>
      <c r="M380" t="str">
        <f>"יח"</f>
        <v>יח</v>
      </c>
      <c r="N380">
        <v>4</v>
      </c>
      <c r="O380" t="str">
        <f>"יח"</f>
        <v>יח</v>
      </c>
      <c r="P380">
        <v>115.31</v>
      </c>
      <c r="Q380" t="str">
        <f>"$"</f>
        <v>$</v>
      </c>
      <c r="R380" t="str">
        <f>"הזמנה"</f>
        <v>הזמנה</v>
      </c>
      <c r="S380">
        <v>0</v>
      </c>
      <c r="T380">
        <v>461.24</v>
      </c>
      <c r="U380">
        <v>0</v>
      </c>
      <c r="V380">
        <v>461.24</v>
      </c>
      <c r="W380" t="str">
        <f>"$"</f>
        <v>$</v>
      </c>
      <c r="X380">
        <v>0</v>
      </c>
      <c r="Y380">
        <v>0</v>
      </c>
      <c r="Z380">
        <v>0</v>
      </c>
      <c r="AA380" t="str">
        <f>"Y"</f>
        <v>Y</v>
      </c>
      <c r="AC380">
        <v>0</v>
      </c>
      <c r="AM380" t="str">
        <f>"10"</f>
        <v>10</v>
      </c>
      <c r="AN380" t="str">
        <f>"500000"</f>
        <v>500000</v>
      </c>
      <c r="AO380" t="str">
        <f>"הכנסות  מלקוחות"</f>
        <v>הכנסות  מלקוחות</v>
      </c>
      <c r="AQ380" t="str">
        <f>"040"</f>
        <v>040</v>
      </c>
      <c r="AR380">
        <v>0</v>
      </c>
      <c r="AS380">
        <v>0</v>
      </c>
      <c r="AT380">
        <v>3.59</v>
      </c>
      <c r="BB380" t="str">
        <f>"Y"</f>
        <v>Y</v>
      </c>
      <c r="BD380" t="str">
        <f>"רחמים זרוק"</f>
        <v>רחמים זרוק</v>
      </c>
    </row>
    <row r="381" spans="1:56" x14ac:dyDescent="0.3">
      <c r="A381" s="1">
        <v>45126</v>
      </c>
      <c r="B381" t="str">
        <f>"SI236000973"</f>
        <v>SI236000973</v>
      </c>
      <c r="C381" t="str">
        <f>"PR23000263"</f>
        <v>PR23000263</v>
      </c>
      <c r="D381" t="str">
        <f>"PR23000263"</f>
        <v>PR23000263</v>
      </c>
      <c r="E381" t="str">
        <f>"Y"</f>
        <v>Y</v>
      </c>
      <c r="F381" t="str">
        <f>"חשבוניות מרכזות"</f>
        <v>חשבוניות מרכזות</v>
      </c>
      <c r="G381" t="str">
        <f>"700065"</f>
        <v>700065</v>
      </c>
      <c r="H381" t="str">
        <f>"אלתא מערכות בע""מ"</f>
        <v>אלתא מערכות בע"מ</v>
      </c>
      <c r="I381" t="str">
        <f>"15"</f>
        <v>15</v>
      </c>
      <c r="J381" t="str">
        <f>"OP-AR03597"</f>
        <v>OP-AR03597</v>
      </c>
      <c r="K381" t="str">
        <f>"1035C136-001    HARNESS 1W036 - COMM. and ETHERNET FROM"</f>
        <v>1035C136-001    HARNESS 1W036 - COMM. and ETHERNET FROM</v>
      </c>
      <c r="L381">
        <v>2</v>
      </c>
      <c r="M381" t="str">
        <f>"יח"</f>
        <v>יח</v>
      </c>
      <c r="N381">
        <v>2</v>
      </c>
      <c r="O381" t="str">
        <f>"יח"</f>
        <v>יח</v>
      </c>
      <c r="P381">
        <v>381.4</v>
      </c>
      <c r="Q381" t="str">
        <f>"$"</f>
        <v>$</v>
      </c>
      <c r="R381" t="str">
        <f>"הזמנה"</f>
        <v>הזמנה</v>
      </c>
      <c r="S381">
        <v>0</v>
      </c>
      <c r="T381">
        <v>762.8</v>
      </c>
      <c r="U381">
        <v>0</v>
      </c>
      <c r="V381">
        <v>762.8</v>
      </c>
      <c r="W381" t="str">
        <f>"$"</f>
        <v>$</v>
      </c>
      <c r="X381">
        <v>0</v>
      </c>
      <c r="Y381">
        <v>0</v>
      </c>
      <c r="Z381">
        <v>0</v>
      </c>
      <c r="AA381" t="str">
        <f>"Y"</f>
        <v>Y</v>
      </c>
      <c r="AB381" t="str">
        <f>"SO23000174"</f>
        <v>SO23000174</v>
      </c>
      <c r="AC381">
        <v>5</v>
      </c>
      <c r="AD381" s="1">
        <v>45019</v>
      </c>
      <c r="AE381" t="str">
        <f>"SH23000914"</f>
        <v>SH23000914</v>
      </c>
      <c r="AF381" t="str">
        <f>"משלוחים ללקוח"</f>
        <v>משלוחים ללקוח</v>
      </c>
      <c r="AG381" s="1">
        <v>45125</v>
      </c>
      <c r="AM381" t="str">
        <f>"10"</f>
        <v>10</v>
      </c>
      <c r="AN381" t="str">
        <f>"500000"</f>
        <v>500000</v>
      </c>
      <c r="AO381" t="str">
        <f>"הכנסות  מלקוחות"</f>
        <v>הכנסות  מלקוחות</v>
      </c>
      <c r="AQ381" t="str">
        <f>"040"</f>
        <v>040</v>
      </c>
      <c r="AR381">
        <v>0</v>
      </c>
      <c r="AS381">
        <v>0</v>
      </c>
      <c r="AT381">
        <v>3.59</v>
      </c>
      <c r="AX381" t="str">
        <f>"E000390904"</f>
        <v>E000390904</v>
      </c>
      <c r="BD381" t="str">
        <f>"רחמים זרוק"</f>
        <v>רחמים זרוק</v>
      </c>
    </row>
    <row r="382" spans="1:56" x14ac:dyDescent="0.3">
      <c r="A382" s="1">
        <v>45126</v>
      </c>
      <c r="B382" t="str">
        <f>"SI236000972"</f>
        <v>SI236000972</v>
      </c>
      <c r="C382" t="str">
        <f>"PR23000131"</f>
        <v>PR23000131</v>
      </c>
      <c r="E382" t="str">
        <f>"Y"</f>
        <v>Y</v>
      </c>
      <c r="F382" t="str">
        <f>"חשבוניות מרכזות"</f>
        <v>חשבוניות מרכזות</v>
      </c>
      <c r="G382" t="str">
        <f>"700065"</f>
        <v>700065</v>
      </c>
      <c r="H382" t="str">
        <f>"אלתא מערכות בע""מ"</f>
        <v>אלתא מערכות בע"מ</v>
      </c>
      <c r="I382" t="str">
        <f>"15"</f>
        <v>15</v>
      </c>
      <c r="J382" t="str">
        <f>"OP-AR03253"</f>
        <v>OP-AR03253</v>
      </c>
      <c r="K382" t="str">
        <f>"1036H284-001    HARNESS WC284 - MB TO PS1"</f>
        <v>1036H284-001    HARNESS WC284 - MB TO PS1</v>
      </c>
      <c r="L382">
        <v>1</v>
      </c>
      <c r="M382" t="str">
        <f>"יח"</f>
        <v>יח</v>
      </c>
      <c r="N382">
        <v>1</v>
      </c>
      <c r="O382" t="str">
        <f>"יח"</f>
        <v>יח</v>
      </c>
      <c r="P382">
        <v>319.44</v>
      </c>
      <c r="Q382" t="str">
        <f>"$"</f>
        <v>$</v>
      </c>
      <c r="R382" t="str">
        <f>"הזמנה"</f>
        <v>הזמנה</v>
      </c>
      <c r="S382">
        <v>0</v>
      </c>
      <c r="T382">
        <v>319.44</v>
      </c>
      <c r="U382">
        <v>0</v>
      </c>
      <c r="V382">
        <v>319.44</v>
      </c>
      <c r="W382" t="str">
        <f>"$"</f>
        <v>$</v>
      </c>
      <c r="X382">
        <v>0</v>
      </c>
      <c r="Y382">
        <v>0</v>
      </c>
      <c r="Z382">
        <v>0</v>
      </c>
      <c r="AA382" t="str">
        <f>"Y"</f>
        <v>Y</v>
      </c>
      <c r="AB382" t="str">
        <f>"SO23000072"</f>
        <v>SO23000072</v>
      </c>
      <c r="AC382">
        <v>2</v>
      </c>
      <c r="AD382" s="1">
        <v>44959</v>
      </c>
      <c r="AE382" t="str">
        <f>"SH23000917"</f>
        <v>SH23000917</v>
      </c>
      <c r="AF382" t="str">
        <f>"משלוחים ללקוח"</f>
        <v>משלוחים ללקוח</v>
      </c>
      <c r="AG382" s="1">
        <v>45125</v>
      </c>
      <c r="AM382" t="str">
        <f>"10"</f>
        <v>10</v>
      </c>
      <c r="AN382" t="str">
        <f>"500000"</f>
        <v>500000</v>
      </c>
      <c r="AO382" t="str">
        <f>"הכנסות  מלקוחות"</f>
        <v>הכנסות  מלקוחות</v>
      </c>
      <c r="AQ382" t="str">
        <f>"040"</f>
        <v>040</v>
      </c>
      <c r="AR382">
        <v>0</v>
      </c>
      <c r="AS382">
        <v>0</v>
      </c>
      <c r="AT382">
        <v>3.59</v>
      </c>
      <c r="AX382" t="str">
        <f>"E000385438"</f>
        <v>E000385438</v>
      </c>
      <c r="BD382" t="str">
        <f>"רחמים זרוק"</f>
        <v>רחמים זרוק</v>
      </c>
    </row>
    <row r="383" spans="1:56" x14ac:dyDescent="0.3">
      <c r="A383" s="1">
        <v>45126</v>
      </c>
      <c r="B383" t="str">
        <f>"SI236000971"</f>
        <v>SI236000971</v>
      </c>
      <c r="C383" t="str">
        <f>"PR23000327"</f>
        <v>PR23000327</v>
      </c>
      <c r="D383" t="str">
        <f>"PR23000327"</f>
        <v>PR23000327</v>
      </c>
      <c r="E383" t="str">
        <f>"Y"</f>
        <v>Y</v>
      </c>
      <c r="F383" t="str">
        <f>"חשבוניות מרכזות"</f>
        <v>חשבוניות מרכזות</v>
      </c>
      <c r="G383" t="str">
        <f>"700065"</f>
        <v>700065</v>
      </c>
      <c r="H383" t="str">
        <f>"אלתא מערכות בע""מ"</f>
        <v>אלתא מערכות בע"מ</v>
      </c>
      <c r="I383" t="str">
        <f>"15"</f>
        <v>15</v>
      </c>
      <c r="J383" t="str">
        <f>"OP-AR02349"</f>
        <v>OP-AR02349</v>
      </c>
      <c r="K383" t="str">
        <f>"2202B030-001     TRW20 CABLE ASSY"</f>
        <v>2202B030-001     TRW20 CABLE ASSY</v>
      </c>
      <c r="L383">
        <v>2</v>
      </c>
      <c r="M383" t="str">
        <f>"יח"</f>
        <v>יח</v>
      </c>
      <c r="N383">
        <v>2</v>
      </c>
      <c r="O383" t="str">
        <f>"יח"</f>
        <v>יח</v>
      </c>
      <c r="P383">
        <v>167.81</v>
      </c>
      <c r="Q383" t="str">
        <f>"$"</f>
        <v>$</v>
      </c>
      <c r="R383" t="str">
        <f>"הזמנה"</f>
        <v>הזמנה</v>
      </c>
      <c r="S383">
        <v>0</v>
      </c>
      <c r="T383">
        <v>335.62</v>
      </c>
      <c r="U383">
        <v>0</v>
      </c>
      <c r="V383">
        <v>335.62</v>
      </c>
      <c r="W383" t="str">
        <f>"$"</f>
        <v>$</v>
      </c>
      <c r="X383">
        <v>0</v>
      </c>
      <c r="Y383">
        <v>0</v>
      </c>
      <c r="Z383">
        <v>0</v>
      </c>
      <c r="AA383" t="str">
        <f>"Y"</f>
        <v>Y</v>
      </c>
      <c r="AB383" t="str">
        <f>"SO23000233"</f>
        <v>SO23000233</v>
      </c>
      <c r="AC383">
        <v>1</v>
      </c>
      <c r="AD383" s="1">
        <v>45061</v>
      </c>
      <c r="AE383" t="str">
        <f>"SH23000919"</f>
        <v>SH23000919</v>
      </c>
      <c r="AF383" t="str">
        <f>"משלוחים ללקוח"</f>
        <v>משלוחים ללקוח</v>
      </c>
      <c r="AG383" s="1">
        <v>45125</v>
      </c>
      <c r="AM383" t="str">
        <f>"10"</f>
        <v>10</v>
      </c>
      <c r="AN383" t="str">
        <f>"500000"</f>
        <v>500000</v>
      </c>
      <c r="AO383" t="str">
        <f>"הכנסות  מלקוחות"</f>
        <v>הכנסות  מלקוחות</v>
      </c>
      <c r="AQ383" t="str">
        <f>"040"</f>
        <v>040</v>
      </c>
      <c r="AR383">
        <v>0</v>
      </c>
      <c r="AS383">
        <v>0</v>
      </c>
      <c r="AT383">
        <v>3.59</v>
      </c>
      <c r="AX383" t="str">
        <f>"E000394557"</f>
        <v>E000394557</v>
      </c>
      <c r="BD383" t="str">
        <f>"רחמים זרוק"</f>
        <v>רחמים זרוק</v>
      </c>
    </row>
    <row r="384" spans="1:56" x14ac:dyDescent="0.3">
      <c r="A384" s="1">
        <v>45126</v>
      </c>
      <c r="B384" t="str">
        <f>"SI236000970"</f>
        <v>SI236000970</v>
      </c>
      <c r="C384" t="str">
        <f>"PR23000315"</f>
        <v>PR23000315</v>
      </c>
      <c r="D384" t="str">
        <f>"PR23000315"</f>
        <v>PR23000315</v>
      </c>
      <c r="E384" t="str">
        <f>"Y"</f>
        <v>Y</v>
      </c>
      <c r="F384" t="str">
        <f>"חשבוניות מרכזות"</f>
        <v>חשבוניות מרכזות</v>
      </c>
      <c r="G384" t="str">
        <f>"700065"</f>
        <v>700065</v>
      </c>
      <c r="H384" t="str">
        <f>"אלתא מערכות בע""מ"</f>
        <v>אלתא מערכות בע"מ</v>
      </c>
      <c r="I384" t="str">
        <f>"15"</f>
        <v>15</v>
      </c>
      <c r="J384" t="str">
        <f>"OP-AR03626"</f>
        <v>OP-AR03626</v>
      </c>
      <c r="K384" t="str">
        <f>"3036C708-001   HARNESS W747B - EXTENSION CABLE FOR COOL"</f>
        <v>3036C708-001   HARNESS W747B - EXTENSION CABLE FOR COOL</v>
      </c>
      <c r="L384">
        <v>1</v>
      </c>
      <c r="M384" t="str">
        <f>"יח"</f>
        <v>יח</v>
      </c>
      <c r="N384">
        <v>1</v>
      </c>
      <c r="O384" t="str">
        <f>"יח"</f>
        <v>יח</v>
      </c>
      <c r="P384">
        <v>621.58000000000004</v>
      </c>
      <c r="Q384" t="str">
        <f>"$"</f>
        <v>$</v>
      </c>
      <c r="R384" t="str">
        <f>"הזמנה"</f>
        <v>הזמנה</v>
      </c>
      <c r="S384">
        <v>0</v>
      </c>
      <c r="T384">
        <v>621.58000000000004</v>
      </c>
      <c r="U384">
        <v>0</v>
      </c>
      <c r="V384">
        <v>621.58000000000004</v>
      </c>
      <c r="W384" t="str">
        <f>"$"</f>
        <v>$</v>
      </c>
      <c r="X384">
        <v>0</v>
      </c>
      <c r="Y384">
        <v>0</v>
      </c>
      <c r="Z384">
        <v>0</v>
      </c>
      <c r="AA384" t="str">
        <f>"Y"</f>
        <v>Y</v>
      </c>
      <c r="AB384" t="str">
        <f>"SO23000227"</f>
        <v>SO23000227</v>
      </c>
      <c r="AC384">
        <v>1</v>
      </c>
      <c r="AD384" s="1">
        <v>45054</v>
      </c>
      <c r="AE384" t="str">
        <f>"SH23000918"</f>
        <v>SH23000918</v>
      </c>
      <c r="AF384" t="str">
        <f>"משלוחים ללקוח"</f>
        <v>משלוחים ללקוח</v>
      </c>
      <c r="AG384" s="1">
        <v>45125</v>
      </c>
      <c r="AM384" t="str">
        <f>"10"</f>
        <v>10</v>
      </c>
      <c r="AN384" t="str">
        <f>"500000"</f>
        <v>500000</v>
      </c>
      <c r="AO384" t="str">
        <f>"הכנסות  מלקוחות"</f>
        <v>הכנסות  מלקוחות</v>
      </c>
      <c r="AQ384" t="str">
        <f>"040"</f>
        <v>040</v>
      </c>
      <c r="AR384">
        <v>0</v>
      </c>
      <c r="AS384">
        <v>0</v>
      </c>
      <c r="AT384">
        <v>3.59</v>
      </c>
      <c r="AX384" t="str">
        <f>"E000390858"</f>
        <v>E000390858</v>
      </c>
      <c r="BD384" t="str">
        <f>"רחמים זרוק"</f>
        <v>רחמים זרוק</v>
      </c>
    </row>
    <row r="385" spans="1:56" x14ac:dyDescent="0.3">
      <c r="A385" s="1">
        <v>45126</v>
      </c>
      <c r="B385" t="str">
        <f>"SI236000969"</f>
        <v>SI236000969</v>
      </c>
      <c r="C385" t="str">
        <f>"PR23000313"</f>
        <v>PR23000313</v>
      </c>
      <c r="D385" t="str">
        <f>"PR23000313"</f>
        <v>PR23000313</v>
      </c>
      <c r="E385" t="str">
        <f>"Y"</f>
        <v>Y</v>
      </c>
      <c r="F385" t="str">
        <f>"חשבוניות מרכזות"</f>
        <v>חשבוניות מרכזות</v>
      </c>
      <c r="G385" t="str">
        <f>"700065"</f>
        <v>700065</v>
      </c>
      <c r="H385" t="str">
        <f>"אלתא מערכות בע""מ"</f>
        <v>אלתא מערכות בע"מ</v>
      </c>
      <c r="I385" t="str">
        <f>"15"</f>
        <v>15</v>
      </c>
      <c r="J385" t="str">
        <f>"OP-AR03202"</f>
        <v>OP-AR03202</v>
      </c>
      <c r="K385" t="str">
        <f>"2060B170-001   CABLE ASSY CRW21"</f>
        <v>2060B170-001   CABLE ASSY CRW21</v>
      </c>
      <c r="L385">
        <v>2</v>
      </c>
      <c r="M385" t="str">
        <f>"יח"</f>
        <v>יח</v>
      </c>
      <c r="N385">
        <v>2</v>
      </c>
      <c r="O385" t="str">
        <f>"יח"</f>
        <v>יח</v>
      </c>
      <c r="P385">
        <v>274.23</v>
      </c>
      <c r="Q385" t="str">
        <f>"$"</f>
        <v>$</v>
      </c>
      <c r="R385" t="str">
        <f>"הזמנה"</f>
        <v>הזמנה</v>
      </c>
      <c r="S385">
        <v>0</v>
      </c>
      <c r="T385">
        <v>548.46</v>
      </c>
      <c r="U385">
        <v>0</v>
      </c>
      <c r="V385">
        <v>548.46</v>
      </c>
      <c r="W385" t="str">
        <f>"$"</f>
        <v>$</v>
      </c>
      <c r="X385">
        <v>0</v>
      </c>
      <c r="Y385">
        <v>0</v>
      </c>
      <c r="Z385">
        <v>0</v>
      </c>
      <c r="AA385" t="str">
        <f>"Y"</f>
        <v>Y</v>
      </c>
      <c r="AB385" t="str">
        <f>"SO23000229"</f>
        <v>SO23000229</v>
      </c>
      <c r="AC385">
        <v>1</v>
      </c>
      <c r="AD385" s="1">
        <v>45054</v>
      </c>
      <c r="AE385" t="str">
        <f>"SH23000913"</f>
        <v>SH23000913</v>
      </c>
      <c r="AF385" t="str">
        <f>"משלוחים ללקוח"</f>
        <v>משלוחים ללקוח</v>
      </c>
      <c r="AG385" s="1">
        <v>45125</v>
      </c>
      <c r="AM385" t="str">
        <f>"10"</f>
        <v>10</v>
      </c>
      <c r="AN385" t="str">
        <f>"500000"</f>
        <v>500000</v>
      </c>
      <c r="AO385" t="str">
        <f>"הכנסות  מלקוחות"</f>
        <v>הכנסות  מלקוחות</v>
      </c>
      <c r="AQ385" t="str">
        <f>"040"</f>
        <v>040</v>
      </c>
      <c r="AR385">
        <v>0</v>
      </c>
      <c r="AS385">
        <v>0</v>
      </c>
      <c r="AT385">
        <v>3.59</v>
      </c>
      <c r="AX385" t="str">
        <f>"E000390854"</f>
        <v>E000390854</v>
      </c>
      <c r="BD385" t="str">
        <f>"רחמים זרוק"</f>
        <v>רחמים זרוק</v>
      </c>
    </row>
    <row r="386" spans="1:56" x14ac:dyDescent="0.3">
      <c r="A386" s="1">
        <v>45126</v>
      </c>
      <c r="B386" t="str">
        <f>"SI236000968"</f>
        <v>SI236000968</v>
      </c>
      <c r="C386" t="str">
        <f>"PR23000267"</f>
        <v>PR23000267</v>
      </c>
      <c r="D386" t="str">
        <f>"PR23000267"</f>
        <v>PR23000267</v>
      </c>
      <c r="E386" t="str">
        <f>"Y"</f>
        <v>Y</v>
      </c>
      <c r="F386" t="str">
        <f>"חשבוניות מרכזות"</f>
        <v>חשבוניות מרכזות</v>
      </c>
      <c r="G386" t="str">
        <f>"700065"</f>
        <v>700065</v>
      </c>
      <c r="H386" t="str">
        <f>"אלתא מערכות בע""מ"</f>
        <v>אלתא מערכות בע"מ</v>
      </c>
      <c r="I386" t="str">
        <f>"10"</f>
        <v>10</v>
      </c>
      <c r="J386" t="str">
        <f>"OP-AR03612"</f>
        <v>OP-AR03612</v>
      </c>
      <c r="K386" t="str">
        <f>"3025Y440-001    GROUND CABLE W440 - RACK 14 - BC-MTX TO"</f>
        <v>3025Y440-001    GROUND CABLE W440 - RACK 14 - BC-MTX TO</v>
      </c>
      <c r="L386">
        <v>3</v>
      </c>
      <c r="M386" t="str">
        <f>"יח"</f>
        <v>יח</v>
      </c>
      <c r="N386">
        <v>3</v>
      </c>
      <c r="O386" t="str">
        <f>"יח"</f>
        <v>יח</v>
      </c>
      <c r="P386">
        <v>85.2</v>
      </c>
      <c r="Q386" t="str">
        <f>"$"</f>
        <v>$</v>
      </c>
      <c r="R386" t="str">
        <f>"הזמנה"</f>
        <v>הזמנה</v>
      </c>
      <c r="S386">
        <v>0</v>
      </c>
      <c r="T386">
        <v>255.6</v>
      </c>
      <c r="U386">
        <v>0</v>
      </c>
      <c r="V386">
        <v>255.6</v>
      </c>
      <c r="W386" t="str">
        <f>"$"</f>
        <v>$</v>
      </c>
      <c r="X386">
        <v>0</v>
      </c>
      <c r="Y386">
        <v>0</v>
      </c>
      <c r="Z386">
        <v>0</v>
      </c>
      <c r="AA386" t="str">
        <f>"Y"</f>
        <v>Y</v>
      </c>
      <c r="AB386" t="str">
        <f>"SO23000178"</f>
        <v>SO23000178</v>
      </c>
      <c r="AC386">
        <v>3</v>
      </c>
      <c r="AD386" s="1">
        <v>45020</v>
      </c>
      <c r="AE386" t="str">
        <f>"SH23000915"</f>
        <v>SH23000915</v>
      </c>
      <c r="AF386" t="str">
        <f>"משלוחים ללקוח"</f>
        <v>משלוחים ללקוח</v>
      </c>
      <c r="AG386" s="1">
        <v>45125</v>
      </c>
      <c r="AM386" t="str">
        <f>"10"</f>
        <v>10</v>
      </c>
      <c r="AN386" t="str">
        <f>"500000"</f>
        <v>500000</v>
      </c>
      <c r="AO386" t="str">
        <f>"הכנסות  מלקוחות"</f>
        <v>הכנסות  מלקוחות</v>
      </c>
      <c r="AQ386" t="str">
        <f>"040"</f>
        <v>040</v>
      </c>
      <c r="AR386">
        <v>0</v>
      </c>
      <c r="AS386">
        <v>0</v>
      </c>
      <c r="AT386">
        <v>3.59</v>
      </c>
      <c r="AX386" t="str">
        <f>"E000390863"</f>
        <v>E000390863</v>
      </c>
      <c r="BD386" t="str">
        <f>"רחמים זרוק"</f>
        <v>רחמים זרוק</v>
      </c>
    </row>
    <row r="387" spans="1:56" x14ac:dyDescent="0.3">
      <c r="A387" s="1">
        <v>45124</v>
      </c>
      <c r="B387" t="str">
        <f>"CR237000078"</f>
        <v>CR237000078</v>
      </c>
      <c r="E387" t="str">
        <f>"Y"</f>
        <v>Y</v>
      </c>
      <c r="F387" t="str">
        <f>"חשבוניות זיכוי"</f>
        <v>חשבוניות זיכוי</v>
      </c>
      <c r="G387" t="str">
        <f>"700065"</f>
        <v>700065</v>
      </c>
      <c r="H387" t="str">
        <f>"אלתא מערכות בע""מ"</f>
        <v>אלתא מערכות בע"מ</v>
      </c>
      <c r="I387" t="str">
        <f>"10"</f>
        <v>10</v>
      </c>
      <c r="J387" t="str">
        <f>"OP-AR03539"</f>
        <v>OP-AR03539</v>
      </c>
      <c r="K387" t="str">
        <f>"PDB2 שורד  1038C870-001"</f>
        <v>PDB2 שורד  1038C870-001</v>
      </c>
      <c r="L387">
        <v>1</v>
      </c>
      <c r="M387" t="str">
        <f>"יח"</f>
        <v>יח</v>
      </c>
      <c r="N387">
        <v>1</v>
      </c>
      <c r="O387" t="str">
        <f>"יח"</f>
        <v>יח</v>
      </c>
      <c r="P387" s="2">
        <v>2698.5</v>
      </c>
      <c r="Q387" t="str">
        <f>"$"</f>
        <v>$</v>
      </c>
      <c r="R387" t="str">
        <f>"ידני"</f>
        <v>ידני</v>
      </c>
      <c r="S387">
        <v>0</v>
      </c>
      <c r="T387" s="2">
        <v>2698.5</v>
      </c>
      <c r="U387">
        <v>0</v>
      </c>
      <c r="V387" s="2">
        <v>2698.5</v>
      </c>
      <c r="W387" t="str">
        <f>"$"</f>
        <v>$</v>
      </c>
      <c r="X387">
        <v>0</v>
      </c>
      <c r="Y387">
        <v>0</v>
      </c>
      <c r="Z387">
        <v>0</v>
      </c>
      <c r="AA387" t="str">
        <f>"Y"</f>
        <v>Y</v>
      </c>
      <c r="AC387">
        <v>0</v>
      </c>
      <c r="AM387" t="str">
        <f>"10"</f>
        <v>10</v>
      </c>
      <c r="AN387" t="str">
        <f>"500000"</f>
        <v>500000</v>
      </c>
      <c r="AO387" t="str">
        <f>"הכנסות  מלקוחות"</f>
        <v>הכנסות  מלקוחות</v>
      </c>
      <c r="AQ387" t="str">
        <f>"034"</f>
        <v>034</v>
      </c>
      <c r="AR387">
        <v>0</v>
      </c>
      <c r="AS387">
        <v>0</v>
      </c>
      <c r="AT387">
        <v>3.5870000000000002</v>
      </c>
      <c r="BD387" t="str">
        <f>"ערן שלו"</f>
        <v>ערן שלו</v>
      </c>
    </row>
    <row r="388" spans="1:56" x14ac:dyDescent="0.3">
      <c r="A388" s="1">
        <v>45123</v>
      </c>
      <c r="B388" t="str">
        <f>"SI236000998"</f>
        <v>SI236000998</v>
      </c>
      <c r="C388" t="str">
        <f>"PR23000071"</f>
        <v>PR23000071</v>
      </c>
      <c r="E388" t="str">
        <f>"Y"</f>
        <v>Y</v>
      </c>
      <c r="F388" t="str">
        <f>"חשבוניות מרכזות"</f>
        <v>חשבוניות מרכזות</v>
      </c>
      <c r="G388" t="str">
        <f>"700065"</f>
        <v>700065</v>
      </c>
      <c r="H388" t="str">
        <f>"אלתא מערכות בע""מ"</f>
        <v>אלתא מערכות בע"מ</v>
      </c>
      <c r="I388" t="str">
        <f>"10"</f>
        <v>10</v>
      </c>
      <c r="J388" t="str">
        <f>"OP-ML00226"</f>
        <v>OP-ML00226</v>
      </c>
      <c r="K388" t="str">
        <f>"POWER SUPPLY AC/DC 21-29V/220ADC RUGGED"</f>
        <v>POWER SUPPLY AC/DC 21-29V/220ADC RUGGED</v>
      </c>
      <c r="L388">
        <v>2</v>
      </c>
      <c r="M388" t="str">
        <f>"יח"</f>
        <v>יח</v>
      </c>
      <c r="N388">
        <v>2</v>
      </c>
      <c r="O388" t="str">
        <f>"יח"</f>
        <v>יח</v>
      </c>
      <c r="P388" s="2">
        <v>11323.9</v>
      </c>
      <c r="Q388" t="str">
        <f>"$"</f>
        <v>$</v>
      </c>
      <c r="R388" t="str">
        <f>"הזמנה"</f>
        <v>הזמנה</v>
      </c>
      <c r="S388">
        <v>0</v>
      </c>
      <c r="T388" s="2">
        <v>22647.8</v>
      </c>
      <c r="U388">
        <v>0</v>
      </c>
      <c r="V388" s="2">
        <v>22647.8</v>
      </c>
      <c r="W388" t="str">
        <f>"$"</f>
        <v>$</v>
      </c>
      <c r="X388">
        <v>0</v>
      </c>
      <c r="Y388">
        <v>0</v>
      </c>
      <c r="Z388">
        <v>0</v>
      </c>
      <c r="AA388" t="str">
        <f>"Y"</f>
        <v>Y</v>
      </c>
      <c r="AB388" t="str">
        <f>"SO23000042"</f>
        <v>SO23000042</v>
      </c>
      <c r="AC388">
        <v>1</v>
      </c>
      <c r="AD388" s="1">
        <v>44942</v>
      </c>
      <c r="AE388" t="str">
        <f>"SH23000870"</f>
        <v>SH23000870</v>
      </c>
      <c r="AF388" t="str">
        <f>"משלוחים ללקוח"</f>
        <v>משלוחים ללקוח</v>
      </c>
      <c r="AG388" s="1">
        <v>45118</v>
      </c>
      <c r="AM388" t="str">
        <f>"10"</f>
        <v>10</v>
      </c>
      <c r="AN388" t="str">
        <f>"500000"</f>
        <v>500000</v>
      </c>
      <c r="AO388" t="str">
        <f>"הכנסות  מלקוחות"</f>
        <v>הכנסות  מלקוחות</v>
      </c>
      <c r="AQ388" t="str">
        <f>"007"</f>
        <v>007</v>
      </c>
      <c r="AR388">
        <v>0</v>
      </c>
      <c r="AS388">
        <v>0</v>
      </c>
      <c r="AT388">
        <v>3.609</v>
      </c>
      <c r="AX388" t="str">
        <f>"E000381994"</f>
        <v>E000381994</v>
      </c>
      <c r="BD388" t="str">
        <f>"רוני דידי"</f>
        <v>רוני דידי</v>
      </c>
    </row>
    <row r="389" spans="1:56" x14ac:dyDescent="0.3">
      <c r="A389" s="1">
        <v>45123</v>
      </c>
      <c r="B389" t="str">
        <f>"SI236000998"</f>
        <v>SI236000998</v>
      </c>
      <c r="C389" t="str">
        <f>"PR23000071"</f>
        <v>PR23000071</v>
      </c>
      <c r="E389" t="str">
        <f>"Y"</f>
        <v>Y</v>
      </c>
      <c r="F389" t="str">
        <f>"חשבוניות מרכזות"</f>
        <v>חשבוניות מרכזות</v>
      </c>
      <c r="G389" t="str">
        <f>"700065"</f>
        <v>700065</v>
      </c>
      <c r="H389" t="str">
        <f>"אלתא מערכות בע""מ"</f>
        <v>אלתא מערכות בע"מ</v>
      </c>
      <c r="I389" t="str">
        <f>"10"</f>
        <v>10</v>
      </c>
      <c r="J389" t="str">
        <f>"OP-ML00226"</f>
        <v>OP-ML00226</v>
      </c>
      <c r="K389" t="str">
        <f>"POWER SUPPLY AC/DC 21-29V/220ADC RUGGED"</f>
        <v>POWER SUPPLY AC/DC 21-29V/220ADC RUGGED</v>
      </c>
      <c r="L389">
        <v>1</v>
      </c>
      <c r="M389" t="str">
        <f>"יח"</f>
        <v>יח</v>
      </c>
      <c r="N389">
        <v>1</v>
      </c>
      <c r="O389" t="str">
        <f>"יח"</f>
        <v>יח</v>
      </c>
      <c r="P389" s="2">
        <v>11323.9</v>
      </c>
      <c r="Q389" t="str">
        <f>"$"</f>
        <v>$</v>
      </c>
      <c r="R389" t="str">
        <f>"הזמנה"</f>
        <v>הזמנה</v>
      </c>
      <c r="S389">
        <v>0</v>
      </c>
      <c r="T389" s="2">
        <v>11323.9</v>
      </c>
      <c r="U389">
        <v>0</v>
      </c>
      <c r="V389" s="2">
        <v>11323.9</v>
      </c>
      <c r="W389" t="str">
        <f>"$"</f>
        <v>$</v>
      </c>
      <c r="X389">
        <v>0</v>
      </c>
      <c r="Y389">
        <v>0</v>
      </c>
      <c r="Z389">
        <v>0</v>
      </c>
      <c r="AA389" t="str">
        <f>"Y"</f>
        <v>Y</v>
      </c>
      <c r="AB389" t="str">
        <f>"SO23000042"</f>
        <v>SO23000042</v>
      </c>
      <c r="AC389">
        <v>2</v>
      </c>
      <c r="AD389" s="1">
        <v>44942</v>
      </c>
      <c r="AE389" t="str">
        <f>"SH23000870"</f>
        <v>SH23000870</v>
      </c>
      <c r="AF389" t="str">
        <f>"משלוחים ללקוח"</f>
        <v>משלוחים ללקוח</v>
      </c>
      <c r="AG389" s="1">
        <v>45118</v>
      </c>
      <c r="AM389" t="str">
        <f>"10"</f>
        <v>10</v>
      </c>
      <c r="AN389" t="str">
        <f>"500000"</f>
        <v>500000</v>
      </c>
      <c r="AO389" t="str">
        <f>"הכנסות  מלקוחות"</f>
        <v>הכנסות  מלקוחות</v>
      </c>
      <c r="AQ389" t="str">
        <f>"007"</f>
        <v>007</v>
      </c>
      <c r="AR389">
        <v>0</v>
      </c>
      <c r="AS389">
        <v>0</v>
      </c>
      <c r="AT389">
        <v>3.609</v>
      </c>
      <c r="AX389" t="str">
        <f>"E000381994"</f>
        <v>E000381994</v>
      </c>
      <c r="BD389" t="str">
        <f>"רוני דידי"</f>
        <v>רוני דידי</v>
      </c>
    </row>
    <row r="390" spans="1:56" x14ac:dyDescent="0.3">
      <c r="A390" s="1">
        <v>45120</v>
      </c>
      <c r="B390" t="str">
        <f>"SI236000953"</f>
        <v>SI236000953</v>
      </c>
      <c r="C390" t="str">
        <f>"PR22000727"</f>
        <v>PR22000727</v>
      </c>
      <c r="E390" t="str">
        <f>"Y"</f>
        <v>Y</v>
      </c>
      <c r="F390" t="str">
        <f>"חשבוניות מרכזות"</f>
        <v>חשבוניות מרכזות</v>
      </c>
      <c r="G390" t="str">
        <f>"700065"</f>
        <v>700065</v>
      </c>
      <c r="H390" t="str">
        <f>"אלתא מערכות בע""מ"</f>
        <v>אלתא מערכות בע"מ</v>
      </c>
      <c r="I390" t="str">
        <f>"10"</f>
        <v>10</v>
      </c>
      <c r="J390" t="str">
        <f>"PS9900081"</f>
        <v>PS9900081</v>
      </c>
      <c r="K390" t="str">
        <f>"מטען מצברים 1039V517-001 ירוק"</f>
        <v>מטען מצברים 1039V517-001 ירוק</v>
      </c>
      <c r="L390">
        <v>2</v>
      </c>
      <c r="M390" t="str">
        <f>"יח"</f>
        <v>יח</v>
      </c>
      <c r="N390">
        <v>2</v>
      </c>
      <c r="O390" t="str">
        <f>"יח"</f>
        <v>יח</v>
      </c>
      <c r="P390" s="2">
        <v>7200</v>
      </c>
      <c r="Q390" t="str">
        <f>"$"</f>
        <v>$</v>
      </c>
      <c r="R390" t="str">
        <f>"הזמנה"</f>
        <v>הזמנה</v>
      </c>
      <c r="S390">
        <v>0</v>
      </c>
      <c r="T390" s="2">
        <v>14400</v>
      </c>
      <c r="U390">
        <v>0</v>
      </c>
      <c r="V390" s="2">
        <v>14400</v>
      </c>
      <c r="W390" t="str">
        <f>"$"</f>
        <v>$</v>
      </c>
      <c r="X390">
        <v>0</v>
      </c>
      <c r="Y390">
        <v>0</v>
      </c>
      <c r="Z390">
        <v>0</v>
      </c>
      <c r="AA390" t="str">
        <f>"Y"</f>
        <v>Y</v>
      </c>
      <c r="AB390" t="str">
        <f>"SO22000456"</f>
        <v>SO22000456</v>
      </c>
      <c r="AC390">
        <v>5</v>
      </c>
      <c r="AD390" s="1">
        <v>44906</v>
      </c>
      <c r="AE390" t="str">
        <f>"SH23000741"</f>
        <v>SH23000741</v>
      </c>
      <c r="AF390" t="str">
        <f>"משלוחים ללקוח"</f>
        <v>משלוחים ללקוח</v>
      </c>
      <c r="AG390" s="1">
        <v>45092</v>
      </c>
      <c r="AM390" t="str">
        <f>"10"</f>
        <v>10</v>
      </c>
      <c r="AN390" t="str">
        <f>"500000"</f>
        <v>500000</v>
      </c>
      <c r="AO390" t="str">
        <f>"הכנסות  מלקוחות"</f>
        <v>הכנסות  מלקוחות</v>
      </c>
      <c r="AQ390" t="str">
        <f>"040"</f>
        <v>040</v>
      </c>
      <c r="AR390">
        <v>0</v>
      </c>
      <c r="AS390">
        <v>0</v>
      </c>
      <c r="AT390">
        <v>3.6179999999999999</v>
      </c>
      <c r="AX390" t="str">
        <f>"E000374279"</f>
        <v>E000374279</v>
      </c>
      <c r="BD390" t="str">
        <f>"רחמים זרוק"</f>
        <v>רחמים זרוק</v>
      </c>
    </row>
    <row r="391" spans="1:56" x14ac:dyDescent="0.3">
      <c r="A391" s="1">
        <v>45120</v>
      </c>
      <c r="B391" t="str">
        <f>"SI236000953"</f>
        <v>SI236000953</v>
      </c>
      <c r="C391" t="str">
        <f>"PR22000727"</f>
        <v>PR22000727</v>
      </c>
      <c r="E391" t="str">
        <f>"Y"</f>
        <v>Y</v>
      </c>
      <c r="F391" t="str">
        <f>"חשבוניות מרכזות"</f>
        <v>חשבוניות מרכזות</v>
      </c>
      <c r="G391" t="str">
        <f>"700065"</f>
        <v>700065</v>
      </c>
      <c r="H391" t="str">
        <f>"אלתא מערכות בע""מ"</f>
        <v>אלתא מערכות בע"מ</v>
      </c>
      <c r="I391" t="str">
        <f>"10"</f>
        <v>10</v>
      </c>
      <c r="J391" t="str">
        <f>"PS9900081"</f>
        <v>PS9900081</v>
      </c>
      <c r="K391" t="str">
        <f>"מטען מצברים 1039V517-001 ירוק"</f>
        <v>מטען מצברים 1039V517-001 ירוק</v>
      </c>
      <c r="L391">
        <v>1</v>
      </c>
      <c r="M391" t="str">
        <f>"יח"</f>
        <v>יח</v>
      </c>
      <c r="N391">
        <v>1</v>
      </c>
      <c r="O391" t="str">
        <f>"יח"</f>
        <v>יח</v>
      </c>
      <c r="P391" s="2">
        <v>7200</v>
      </c>
      <c r="Q391" t="str">
        <f>"$"</f>
        <v>$</v>
      </c>
      <c r="R391" t="str">
        <f>"הזמנה"</f>
        <v>הזמנה</v>
      </c>
      <c r="S391">
        <v>0</v>
      </c>
      <c r="T391" s="2">
        <v>7200</v>
      </c>
      <c r="U391">
        <v>0</v>
      </c>
      <c r="V391" s="2">
        <v>7200</v>
      </c>
      <c r="W391" t="str">
        <f>"$"</f>
        <v>$</v>
      </c>
      <c r="X391">
        <v>0</v>
      </c>
      <c r="Y391">
        <v>0</v>
      </c>
      <c r="Z391">
        <v>0</v>
      </c>
      <c r="AA391" t="str">
        <f>"Y"</f>
        <v>Y</v>
      </c>
      <c r="AB391" t="str">
        <f>"SO22000456"</f>
        <v>SO22000456</v>
      </c>
      <c r="AC391">
        <v>6</v>
      </c>
      <c r="AD391" s="1">
        <v>44906</v>
      </c>
      <c r="AE391" t="str">
        <f>"SH23000741"</f>
        <v>SH23000741</v>
      </c>
      <c r="AF391" t="str">
        <f>"משלוחים ללקוח"</f>
        <v>משלוחים ללקוח</v>
      </c>
      <c r="AG391" s="1">
        <v>45092</v>
      </c>
      <c r="AM391" t="str">
        <f>"10"</f>
        <v>10</v>
      </c>
      <c r="AN391" t="str">
        <f>"500000"</f>
        <v>500000</v>
      </c>
      <c r="AO391" t="str">
        <f>"הכנסות  מלקוחות"</f>
        <v>הכנסות  מלקוחות</v>
      </c>
      <c r="AQ391" t="str">
        <f>"040"</f>
        <v>040</v>
      </c>
      <c r="AR391">
        <v>0</v>
      </c>
      <c r="AS391">
        <v>0</v>
      </c>
      <c r="AT391">
        <v>3.6179999999999999</v>
      </c>
      <c r="AX391" t="str">
        <f>"E000374279"</f>
        <v>E000374279</v>
      </c>
      <c r="BD391" t="str">
        <f>"רחמים זרוק"</f>
        <v>רחמים זרוק</v>
      </c>
    </row>
    <row r="392" spans="1:56" x14ac:dyDescent="0.3">
      <c r="A392" s="1">
        <v>45120</v>
      </c>
      <c r="B392" t="str">
        <f>"SI236000952"</f>
        <v>SI236000952</v>
      </c>
      <c r="C392" t="str">
        <f>"PR22000902"</f>
        <v>PR22000902</v>
      </c>
      <c r="E392" t="str">
        <f>"Y"</f>
        <v>Y</v>
      </c>
      <c r="F392" t="str">
        <f>"חשבוניות מרכזות"</f>
        <v>חשבוניות מרכזות</v>
      </c>
      <c r="G392" t="str">
        <f>"700065"</f>
        <v>700065</v>
      </c>
      <c r="H392" t="str">
        <f>"אלתא מערכות בע""מ"</f>
        <v>אלתא מערכות בע"מ</v>
      </c>
      <c r="I392" t="str">
        <f>"10"</f>
        <v>10</v>
      </c>
      <c r="J392" t="str">
        <f>"OP-KT00108"</f>
        <v>OP-KT00108</v>
      </c>
      <c r="K392" t="str">
        <f>"VOLTAGE RECTIFIER UNIT מק""ט 1039H790-001"</f>
        <v>VOLTAGE RECTIFIER UNIT מק"ט 1039H790-001</v>
      </c>
      <c r="L392">
        <v>1</v>
      </c>
      <c r="M392" t="str">
        <f>"יח"</f>
        <v>יח</v>
      </c>
      <c r="N392">
        <v>1</v>
      </c>
      <c r="O392" t="str">
        <f>"יח"</f>
        <v>יח</v>
      </c>
      <c r="P392" s="2">
        <v>7125</v>
      </c>
      <c r="Q392" t="str">
        <f>"$"</f>
        <v>$</v>
      </c>
      <c r="R392" t="str">
        <f>"הזמנה"</f>
        <v>הזמנה</v>
      </c>
      <c r="S392">
        <v>0</v>
      </c>
      <c r="T392" s="2">
        <v>7125</v>
      </c>
      <c r="U392">
        <v>0</v>
      </c>
      <c r="V392" s="2">
        <v>7125</v>
      </c>
      <c r="W392" t="str">
        <f>"$"</f>
        <v>$</v>
      </c>
      <c r="X392">
        <v>0</v>
      </c>
      <c r="Y392">
        <v>0</v>
      </c>
      <c r="Z392">
        <v>0</v>
      </c>
      <c r="AA392" t="str">
        <f>"Y"</f>
        <v>Y</v>
      </c>
      <c r="AB392" t="str">
        <f>"SO22000484"</f>
        <v>SO22000484</v>
      </c>
      <c r="AC392">
        <v>2</v>
      </c>
      <c r="AD392" s="1">
        <v>44921</v>
      </c>
      <c r="AE392" t="str">
        <f>"SH23000867"</f>
        <v>SH23000867</v>
      </c>
      <c r="AF392" t="str">
        <f>"משלוחים ללקוח"</f>
        <v>משלוחים ללקוח</v>
      </c>
      <c r="AG392" s="1">
        <v>45117</v>
      </c>
      <c r="AM392" t="str">
        <f>"10"</f>
        <v>10</v>
      </c>
      <c r="AN392" t="str">
        <f>"500000"</f>
        <v>500000</v>
      </c>
      <c r="AO392" t="str">
        <f>"הכנסות  מלקוחות"</f>
        <v>הכנסות  מלקוחות</v>
      </c>
      <c r="AQ392" t="str">
        <f>"007"</f>
        <v>007</v>
      </c>
      <c r="AR392">
        <v>0</v>
      </c>
      <c r="AS392">
        <v>0</v>
      </c>
      <c r="AT392">
        <v>3.6179999999999999</v>
      </c>
      <c r="AX392" t="str">
        <f>"E000381412"</f>
        <v>E000381412</v>
      </c>
      <c r="BD392" t="str">
        <f>"רוני דידי"</f>
        <v>רוני דידי</v>
      </c>
    </row>
    <row r="393" spans="1:56" x14ac:dyDescent="0.3">
      <c r="A393" s="1">
        <v>45120</v>
      </c>
      <c r="B393" t="str">
        <f>"SI236000951"</f>
        <v>SI236000951</v>
      </c>
      <c r="C393" t="str">
        <f>"PR23000324"</f>
        <v>PR23000324</v>
      </c>
      <c r="E393" t="str">
        <f>"Y"</f>
        <v>Y</v>
      </c>
      <c r="F393" t="str">
        <f>"חשבוניות מרכזות"</f>
        <v>חשבוניות מרכזות</v>
      </c>
      <c r="G393" t="str">
        <f>"700065"</f>
        <v>700065</v>
      </c>
      <c r="H393" t="str">
        <f>"אלתא מערכות בע""מ"</f>
        <v>אלתא מערכות בע"מ</v>
      </c>
      <c r="I393" t="str">
        <f>"10"</f>
        <v>10</v>
      </c>
      <c r="J393" t="str">
        <f>"PD9900453"</f>
        <v>PD9900453</v>
      </c>
      <c r="K393" t="str">
        <f>"משגוח בידוד ABB CM-IWS.1S"</f>
        <v>משגוח בידוד ABB CM-IWS.1S</v>
      </c>
      <c r="L393">
        <v>1</v>
      </c>
      <c r="M393" t="str">
        <f>"יח"</f>
        <v>יח</v>
      </c>
      <c r="N393">
        <v>1</v>
      </c>
      <c r="O393" t="str">
        <f>"יח"</f>
        <v>יח</v>
      </c>
      <c r="P393">
        <v>610</v>
      </c>
      <c r="Q393" t="str">
        <f>"$"</f>
        <v>$</v>
      </c>
      <c r="R393" t="str">
        <f>"הזמנה"</f>
        <v>הזמנה</v>
      </c>
      <c r="S393">
        <v>0</v>
      </c>
      <c r="T393">
        <v>610</v>
      </c>
      <c r="U393">
        <v>0</v>
      </c>
      <c r="V393">
        <v>610</v>
      </c>
      <c r="W393" t="str">
        <f>"$"</f>
        <v>$</v>
      </c>
      <c r="X393">
        <v>0</v>
      </c>
      <c r="Y393">
        <v>0</v>
      </c>
      <c r="Z393">
        <v>0</v>
      </c>
      <c r="AA393" t="str">
        <f>"Y"</f>
        <v>Y</v>
      </c>
      <c r="AB393" t="str">
        <f>"SO22000463"</f>
        <v>SO22000463</v>
      </c>
      <c r="AC393">
        <v>6</v>
      </c>
      <c r="AD393" s="1">
        <v>44913</v>
      </c>
      <c r="AE393" t="str">
        <f>"SH23000858"</f>
        <v>SH23000858</v>
      </c>
      <c r="AF393" t="str">
        <f>"משלוחים ללקוח"</f>
        <v>משלוחים ללקוח</v>
      </c>
      <c r="AG393" s="1">
        <v>45112</v>
      </c>
      <c r="AM393" t="str">
        <f>"10"</f>
        <v>10</v>
      </c>
      <c r="AN393" t="str">
        <f>"500000"</f>
        <v>500000</v>
      </c>
      <c r="AO393" t="str">
        <f>"הכנסות  מלקוחות"</f>
        <v>הכנסות  מלקוחות</v>
      </c>
      <c r="AQ393" t="str">
        <f>"040"</f>
        <v>040</v>
      </c>
      <c r="AR393">
        <v>0</v>
      </c>
      <c r="AS393">
        <v>0</v>
      </c>
      <c r="AT393">
        <v>3.6179999999999999</v>
      </c>
      <c r="AX393" t="str">
        <f>"E000381458"</f>
        <v>E000381458</v>
      </c>
      <c r="BD393" t="str">
        <f>"רחמים זרוק"</f>
        <v>רחמים זרוק</v>
      </c>
    </row>
    <row r="394" spans="1:56" x14ac:dyDescent="0.3">
      <c r="A394" s="1">
        <v>45120</v>
      </c>
      <c r="B394" t="str">
        <f>"SI236000951"</f>
        <v>SI236000951</v>
      </c>
      <c r="C394" t="str">
        <f>"PR23000324"</f>
        <v>PR23000324</v>
      </c>
      <c r="E394" t="str">
        <f>"Y"</f>
        <v>Y</v>
      </c>
      <c r="F394" t="str">
        <f>"חשבוניות מרכזות"</f>
        <v>חשבוניות מרכזות</v>
      </c>
      <c r="G394" t="str">
        <f>"700065"</f>
        <v>700065</v>
      </c>
      <c r="H394" t="str">
        <f>"אלתא מערכות בע""מ"</f>
        <v>אלתא מערכות בע"מ</v>
      </c>
      <c r="I394" t="str">
        <f>"10"</f>
        <v>10</v>
      </c>
      <c r="J394" t="str">
        <f>"PD9900453"</f>
        <v>PD9900453</v>
      </c>
      <c r="K394" t="str">
        <f>"משגוח בידוד ABB CM-IWS.1S"</f>
        <v>משגוח בידוד ABB CM-IWS.1S</v>
      </c>
      <c r="L394">
        <v>1</v>
      </c>
      <c r="M394" t="str">
        <f>"יח"</f>
        <v>יח</v>
      </c>
      <c r="N394">
        <v>1</v>
      </c>
      <c r="O394" t="str">
        <f>"יח"</f>
        <v>יח</v>
      </c>
      <c r="P394">
        <v>610</v>
      </c>
      <c r="Q394" t="str">
        <f>"$"</f>
        <v>$</v>
      </c>
      <c r="R394" t="str">
        <f>"הזמנה"</f>
        <v>הזמנה</v>
      </c>
      <c r="S394">
        <v>0</v>
      </c>
      <c r="T394">
        <v>610</v>
      </c>
      <c r="U394">
        <v>0</v>
      </c>
      <c r="V394">
        <v>610</v>
      </c>
      <c r="W394" t="str">
        <f>"$"</f>
        <v>$</v>
      </c>
      <c r="X394">
        <v>0</v>
      </c>
      <c r="Y394">
        <v>0</v>
      </c>
      <c r="Z394">
        <v>0</v>
      </c>
      <c r="AA394" t="str">
        <f>"Y"</f>
        <v>Y</v>
      </c>
      <c r="AB394" t="str">
        <f>"SO22000463"</f>
        <v>SO22000463</v>
      </c>
      <c r="AC394">
        <v>7</v>
      </c>
      <c r="AD394" s="1">
        <v>44913</v>
      </c>
      <c r="AE394" t="str">
        <f>"SH23000858"</f>
        <v>SH23000858</v>
      </c>
      <c r="AF394" t="str">
        <f>"משלוחים ללקוח"</f>
        <v>משלוחים ללקוח</v>
      </c>
      <c r="AG394" s="1">
        <v>45112</v>
      </c>
      <c r="AM394" t="str">
        <f>"10"</f>
        <v>10</v>
      </c>
      <c r="AN394" t="str">
        <f>"500000"</f>
        <v>500000</v>
      </c>
      <c r="AO394" t="str">
        <f>"הכנסות  מלקוחות"</f>
        <v>הכנסות  מלקוחות</v>
      </c>
      <c r="AQ394" t="str">
        <f>"040"</f>
        <v>040</v>
      </c>
      <c r="AR394">
        <v>0</v>
      </c>
      <c r="AS394">
        <v>0</v>
      </c>
      <c r="AT394">
        <v>3.6179999999999999</v>
      </c>
      <c r="AX394" t="str">
        <f>"E000381458"</f>
        <v>E000381458</v>
      </c>
      <c r="BD394" t="str">
        <f>"רחמים זרוק"</f>
        <v>רחמים זרוק</v>
      </c>
    </row>
    <row r="395" spans="1:56" x14ac:dyDescent="0.3">
      <c r="A395" s="1">
        <v>45120</v>
      </c>
      <c r="B395" t="str">
        <f>"SI236000951"</f>
        <v>SI236000951</v>
      </c>
      <c r="C395" t="str">
        <f>"PR23000324"</f>
        <v>PR23000324</v>
      </c>
      <c r="E395" t="str">
        <f>"Y"</f>
        <v>Y</v>
      </c>
      <c r="F395" t="str">
        <f>"חשבוניות מרכזות"</f>
        <v>חשבוניות מרכזות</v>
      </c>
      <c r="G395" t="str">
        <f>"700065"</f>
        <v>700065</v>
      </c>
      <c r="H395" t="str">
        <f>"אלתא מערכות בע""מ"</f>
        <v>אלתא מערכות בע"מ</v>
      </c>
      <c r="I395" t="str">
        <f>"10"</f>
        <v>10</v>
      </c>
      <c r="J395" t="str">
        <f>"PD9900453"</f>
        <v>PD9900453</v>
      </c>
      <c r="K395" t="str">
        <f>"משגוח בידוד ABB CM-IWS.1S"</f>
        <v>משגוח בידוד ABB CM-IWS.1S</v>
      </c>
      <c r="L395">
        <v>1</v>
      </c>
      <c r="M395" t="str">
        <f>"יח"</f>
        <v>יח</v>
      </c>
      <c r="N395">
        <v>1</v>
      </c>
      <c r="O395" t="str">
        <f>"יח"</f>
        <v>יח</v>
      </c>
      <c r="P395">
        <v>610</v>
      </c>
      <c r="Q395" t="str">
        <f>"$"</f>
        <v>$</v>
      </c>
      <c r="R395" t="str">
        <f>"הזמנה"</f>
        <v>הזמנה</v>
      </c>
      <c r="S395">
        <v>0</v>
      </c>
      <c r="T395">
        <v>610</v>
      </c>
      <c r="U395">
        <v>0</v>
      </c>
      <c r="V395">
        <v>610</v>
      </c>
      <c r="W395" t="str">
        <f>"$"</f>
        <v>$</v>
      </c>
      <c r="X395">
        <v>0</v>
      </c>
      <c r="Y395">
        <v>0</v>
      </c>
      <c r="Z395">
        <v>0</v>
      </c>
      <c r="AA395" t="str">
        <f>"Y"</f>
        <v>Y</v>
      </c>
      <c r="AB395" t="str">
        <f>"SO22000463"</f>
        <v>SO22000463</v>
      </c>
      <c r="AC395">
        <v>8</v>
      </c>
      <c r="AD395" s="1">
        <v>44913</v>
      </c>
      <c r="AE395" t="str">
        <f>"SH23000858"</f>
        <v>SH23000858</v>
      </c>
      <c r="AF395" t="str">
        <f>"משלוחים ללקוח"</f>
        <v>משלוחים ללקוח</v>
      </c>
      <c r="AG395" s="1">
        <v>45112</v>
      </c>
      <c r="AM395" t="str">
        <f>"10"</f>
        <v>10</v>
      </c>
      <c r="AN395" t="str">
        <f>"500000"</f>
        <v>500000</v>
      </c>
      <c r="AO395" t="str">
        <f>"הכנסות  מלקוחות"</f>
        <v>הכנסות  מלקוחות</v>
      </c>
      <c r="AQ395" t="str">
        <f>"040"</f>
        <v>040</v>
      </c>
      <c r="AR395">
        <v>0</v>
      </c>
      <c r="AS395">
        <v>0</v>
      </c>
      <c r="AT395">
        <v>3.6179999999999999</v>
      </c>
      <c r="AX395" t="str">
        <f>"E000381458"</f>
        <v>E000381458</v>
      </c>
      <c r="BD395" t="str">
        <f>"רחמים זרוק"</f>
        <v>רחמים זרוק</v>
      </c>
    </row>
    <row r="396" spans="1:56" x14ac:dyDescent="0.3">
      <c r="A396" s="1">
        <v>45120</v>
      </c>
      <c r="B396" t="str">
        <f>"SI236000950"</f>
        <v>SI236000950</v>
      </c>
      <c r="C396" t="str">
        <f>"PR22000574"</f>
        <v>PR22000574</v>
      </c>
      <c r="D396" t="str">
        <f>"PR22000574"</f>
        <v>PR22000574</v>
      </c>
      <c r="E396" t="str">
        <f>"Y"</f>
        <v>Y</v>
      </c>
      <c r="F396" t="str">
        <f>"חשבוניות מרכזות"</f>
        <v>חשבוניות מרכזות</v>
      </c>
      <c r="G396" t="str">
        <f>"700065"</f>
        <v>700065</v>
      </c>
      <c r="H396" t="str">
        <f>"אלתא מערכות בע""מ"</f>
        <v>אלתא מערכות בע"מ</v>
      </c>
      <c r="I396" t="str">
        <f>"10"</f>
        <v>10</v>
      </c>
      <c r="J396" t="str">
        <f>"PD0300476"</f>
        <v>PD0300476</v>
      </c>
      <c r="K396" t="str">
        <f>"תושבת למודולי בקרה שניידר BMXXBP0800H"</f>
        <v>תושבת למודולי בקרה שניידר BMXXBP0800H</v>
      </c>
      <c r="L396">
        <v>1</v>
      </c>
      <c r="M396" t="str">
        <f>"יח"</f>
        <v>יח</v>
      </c>
      <c r="N396">
        <v>1</v>
      </c>
      <c r="O396" t="str">
        <f>"יח"</f>
        <v>יח</v>
      </c>
      <c r="P396">
        <v>295</v>
      </c>
      <c r="Q396" t="str">
        <f>"$"</f>
        <v>$</v>
      </c>
      <c r="R396" t="str">
        <f>"הזמנה"</f>
        <v>הזמנה</v>
      </c>
      <c r="S396">
        <v>0</v>
      </c>
      <c r="T396">
        <v>295</v>
      </c>
      <c r="U396">
        <v>0</v>
      </c>
      <c r="V396">
        <v>295</v>
      </c>
      <c r="W396" t="str">
        <f>"$"</f>
        <v>$</v>
      </c>
      <c r="X396">
        <v>0</v>
      </c>
      <c r="Y396">
        <v>0</v>
      </c>
      <c r="Z396">
        <v>0</v>
      </c>
      <c r="AA396" t="str">
        <f>"Y"</f>
        <v>Y</v>
      </c>
      <c r="AB396" t="str">
        <f>"SO22000338"</f>
        <v>SO22000338</v>
      </c>
      <c r="AC396">
        <v>1</v>
      </c>
      <c r="AD396" s="1">
        <v>44791</v>
      </c>
      <c r="AE396" t="str">
        <f>"SH23000835"</f>
        <v>SH23000835</v>
      </c>
      <c r="AF396" t="str">
        <f>"משלוחים ללקוח"</f>
        <v>משלוחים ללקוח</v>
      </c>
      <c r="AG396" s="1">
        <v>45109</v>
      </c>
      <c r="AM396" t="str">
        <f>"10"</f>
        <v>10</v>
      </c>
      <c r="AN396" t="str">
        <f>"500000"</f>
        <v>500000</v>
      </c>
      <c r="AO396" t="str">
        <f>"הכנסות  מלקוחות"</f>
        <v>הכנסות  מלקוחות</v>
      </c>
      <c r="AQ396" t="str">
        <f>"007"</f>
        <v>007</v>
      </c>
      <c r="AR396">
        <v>0</v>
      </c>
      <c r="AS396">
        <v>0</v>
      </c>
      <c r="AT396">
        <v>3.6179999999999999</v>
      </c>
      <c r="AX396" t="str">
        <f>"E000369077"</f>
        <v>E000369077</v>
      </c>
      <c r="BD396" t="str">
        <f>"רוני דידי"</f>
        <v>רוני דידי</v>
      </c>
    </row>
    <row r="397" spans="1:56" x14ac:dyDescent="0.3">
      <c r="A397" s="1">
        <v>45120</v>
      </c>
      <c r="B397" t="str">
        <f>"SI236000950"</f>
        <v>SI236000950</v>
      </c>
      <c r="C397" t="str">
        <f>"PR22000574"</f>
        <v>PR22000574</v>
      </c>
      <c r="D397" t="str">
        <f>"PR22000574"</f>
        <v>PR22000574</v>
      </c>
      <c r="E397" t="str">
        <f>"Y"</f>
        <v>Y</v>
      </c>
      <c r="F397" t="str">
        <f>"חשבוניות מרכזות"</f>
        <v>חשבוניות מרכזות</v>
      </c>
      <c r="G397" t="str">
        <f>"700065"</f>
        <v>700065</v>
      </c>
      <c r="H397" t="str">
        <f>"אלתא מערכות בע""מ"</f>
        <v>אלתא מערכות בע"מ</v>
      </c>
      <c r="I397" t="str">
        <f>"10"</f>
        <v>10</v>
      </c>
      <c r="J397" t="str">
        <f>"PD0300481"</f>
        <v>PD0300481</v>
      </c>
      <c r="K397" t="str">
        <f>"מסך 12 אינץ HMI שניידר HMIGTO6310"</f>
        <v>מסך 12 אינץ HMI שניידר HMIGTO6310</v>
      </c>
      <c r="L397">
        <v>1</v>
      </c>
      <c r="M397" t="str">
        <f>"יח"</f>
        <v>יח</v>
      </c>
      <c r="N397">
        <v>1</v>
      </c>
      <c r="O397" t="str">
        <f>"יח"</f>
        <v>יח</v>
      </c>
      <c r="P397" s="2">
        <v>1985</v>
      </c>
      <c r="Q397" t="str">
        <f>"$"</f>
        <v>$</v>
      </c>
      <c r="R397" t="str">
        <f>"הזמנה"</f>
        <v>הזמנה</v>
      </c>
      <c r="S397">
        <v>0</v>
      </c>
      <c r="T397" s="2">
        <v>1985</v>
      </c>
      <c r="U397">
        <v>0</v>
      </c>
      <c r="V397" s="2">
        <v>1985</v>
      </c>
      <c r="W397" t="str">
        <f>"$"</f>
        <v>$</v>
      </c>
      <c r="X397">
        <v>0</v>
      </c>
      <c r="Y397">
        <v>0</v>
      </c>
      <c r="Z397">
        <v>0</v>
      </c>
      <c r="AA397" t="str">
        <f>"Y"</f>
        <v>Y</v>
      </c>
      <c r="AB397" t="str">
        <f>"SO22000338"</f>
        <v>SO22000338</v>
      </c>
      <c r="AC397">
        <v>13</v>
      </c>
      <c r="AD397" s="1">
        <v>44791</v>
      </c>
      <c r="AE397" t="str">
        <f>"SH23000835"</f>
        <v>SH23000835</v>
      </c>
      <c r="AF397" t="str">
        <f>"משלוחים ללקוח"</f>
        <v>משלוחים ללקוח</v>
      </c>
      <c r="AG397" s="1">
        <v>45109</v>
      </c>
      <c r="AM397" t="str">
        <f>"10"</f>
        <v>10</v>
      </c>
      <c r="AN397" t="str">
        <f>"500000"</f>
        <v>500000</v>
      </c>
      <c r="AO397" t="str">
        <f>"הכנסות  מלקוחות"</f>
        <v>הכנסות  מלקוחות</v>
      </c>
      <c r="AQ397" t="str">
        <f>"007"</f>
        <v>007</v>
      </c>
      <c r="AR397">
        <v>0</v>
      </c>
      <c r="AS397">
        <v>0</v>
      </c>
      <c r="AT397">
        <v>3.6179999999999999</v>
      </c>
      <c r="AX397" t="str">
        <f>"E000369077"</f>
        <v>E000369077</v>
      </c>
      <c r="BD397" t="str">
        <f>"רוני דידי"</f>
        <v>רוני דידי</v>
      </c>
    </row>
    <row r="398" spans="1:56" x14ac:dyDescent="0.3">
      <c r="A398" s="1">
        <v>45117</v>
      </c>
      <c r="B398" t="str">
        <f>"CR237000065"</f>
        <v>CR237000065</v>
      </c>
      <c r="C398" t="str">
        <f>"PR20000699"</f>
        <v>PR20000699</v>
      </c>
      <c r="E398" t="str">
        <f>"Y"</f>
        <v>Y</v>
      </c>
      <c r="F398" t="str">
        <f>"חשבוניות זיכוי"</f>
        <v>חשבוניות זיכוי</v>
      </c>
      <c r="G398" t="str">
        <f>"700065"</f>
        <v>700065</v>
      </c>
      <c r="H398" t="str">
        <f>"אלתא מערכות בע""מ"</f>
        <v>אלתא מערכות בע"מ</v>
      </c>
      <c r="I398" t="str">
        <f>"10"</f>
        <v>10</v>
      </c>
      <c r="J398" t="str">
        <f>"000"</f>
        <v>000</v>
      </c>
      <c r="K398" t="str">
        <f>"זיכוי"</f>
        <v>זיכוי</v>
      </c>
      <c r="L398">
        <v>-1</v>
      </c>
      <c r="M398" t="str">
        <f>"יח"</f>
        <v>יח</v>
      </c>
      <c r="N398">
        <v>-1</v>
      </c>
      <c r="O398" t="str">
        <f>"יח"</f>
        <v>יח</v>
      </c>
      <c r="P398" s="2">
        <v>2884.62</v>
      </c>
      <c r="Q398" t="str">
        <f>"$"</f>
        <v>$</v>
      </c>
      <c r="R398" t="str">
        <f>"ידני"</f>
        <v>ידני</v>
      </c>
      <c r="S398">
        <v>0</v>
      </c>
      <c r="T398" s="2">
        <v>-2884.62</v>
      </c>
      <c r="U398">
        <v>0</v>
      </c>
      <c r="V398" s="2">
        <v>-2884.62</v>
      </c>
      <c r="W398" t="str">
        <f>"$"</f>
        <v>$</v>
      </c>
      <c r="X398">
        <v>0</v>
      </c>
      <c r="Y398">
        <v>0</v>
      </c>
      <c r="Z398">
        <v>0</v>
      </c>
      <c r="AA398" t="str">
        <f>"Y"</f>
        <v>Y</v>
      </c>
      <c r="AC398">
        <v>0</v>
      </c>
      <c r="AM398" t="str">
        <f>"10"</f>
        <v>10</v>
      </c>
      <c r="AN398" t="str">
        <f>"500000"</f>
        <v>500000</v>
      </c>
      <c r="AO398" t="str">
        <f>"הכנסות  מלקוחות"</f>
        <v>הכנסות  מלקוחות</v>
      </c>
      <c r="AQ398" t="str">
        <f>"034"</f>
        <v>034</v>
      </c>
      <c r="AR398">
        <v>0</v>
      </c>
      <c r="AS398">
        <v>0</v>
      </c>
      <c r="AT398">
        <v>3.2250000000000001</v>
      </c>
      <c r="BB398" t="str">
        <f>"Y"</f>
        <v>Y</v>
      </c>
      <c r="BD398" t="str">
        <f>"ערן שלו"</f>
        <v>ערן שלו</v>
      </c>
    </row>
    <row r="399" spans="1:56" x14ac:dyDescent="0.3">
      <c r="A399" s="1">
        <v>45117</v>
      </c>
      <c r="B399" t="str">
        <f>"CR237000064"</f>
        <v>CR237000064</v>
      </c>
      <c r="C399" t="str">
        <f>"PR20000699"</f>
        <v>PR20000699</v>
      </c>
      <c r="E399" t="str">
        <f>"Y"</f>
        <v>Y</v>
      </c>
      <c r="F399" t="str">
        <f>"חשבוניות זיכוי"</f>
        <v>חשבוניות זיכוי</v>
      </c>
      <c r="G399" t="str">
        <f>"700065"</f>
        <v>700065</v>
      </c>
      <c r="H399" t="str">
        <f>"אלתא מערכות בע""מ"</f>
        <v>אלתא מערכות בע"מ</v>
      </c>
      <c r="I399" t="str">
        <f>"10"</f>
        <v>10</v>
      </c>
      <c r="J399" t="str">
        <f>"000"</f>
        <v>000</v>
      </c>
      <c r="K399" t="str">
        <f>"זיכוי"</f>
        <v>זיכוי</v>
      </c>
      <c r="L399">
        <v>1</v>
      </c>
      <c r="M399" t="str">
        <f>"יח"</f>
        <v>יח</v>
      </c>
      <c r="N399">
        <v>1</v>
      </c>
      <c r="O399" t="str">
        <f>"יח"</f>
        <v>יח</v>
      </c>
      <c r="P399" s="2">
        <v>2884.62</v>
      </c>
      <c r="Q399" t="str">
        <f>"$"</f>
        <v>$</v>
      </c>
      <c r="R399" t="str">
        <f>"ידני"</f>
        <v>ידני</v>
      </c>
      <c r="S399">
        <v>0</v>
      </c>
      <c r="T399" s="2">
        <v>2884.62</v>
      </c>
      <c r="U399">
        <v>0</v>
      </c>
      <c r="V399" s="2">
        <v>2884.62</v>
      </c>
      <c r="W399" t="str">
        <f>"$"</f>
        <v>$</v>
      </c>
      <c r="X399">
        <v>0</v>
      </c>
      <c r="Y399">
        <v>0</v>
      </c>
      <c r="Z399">
        <v>0</v>
      </c>
      <c r="AA399" t="str">
        <f>"Y"</f>
        <v>Y</v>
      </c>
      <c r="AC399">
        <v>0</v>
      </c>
      <c r="AM399" t="str">
        <f>"10"</f>
        <v>10</v>
      </c>
      <c r="AN399" t="str">
        <f>"500000"</f>
        <v>500000</v>
      </c>
      <c r="AO399" t="str">
        <f>"הכנסות  מלקוחות"</f>
        <v>הכנסות  מלקוחות</v>
      </c>
      <c r="AQ399" t="str">
        <f>"034"</f>
        <v>034</v>
      </c>
      <c r="AR399">
        <v>0</v>
      </c>
      <c r="AS399">
        <v>0</v>
      </c>
      <c r="AT399">
        <v>3.2250000000000001</v>
      </c>
      <c r="BB399" t="str">
        <f>"Y"</f>
        <v>Y</v>
      </c>
      <c r="BD399" t="str">
        <f>"ערן שלו"</f>
        <v>ערן שלו</v>
      </c>
    </row>
    <row r="400" spans="1:56" x14ac:dyDescent="0.3">
      <c r="A400" s="1">
        <v>45117</v>
      </c>
      <c r="B400" t="str">
        <f>"CR237000061"</f>
        <v>CR237000061</v>
      </c>
      <c r="C400" t="str">
        <f>"PR22000592"</f>
        <v>PR22000592</v>
      </c>
      <c r="E400" t="str">
        <f>"Y"</f>
        <v>Y</v>
      </c>
      <c r="F400" t="str">
        <f>"חשבוניות זיכוי"</f>
        <v>חשבוניות זיכוי</v>
      </c>
      <c r="G400" t="str">
        <f>"700065"</f>
        <v>700065</v>
      </c>
      <c r="H400" t="str">
        <f>"אלתא מערכות בע""מ"</f>
        <v>אלתא מערכות בע"מ</v>
      </c>
      <c r="I400" t="str">
        <f>"10"</f>
        <v>10</v>
      </c>
      <c r="J400" t="str">
        <f>"זיכוי"</f>
        <v>זיכוי</v>
      </c>
      <c r="K400" t="str">
        <f>"זיכוי בגין איחור באספקה"</f>
        <v>זיכוי בגין איחור באספקה</v>
      </c>
      <c r="L400">
        <v>1</v>
      </c>
      <c r="M400" t="str">
        <f>"יח"</f>
        <v>יח</v>
      </c>
      <c r="N400">
        <v>1</v>
      </c>
      <c r="O400" t="str">
        <f>"יח"</f>
        <v>יח</v>
      </c>
      <c r="P400">
        <v>271.04000000000002</v>
      </c>
      <c r="Q400" t="str">
        <f>"$"</f>
        <v>$</v>
      </c>
      <c r="R400" t="str">
        <f>"ידני"</f>
        <v>ידני</v>
      </c>
      <c r="S400">
        <v>0</v>
      </c>
      <c r="T400">
        <v>271.04000000000002</v>
      </c>
      <c r="U400">
        <v>0</v>
      </c>
      <c r="V400">
        <v>271.04000000000002</v>
      </c>
      <c r="W400" t="str">
        <f>"$"</f>
        <v>$</v>
      </c>
      <c r="X400">
        <v>0</v>
      </c>
      <c r="Y400">
        <v>0</v>
      </c>
      <c r="Z400">
        <v>0</v>
      </c>
      <c r="AA400" t="str">
        <f>"Y"</f>
        <v>Y</v>
      </c>
      <c r="AC400">
        <v>0</v>
      </c>
      <c r="AM400" t="str">
        <f>"10"</f>
        <v>10</v>
      </c>
      <c r="AN400" t="str">
        <f>"500000"</f>
        <v>500000</v>
      </c>
      <c r="AO400" t="str">
        <f>"הכנסות  מלקוחות"</f>
        <v>הכנסות  מלקוחות</v>
      </c>
      <c r="AQ400" t="str">
        <f>"034"</f>
        <v>034</v>
      </c>
      <c r="AR400">
        <v>0</v>
      </c>
      <c r="AS400">
        <v>0</v>
      </c>
      <c r="AT400">
        <v>3.7170000000000001</v>
      </c>
      <c r="BD400" t="str">
        <f>"ערן שלו"</f>
        <v>ערן שלו</v>
      </c>
    </row>
    <row r="401" spans="1:56" x14ac:dyDescent="0.3">
      <c r="A401" s="1">
        <v>45111</v>
      </c>
      <c r="B401" t="str">
        <f>"SI236000915"</f>
        <v>SI236000915</v>
      </c>
      <c r="C401" t="str">
        <f>"PR23000199"</f>
        <v>PR23000199</v>
      </c>
      <c r="E401" t="str">
        <f>"Y"</f>
        <v>Y</v>
      </c>
      <c r="F401" t="str">
        <f>"חשבוניות מרכזות"</f>
        <v>חשבוניות מרכזות</v>
      </c>
      <c r="G401" t="str">
        <f>"700065"</f>
        <v>700065</v>
      </c>
      <c r="H401" t="str">
        <f>"אלתא מערכות בע""מ"</f>
        <v>אלתא מערכות בע"מ</v>
      </c>
      <c r="I401" t="str">
        <f>"10"</f>
        <v>10</v>
      </c>
      <c r="J401" t="str">
        <f>"OP-AR01234"</f>
        <v>OP-AR01234</v>
      </c>
      <c r="K401" t="str">
        <f>"PDU 4 CHANNELS"</f>
        <v>PDU 4 CHANNELS</v>
      </c>
      <c r="L401">
        <v>1</v>
      </c>
      <c r="M401" t="str">
        <f>"יח"</f>
        <v>יח</v>
      </c>
      <c r="N401">
        <v>1</v>
      </c>
      <c r="O401" t="str">
        <f>"יח"</f>
        <v>יח</v>
      </c>
      <c r="P401" s="2">
        <v>5950</v>
      </c>
      <c r="Q401" t="str">
        <f>"$"</f>
        <v>$</v>
      </c>
      <c r="R401" t="str">
        <f>"הזמנה"</f>
        <v>הזמנה</v>
      </c>
      <c r="S401">
        <v>0</v>
      </c>
      <c r="T401" s="2">
        <v>5950</v>
      </c>
      <c r="U401">
        <v>0</v>
      </c>
      <c r="V401" s="2">
        <v>5950</v>
      </c>
      <c r="W401" t="str">
        <f>"$"</f>
        <v>$</v>
      </c>
      <c r="X401">
        <v>0</v>
      </c>
      <c r="Y401">
        <v>0</v>
      </c>
      <c r="Z401">
        <v>0</v>
      </c>
      <c r="AA401" t="str">
        <f>"Y"</f>
        <v>Y</v>
      </c>
      <c r="AB401" t="str">
        <f>"SO23000129"</f>
        <v>SO23000129</v>
      </c>
      <c r="AC401">
        <v>1</v>
      </c>
      <c r="AD401" s="1">
        <v>44990</v>
      </c>
      <c r="AE401" t="str">
        <f>"SH23000804"</f>
        <v>SH23000804</v>
      </c>
      <c r="AF401" t="str">
        <f>"משלוחים ללקוח"</f>
        <v>משלוחים ללקוח</v>
      </c>
      <c r="AG401" s="1">
        <v>45103</v>
      </c>
      <c r="AM401" t="str">
        <f>"10"</f>
        <v>10</v>
      </c>
      <c r="AN401" t="str">
        <f>"500000"</f>
        <v>500000</v>
      </c>
      <c r="AO401" t="str">
        <f>"הכנסות  מלקוחות"</f>
        <v>הכנסות  מלקוחות</v>
      </c>
      <c r="AQ401" t="str">
        <f>"007"</f>
        <v>007</v>
      </c>
      <c r="AR401">
        <v>0</v>
      </c>
      <c r="AS401">
        <v>0</v>
      </c>
      <c r="AT401">
        <v>3.706</v>
      </c>
      <c r="AX401" t="str">
        <f>"E000387745"</f>
        <v>E000387745</v>
      </c>
      <c r="BD401" t="str">
        <f>"רוני דידי"</f>
        <v>רוני דידי</v>
      </c>
    </row>
    <row r="402" spans="1:56" x14ac:dyDescent="0.3">
      <c r="A402" s="1">
        <v>45108</v>
      </c>
      <c r="B402" t="str">
        <f>"SI236001034"</f>
        <v>SI236001034</v>
      </c>
      <c r="C402" t="str">
        <f>"PR23000103"</f>
        <v>PR23000103</v>
      </c>
      <c r="E402" t="str">
        <f>"Y"</f>
        <v>Y</v>
      </c>
      <c r="F402" t="str">
        <f>"חשבוניות מרכזות"</f>
        <v>חשבוניות מרכזות</v>
      </c>
      <c r="G402" t="str">
        <f>"700065"</f>
        <v>700065</v>
      </c>
      <c r="H402" t="str">
        <f>"אלתא מערכות בע""מ"</f>
        <v>אלתא מערכות בע"מ</v>
      </c>
      <c r="I402" t="str">
        <f>"10"</f>
        <v>10</v>
      </c>
      <c r="J402" t="str">
        <f>"OP-AR01088"</f>
        <v>OP-AR01088</v>
      </c>
      <c r="K402" t="str">
        <f>"1038H185-001 SRASR POWER DISTRIUTION UNIT"</f>
        <v>1038H185-001 SRASR POWER DISTRIUTION UNIT</v>
      </c>
      <c r="L402">
        <v>-1</v>
      </c>
      <c r="M402" t="str">
        <f>"יח"</f>
        <v>יח</v>
      </c>
      <c r="N402">
        <v>-1</v>
      </c>
      <c r="O402" t="str">
        <f>"יח"</f>
        <v>יח</v>
      </c>
      <c r="P402" s="2">
        <v>14757</v>
      </c>
      <c r="Q402" t="str">
        <f>"$"</f>
        <v>$</v>
      </c>
      <c r="R402" t="str">
        <f>"הזמנה"</f>
        <v>הזמנה</v>
      </c>
      <c r="S402">
        <v>0</v>
      </c>
      <c r="T402" s="2">
        <v>-14757</v>
      </c>
      <c r="U402">
        <v>0</v>
      </c>
      <c r="V402" s="2">
        <v>-14757</v>
      </c>
      <c r="W402" t="str">
        <f>"$"</f>
        <v>$</v>
      </c>
      <c r="X402">
        <v>0</v>
      </c>
      <c r="Y402">
        <v>0</v>
      </c>
      <c r="Z402">
        <v>0</v>
      </c>
      <c r="AA402" t="str">
        <f>"Y"</f>
        <v>Y</v>
      </c>
      <c r="AC402">
        <v>0</v>
      </c>
      <c r="AM402" t="str">
        <f>"10"</f>
        <v>10</v>
      </c>
      <c r="AN402" t="str">
        <f>"500000"</f>
        <v>500000</v>
      </c>
      <c r="AO402" t="str">
        <f>"הכנסות  מלקוחות"</f>
        <v>הכנסות  מלקוחות</v>
      </c>
      <c r="AQ402" t="str">
        <f>"007"</f>
        <v>007</v>
      </c>
      <c r="AR402">
        <v>0</v>
      </c>
      <c r="AS402">
        <v>0</v>
      </c>
      <c r="AT402">
        <v>3.7</v>
      </c>
      <c r="BB402" t="str">
        <f>"Y"</f>
        <v>Y</v>
      </c>
      <c r="BD402" t="str">
        <f>"רוני דידי"</f>
        <v>רוני דידי</v>
      </c>
    </row>
    <row r="403" spans="1:56" x14ac:dyDescent="0.3">
      <c r="A403" s="1">
        <v>45108</v>
      </c>
      <c r="B403" t="str">
        <f>"SI236001033"</f>
        <v>SI236001033</v>
      </c>
      <c r="C403" t="str">
        <f>"PR22000677"</f>
        <v>PR22000677</v>
      </c>
      <c r="E403" t="str">
        <f>"Y"</f>
        <v>Y</v>
      </c>
      <c r="F403" t="str">
        <f>"חשבוניות מרכזות"</f>
        <v>חשבוניות מרכזות</v>
      </c>
      <c r="G403" t="str">
        <f>"700065"</f>
        <v>700065</v>
      </c>
      <c r="H403" t="str">
        <f>"אלתא מערכות בע""מ"</f>
        <v>אלתא מערכות בע"מ</v>
      </c>
      <c r="I403" t="str">
        <f>"15"</f>
        <v>15</v>
      </c>
      <c r="J403" t="str">
        <f>"OP-AR01778"</f>
        <v>OP-AR01778</v>
      </c>
      <c r="K403" t="str">
        <f>"2019F711-001 CONTROL BOX HARNESS"</f>
        <v>2019F711-001 CONTROL BOX HARNESS</v>
      </c>
      <c r="L403">
        <v>4</v>
      </c>
      <c r="M403" t="str">
        <f>"יח"</f>
        <v>יח</v>
      </c>
      <c r="N403">
        <v>4</v>
      </c>
      <c r="O403" t="str">
        <f>"יח"</f>
        <v>יח</v>
      </c>
      <c r="P403" s="2">
        <v>2428.9899999999998</v>
      </c>
      <c r="Q403" t="str">
        <f>"$"</f>
        <v>$</v>
      </c>
      <c r="R403" t="str">
        <f>"הזמנה"</f>
        <v>הזמנה</v>
      </c>
      <c r="S403">
        <v>0</v>
      </c>
      <c r="T403" s="2">
        <v>9715.9599999999991</v>
      </c>
      <c r="U403">
        <v>0</v>
      </c>
      <c r="V403" s="2">
        <v>9715.9599999999991</v>
      </c>
      <c r="W403" t="str">
        <f>"$"</f>
        <v>$</v>
      </c>
      <c r="X403">
        <v>0</v>
      </c>
      <c r="Y403">
        <v>0</v>
      </c>
      <c r="Z403">
        <v>0</v>
      </c>
      <c r="AA403" t="str">
        <f>"Y"</f>
        <v>Y</v>
      </c>
      <c r="AB403" t="str">
        <f>"SO22000390"</f>
        <v>SO22000390</v>
      </c>
      <c r="AC403">
        <v>1</v>
      </c>
      <c r="AD403" s="1">
        <v>44864</v>
      </c>
      <c r="AE403" t="str">
        <f>"SH23000718"</f>
        <v>SH23000718</v>
      </c>
      <c r="AF403" t="str">
        <f>"משלוחים ללקוח"</f>
        <v>משלוחים ללקוח</v>
      </c>
      <c r="AG403" s="1">
        <v>45089</v>
      </c>
      <c r="AM403" t="str">
        <f>"10"</f>
        <v>10</v>
      </c>
      <c r="AN403" t="str">
        <f>"500000"</f>
        <v>500000</v>
      </c>
      <c r="AO403" t="str">
        <f>"הכנסות  מלקוחות"</f>
        <v>הכנסות  מלקוחות</v>
      </c>
      <c r="AQ403" t="str">
        <f>"040"</f>
        <v>040</v>
      </c>
      <c r="AR403">
        <v>0</v>
      </c>
      <c r="AS403">
        <v>0</v>
      </c>
      <c r="AT403">
        <v>3.7</v>
      </c>
      <c r="AX403" t="str">
        <f>"E000377209"</f>
        <v>E000377209</v>
      </c>
      <c r="BD403" t="str">
        <f>"רחמים זרוק"</f>
        <v>רחמים זרוק</v>
      </c>
    </row>
    <row r="404" spans="1:56" x14ac:dyDescent="0.3">
      <c r="A404" s="1">
        <v>45108</v>
      </c>
      <c r="B404" t="str">
        <f>"SI236001033"</f>
        <v>SI236001033</v>
      </c>
      <c r="C404" t="str">
        <f>"PR22000677"</f>
        <v>PR22000677</v>
      </c>
      <c r="E404" t="str">
        <f>"Y"</f>
        <v>Y</v>
      </c>
      <c r="F404" t="str">
        <f>"חשבוניות מרכזות"</f>
        <v>חשבוניות מרכזות</v>
      </c>
      <c r="G404" t="str">
        <f>"700065"</f>
        <v>700065</v>
      </c>
      <c r="H404" t="str">
        <f>"אלתא מערכות בע""מ"</f>
        <v>אלתא מערכות בע"מ</v>
      </c>
      <c r="I404" t="str">
        <f>"15"</f>
        <v>15</v>
      </c>
      <c r="J404" t="str">
        <f>"OP-AR01778"</f>
        <v>OP-AR01778</v>
      </c>
      <c r="K404" t="str">
        <f>"2019F711-001 CONTROL BOX HARNESS"</f>
        <v>2019F711-001 CONTROL BOX HARNESS</v>
      </c>
      <c r="L404">
        <v>1</v>
      </c>
      <c r="M404" t="str">
        <f>"יח"</f>
        <v>יח</v>
      </c>
      <c r="N404">
        <v>1</v>
      </c>
      <c r="O404" t="str">
        <f>"יח"</f>
        <v>יח</v>
      </c>
      <c r="P404" s="2">
        <v>2428.9899999999998</v>
      </c>
      <c r="Q404" t="str">
        <f>"$"</f>
        <v>$</v>
      </c>
      <c r="R404" t="str">
        <f>"הזמנה"</f>
        <v>הזמנה</v>
      </c>
      <c r="S404">
        <v>0</v>
      </c>
      <c r="T404" s="2">
        <v>2428.9899999999998</v>
      </c>
      <c r="U404">
        <v>0</v>
      </c>
      <c r="V404" s="2">
        <v>2428.9899999999998</v>
      </c>
      <c r="W404" t="str">
        <f>"$"</f>
        <v>$</v>
      </c>
      <c r="X404">
        <v>0</v>
      </c>
      <c r="Y404">
        <v>0</v>
      </c>
      <c r="Z404">
        <v>0</v>
      </c>
      <c r="AA404" t="str">
        <f>"Y"</f>
        <v>Y</v>
      </c>
      <c r="AB404" t="str">
        <f>"SO22000390"</f>
        <v>SO22000390</v>
      </c>
      <c r="AC404">
        <v>2</v>
      </c>
      <c r="AD404" s="1">
        <v>44864</v>
      </c>
      <c r="AE404" t="str">
        <f>"SH23000718"</f>
        <v>SH23000718</v>
      </c>
      <c r="AF404" t="str">
        <f>"משלוחים ללקוח"</f>
        <v>משלוחים ללקוח</v>
      </c>
      <c r="AG404" s="1">
        <v>45089</v>
      </c>
      <c r="AM404" t="str">
        <f>"10"</f>
        <v>10</v>
      </c>
      <c r="AN404" t="str">
        <f>"500000"</f>
        <v>500000</v>
      </c>
      <c r="AO404" t="str">
        <f>"הכנסות  מלקוחות"</f>
        <v>הכנסות  מלקוחות</v>
      </c>
      <c r="AQ404" t="str">
        <f>"040"</f>
        <v>040</v>
      </c>
      <c r="AR404">
        <v>0</v>
      </c>
      <c r="AS404">
        <v>0</v>
      </c>
      <c r="AT404">
        <v>3.7</v>
      </c>
      <c r="AX404" t="str">
        <f>"E000377209"</f>
        <v>E000377209</v>
      </c>
      <c r="BD404" t="str">
        <f>"רחמים זרוק"</f>
        <v>רחמים זרוק</v>
      </c>
    </row>
    <row r="405" spans="1:56" x14ac:dyDescent="0.3">
      <c r="A405" s="1">
        <v>45108</v>
      </c>
      <c r="B405" t="str">
        <f>"SI236001032"</f>
        <v>SI236001032</v>
      </c>
      <c r="C405" t="str">
        <f>"PR23000103"</f>
        <v>PR23000103</v>
      </c>
      <c r="E405" t="str">
        <f>"Y"</f>
        <v>Y</v>
      </c>
      <c r="F405" t="str">
        <f>"חשבוניות מרכזות"</f>
        <v>חשבוניות מרכזות</v>
      </c>
      <c r="G405" t="str">
        <f>"700065"</f>
        <v>700065</v>
      </c>
      <c r="H405" t="str">
        <f>"אלתא מערכות בע""מ"</f>
        <v>אלתא מערכות בע"מ</v>
      </c>
      <c r="I405" t="str">
        <f>"10"</f>
        <v>10</v>
      </c>
      <c r="J405" t="str">
        <f>"OP-AR01088"</f>
        <v>OP-AR01088</v>
      </c>
      <c r="K405" t="str">
        <f>"1038H185-001 SRASR POWER DISTRIUTION UNIT"</f>
        <v>1038H185-001 SRASR POWER DISTRIUTION UNIT</v>
      </c>
      <c r="L405">
        <v>1</v>
      </c>
      <c r="M405" t="str">
        <f>"יח"</f>
        <v>יח</v>
      </c>
      <c r="N405">
        <v>1</v>
      </c>
      <c r="O405" t="str">
        <f>"יח"</f>
        <v>יח</v>
      </c>
      <c r="P405" s="2">
        <v>14757</v>
      </c>
      <c r="Q405" t="str">
        <f>"$"</f>
        <v>$</v>
      </c>
      <c r="R405" t="str">
        <f>"הזמנה"</f>
        <v>הזמנה</v>
      </c>
      <c r="S405">
        <v>0</v>
      </c>
      <c r="T405" s="2">
        <v>14757</v>
      </c>
      <c r="U405">
        <v>0</v>
      </c>
      <c r="V405" s="2">
        <v>14757</v>
      </c>
      <c r="W405" t="str">
        <f>"$"</f>
        <v>$</v>
      </c>
      <c r="X405">
        <v>0</v>
      </c>
      <c r="Y405">
        <v>0</v>
      </c>
      <c r="Z405">
        <v>0</v>
      </c>
      <c r="AA405" t="str">
        <f>"Y"</f>
        <v>Y</v>
      </c>
      <c r="AC405">
        <v>0</v>
      </c>
      <c r="AM405" t="str">
        <f>"10"</f>
        <v>10</v>
      </c>
      <c r="AN405" t="str">
        <f>"500000"</f>
        <v>500000</v>
      </c>
      <c r="AO405" t="str">
        <f>"הכנסות  מלקוחות"</f>
        <v>הכנסות  מלקוחות</v>
      </c>
      <c r="AQ405" t="str">
        <f>"007"</f>
        <v>007</v>
      </c>
      <c r="AR405">
        <v>0</v>
      </c>
      <c r="AS405">
        <v>0</v>
      </c>
      <c r="AT405">
        <v>3.7</v>
      </c>
      <c r="BB405" t="str">
        <f>"Y"</f>
        <v>Y</v>
      </c>
      <c r="BD405" t="str">
        <f>"רוני דידי"</f>
        <v>רוני דידי</v>
      </c>
    </row>
    <row r="406" spans="1:56" x14ac:dyDescent="0.3">
      <c r="A406" s="1">
        <v>45108</v>
      </c>
      <c r="B406" t="str">
        <f>"SI236001031"</f>
        <v>SI236001031</v>
      </c>
      <c r="C406" t="str">
        <f>"PR22000146"</f>
        <v>PR22000146</v>
      </c>
      <c r="E406" t="str">
        <f>"Y"</f>
        <v>Y</v>
      </c>
      <c r="F406" t="str">
        <f>"חשבוניות מרכזות"</f>
        <v>חשבוניות מרכזות</v>
      </c>
      <c r="G406" t="str">
        <f>"700065"</f>
        <v>700065</v>
      </c>
      <c r="H406" t="str">
        <f>"אלתא מערכות בע""מ"</f>
        <v>אלתא מערכות בע"מ</v>
      </c>
      <c r="I406" t="str">
        <f>"10"</f>
        <v>10</v>
      </c>
      <c r="J406" t="str">
        <f>"OP-AR02041-1S"</f>
        <v>OP-AR02041-1S</v>
      </c>
      <c r="K406" t="str">
        <f>"SL PDB  1 1042A860-001"</f>
        <v>SL PDB  1 1042A860-001</v>
      </c>
      <c r="L406">
        <v>1</v>
      </c>
      <c r="M406" t="str">
        <f>"יח"</f>
        <v>יח</v>
      </c>
      <c r="N406">
        <v>1</v>
      </c>
      <c r="O406" t="str">
        <f>"יח"</f>
        <v>יח</v>
      </c>
      <c r="P406" s="2">
        <v>41000</v>
      </c>
      <c r="Q406" t="str">
        <f>"$"</f>
        <v>$</v>
      </c>
      <c r="R406" t="str">
        <f>"הזמנה"</f>
        <v>הזמנה</v>
      </c>
      <c r="S406">
        <v>0</v>
      </c>
      <c r="T406" s="2">
        <v>41000</v>
      </c>
      <c r="U406">
        <v>0</v>
      </c>
      <c r="V406" s="2">
        <v>41000</v>
      </c>
      <c r="W406" t="str">
        <f>"$"</f>
        <v>$</v>
      </c>
      <c r="X406">
        <v>0</v>
      </c>
      <c r="Y406">
        <v>0</v>
      </c>
      <c r="Z406">
        <v>0</v>
      </c>
      <c r="AA406" t="str">
        <f>"Y"</f>
        <v>Y</v>
      </c>
      <c r="AB406" t="str">
        <f>"SO22000016"</f>
        <v>SO22000016</v>
      </c>
      <c r="AC406">
        <v>24</v>
      </c>
      <c r="AD406" s="1">
        <v>44574</v>
      </c>
      <c r="AE406" t="str">
        <f>"SH23000827"</f>
        <v>SH23000827</v>
      </c>
      <c r="AF406" t="str">
        <f>"משלוחים ללקוח"</f>
        <v>משלוחים ללקוח</v>
      </c>
      <c r="AG406" s="1">
        <v>45106</v>
      </c>
      <c r="AM406" t="str">
        <f>"10"</f>
        <v>10</v>
      </c>
      <c r="AN406" t="str">
        <f>"500000"</f>
        <v>500000</v>
      </c>
      <c r="AO406" t="str">
        <f>"הכנסות  מלקוחות"</f>
        <v>הכנסות  מלקוחות</v>
      </c>
      <c r="AQ406" t="str">
        <f>"007"</f>
        <v>007</v>
      </c>
      <c r="AR406">
        <v>0</v>
      </c>
      <c r="AS406">
        <v>0</v>
      </c>
      <c r="AT406">
        <v>3.7</v>
      </c>
      <c r="AX406" t="str">
        <f>"E000355064"</f>
        <v>E000355064</v>
      </c>
      <c r="BD406" t="str">
        <f>"רוני דידי"</f>
        <v>רוני דידי</v>
      </c>
    </row>
    <row r="407" spans="1:56" x14ac:dyDescent="0.3">
      <c r="A407" s="1">
        <v>45108</v>
      </c>
      <c r="B407" t="str">
        <f>"SI236001030"</f>
        <v>SI236001030</v>
      </c>
      <c r="C407" t="str">
        <f>"PR22000145"</f>
        <v>PR22000145</v>
      </c>
      <c r="E407" t="str">
        <f>"Y"</f>
        <v>Y</v>
      </c>
      <c r="F407" t="str">
        <f>"חשבוניות מרכזות"</f>
        <v>חשבוניות מרכזות</v>
      </c>
      <c r="G407" t="str">
        <f>"700065"</f>
        <v>700065</v>
      </c>
      <c r="H407" t="str">
        <f>"אלתא מערכות בע""מ"</f>
        <v>אלתא מערכות בע"מ</v>
      </c>
      <c r="I407" t="str">
        <f>"10"</f>
        <v>10</v>
      </c>
      <c r="J407" t="str">
        <f>"OP-AR02041-1S"</f>
        <v>OP-AR02041-1S</v>
      </c>
      <c r="K407" t="str">
        <f>"SL PDB  1 1042A860-001"</f>
        <v>SL PDB  1 1042A860-001</v>
      </c>
      <c r="L407">
        <v>1</v>
      </c>
      <c r="M407" t="str">
        <f>"יח"</f>
        <v>יח</v>
      </c>
      <c r="N407">
        <v>1</v>
      </c>
      <c r="O407" t="str">
        <f>"יח"</f>
        <v>יח</v>
      </c>
      <c r="P407" s="2">
        <v>41000</v>
      </c>
      <c r="Q407" t="str">
        <f>"$"</f>
        <v>$</v>
      </c>
      <c r="R407" t="str">
        <f>"הזמנה"</f>
        <v>הזמנה</v>
      </c>
      <c r="S407">
        <v>0</v>
      </c>
      <c r="T407" s="2">
        <v>41000</v>
      </c>
      <c r="U407">
        <v>0</v>
      </c>
      <c r="V407" s="2">
        <v>41000</v>
      </c>
      <c r="W407" t="str">
        <f>"$"</f>
        <v>$</v>
      </c>
      <c r="X407">
        <v>0</v>
      </c>
      <c r="Y407">
        <v>0</v>
      </c>
      <c r="Z407">
        <v>0</v>
      </c>
      <c r="AA407" t="str">
        <f>"Y"</f>
        <v>Y</v>
      </c>
      <c r="AB407" t="str">
        <f>"SO22000016"</f>
        <v>SO22000016</v>
      </c>
      <c r="AC407">
        <v>23</v>
      </c>
      <c r="AD407" s="1">
        <v>44574</v>
      </c>
      <c r="AE407" t="str">
        <f>"SH23000826"</f>
        <v>SH23000826</v>
      </c>
      <c r="AF407" t="str">
        <f>"משלוחים ללקוח"</f>
        <v>משלוחים ללקוח</v>
      </c>
      <c r="AG407" s="1">
        <v>45106</v>
      </c>
      <c r="AM407" t="str">
        <f>"10"</f>
        <v>10</v>
      </c>
      <c r="AN407" t="str">
        <f>"500000"</f>
        <v>500000</v>
      </c>
      <c r="AO407" t="str">
        <f>"הכנסות  מלקוחות"</f>
        <v>הכנסות  מלקוחות</v>
      </c>
      <c r="AQ407" t="str">
        <f>"007"</f>
        <v>007</v>
      </c>
      <c r="AR407">
        <v>0</v>
      </c>
      <c r="AS407">
        <v>0</v>
      </c>
      <c r="AT407">
        <v>3.7</v>
      </c>
      <c r="AX407" t="str">
        <f>"E000355064"</f>
        <v>E000355064</v>
      </c>
      <c r="BD407" t="str">
        <f>"רוני דידי"</f>
        <v>רוני דידי</v>
      </c>
    </row>
    <row r="408" spans="1:56" x14ac:dyDescent="0.3">
      <c r="A408" s="1">
        <v>45108</v>
      </c>
      <c r="B408" t="str">
        <f>"SI236001029"</f>
        <v>SI236001029</v>
      </c>
      <c r="C408" t="str">
        <f>"PR22000144"</f>
        <v>PR22000144</v>
      </c>
      <c r="E408" t="str">
        <f>"Y"</f>
        <v>Y</v>
      </c>
      <c r="F408" t="str">
        <f>"חשבוניות מרכזות"</f>
        <v>חשבוניות מרכזות</v>
      </c>
      <c r="G408" t="str">
        <f>"700065"</f>
        <v>700065</v>
      </c>
      <c r="H408" t="str">
        <f>"אלתא מערכות בע""מ"</f>
        <v>אלתא מערכות בע"מ</v>
      </c>
      <c r="I408" t="str">
        <f>"10"</f>
        <v>10</v>
      </c>
      <c r="J408" t="str">
        <f>"OP-AR02041-1S"</f>
        <v>OP-AR02041-1S</v>
      </c>
      <c r="K408" t="str">
        <f>"SL PDB  1 1042A860-001"</f>
        <v>SL PDB  1 1042A860-001</v>
      </c>
      <c r="L408">
        <v>1</v>
      </c>
      <c r="M408" t="str">
        <f>"יח"</f>
        <v>יח</v>
      </c>
      <c r="N408">
        <v>1</v>
      </c>
      <c r="O408" t="str">
        <f>"יח"</f>
        <v>יח</v>
      </c>
      <c r="P408" s="2">
        <v>41000</v>
      </c>
      <c r="Q408" t="str">
        <f>"$"</f>
        <v>$</v>
      </c>
      <c r="R408" t="str">
        <f>"הזמנה"</f>
        <v>הזמנה</v>
      </c>
      <c r="S408">
        <v>0</v>
      </c>
      <c r="T408" s="2">
        <v>41000</v>
      </c>
      <c r="U408">
        <v>0</v>
      </c>
      <c r="V408" s="2">
        <v>41000</v>
      </c>
      <c r="W408" t="str">
        <f>"$"</f>
        <v>$</v>
      </c>
      <c r="X408">
        <v>0</v>
      </c>
      <c r="Y408">
        <v>0</v>
      </c>
      <c r="Z408">
        <v>0</v>
      </c>
      <c r="AA408" t="str">
        <f>"Y"</f>
        <v>Y</v>
      </c>
      <c r="AB408" t="str">
        <f>"SO22000016"</f>
        <v>SO22000016</v>
      </c>
      <c r="AC408">
        <v>28</v>
      </c>
      <c r="AD408" s="1">
        <v>44574</v>
      </c>
      <c r="AE408" t="str">
        <f>"SH23000816"</f>
        <v>SH23000816</v>
      </c>
      <c r="AF408" t="str">
        <f>"משלוחים ללקוח"</f>
        <v>משלוחים ללקוח</v>
      </c>
      <c r="AG408" s="1">
        <v>45104</v>
      </c>
      <c r="AM408" t="str">
        <f>"10"</f>
        <v>10</v>
      </c>
      <c r="AN408" t="str">
        <f>"500000"</f>
        <v>500000</v>
      </c>
      <c r="AO408" t="str">
        <f>"הכנסות  מלקוחות"</f>
        <v>הכנסות  מלקוחות</v>
      </c>
      <c r="AQ408" t="str">
        <f>"007"</f>
        <v>007</v>
      </c>
      <c r="AR408">
        <v>0</v>
      </c>
      <c r="AS408">
        <v>0</v>
      </c>
      <c r="AT408">
        <v>3.7</v>
      </c>
      <c r="AX408" t="str">
        <f>"E000355064"</f>
        <v>E000355064</v>
      </c>
      <c r="BD408" t="str">
        <f>"רוני דידי"</f>
        <v>רוני דידי</v>
      </c>
    </row>
    <row r="409" spans="1:56" x14ac:dyDescent="0.3">
      <c r="A409" s="1">
        <v>45108</v>
      </c>
      <c r="B409" t="str">
        <f>"SI236001028"</f>
        <v>SI236001028</v>
      </c>
      <c r="C409" t="str">
        <f>"PR22000143"</f>
        <v>PR22000143</v>
      </c>
      <c r="E409" t="str">
        <f>"Y"</f>
        <v>Y</v>
      </c>
      <c r="F409" t="str">
        <f>"חשבוניות מרכזות"</f>
        <v>חשבוניות מרכזות</v>
      </c>
      <c r="G409" t="str">
        <f>"700065"</f>
        <v>700065</v>
      </c>
      <c r="H409" t="str">
        <f>"אלתא מערכות בע""מ"</f>
        <v>אלתא מערכות בע"מ</v>
      </c>
      <c r="I409" t="str">
        <f>"10"</f>
        <v>10</v>
      </c>
      <c r="J409" t="str">
        <f>"OP-AR02041-1S"</f>
        <v>OP-AR02041-1S</v>
      </c>
      <c r="K409" t="str">
        <f>"SL PDB  1 1042A860-001"</f>
        <v>SL PDB  1 1042A860-001</v>
      </c>
      <c r="L409">
        <v>1</v>
      </c>
      <c r="M409" t="str">
        <f>"יח"</f>
        <v>יח</v>
      </c>
      <c r="N409">
        <v>1</v>
      </c>
      <c r="O409" t="str">
        <f>"יח"</f>
        <v>יח</v>
      </c>
      <c r="P409" s="2">
        <v>41000</v>
      </c>
      <c r="Q409" t="str">
        <f>"$"</f>
        <v>$</v>
      </c>
      <c r="R409" t="str">
        <f>"הזמנה"</f>
        <v>הזמנה</v>
      </c>
      <c r="S409">
        <v>0</v>
      </c>
      <c r="T409" s="2">
        <v>41000</v>
      </c>
      <c r="U409">
        <v>0</v>
      </c>
      <c r="V409" s="2">
        <v>41000</v>
      </c>
      <c r="W409" t="str">
        <f>"$"</f>
        <v>$</v>
      </c>
      <c r="X409">
        <v>0</v>
      </c>
      <c r="Y409">
        <v>0</v>
      </c>
      <c r="Z409">
        <v>0</v>
      </c>
      <c r="AA409" t="str">
        <f>"Y"</f>
        <v>Y</v>
      </c>
      <c r="AB409" t="str">
        <f>"SO22000016"</f>
        <v>SO22000016</v>
      </c>
      <c r="AC409">
        <v>27</v>
      </c>
      <c r="AD409" s="1">
        <v>44574</v>
      </c>
      <c r="AE409" t="str">
        <f>"SH23000815"</f>
        <v>SH23000815</v>
      </c>
      <c r="AF409" t="str">
        <f>"משלוחים ללקוח"</f>
        <v>משלוחים ללקוח</v>
      </c>
      <c r="AG409" s="1">
        <v>45104</v>
      </c>
      <c r="AM409" t="str">
        <f>"10"</f>
        <v>10</v>
      </c>
      <c r="AN409" t="str">
        <f>"500000"</f>
        <v>500000</v>
      </c>
      <c r="AO409" t="str">
        <f>"הכנסות  מלקוחות"</f>
        <v>הכנסות  מלקוחות</v>
      </c>
      <c r="AQ409" t="str">
        <f>"007"</f>
        <v>007</v>
      </c>
      <c r="AR409">
        <v>0</v>
      </c>
      <c r="AS409">
        <v>0</v>
      </c>
      <c r="AT409">
        <v>3.7</v>
      </c>
      <c r="AX409" t="str">
        <f>"E000355064"</f>
        <v>E000355064</v>
      </c>
      <c r="BD409" t="str">
        <f>"רוני דידי"</f>
        <v>רוני דידי</v>
      </c>
    </row>
    <row r="410" spans="1:56" x14ac:dyDescent="0.3">
      <c r="A410" s="1">
        <v>45108</v>
      </c>
      <c r="B410" t="str">
        <f>"SI236001027"</f>
        <v>SI236001027</v>
      </c>
      <c r="C410" t="str">
        <f>"PR22000142"</f>
        <v>PR22000142</v>
      </c>
      <c r="E410" t="str">
        <f>"Y"</f>
        <v>Y</v>
      </c>
      <c r="F410" t="str">
        <f>"חשבוניות מרכזות"</f>
        <v>חשבוניות מרכזות</v>
      </c>
      <c r="G410" t="str">
        <f>"700065"</f>
        <v>700065</v>
      </c>
      <c r="H410" t="str">
        <f>"אלתא מערכות בע""מ"</f>
        <v>אלתא מערכות בע"מ</v>
      </c>
      <c r="I410" t="str">
        <f>"10"</f>
        <v>10</v>
      </c>
      <c r="J410" t="str">
        <f>"OP-AR02041-1S"</f>
        <v>OP-AR02041-1S</v>
      </c>
      <c r="K410" t="str">
        <f>"SL PDB  1 1042A860-001"</f>
        <v>SL PDB  1 1042A860-001</v>
      </c>
      <c r="L410">
        <v>1</v>
      </c>
      <c r="M410" t="str">
        <f>"יח"</f>
        <v>יח</v>
      </c>
      <c r="N410">
        <v>1</v>
      </c>
      <c r="O410" t="str">
        <f>"יח"</f>
        <v>יח</v>
      </c>
      <c r="P410" s="2">
        <v>41000</v>
      </c>
      <c r="Q410" t="str">
        <f>"$"</f>
        <v>$</v>
      </c>
      <c r="R410" t="str">
        <f>"הזמנה"</f>
        <v>הזמנה</v>
      </c>
      <c r="S410">
        <v>0</v>
      </c>
      <c r="T410" s="2">
        <v>41000</v>
      </c>
      <c r="U410">
        <v>0</v>
      </c>
      <c r="V410" s="2">
        <v>41000</v>
      </c>
      <c r="W410" t="str">
        <f>"$"</f>
        <v>$</v>
      </c>
      <c r="X410">
        <v>0</v>
      </c>
      <c r="Y410">
        <v>0</v>
      </c>
      <c r="Z410">
        <v>0</v>
      </c>
      <c r="AA410" t="str">
        <f>"Y"</f>
        <v>Y</v>
      </c>
      <c r="AB410" t="str">
        <f>"SO22000016"</f>
        <v>SO22000016</v>
      </c>
      <c r="AC410">
        <v>26</v>
      </c>
      <c r="AD410" s="1">
        <v>44574</v>
      </c>
      <c r="AE410" t="str">
        <f>"SH23000814"</f>
        <v>SH23000814</v>
      </c>
      <c r="AF410" t="str">
        <f>"משלוחים ללקוח"</f>
        <v>משלוחים ללקוח</v>
      </c>
      <c r="AG410" s="1">
        <v>45104</v>
      </c>
      <c r="AM410" t="str">
        <f>"10"</f>
        <v>10</v>
      </c>
      <c r="AN410" t="str">
        <f>"500000"</f>
        <v>500000</v>
      </c>
      <c r="AO410" t="str">
        <f>"הכנסות  מלקוחות"</f>
        <v>הכנסות  מלקוחות</v>
      </c>
      <c r="AQ410" t="str">
        <f>"007"</f>
        <v>007</v>
      </c>
      <c r="AR410">
        <v>0</v>
      </c>
      <c r="AS410">
        <v>0</v>
      </c>
      <c r="AT410">
        <v>3.7</v>
      </c>
      <c r="AX410" t="str">
        <f>"E000355064"</f>
        <v>E000355064</v>
      </c>
      <c r="BD410" t="str">
        <f>"רוני דידי"</f>
        <v>רוני דידי</v>
      </c>
    </row>
    <row r="411" spans="1:56" x14ac:dyDescent="0.3">
      <c r="A411" s="1">
        <v>45108</v>
      </c>
      <c r="B411" t="str">
        <f>"SI236001026"</f>
        <v>SI236001026</v>
      </c>
      <c r="C411" t="str">
        <f>"PR22000142"</f>
        <v>PR22000142</v>
      </c>
      <c r="E411" t="str">
        <f>"Y"</f>
        <v>Y</v>
      </c>
      <c r="F411" t="str">
        <f>"חשבוניות מרכזות"</f>
        <v>חשבוניות מרכזות</v>
      </c>
      <c r="G411" t="str">
        <f>"700065"</f>
        <v>700065</v>
      </c>
      <c r="H411" t="str">
        <f>"אלתא מערכות בע""מ"</f>
        <v>אלתא מערכות בע"מ</v>
      </c>
      <c r="I411" t="str">
        <f>"10"</f>
        <v>10</v>
      </c>
      <c r="J411" t="str">
        <f>"OP-AR02041-1S"</f>
        <v>OP-AR02041-1S</v>
      </c>
      <c r="K411" t="str">
        <f>"SL PDB  1 1042A860-001"</f>
        <v>SL PDB  1 1042A860-001</v>
      </c>
      <c r="L411">
        <v>-1</v>
      </c>
      <c r="M411" t="str">
        <f>"יח"</f>
        <v>יח</v>
      </c>
      <c r="N411">
        <v>-1</v>
      </c>
      <c r="O411" t="str">
        <f>"יח"</f>
        <v>יח</v>
      </c>
      <c r="P411" s="2">
        <v>41000</v>
      </c>
      <c r="Q411" t="str">
        <f>"$"</f>
        <v>$</v>
      </c>
      <c r="R411" t="str">
        <f>"הזמנה"</f>
        <v>הזמנה</v>
      </c>
      <c r="S411">
        <v>0</v>
      </c>
      <c r="T411" s="2">
        <v>-41000</v>
      </c>
      <c r="U411">
        <v>0</v>
      </c>
      <c r="V411" s="2">
        <v>-41000</v>
      </c>
      <c r="W411" t="str">
        <f>"$"</f>
        <v>$</v>
      </c>
      <c r="X411">
        <v>0</v>
      </c>
      <c r="Y411">
        <v>0</v>
      </c>
      <c r="Z411">
        <v>0</v>
      </c>
      <c r="AA411" t="str">
        <f>"Y"</f>
        <v>Y</v>
      </c>
      <c r="AC411">
        <v>0</v>
      </c>
      <c r="AM411" t="str">
        <f>"10"</f>
        <v>10</v>
      </c>
      <c r="AN411" t="str">
        <f>"500000"</f>
        <v>500000</v>
      </c>
      <c r="AO411" t="str">
        <f>"הכנסות  מלקוחות"</f>
        <v>הכנסות  מלקוחות</v>
      </c>
      <c r="AQ411" t="str">
        <f>"007"</f>
        <v>007</v>
      </c>
      <c r="AR411">
        <v>0</v>
      </c>
      <c r="AS411">
        <v>0</v>
      </c>
      <c r="AT411">
        <v>3.6539999999999999</v>
      </c>
      <c r="BB411" t="str">
        <f>"Y"</f>
        <v>Y</v>
      </c>
      <c r="BD411" t="str">
        <f>"רוני דידי"</f>
        <v>רוני דידי</v>
      </c>
    </row>
    <row r="412" spans="1:56" x14ac:dyDescent="0.3">
      <c r="A412" s="1">
        <v>45108</v>
      </c>
      <c r="B412" t="str">
        <f>"SI236001025"</f>
        <v>SI236001025</v>
      </c>
      <c r="C412" t="str">
        <f>"PR22000142"</f>
        <v>PR22000142</v>
      </c>
      <c r="E412" t="str">
        <f>"Y"</f>
        <v>Y</v>
      </c>
      <c r="F412" t="str">
        <f>"חשבוניות מרכזות"</f>
        <v>חשבוניות מרכזות</v>
      </c>
      <c r="G412" t="str">
        <f>"700065"</f>
        <v>700065</v>
      </c>
      <c r="H412" t="str">
        <f>"אלתא מערכות בע""מ"</f>
        <v>אלתא מערכות בע"מ</v>
      </c>
      <c r="I412" t="str">
        <f>"10"</f>
        <v>10</v>
      </c>
      <c r="J412" t="str">
        <f>"OP-AR02041-1S"</f>
        <v>OP-AR02041-1S</v>
      </c>
      <c r="K412" t="str">
        <f>"SL PDB  1 1042A860-001"</f>
        <v>SL PDB  1 1042A860-001</v>
      </c>
      <c r="L412">
        <v>1</v>
      </c>
      <c r="M412" t="str">
        <f>"יח"</f>
        <v>יח</v>
      </c>
      <c r="N412">
        <v>1</v>
      </c>
      <c r="O412" t="str">
        <f>"יח"</f>
        <v>יח</v>
      </c>
      <c r="P412" s="2">
        <v>41000</v>
      </c>
      <c r="Q412" t="str">
        <f>"$"</f>
        <v>$</v>
      </c>
      <c r="R412" t="str">
        <f>"הזמנה"</f>
        <v>הזמנה</v>
      </c>
      <c r="S412">
        <v>0</v>
      </c>
      <c r="T412" s="2">
        <v>41000</v>
      </c>
      <c r="U412">
        <v>0</v>
      </c>
      <c r="V412" s="2">
        <v>41000</v>
      </c>
      <c r="W412" t="str">
        <f>"$"</f>
        <v>$</v>
      </c>
      <c r="X412">
        <v>0</v>
      </c>
      <c r="Y412">
        <v>0</v>
      </c>
      <c r="Z412">
        <v>0</v>
      </c>
      <c r="AA412" t="str">
        <f>"Y"</f>
        <v>Y</v>
      </c>
      <c r="AC412">
        <v>0</v>
      </c>
      <c r="AM412" t="str">
        <f>"10"</f>
        <v>10</v>
      </c>
      <c r="AN412" t="str">
        <f>"500000"</f>
        <v>500000</v>
      </c>
      <c r="AO412" t="str">
        <f>"הכנסות  מלקוחות"</f>
        <v>הכנסות  מלקוחות</v>
      </c>
      <c r="AQ412" t="str">
        <f>"007"</f>
        <v>007</v>
      </c>
      <c r="AR412">
        <v>0</v>
      </c>
      <c r="AS412">
        <v>0</v>
      </c>
      <c r="AT412">
        <v>3.6539999999999999</v>
      </c>
      <c r="BB412" t="str">
        <f>"Y"</f>
        <v>Y</v>
      </c>
      <c r="BD412" t="str">
        <f>"רוני דידי"</f>
        <v>רוני דידי</v>
      </c>
    </row>
    <row r="413" spans="1:56" x14ac:dyDescent="0.3">
      <c r="A413" s="1">
        <v>45108</v>
      </c>
      <c r="B413" t="str">
        <f>"SI236001024"</f>
        <v>SI236001024</v>
      </c>
      <c r="C413" t="str">
        <f>"PR22000141"</f>
        <v>PR22000141</v>
      </c>
      <c r="E413" t="str">
        <f>"Y"</f>
        <v>Y</v>
      </c>
      <c r="F413" t="str">
        <f>"חשבוניות מרכזות"</f>
        <v>חשבוניות מרכזות</v>
      </c>
      <c r="G413" t="str">
        <f>"700065"</f>
        <v>700065</v>
      </c>
      <c r="H413" t="str">
        <f>"אלתא מערכות בע""מ"</f>
        <v>אלתא מערכות בע"מ</v>
      </c>
      <c r="I413" t="str">
        <f>"10"</f>
        <v>10</v>
      </c>
      <c r="J413" t="str">
        <f>"OP-AR02041-1S"</f>
        <v>OP-AR02041-1S</v>
      </c>
      <c r="K413" t="str">
        <f>"SL PDB  1 1042A860-001"</f>
        <v>SL PDB  1 1042A860-001</v>
      </c>
      <c r="L413">
        <v>1</v>
      </c>
      <c r="M413" t="str">
        <f>"יח"</f>
        <v>יח</v>
      </c>
      <c r="N413">
        <v>1</v>
      </c>
      <c r="O413" t="str">
        <f>"יח"</f>
        <v>יח</v>
      </c>
      <c r="P413" s="2">
        <v>41000</v>
      </c>
      <c r="Q413" t="str">
        <f>"$"</f>
        <v>$</v>
      </c>
      <c r="R413" t="str">
        <f>"הזמנה"</f>
        <v>הזמנה</v>
      </c>
      <c r="S413">
        <v>0</v>
      </c>
      <c r="T413" s="2">
        <v>41000</v>
      </c>
      <c r="U413">
        <v>0</v>
      </c>
      <c r="V413" s="2">
        <v>41000</v>
      </c>
      <c r="W413" t="str">
        <f>"$"</f>
        <v>$</v>
      </c>
      <c r="X413">
        <v>0</v>
      </c>
      <c r="Y413">
        <v>0</v>
      </c>
      <c r="Z413">
        <v>0</v>
      </c>
      <c r="AA413" t="str">
        <f>"Y"</f>
        <v>Y</v>
      </c>
      <c r="AC413">
        <v>0</v>
      </c>
      <c r="AM413" t="str">
        <f>"10"</f>
        <v>10</v>
      </c>
      <c r="AN413" t="str">
        <f>"500000"</f>
        <v>500000</v>
      </c>
      <c r="AO413" t="str">
        <f>"הכנסות  מלקוחות"</f>
        <v>הכנסות  מלקוחות</v>
      </c>
      <c r="AQ413" t="str">
        <f>"007"</f>
        <v>007</v>
      </c>
      <c r="AR413">
        <v>0</v>
      </c>
      <c r="AS413">
        <v>0</v>
      </c>
      <c r="AT413">
        <v>3.7</v>
      </c>
      <c r="BB413" t="str">
        <f>"Y"</f>
        <v>Y</v>
      </c>
      <c r="BD413" t="str">
        <f>"רוני דידי"</f>
        <v>רוני דידי</v>
      </c>
    </row>
    <row r="414" spans="1:56" x14ac:dyDescent="0.3">
      <c r="A414" s="1">
        <v>45107</v>
      </c>
      <c r="B414" t="str">
        <f>"CR237000075"</f>
        <v>CR237000075</v>
      </c>
      <c r="E414" t="str">
        <f>"Y"</f>
        <v>Y</v>
      </c>
      <c r="F414" t="str">
        <f>"חשבוניות זיכוי"</f>
        <v>חשבוניות זיכוי</v>
      </c>
      <c r="G414" t="str">
        <f>"700065"</f>
        <v>700065</v>
      </c>
      <c r="H414" t="str">
        <f>"אלתא מערכות בע""מ"</f>
        <v>אלתא מערכות בע"מ</v>
      </c>
      <c r="I414" t="str">
        <f>"10"</f>
        <v>10</v>
      </c>
      <c r="J414" t="str">
        <f>"999"</f>
        <v>999</v>
      </c>
      <c r="K414" t="str">
        <f>"זיכוי מקבלה RC220000231"</f>
        <v>זיכוי מקבלה RC220000231</v>
      </c>
      <c r="L414">
        <v>1</v>
      </c>
      <c r="M414" t="str">
        <f>"חל"</f>
        <v>חל</v>
      </c>
      <c r="N414">
        <v>1</v>
      </c>
      <c r="O414" t="str">
        <f>"חל"</f>
        <v>חל</v>
      </c>
      <c r="P414" s="2">
        <v>6220.5</v>
      </c>
      <c r="Q414" t="str">
        <f>"$"</f>
        <v>$</v>
      </c>
      <c r="R414" t="str">
        <f>"ידני"</f>
        <v>ידני</v>
      </c>
      <c r="S414">
        <v>0</v>
      </c>
      <c r="T414" s="2">
        <v>6220.5</v>
      </c>
      <c r="U414">
        <v>0</v>
      </c>
      <c r="V414" s="2">
        <v>6220.5</v>
      </c>
      <c r="W414" t="str">
        <f>"$"</f>
        <v>$</v>
      </c>
      <c r="X414">
        <v>0</v>
      </c>
      <c r="Y414">
        <v>0</v>
      </c>
      <c r="Z414">
        <v>0</v>
      </c>
      <c r="AA414" t="str">
        <f>"Y"</f>
        <v>Y</v>
      </c>
      <c r="AC414">
        <v>0</v>
      </c>
      <c r="AM414" t="str">
        <f>"10"</f>
        <v>10</v>
      </c>
      <c r="AN414" t="str">
        <f>"500000"</f>
        <v>500000</v>
      </c>
      <c r="AO414" t="str">
        <f>"הכנסות  מלקוחות"</f>
        <v>הכנסות  מלקוחות</v>
      </c>
      <c r="AQ414" t="str">
        <f>"034"</f>
        <v>034</v>
      </c>
      <c r="AR414">
        <v>0</v>
      </c>
      <c r="AS414">
        <v>0</v>
      </c>
      <c r="AT414">
        <v>3.3540000000000001</v>
      </c>
      <c r="BD414" t="str">
        <f>"ערן שלו"</f>
        <v>ערן שלו</v>
      </c>
    </row>
    <row r="415" spans="1:56" x14ac:dyDescent="0.3">
      <c r="A415" s="1">
        <v>45107</v>
      </c>
      <c r="B415" t="str">
        <f>"CR237000074"</f>
        <v>CR237000074</v>
      </c>
      <c r="E415" t="str">
        <f>"Y"</f>
        <v>Y</v>
      </c>
      <c r="F415" t="str">
        <f>"חשבוניות זיכוי"</f>
        <v>חשבוניות זיכוי</v>
      </c>
      <c r="G415" t="str">
        <f>"700065"</f>
        <v>700065</v>
      </c>
      <c r="H415" t="str">
        <f>"אלתא מערכות בע""מ"</f>
        <v>אלתא מערכות בע"מ</v>
      </c>
      <c r="I415" t="str">
        <f>"10"</f>
        <v>10</v>
      </c>
      <c r="J415" t="str">
        <f>"999"</f>
        <v>999</v>
      </c>
      <c r="K415" t="str">
        <f>"זיכוי מקבלה RC220000231"</f>
        <v>זיכוי מקבלה RC220000231</v>
      </c>
      <c r="L415">
        <v>1</v>
      </c>
      <c r="M415" t="str">
        <f>"חל"</f>
        <v>חל</v>
      </c>
      <c r="N415">
        <v>1</v>
      </c>
      <c r="O415" t="str">
        <f>"חל"</f>
        <v>חל</v>
      </c>
      <c r="P415" s="2">
        <v>5952.58</v>
      </c>
      <c r="Q415" t="str">
        <f>"$"</f>
        <v>$</v>
      </c>
      <c r="R415" t="str">
        <f>"ידני"</f>
        <v>ידני</v>
      </c>
      <c r="S415">
        <v>0</v>
      </c>
      <c r="T415" s="2">
        <v>5952.58</v>
      </c>
      <c r="U415">
        <v>0</v>
      </c>
      <c r="V415" s="2">
        <v>5952.58</v>
      </c>
      <c r="W415" t="str">
        <f>"$"</f>
        <v>$</v>
      </c>
      <c r="X415">
        <v>0</v>
      </c>
      <c r="Y415">
        <v>0</v>
      </c>
      <c r="Z415">
        <v>0</v>
      </c>
      <c r="AA415" t="str">
        <f>"Y"</f>
        <v>Y</v>
      </c>
      <c r="AC415">
        <v>0</v>
      </c>
      <c r="AM415" t="str">
        <f>"10"</f>
        <v>10</v>
      </c>
      <c r="AN415" t="str">
        <f>"500000"</f>
        <v>500000</v>
      </c>
      <c r="AO415" t="str">
        <f>"הכנסות  מלקוחות"</f>
        <v>הכנסות  מלקוחות</v>
      </c>
      <c r="AQ415" t="str">
        <f>"034"</f>
        <v>034</v>
      </c>
      <c r="AR415">
        <v>0</v>
      </c>
      <c r="AS415">
        <v>0</v>
      </c>
      <c r="AT415">
        <v>3.3540000000000001</v>
      </c>
      <c r="BD415" t="str">
        <f>"ערן שלו"</f>
        <v>ערן שלו</v>
      </c>
    </row>
    <row r="416" spans="1:56" x14ac:dyDescent="0.3">
      <c r="A416" s="1">
        <v>45107</v>
      </c>
      <c r="B416" t="str">
        <f>"CR237000073"</f>
        <v>CR237000073</v>
      </c>
      <c r="E416" t="str">
        <f>"Y"</f>
        <v>Y</v>
      </c>
      <c r="F416" t="str">
        <f>"חשבוניות זיכוי"</f>
        <v>חשבוניות זיכוי</v>
      </c>
      <c r="G416" t="str">
        <f>"700065"</f>
        <v>700065</v>
      </c>
      <c r="H416" t="str">
        <f>"אלתא מערכות בע""מ"</f>
        <v>אלתא מערכות בע"מ</v>
      </c>
      <c r="I416" t="str">
        <f>"10"</f>
        <v>10</v>
      </c>
      <c r="J416" t="str">
        <f>"999"</f>
        <v>999</v>
      </c>
      <c r="K416" t="str">
        <f>"זיכוי מקבלה RC220000231"</f>
        <v>זיכוי מקבלה RC220000231</v>
      </c>
      <c r="L416">
        <v>-1</v>
      </c>
      <c r="M416" t="str">
        <f>"חל"</f>
        <v>חל</v>
      </c>
      <c r="N416">
        <v>-1</v>
      </c>
      <c r="O416" t="str">
        <f>"חל"</f>
        <v>חל</v>
      </c>
      <c r="P416" s="2">
        <v>12170</v>
      </c>
      <c r="Q416" t="str">
        <f>"$"</f>
        <v>$</v>
      </c>
      <c r="R416" t="str">
        <f>"ידני"</f>
        <v>ידני</v>
      </c>
      <c r="S416">
        <v>0</v>
      </c>
      <c r="T416" s="2">
        <v>-12170</v>
      </c>
      <c r="U416">
        <v>0</v>
      </c>
      <c r="V416" s="2">
        <v>-12170</v>
      </c>
      <c r="W416" t="str">
        <f>"$"</f>
        <v>$</v>
      </c>
      <c r="X416">
        <v>0</v>
      </c>
      <c r="Y416">
        <v>0</v>
      </c>
      <c r="Z416">
        <v>0</v>
      </c>
      <c r="AA416" t="str">
        <f>"Y"</f>
        <v>Y</v>
      </c>
      <c r="AC416">
        <v>0</v>
      </c>
      <c r="AM416" t="str">
        <f>"10"</f>
        <v>10</v>
      </c>
      <c r="AN416" t="str">
        <f>"500000"</f>
        <v>500000</v>
      </c>
      <c r="AO416" t="str">
        <f>"הכנסות  מלקוחות"</f>
        <v>הכנסות  מלקוחות</v>
      </c>
      <c r="AQ416" t="str">
        <f>"034"</f>
        <v>034</v>
      </c>
      <c r="AR416">
        <v>0</v>
      </c>
      <c r="AS416">
        <v>0</v>
      </c>
      <c r="AT416">
        <v>3.3540000000000001</v>
      </c>
      <c r="BB416" t="str">
        <f>"Y"</f>
        <v>Y</v>
      </c>
      <c r="BD416" t="str">
        <f>"ערן שלו"</f>
        <v>ערן שלו</v>
      </c>
    </row>
    <row r="417" spans="1:56" x14ac:dyDescent="0.3">
      <c r="A417" s="1">
        <v>45107</v>
      </c>
      <c r="B417" t="str">
        <f>"CR237000072"</f>
        <v>CR237000072</v>
      </c>
      <c r="C417" t="str">
        <f>"PR22000629"</f>
        <v>PR22000629</v>
      </c>
      <c r="D417" t="str">
        <f>"PR22000629"</f>
        <v>PR22000629</v>
      </c>
      <c r="E417" t="str">
        <f>"Y"</f>
        <v>Y</v>
      </c>
      <c r="F417" t="str">
        <f>"חשבוניות זיכוי"</f>
        <v>חשבוניות זיכוי</v>
      </c>
      <c r="G417" t="str">
        <f>"700065"</f>
        <v>700065</v>
      </c>
      <c r="H417" t="str">
        <f>"אלתא מערכות בע""מ"</f>
        <v>אלתא מערכות בע"מ</v>
      </c>
      <c r="I417" t="str">
        <f>"15"</f>
        <v>15</v>
      </c>
      <c r="J417" t="str">
        <f>"000"</f>
        <v>000</v>
      </c>
      <c r="K417" t="str">
        <f>"עלות תכנון של השרטוטים"</f>
        <v>עלות תכנון של השרטוטים</v>
      </c>
      <c r="L417">
        <v>1</v>
      </c>
      <c r="M417" t="str">
        <f>"יח"</f>
        <v>יח</v>
      </c>
      <c r="N417">
        <v>1</v>
      </c>
      <c r="O417" t="str">
        <f>"יח"</f>
        <v>יח</v>
      </c>
      <c r="P417">
        <v>204</v>
      </c>
      <c r="Q417" t="str">
        <f>"$"</f>
        <v>$</v>
      </c>
      <c r="R417" t="str">
        <f>"ידני"</f>
        <v>ידני</v>
      </c>
      <c r="S417">
        <v>0</v>
      </c>
      <c r="T417">
        <v>204</v>
      </c>
      <c r="U417">
        <v>0</v>
      </c>
      <c r="V417">
        <v>204</v>
      </c>
      <c r="W417" t="str">
        <f>"$"</f>
        <v>$</v>
      </c>
      <c r="X417">
        <v>0</v>
      </c>
      <c r="Y417">
        <v>0</v>
      </c>
      <c r="Z417">
        <v>0</v>
      </c>
      <c r="AA417" t="str">
        <f>"Y"</f>
        <v>Y</v>
      </c>
      <c r="AB417" t="str">
        <f>"SO22000378"</f>
        <v>SO22000378</v>
      </c>
      <c r="AC417">
        <v>6</v>
      </c>
      <c r="AD417" s="1">
        <v>44847</v>
      </c>
      <c r="AM417" t="str">
        <f>"10"</f>
        <v>10</v>
      </c>
      <c r="AN417" t="str">
        <f>"500000"</f>
        <v>500000</v>
      </c>
      <c r="AO417" t="str">
        <f>"הכנסות  מלקוחות"</f>
        <v>הכנסות  מלקוחות</v>
      </c>
      <c r="AQ417" t="str">
        <f>"040"</f>
        <v>040</v>
      </c>
      <c r="AR417">
        <v>0</v>
      </c>
      <c r="AS417">
        <v>0</v>
      </c>
      <c r="AT417">
        <v>3.6259999999999999</v>
      </c>
      <c r="AX417" t="str">
        <f>"E000374542"</f>
        <v>E000374542</v>
      </c>
      <c r="BD417" t="str">
        <f>"רחמים זרוק"</f>
        <v>רחמים זרוק</v>
      </c>
    </row>
    <row r="418" spans="1:56" x14ac:dyDescent="0.3">
      <c r="A418" s="1">
        <v>45107</v>
      </c>
      <c r="B418" t="str">
        <f>"CR237000071"</f>
        <v>CR237000071</v>
      </c>
      <c r="E418" t="str">
        <f>"Y"</f>
        <v>Y</v>
      </c>
      <c r="F418" t="str">
        <f>"חשבוניות זיכוי"</f>
        <v>חשבוניות זיכוי</v>
      </c>
      <c r="G418" t="str">
        <f>"700065"</f>
        <v>700065</v>
      </c>
      <c r="H418" t="str">
        <f>"אלתא מערכות בע""מ"</f>
        <v>אלתא מערכות בע"מ</v>
      </c>
      <c r="I418" t="str">
        <f>"10"</f>
        <v>10</v>
      </c>
      <c r="J418" t="str">
        <f>"999"</f>
        <v>999</v>
      </c>
      <c r="K418" t="str">
        <f>"זיכוי מקבלה RC220000231"</f>
        <v>זיכוי מקבלה RC220000231</v>
      </c>
      <c r="L418">
        <v>1</v>
      </c>
      <c r="M418" t="str">
        <f>"חל"</f>
        <v>חל</v>
      </c>
      <c r="N418">
        <v>1</v>
      </c>
      <c r="O418" t="str">
        <f>"חל"</f>
        <v>חל</v>
      </c>
      <c r="P418" s="2">
        <v>12170</v>
      </c>
      <c r="Q418" t="str">
        <f>"$"</f>
        <v>$</v>
      </c>
      <c r="R418" t="str">
        <f>"ידני"</f>
        <v>ידני</v>
      </c>
      <c r="S418">
        <v>0</v>
      </c>
      <c r="T418" s="2">
        <v>12170</v>
      </c>
      <c r="U418">
        <v>0</v>
      </c>
      <c r="V418" s="2">
        <v>12170</v>
      </c>
      <c r="W418" t="str">
        <f>"$"</f>
        <v>$</v>
      </c>
      <c r="X418">
        <v>0</v>
      </c>
      <c r="Y418">
        <v>0</v>
      </c>
      <c r="Z418">
        <v>0</v>
      </c>
      <c r="AA418" t="str">
        <f>"Y"</f>
        <v>Y</v>
      </c>
      <c r="AC418">
        <v>0</v>
      </c>
      <c r="AM418" t="str">
        <f>"10"</f>
        <v>10</v>
      </c>
      <c r="AN418" t="str">
        <f>"500000"</f>
        <v>500000</v>
      </c>
      <c r="AO418" t="str">
        <f>"הכנסות  מלקוחות"</f>
        <v>הכנסות  מלקוחות</v>
      </c>
      <c r="AQ418" t="str">
        <f>"034"</f>
        <v>034</v>
      </c>
      <c r="AR418">
        <v>0</v>
      </c>
      <c r="AS418">
        <v>0</v>
      </c>
      <c r="AT418">
        <v>3.3540000000000001</v>
      </c>
      <c r="BB418" t="str">
        <f>"Y"</f>
        <v>Y</v>
      </c>
      <c r="BD418" t="str">
        <f>"ערן שלו"</f>
        <v>ערן שלו</v>
      </c>
    </row>
    <row r="419" spans="1:56" x14ac:dyDescent="0.3">
      <c r="A419" s="1">
        <v>45107</v>
      </c>
      <c r="B419" t="str">
        <f>"CR237000070"</f>
        <v>CR237000070</v>
      </c>
      <c r="E419" t="str">
        <f>"Y"</f>
        <v>Y</v>
      </c>
      <c r="F419" t="str">
        <f>"חשבוניות זיכוי"</f>
        <v>חשבוניות זיכוי</v>
      </c>
      <c r="G419" t="str">
        <f>"700065"</f>
        <v>700065</v>
      </c>
      <c r="H419" t="str">
        <f>"אלתא מערכות בע""מ"</f>
        <v>אלתא מערכות בע"מ</v>
      </c>
      <c r="I419" t="str">
        <f>"10"</f>
        <v>10</v>
      </c>
      <c r="J419" t="str">
        <f>"999"</f>
        <v>999</v>
      </c>
      <c r="K419" t="str">
        <f>"זיכוי"</f>
        <v>זיכוי</v>
      </c>
      <c r="L419">
        <v>-1</v>
      </c>
      <c r="M419" t="str">
        <f>"חל"</f>
        <v>חל</v>
      </c>
      <c r="N419">
        <v>-1</v>
      </c>
      <c r="O419" t="str">
        <f>"חל"</f>
        <v>חל</v>
      </c>
      <c r="P419" s="2">
        <v>12170</v>
      </c>
      <c r="Q419" t="str">
        <f>"$"</f>
        <v>$</v>
      </c>
      <c r="R419" t="str">
        <f>"ידני"</f>
        <v>ידני</v>
      </c>
      <c r="S419">
        <v>0</v>
      </c>
      <c r="T419" s="2">
        <v>-12170</v>
      </c>
      <c r="U419">
        <v>0</v>
      </c>
      <c r="V419" s="2">
        <v>-12170</v>
      </c>
      <c r="W419" t="str">
        <f>"$"</f>
        <v>$</v>
      </c>
      <c r="X419">
        <v>0</v>
      </c>
      <c r="Y419">
        <v>0</v>
      </c>
      <c r="Z419">
        <v>0</v>
      </c>
      <c r="AA419" t="str">
        <f>"Y"</f>
        <v>Y</v>
      </c>
      <c r="AC419">
        <v>0</v>
      </c>
      <c r="AM419" t="str">
        <f>"10"</f>
        <v>10</v>
      </c>
      <c r="AN419" t="str">
        <f>"500000"</f>
        <v>500000</v>
      </c>
      <c r="AO419" t="str">
        <f>"הכנסות  מלקוחות"</f>
        <v>הכנסות  מלקוחות</v>
      </c>
      <c r="AQ419" t="str">
        <f>"034"</f>
        <v>034</v>
      </c>
      <c r="AR419">
        <v>0</v>
      </c>
      <c r="AS419">
        <v>0</v>
      </c>
      <c r="AT419">
        <v>3.3540000000000001</v>
      </c>
      <c r="BB419" t="str">
        <f>"Y"</f>
        <v>Y</v>
      </c>
      <c r="BD419" t="str">
        <f>"ערן שלו"</f>
        <v>ערן שלו</v>
      </c>
    </row>
    <row r="420" spans="1:56" x14ac:dyDescent="0.3">
      <c r="A420" s="1">
        <v>45107</v>
      </c>
      <c r="B420" t="str">
        <f>"CR237000069"</f>
        <v>CR237000069</v>
      </c>
      <c r="E420" t="str">
        <f>"Y"</f>
        <v>Y</v>
      </c>
      <c r="F420" t="str">
        <f>"חשבוניות זיכוי"</f>
        <v>חשבוניות זיכוי</v>
      </c>
      <c r="G420" t="str">
        <f>"700065"</f>
        <v>700065</v>
      </c>
      <c r="H420" t="str">
        <f>"אלתא מערכות בע""מ"</f>
        <v>אלתא מערכות בע"מ</v>
      </c>
      <c r="I420" t="str">
        <f>"10"</f>
        <v>10</v>
      </c>
      <c r="J420" t="str">
        <f>"999"</f>
        <v>999</v>
      </c>
      <c r="K420" t="str">
        <f>"זיכוי"</f>
        <v>זיכוי</v>
      </c>
      <c r="L420">
        <v>1</v>
      </c>
      <c r="M420" t="str">
        <f>"חל"</f>
        <v>חל</v>
      </c>
      <c r="N420">
        <v>1</v>
      </c>
      <c r="O420" t="str">
        <f>"חל"</f>
        <v>חל</v>
      </c>
      <c r="P420" s="2">
        <v>12170</v>
      </c>
      <c r="Q420" t="str">
        <f>"$"</f>
        <v>$</v>
      </c>
      <c r="R420" t="str">
        <f>"ידני"</f>
        <v>ידני</v>
      </c>
      <c r="S420">
        <v>0</v>
      </c>
      <c r="T420" s="2">
        <v>12170</v>
      </c>
      <c r="U420">
        <v>0</v>
      </c>
      <c r="V420" s="2">
        <v>12170</v>
      </c>
      <c r="W420" t="str">
        <f>"$"</f>
        <v>$</v>
      </c>
      <c r="X420">
        <v>0</v>
      </c>
      <c r="Y420">
        <v>0</v>
      </c>
      <c r="Z420">
        <v>0</v>
      </c>
      <c r="AA420" t="str">
        <f>"Y"</f>
        <v>Y</v>
      </c>
      <c r="AC420">
        <v>0</v>
      </c>
      <c r="AM420" t="str">
        <f>"10"</f>
        <v>10</v>
      </c>
      <c r="AN420" t="str">
        <f>"500000"</f>
        <v>500000</v>
      </c>
      <c r="AO420" t="str">
        <f>"הכנסות  מלקוחות"</f>
        <v>הכנסות  מלקוחות</v>
      </c>
      <c r="AQ420" t="str">
        <f>"034"</f>
        <v>034</v>
      </c>
      <c r="AR420">
        <v>0</v>
      </c>
      <c r="AS420">
        <v>0</v>
      </c>
      <c r="AT420">
        <v>3.3540000000000001</v>
      </c>
      <c r="BB420" t="str">
        <f>"Y"</f>
        <v>Y</v>
      </c>
      <c r="BD420" t="str">
        <f>"ערן שלו"</f>
        <v>ערן שלו</v>
      </c>
    </row>
    <row r="421" spans="1:56" x14ac:dyDescent="0.3">
      <c r="A421" s="1">
        <v>45107</v>
      </c>
      <c r="B421" t="str">
        <f>"CR237000066"</f>
        <v>CR237000066</v>
      </c>
      <c r="E421" t="str">
        <f>"Y"</f>
        <v>Y</v>
      </c>
      <c r="F421" t="str">
        <f>"חשבוניות זיכוי"</f>
        <v>חשבוניות זיכוי</v>
      </c>
      <c r="G421" t="str">
        <f>"700065"</f>
        <v>700065</v>
      </c>
      <c r="H421" t="str">
        <f>"אלתא מערכות בע""מ"</f>
        <v>אלתא מערכות בע"מ</v>
      </c>
      <c r="I421" t="str">
        <f>"10"</f>
        <v>10</v>
      </c>
      <c r="J421" t="str">
        <f>"000"</f>
        <v>000</v>
      </c>
      <c r="K421" t="str">
        <f>"זיכוי"</f>
        <v>זיכוי</v>
      </c>
      <c r="L421">
        <v>1</v>
      </c>
      <c r="M421" t="str">
        <f>"יח"</f>
        <v>יח</v>
      </c>
      <c r="N421">
        <v>1</v>
      </c>
      <c r="O421" t="str">
        <f>"יח"</f>
        <v>יח</v>
      </c>
      <c r="P421" s="2">
        <v>2884.62</v>
      </c>
      <c r="Q421" t="str">
        <f>"$"</f>
        <v>$</v>
      </c>
      <c r="R421" t="str">
        <f>"ידני"</f>
        <v>ידני</v>
      </c>
      <c r="S421">
        <v>0</v>
      </c>
      <c r="T421" s="2">
        <v>2884.62</v>
      </c>
      <c r="U421">
        <v>0</v>
      </c>
      <c r="V421" s="2">
        <v>2884.62</v>
      </c>
      <c r="W421" t="str">
        <f>"$"</f>
        <v>$</v>
      </c>
      <c r="X421">
        <v>0</v>
      </c>
      <c r="Y421">
        <v>0</v>
      </c>
      <c r="Z421">
        <v>0</v>
      </c>
      <c r="AA421" t="str">
        <f>"Y"</f>
        <v>Y</v>
      </c>
      <c r="AC421">
        <v>0</v>
      </c>
      <c r="AM421" t="str">
        <f>"10"</f>
        <v>10</v>
      </c>
      <c r="AN421" t="str">
        <f>"500000"</f>
        <v>500000</v>
      </c>
      <c r="AO421" t="str">
        <f>"הכנסות  מלקוחות"</f>
        <v>הכנסות  מלקוחות</v>
      </c>
      <c r="AQ421" t="str">
        <f>"034"</f>
        <v>034</v>
      </c>
      <c r="AR421">
        <v>0</v>
      </c>
      <c r="AS421">
        <v>0</v>
      </c>
      <c r="AT421">
        <v>3.2250000000000001</v>
      </c>
      <c r="BD421" t="str">
        <f>"ערן שלו"</f>
        <v>ערן שלו</v>
      </c>
    </row>
    <row r="422" spans="1:56" x14ac:dyDescent="0.3">
      <c r="A422" s="1">
        <v>45107</v>
      </c>
      <c r="B422" t="str">
        <f>"CR237000063"</f>
        <v>CR237000063</v>
      </c>
      <c r="C422" t="str">
        <f>"PR20000699"</f>
        <v>PR20000699</v>
      </c>
      <c r="E422" t="str">
        <f>"Y"</f>
        <v>Y</v>
      </c>
      <c r="F422" t="str">
        <f>"חשבוניות זיכוי"</f>
        <v>חשבוניות זיכוי</v>
      </c>
      <c r="G422" t="str">
        <f>"700065"</f>
        <v>700065</v>
      </c>
      <c r="H422" t="str">
        <f>"אלתא מערכות בע""מ"</f>
        <v>אלתא מערכות בע"מ</v>
      </c>
      <c r="I422" t="str">
        <f>"10"</f>
        <v>10</v>
      </c>
      <c r="J422" t="str">
        <f>"000"</f>
        <v>000</v>
      </c>
      <c r="K422" t="str">
        <f>"זיכוי"</f>
        <v>זיכוי</v>
      </c>
      <c r="L422">
        <v>-1</v>
      </c>
      <c r="M422" t="str">
        <f>"יח"</f>
        <v>יח</v>
      </c>
      <c r="N422">
        <v>-1</v>
      </c>
      <c r="O422" t="str">
        <f>"יח"</f>
        <v>יח</v>
      </c>
      <c r="P422" s="2">
        <v>2884.62</v>
      </c>
      <c r="Q422" t="str">
        <f>"$"</f>
        <v>$</v>
      </c>
      <c r="R422" t="str">
        <f>"ידני"</f>
        <v>ידני</v>
      </c>
      <c r="S422">
        <v>0</v>
      </c>
      <c r="T422" s="2">
        <v>-2884.62</v>
      </c>
      <c r="U422">
        <v>0</v>
      </c>
      <c r="V422" s="2">
        <v>-2884.62</v>
      </c>
      <c r="W422" t="str">
        <f>"$"</f>
        <v>$</v>
      </c>
      <c r="X422">
        <v>0</v>
      </c>
      <c r="Y422">
        <v>0</v>
      </c>
      <c r="Z422">
        <v>0</v>
      </c>
      <c r="AA422" t="str">
        <f>"Y"</f>
        <v>Y</v>
      </c>
      <c r="AC422">
        <v>0</v>
      </c>
      <c r="AM422" t="str">
        <f>"10"</f>
        <v>10</v>
      </c>
      <c r="AN422" t="str">
        <f>"500000"</f>
        <v>500000</v>
      </c>
      <c r="AO422" t="str">
        <f>"הכנסות  מלקוחות"</f>
        <v>הכנסות  מלקוחות</v>
      </c>
      <c r="AQ422" t="str">
        <f>"034"</f>
        <v>034</v>
      </c>
      <c r="AR422">
        <v>0</v>
      </c>
      <c r="AS422">
        <v>0</v>
      </c>
      <c r="AT422">
        <v>3.2250000000000001</v>
      </c>
      <c r="BB422" t="str">
        <f>"Y"</f>
        <v>Y</v>
      </c>
      <c r="BD422" t="str">
        <f>"ערן שלו"</f>
        <v>ערן שלו</v>
      </c>
    </row>
    <row r="423" spans="1:56" x14ac:dyDescent="0.3">
      <c r="A423" s="1">
        <v>45107</v>
      </c>
      <c r="B423" t="str">
        <f>"CR237000062"</f>
        <v>CR237000062</v>
      </c>
      <c r="C423" t="str">
        <f>"PR20000699"</f>
        <v>PR20000699</v>
      </c>
      <c r="E423" t="str">
        <f>"Y"</f>
        <v>Y</v>
      </c>
      <c r="F423" t="str">
        <f>"חשבוניות זיכוי"</f>
        <v>חשבוניות זיכוי</v>
      </c>
      <c r="G423" t="str">
        <f>"700065"</f>
        <v>700065</v>
      </c>
      <c r="H423" t="str">
        <f>"אלתא מערכות בע""מ"</f>
        <v>אלתא מערכות בע"מ</v>
      </c>
      <c r="I423" t="str">
        <f>"10"</f>
        <v>10</v>
      </c>
      <c r="J423" t="str">
        <f>"000"</f>
        <v>000</v>
      </c>
      <c r="K423" t="str">
        <f>"זיכוי"</f>
        <v>זיכוי</v>
      </c>
      <c r="L423">
        <v>1</v>
      </c>
      <c r="M423" t="str">
        <f>"יח"</f>
        <v>יח</v>
      </c>
      <c r="N423">
        <v>1</v>
      </c>
      <c r="O423" t="str">
        <f>"יח"</f>
        <v>יח</v>
      </c>
      <c r="P423" s="2">
        <v>2884.62</v>
      </c>
      <c r="Q423" t="str">
        <f>"$"</f>
        <v>$</v>
      </c>
      <c r="R423" t="str">
        <f>"ידני"</f>
        <v>ידני</v>
      </c>
      <c r="S423">
        <v>0</v>
      </c>
      <c r="T423" s="2">
        <v>2884.62</v>
      </c>
      <c r="U423">
        <v>0</v>
      </c>
      <c r="V423" s="2">
        <v>2884.62</v>
      </c>
      <c r="W423" t="str">
        <f>"$"</f>
        <v>$</v>
      </c>
      <c r="X423">
        <v>0</v>
      </c>
      <c r="Y423">
        <v>0</v>
      </c>
      <c r="Z423">
        <v>0</v>
      </c>
      <c r="AA423" t="str">
        <f>"Y"</f>
        <v>Y</v>
      </c>
      <c r="AC423">
        <v>0</v>
      </c>
      <c r="AM423" t="str">
        <f>"10"</f>
        <v>10</v>
      </c>
      <c r="AN423" t="str">
        <f>"500000"</f>
        <v>500000</v>
      </c>
      <c r="AO423" t="str">
        <f>"הכנסות  מלקוחות"</f>
        <v>הכנסות  מלקוחות</v>
      </c>
      <c r="AQ423" t="str">
        <f>"034"</f>
        <v>034</v>
      </c>
      <c r="AR423">
        <v>0</v>
      </c>
      <c r="AS423">
        <v>0</v>
      </c>
      <c r="AT423">
        <v>3.2250000000000001</v>
      </c>
      <c r="BB423" t="str">
        <f>"Y"</f>
        <v>Y</v>
      </c>
      <c r="BD423" t="str">
        <f>"ערן שלו"</f>
        <v>ערן שלו</v>
      </c>
    </row>
    <row r="424" spans="1:56" x14ac:dyDescent="0.3">
      <c r="A424" s="1">
        <v>45107</v>
      </c>
      <c r="B424" t="str">
        <f>"CR237000060"</f>
        <v>CR237000060</v>
      </c>
      <c r="C424" t="str">
        <f>"PR22000592"</f>
        <v>PR22000592</v>
      </c>
      <c r="E424" t="str">
        <f>"Y"</f>
        <v>Y</v>
      </c>
      <c r="F424" t="str">
        <f>"חשבוניות זיכוי"</f>
        <v>חשבוניות זיכוי</v>
      </c>
      <c r="G424" t="str">
        <f>"700065"</f>
        <v>700065</v>
      </c>
      <c r="H424" t="str">
        <f>"אלתא מערכות בע""מ"</f>
        <v>אלתא מערכות בע"מ</v>
      </c>
      <c r="I424" t="str">
        <f>"10"</f>
        <v>10</v>
      </c>
      <c r="J424" t="str">
        <f>"זיכוי"</f>
        <v>זיכוי</v>
      </c>
      <c r="K424" t="str">
        <f>"זיכוי"</f>
        <v>זיכוי</v>
      </c>
      <c r="L424">
        <v>-1</v>
      </c>
      <c r="M424" t="str">
        <f>"יח"</f>
        <v>יח</v>
      </c>
      <c r="N424">
        <v>-1</v>
      </c>
      <c r="O424" t="str">
        <f>"יח"</f>
        <v>יח</v>
      </c>
      <c r="P424">
        <v>271.04000000000002</v>
      </c>
      <c r="Q424" t="str">
        <f>"$"</f>
        <v>$</v>
      </c>
      <c r="R424" t="str">
        <f>"ידני"</f>
        <v>ידני</v>
      </c>
      <c r="S424">
        <v>0</v>
      </c>
      <c r="T424">
        <v>-271.04000000000002</v>
      </c>
      <c r="U424">
        <v>0</v>
      </c>
      <c r="V424">
        <v>-271.04000000000002</v>
      </c>
      <c r="W424" t="str">
        <f>"$"</f>
        <v>$</v>
      </c>
      <c r="X424">
        <v>0</v>
      </c>
      <c r="Y424">
        <v>0</v>
      </c>
      <c r="Z424">
        <v>0</v>
      </c>
      <c r="AA424" t="str">
        <f>"Y"</f>
        <v>Y</v>
      </c>
      <c r="AC424">
        <v>0</v>
      </c>
      <c r="AM424" t="str">
        <f>"10"</f>
        <v>10</v>
      </c>
      <c r="AN424" t="str">
        <f>"500000"</f>
        <v>500000</v>
      </c>
      <c r="AO424" t="str">
        <f>"הכנסות  מלקוחות"</f>
        <v>הכנסות  מלקוחות</v>
      </c>
      <c r="AP424" t="str">
        <f>"Y"</f>
        <v>Y</v>
      </c>
      <c r="AQ424" t="str">
        <f>"034"</f>
        <v>034</v>
      </c>
      <c r="AR424">
        <v>0</v>
      </c>
      <c r="AS424">
        <v>0</v>
      </c>
      <c r="AT424">
        <v>3.2589999999999999</v>
      </c>
      <c r="BB424" t="str">
        <f>"Y"</f>
        <v>Y</v>
      </c>
      <c r="BD424" t="str">
        <f>"ערן שלו"</f>
        <v>ערן שלו</v>
      </c>
    </row>
    <row r="425" spans="1:56" x14ac:dyDescent="0.3">
      <c r="A425" s="1">
        <v>45107</v>
      </c>
      <c r="B425" t="str">
        <f>"CR237000059"</f>
        <v>CR237000059</v>
      </c>
      <c r="C425" t="str">
        <f>"PR22000592"</f>
        <v>PR22000592</v>
      </c>
      <c r="E425" t="str">
        <f>"Y"</f>
        <v>Y</v>
      </c>
      <c r="F425" t="str">
        <f>"חשבוניות זיכוי"</f>
        <v>חשבוניות זיכוי</v>
      </c>
      <c r="G425" t="str">
        <f>"700065"</f>
        <v>700065</v>
      </c>
      <c r="H425" t="str">
        <f>"אלתא מערכות בע""מ"</f>
        <v>אלתא מערכות בע"מ</v>
      </c>
      <c r="I425" t="str">
        <f>"10"</f>
        <v>10</v>
      </c>
      <c r="J425" t="str">
        <f>"זיכוי"</f>
        <v>זיכוי</v>
      </c>
      <c r="K425" t="str">
        <f>"זיכוי"</f>
        <v>זיכוי</v>
      </c>
      <c r="L425">
        <v>1</v>
      </c>
      <c r="M425" t="str">
        <f>"יח"</f>
        <v>יח</v>
      </c>
      <c r="N425">
        <v>1</v>
      </c>
      <c r="O425" t="str">
        <f>"יח"</f>
        <v>יח</v>
      </c>
      <c r="P425">
        <v>271.04000000000002</v>
      </c>
      <c r="Q425" t="str">
        <f>"$"</f>
        <v>$</v>
      </c>
      <c r="R425" t="str">
        <f>"ידני"</f>
        <v>ידני</v>
      </c>
      <c r="S425">
        <v>0</v>
      </c>
      <c r="T425">
        <v>271.04000000000002</v>
      </c>
      <c r="U425">
        <v>0</v>
      </c>
      <c r="V425">
        <v>271.04000000000002</v>
      </c>
      <c r="W425" t="str">
        <f>"$"</f>
        <v>$</v>
      </c>
      <c r="X425">
        <v>0</v>
      </c>
      <c r="Y425">
        <v>0</v>
      </c>
      <c r="Z425">
        <v>0</v>
      </c>
      <c r="AA425" t="str">
        <f>"Y"</f>
        <v>Y</v>
      </c>
      <c r="AC425">
        <v>0</v>
      </c>
      <c r="AM425" t="str">
        <f>"10"</f>
        <v>10</v>
      </c>
      <c r="AN425" t="str">
        <f>"500000"</f>
        <v>500000</v>
      </c>
      <c r="AO425" t="str">
        <f>"הכנסות  מלקוחות"</f>
        <v>הכנסות  מלקוחות</v>
      </c>
      <c r="AP425" t="str">
        <f>"Y"</f>
        <v>Y</v>
      </c>
      <c r="AQ425" t="str">
        <f>"034"</f>
        <v>034</v>
      </c>
      <c r="AR425">
        <v>0</v>
      </c>
      <c r="AS425">
        <v>0</v>
      </c>
      <c r="AT425">
        <v>3.2589999999999999</v>
      </c>
      <c r="BB425" t="str">
        <f>"Y"</f>
        <v>Y</v>
      </c>
      <c r="BD425" t="str">
        <f>"ערן שלו"</f>
        <v>ערן שלו</v>
      </c>
    </row>
    <row r="426" spans="1:56" x14ac:dyDescent="0.3">
      <c r="A426" s="1">
        <v>45107</v>
      </c>
      <c r="B426" t="str">
        <f>"CR237000058"</f>
        <v>CR237000058</v>
      </c>
      <c r="E426" t="str">
        <f>"Y"</f>
        <v>Y</v>
      </c>
      <c r="F426" t="str">
        <f>"חשבוניות זיכוי"</f>
        <v>חשבוניות זיכוי</v>
      </c>
      <c r="G426" t="str">
        <f>"700065"</f>
        <v>700065</v>
      </c>
      <c r="H426" t="str">
        <f>"אלתא מערכות בע""מ"</f>
        <v>אלתא מערכות בע"מ</v>
      </c>
      <c r="I426" t="str">
        <f>"10"</f>
        <v>10</v>
      </c>
      <c r="J426" t="str">
        <f>"זיכוי"</f>
        <v>זיכוי</v>
      </c>
      <c r="K426" t="str">
        <f>"זיכוי"</f>
        <v>זיכוי</v>
      </c>
      <c r="L426">
        <v>-1</v>
      </c>
      <c r="M426" t="str">
        <f>"יח"</f>
        <v>יח</v>
      </c>
      <c r="N426">
        <v>-1</v>
      </c>
      <c r="O426" t="str">
        <f>"יח"</f>
        <v>יח</v>
      </c>
      <c r="P426">
        <v>271.04000000000002</v>
      </c>
      <c r="Q426" t="str">
        <f>"$"</f>
        <v>$</v>
      </c>
      <c r="R426" t="str">
        <f>"ידני"</f>
        <v>ידני</v>
      </c>
      <c r="S426">
        <v>0</v>
      </c>
      <c r="T426">
        <v>-271.04000000000002</v>
      </c>
      <c r="U426">
        <v>0</v>
      </c>
      <c r="V426">
        <v>-271.04000000000002</v>
      </c>
      <c r="W426" t="str">
        <f>"$"</f>
        <v>$</v>
      </c>
      <c r="X426">
        <v>0</v>
      </c>
      <c r="Y426">
        <v>0</v>
      </c>
      <c r="Z426">
        <v>0</v>
      </c>
      <c r="AA426" t="str">
        <f>"Y"</f>
        <v>Y</v>
      </c>
      <c r="AC426">
        <v>0</v>
      </c>
      <c r="AM426" t="str">
        <f>"10"</f>
        <v>10</v>
      </c>
      <c r="AN426" t="str">
        <f>"500000"</f>
        <v>500000</v>
      </c>
      <c r="AO426" t="str">
        <f>"הכנסות  מלקוחות"</f>
        <v>הכנסות  מלקוחות</v>
      </c>
      <c r="AP426" t="str">
        <f>"Y"</f>
        <v>Y</v>
      </c>
      <c r="AQ426" t="str">
        <f>"034"</f>
        <v>034</v>
      </c>
      <c r="AR426">
        <v>0</v>
      </c>
      <c r="AS426">
        <v>0</v>
      </c>
      <c r="AT426">
        <v>3.4750000000000001</v>
      </c>
      <c r="BB426" t="str">
        <f>"Y"</f>
        <v>Y</v>
      </c>
      <c r="BD426" t="str">
        <f>"ערן שלו"</f>
        <v>ערן שלו</v>
      </c>
    </row>
    <row r="427" spans="1:56" x14ac:dyDescent="0.3">
      <c r="A427" s="1">
        <v>45107</v>
      </c>
      <c r="B427" t="str">
        <f>"CR237000057"</f>
        <v>CR237000057</v>
      </c>
      <c r="E427" t="str">
        <f>"Y"</f>
        <v>Y</v>
      </c>
      <c r="F427" t="str">
        <f>"חשבוניות זיכוי"</f>
        <v>חשבוניות זיכוי</v>
      </c>
      <c r="G427" t="str">
        <f>"700065"</f>
        <v>700065</v>
      </c>
      <c r="H427" t="str">
        <f>"אלתא מערכות בע""מ"</f>
        <v>אלתא מערכות בע"מ</v>
      </c>
      <c r="I427" t="str">
        <f>"10"</f>
        <v>10</v>
      </c>
      <c r="J427" t="str">
        <f>"זיכוי"</f>
        <v>זיכוי</v>
      </c>
      <c r="K427" t="str">
        <f>"זיכוי"</f>
        <v>זיכוי</v>
      </c>
      <c r="L427">
        <v>1</v>
      </c>
      <c r="M427" t="str">
        <f>"יח"</f>
        <v>יח</v>
      </c>
      <c r="N427">
        <v>1</v>
      </c>
      <c r="O427" t="str">
        <f>"יח"</f>
        <v>יח</v>
      </c>
      <c r="P427">
        <v>271.04000000000002</v>
      </c>
      <c r="Q427" t="str">
        <f>"$"</f>
        <v>$</v>
      </c>
      <c r="R427" t="str">
        <f>"ידני"</f>
        <v>ידני</v>
      </c>
      <c r="S427">
        <v>0</v>
      </c>
      <c r="T427">
        <v>271.04000000000002</v>
      </c>
      <c r="U427">
        <v>0</v>
      </c>
      <c r="V427">
        <v>271.04000000000002</v>
      </c>
      <c r="W427" t="str">
        <f>"$"</f>
        <v>$</v>
      </c>
      <c r="X427">
        <v>0</v>
      </c>
      <c r="Y427">
        <v>0</v>
      </c>
      <c r="Z427">
        <v>0</v>
      </c>
      <c r="AA427" t="str">
        <f>"Y"</f>
        <v>Y</v>
      </c>
      <c r="AC427">
        <v>0</v>
      </c>
      <c r="AM427" t="str">
        <f>"10"</f>
        <v>10</v>
      </c>
      <c r="AN427" t="str">
        <f>"500000"</f>
        <v>500000</v>
      </c>
      <c r="AO427" t="str">
        <f>"הכנסות  מלקוחות"</f>
        <v>הכנסות  מלקוחות</v>
      </c>
      <c r="AP427" t="str">
        <f>"Y"</f>
        <v>Y</v>
      </c>
      <c r="AQ427" t="str">
        <f>"034"</f>
        <v>034</v>
      </c>
      <c r="AR427">
        <v>0</v>
      </c>
      <c r="AS427">
        <v>0</v>
      </c>
      <c r="AT427">
        <v>3.4750000000000001</v>
      </c>
      <c r="BB427" t="str">
        <f>"Y"</f>
        <v>Y</v>
      </c>
      <c r="BD427" t="str">
        <f>"ערן שלו"</f>
        <v>ערן שלו</v>
      </c>
    </row>
    <row r="428" spans="1:56" x14ac:dyDescent="0.3">
      <c r="A428" s="1">
        <v>45107</v>
      </c>
      <c r="B428" t="str">
        <f>"CR237000056"</f>
        <v>CR237000056</v>
      </c>
      <c r="C428" t="str">
        <f>"PR22000199"</f>
        <v>PR22000199</v>
      </c>
      <c r="E428" t="str">
        <f>"Y"</f>
        <v>Y</v>
      </c>
      <c r="F428" t="str">
        <f>"חשבוניות זיכוי"</f>
        <v>חשבוניות זיכוי</v>
      </c>
      <c r="G428" t="str">
        <f>"700065"</f>
        <v>700065</v>
      </c>
      <c r="H428" t="str">
        <f>"אלתא מערכות בע""מ"</f>
        <v>אלתא מערכות בע"מ</v>
      </c>
      <c r="I428" t="str">
        <f>"10"</f>
        <v>10</v>
      </c>
      <c r="J428" t="str">
        <f>"זיכוי"</f>
        <v>זיכוי</v>
      </c>
      <c r="K428" t="str">
        <f>"זיכוי"</f>
        <v>זיכוי</v>
      </c>
      <c r="L428">
        <v>1</v>
      </c>
      <c r="M428" t="str">
        <f>"יח"</f>
        <v>יח</v>
      </c>
      <c r="N428">
        <v>1</v>
      </c>
      <c r="O428" t="str">
        <f>"יח"</f>
        <v>יח</v>
      </c>
      <c r="P428">
        <v>750.56</v>
      </c>
      <c r="Q428" t="str">
        <f>"$"</f>
        <v>$</v>
      </c>
      <c r="R428" t="str">
        <f>"ידני"</f>
        <v>ידני</v>
      </c>
      <c r="S428">
        <v>0</v>
      </c>
      <c r="T428">
        <v>750.56</v>
      </c>
      <c r="U428">
        <v>0</v>
      </c>
      <c r="V428">
        <v>750.56</v>
      </c>
      <c r="W428" t="str">
        <f>"$"</f>
        <v>$</v>
      </c>
      <c r="X428">
        <v>0</v>
      </c>
      <c r="Y428">
        <v>0</v>
      </c>
      <c r="Z428">
        <v>0</v>
      </c>
      <c r="AA428" t="str">
        <f>"Y"</f>
        <v>Y</v>
      </c>
      <c r="AC428">
        <v>0</v>
      </c>
      <c r="AM428" t="str">
        <f>"10"</f>
        <v>10</v>
      </c>
      <c r="AN428" t="str">
        <f>"500000"</f>
        <v>500000</v>
      </c>
      <c r="AO428" t="str">
        <f>"הכנסות  מלקוחות"</f>
        <v>הכנסות  מלקוחות</v>
      </c>
      <c r="AP428" t="str">
        <f>"Y"</f>
        <v>Y</v>
      </c>
      <c r="AQ428" t="str">
        <f>"034"</f>
        <v>034</v>
      </c>
      <c r="AR428">
        <v>0</v>
      </c>
      <c r="AS428">
        <v>0</v>
      </c>
      <c r="AT428">
        <v>3.496</v>
      </c>
      <c r="BD428" t="str">
        <f>"ערן שלו"</f>
        <v>ערן שלו</v>
      </c>
    </row>
    <row r="429" spans="1:56" x14ac:dyDescent="0.3">
      <c r="A429" s="1">
        <v>45106</v>
      </c>
      <c r="B429" t="str">
        <f>"SI236000913"</f>
        <v>SI236000913</v>
      </c>
      <c r="C429" t="str">
        <f>"PR22000604"</f>
        <v>PR22000604</v>
      </c>
      <c r="D429" t="str">
        <f>"PR22000604"</f>
        <v>PR22000604</v>
      </c>
      <c r="E429" t="str">
        <f>"Y"</f>
        <v>Y</v>
      </c>
      <c r="F429" t="str">
        <f>"חשבוניות מרכזות"</f>
        <v>חשבוניות מרכזות</v>
      </c>
      <c r="G429" t="str">
        <f>"700065"</f>
        <v>700065</v>
      </c>
      <c r="H429" t="str">
        <f>"אלתא מערכות בע""מ"</f>
        <v>אלתא מערכות בע"מ</v>
      </c>
      <c r="I429" t="str">
        <f>"15"</f>
        <v>15</v>
      </c>
      <c r="J429" t="str">
        <f>"OP-AR03321"</f>
        <v>OP-AR03321</v>
      </c>
      <c r="K429" t="str">
        <f>"2091B452-001    IF VERT JIG CABLE ASSY"</f>
        <v>2091B452-001    IF VERT JIG CABLE ASSY</v>
      </c>
      <c r="L429">
        <v>1</v>
      </c>
      <c r="M429" t="str">
        <f>"יח"</f>
        <v>יח</v>
      </c>
      <c r="N429">
        <v>1</v>
      </c>
      <c r="O429" t="str">
        <f>"יח"</f>
        <v>יח</v>
      </c>
      <c r="P429" s="2">
        <v>3323.75</v>
      </c>
      <c r="Q429" t="str">
        <f>"$"</f>
        <v>$</v>
      </c>
      <c r="R429" t="str">
        <f>"הזמנה"</f>
        <v>הזמנה</v>
      </c>
      <c r="S429">
        <v>0</v>
      </c>
      <c r="T429" s="2">
        <v>3323.75</v>
      </c>
      <c r="U429">
        <v>0</v>
      </c>
      <c r="V429" s="2">
        <v>3323.75</v>
      </c>
      <c r="W429" t="str">
        <f>"$"</f>
        <v>$</v>
      </c>
      <c r="X429">
        <v>0</v>
      </c>
      <c r="Y429">
        <v>0</v>
      </c>
      <c r="Z429">
        <v>0</v>
      </c>
      <c r="AA429" t="str">
        <f>"Y"</f>
        <v>Y</v>
      </c>
      <c r="AB429" t="str">
        <f>"SO22000356"</f>
        <v>SO22000356</v>
      </c>
      <c r="AC429">
        <v>5</v>
      </c>
      <c r="AD429" s="1">
        <v>44816</v>
      </c>
      <c r="AE429" t="str">
        <f>"SH23000782"</f>
        <v>SH23000782</v>
      </c>
      <c r="AF429" t="str">
        <f>"משלוחים ללקוח"</f>
        <v>משלוחים ללקוח</v>
      </c>
      <c r="AG429" s="1">
        <v>45102</v>
      </c>
      <c r="AM429" t="str">
        <f>"10"</f>
        <v>10</v>
      </c>
      <c r="AN429" t="str">
        <f>"500000"</f>
        <v>500000</v>
      </c>
      <c r="AO429" t="str">
        <f>"הכנסות  מלקוחות"</f>
        <v>הכנסות  מלקוחות</v>
      </c>
      <c r="AQ429" t="str">
        <f>"040"</f>
        <v>040</v>
      </c>
      <c r="AR429">
        <v>0</v>
      </c>
      <c r="AS429">
        <v>0</v>
      </c>
      <c r="AT429">
        <v>3.6920000000000002</v>
      </c>
      <c r="AX429" t="str">
        <f>"E000373398"</f>
        <v>E000373398</v>
      </c>
      <c r="BD429" t="str">
        <f>"רחמים זרוק"</f>
        <v>רחמים זרוק</v>
      </c>
    </row>
    <row r="430" spans="1:56" x14ac:dyDescent="0.3">
      <c r="A430" s="1">
        <v>45106</v>
      </c>
      <c r="B430" t="str">
        <f>"SI236000912"</f>
        <v>SI236000912</v>
      </c>
      <c r="C430" t="str">
        <f>"PR22000914"</f>
        <v>PR22000914</v>
      </c>
      <c r="E430" t="str">
        <f>"Y"</f>
        <v>Y</v>
      </c>
      <c r="F430" t="str">
        <f>"חשבוניות מרכזות"</f>
        <v>חשבוניות מרכזות</v>
      </c>
      <c r="G430" t="str">
        <f>"700065"</f>
        <v>700065</v>
      </c>
      <c r="H430" t="str">
        <f>"אלתא מערכות בע""מ"</f>
        <v>אלתא מערכות בע"מ</v>
      </c>
      <c r="I430" t="str">
        <f>"15"</f>
        <v>15</v>
      </c>
      <c r="J430" t="str">
        <f>"OP-AR03530"</f>
        <v>OP-AR03530</v>
      </c>
      <c r="K430" t="str">
        <f>"1032F630-001    HARNESS WB630 - LAB - HVJB 1L TO FILTER"</f>
        <v>1032F630-001    HARNESS WB630 - LAB - HVJB 1L TO FILTER</v>
      </c>
      <c r="L430">
        <v>1</v>
      </c>
      <c r="M430" t="str">
        <f>"יח"</f>
        <v>יח</v>
      </c>
      <c r="N430">
        <v>1</v>
      </c>
      <c r="O430" t="str">
        <f>"יח"</f>
        <v>יח</v>
      </c>
      <c r="P430" s="2">
        <v>1263.3599999999999</v>
      </c>
      <c r="Q430" t="str">
        <f>"$"</f>
        <v>$</v>
      </c>
      <c r="R430" t="str">
        <f>"הזמנה"</f>
        <v>הזמנה</v>
      </c>
      <c r="S430">
        <v>0</v>
      </c>
      <c r="T430" s="2">
        <v>1263.3599999999999</v>
      </c>
      <c r="U430">
        <v>0</v>
      </c>
      <c r="V430" s="2">
        <v>1263.3599999999999</v>
      </c>
      <c r="W430" t="str">
        <f>"$"</f>
        <v>$</v>
      </c>
      <c r="X430">
        <v>0</v>
      </c>
      <c r="Y430">
        <v>0</v>
      </c>
      <c r="Z430">
        <v>0</v>
      </c>
      <c r="AA430" t="str">
        <f>"Y"</f>
        <v>Y</v>
      </c>
      <c r="AB430" t="str">
        <f>"SO22000473"</f>
        <v>SO22000473</v>
      </c>
      <c r="AC430">
        <v>1</v>
      </c>
      <c r="AD430" s="1">
        <v>44917</v>
      </c>
      <c r="AE430" t="str">
        <f>"SH23000783"</f>
        <v>SH23000783</v>
      </c>
      <c r="AF430" t="str">
        <f>"משלוחים ללקוח"</f>
        <v>משלוחים ללקוח</v>
      </c>
      <c r="AG430" s="1">
        <v>45102</v>
      </c>
      <c r="AM430" t="str">
        <f>"10"</f>
        <v>10</v>
      </c>
      <c r="AN430" t="str">
        <f>"500000"</f>
        <v>500000</v>
      </c>
      <c r="AO430" t="str">
        <f>"הכנסות  מלקוחות"</f>
        <v>הכנסות  מלקוחות</v>
      </c>
      <c r="AQ430" t="str">
        <f>"040"</f>
        <v>040</v>
      </c>
      <c r="AR430">
        <v>0</v>
      </c>
      <c r="AS430">
        <v>0</v>
      </c>
      <c r="AT430">
        <v>3.6920000000000002</v>
      </c>
      <c r="AX430" t="str">
        <f>"E000381186"</f>
        <v>E000381186</v>
      </c>
      <c r="BD430" t="str">
        <f>"רחמים זרוק"</f>
        <v>רחמים זרוק</v>
      </c>
    </row>
    <row r="431" spans="1:56" x14ac:dyDescent="0.3">
      <c r="A431" s="1">
        <v>45106</v>
      </c>
      <c r="B431" t="str">
        <f>"SI236000911"</f>
        <v>SI236000911</v>
      </c>
      <c r="C431" t="str">
        <f>"PR22000356"</f>
        <v>PR22000356</v>
      </c>
      <c r="E431" t="str">
        <f>"Y"</f>
        <v>Y</v>
      </c>
      <c r="F431" t="str">
        <f>"חשבוניות מרכזות"</f>
        <v>חשבוניות מרכזות</v>
      </c>
      <c r="G431" t="str">
        <f>"700065"</f>
        <v>700065</v>
      </c>
      <c r="H431" t="str">
        <f>"אלתא מערכות בע""מ"</f>
        <v>אלתא מערכות בע"מ</v>
      </c>
      <c r="I431" t="str">
        <f>"10"</f>
        <v>10</v>
      </c>
      <c r="J431" t="str">
        <f>"OP-AR03131"</f>
        <v>OP-AR03131</v>
      </c>
      <c r="K431" t="str">
        <f>"4043B120-001   HARNESS W120 - SATCOM M-C CABLE"</f>
        <v>4043B120-001   HARNESS W120 - SATCOM M-C CABLE</v>
      </c>
      <c r="L431">
        <v>5</v>
      </c>
      <c r="M431" t="str">
        <f>"יח"</f>
        <v>יח</v>
      </c>
      <c r="N431">
        <v>5</v>
      </c>
      <c r="O431" t="str">
        <f>"יח"</f>
        <v>יח</v>
      </c>
      <c r="P431" s="2">
        <v>1006.78</v>
      </c>
      <c r="Q431" t="str">
        <f>"$"</f>
        <v>$</v>
      </c>
      <c r="R431" t="str">
        <f>"הזמנה"</f>
        <v>הזמנה</v>
      </c>
      <c r="S431">
        <v>0</v>
      </c>
      <c r="T431" s="2">
        <v>5033.8999999999996</v>
      </c>
      <c r="U431">
        <v>0</v>
      </c>
      <c r="V431" s="2">
        <v>5033.8999999999996</v>
      </c>
      <c r="W431" t="str">
        <f>"$"</f>
        <v>$</v>
      </c>
      <c r="X431">
        <v>0</v>
      </c>
      <c r="Y431">
        <v>0</v>
      </c>
      <c r="Z431">
        <v>0</v>
      </c>
      <c r="AA431" t="str">
        <f>"Y"</f>
        <v>Y</v>
      </c>
      <c r="AB431" t="str">
        <f>"SO22000180"</f>
        <v>SO22000180</v>
      </c>
      <c r="AC431">
        <v>2</v>
      </c>
      <c r="AD431" s="1">
        <v>44696</v>
      </c>
      <c r="AE431" t="str">
        <f>"SH23000784"</f>
        <v>SH23000784</v>
      </c>
      <c r="AF431" t="str">
        <f>"משלוחים ללקוח"</f>
        <v>משלוחים ללקוח</v>
      </c>
      <c r="AG431" s="1">
        <v>45102</v>
      </c>
      <c r="AM431" t="str">
        <f>"10"</f>
        <v>10</v>
      </c>
      <c r="AN431" t="str">
        <f>"500000"</f>
        <v>500000</v>
      </c>
      <c r="AO431" t="str">
        <f>"הכנסות  מלקוחות"</f>
        <v>הכנסות  מלקוחות</v>
      </c>
      <c r="AQ431" t="str">
        <f>"040"</f>
        <v>040</v>
      </c>
      <c r="AR431">
        <v>0</v>
      </c>
      <c r="AS431">
        <v>0</v>
      </c>
      <c r="AT431">
        <v>3.6920000000000002</v>
      </c>
      <c r="AX431" t="str">
        <f>"E000364014"</f>
        <v>E000364014</v>
      </c>
      <c r="BD431" t="str">
        <f>"רחמים זרוק"</f>
        <v>רחמים זרוק</v>
      </c>
    </row>
    <row r="432" spans="1:56" x14ac:dyDescent="0.3">
      <c r="A432" s="1">
        <v>45106</v>
      </c>
      <c r="B432" t="str">
        <f>"SI236000910"</f>
        <v>SI236000910</v>
      </c>
      <c r="C432" t="str">
        <f>"PR22000551"</f>
        <v>PR22000551</v>
      </c>
      <c r="D432" t="str">
        <f>"PR22000551"</f>
        <v>PR22000551</v>
      </c>
      <c r="E432" t="str">
        <f>"Y"</f>
        <v>Y</v>
      </c>
      <c r="F432" t="str">
        <f>"חשבוניות מרכזות"</f>
        <v>חשבוניות מרכזות</v>
      </c>
      <c r="G432" t="str">
        <f>"700065"</f>
        <v>700065</v>
      </c>
      <c r="H432" t="str">
        <f>"אלתא מערכות בע""מ"</f>
        <v>אלתא מערכות בע"מ</v>
      </c>
      <c r="I432" t="str">
        <f>"15"</f>
        <v>15</v>
      </c>
      <c r="J432" t="str">
        <f>"OP-AR03247"</f>
        <v>OP-AR03247</v>
      </c>
      <c r="K432" t="str">
        <f>"1036H252-001    HARNESS WC252 - CONTROL"</f>
        <v>1036H252-001    HARNESS WC252 - CONTROL</v>
      </c>
      <c r="L432">
        <v>3</v>
      </c>
      <c r="M432" t="str">
        <f>"יח"</f>
        <v>יח</v>
      </c>
      <c r="N432">
        <v>3</v>
      </c>
      <c r="O432" t="str">
        <f>"יח"</f>
        <v>יח</v>
      </c>
      <c r="P432">
        <v>735.27</v>
      </c>
      <c r="Q432" t="str">
        <f>"$"</f>
        <v>$</v>
      </c>
      <c r="R432" t="str">
        <f>"הזמנה"</f>
        <v>הזמנה</v>
      </c>
      <c r="S432">
        <v>0</v>
      </c>
      <c r="T432" s="2">
        <v>2205.81</v>
      </c>
      <c r="U432">
        <v>0</v>
      </c>
      <c r="V432" s="2">
        <v>2205.81</v>
      </c>
      <c r="W432" t="str">
        <f>"$"</f>
        <v>$</v>
      </c>
      <c r="X432">
        <v>0</v>
      </c>
      <c r="Y432">
        <v>0</v>
      </c>
      <c r="Z432">
        <v>0</v>
      </c>
      <c r="AA432" t="str">
        <f>"Y"</f>
        <v>Y</v>
      </c>
      <c r="AB432" t="str">
        <f>"SO22000316"</f>
        <v>SO22000316</v>
      </c>
      <c r="AC432">
        <v>4</v>
      </c>
      <c r="AD432" s="1">
        <v>44782</v>
      </c>
      <c r="AE432" t="str">
        <f>"SH23000786"</f>
        <v>SH23000786</v>
      </c>
      <c r="AF432" t="str">
        <f>"משלוחים ללקוח"</f>
        <v>משלוחים ללקוח</v>
      </c>
      <c r="AG432" s="1">
        <v>45102</v>
      </c>
      <c r="AM432" t="str">
        <f>"10"</f>
        <v>10</v>
      </c>
      <c r="AN432" t="str">
        <f>"500000"</f>
        <v>500000</v>
      </c>
      <c r="AO432" t="str">
        <f>"הכנסות  מלקוחות"</f>
        <v>הכנסות  מלקוחות</v>
      </c>
      <c r="AQ432" t="str">
        <f>"040"</f>
        <v>040</v>
      </c>
      <c r="AR432">
        <v>0</v>
      </c>
      <c r="AS432">
        <v>0</v>
      </c>
      <c r="AT432">
        <v>3.6920000000000002</v>
      </c>
      <c r="AX432" t="str">
        <f>"E000369246"</f>
        <v>E000369246</v>
      </c>
      <c r="BD432" t="str">
        <f>"רחמים זרוק"</f>
        <v>רחמים זרוק</v>
      </c>
    </row>
    <row r="433" spans="1:56" x14ac:dyDescent="0.3">
      <c r="A433" s="1">
        <v>45106</v>
      </c>
      <c r="B433" t="str">
        <f>"SI236000909"</f>
        <v>SI236000909</v>
      </c>
      <c r="C433" t="str">
        <f>"PR22000898"</f>
        <v>PR22000898</v>
      </c>
      <c r="E433" t="str">
        <f>"Y"</f>
        <v>Y</v>
      </c>
      <c r="F433" t="str">
        <f>"חשבוניות מרכזות"</f>
        <v>חשבוניות מרכזות</v>
      </c>
      <c r="G433" t="str">
        <f>"700065"</f>
        <v>700065</v>
      </c>
      <c r="H433" t="str">
        <f>"אלתא מערכות בע""מ"</f>
        <v>אלתא מערכות בע"מ</v>
      </c>
      <c r="I433" t="str">
        <f>"10"</f>
        <v>10</v>
      </c>
      <c r="J433" t="str">
        <f>"OP-AR03456"</f>
        <v>OP-AR03456</v>
      </c>
      <c r="K433" t="str">
        <f>"1040L229-001    TRU CONTROL CABLE W9"</f>
        <v>1040L229-001    TRU CONTROL CABLE W9</v>
      </c>
      <c r="L433">
        <v>1</v>
      </c>
      <c r="M433" t="str">
        <f>"יח"</f>
        <v>יח</v>
      </c>
      <c r="N433">
        <v>1</v>
      </c>
      <c r="O433" t="str">
        <f>"יח"</f>
        <v>יח</v>
      </c>
      <c r="P433">
        <v>633.76</v>
      </c>
      <c r="Q433" t="str">
        <f>"$"</f>
        <v>$</v>
      </c>
      <c r="R433" t="str">
        <f>"הזמנה"</f>
        <v>הזמנה</v>
      </c>
      <c r="S433">
        <v>0</v>
      </c>
      <c r="T433">
        <v>633.76</v>
      </c>
      <c r="U433">
        <v>0</v>
      </c>
      <c r="V433">
        <v>633.76</v>
      </c>
      <c r="W433" t="str">
        <f>"$"</f>
        <v>$</v>
      </c>
      <c r="X433">
        <v>0</v>
      </c>
      <c r="Y433">
        <v>0</v>
      </c>
      <c r="Z433">
        <v>0</v>
      </c>
      <c r="AA433" t="str">
        <f>"Y"</f>
        <v>Y</v>
      </c>
      <c r="AB433" t="str">
        <f>"SO22000457"</f>
        <v>SO22000457</v>
      </c>
      <c r="AC433">
        <v>5</v>
      </c>
      <c r="AD433" s="1">
        <v>44907</v>
      </c>
      <c r="AE433" t="str">
        <f>"SH23000787"</f>
        <v>SH23000787</v>
      </c>
      <c r="AF433" t="str">
        <f>"משלוחים ללקוח"</f>
        <v>משלוחים ללקוח</v>
      </c>
      <c r="AG433" s="1">
        <v>45102</v>
      </c>
      <c r="AM433" t="str">
        <f>"10"</f>
        <v>10</v>
      </c>
      <c r="AN433" t="str">
        <f>"500000"</f>
        <v>500000</v>
      </c>
      <c r="AO433" t="str">
        <f>"הכנסות  מלקוחות"</f>
        <v>הכנסות  מלקוחות</v>
      </c>
      <c r="AQ433" t="str">
        <f>"040"</f>
        <v>040</v>
      </c>
      <c r="AR433">
        <v>0</v>
      </c>
      <c r="AS433">
        <v>0</v>
      </c>
      <c r="AT433">
        <v>3.6920000000000002</v>
      </c>
      <c r="AX433" t="str">
        <f>"E000379161"</f>
        <v>E000379161</v>
      </c>
      <c r="BD433" t="str">
        <f>"רחמים זרוק"</f>
        <v>רחמים זרוק</v>
      </c>
    </row>
    <row r="434" spans="1:56" x14ac:dyDescent="0.3">
      <c r="A434" s="1">
        <v>45106</v>
      </c>
      <c r="B434" t="str">
        <f>"SI236000908"</f>
        <v>SI236000908</v>
      </c>
      <c r="C434" t="str">
        <f>"PR23000287"</f>
        <v>PR23000287</v>
      </c>
      <c r="E434" t="str">
        <f>"Y"</f>
        <v>Y</v>
      </c>
      <c r="F434" t="str">
        <f>"חשבוניות מרכזות"</f>
        <v>חשבוניות מרכזות</v>
      </c>
      <c r="G434" t="str">
        <f>"700065"</f>
        <v>700065</v>
      </c>
      <c r="H434" t="str">
        <f>"אלתא מערכות בע""מ"</f>
        <v>אלתא מערכות בע"מ</v>
      </c>
      <c r="I434" t="str">
        <f>"15"</f>
        <v>15</v>
      </c>
      <c r="J434" t="str">
        <f>"OP-AR03618"</f>
        <v>OP-AR03618</v>
      </c>
      <c r="K434" t="str">
        <f>"1038B589-001    CIWS FANS P.S. CABLE"</f>
        <v>1038B589-001    CIWS FANS P.S. CABLE</v>
      </c>
      <c r="L434">
        <v>1</v>
      </c>
      <c r="M434" t="str">
        <f>"יח"</f>
        <v>יח</v>
      </c>
      <c r="N434">
        <v>1</v>
      </c>
      <c r="O434" t="str">
        <f>"יח"</f>
        <v>יח</v>
      </c>
      <c r="P434">
        <v>699.87</v>
      </c>
      <c r="Q434" t="str">
        <f>"$"</f>
        <v>$</v>
      </c>
      <c r="R434" t="str">
        <f>"הזמנה"</f>
        <v>הזמנה</v>
      </c>
      <c r="S434">
        <v>0</v>
      </c>
      <c r="T434">
        <v>699.87</v>
      </c>
      <c r="U434">
        <v>0</v>
      </c>
      <c r="V434">
        <v>699.87</v>
      </c>
      <c r="W434" t="str">
        <f>"$"</f>
        <v>$</v>
      </c>
      <c r="X434">
        <v>0</v>
      </c>
      <c r="Y434">
        <v>0</v>
      </c>
      <c r="Z434">
        <v>0</v>
      </c>
      <c r="AA434" t="str">
        <f>"Y"</f>
        <v>Y</v>
      </c>
      <c r="AB434" t="str">
        <f>"SO23000198"</f>
        <v>SO23000198</v>
      </c>
      <c r="AC434">
        <v>1</v>
      </c>
      <c r="AD434" s="1">
        <v>45041</v>
      </c>
      <c r="AE434" t="str">
        <f>"SH23000788"</f>
        <v>SH23000788</v>
      </c>
      <c r="AF434" t="str">
        <f>"משלוחים ללקוח"</f>
        <v>משלוחים ללקוח</v>
      </c>
      <c r="AG434" s="1">
        <v>45102</v>
      </c>
      <c r="AM434" t="str">
        <f>"10"</f>
        <v>10</v>
      </c>
      <c r="AN434" t="str">
        <f>"500000"</f>
        <v>500000</v>
      </c>
      <c r="AO434" t="str">
        <f>"הכנסות  מלקוחות"</f>
        <v>הכנסות  מלקוחות</v>
      </c>
      <c r="AQ434" t="str">
        <f>"040"</f>
        <v>040</v>
      </c>
      <c r="AR434">
        <v>0</v>
      </c>
      <c r="AS434">
        <v>0</v>
      </c>
      <c r="AT434">
        <v>3.6920000000000002</v>
      </c>
      <c r="AX434" t="str">
        <f>"E000391992"</f>
        <v>E000391992</v>
      </c>
      <c r="BD434" t="str">
        <f>"רחמים זרוק"</f>
        <v>רחמים זרוק</v>
      </c>
    </row>
    <row r="435" spans="1:56" x14ac:dyDescent="0.3">
      <c r="A435" s="1">
        <v>45106</v>
      </c>
      <c r="B435" t="str">
        <f>"SI236000907"</f>
        <v>SI236000907</v>
      </c>
      <c r="C435" t="str">
        <f>"PR22000900"</f>
        <v>PR22000900</v>
      </c>
      <c r="E435" t="str">
        <f>"Y"</f>
        <v>Y</v>
      </c>
      <c r="F435" t="str">
        <f>"חשבוניות מרכזות"</f>
        <v>חשבוניות מרכזות</v>
      </c>
      <c r="G435" t="str">
        <f>"700065"</f>
        <v>700065</v>
      </c>
      <c r="H435" t="str">
        <f>"אלתא מערכות בע""מ"</f>
        <v>אלתא מערכות בע"מ</v>
      </c>
      <c r="I435" t="str">
        <f>"10"</f>
        <v>10</v>
      </c>
      <c r="J435" t="str">
        <f>"cust001248"</f>
        <v>cust001248</v>
      </c>
      <c r="K435" t="str">
        <f>"ELTA PDU2 1030G480-001"</f>
        <v>ELTA PDU2 1030G480-001</v>
      </c>
      <c r="L435">
        <v>1</v>
      </c>
      <c r="M435" t="str">
        <f>"יח"</f>
        <v>יח</v>
      </c>
      <c r="N435">
        <v>1</v>
      </c>
      <c r="O435" t="str">
        <f>"יח"</f>
        <v>יח</v>
      </c>
      <c r="P435" s="2">
        <v>1100</v>
      </c>
      <c r="Q435" t="str">
        <f>"$"</f>
        <v>$</v>
      </c>
      <c r="R435" t="str">
        <f>"הזמנה"</f>
        <v>הזמנה</v>
      </c>
      <c r="S435">
        <v>0</v>
      </c>
      <c r="T435" s="2">
        <v>1100</v>
      </c>
      <c r="U435">
        <v>0</v>
      </c>
      <c r="V435" s="2">
        <v>1100</v>
      </c>
      <c r="W435" t="str">
        <f>"$"</f>
        <v>$</v>
      </c>
      <c r="X435">
        <v>0</v>
      </c>
      <c r="Y435">
        <v>0</v>
      </c>
      <c r="Z435">
        <v>0</v>
      </c>
      <c r="AA435" t="str">
        <f>"Y"</f>
        <v>Y</v>
      </c>
      <c r="AB435" t="str">
        <f>"SO22000463"</f>
        <v>SO22000463</v>
      </c>
      <c r="AC435">
        <v>1</v>
      </c>
      <c r="AD435" s="1">
        <v>44913</v>
      </c>
      <c r="AE435" t="str">
        <f>"SH23000766"</f>
        <v>SH23000766</v>
      </c>
      <c r="AF435" t="str">
        <f>"משלוחים ללקוח"</f>
        <v>משלוחים ללקוח</v>
      </c>
      <c r="AG435" s="1">
        <v>45098</v>
      </c>
      <c r="AM435" t="str">
        <f>"10"</f>
        <v>10</v>
      </c>
      <c r="AN435" t="str">
        <f>"500000"</f>
        <v>500000</v>
      </c>
      <c r="AO435" t="str">
        <f>"הכנסות  מלקוחות"</f>
        <v>הכנסות  מלקוחות</v>
      </c>
      <c r="AQ435" t="str">
        <f>"040"</f>
        <v>040</v>
      </c>
      <c r="AR435">
        <v>0</v>
      </c>
      <c r="AS435">
        <v>0</v>
      </c>
      <c r="AT435">
        <v>3.6920000000000002</v>
      </c>
      <c r="AX435" t="str">
        <f>"E000381458"</f>
        <v>E000381458</v>
      </c>
      <c r="BD435" t="str">
        <f>"רחמים זרוק"</f>
        <v>רחמים זרוק</v>
      </c>
    </row>
    <row r="436" spans="1:56" x14ac:dyDescent="0.3">
      <c r="A436" s="1">
        <v>45106</v>
      </c>
      <c r="B436" t="str">
        <f>"SI236000906"</f>
        <v>SI236000906</v>
      </c>
      <c r="C436" t="str">
        <f>"PR23000127"</f>
        <v>PR23000127</v>
      </c>
      <c r="D436" t="str">
        <f>"PR23000127"</f>
        <v>PR23000127</v>
      </c>
      <c r="E436" t="str">
        <f>"Y"</f>
        <v>Y</v>
      </c>
      <c r="F436" t="str">
        <f>"חשבוניות מרכזות"</f>
        <v>חשבוניות מרכזות</v>
      </c>
      <c r="G436" t="str">
        <f>"700065"</f>
        <v>700065</v>
      </c>
      <c r="H436" t="str">
        <f>"אלתא מערכות בע""מ"</f>
        <v>אלתא מערכות בע"מ</v>
      </c>
      <c r="I436" t="str">
        <f>"10"</f>
        <v>10</v>
      </c>
      <c r="J436" t="str">
        <f>"PS0300006"</f>
        <v>PS0300006</v>
      </c>
      <c r="K436" t="str">
        <f>"TSI-EPC - 380Vac-Module BRAVO"</f>
        <v>TSI-EPC - 380Vac-Module BRAVO</v>
      </c>
      <c r="L436">
        <v>20</v>
      </c>
      <c r="M436" t="str">
        <f>"יח"</f>
        <v>יח</v>
      </c>
      <c r="N436">
        <v>20</v>
      </c>
      <c r="O436" t="str">
        <f>"יח"</f>
        <v>יח</v>
      </c>
      <c r="P436" s="2">
        <v>1852.5</v>
      </c>
      <c r="Q436" t="str">
        <f>"$"</f>
        <v>$</v>
      </c>
      <c r="R436" t="str">
        <f>"הזמנה"</f>
        <v>הזמנה</v>
      </c>
      <c r="S436">
        <v>0</v>
      </c>
      <c r="T436" s="2">
        <v>37050</v>
      </c>
      <c r="U436">
        <v>0</v>
      </c>
      <c r="V436" s="2">
        <v>37050</v>
      </c>
      <c r="W436" t="str">
        <f>"$"</f>
        <v>$</v>
      </c>
      <c r="X436">
        <v>0</v>
      </c>
      <c r="Y436">
        <v>0</v>
      </c>
      <c r="Z436">
        <v>0</v>
      </c>
      <c r="AA436" t="str">
        <f>"Y"</f>
        <v>Y</v>
      </c>
      <c r="AB436" t="str">
        <f>"SO23000063"</f>
        <v>SO23000063</v>
      </c>
      <c r="AC436">
        <v>2</v>
      </c>
      <c r="AD436" s="1">
        <v>44956</v>
      </c>
      <c r="AE436" t="str">
        <f>"SH23000818"</f>
        <v>SH23000818</v>
      </c>
      <c r="AF436" t="str">
        <f>"משלוחים ללקוח"</f>
        <v>משלוחים ללקוח</v>
      </c>
      <c r="AG436" s="1">
        <v>45105</v>
      </c>
      <c r="AM436" t="str">
        <f>"10"</f>
        <v>10</v>
      </c>
      <c r="AN436" t="str">
        <f>"500000"</f>
        <v>500000</v>
      </c>
      <c r="AO436" t="str">
        <f>"הכנסות  מלקוחות"</f>
        <v>הכנסות  מלקוחות</v>
      </c>
      <c r="AQ436" t="str">
        <f>"007"</f>
        <v>007</v>
      </c>
      <c r="AR436">
        <v>0</v>
      </c>
      <c r="AS436">
        <v>0</v>
      </c>
      <c r="AT436">
        <v>3.6920000000000002</v>
      </c>
      <c r="AX436" t="str">
        <f>"E000383952"</f>
        <v>E000383952</v>
      </c>
      <c r="BD436" t="str">
        <f>"רוני דידי"</f>
        <v>רוני דידי</v>
      </c>
    </row>
    <row r="437" spans="1:56" x14ac:dyDescent="0.3">
      <c r="A437" s="1">
        <v>45106</v>
      </c>
      <c r="B437" t="str">
        <f>"SI236000906"</f>
        <v>SI236000906</v>
      </c>
      <c r="C437" t="str">
        <f>"PR23000127"</f>
        <v>PR23000127</v>
      </c>
      <c r="D437" t="str">
        <f>"PR23000127"</f>
        <v>PR23000127</v>
      </c>
      <c r="E437" t="str">
        <f>"Y"</f>
        <v>Y</v>
      </c>
      <c r="F437" t="str">
        <f>"חשבוניות מרכזות"</f>
        <v>חשבוניות מרכזות</v>
      </c>
      <c r="G437" t="str">
        <f>"700065"</f>
        <v>700065</v>
      </c>
      <c r="H437" t="str">
        <f>"אלתא מערכות בע""מ"</f>
        <v>אלתא מערכות בע"מ</v>
      </c>
      <c r="I437" t="str">
        <f>"10"</f>
        <v>10</v>
      </c>
      <c r="J437" t="str">
        <f>"PS9900057"</f>
        <v>PS9900057</v>
      </c>
      <c r="K437" t="str">
        <f>"TSI-T2S-ETH-BRAVO-2C-HVDC"</f>
        <v>TSI-T2S-ETH-BRAVO-2C-HVDC</v>
      </c>
      <c r="L437">
        <v>2</v>
      </c>
      <c r="M437" t="str">
        <f>"יח"</f>
        <v>יח</v>
      </c>
      <c r="N437">
        <v>2</v>
      </c>
      <c r="O437" t="str">
        <f>"יח"</f>
        <v>יח</v>
      </c>
      <c r="P437">
        <v>456</v>
      </c>
      <c r="Q437" t="str">
        <f>"$"</f>
        <v>$</v>
      </c>
      <c r="R437" t="str">
        <f>"הזמנה"</f>
        <v>הזמנה</v>
      </c>
      <c r="S437">
        <v>0</v>
      </c>
      <c r="T437">
        <v>912</v>
      </c>
      <c r="U437">
        <v>0</v>
      </c>
      <c r="V437">
        <v>912</v>
      </c>
      <c r="W437" t="str">
        <f>"$"</f>
        <v>$</v>
      </c>
      <c r="X437">
        <v>0</v>
      </c>
      <c r="Y437">
        <v>0</v>
      </c>
      <c r="Z437">
        <v>0</v>
      </c>
      <c r="AA437" t="str">
        <f>"Y"</f>
        <v>Y</v>
      </c>
      <c r="AB437" t="str">
        <f>"SO23000063"</f>
        <v>SO23000063</v>
      </c>
      <c r="AC437">
        <v>3</v>
      </c>
      <c r="AD437" s="1">
        <v>44956</v>
      </c>
      <c r="AE437" t="str">
        <f>"SH23000818"</f>
        <v>SH23000818</v>
      </c>
      <c r="AF437" t="str">
        <f>"משלוחים ללקוח"</f>
        <v>משלוחים ללקוח</v>
      </c>
      <c r="AG437" s="1">
        <v>45105</v>
      </c>
      <c r="AM437" t="str">
        <f>"10"</f>
        <v>10</v>
      </c>
      <c r="AN437" t="str">
        <f>"500000"</f>
        <v>500000</v>
      </c>
      <c r="AO437" t="str">
        <f>"הכנסות  מלקוחות"</f>
        <v>הכנסות  מלקוחות</v>
      </c>
      <c r="AQ437" t="str">
        <f>"007"</f>
        <v>007</v>
      </c>
      <c r="AR437">
        <v>0</v>
      </c>
      <c r="AS437">
        <v>0</v>
      </c>
      <c r="AT437">
        <v>3.6920000000000002</v>
      </c>
      <c r="AX437" t="str">
        <f>"E000383952"</f>
        <v>E000383952</v>
      </c>
      <c r="BD437" t="str">
        <f>"רוני דידי"</f>
        <v>רוני דידי</v>
      </c>
    </row>
    <row r="438" spans="1:56" x14ac:dyDescent="0.3">
      <c r="A438" s="1">
        <v>45106</v>
      </c>
      <c r="B438" t="str">
        <f>"SI236000906"</f>
        <v>SI236000906</v>
      </c>
      <c r="C438" t="str">
        <f>"PR23000127"</f>
        <v>PR23000127</v>
      </c>
      <c r="D438" t="str">
        <f>"PR23000127"</f>
        <v>PR23000127</v>
      </c>
      <c r="E438" t="str">
        <f>"Y"</f>
        <v>Y</v>
      </c>
      <c r="F438" t="str">
        <f>"חשבוניות מרכזות"</f>
        <v>חשבוניות מרכזות</v>
      </c>
      <c r="G438" t="str">
        <f>"700065"</f>
        <v>700065</v>
      </c>
      <c r="H438" t="str">
        <f>"אלתא מערכות בע""מ"</f>
        <v>אלתא מערכות בע"מ</v>
      </c>
      <c r="I438" t="str">
        <f>"10"</f>
        <v>10</v>
      </c>
      <c r="J438" t="str">
        <f>"PS0300006"</f>
        <v>PS0300006</v>
      </c>
      <c r="K438" t="str">
        <f>"TSI-EPC - 380Vac-Module BRAVO"</f>
        <v>TSI-EPC - 380Vac-Module BRAVO</v>
      </c>
      <c r="L438">
        <v>10</v>
      </c>
      <c r="M438" t="str">
        <f>"יח"</f>
        <v>יח</v>
      </c>
      <c r="N438">
        <v>10</v>
      </c>
      <c r="O438" t="str">
        <f>"יח"</f>
        <v>יח</v>
      </c>
      <c r="P438" s="2">
        <v>1852.5</v>
      </c>
      <c r="Q438" t="str">
        <f>"$"</f>
        <v>$</v>
      </c>
      <c r="R438" t="str">
        <f>"הזמנה"</f>
        <v>הזמנה</v>
      </c>
      <c r="S438">
        <v>0</v>
      </c>
      <c r="T438" s="2">
        <v>18525</v>
      </c>
      <c r="U438">
        <v>0</v>
      </c>
      <c r="V438" s="2">
        <v>18525</v>
      </c>
      <c r="W438" t="str">
        <f>"$"</f>
        <v>$</v>
      </c>
      <c r="X438">
        <v>0</v>
      </c>
      <c r="Y438">
        <v>0</v>
      </c>
      <c r="Z438">
        <v>0</v>
      </c>
      <c r="AA438" t="str">
        <f>"Y"</f>
        <v>Y</v>
      </c>
      <c r="AB438" t="str">
        <f>"SO23000063"</f>
        <v>SO23000063</v>
      </c>
      <c r="AC438">
        <v>4</v>
      </c>
      <c r="AD438" s="1">
        <v>44956</v>
      </c>
      <c r="AE438" t="str">
        <f>"SH23000818"</f>
        <v>SH23000818</v>
      </c>
      <c r="AF438" t="str">
        <f>"משלוחים ללקוח"</f>
        <v>משלוחים ללקוח</v>
      </c>
      <c r="AG438" s="1">
        <v>45105</v>
      </c>
      <c r="AM438" t="str">
        <f>"10"</f>
        <v>10</v>
      </c>
      <c r="AN438" t="str">
        <f>"500000"</f>
        <v>500000</v>
      </c>
      <c r="AO438" t="str">
        <f>"הכנסות  מלקוחות"</f>
        <v>הכנסות  מלקוחות</v>
      </c>
      <c r="AQ438" t="str">
        <f>"007"</f>
        <v>007</v>
      </c>
      <c r="AR438">
        <v>0</v>
      </c>
      <c r="AS438">
        <v>0</v>
      </c>
      <c r="AT438">
        <v>3.6920000000000002</v>
      </c>
      <c r="AX438" t="str">
        <f>"E000383952"</f>
        <v>E000383952</v>
      </c>
      <c r="BD438" t="str">
        <f>"רוני דידי"</f>
        <v>רוני דידי</v>
      </c>
    </row>
    <row r="439" spans="1:56" x14ac:dyDescent="0.3">
      <c r="A439" s="1">
        <v>45106</v>
      </c>
      <c r="B439" t="str">
        <f>"SI236000906"</f>
        <v>SI236000906</v>
      </c>
      <c r="C439" t="str">
        <f>"PR23000127"</f>
        <v>PR23000127</v>
      </c>
      <c r="D439" t="str">
        <f>"PR23000127"</f>
        <v>PR23000127</v>
      </c>
      <c r="E439" t="str">
        <f>"Y"</f>
        <v>Y</v>
      </c>
      <c r="F439" t="str">
        <f>"חשבוניות מרכזות"</f>
        <v>חשבוניות מרכזות</v>
      </c>
      <c r="G439" t="str">
        <f>"700065"</f>
        <v>700065</v>
      </c>
      <c r="H439" t="str">
        <f>"אלתא מערכות בע""מ"</f>
        <v>אלתא מערכות בע"מ</v>
      </c>
      <c r="I439" t="str">
        <f>"10"</f>
        <v>10</v>
      </c>
      <c r="J439" t="str">
        <f>"PS0300006"</f>
        <v>PS0300006</v>
      </c>
      <c r="K439" t="str">
        <f>"TSI-EPC - 380Vac-Module BRAVO"</f>
        <v>TSI-EPC - 380Vac-Module BRAVO</v>
      </c>
      <c r="L439">
        <v>10</v>
      </c>
      <c r="M439" t="str">
        <f>"יח"</f>
        <v>יח</v>
      </c>
      <c r="N439">
        <v>10</v>
      </c>
      <c r="O439" t="str">
        <f>"יח"</f>
        <v>יח</v>
      </c>
      <c r="P439" s="2">
        <v>1852.5</v>
      </c>
      <c r="Q439" t="str">
        <f>"$"</f>
        <v>$</v>
      </c>
      <c r="R439" t="str">
        <f>"הזמנה"</f>
        <v>הזמנה</v>
      </c>
      <c r="S439">
        <v>0</v>
      </c>
      <c r="T439" s="2">
        <v>18525</v>
      </c>
      <c r="U439">
        <v>0</v>
      </c>
      <c r="V439" s="2">
        <v>18525</v>
      </c>
      <c r="W439" t="str">
        <f>"$"</f>
        <v>$</v>
      </c>
      <c r="X439">
        <v>0</v>
      </c>
      <c r="Y439">
        <v>0</v>
      </c>
      <c r="Z439">
        <v>0</v>
      </c>
      <c r="AA439" t="str">
        <f>"Y"</f>
        <v>Y</v>
      </c>
      <c r="AB439" t="str">
        <f>"SO23000063"</f>
        <v>SO23000063</v>
      </c>
      <c r="AC439">
        <v>5</v>
      </c>
      <c r="AD439" s="1">
        <v>44956</v>
      </c>
      <c r="AE439" t="str">
        <f>"SH23000818"</f>
        <v>SH23000818</v>
      </c>
      <c r="AF439" t="str">
        <f>"משלוחים ללקוח"</f>
        <v>משלוחים ללקוח</v>
      </c>
      <c r="AG439" s="1">
        <v>45105</v>
      </c>
      <c r="AM439" t="str">
        <f>"10"</f>
        <v>10</v>
      </c>
      <c r="AN439" t="str">
        <f>"500000"</f>
        <v>500000</v>
      </c>
      <c r="AO439" t="str">
        <f>"הכנסות  מלקוחות"</f>
        <v>הכנסות  מלקוחות</v>
      </c>
      <c r="AQ439" t="str">
        <f>"007"</f>
        <v>007</v>
      </c>
      <c r="AR439">
        <v>0</v>
      </c>
      <c r="AS439">
        <v>0</v>
      </c>
      <c r="AT439">
        <v>3.6920000000000002</v>
      </c>
      <c r="AX439" t="str">
        <f>"E000383952"</f>
        <v>E000383952</v>
      </c>
      <c r="BD439" t="str">
        <f>"רוני דידי"</f>
        <v>רוני דידי</v>
      </c>
    </row>
    <row r="440" spans="1:56" x14ac:dyDescent="0.3">
      <c r="A440" s="1">
        <v>45106</v>
      </c>
      <c r="B440" t="str">
        <f>"SI236000905"</f>
        <v>SI236000905</v>
      </c>
      <c r="C440" t="str">
        <f>"PR22000577"</f>
        <v>PR22000577</v>
      </c>
      <c r="E440" t="str">
        <f>"Y"</f>
        <v>Y</v>
      </c>
      <c r="F440" t="str">
        <f>"חשבוניות מרכזות"</f>
        <v>חשבוניות מרכזות</v>
      </c>
      <c r="G440" t="str">
        <f>"700065"</f>
        <v>700065</v>
      </c>
      <c r="H440" t="str">
        <f>"אלתא מערכות בע""מ"</f>
        <v>אלתא מערכות בע"מ</v>
      </c>
      <c r="I440" t="str">
        <f>"15"</f>
        <v>15</v>
      </c>
      <c r="J440" t="str">
        <f>"OP-AR03540"</f>
        <v>OP-AR03540</v>
      </c>
      <c r="K440" t="str">
        <f>"1033M790-001     CABLE CREATION JIG"</f>
        <v>1033M790-001     CABLE CREATION JIG</v>
      </c>
      <c r="L440">
        <v>1</v>
      </c>
      <c r="M440" t="str">
        <f>"יח"</f>
        <v>יח</v>
      </c>
      <c r="N440">
        <v>1</v>
      </c>
      <c r="O440" t="str">
        <f>"יח"</f>
        <v>יח</v>
      </c>
      <c r="P440" s="2">
        <v>2860</v>
      </c>
      <c r="Q440" t="str">
        <f>"$"</f>
        <v>$</v>
      </c>
      <c r="R440" t="str">
        <f>"הזמנה"</f>
        <v>הזמנה</v>
      </c>
      <c r="S440">
        <v>0</v>
      </c>
      <c r="T440" s="2">
        <v>2860</v>
      </c>
      <c r="U440">
        <v>0</v>
      </c>
      <c r="V440" s="2">
        <v>2860</v>
      </c>
      <c r="W440" t="str">
        <f>"$"</f>
        <v>$</v>
      </c>
      <c r="X440">
        <v>0</v>
      </c>
      <c r="Y440">
        <v>0</v>
      </c>
      <c r="Z440">
        <v>0</v>
      </c>
      <c r="AA440" t="str">
        <f>"Y"</f>
        <v>Y</v>
      </c>
      <c r="AB440" t="str">
        <f>"SO22000333"</f>
        <v>SO22000333</v>
      </c>
      <c r="AC440">
        <v>9</v>
      </c>
      <c r="AD440" s="1">
        <v>44789</v>
      </c>
      <c r="AE440" t="str">
        <f>"SH23000805"</f>
        <v>SH23000805</v>
      </c>
      <c r="AF440" t="str">
        <f>"משלוחים ללקוח"</f>
        <v>משלוחים ללקוח</v>
      </c>
      <c r="AG440" s="1">
        <v>45104</v>
      </c>
      <c r="AM440" t="str">
        <f>"10"</f>
        <v>10</v>
      </c>
      <c r="AN440" t="str">
        <f>"500000"</f>
        <v>500000</v>
      </c>
      <c r="AO440" t="str">
        <f>"הכנסות  מלקוחות"</f>
        <v>הכנסות  מלקוחות</v>
      </c>
      <c r="AQ440" t="str">
        <f>"040"</f>
        <v>040</v>
      </c>
      <c r="AR440">
        <v>0</v>
      </c>
      <c r="AS440">
        <v>0</v>
      </c>
      <c r="AT440">
        <v>3.6920000000000002</v>
      </c>
      <c r="AX440" t="str">
        <f>"E000372158"</f>
        <v>E000372158</v>
      </c>
      <c r="BD440" t="str">
        <f>"רחמים זרוק"</f>
        <v>רחמים זרוק</v>
      </c>
    </row>
    <row r="441" spans="1:56" x14ac:dyDescent="0.3">
      <c r="A441" s="1">
        <v>45106</v>
      </c>
      <c r="B441" t="str">
        <f>"SI236000870"</f>
        <v>SI236000870</v>
      </c>
      <c r="E441" t="str">
        <f>"Y"</f>
        <v>Y</v>
      </c>
      <c r="F441" t="str">
        <f>"חשבוניות מרכזות"</f>
        <v>חשבוניות מרכזות</v>
      </c>
      <c r="G441" t="str">
        <f>"700065"</f>
        <v>700065</v>
      </c>
      <c r="H441" t="str">
        <f>"אלתא מערכות בע""מ"</f>
        <v>אלתא מערכות בע"מ</v>
      </c>
      <c r="I441" t="str">
        <f>"05"</f>
        <v>05</v>
      </c>
      <c r="J441" t="str">
        <f>"OP-AR03243"</f>
        <v>OP-AR03243</v>
      </c>
      <c r="K441" t="str">
        <f>"320VDC 96KW SYSTEM"</f>
        <v>320VDC 96KW SYSTEM</v>
      </c>
      <c r="L441">
        <v>-1</v>
      </c>
      <c r="M441" t="str">
        <f>"יח"</f>
        <v>יח</v>
      </c>
      <c r="N441">
        <v>-1</v>
      </c>
      <c r="O441" t="str">
        <f>"יח"</f>
        <v>יח</v>
      </c>
      <c r="P441" s="2">
        <v>37528</v>
      </c>
      <c r="Q441" t="str">
        <f>"$"</f>
        <v>$</v>
      </c>
      <c r="R441" t="str">
        <f>"הזמנה"</f>
        <v>הזמנה</v>
      </c>
      <c r="S441">
        <v>0</v>
      </c>
      <c r="T441" s="2">
        <v>-37528</v>
      </c>
      <c r="U441">
        <v>0</v>
      </c>
      <c r="V441" s="2">
        <v>-37528</v>
      </c>
      <c r="W441" t="str">
        <f>"$"</f>
        <v>$</v>
      </c>
      <c r="X441">
        <v>0</v>
      </c>
      <c r="Y441">
        <v>0</v>
      </c>
      <c r="Z441">
        <v>0</v>
      </c>
      <c r="AA441" t="str">
        <f>"Y"</f>
        <v>Y</v>
      </c>
      <c r="AC441">
        <v>0</v>
      </c>
      <c r="AM441" t="str">
        <f>"10"</f>
        <v>10</v>
      </c>
      <c r="AN441" t="str">
        <f>"500000"</f>
        <v>500000</v>
      </c>
      <c r="AO441" t="str">
        <f>"הכנסות  מלקוחות"</f>
        <v>הכנסות  מלקוחות</v>
      </c>
      <c r="AQ441" t="str">
        <f>"034"</f>
        <v>034</v>
      </c>
      <c r="AR441">
        <v>0</v>
      </c>
      <c r="AS441">
        <v>0</v>
      </c>
      <c r="AT441">
        <v>3.496</v>
      </c>
      <c r="BB441" t="str">
        <f>"Y"</f>
        <v>Y</v>
      </c>
      <c r="BD441" t="str">
        <f>"ערן שלו"</f>
        <v>ערן שלו</v>
      </c>
    </row>
    <row r="442" spans="1:56" x14ac:dyDescent="0.3">
      <c r="A442" s="1">
        <v>45106</v>
      </c>
      <c r="B442" t="str">
        <f>"SI236000869"</f>
        <v>SI236000869</v>
      </c>
      <c r="E442" t="str">
        <f>"Y"</f>
        <v>Y</v>
      </c>
      <c r="F442" t="str">
        <f>"חשבוניות מרכזות"</f>
        <v>חשבוניות מרכזות</v>
      </c>
      <c r="G442" t="str">
        <f>"700065"</f>
        <v>700065</v>
      </c>
      <c r="H442" t="str">
        <f>"אלתא מערכות בע""מ"</f>
        <v>אלתא מערכות בע"מ</v>
      </c>
      <c r="I442" t="str">
        <f>"05"</f>
        <v>05</v>
      </c>
      <c r="J442" t="str">
        <f>"OP-AR03243"</f>
        <v>OP-AR03243</v>
      </c>
      <c r="K442" t="str">
        <f>"320VDC 96KW SYSTEM"</f>
        <v>320VDC 96KW SYSTEM</v>
      </c>
      <c r="L442">
        <v>-1</v>
      </c>
      <c r="M442" t="str">
        <f>"יח"</f>
        <v>יח</v>
      </c>
      <c r="N442">
        <v>-1</v>
      </c>
      <c r="O442" t="str">
        <f>"יח"</f>
        <v>יח</v>
      </c>
      <c r="P442" s="2">
        <v>37528</v>
      </c>
      <c r="Q442" t="str">
        <f>"$"</f>
        <v>$</v>
      </c>
      <c r="R442" t="str">
        <f>"הזמנה"</f>
        <v>הזמנה</v>
      </c>
      <c r="S442">
        <v>0</v>
      </c>
      <c r="T442" s="2">
        <v>-37528</v>
      </c>
      <c r="U442">
        <v>0</v>
      </c>
      <c r="V442" s="2">
        <v>-37528</v>
      </c>
      <c r="W442" t="str">
        <f>"$"</f>
        <v>$</v>
      </c>
      <c r="X442">
        <v>0</v>
      </c>
      <c r="Y442">
        <v>0</v>
      </c>
      <c r="Z442">
        <v>0</v>
      </c>
      <c r="AA442" t="str">
        <f>"Y"</f>
        <v>Y</v>
      </c>
      <c r="AC442">
        <v>0</v>
      </c>
      <c r="AM442" t="str">
        <f>"10"</f>
        <v>10</v>
      </c>
      <c r="AN442" t="str">
        <f>"500000"</f>
        <v>500000</v>
      </c>
      <c r="AO442" t="str">
        <f>"הכנסות  מלקוחות"</f>
        <v>הכנסות  מלקוחות</v>
      </c>
      <c r="AQ442" t="str">
        <f>"034"</f>
        <v>034</v>
      </c>
      <c r="AR442">
        <v>0</v>
      </c>
      <c r="AS442">
        <v>0</v>
      </c>
      <c r="AT442">
        <v>3.496</v>
      </c>
      <c r="BB442" t="str">
        <f>"Y"</f>
        <v>Y</v>
      </c>
      <c r="BD442" t="str">
        <f>"ערן שלו"</f>
        <v>ערן שלו</v>
      </c>
    </row>
    <row r="443" spans="1:56" x14ac:dyDescent="0.3">
      <c r="A443" s="1">
        <v>45106</v>
      </c>
      <c r="B443" t="str">
        <f>"SI236000868"</f>
        <v>SI236000868</v>
      </c>
      <c r="E443" t="str">
        <f>"Y"</f>
        <v>Y</v>
      </c>
      <c r="F443" t="str">
        <f>"חשבוניות מרכזות"</f>
        <v>חשבוניות מרכזות</v>
      </c>
      <c r="G443" t="str">
        <f>"700065"</f>
        <v>700065</v>
      </c>
      <c r="H443" t="str">
        <f>"אלתא מערכות בע""מ"</f>
        <v>אלתא מערכות בע"מ</v>
      </c>
      <c r="I443" t="str">
        <f>"05"</f>
        <v>05</v>
      </c>
      <c r="J443" t="str">
        <f>"OP-AR03243"</f>
        <v>OP-AR03243</v>
      </c>
      <c r="K443" t="str">
        <f>"320VDC 96KW SYSTEM"</f>
        <v>320VDC 96KW SYSTEM</v>
      </c>
      <c r="L443">
        <v>-1</v>
      </c>
      <c r="M443" t="str">
        <f>"יח"</f>
        <v>יח</v>
      </c>
      <c r="N443">
        <v>-1</v>
      </c>
      <c r="O443" t="str">
        <f>"יח"</f>
        <v>יח</v>
      </c>
      <c r="P443" s="2">
        <v>37528</v>
      </c>
      <c r="Q443" t="str">
        <f>"$"</f>
        <v>$</v>
      </c>
      <c r="R443" t="str">
        <f>"הזמנה"</f>
        <v>הזמנה</v>
      </c>
      <c r="S443">
        <v>0</v>
      </c>
      <c r="T443" s="2">
        <v>-37528</v>
      </c>
      <c r="U443">
        <v>0</v>
      </c>
      <c r="V443" s="2">
        <v>-37528</v>
      </c>
      <c r="W443" t="str">
        <f>"$"</f>
        <v>$</v>
      </c>
      <c r="X443">
        <v>0</v>
      </c>
      <c r="Y443">
        <v>0</v>
      </c>
      <c r="Z443">
        <v>0</v>
      </c>
      <c r="AA443" t="str">
        <f>"Y"</f>
        <v>Y</v>
      </c>
      <c r="AC443">
        <v>0</v>
      </c>
      <c r="AM443" t="str">
        <f>"10"</f>
        <v>10</v>
      </c>
      <c r="AN443" t="str">
        <f>"500000"</f>
        <v>500000</v>
      </c>
      <c r="AO443" t="str">
        <f>"הכנסות  מלקוחות"</f>
        <v>הכנסות  מלקוחות</v>
      </c>
      <c r="AQ443" t="str">
        <f>"034"</f>
        <v>034</v>
      </c>
      <c r="AR443">
        <v>0</v>
      </c>
      <c r="AS443">
        <v>0</v>
      </c>
      <c r="AT443">
        <v>3.496</v>
      </c>
      <c r="BB443" t="str">
        <f>"Y"</f>
        <v>Y</v>
      </c>
      <c r="BD443" t="str">
        <f>"ערן שלו"</f>
        <v>ערן שלו</v>
      </c>
    </row>
    <row r="444" spans="1:56" x14ac:dyDescent="0.3">
      <c r="A444" s="1">
        <v>45105</v>
      </c>
      <c r="B444" t="str">
        <f>"SI236000860"</f>
        <v>SI236000860</v>
      </c>
      <c r="E444" t="str">
        <f>"Y"</f>
        <v>Y</v>
      </c>
      <c r="F444" t="str">
        <f>"חשבוניות מרכזות"</f>
        <v>חשבוניות מרכזות</v>
      </c>
      <c r="G444" t="str">
        <f>"700065"</f>
        <v>700065</v>
      </c>
      <c r="H444" t="str">
        <f>"אלתא מערכות בע""מ"</f>
        <v>אלתא מערכות בע"מ</v>
      </c>
      <c r="I444" t="str">
        <f>"05"</f>
        <v>05</v>
      </c>
      <c r="J444" t="str">
        <f>"OP-AR03243"</f>
        <v>OP-AR03243</v>
      </c>
      <c r="K444" t="str">
        <f>"320VDC 96KW SYSTEM"</f>
        <v>320VDC 96KW SYSTEM</v>
      </c>
      <c r="L444">
        <v>-1</v>
      </c>
      <c r="M444" t="str">
        <f>"יח"</f>
        <v>יח</v>
      </c>
      <c r="N444">
        <v>-1</v>
      </c>
      <c r="O444" t="str">
        <f>"יח"</f>
        <v>יח</v>
      </c>
      <c r="P444" s="2">
        <v>37528</v>
      </c>
      <c r="Q444" t="str">
        <f>"$"</f>
        <v>$</v>
      </c>
      <c r="R444" t="str">
        <f>"הזמנה"</f>
        <v>הזמנה</v>
      </c>
      <c r="S444">
        <v>0</v>
      </c>
      <c r="T444" s="2">
        <v>-37528</v>
      </c>
      <c r="U444">
        <v>0</v>
      </c>
      <c r="V444" s="2">
        <v>-37528</v>
      </c>
      <c r="W444" t="str">
        <f>"$"</f>
        <v>$</v>
      </c>
      <c r="X444">
        <v>0</v>
      </c>
      <c r="Y444">
        <v>0</v>
      </c>
      <c r="Z444">
        <v>0</v>
      </c>
      <c r="AA444" t="str">
        <f>"Y"</f>
        <v>Y</v>
      </c>
      <c r="AC444">
        <v>0</v>
      </c>
      <c r="AM444" t="str">
        <f>"10"</f>
        <v>10</v>
      </c>
      <c r="AN444" t="str">
        <f>"500000"</f>
        <v>500000</v>
      </c>
      <c r="AO444" t="str">
        <f>"הכנסות  מלקוחות"</f>
        <v>הכנסות  מלקוחות</v>
      </c>
      <c r="AQ444" t="str">
        <f>"034"</f>
        <v>034</v>
      </c>
      <c r="AR444">
        <v>0</v>
      </c>
      <c r="AS444">
        <v>0</v>
      </c>
      <c r="AT444">
        <v>3.496</v>
      </c>
      <c r="BB444" t="str">
        <f>"Y"</f>
        <v>Y</v>
      </c>
      <c r="BD444" t="str">
        <f>"ערן שלו"</f>
        <v>ערן שלו</v>
      </c>
    </row>
    <row r="445" spans="1:56" x14ac:dyDescent="0.3">
      <c r="A445" s="1">
        <v>45103</v>
      </c>
      <c r="B445" t="str">
        <f>"SI236000902"</f>
        <v>SI236000902</v>
      </c>
      <c r="C445" t="str">
        <f>"PR22000829"</f>
        <v>PR22000829</v>
      </c>
      <c r="E445" t="str">
        <f>"Y"</f>
        <v>Y</v>
      </c>
      <c r="F445" t="str">
        <f>"חשבוניות מרכזות"</f>
        <v>חשבוניות מרכזות</v>
      </c>
      <c r="G445" t="str">
        <f>"700065"</f>
        <v>700065</v>
      </c>
      <c r="H445" t="str">
        <f>"אלתא מערכות בע""מ"</f>
        <v>אלתא מערכות בע"מ</v>
      </c>
      <c r="I445" t="str">
        <f>"15"</f>
        <v>15</v>
      </c>
      <c r="J445" t="str">
        <f>"OP-AR03412"</f>
        <v>OP-AR03412</v>
      </c>
      <c r="K445" t="str">
        <f>"6660R269-001    W269 - MASTER ADSU - SHORTER"</f>
        <v>6660R269-001    W269 - MASTER ADSU - SHORTER</v>
      </c>
      <c r="L445">
        <v>4</v>
      </c>
      <c r="M445" t="str">
        <f>"יח"</f>
        <v>יח</v>
      </c>
      <c r="N445">
        <v>4</v>
      </c>
      <c r="O445" t="str">
        <f>"יח"</f>
        <v>יח</v>
      </c>
      <c r="P445">
        <v>111.14</v>
      </c>
      <c r="Q445" t="str">
        <f>"$"</f>
        <v>$</v>
      </c>
      <c r="R445" t="str">
        <f>"הזמנה"</f>
        <v>הזמנה</v>
      </c>
      <c r="S445">
        <v>0</v>
      </c>
      <c r="T445">
        <v>444.56</v>
      </c>
      <c r="U445">
        <v>0</v>
      </c>
      <c r="V445">
        <v>444.56</v>
      </c>
      <c r="W445" t="str">
        <f>"$"</f>
        <v>$</v>
      </c>
      <c r="X445">
        <v>0</v>
      </c>
      <c r="Y445">
        <v>0</v>
      </c>
      <c r="Z445">
        <v>0</v>
      </c>
      <c r="AA445" t="str">
        <f>"Y"</f>
        <v>Y</v>
      </c>
      <c r="AB445" t="str">
        <f>"SO22000423"</f>
        <v>SO22000423</v>
      </c>
      <c r="AC445">
        <v>11</v>
      </c>
      <c r="AD445" s="1">
        <v>44892</v>
      </c>
      <c r="AE445" t="str">
        <f>"SH23000720"</f>
        <v>SH23000720</v>
      </c>
      <c r="AF445" t="str">
        <f>"משלוחים ללקוח"</f>
        <v>משלוחים ללקוח</v>
      </c>
      <c r="AG445" s="1">
        <v>45089</v>
      </c>
      <c r="AM445" t="str">
        <f>"10"</f>
        <v>10</v>
      </c>
      <c r="AN445" t="str">
        <f>"500000"</f>
        <v>500000</v>
      </c>
      <c r="AO445" t="str">
        <f>"הכנסות  מלקוחות"</f>
        <v>הכנסות  מלקוחות</v>
      </c>
      <c r="AQ445" t="str">
        <f>"040"</f>
        <v>040</v>
      </c>
      <c r="AR445">
        <v>0</v>
      </c>
      <c r="AS445">
        <v>0</v>
      </c>
      <c r="AT445">
        <v>3.625</v>
      </c>
      <c r="AX445" t="str">
        <f>"E000378271"</f>
        <v>E000378271</v>
      </c>
      <c r="BD445" t="str">
        <f>"רחמים זרוק"</f>
        <v>רחמים זרוק</v>
      </c>
    </row>
    <row r="446" spans="1:56" x14ac:dyDescent="0.3">
      <c r="A446" s="1">
        <v>45103</v>
      </c>
      <c r="B446" t="str">
        <f>"SI236000901"</f>
        <v>SI236000901</v>
      </c>
      <c r="C446" t="str">
        <f>"PR23000073"</f>
        <v>PR23000073</v>
      </c>
      <c r="D446" t="str">
        <f>"PR23000073"</f>
        <v>PR23000073</v>
      </c>
      <c r="E446" t="str">
        <f>"Y"</f>
        <v>Y</v>
      </c>
      <c r="F446" t="str">
        <f>"חשבוניות מרכזות"</f>
        <v>חשבוניות מרכזות</v>
      </c>
      <c r="G446" t="str">
        <f>"700065"</f>
        <v>700065</v>
      </c>
      <c r="H446" t="str">
        <f>"אלתא מערכות בע""מ"</f>
        <v>אלתא מערכות בע"מ</v>
      </c>
      <c r="I446" t="str">
        <f>"10"</f>
        <v>10</v>
      </c>
      <c r="J446" t="str">
        <f>"OP-AR00467"</f>
        <v>OP-AR00467</v>
      </c>
      <c r="K446" t="str">
        <f>"AC PCU CONTROL BOX"</f>
        <v>AC PCU CONTROL BOX</v>
      </c>
      <c r="L446">
        <v>1</v>
      </c>
      <c r="M446" t="str">
        <f>"יח"</f>
        <v>יח</v>
      </c>
      <c r="N446">
        <v>1</v>
      </c>
      <c r="O446" t="str">
        <f>"יח"</f>
        <v>יח</v>
      </c>
      <c r="P446" s="2">
        <v>4250</v>
      </c>
      <c r="Q446" t="str">
        <f>"$"</f>
        <v>$</v>
      </c>
      <c r="R446" t="str">
        <f>"הזמנה"</f>
        <v>הזמנה</v>
      </c>
      <c r="S446">
        <v>0</v>
      </c>
      <c r="T446" s="2">
        <v>4250</v>
      </c>
      <c r="U446">
        <v>0</v>
      </c>
      <c r="V446" s="2">
        <v>4250</v>
      </c>
      <c r="W446" t="str">
        <f>"$"</f>
        <v>$</v>
      </c>
      <c r="X446">
        <v>0</v>
      </c>
      <c r="Y446">
        <v>0</v>
      </c>
      <c r="Z446">
        <v>0</v>
      </c>
      <c r="AA446" t="str">
        <f>"Y"</f>
        <v>Y</v>
      </c>
      <c r="AB446" t="str">
        <f>"SO23000073"</f>
        <v>SO23000073</v>
      </c>
      <c r="AC446">
        <v>1</v>
      </c>
      <c r="AD446" s="1">
        <v>44959</v>
      </c>
      <c r="AE446" t="str">
        <f>"SH23000708"</f>
        <v>SH23000708</v>
      </c>
      <c r="AF446" t="str">
        <f>"משלוחים ללקוח"</f>
        <v>משלוחים ללקוח</v>
      </c>
      <c r="AG446" s="1">
        <v>45088</v>
      </c>
      <c r="AM446" t="str">
        <f>"10"</f>
        <v>10</v>
      </c>
      <c r="AN446" t="str">
        <f>"500000"</f>
        <v>500000</v>
      </c>
      <c r="AO446" t="str">
        <f>"הכנסות  מלקוחות"</f>
        <v>הכנסות  מלקוחות</v>
      </c>
      <c r="AQ446" t="str">
        <f>"007"</f>
        <v>007</v>
      </c>
      <c r="AR446">
        <v>0</v>
      </c>
      <c r="AS446">
        <v>0</v>
      </c>
      <c r="AT446">
        <v>3.625</v>
      </c>
      <c r="AX446" t="str">
        <f>"E000384048"</f>
        <v>E000384048</v>
      </c>
      <c r="BD446" t="str">
        <f>"רוני דידי"</f>
        <v>רוני דידי</v>
      </c>
    </row>
    <row r="447" spans="1:56" x14ac:dyDescent="0.3">
      <c r="A447" s="1">
        <v>45103</v>
      </c>
      <c r="B447" t="str">
        <f>"SI236000900"</f>
        <v>SI236000900</v>
      </c>
      <c r="C447" t="str">
        <f>"PR22000604"</f>
        <v>PR22000604</v>
      </c>
      <c r="D447" t="str">
        <f>"PR22000604"</f>
        <v>PR22000604</v>
      </c>
      <c r="E447" t="str">
        <f>"Y"</f>
        <v>Y</v>
      </c>
      <c r="F447" t="str">
        <f>"חשבוניות מרכזות"</f>
        <v>חשבוניות מרכזות</v>
      </c>
      <c r="G447" t="str">
        <f>"700065"</f>
        <v>700065</v>
      </c>
      <c r="H447" t="str">
        <f>"אלתא מערכות בע""מ"</f>
        <v>אלתא מערכות בע"מ</v>
      </c>
      <c r="I447" t="str">
        <f>"15"</f>
        <v>15</v>
      </c>
      <c r="J447" t="str">
        <f>"OP-AR03320"</f>
        <v>OP-AR03320</v>
      </c>
      <c r="K447" t="str">
        <f>"2091B110-001    CABLE ASSY TRW311"</f>
        <v>2091B110-001    CABLE ASSY TRW311</v>
      </c>
      <c r="L447">
        <v>2</v>
      </c>
      <c r="M447" t="str">
        <f>"יח"</f>
        <v>יח</v>
      </c>
      <c r="N447">
        <v>2</v>
      </c>
      <c r="O447" t="str">
        <f>"יח"</f>
        <v>יח</v>
      </c>
      <c r="P447" s="2">
        <v>1830.44</v>
      </c>
      <c r="Q447" t="str">
        <f>"$"</f>
        <v>$</v>
      </c>
      <c r="R447" t="str">
        <f>"הזמנה"</f>
        <v>הזמנה</v>
      </c>
      <c r="S447">
        <v>0</v>
      </c>
      <c r="T447" s="2">
        <v>3660.88</v>
      </c>
      <c r="U447">
        <v>0</v>
      </c>
      <c r="V447" s="2">
        <v>3660.88</v>
      </c>
      <c r="W447" t="str">
        <f>"$"</f>
        <v>$</v>
      </c>
      <c r="X447">
        <v>0</v>
      </c>
      <c r="Y447">
        <v>0</v>
      </c>
      <c r="Z447">
        <v>0</v>
      </c>
      <c r="AA447" t="str">
        <f>"Y"</f>
        <v>Y</v>
      </c>
      <c r="AB447" t="str">
        <f>"SO22000356"</f>
        <v>SO22000356</v>
      </c>
      <c r="AC447">
        <v>4</v>
      </c>
      <c r="AD447" s="1">
        <v>44816</v>
      </c>
      <c r="AE447" t="str">
        <f>"SH23000716"</f>
        <v>SH23000716</v>
      </c>
      <c r="AF447" t="str">
        <f>"משלוחים ללקוח"</f>
        <v>משלוחים ללקוח</v>
      </c>
      <c r="AG447" s="1">
        <v>45089</v>
      </c>
      <c r="AM447" t="str">
        <f>"10"</f>
        <v>10</v>
      </c>
      <c r="AN447" t="str">
        <f>"500000"</f>
        <v>500000</v>
      </c>
      <c r="AO447" t="str">
        <f>"הכנסות  מלקוחות"</f>
        <v>הכנסות  מלקוחות</v>
      </c>
      <c r="AQ447" t="str">
        <f>"040"</f>
        <v>040</v>
      </c>
      <c r="AR447">
        <v>0</v>
      </c>
      <c r="AS447">
        <v>0</v>
      </c>
      <c r="AT447">
        <v>3.625</v>
      </c>
      <c r="AX447" t="str">
        <f>"E000373398"</f>
        <v>E000373398</v>
      </c>
      <c r="BD447" t="str">
        <f>"רחמים זרוק"</f>
        <v>רחמים זרוק</v>
      </c>
    </row>
    <row r="448" spans="1:56" x14ac:dyDescent="0.3">
      <c r="A448" s="1">
        <v>45103</v>
      </c>
      <c r="B448" t="str">
        <f>"SI236000899"</f>
        <v>SI236000899</v>
      </c>
      <c r="C448" t="str">
        <f>"PR22000483"</f>
        <v>PR22000483</v>
      </c>
      <c r="D448" t="str">
        <f>"PR22000483"</f>
        <v>PR22000483</v>
      </c>
      <c r="E448" t="str">
        <f>"Y"</f>
        <v>Y</v>
      </c>
      <c r="F448" t="str">
        <f>"חשבוניות מרכזות"</f>
        <v>חשבוניות מרכזות</v>
      </c>
      <c r="G448" t="str">
        <f>"700065"</f>
        <v>700065</v>
      </c>
      <c r="H448" t="str">
        <f>"אלתא מערכות בע""מ"</f>
        <v>אלתא מערכות בע"מ</v>
      </c>
      <c r="I448" t="str">
        <f>"15"</f>
        <v>15</v>
      </c>
      <c r="J448" t="str">
        <f>"OP-AR03208"</f>
        <v>OP-AR03208</v>
      </c>
      <c r="K448" t="str">
        <f>"1096H331-001     DC HARNESS TRA (W1)"</f>
        <v>1096H331-001     DC HARNESS TRA (W1)</v>
      </c>
      <c r="L448">
        <v>20</v>
      </c>
      <c r="M448" t="str">
        <f>"יח"</f>
        <v>יח</v>
      </c>
      <c r="N448">
        <v>20</v>
      </c>
      <c r="O448" t="str">
        <f>"יח"</f>
        <v>יח</v>
      </c>
      <c r="P448">
        <v>833.5</v>
      </c>
      <c r="Q448" t="str">
        <f>"$"</f>
        <v>$</v>
      </c>
      <c r="R448" t="str">
        <f>"הזמנה"</f>
        <v>הזמנה</v>
      </c>
      <c r="S448">
        <v>0</v>
      </c>
      <c r="T448" s="2">
        <v>16670</v>
      </c>
      <c r="U448">
        <v>0</v>
      </c>
      <c r="V448" s="2">
        <v>16670</v>
      </c>
      <c r="W448" t="str">
        <f>"$"</f>
        <v>$</v>
      </c>
      <c r="X448">
        <v>0</v>
      </c>
      <c r="Y448">
        <v>0</v>
      </c>
      <c r="Z448">
        <v>0</v>
      </c>
      <c r="AA448" t="str">
        <f>"Y"</f>
        <v>Y</v>
      </c>
      <c r="AB448" t="str">
        <f>"SO22000256"</f>
        <v>SO22000256</v>
      </c>
      <c r="AC448">
        <v>1</v>
      </c>
      <c r="AD448" s="1">
        <v>44738</v>
      </c>
      <c r="AE448" t="str">
        <f>"SH23000785"</f>
        <v>SH23000785</v>
      </c>
      <c r="AF448" t="str">
        <f>"משלוחים ללקוח"</f>
        <v>משלוחים ללקוח</v>
      </c>
      <c r="AG448" s="1">
        <v>45102</v>
      </c>
      <c r="AM448" t="str">
        <f>"10"</f>
        <v>10</v>
      </c>
      <c r="AN448" t="str">
        <f>"500000"</f>
        <v>500000</v>
      </c>
      <c r="AO448" t="str">
        <f>"הכנסות  מלקוחות"</f>
        <v>הכנסות  מלקוחות</v>
      </c>
      <c r="AQ448" t="str">
        <f>"040"</f>
        <v>040</v>
      </c>
      <c r="AR448">
        <v>0</v>
      </c>
      <c r="AS448">
        <v>0</v>
      </c>
      <c r="AT448">
        <v>3.625</v>
      </c>
      <c r="AX448" t="str">
        <f>"E000367695"</f>
        <v>E000367695</v>
      </c>
      <c r="BD448" t="str">
        <f>"רחמים זרוק"</f>
        <v>רחמים זרוק</v>
      </c>
    </row>
    <row r="449" spans="1:56" x14ac:dyDescent="0.3">
      <c r="A449" s="1">
        <v>45103</v>
      </c>
      <c r="B449" t="str">
        <f>"SI236000897"</f>
        <v>SI236000897</v>
      </c>
      <c r="C449" t="str">
        <f>"PR23000346"</f>
        <v>PR23000346</v>
      </c>
      <c r="D449" t="str">
        <f>"PR23000346"</f>
        <v>PR23000346</v>
      </c>
      <c r="E449" t="str">
        <f>"Y"</f>
        <v>Y</v>
      </c>
      <c r="F449" t="str">
        <f>"חשבוניות מרכזות"</f>
        <v>חשבוניות מרכזות</v>
      </c>
      <c r="G449" t="str">
        <f>"700065"</f>
        <v>700065</v>
      </c>
      <c r="H449" t="str">
        <f>"אלתא מערכות בע""מ"</f>
        <v>אלתא מערכות בע"מ</v>
      </c>
      <c r="I449" t="str">
        <f>"10"</f>
        <v>10</v>
      </c>
      <c r="J449" t="str">
        <f>"TL0700180"</f>
        <v>TL0700180</v>
      </c>
      <c r="K449" t="str">
        <f>"פנס יד מקצועי נטען עם סוללה 1,000 לומן-ROHER-PRO"</f>
        <v>פנס יד מקצועי נטען עם סוללה 1,000 לומן-ROHER-PRO</v>
      </c>
      <c r="L449">
        <v>1</v>
      </c>
      <c r="M449" t="str">
        <f>"יח"</f>
        <v>יח</v>
      </c>
      <c r="N449">
        <v>1</v>
      </c>
      <c r="O449" t="str">
        <f>"יח"</f>
        <v>יח</v>
      </c>
      <c r="P449">
        <v>68</v>
      </c>
      <c r="Q449" t="str">
        <f>"$"</f>
        <v>$</v>
      </c>
      <c r="R449" t="str">
        <f>"הזמנה"</f>
        <v>הזמנה</v>
      </c>
      <c r="S449">
        <v>0</v>
      </c>
      <c r="T449">
        <v>68</v>
      </c>
      <c r="U449">
        <v>0</v>
      </c>
      <c r="V449">
        <v>68</v>
      </c>
      <c r="W449" t="str">
        <f>"$"</f>
        <v>$</v>
      </c>
      <c r="X449">
        <v>0</v>
      </c>
      <c r="Y449">
        <v>0</v>
      </c>
      <c r="Z449">
        <v>0</v>
      </c>
      <c r="AA449" t="str">
        <f>"Y"</f>
        <v>Y</v>
      </c>
      <c r="AB449" t="str">
        <f>"SO23000250"</f>
        <v>SO23000250</v>
      </c>
      <c r="AC449">
        <v>1</v>
      </c>
      <c r="AD449" s="1">
        <v>45076</v>
      </c>
      <c r="AE449" t="str">
        <f>"SH23000763"</f>
        <v>SH23000763</v>
      </c>
      <c r="AF449" t="str">
        <f>"משלוחים ללקוח"</f>
        <v>משלוחים ללקוח</v>
      </c>
      <c r="AG449" s="1">
        <v>45098</v>
      </c>
      <c r="AM449" t="str">
        <f>"10"</f>
        <v>10</v>
      </c>
      <c r="AN449" t="str">
        <f>"500000"</f>
        <v>500000</v>
      </c>
      <c r="AO449" t="str">
        <f>"הכנסות  מלקוחות"</f>
        <v>הכנסות  מלקוחות</v>
      </c>
      <c r="AQ449" t="str">
        <f>"007"</f>
        <v>007</v>
      </c>
      <c r="AR449">
        <v>0</v>
      </c>
      <c r="AS449">
        <v>0</v>
      </c>
      <c r="AT449">
        <v>3.625</v>
      </c>
      <c r="AX449" t="str">
        <f>"E000395604"</f>
        <v>E000395604</v>
      </c>
      <c r="BD449" t="str">
        <f>"רוני דידי"</f>
        <v>רוני דידי</v>
      </c>
    </row>
    <row r="450" spans="1:56" x14ac:dyDescent="0.3">
      <c r="A450" s="1">
        <v>45103</v>
      </c>
      <c r="B450" t="str">
        <f>"SI236000897"</f>
        <v>SI236000897</v>
      </c>
      <c r="C450" t="str">
        <f>"PR23000346"</f>
        <v>PR23000346</v>
      </c>
      <c r="D450" t="str">
        <f>"PR23000346"</f>
        <v>PR23000346</v>
      </c>
      <c r="E450" t="str">
        <f>"Y"</f>
        <v>Y</v>
      </c>
      <c r="F450" t="str">
        <f>"חשבוניות מרכזות"</f>
        <v>חשבוניות מרכזות</v>
      </c>
      <c r="G450" t="str">
        <f>"700065"</f>
        <v>700065</v>
      </c>
      <c r="H450" t="str">
        <f>"אלתא מערכות בע""מ"</f>
        <v>אלתא מערכות בע"מ</v>
      </c>
      <c r="I450" t="str">
        <f>"10"</f>
        <v>10</v>
      </c>
      <c r="J450" t="str">
        <f>"TL0700180"</f>
        <v>TL0700180</v>
      </c>
      <c r="K450" t="str">
        <f>"פנס יד מקצועי נטען עם סוללה 1,000 לומן-ROHER-PRO"</f>
        <v>פנס יד מקצועי נטען עם סוללה 1,000 לומן-ROHER-PRO</v>
      </c>
      <c r="L450">
        <v>1</v>
      </c>
      <c r="M450" t="str">
        <f>"יח"</f>
        <v>יח</v>
      </c>
      <c r="N450">
        <v>1</v>
      </c>
      <c r="O450" t="str">
        <f>"יח"</f>
        <v>יח</v>
      </c>
      <c r="P450">
        <v>68</v>
      </c>
      <c r="Q450" t="str">
        <f>"$"</f>
        <v>$</v>
      </c>
      <c r="R450" t="str">
        <f>"הזמנה"</f>
        <v>הזמנה</v>
      </c>
      <c r="S450">
        <v>0</v>
      </c>
      <c r="T450">
        <v>68</v>
      </c>
      <c r="U450">
        <v>0</v>
      </c>
      <c r="V450">
        <v>68</v>
      </c>
      <c r="W450" t="str">
        <f>"$"</f>
        <v>$</v>
      </c>
      <c r="X450">
        <v>0</v>
      </c>
      <c r="Y450">
        <v>0</v>
      </c>
      <c r="Z450">
        <v>0</v>
      </c>
      <c r="AA450" t="str">
        <f>"Y"</f>
        <v>Y</v>
      </c>
      <c r="AB450" t="str">
        <f>"SO23000250"</f>
        <v>SO23000250</v>
      </c>
      <c r="AC450">
        <v>2</v>
      </c>
      <c r="AD450" s="1">
        <v>45076</v>
      </c>
      <c r="AE450" t="str">
        <f>"SH23000763"</f>
        <v>SH23000763</v>
      </c>
      <c r="AF450" t="str">
        <f>"משלוחים ללקוח"</f>
        <v>משלוחים ללקוח</v>
      </c>
      <c r="AG450" s="1">
        <v>45098</v>
      </c>
      <c r="AM450" t="str">
        <f>"10"</f>
        <v>10</v>
      </c>
      <c r="AN450" t="str">
        <f>"500000"</f>
        <v>500000</v>
      </c>
      <c r="AO450" t="str">
        <f>"הכנסות  מלקוחות"</f>
        <v>הכנסות  מלקוחות</v>
      </c>
      <c r="AQ450" t="str">
        <f>"007"</f>
        <v>007</v>
      </c>
      <c r="AR450">
        <v>0</v>
      </c>
      <c r="AS450">
        <v>0</v>
      </c>
      <c r="AT450">
        <v>3.625</v>
      </c>
      <c r="AX450" t="str">
        <f>"E000395604"</f>
        <v>E000395604</v>
      </c>
      <c r="BD450" t="str">
        <f>"רוני דידי"</f>
        <v>רוני דידי</v>
      </c>
    </row>
    <row r="451" spans="1:56" x14ac:dyDescent="0.3">
      <c r="A451" s="1">
        <v>45103</v>
      </c>
      <c r="B451" t="str">
        <f>"SI236000896"</f>
        <v>SI236000896</v>
      </c>
      <c r="C451" t="str">
        <f>"PR22000671"</f>
        <v>PR22000671</v>
      </c>
      <c r="E451" t="str">
        <f>"Y"</f>
        <v>Y</v>
      </c>
      <c r="F451" t="str">
        <f>"חשבוניות מרכזות"</f>
        <v>חשבוניות מרכזות</v>
      </c>
      <c r="G451" t="str">
        <f>"700065"</f>
        <v>700065</v>
      </c>
      <c r="H451" t="str">
        <f>"אלתא מערכות בע""מ"</f>
        <v>אלתא מערכות בע"מ</v>
      </c>
      <c r="I451" t="str">
        <f>"15"</f>
        <v>15</v>
      </c>
      <c r="J451" t="str">
        <f>"OP-AR03367"</f>
        <v>OP-AR03367</v>
      </c>
      <c r="K451" t="str">
        <f>"2210B802-001    HARNESS WS116 - LVCS DC POWER"</f>
        <v>2210B802-001    HARNESS WS116 - LVCS DC POWER</v>
      </c>
      <c r="L451">
        <v>2</v>
      </c>
      <c r="M451" t="str">
        <f>"יח"</f>
        <v>יח</v>
      </c>
      <c r="N451">
        <v>2</v>
      </c>
      <c r="O451" t="str">
        <f>"יח"</f>
        <v>יח</v>
      </c>
      <c r="P451">
        <v>839.71</v>
      </c>
      <c r="Q451" t="str">
        <f>"$"</f>
        <v>$</v>
      </c>
      <c r="R451" t="str">
        <f>"הזמנה"</f>
        <v>הזמנה</v>
      </c>
      <c r="S451">
        <v>0</v>
      </c>
      <c r="T451" s="2">
        <v>1679.42</v>
      </c>
      <c r="U451">
        <v>0</v>
      </c>
      <c r="V451" s="2">
        <v>1679.42</v>
      </c>
      <c r="W451" t="str">
        <f>"$"</f>
        <v>$</v>
      </c>
      <c r="X451">
        <v>0</v>
      </c>
      <c r="Y451">
        <v>0</v>
      </c>
      <c r="Z451">
        <v>0</v>
      </c>
      <c r="AA451" t="str">
        <f>"Y"</f>
        <v>Y</v>
      </c>
      <c r="AB451" t="str">
        <f>"SO22000385"</f>
        <v>SO22000385</v>
      </c>
      <c r="AC451">
        <v>9</v>
      </c>
      <c r="AD451" s="1">
        <v>44860</v>
      </c>
      <c r="AE451" t="str">
        <f>"SH23000713"</f>
        <v>SH23000713</v>
      </c>
      <c r="AF451" t="str">
        <f>"משלוחים ללקוח"</f>
        <v>משלוחים ללקוח</v>
      </c>
      <c r="AG451" s="1">
        <v>45089</v>
      </c>
      <c r="AM451" t="str">
        <f>"10"</f>
        <v>10</v>
      </c>
      <c r="AN451" t="str">
        <f>"500000"</f>
        <v>500000</v>
      </c>
      <c r="AO451" t="str">
        <f>"הכנסות  מלקוחות"</f>
        <v>הכנסות  מלקוחות</v>
      </c>
      <c r="AQ451" t="str">
        <f>"040"</f>
        <v>040</v>
      </c>
      <c r="AR451">
        <v>0</v>
      </c>
      <c r="AS451">
        <v>0</v>
      </c>
      <c r="AT451">
        <v>3.625</v>
      </c>
      <c r="AX451" t="str">
        <f>"E000374617"</f>
        <v>E000374617</v>
      </c>
      <c r="BD451" t="str">
        <f>"רחמים זרוק"</f>
        <v>רחמים זרוק</v>
      </c>
    </row>
    <row r="452" spans="1:56" x14ac:dyDescent="0.3">
      <c r="A452" s="1">
        <v>45103</v>
      </c>
      <c r="B452" t="str">
        <f>"SI236000895"</f>
        <v>SI236000895</v>
      </c>
      <c r="C452" t="str">
        <f>"PR23000077"</f>
        <v>PR23000077</v>
      </c>
      <c r="D452" t="str">
        <f>"PR23000077"</f>
        <v>PR23000077</v>
      </c>
      <c r="E452" t="str">
        <f>"Y"</f>
        <v>Y</v>
      </c>
      <c r="F452" t="str">
        <f>"חשבוניות מרכזות"</f>
        <v>חשבוניות מרכזות</v>
      </c>
      <c r="G452" t="str">
        <f>"700065"</f>
        <v>700065</v>
      </c>
      <c r="H452" t="str">
        <f>"אלתא מערכות בע""מ"</f>
        <v>אלתא מערכות בע"מ</v>
      </c>
      <c r="I452" t="str">
        <f>"15"</f>
        <v>15</v>
      </c>
      <c r="J452" t="str">
        <f>"OP-AR03541"</f>
        <v>OP-AR03541</v>
      </c>
      <c r="K452" t="str">
        <f>"1023F870-001    CABLE ASSY W42"</f>
        <v>1023F870-001    CABLE ASSY W42</v>
      </c>
      <c r="L452">
        <v>2</v>
      </c>
      <c r="M452" t="str">
        <f>"יח"</f>
        <v>יח</v>
      </c>
      <c r="N452">
        <v>2</v>
      </c>
      <c r="O452" t="str">
        <f>"יח"</f>
        <v>יח</v>
      </c>
      <c r="P452">
        <v>367.6</v>
      </c>
      <c r="Q452" t="str">
        <f>"$"</f>
        <v>$</v>
      </c>
      <c r="R452" t="str">
        <f>"הזמנה"</f>
        <v>הזמנה</v>
      </c>
      <c r="S452">
        <v>0</v>
      </c>
      <c r="T452">
        <v>735.2</v>
      </c>
      <c r="U452">
        <v>0</v>
      </c>
      <c r="V452">
        <v>735.2</v>
      </c>
      <c r="W452" t="str">
        <f>"$"</f>
        <v>$</v>
      </c>
      <c r="X452">
        <v>0</v>
      </c>
      <c r="Y452">
        <v>0</v>
      </c>
      <c r="Z452">
        <v>0</v>
      </c>
      <c r="AA452" t="str">
        <f>"Y"</f>
        <v>Y</v>
      </c>
      <c r="AB452" t="str">
        <f>"SO23000048"</f>
        <v>SO23000048</v>
      </c>
      <c r="AC452">
        <v>1</v>
      </c>
      <c r="AD452" s="1">
        <v>44944</v>
      </c>
      <c r="AE452" t="str">
        <f>"SH23000726"</f>
        <v>SH23000726</v>
      </c>
      <c r="AF452" t="str">
        <f>"משלוחים ללקוח"</f>
        <v>משלוחים ללקוח</v>
      </c>
      <c r="AG452" s="1">
        <v>45090</v>
      </c>
      <c r="AM452" t="str">
        <f>"10"</f>
        <v>10</v>
      </c>
      <c r="AN452" t="str">
        <f>"500000"</f>
        <v>500000</v>
      </c>
      <c r="AO452" t="str">
        <f>"הכנסות  מלקוחות"</f>
        <v>הכנסות  מלקוחות</v>
      </c>
      <c r="AQ452" t="str">
        <f>"040"</f>
        <v>040</v>
      </c>
      <c r="AR452">
        <v>0</v>
      </c>
      <c r="AS452">
        <v>0</v>
      </c>
      <c r="AT452">
        <v>3.625</v>
      </c>
      <c r="AX452" t="str">
        <f>"E000383715"</f>
        <v>E000383715</v>
      </c>
      <c r="BD452" t="str">
        <f>"רחמים זרוק"</f>
        <v>רחמים זרוק</v>
      </c>
    </row>
    <row r="453" spans="1:56" x14ac:dyDescent="0.3">
      <c r="A453" s="1">
        <v>45103</v>
      </c>
      <c r="B453" t="str">
        <f>"SI236000895"</f>
        <v>SI236000895</v>
      </c>
      <c r="C453" t="str">
        <f>"PR23000077"</f>
        <v>PR23000077</v>
      </c>
      <c r="D453" t="str">
        <f>"PR23000077"</f>
        <v>PR23000077</v>
      </c>
      <c r="E453" t="str">
        <f>"Y"</f>
        <v>Y</v>
      </c>
      <c r="F453" t="str">
        <f>"חשבוניות מרכזות"</f>
        <v>חשבוניות מרכזות</v>
      </c>
      <c r="G453" t="str">
        <f>"700065"</f>
        <v>700065</v>
      </c>
      <c r="H453" t="str">
        <f>"אלתא מערכות בע""מ"</f>
        <v>אלתא מערכות בע"מ</v>
      </c>
      <c r="I453" t="str">
        <f>"15"</f>
        <v>15</v>
      </c>
      <c r="J453" t="str">
        <f>"OP-AR03541"</f>
        <v>OP-AR03541</v>
      </c>
      <c r="K453" t="str">
        <f>"1023F870-001    CABLE ASSY W42"</f>
        <v>1023F870-001    CABLE ASSY W42</v>
      </c>
      <c r="L453">
        <v>1</v>
      </c>
      <c r="M453" t="str">
        <f>"יח"</f>
        <v>יח</v>
      </c>
      <c r="N453">
        <v>1</v>
      </c>
      <c r="O453" t="str">
        <f>"יח"</f>
        <v>יח</v>
      </c>
      <c r="P453">
        <v>367.6</v>
      </c>
      <c r="Q453" t="str">
        <f>"$"</f>
        <v>$</v>
      </c>
      <c r="R453" t="str">
        <f>"הזמנה"</f>
        <v>הזמנה</v>
      </c>
      <c r="S453">
        <v>0</v>
      </c>
      <c r="T453">
        <v>367.6</v>
      </c>
      <c r="U453">
        <v>0</v>
      </c>
      <c r="V453">
        <v>367.6</v>
      </c>
      <c r="W453" t="str">
        <f>"$"</f>
        <v>$</v>
      </c>
      <c r="X453">
        <v>0</v>
      </c>
      <c r="Y453">
        <v>0</v>
      </c>
      <c r="Z453">
        <v>0</v>
      </c>
      <c r="AA453" t="str">
        <f>"Y"</f>
        <v>Y</v>
      </c>
      <c r="AB453" t="str">
        <f>"SO23000048"</f>
        <v>SO23000048</v>
      </c>
      <c r="AC453">
        <v>2</v>
      </c>
      <c r="AD453" s="1">
        <v>44944</v>
      </c>
      <c r="AE453" t="str">
        <f>"SH23000726"</f>
        <v>SH23000726</v>
      </c>
      <c r="AF453" t="str">
        <f>"משלוחים ללקוח"</f>
        <v>משלוחים ללקוח</v>
      </c>
      <c r="AG453" s="1">
        <v>45090</v>
      </c>
      <c r="AM453" t="str">
        <f>"10"</f>
        <v>10</v>
      </c>
      <c r="AN453" t="str">
        <f>"500000"</f>
        <v>500000</v>
      </c>
      <c r="AO453" t="str">
        <f>"הכנסות  מלקוחות"</f>
        <v>הכנסות  מלקוחות</v>
      </c>
      <c r="AQ453" t="str">
        <f>"040"</f>
        <v>040</v>
      </c>
      <c r="AR453">
        <v>0</v>
      </c>
      <c r="AS453">
        <v>0</v>
      </c>
      <c r="AT453">
        <v>3.625</v>
      </c>
      <c r="AX453" t="str">
        <f>"E000383715"</f>
        <v>E000383715</v>
      </c>
      <c r="BD453" t="str">
        <f>"רחמים זרוק"</f>
        <v>רחמים זרוק</v>
      </c>
    </row>
    <row r="454" spans="1:56" x14ac:dyDescent="0.3">
      <c r="A454" s="1">
        <v>45103</v>
      </c>
      <c r="B454" t="str">
        <f>"SI236000895"</f>
        <v>SI236000895</v>
      </c>
      <c r="C454" t="str">
        <f>"PR23000077"</f>
        <v>PR23000077</v>
      </c>
      <c r="D454" t="str">
        <f>"PR23000077"</f>
        <v>PR23000077</v>
      </c>
      <c r="E454" t="str">
        <f>"Y"</f>
        <v>Y</v>
      </c>
      <c r="F454" t="str">
        <f>"חשבוניות מרכזות"</f>
        <v>חשבוניות מרכזות</v>
      </c>
      <c r="G454" t="str">
        <f>"700065"</f>
        <v>700065</v>
      </c>
      <c r="H454" t="str">
        <f>"אלתא מערכות בע""מ"</f>
        <v>אלתא מערכות בע"מ</v>
      </c>
      <c r="I454" t="str">
        <f>"15"</f>
        <v>15</v>
      </c>
      <c r="J454" t="str">
        <f>"OP-AR03541"</f>
        <v>OP-AR03541</v>
      </c>
      <c r="K454" t="str">
        <f>"1023F870-001    CABLE ASSY W42"</f>
        <v>1023F870-001    CABLE ASSY W42</v>
      </c>
      <c r="L454">
        <v>4</v>
      </c>
      <c r="M454" t="str">
        <f>"יח"</f>
        <v>יח</v>
      </c>
      <c r="N454">
        <v>4</v>
      </c>
      <c r="O454" t="str">
        <f>"יח"</f>
        <v>יח</v>
      </c>
      <c r="P454">
        <v>367.6</v>
      </c>
      <c r="Q454" t="str">
        <f>"$"</f>
        <v>$</v>
      </c>
      <c r="R454" t="str">
        <f>"הזמנה"</f>
        <v>הזמנה</v>
      </c>
      <c r="S454">
        <v>0</v>
      </c>
      <c r="T454" s="2">
        <v>1470.4</v>
      </c>
      <c r="U454">
        <v>0</v>
      </c>
      <c r="V454" s="2">
        <v>1470.4</v>
      </c>
      <c r="W454" t="str">
        <f>"$"</f>
        <v>$</v>
      </c>
      <c r="X454">
        <v>0</v>
      </c>
      <c r="Y454">
        <v>0</v>
      </c>
      <c r="Z454">
        <v>0</v>
      </c>
      <c r="AA454" t="str">
        <f>"Y"</f>
        <v>Y</v>
      </c>
      <c r="AB454" t="str">
        <f>"SO23000048"</f>
        <v>SO23000048</v>
      </c>
      <c r="AC454">
        <v>12</v>
      </c>
      <c r="AD454" s="1">
        <v>44944</v>
      </c>
      <c r="AE454" t="str">
        <f>"SH23000726"</f>
        <v>SH23000726</v>
      </c>
      <c r="AF454" t="str">
        <f>"משלוחים ללקוח"</f>
        <v>משלוחים ללקוח</v>
      </c>
      <c r="AG454" s="1">
        <v>45090</v>
      </c>
      <c r="AM454" t="str">
        <f>"10"</f>
        <v>10</v>
      </c>
      <c r="AN454" t="str">
        <f>"500000"</f>
        <v>500000</v>
      </c>
      <c r="AO454" t="str">
        <f>"הכנסות  מלקוחות"</f>
        <v>הכנסות  מלקוחות</v>
      </c>
      <c r="AQ454" t="str">
        <f>"040"</f>
        <v>040</v>
      </c>
      <c r="AR454">
        <v>0</v>
      </c>
      <c r="AS454">
        <v>0</v>
      </c>
      <c r="AT454">
        <v>3.625</v>
      </c>
      <c r="AX454" t="str">
        <f>"E000383715"</f>
        <v>E000383715</v>
      </c>
      <c r="BD454" t="str">
        <f>"רחמים זרוק"</f>
        <v>רחמים זרוק</v>
      </c>
    </row>
    <row r="455" spans="1:56" x14ac:dyDescent="0.3">
      <c r="A455" s="1">
        <v>45103</v>
      </c>
      <c r="B455" t="str">
        <f>"SI236000894"</f>
        <v>SI236000894</v>
      </c>
      <c r="C455" t="str">
        <f>"PR23000100"</f>
        <v>PR23000100</v>
      </c>
      <c r="E455" t="str">
        <f>"Y"</f>
        <v>Y</v>
      </c>
      <c r="F455" t="str">
        <f>"חשבוניות מרכזות"</f>
        <v>חשבוניות מרכזות</v>
      </c>
      <c r="G455" t="str">
        <f>"700065"</f>
        <v>700065</v>
      </c>
      <c r="H455" t="str">
        <f>"אלתא מערכות בע""מ"</f>
        <v>אלתא מערכות בע"מ</v>
      </c>
      <c r="I455" t="str">
        <f>"10"</f>
        <v>10</v>
      </c>
      <c r="J455" t="str">
        <f>"OP-AR01088"</f>
        <v>OP-AR01088</v>
      </c>
      <c r="K455" t="str">
        <f>"1038H185-001 SRASR POWER DISTRIUTION UNIT"</f>
        <v>1038H185-001 SRASR POWER DISTRIUTION UNIT</v>
      </c>
      <c r="L455">
        <v>-1</v>
      </c>
      <c r="M455" t="str">
        <f>"יח"</f>
        <v>יח</v>
      </c>
      <c r="N455">
        <v>-1</v>
      </c>
      <c r="O455" t="str">
        <f>"יח"</f>
        <v>יח</v>
      </c>
      <c r="P455" s="2">
        <v>14757</v>
      </c>
      <c r="Q455" t="str">
        <f>"$"</f>
        <v>$</v>
      </c>
      <c r="R455" t="str">
        <f>"הזמנה"</f>
        <v>הזמנה</v>
      </c>
      <c r="S455">
        <v>0</v>
      </c>
      <c r="T455" s="2">
        <v>-14757</v>
      </c>
      <c r="U455">
        <v>0</v>
      </c>
      <c r="V455" s="2">
        <v>-14757</v>
      </c>
      <c r="W455" t="str">
        <f>"$"</f>
        <v>$</v>
      </c>
      <c r="X455">
        <v>0</v>
      </c>
      <c r="Y455">
        <v>0</v>
      </c>
      <c r="Z455">
        <v>0</v>
      </c>
      <c r="AA455" t="str">
        <f>"Y"</f>
        <v>Y</v>
      </c>
      <c r="AC455">
        <v>0</v>
      </c>
      <c r="AM455" t="str">
        <f>"10"</f>
        <v>10</v>
      </c>
      <c r="AN455" t="str">
        <f>"500000"</f>
        <v>500000</v>
      </c>
      <c r="AO455" t="str">
        <f>"הכנסות  מלקוחות"</f>
        <v>הכנסות  מלקוחות</v>
      </c>
      <c r="AQ455" t="str">
        <f>"007"</f>
        <v>007</v>
      </c>
      <c r="AR455">
        <v>0</v>
      </c>
      <c r="AS455">
        <v>0</v>
      </c>
      <c r="AT455">
        <v>3.625</v>
      </c>
      <c r="BB455" t="str">
        <f>"Y"</f>
        <v>Y</v>
      </c>
      <c r="BD455" t="str">
        <f>"רוני דידי"</f>
        <v>רוני דידי</v>
      </c>
    </row>
    <row r="456" spans="1:56" x14ac:dyDescent="0.3">
      <c r="A456" s="1">
        <v>45103</v>
      </c>
      <c r="B456" t="str">
        <f>"SI236000893"</f>
        <v>SI236000893</v>
      </c>
      <c r="C456" t="str">
        <f>"PR23000100"</f>
        <v>PR23000100</v>
      </c>
      <c r="E456" t="str">
        <f>"Y"</f>
        <v>Y</v>
      </c>
      <c r="F456" t="str">
        <f>"חשבוניות מרכזות"</f>
        <v>חשבוניות מרכזות</v>
      </c>
      <c r="G456" t="str">
        <f>"700065"</f>
        <v>700065</v>
      </c>
      <c r="H456" t="str">
        <f>"אלתא מערכות בע""מ"</f>
        <v>אלתא מערכות בע"מ</v>
      </c>
      <c r="I456" t="str">
        <f>"10"</f>
        <v>10</v>
      </c>
      <c r="J456" t="str">
        <f>"OP-AR01088"</f>
        <v>OP-AR01088</v>
      </c>
      <c r="K456" t="str">
        <f>"1038H185-001 SRASR POWER DISTRIUTION UNIT"</f>
        <v>1038H185-001 SRASR POWER DISTRIUTION UNIT</v>
      </c>
      <c r="L456">
        <v>1</v>
      </c>
      <c r="M456" t="str">
        <f>"יח"</f>
        <v>יח</v>
      </c>
      <c r="N456">
        <v>1</v>
      </c>
      <c r="O456" t="str">
        <f>"יח"</f>
        <v>יח</v>
      </c>
      <c r="P456" s="2">
        <v>14757</v>
      </c>
      <c r="Q456" t="str">
        <f>"$"</f>
        <v>$</v>
      </c>
      <c r="R456" t="str">
        <f>"הזמנה"</f>
        <v>הזמנה</v>
      </c>
      <c r="S456">
        <v>0</v>
      </c>
      <c r="T456" s="2">
        <v>14757</v>
      </c>
      <c r="U456">
        <v>0</v>
      </c>
      <c r="V456" s="2">
        <v>14757</v>
      </c>
      <c r="W456" t="str">
        <f>"$"</f>
        <v>$</v>
      </c>
      <c r="X456">
        <v>0</v>
      </c>
      <c r="Y456">
        <v>0</v>
      </c>
      <c r="Z456">
        <v>0</v>
      </c>
      <c r="AA456" t="str">
        <f>"Y"</f>
        <v>Y</v>
      </c>
      <c r="AC456">
        <v>0</v>
      </c>
      <c r="AM456" t="str">
        <f>"10"</f>
        <v>10</v>
      </c>
      <c r="AN456" t="str">
        <f>"500000"</f>
        <v>500000</v>
      </c>
      <c r="AO456" t="str">
        <f>"הכנסות  מלקוחות"</f>
        <v>הכנסות  מלקוחות</v>
      </c>
      <c r="AQ456" t="str">
        <f>"007"</f>
        <v>007</v>
      </c>
      <c r="AR456">
        <v>0</v>
      </c>
      <c r="AS456">
        <v>0</v>
      </c>
      <c r="AT456">
        <v>3.625</v>
      </c>
      <c r="BB456" t="str">
        <f>"Y"</f>
        <v>Y</v>
      </c>
      <c r="BD456" t="str">
        <f>"רוני דידי"</f>
        <v>רוני דידי</v>
      </c>
    </row>
    <row r="457" spans="1:56" x14ac:dyDescent="0.3">
      <c r="A457" s="1">
        <v>45098</v>
      </c>
      <c r="B457" t="str">
        <f>"SI236000840"</f>
        <v>SI236000840</v>
      </c>
      <c r="C457" t="str">
        <f>"PR23000351"</f>
        <v>PR23000351</v>
      </c>
      <c r="D457" t="str">
        <f>"PR23000351"</f>
        <v>PR23000351</v>
      </c>
      <c r="E457" t="str">
        <f>"Y"</f>
        <v>Y</v>
      </c>
      <c r="F457" t="str">
        <f>"חשבוניות מרכזות"</f>
        <v>חשבוניות מרכזות</v>
      </c>
      <c r="G457" t="str">
        <f>"700065"</f>
        <v>700065</v>
      </c>
      <c r="H457" t="str">
        <f>"אלתא מערכות בע""מ"</f>
        <v>אלתא מערכות בע"מ</v>
      </c>
      <c r="I457" t="str">
        <f>"10"</f>
        <v>10</v>
      </c>
      <c r="J457" t="str">
        <f>"000"</f>
        <v>000</v>
      </c>
      <c r="K457" t="str">
        <f>"ימי הדרכה בצ'כיה קטרפילר"</f>
        <v>ימי הדרכה בצ'כיה קטרפילר</v>
      </c>
      <c r="L457">
        <v>1</v>
      </c>
      <c r="M457" t="str">
        <f>"יח"</f>
        <v>יח</v>
      </c>
      <c r="N457">
        <v>1</v>
      </c>
      <c r="O457" t="str">
        <f>"יח"</f>
        <v>יח</v>
      </c>
      <c r="P457">
        <v>686</v>
      </c>
      <c r="Q457" t="str">
        <f>"$"</f>
        <v>$</v>
      </c>
      <c r="R457" t="str">
        <f>"הזמנה"</f>
        <v>הזמנה</v>
      </c>
      <c r="S457">
        <v>0</v>
      </c>
      <c r="T457">
        <v>686</v>
      </c>
      <c r="U457">
        <v>0</v>
      </c>
      <c r="V457">
        <v>686</v>
      </c>
      <c r="W457" t="str">
        <f>"$"</f>
        <v>$</v>
      </c>
      <c r="X457">
        <v>0</v>
      </c>
      <c r="Y457">
        <v>0</v>
      </c>
      <c r="Z457">
        <v>0</v>
      </c>
      <c r="AA457" t="str">
        <f>"Y"</f>
        <v>Y</v>
      </c>
      <c r="AB457" t="str">
        <f>"SO23000253"</f>
        <v>SO23000253</v>
      </c>
      <c r="AC457">
        <v>3</v>
      </c>
      <c r="AD457" s="1">
        <v>45077</v>
      </c>
      <c r="AM457" t="str">
        <f>"10"</f>
        <v>10</v>
      </c>
      <c r="AN457" t="str">
        <f>"500000"</f>
        <v>500000</v>
      </c>
      <c r="AO457" t="str">
        <f>"הכנסות  מלקוחות"</f>
        <v>הכנסות  מלקוחות</v>
      </c>
      <c r="AQ457" t="str">
        <f>"040"</f>
        <v>040</v>
      </c>
      <c r="AR457">
        <v>0</v>
      </c>
      <c r="AS457">
        <v>0</v>
      </c>
      <c r="AT457">
        <v>3.609</v>
      </c>
      <c r="AX457" t="str">
        <f>"E000396004"</f>
        <v>E000396004</v>
      </c>
      <c r="BD457" t="str">
        <f>"רחמים זרוק"</f>
        <v>רחמים זרוק</v>
      </c>
    </row>
    <row r="458" spans="1:56" x14ac:dyDescent="0.3">
      <c r="A458" s="1">
        <v>45098</v>
      </c>
      <c r="B458" t="str">
        <f>"SI236000839"</f>
        <v>SI236000839</v>
      </c>
      <c r="C458" t="str">
        <f>"PR23000351"</f>
        <v>PR23000351</v>
      </c>
      <c r="D458" t="str">
        <f>"PR23000351"</f>
        <v>PR23000351</v>
      </c>
      <c r="E458" t="str">
        <f>"Y"</f>
        <v>Y</v>
      </c>
      <c r="F458" t="str">
        <f>"חשבוניות מרכזות"</f>
        <v>חשבוניות מרכזות</v>
      </c>
      <c r="G458" t="str">
        <f>"700065"</f>
        <v>700065</v>
      </c>
      <c r="H458" t="str">
        <f>"אלתא מערכות בע""מ"</f>
        <v>אלתא מערכות בע"מ</v>
      </c>
      <c r="I458" t="str">
        <f>"10"</f>
        <v>10</v>
      </c>
      <c r="J458" t="str">
        <f>"000"</f>
        <v>000</v>
      </c>
      <c r="K458" t="str">
        <f>"ימי הדרכה בצ'כיה"</f>
        <v>ימי הדרכה בצ'כיה</v>
      </c>
      <c r="L458">
        <v>1</v>
      </c>
      <c r="M458" t="str">
        <f>"יח"</f>
        <v>יח</v>
      </c>
      <c r="N458">
        <v>1</v>
      </c>
      <c r="O458" t="str">
        <f>"יח"</f>
        <v>יח</v>
      </c>
      <c r="P458" s="2">
        <v>12000</v>
      </c>
      <c r="Q458" t="str">
        <f>"$"</f>
        <v>$</v>
      </c>
      <c r="R458" t="str">
        <f>"הזמנה"</f>
        <v>הזמנה</v>
      </c>
      <c r="S458">
        <v>0</v>
      </c>
      <c r="T458" s="2">
        <v>12000</v>
      </c>
      <c r="U458">
        <v>0</v>
      </c>
      <c r="V458" s="2">
        <v>12000</v>
      </c>
      <c r="W458" t="str">
        <f>"$"</f>
        <v>$</v>
      </c>
      <c r="X458">
        <v>0</v>
      </c>
      <c r="Y458">
        <v>0</v>
      </c>
      <c r="Z458">
        <v>0</v>
      </c>
      <c r="AA458" t="str">
        <f>"Y"</f>
        <v>Y</v>
      </c>
      <c r="AB458" t="str">
        <f>"SO23000253"</f>
        <v>SO23000253</v>
      </c>
      <c r="AC458">
        <v>2</v>
      </c>
      <c r="AD458" s="1">
        <v>45077</v>
      </c>
      <c r="AM458" t="str">
        <f>"10"</f>
        <v>10</v>
      </c>
      <c r="AN458" t="str">
        <f>"500000"</f>
        <v>500000</v>
      </c>
      <c r="AO458" t="str">
        <f>"הכנסות  מלקוחות"</f>
        <v>הכנסות  מלקוחות</v>
      </c>
      <c r="AQ458" t="str">
        <f>"040"</f>
        <v>040</v>
      </c>
      <c r="AR458">
        <v>0</v>
      </c>
      <c r="AS458">
        <v>0</v>
      </c>
      <c r="AT458">
        <v>3.609</v>
      </c>
      <c r="AX458" t="str">
        <f>"E000396004"</f>
        <v>E000396004</v>
      </c>
      <c r="BD458" t="str">
        <f>"רחמים זרוק"</f>
        <v>רחמים זרוק</v>
      </c>
    </row>
    <row r="459" spans="1:56" x14ac:dyDescent="0.3">
      <c r="A459" s="1">
        <v>45098</v>
      </c>
      <c r="B459" t="str">
        <f>"SI236000838"</f>
        <v>SI236000838</v>
      </c>
      <c r="C459" t="str">
        <f>"PR23000351"</f>
        <v>PR23000351</v>
      </c>
      <c r="D459" t="str">
        <f>"PR23000351"</f>
        <v>PR23000351</v>
      </c>
      <c r="E459" t="str">
        <f>"Y"</f>
        <v>Y</v>
      </c>
      <c r="F459" t="str">
        <f>"חשבוניות מרכזות"</f>
        <v>חשבוניות מרכזות</v>
      </c>
      <c r="G459" t="str">
        <f>"700065"</f>
        <v>700065</v>
      </c>
      <c r="H459" t="str">
        <f>"אלתא מערכות בע""מ"</f>
        <v>אלתא מערכות בע"מ</v>
      </c>
      <c r="I459" t="str">
        <f>"10"</f>
        <v>10</v>
      </c>
      <c r="J459" t="str">
        <f>"000"</f>
        <v>000</v>
      </c>
      <c r="K459" t="str">
        <f>"ימי הכנת תכן ההדרכה למערכות"</f>
        <v>ימי הכנת תכן ההדרכה למערכות</v>
      </c>
      <c r="L459">
        <v>1</v>
      </c>
      <c r="M459" t="str">
        <f>"יח"</f>
        <v>יח</v>
      </c>
      <c r="N459">
        <v>1</v>
      </c>
      <c r="O459" t="str">
        <f>"יח"</f>
        <v>יח</v>
      </c>
      <c r="P459" s="2">
        <v>9600</v>
      </c>
      <c r="Q459" t="str">
        <f>"$"</f>
        <v>$</v>
      </c>
      <c r="R459" t="str">
        <f>"הזמנה"</f>
        <v>הזמנה</v>
      </c>
      <c r="S459">
        <v>0</v>
      </c>
      <c r="T459" s="2">
        <v>9600</v>
      </c>
      <c r="U459">
        <v>0</v>
      </c>
      <c r="V459" s="2">
        <v>9600</v>
      </c>
      <c r="W459" t="str">
        <f>"$"</f>
        <v>$</v>
      </c>
      <c r="X459">
        <v>0</v>
      </c>
      <c r="Y459">
        <v>0</v>
      </c>
      <c r="Z459">
        <v>0</v>
      </c>
      <c r="AA459" t="str">
        <f>"Y"</f>
        <v>Y</v>
      </c>
      <c r="AB459" t="str">
        <f>"SO23000253"</f>
        <v>SO23000253</v>
      </c>
      <c r="AC459">
        <v>1</v>
      </c>
      <c r="AD459" s="1">
        <v>45077</v>
      </c>
      <c r="AM459" t="str">
        <f>"10"</f>
        <v>10</v>
      </c>
      <c r="AN459" t="str">
        <f>"500000"</f>
        <v>500000</v>
      </c>
      <c r="AO459" t="str">
        <f>"הכנסות  מלקוחות"</f>
        <v>הכנסות  מלקוחות</v>
      </c>
      <c r="AQ459" t="str">
        <f>"040"</f>
        <v>040</v>
      </c>
      <c r="AR459">
        <v>0</v>
      </c>
      <c r="AS459">
        <v>0</v>
      </c>
      <c r="AT459">
        <v>3.609</v>
      </c>
      <c r="AX459" t="str">
        <f>"E000396004"</f>
        <v>E000396004</v>
      </c>
      <c r="BD459" t="str">
        <f>"רחמים זרוק"</f>
        <v>רחמים זרוק</v>
      </c>
    </row>
    <row r="460" spans="1:56" x14ac:dyDescent="0.3">
      <c r="A460" s="1">
        <v>45098</v>
      </c>
      <c r="B460" t="str">
        <f>"SI236000829"</f>
        <v>SI236000829</v>
      </c>
      <c r="E460" t="str">
        <f>"Y"</f>
        <v>Y</v>
      </c>
      <c r="F460" t="str">
        <f>"חשבוניות מרכזות"</f>
        <v>חשבוניות מרכזות</v>
      </c>
      <c r="G460" t="str">
        <f>"700065"</f>
        <v>700065</v>
      </c>
      <c r="H460" t="str">
        <f>"אלתא מערכות בע""מ"</f>
        <v>אלתא מערכות בע"מ</v>
      </c>
      <c r="I460" t="str">
        <f>"10"</f>
        <v>10</v>
      </c>
      <c r="J460" t="str">
        <f>"000"</f>
        <v>000</v>
      </c>
      <c r="K460" t="str">
        <f>"NRE PDB פיתוח"</f>
        <v>NRE PDB פיתוח</v>
      </c>
      <c r="L460">
        <v>1</v>
      </c>
      <c r="M460" t="str">
        <f>"יח"</f>
        <v>יח</v>
      </c>
      <c r="N460">
        <v>1</v>
      </c>
      <c r="O460" t="str">
        <f>"יח"</f>
        <v>יח</v>
      </c>
      <c r="P460" s="2">
        <v>77777</v>
      </c>
      <c r="Q460" t="str">
        <f>"$"</f>
        <v>$</v>
      </c>
      <c r="R460" t="str">
        <f>"הזמנה"</f>
        <v>הזמנה</v>
      </c>
      <c r="S460">
        <v>0</v>
      </c>
      <c r="T460" s="2">
        <v>77777</v>
      </c>
      <c r="U460">
        <v>0</v>
      </c>
      <c r="V460" s="2">
        <v>77777</v>
      </c>
      <c r="W460" t="str">
        <f>"$"</f>
        <v>$</v>
      </c>
      <c r="X460">
        <v>0</v>
      </c>
      <c r="Y460">
        <v>0</v>
      </c>
      <c r="Z460">
        <v>0</v>
      </c>
      <c r="AA460" t="str">
        <f>"Y"</f>
        <v>Y</v>
      </c>
      <c r="AB460" t="str">
        <f>"SO23000082"</f>
        <v>SO23000082</v>
      </c>
      <c r="AC460">
        <v>1</v>
      </c>
      <c r="AD460" s="1">
        <v>44964</v>
      </c>
      <c r="AM460" t="str">
        <f>"10"</f>
        <v>10</v>
      </c>
      <c r="AN460" t="str">
        <f>"500000"</f>
        <v>500000</v>
      </c>
      <c r="AO460" t="str">
        <f>"הכנסות  מלקוחות"</f>
        <v>הכנסות  מלקוחות</v>
      </c>
      <c r="AQ460" t="str">
        <f>"007"</f>
        <v>007</v>
      </c>
      <c r="AR460">
        <v>0</v>
      </c>
      <c r="AS460">
        <v>0</v>
      </c>
      <c r="AT460">
        <v>3.609</v>
      </c>
      <c r="AX460" t="str">
        <f>"E000384462"</f>
        <v>E000384462</v>
      </c>
      <c r="BD460" t="str">
        <f>"רוני דידי"</f>
        <v>רוני דידי</v>
      </c>
    </row>
    <row r="461" spans="1:56" x14ac:dyDescent="0.3">
      <c r="A461" s="1">
        <v>45097</v>
      </c>
      <c r="B461" t="str">
        <f>"SI236000818"</f>
        <v>SI236000818</v>
      </c>
      <c r="E461" t="str">
        <f>"Y"</f>
        <v>Y</v>
      </c>
      <c r="F461" t="str">
        <f>"חשבוניות מרכזות"</f>
        <v>חשבוניות מרכזות</v>
      </c>
      <c r="G461" t="str">
        <f>"700065"</f>
        <v>700065</v>
      </c>
      <c r="H461" t="str">
        <f>"אלתא מערכות בע""מ"</f>
        <v>אלתא מערכות בע"מ</v>
      </c>
      <c r="I461" t="str">
        <f>"10"</f>
        <v>10</v>
      </c>
      <c r="J461" t="str">
        <f>"OP-AR02918"</f>
        <v>OP-AR02918</v>
      </c>
      <c r="K461" t="str">
        <f>"HU PDB1 1033H520-001"</f>
        <v>HU PDB1 1033H520-001</v>
      </c>
      <c r="L461">
        <v>1</v>
      </c>
      <c r="M461" t="str">
        <f>"יח"</f>
        <v>יח</v>
      </c>
      <c r="N461">
        <v>1</v>
      </c>
      <c r="O461" t="str">
        <f>"יח"</f>
        <v>יח</v>
      </c>
      <c r="P461" s="2">
        <v>41000</v>
      </c>
      <c r="Q461" t="str">
        <f>"$"</f>
        <v>$</v>
      </c>
      <c r="R461" t="str">
        <f>"הזמנה"</f>
        <v>הזמנה</v>
      </c>
      <c r="S461">
        <v>0</v>
      </c>
      <c r="T461" s="2">
        <v>41000</v>
      </c>
      <c r="U461">
        <v>0</v>
      </c>
      <c r="V461" s="2">
        <v>41000</v>
      </c>
      <c r="W461" t="str">
        <f>"$"</f>
        <v>$</v>
      </c>
      <c r="X461">
        <v>0</v>
      </c>
      <c r="Y461">
        <v>0</v>
      </c>
      <c r="Z461">
        <v>0</v>
      </c>
      <c r="AA461" t="str">
        <f>"Y"</f>
        <v>Y</v>
      </c>
      <c r="AB461" t="str">
        <f>"SO22000016"</f>
        <v>SO22000016</v>
      </c>
      <c r="AC461">
        <v>14</v>
      </c>
      <c r="AD461" s="1">
        <v>44574</v>
      </c>
      <c r="AM461" t="str">
        <f>"10"</f>
        <v>10</v>
      </c>
      <c r="AN461" t="str">
        <f>"500000"</f>
        <v>500000</v>
      </c>
      <c r="AO461" t="str">
        <f>"הכנסות  מלקוחות"</f>
        <v>הכנסות  מלקוחות</v>
      </c>
      <c r="AQ461" t="str">
        <f>"007"</f>
        <v>007</v>
      </c>
      <c r="AR461">
        <v>0</v>
      </c>
      <c r="AS461">
        <v>0</v>
      </c>
      <c r="AT461">
        <v>3.6019999999999999</v>
      </c>
      <c r="AX461" t="str">
        <f>"E000355064"</f>
        <v>E000355064</v>
      </c>
      <c r="BD461" t="str">
        <f>"רוני דידי"</f>
        <v>רוני דידי</v>
      </c>
    </row>
    <row r="462" spans="1:56" x14ac:dyDescent="0.3">
      <c r="A462" s="1">
        <v>45097</v>
      </c>
      <c r="B462" t="str">
        <f>"SI236000817"</f>
        <v>SI236000817</v>
      </c>
      <c r="E462" t="str">
        <f>"Y"</f>
        <v>Y</v>
      </c>
      <c r="F462" t="str">
        <f>"חשבוניות מרכזות"</f>
        <v>חשבוניות מרכזות</v>
      </c>
      <c r="G462" t="str">
        <f>"700065"</f>
        <v>700065</v>
      </c>
      <c r="H462" t="str">
        <f>"אלתא מערכות בע""מ"</f>
        <v>אלתא מערכות בע"מ</v>
      </c>
      <c r="I462" t="str">
        <f>"10"</f>
        <v>10</v>
      </c>
      <c r="J462" t="str">
        <f>"OP-AR02041"</f>
        <v>OP-AR02041</v>
      </c>
      <c r="K462" t="str">
        <f>"PDB1 1038C860-001"</f>
        <v>PDB1 1038C860-001</v>
      </c>
      <c r="L462">
        <v>1</v>
      </c>
      <c r="M462" t="str">
        <f>"יח"</f>
        <v>יח</v>
      </c>
      <c r="N462">
        <v>1</v>
      </c>
      <c r="O462" t="str">
        <f>"יח"</f>
        <v>יח</v>
      </c>
      <c r="P462" s="2">
        <v>41000</v>
      </c>
      <c r="Q462" t="str">
        <f>"$"</f>
        <v>$</v>
      </c>
      <c r="R462" t="str">
        <f>"הזמנה"</f>
        <v>הזמנה</v>
      </c>
      <c r="S462">
        <v>0</v>
      </c>
      <c r="T462" s="2">
        <v>41000</v>
      </c>
      <c r="U462">
        <v>0</v>
      </c>
      <c r="V462" s="2">
        <v>41000</v>
      </c>
      <c r="W462" t="str">
        <f>"$"</f>
        <v>$</v>
      </c>
      <c r="X462">
        <v>0</v>
      </c>
      <c r="Y462">
        <v>0</v>
      </c>
      <c r="Z462">
        <v>0</v>
      </c>
      <c r="AA462" t="str">
        <f>"Y"</f>
        <v>Y</v>
      </c>
      <c r="AB462" t="str">
        <f>"SO22000016"</f>
        <v>SO22000016</v>
      </c>
      <c r="AC462">
        <v>2</v>
      </c>
      <c r="AD462" s="1">
        <v>44574</v>
      </c>
      <c r="AM462" t="str">
        <f>"10"</f>
        <v>10</v>
      </c>
      <c r="AN462" t="str">
        <f>"500000"</f>
        <v>500000</v>
      </c>
      <c r="AO462" t="str">
        <f>"הכנסות  מלקוחות"</f>
        <v>הכנסות  מלקוחות</v>
      </c>
      <c r="AQ462" t="str">
        <f>"007"</f>
        <v>007</v>
      </c>
      <c r="AR462">
        <v>0</v>
      </c>
      <c r="AS462">
        <v>0</v>
      </c>
      <c r="AT462">
        <v>3.6019999999999999</v>
      </c>
      <c r="AX462" t="str">
        <f>"E000355064"</f>
        <v>E000355064</v>
      </c>
      <c r="BD462" t="str">
        <f>"רוני דידי"</f>
        <v>רוני דידי</v>
      </c>
    </row>
    <row r="463" spans="1:56" x14ac:dyDescent="0.3">
      <c r="A463" s="1">
        <v>45097</v>
      </c>
      <c r="B463" t="str">
        <f>"SI236000816"</f>
        <v>SI236000816</v>
      </c>
      <c r="E463" t="str">
        <f>"Y"</f>
        <v>Y</v>
      </c>
      <c r="F463" t="str">
        <f>"חשבוניות מרכזות"</f>
        <v>חשבוניות מרכזות</v>
      </c>
      <c r="G463" t="str">
        <f>"700065"</f>
        <v>700065</v>
      </c>
      <c r="H463" t="str">
        <f>"אלתא מערכות בע""מ"</f>
        <v>אלתא מערכות בע"מ</v>
      </c>
      <c r="I463" t="str">
        <f>"10"</f>
        <v>10</v>
      </c>
      <c r="J463" t="str">
        <f>"OP-AR02041"</f>
        <v>OP-AR02041</v>
      </c>
      <c r="K463" t="str">
        <f>"PDB1 1038C860-001"</f>
        <v>PDB1 1038C860-001</v>
      </c>
      <c r="L463">
        <v>-1</v>
      </c>
      <c r="M463" t="str">
        <f>"יח"</f>
        <v>יח</v>
      </c>
      <c r="N463">
        <v>-1</v>
      </c>
      <c r="O463" t="str">
        <f>"יח"</f>
        <v>יח</v>
      </c>
      <c r="P463" s="2">
        <v>41000</v>
      </c>
      <c r="Q463" t="str">
        <f>"$"</f>
        <v>$</v>
      </c>
      <c r="R463" t="str">
        <f>"הזמנה"</f>
        <v>הזמנה</v>
      </c>
      <c r="S463">
        <v>0</v>
      </c>
      <c r="T463" s="2">
        <v>-41000</v>
      </c>
      <c r="U463">
        <v>0</v>
      </c>
      <c r="V463" s="2">
        <v>-41000</v>
      </c>
      <c r="W463" t="str">
        <f>"$"</f>
        <v>$</v>
      </c>
      <c r="X463">
        <v>0</v>
      </c>
      <c r="Y463">
        <v>0</v>
      </c>
      <c r="Z463">
        <v>0</v>
      </c>
      <c r="AA463" t="str">
        <f>"Y"</f>
        <v>Y</v>
      </c>
      <c r="AC463">
        <v>0</v>
      </c>
      <c r="AM463" t="str">
        <f>"10"</f>
        <v>10</v>
      </c>
      <c r="AN463" t="str">
        <f>"500000"</f>
        <v>500000</v>
      </c>
      <c r="AO463" t="str">
        <f>"הכנסות  מלקוחות"</f>
        <v>הכנסות  מלקוחות</v>
      </c>
      <c r="AQ463" t="str">
        <f>"007"</f>
        <v>007</v>
      </c>
      <c r="AR463">
        <v>0</v>
      </c>
      <c r="AS463">
        <v>0</v>
      </c>
      <c r="AT463">
        <v>3.4350000000000001</v>
      </c>
      <c r="BB463" t="str">
        <f>"Y"</f>
        <v>Y</v>
      </c>
      <c r="BD463" t="str">
        <f>"רוני דידי"</f>
        <v>רוני דידי</v>
      </c>
    </row>
    <row r="464" spans="1:56" x14ac:dyDescent="0.3">
      <c r="A464" s="1">
        <v>45097</v>
      </c>
      <c r="B464" t="str">
        <f>"SI236000815"</f>
        <v>SI236000815</v>
      </c>
      <c r="E464" t="str">
        <f>"Y"</f>
        <v>Y</v>
      </c>
      <c r="F464" t="str">
        <f>"חשבוניות מרכזות"</f>
        <v>חשבוניות מרכזות</v>
      </c>
      <c r="G464" t="str">
        <f>"700065"</f>
        <v>700065</v>
      </c>
      <c r="H464" t="str">
        <f>"אלתא מערכות בע""מ"</f>
        <v>אלתא מערכות בע"מ</v>
      </c>
      <c r="I464" t="str">
        <f>"10"</f>
        <v>10</v>
      </c>
      <c r="J464" t="str">
        <f>"OP-AR02918"</f>
        <v>OP-AR02918</v>
      </c>
      <c r="K464" t="str">
        <f>"HU PDB1 1033H520-001"</f>
        <v>HU PDB1 1033H520-001</v>
      </c>
      <c r="L464">
        <v>1</v>
      </c>
      <c r="M464" t="str">
        <f>"יח"</f>
        <v>יח</v>
      </c>
      <c r="N464">
        <v>1</v>
      </c>
      <c r="O464" t="str">
        <f>"יח"</f>
        <v>יח</v>
      </c>
      <c r="P464" s="2">
        <v>41000</v>
      </c>
      <c r="Q464" t="str">
        <f>"$"</f>
        <v>$</v>
      </c>
      <c r="R464" t="str">
        <f>"הזמנה"</f>
        <v>הזמנה</v>
      </c>
      <c r="S464">
        <v>0</v>
      </c>
      <c r="T464" s="2">
        <v>41000</v>
      </c>
      <c r="U464">
        <v>0</v>
      </c>
      <c r="V464" s="2">
        <v>41000</v>
      </c>
      <c r="W464" t="str">
        <f>"$"</f>
        <v>$</v>
      </c>
      <c r="X464">
        <v>0</v>
      </c>
      <c r="Y464">
        <v>0</v>
      </c>
      <c r="Z464">
        <v>0</v>
      </c>
      <c r="AA464" t="str">
        <f>"Y"</f>
        <v>Y</v>
      </c>
      <c r="AB464" t="str">
        <f>"SO22000016"</f>
        <v>SO22000016</v>
      </c>
      <c r="AC464">
        <v>15</v>
      </c>
      <c r="AD464" s="1">
        <v>44574</v>
      </c>
      <c r="AM464" t="str">
        <f>"10"</f>
        <v>10</v>
      </c>
      <c r="AN464" t="str">
        <f>"500000"</f>
        <v>500000</v>
      </c>
      <c r="AO464" t="str">
        <f>"הכנסות  מלקוחות"</f>
        <v>הכנסות  מלקוחות</v>
      </c>
      <c r="AQ464" t="str">
        <f>"007"</f>
        <v>007</v>
      </c>
      <c r="AR464">
        <v>0</v>
      </c>
      <c r="AS464">
        <v>0</v>
      </c>
      <c r="AT464">
        <v>3.6019999999999999</v>
      </c>
      <c r="AX464" t="str">
        <f>"E000355064"</f>
        <v>E000355064</v>
      </c>
      <c r="BD464" t="str">
        <f>"רוני דידי"</f>
        <v>רוני דידי</v>
      </c>
    </row>
    <row r="465" spans="1:56" x14ac:dyDescent="0.3">
      <c r="A465" s="1">
        <v>45097</v>
      </c>
      <c r="B465" t="str">
        <f>"SI236000814"</f>
        <v>SI236000814</v>
      </c>
      <c r="E465" t="str">
        <f>"Y"</f>
        <v>Y</v>
      </c>
      <c r="F465" t="str">
        <f>"חשבוניות מרכזות"</f>
        <v>חשבוניות מרכזות</v>
      </c>
      <c r="G465" t="str">
        <f>"700065"</f>
        <v>700065</v>
      </c>
      <c r="H465" t="str">
        <f>"אלתא מערכות בע""מ"</f>
        <v>אלתא מערכות בע"מ</v>
      </c>
      <c r="I465" t="str">
        <f>"10"</f>
        <v>10</v>
      </c>
      <c r="J465" t="str">
        <f>"OP-ML00220"</f>
        <v>OP-ML00220</v>
      </c>
      <c r="K465" t="str">
        <f>"BATTERY DISCONNECT BOX"</f>
        <v>BATTERY DISCONNECT BOX</v>
      </c>
      <c r="L465">
        <v>1</v>
      </c>
      <c r="M465" t="str">
        <f>"יח"</f>
        <v>יח</v>
      </c>
      <c r="N465">
        <v>1</v>
      </c>
      <c r="O465" t="str">
        <f>"יח"</f>
        <v>יח</v>
      </c>
      <c r="P465" s="2">
        <v>5599</v>
      </c>
      <c r="Q465" t="str">
        <f>"$"</f>
        <v>$</v>
      </c>
      <c r="R465" t="str">
        <f>"הזמנה"</f>
        <v>הזמנה</v>
      </c>
      <c r="S465">
        <v>0</v>
      </c>
      <c r="T465" s="2">
        <v>5599</v>
      </c>
      <c r="U465">
        <v>0</v>
      </c>
      <c r="V465" s="2">
        <v>5599</v>
      </c>
      <c r="W465" t="str">
        <f>"$"</f>
        <v>$</v>
      </c>
      <c r="X465">
        <v>0</v>
      </c>
      <c r="Y465">
        <v>0</v>
      </c>
      <c r="Z465">
        <v>0</v>
      </c>
      <c r="AA465" t="str">
        <f>"Y"</f>
        <v>Y</v>
      </c>
      <c r="AB465" t="str">
        <f>"SO22000483"</f>
        <v>SO22000483</v>
      </c>
      <c r="AC465">
        <v>3</v>
      </c>
      <c r="AD465" s="1">
        <v>44921</v>
      </c>
      <c r="AM465" t="str">
        <f>"10"</f>
        <v>10</v>
      </c>
      <c r="AN465" t="str">
        <f>"500000"</f>
        <v>500000</v>
      </c>
      <c r="AO465" t="str">
        <f>"הכנסות  מלקוחות"</f>
        <v>הכנסות  מלקוחות</v>
      </c>
      <c r="AQ465" t="str">
        <f>"034"</f>
        <v>034</v>
      </c>
      <c r="AR465">
        <v>0</v>
      </c>
      <c r="AS465">
        <v>0</v>
      </c>
      <c r="AT465">
        <v>3.6019999999999999</v>
      </c>
      <c r="AX465" t="str">
        <f>"E000381570"</f>
        <v>E000381570</v>
      </c>
      <c r="BD465" t="str">
        <f>"ערן שלו"</f>
        <v>ערן שלו</v>
      </c>
    </row>
    <row r="466" spans="1:56" x14ac:dyDescent="0.3">
      <c r="A466" s="1">
        <v>45097</v>
      </c>
      <c r="B466" t="str">
        <f>"SI236000813"</f>
        <v>SI236000813</v>
      </c>
      <c r="E466" t="str">
        <f>"Y"</f>
        <v>Y</v>
      </c>
      <c r="F466" t="str">
        <f>"חשבוניות מרכזות"</f>
        <v>חשבוניות מרכזות</v>
      </c>
      <c r="G466" t="str">
        <f>"700065"</f>
        <v>700065</v>
      </c>
      <c r="H466" t="str">
        <f>"אלתא מערכות בע""מ"</f>
        <v>אלתא מערכות בע"מ</v>
      </c>
      <c r="I466" t="str">
        <f>"10"</f>
        <v>10</v>
      </c>
      <c r="J466" t="str">
        <f>"OP-ML00220"</f>
        <v>OP-ML00220</v>
      </c>
      <c r="K466" t="str">
        <f>"BATTERY DISCONNECT BOX"</f>
        <v>BATTERY DISCONNECT BOX</v>
      </c>
      <c r="L466">
        <v>1</v>
      </c>
      <c r="M466" t="str">
        <f>"יח"</f>
        <v>יח</v>
      </c>
      <c r="N466">
        <v>1</v>
      </c>
      <c r="O466" t="str">
        <f>"יח"</f>
        <v>יח</v>
      </c>
      <c r="P466" s="2">
        <v>5599</v>
      </c>
      <c r="Q466" t="str">
        <f>"$"</f>
        <v>$</v>
      </c>
      <c r="R466" t="str">
        <f>"הזמנה"</f>
        <v>הזמנה</v>
      </c>
      <c r="S466">
        <v>0</v>
      </c>
      <c r="T466" s="2">
        <v>5599</v>
      </c>
      <c r="U466">
        <v>0</v>
      </c>
      <c r="V466" s="2">
        <v>5599</v>
      </c>
      <c r="W466" t="str">
        <f>"$"</f>
        <v>$</v>
      </c>
      <c r="X466">
        <v>0</v>
      </c>
      <c r="Y466">
        <v>0</v>
      </c>
      <c r="Z466">
        <v>0</v>
      </c>
      <c r="AA466" t="str">
        <f>"Y"</f>
        <v>Y</v>
      </c>
      <c r="AB466" t="str">
        <f>"SO22000483"</f>
        <v>SO22000483</v>
      </c>
      <c r="AC466">
        <v>2</v>
      </c>
      <c r="AD466" s="1">
        <v>44921</v>
      </c>
      <c r="AM466" t="str">
        <f>"10"</f>
        <v>10</v>
      </c>
      <c r="AN466" t="str">
        <f>"500000"</f>
        <v>500000</v>
      </c>
      <c r="AO466" t="str">
        <f>"הכנסות  מלקוחות"</f>
        <v>הכנסות  מלקוחות</v>
      </c>
      <c r="AQ466" t="str">
        <f>"034"</f>
        <v>034</v>
      </c>
      <c r="AR466">
        <v>0</v>
      </c>
      <c r="AS466">
        <v>0</v>
      </c>
      <c r="AT466">
        <v>3.6019999999999999</v>
      </c>
      <c r="AX466" t="str">
        <f>"E000381570"</f>
        <v>E000381570</v>
      </c>
      <c r="BD466" t="str">
        <f>"ערן שלו"</f>
        <v>ערן שלו</v>
      </c>
    </row>
    <row r="467" spans="1:56" x14ac:dyDescent="0.3">
      <c r="A467" s="1">
        <v>45097</v>
      </c>
      <c r="B467" t="str">
        <f>"SI236000812"</f>
        <v>SI236000812</v>
      </c>
      <c r="E467" t="str">
        <f>"Y"</f>
        <v>Y</v>
      </c>
      <c r="F467" t="str">
        <f>"חשבוניות מרכזות"</f>
        <v>חשבוניות מרכזות</v>
      </c>
      <c r="G467" t="str">
        <f>"700065"</f>
        <v>700065</v>
      </c>
      <c r="H467" t="str">
        <f>"אלתא מערכות בע""מ"</f>
        <v>אלתא מערכות בע"מ</v>
      </c>
      <c r="I467" t="str">
        <f>"10"</f>
        <v>10</v>
      </c>
      <c r="J467" t="str">
        <f>"OP-ML00226"</f>
        <v>OP-ML00226</v>
      </c>
      <c r="K467" t="str">
        <f>"POWER SUPPLY AC/DC 21-29V/220ADC RUGGED"</f>
        <v>POWER SUPPLY AC/DC 21-29V/220ADC RUGGED</v>
      </c>
      <c r="L467">
        <v>1</v>
      </c>
      <c r="M467" t="str">
        <f>"יח"</f>
        <v>יח</v>
      </c>
      <c r="N467">
        <v>1</v>
      </c>
      <c r="O467" t="str">
        <f>"יח"</f>
        <v>יח</v>
      </c>
      <c r="P467" s="2">
        <v>11323.9</v>
      </c>
      <c r="Q467" t="str">
        <f>"$"</f>
        <v>$</v>
      </c>
      <c r="R467" t="str">
        <f>"הזמנה"</f>
        <v>הזמנה</v>
      </c>
      <c r="S467">
        <v>0</v>
      </c>
      <c r="T467" s="2">
        <v>11323.9</v>
      </c>
      <c r="U467">
        <v>0</v>
      </c>
      <c r="V467" s="2">
        <v>11323.9</v>
      </c>
      <c r="W467" t="str">
        <f>"$"</f>
        <v>$</v>
      </c>
      <c r="X467">
        <v>0</v>
      </c>
      <c r="Y467">
        <v>0</v>
      </c>
      <c r="Z467">
        <v>0</v>
      </c>
      <c r="AA467" t="str">
        <f>"Y"</f>
        <v>Y</v>
      </c>
      <c r="AB467" t="str">
        <f>"SO23000042"</f>
        <v>SO23000042</v>
      </c>
      <c r="AC467">
        <v>1</v>
      </c>
      <c r="AD467" s="1">
        <v>44942</v>
      </c>
      <c r="AM467" t="str">
        <f>"10"</f>
        <v>10</v>
      </c>
      <c r="AN467" t="str">
        <f>"500000"</f>
        <v>500000</v>
      </c>
      <c r="AO467" t="str">
        <f>"הכנסות  מלקוחות"</f>
        <v>הכנסות  מלקוחות</v>
      </c>
      <c r="AQ467" t="str">
        <f>"007"</f>
        <v>007</v>
      </c>
      <c r="AR467">
        <v>0</v>
      </c>
      <c r="AS467">
        <v>0</v>
      </c>
      <c r="AT467">
        <v>3.6019999999999999</v>
      </c>
      <c r="AX467" t="str">
        <f>"E000381994"</f>
        <v>E000381994</v>
      </c>
      <c r="BD467" t="str">
        <f>"רוני דידי"</f>
        <v>רוני דידי</v>
      </c>
    </row>
    <row r="468" spans="1:56" x14ac:dyDescent="0.3">
      <c r="A468" s="1">
        <v>45097</v>
      </c>
      <c r="B468" t="str">
        <f>"SI236000811"</f>
        <v>SI236000811</v>
      </c>
      <c r="E468" t="str">
        <f>"Y"</f>
        <v>Y</v>
      </c>
      <c r="F468" t="str">
        <f>"חשבוניות מרכזות"</f>
        <v>חשבוניות מרכזות</v>
      </c>
      <c r="G468" t="str">
        <f>"700065"</f>
        <v>700065</v>
      </c>
      <c r="H468" t="str">
        <f>"אלתא מערכות בע""מ"</f>
        <v>אלתא מערכות בע"מ</v>
      </c>
      <c r="I468" t="str">
        <f>"10"</f>
        <v>10</v>
      </c>
      <c r="J468" t="str">
        <f>"OP-ML00226"</f>
        <v>OP-ML00226</v>
      </c>
      <c r="K468" t="str">
        <f>"POWER SUPPLY AC/DC 21-29V/220ADC RUGGED"</f>
        <v>POWER SUPPLY AC/DC 21-29V/220ADC RUGGED</v>
      </c>
      <c r="L468">
        <v>1</v>
      </c>
      <c r="M468" t="str">
        <f>"יח"</f>
        <v>יח</v>
      </c>
      <c r="N468">
        <v>1</v>
      </c>
      <c r="O468" t="str">
        <f>"יח"</f>
        <v>יח</v>
      </c>
      <c r="P468" s="2">
        <v>11323.9</v>
      </c>
      <c r="Q468" t="str">
        <f>"$"</f>
        <v>$</v>
      </c>
      <c r="R468" t="str">
        <f>"הזמנה"</f>
        <v>הזמנה</v>
      </c>
      <c r="S468">
        <v>0</v>
      </c>
      <c r="T468" s="2">
        <v>11323.9</v>
      </c>
      <c r="U468">
        <v>0</v>
      </c>
      <c r="V468" s="2">
        <v>11323.9</v>
      </c>
      <c r="W468" t="str">
        <f>"$"</f>
        <v>$</v>
      </c>
      <c r="X468">
        <v>0</v>
      </c>
      <c r="Y468">
        <v>0</v>
      </c>
      <c r="Z468">
        <v>0</v>
      </c>
      <c r="AA468" t="str">
        <f>"Y"</f>
        <v>Y</v>
      </c>
      <c r="AB468" t="str">
        <f>"SO23000042"</f>
        <v>SO23000042</v>
      </c>
      <c r="AC468">
        <v>1</v>
      </c>
      <c r="AD468" s="1">
        <v>44942</v>
      </c>
      <c r="AM468" t="str">
        <f>"10"</f>
        <v>10</v>
      </c>
      <c r="AN468" t="str">
        <f>"500000"</f>
        <v>500000</v>
      </c>
      <c r="AO468" t="str">
        <f>"הכנסות  מלקוחות"</f>
        <v>הכנסות  מלקוחות</v>
      </c>
      <c r="AQ468" t="str">
        <f>"007"</f>
        <v>007</v>
      </c>
      <c r="AR468">
        <v>0</v>
      </c>
      <c r="AS468">
        <v>0</v>
      </c>
      <c r="AT468">
        <v>3.6019999999999999</v>
      </c>
      <c r="AX468" t="str">
        <f>"E000381994"</f>
        <v>E000381994</v>
      </c>
      <c r="BD468" t="str">
        <f>"רוני דידי"</f>
        <v>רוני דידי</v>
      </c>
    </row>
    <row r="469" spans="1:56" x14ac:dyDescent="0.3">
      <c r="A469" s="1">
        <v>45096</v>
      </c>
      <c r="B469" t="str">
        <f>"SI236000837"</f>
        <v>SI236000837</v>
      </c>
      <c r="C469" t="str">
        <f>"PR23000266"</f>
        <v>PR23000266</v>
      </c>
      <c r="D469" t="str">
        <f>"PR23000266"</f>
        <v>PR23000266</v>
      </c>
      <c r="E469" t="str">
        <f>"Y"</f>
        <v>Y</v>
      </c>
      <c r="F469" t="str">
        <f>"חשבוניות מרכזות"</f>
        <v>חשבוניות מרכזות</v>
      </c>
      <c r="G469" t="str">
        <f>"700065"</f>
        <v>700065</v>
      </c>
      <c r="H469" t="str">
        <f>"אלתא מערכות בע""מ"</f>
        <v>אלתא מערכות בע"מ</v>
      </c>
      <c r="I469" t="str">
        <f>"15"</f>
        <v>15</v>
      </c>
      <c r="J469" t="str">
        <f>"OP-AR03602"</f>
        <v>OP-AR03602</v>
      </c>
      <c r="K469" t="str">
        <f>"2227B112-001    AEEPWRW1 ANT SEA KING SUPPLY CABLE"</f>
        <v>2227B112-001    AEEPWRW1 ANT SEA KING SUPPLY CABLE</v>
      </c>
      <c r="L469">
        <v>1</v>
      </c>
      <c r="M469" t="str">
        <f>"יח"</f>
        <v>יח</v>
      </c>
      <c r="N469">
        <v>1</v>
      </c>
      <c r="O469" t="str">
        <f>"יח"</f>
        <v>יח</v>
      </c>
      <c r="P469">
        <v>343.93</v>
      </c>
      <c r="Q469" t="str">
        <f>"$"</f>
        <v>$</v>
      </c>
      <c r="R469" t="str">
        <f>"הזמנה"</f>
        <v>הזמנה</v>
      </c>
      <c r="S469">
        <v>0</v>
      </c>
      <c r="T469">
        <v>343.93</v>
      </c>
      <c r="U469">
        <v>0</v>
      </c>
      <c r="V469">
        <v>343.93</v>
      </c>
      <c r="W469" t="str">
        <f>"$"</f>
        <v>$</v>
      </c>
      <c r="X469">
        <v>0</v>
      </c>
      <c r="Y469">
        <v>0</v>
      </c>
      <c r="Z469">
        <v>0</v>
      </c>
      <c r="AA469" t="str">
        <f>"Y"</f>
        <v>Y</v>
      </c>
      <c r="AB469" t="str">
        <f>"SO23000179"</f>
        <v>SO23000179</v>
      </c>
      <c r="AC469">
        <v>2</v>
      </c>
      <c r="AD469" s="1">
        <v>45020</v>
      </c>
      <c r="AE469" t="str">
        <f>"SH23000725"</f>
        <v>SH23000725</v>
      </c>
      <c r="AF469" t="str">
        <f>"משלוחים ללקוח"</f>
        <v>משלוחים ללקוח</v>
      </c>
      <c r="AG469" s="1">
        <v>45090</v>
      </c>
      <c r="AM469" t="str">
        <f>"10"</f>
        <v>10</v>
      </c>
      <c r="AN469" t="str">
        <f>"500000"</f>
        <v>500000</v>
      </c>
      <c r="AO469" t="str">
        <f>"הכנסות  מלקוחות"</f>
        <v>הכנסות  מלקוחות</v>
      </c>
      <c r="AQ469" t="str">
        <f>"040"</f>
        <v>040</v>
      </c>
      <c r="AR469">
        <v>0</v>
      </c>
      <c r="AS469">
        <v>0</v>
      </c>
      <c r="AT469">
        <v>3.6019999999999999</v>
      </c>
      <c r="AX469" t="str">
        <f>"E000390898"</f>
        <v>E000390898</v>
      </c>
      <c r="BD469" t="str">
        <f>"רחמים זרוק"</f>
        <v>רחמים זרוק</v>
      </c>
    </row>
    <row r="470" spans="1:56" x14ac:dyDescent="0.3">
      <c r="A470" s="1">
        <v>45096</v>
      </c>
      <c r="B470" t="str">
        <f>"SI236000837"</f>
        <v>SI236000837</v>
      </c>
      <c r="C470" t="str">
        <f>"PR23000266"</f>
        <v>PR23000266</v>
      </c>
      <c r="D470" t="str">
        <f>"PR23000266"</f>
        <v>PR23000266</v>
      </c>
      <c r="E470" t="str">
        <f>"Y"</f>
        <v>Y</v>
      </c>
      <c r="F470" t="str">
        <f>"חשבוניות מרכזות"</f>
        <v>חשבוניות מרכזות</v>
      </c>
      <c r="G470" t="str">
        <f>"700065"</f>
        <v>700065</v>
      </c>
      <c r="H470" t="str">
        <f>"אלתא מערכות בע""מ"</f>
        <v>אלתא מערכות בע"מ</v>
      </c>
      <c r="I470" t="str">
        <f>"10"</f>
        <v>10</v>
      </c>
      <c r="J470" t="str">
        <f>"OP-AR03603"</f>
        <v>OP-AR03603</v>
      </c>
      <c r="K470" t="str">
        <f>"2227B114-001    FER SEA KING CONTROL CABLE"</f>
        <v>2227B114-001    FER SEA KING CONTROL CABLE</v>
      </c>
      <c r="L470">
        <v>1</v>
      </c>
      <c r="M470" t="str">
        <f>"יח"</f>
        <v>יח</v>
      </c>
      <c r="N470">
        <v>1</v>
      </c>
      <c r="O470" t="str">
        <f>"יח"</f>
        <v>יח</v>
      </c>
      <c r="P470">
        <v>854.52</v>
      </c>
      <c r="Q470" t="str">
        <f>"$"</f>
        <v>$</v>
      </c>
      <c r="R470" t="str">
        <f>"הזמנה"</f>
        <v>הזמנה</v>
      </c>
      <c r="S470">
        <v>0</v>
      </c>
      <c r="T470">
        <v>854.52</v>
      </c>
      <c r="U470">
        <v>0</v>
      </c>
      <c r="V470">
        <v>854.52</v>
      </c>
      <c r="W470" t="str">
        <f>"$"</f>
        <v>$</v>
      </c>
      <c r="X470">
        <v>0</v>
      </c>
      <c r="Y470">
        <v>0</v>
      </c>
      <c r="Z470">
        <v>0</v>
      </c>
      <c r="AA470" t="str">
        <f>"Y"</f>
        <v>Y</v>
      </c>
      <c r="AB470" t="str">
        <f>"SO23000179"</f>
        <v>SO23000179</v>
      </c>
      <c r="AC470">
        <v>3</v>
      </c>
      <c r="AD470" s="1">
        <v>45020</v>
      </c>
      <c r="AE470" t="str">
        <f>"SH23000725"</f>
        <v>SH23000725</v>
      </c>
      <c r="AF470" t="str">
        <f>"משלוחים ללקוח"</f>
        <v>משלוחים ללקוח</v>
      </c>
      <c r="AG470" s="1">
        <v>45090</v>
      </c>
      <c r="AM470" t="str">
        <f>"10"</f>
        <v>10</v>
      </c>
      <c r="AN470" t="str">
        <f>"500000"</f>
        <v>500000</v>
      </c>
      <c r="AO470" t="str">
        <f>"הכנסות  מלקוחות"</f>
        <v>הכנסות  מלקוחות</v>
      </c>
      <c r="AQ470" t="str">
        <f>"040"</f>
        <v>040</v>
      </c>
      <c r="AR470">
        <v>0</v>
      </c>
      <c r="AS470">
        <v>0</v>
      </c>
      <c r="AT470">
        <v>3.6019999999999999</v>
      </c>
      <c r="AX470" t="str">
        <f>"E000390898"</f>
        <v>E000390898</v>
      </c>
      <c r="BD470" t="str">
        <f>"רחמים זרוק"</f>
        <v>רחמים זרוק</v>
      </c>
    </row>
    <row r="471" spans="1:56" x14ac:dyDescent="0.3">
      <c r="A471" s="1">
        <v>45096</v>
      </c>
      <c r="B471" t="str">
        <f>"SI236000836"</f>
        <v>SI236000836</v>
      </c>
      <c r="C471" t="str">
        <f>"PR22000911"</f>
        <v>PR22000911</v>
      </c>
      <c r="E471" t="str">
        <f>"Y"</f>
        <v>Y</v>
      </c>
      <c r="F471" t="str">
        <f>"חשבוניות מרכזות"</f>
        <v>חשבוניות מרכזות</v>
      </c>
      <c r="G471" t="str">
        <f>"700065"</f>
        <v>700065</v>
      </c>
      <c r="H471" t="str">
        <f>"אלתא מערכות בע""מ"</f>
        <v>אלתא מערכות בע"מ</v>
      </c>
      <c r="I471" t="str">
        <f>"15"</f>
        <v>15</v>
      </c>
      <c r="J471" t="str">
        <f>"OP-AR03527"</f>
        <v>OP-AR03527</v>
      </c>
      <c r="K471" t="str">
        <f>"2120B096-001     EPAU CABLE ASSY AND PTP"</f>
        <v>2120B096-001     EPAU CABLE ASSY AND PTP</v>
      </c>
      <c r="L471">
        <v>1</v>
      </c>
      <c r="M471" t="str">
        <f>"יח"</f>
        <v>יח</v>
      </c>
      <c r="N471">
        <v>1</v>
      </c>
      <c r="O471" t="str">
        <f>"יח"</f>
        <v>יח</v>
      </c>
      <c r="P471">
        <v>322.3</v>
      </c>
      <c r="Q471" t="str">
        <f>"$"</f>
        <v>$</v>
      </c>
      <c r="R471" t="str">
        <f>"הזמנה"</f>
        <v>הזמנה</v>
      </c>
      <c r="S471">
        <v>0</v>
      </c>
      <c r="T471">
        <v>322.3</v>
      </c>
      <c r="U471">
        <v>0</v>
      </c>
      <c r="V471">
        <v>322.3</v>
      </c>
      <c r="W471" t="str">
        <f>"$"</f>
        <v>$</v>
      </c>
      <c r="X471">
        <v>0</v>
      </c>
      <c r="Y471">
        <v>0</v>
      </c>
      <c r="Z471">
        <v>0</v>
      </c>
      <c r="AA471" t="str">
        <f>"Y"</f>
        <v>Y</v>
      </c>
      <c r="AB471" t="str">
        <f>"SO22000476"</f>
        <v>SO22000476</v>
      </c>
      <c r="AC471">
        <v>4</v>
      </c>
      <c r="AD471" s="1">
        <v>44917</v>
      </c>
      <c r="AE471" t="str">
        <f>"SH23000722"</f>
        <v>SH23000722</v>
      </c>
      <c r="AF471" t="str">
        <f>"משלוחים ללקוח"</f>
        <v>משלוחים ללקוח</v>
      </c>
      <c r="AG471" s="1">
        <v>45089</v>
      </c>
      <c r="AM471" t="str">
        <f>"10"</f>
        <v>10</v>
      </c>
      <c r="AN471" t="str">
        <f>"500000"</f>
        <v>500000</v>
      </c>
      <c r="AO471" t="str">
        <f>"הכנסות  מלקוחות"</f>
        <v>הכנסות  מלקוחות</v>
      </c>
      <c r="AQ471" t="str">
        <f>"040"</f>
        <v>040</v>
      </c>
      <c r="AR471">
        <v>0</v>
      </c>
      <c r="AS471">
        <v>0</v>
      </c>
      <c r="AT471">
        <v>3.6019999999999999</v>
      </c>
      <c r="AX471" t="str">
        <f>"E000381315"</f>
        <v>E000381315</v>
      </c>
      <c r="BD471" t="str">
        <f>"רחמים זרוק"</f>
        <v>רחמים זרוק</v>
      </c>
    </row>
    <row r="472" spans="1:56" x14ac:dyDescent="0.3">
      <c r="A472" s="1">
        <v>45096</v>
      </c>
      <c r="B472" t="str">
        <f>"SI236000836"</f>
        <v>SI236000836</v>
      </c>
      <c r="C472" t="str">
        <f>"PR22000911"</f>
        <v>PR22000911</v>
      </c>
      <c r="E472" t="str">
        <f>"Y"</f>
        <v>Y</v>
      </c>
      <c r="F472" t="str">
        <f>"חשבוניות מרכזות"</f>
        <v>חשבוניות מרכזות</v>
      </c>
      <c r="G472" t="str">
        <f>"700065"</f>
        <v>700065</v>
      </c>
      <c r="H472" t="str">
        <f>"אלתא מערכות בע""מ"</f>
        <v>אלתא מערכות בע"מ</v>
      </c>
      <c r="I472" t="str">
        <f>"15"</f>
        <v>15</v>
      </c>
      <c r="J472" t="str">
        <f>"OP-AR02198"</f>
        <v>OP-AR02198</v>
      </c>
      <c r="K472" t="str">
        <f>"2120B114-001   CABLE ASSY WP.SW"</f>
        <v>2120B114-001   CABLE ASSY WP.SW</v>
      </c>
      <c r="L472">
        <v>1</v>
      </c>
      <c r="M472" t="str">
        <f>"יח"</f>
        <v>יח</v>
      </c>
      <c r="N472">
        <v>1</v>
      </c>
      <c r="O472" t="str">
        <f>"יח"</f>
        <v>יח</v>
      </c>
      <c r="P472">
        <v>649.65</v>
      </c>
      <c r="Q472" t="str">
        <f>"$"</f>
        <v>$</v>
      </c>
      <c r="R472" t="str">
        <f>"הזמנה"</f>
        <v>הזמנה</v>
      </c>
      <c r="S472">
        <v>0</v>
      </c>
      <c r="T472">
        <v>649.65</v>
      </c>
      <c r="U472">
        <v>0</v>
      </c>
      <c r="V472">
        <v>649.65</v>
      </c>
      <c r="W472" t="str">
        <f>"$"</f>
        <v>$</v>
      </c>
      <c r="X472">
        <v>0</v>
      </c>
      <c r="Y472">
        <v>0</v>
      </c>
      <c r="Z472">
        <v>0</v>
      </c>
      <c r="AA472" t="str">
        <f>"Y"</f>
        <v>Y</v>
      </c>
      <c r="AB472" t="str">
        <f>"SO22000476"</f>
        <v>SO22000476</v>
      </c>
      <c r="AC472">
        <v>7</v>
      </c>
      <c r="AD472" s="1">
        <v>44917</v>
      </c>
      <c r="AE472" t="str">
        <f>"SH23000722"</f>
        <v>SH23000722</v>
      </c>
      <c r="AF472" t="str">
        <f>"משלוחים ללקוח"</f>
        <v>משלוחים ללקוח</v>
      </c>
      <c r="AG472" s="1">
        <v>45089</v>
      </c>
      <c r="AM472" t="str">
        <f>"10"</f>
        <v>10</v>
      </c>
      <c r="AN472" t="str">
        <f>"500000"</f>
        <v>500000</v>
      </c>
      <c r="AO472" t="str">
        <f>"הכנסות  מלקוחות"</f>
        <v>הכנסות  מלקוחות</v>
      </c>
      <c r="AQ472" t="str">
        <f>"040"</f>
        <v>040</v>
      </c>
      <c r="AR472">
        <v>0</v>
      </c>
      <c r="AS472">
        <v>0</v>
      </c>
      <c r="AT472">
        <v>3.6019999999999999</v>
      </c>
      <c r="AX472" t="str">
        <f>"E000381315"</f>
        <v>E000381315</v>
      </c>
      <c r="BD472" t="str">
        <f>"רחמים זרוק"</f>
        <v>רחמים זרוק</v>
      </c>
    </row>
    <row r="473" spans="1:56" x14ac:dyDescent="0.3">
      <c r="A473" s="1">
        <v>45096</v>
      </c>
      <c r="B473" t="str">
        <f>"SI236000835"</f>
        <v>SI236000835</v>
      </c>
      <c r="C473" t="str">
        <f>"PR22000907"</f>
        <v>PR22000907</v>
      </c>
      <c r="D473" t="str">
        <f>"PR22000907"</f>
        <v>PR22000907</v>
      </c>
      <c r="E473" t="str">
        <f>"Y"</f>
        <v>Y</v>
      </c>
      <c r="F473" t="str">
        <f>"חשבוניות מרכזות"</f>
        <v>חשבוניות מרכזות</v>
      </c>
      <c r="G473" t="str">
        <f>"700065"</f>
        <v>700065</v>
      </c>
      <c r="H473" t="str">
        <f>"אלתא מערכות בע""מ"</f>
        <v>אלתא מערכות בע"מ</v>
      </c>
      <c r="I473" t="str">
        <f>"15"</f>
        <v>15</v>
      </c>
      <c r="J473" t="str">
        <f>"OP-AR02353"</f>
        <v>OP-AR02353</v>
      </c>
      <c r="K473" t="str">
        <f>"2203B026-001    FIO CABLE ASSY"</f>
        <v>2203B026-001    FIO CABLE ASSY</v>
      </c>
      <c r="L473">
        <v>1</v>
      </c>
      <c r="M473" t="str">
        <f>"יח"</f>
        <v>יח</v>
      </c>
      <c r="N473">
        <v>1</v>
      </c>
      <c r="O473" t="str">
        <f>"יח"</f>
        <v>יח</v>
      </c>
      <c r="P473">
        <v>475.4</v>
      </c>
      <c r="Q473" t="str">
        <f>"$"</f>
        <v>$</v>
      </c>
      <c r="R473" t="str">
        <f>"הזמנה"</f>
        <v>הזמנה</v>
      </c>
      <c r="S473">
        <v>0</v>
      </c>
      <c r="T473">
        <v>475.4</v>
      </c>
      <c r="U473">
        <v>0</v>
      </c>
      <c r="V473">
        <v>475.4</v>
      </c>
      <c r="W473" t="str">
        <f>"$"</f>
        <v>$</v>
      </c>
      <c r="X473">
        <v>0</v>
      </c>
      <c r="Y473">
        <v>0</v>
      </c>
      <c r="Z473">
        <v>0</v>
      </c>
      <c r="AA473" t="str">
        <f>"Y"</f>
        <v>Y</v>
      </c>
      <c r="AB473" t="str">
        <f>"SO22000485"</f>
        <v>SO22000485</v>
      </c>
      <c r="AC473">
        <v>1</v>
      </c>
      <c r="AD473" s="1">
        <v>44921</v>
      </c>
      <c r="AE473" t="str">
        <f>"SH23000719"</f>
        <v>SH23000719</v>
      </c>
      <c r="AF473" t="str">
        <f>"משלוחים ללקוח"</f>
        <v>משלוחים ללקוח</v>
      </c>
      <c r="AG473" s="1">
        <v>45089</v>
      </c>
      <c r="AM473" t="str">
        <f>"10"</f>
        <v>10</v>
      </c>
      <c r="AN473" t="str">
        <f>"500000"</f>
        <v>500000</v>
      </c>
      <c r="AO473" t="str">
        <f>"הכנסות  מלקוחות"</f>
        <v>הכנסות  מלקוחות</v>
      </c>
      <c r="AQ473" t="str">
        <f>"040"</f>
        <v>040</v>
      </c>
      <c r="AR473">
        <v>0</v>
      </c>
      <c r="AS473">
        <v>0</v>
      </c>
      <c r="AT473">
        <v>3.6019999999999999</v>
      </c>
      <c r="AX473" t="str">
        <f>"E000381279"</f>
        <v>E000381279</v>
      </c>
      <c r="BD473" t="str">
        <f>"רחמים זרוק"</f>
        <v>רחמים זרוק</v>
      </c>
    </row>
    <row r="474" spans="1:56" x14ac:dyDescent="0.3">
      <c r="A474" s="1">
        <v>45096</v>
      </c>
      <c r="B474" t="str">
        <f>"SI236000835"</f>
        <v>SI236000835</v>
      </c>
      <c r="C474" t="str">
        <f>"PR22000907"</f>
        <v>PR22000907</v>
      </c>
      <c r="D474" t="str">
        <f>"PR22000907"</f>
        <v>PR22000907</v>
      </c>
      <c r="E474" t="str">
        <f>"Y"</f>
        <v>Y</v>
      </c>
      <c r="F474" t="str">
        <f>"חשבוניות מרכזות"</f>
        <v>חשבוניות מרכזות</v>
      </c>
      <c r="G474" t="str">
        <f>"700065"</f>
        <v>700065</v>
      </c>
      <c r="H474" t="str">
        <f>"אלתא מערכות בע""מ"</f>
        <v>אלתא מערכות בע"מ</v>
      </c>
      <c r="I474" t="str">
        <f>"15"</f>
        <v>15</v>
      </c>
      <c r="J474" t="str">
        <f>"OP-AR03016"</f>
        <v>OP-AR03016</v>
      </c>
      <c r="K474" t="str">
        <f>"2203B860-001   POWER TO UUT CABLE ASSY"</f>
        <v>2203B860-001   POWER TO UUT CABLE ASSY</v>
      </c>
      <c r="L474">
        <v>1</v>
      </c>
      <c r="M474" t="str">
        <f>"יח"</f>
        <v>יח</v>
      </c>
      <c r="N474">
        <v>1</v>
      </c>
      <c r="O474" t="str">
        <f>"יח"</f>
        <v>יח</v>
      </c>
      <c r="P474">
        <v>867.4</v>
      </c>
      <c r="Q474" t="str">
        <f>"$"</f>
        <v>$</v>
      </c>
      <c r="R474" t="str">
        <f>"הזמנה"</f>
        <v>הזמנה</v>
      </c>
      <c r="S474">
        <v>0</v>
      </c>
      <c r="T474">
        <v>867.4</v>
      </c>
      <c r="U474">
        <v>0</v>
      </c>
      <c r="V474">
        <v>867.4</v>
      </c>
      <c r="W474" t="str">
        <f>"$"</f>
        <v>$</v>
      </c>
      <c r="X474">
        <v>0</v>
      </c>
      <c r="Y474">
        <v>0</v>
      </c>
      <c r="Z474">
        <v>0</v>
      </c>
      <c r="AA474" t="str">
        <f>"Y"</f>
        <v>Y</v>
      </c>
      <c r="AB474" t="str">
        <f>"SO22000485"</f>
        <v>SO22000485</v>
      </c>
      <c r="AC474">
        <v>2</v>
      </c>
      <c r="AD474" s="1">
        <v>44921</v>
      </c>
      <c r="AE474" t="str">
        <f>"SH23000719"</f>
        <v>SH23000719</v>
      </c>
      <c r="AF474" t="str">
        <f>"משלוחים ללקוח"</f>
        <v>משלוחים ללקוח</v>
      </c>
      <c r="AG474" s="1">
        <v>45089</v>
      </c>
      <c r="AM474" t="str">
        <f>"10"</f>
        <v>10</v>
      </c>
      <c r="AN474" t="str">
        <f>"500000"</f>
        <v>500000</v>
      </c>
      <c r="AO474" t="str">
        <f>"הכנסות  מלקוחות"</f>
        <v>הכנסות  מלקוחות</v>
      </c>
      <c r="AQ474" t="str">
        <f>"040"</f>
        <v>040</v>
      </c>
      <c r="AR474">
        <v>0</v>
      </c>
      <c r="AS474">
        <v>0</v>
      </c>
      <c r="AT474">
        <v>3.6019999999999999</v>
      </c>
      <c r="AX474" t="str">
        <f>"E000381279"</f>
        <v>E000381279</v>
      </c>
      <c r="BD474" t="str">
        <f>"רחמים זרוק"</f>
        <v>רחמים זרוק</v>
      </c>
    </row>
    <row r="475" spans="1:56" x14ac:dyDescent="0.3">
      <c r="A475" s="1">
        <v>45096</v>
      </c>
      <c r="B475" t="str">
        <f>"SI236000835"</f>
        <v>SI236000835</v>
      </c>
      <c r="C475" t="str">
        <f>"PR22000907"</f>
        <v>PR22000907</v>
      </c>
      <c r="D475" t="str">
        <f>"PR22000907"</f>
        <v>PR22000907</v>
      </c>
      <c r="E475" t="str">
        <f>"Y"</f>
        <v>Y</v>
      </c>
      <c r="F475" t="str">
        <f>"חשבוניות מרכזות"</f>
        <v>חשבוניות מרכזות</v>
      </c>
      <c r="G475" t="str">
        <f>"700065"</f>
        <v>700065</v>
      </c>
      <c r="H475" t="str">
        <f>"אלתא מערכות בע""מ"</f>
        <v>אלתא מערכות בע"מ</v>
      </c>
      <c r="I475" t="str">
        <f>"15"</f>
        <v>15</v>
      </c>
      <c r="J475" t="str">
        <f>"OP-AR03017"</f>
        <v>OP-AR03017</v>
      </c>
      <c r="K475" t="str">
        <f>"2203B862-001   POWER TO JIG CABLE ASSY"</f>
        <v>2203B862-001   POWER TO JIG CABLE ASSY</v>
      </c>
      <c r="L475">
        <v>2</v>
      </c>
      <c r="M475" t="str">
        <f>"יח"</f>
        <v>יח</v>
      </c>
      <c r="N475">
        <v>2</v>
      </c>
      <c r="O475" t="str">
        <f>"יח"</f>
        <v>יח</v>
      </c>
      <c r="P475">
        <v>187.3</v>
      </c>
      <c r="Q475" t="str">
        <f>"$"</f>
        <v>$</v>
      </c>
      <c r="R475" t="str">
        <f>"הזמנה"</f>
        <v>הזמנה</v>
      </c>
      <c r="S475">
        <v>0</v>
      </c>
      <c r="T475">
        <v>374.6</v>
      </c>
      <c r="U475">
        <v>0</v>
      </c>
      <c r="V475">
        <v>374.6</v>
      </c>
      <c r="W475" t="str">
        <f>"$"</f>
        <v>$</v>
      </c>
      <c r="X475">
        <v>0</v>
      </c>
      <c r="Y475">
        <v>0</v>
      </c>
      <c r="Z475">
        <v>0</v>
      </c>
      <c r="AA475" t="str">
        <f>"Y"</f>
        <v>Y</v>
      </c>
      <c r="AB475" t="str">
        <f>"SO22000485"</f>
        <v>SO22000485</v>
      </c>
      <c r="AC475">
        <v>3</v>
      </c>
      <c r="AD475" s="1">
        <v>44921</v>
      </c>
      <c r="AE475" t="str">
        <f>"SH23000719"</f>
        <v>SH23000719</v>
      </c>
      <c r="AF475" t="str">
        <f>"משלוחים ללקוח"</f>
        <v>משלוחים ללקוח</v>
      </c>
      <c r="AG475" s="1">
        <v>45089</v>
      </c>
      <c r="AM475" t="str">
        <f>"10"</f>
        <v>10</v>
      </c>
      <c r="AN475" t="str">
        <f>"500000"</f>
        <v>500000</v>
      </c>
      <c r="AO475" t="str">
        <f>"הכנסות  מלקוחות"</f>
        <v>הכנסות  מלקוחות</v>
      </c>
      <c r="AQ475" t="str">
        <f>"040"</f>
        <v>040</v>
      </c>
      <c r="AR475">
        <v>0</v>
      </c>
      <c r="AS475">
        <v>0</v>
      </c>
      <c r="AT475">
        <v>3.6019999999999999</v>
      </c>
      <c r="AX475" t="str">
        <f>"E000381279"</f>
        <v>E000381279</v>
      </c>
      <c r="BD475" t="str">
        <f>"רחמים זרוק"</f>
        <v>רחמים זרוק</v>
      </c>
    </row>
    <row r="476" spans="1:56" x14ac:dyDescent="0.3">
      <c r="A476" s="1">
        <v>45096</v>
      </c>
      <c r="B476" t="str">
        <f>"SI236000834"</f>
        <v>SI236000834</v>
      </c>
      <c r="C476" t="str">
        <f>"PR22000674"</f>
        <v>PR22000674</v>
      </c>
      <c r="E476" t="str">
        <f>"Y"</f>
        <v>Y</v>
      </c>
      <c r="F476" t="str">
        <f>"חשבוניות מרכזות"</f>
        <v>חשבוניות מרכזות</v>
      </c>
      <c r="G476" t="str">
        <f>"700065"</f>
        <v>700065</v>
      </c>
      <c r="H476" t="str">
        <f>"אלתא מערכות בע""מ"</f>
        <v>אלתא מערכות בע"מ</v>
      </c>
      <c r="I476" t="str">
        <f>"15"</f>
        <v>15</v>
      </c>
      <c r="J476" t="str">
        <f>"OP-AR02242"</f>
        <v>OP-AR02242</v>
      </c>
      <c r="K476" t="str">
        <f>"1094F817-001   CABLE W7"</f>
        <v>1094F817-001   CABLE W7</v>
      </c>
      <c r="L476">
        <v>1</v>
      </c>
      <c r="M476" t="str">
        <f>"יח"</f>
        <v>יח</v>
      </c>
      <c r="N476">
        <v>1</v>
      </c>
      <c r="O476" t="str">
        <f>"יח"</f>
        <v>יח</v>
      </c>
      <c r="P476">
        <v>791.52</v>
      </c>
      <c r="Q476" t="str">
        <f>"$"</f>
        <v>$</v>
      </c>
      <c r="R476" t="str">
        <f>"הזמנה"</f>
        <v>הזמנה</v>
      </c>
      <c r="S476">
        <v>0</v>
      </c>
      <c r="T476">
        <v>791.52</v>
      </c>
      <c r="U476">
        <v>0</v>
      </c>
      <c r="V476">
        <v>791.52</v>
      </c>
      <c r="W476" t="str">
        <f>"$"</f>
        <v>$</v>
      </c>
      <c r="X476">
        <v>0</v>
      </c>
      <c r="Y476">
        <v>0</v>
      </c>
      <c r="Z476">
        <v>0</v>
      </c>
      <c r="AA476" t="str">
        <f>"Y"</f>
        <v>Y</v>
      </c>
      <c r="AB476" t="str">
        <f>"SO22000389"</f>
        <v>SO22000389</v>
      </c>
      <c r="AC476">
        <v>1</v>
      </c>
      <c r="AD476" s="1">
        <v>44864</v>
      </c>
      <c r="AE476" t="str">
        <f>"SH23000717"</f>
        <v>SH23000717</v>
      </c>
      <c r="AF476" t="str">
        <f>"משלוחים ללקוח"</f>
        <v>משלוחים ללקוח</v>
      </c>
      <c r="AG476" s="1">
        <v>45089</v>
      </c>
      <c r="AM476" t="str">
        <f>"10"</f>
        <v>10</v>
      </c>
      <c r="AN476" t="str">
        <f>"500000"</f>
        <v>500000</v>
      </c>
      <c r="AO476" t="str">
        <f>"הכנסות  מלקוחות"</f>
        <v>הכנסות  מלקוחות</v>
      </c>
      <c r="AQ476" t="str">
        <f>"040"</f>
        <v>040</v>
      </c>
      <c r="AR476">
        <v>0</v>
      </c>
      <c r="AS476">
        <v>0</v>
      </c>
      <c r="AT476">
        <v>3.6019999999999999</v>
      </c>
      <c r="AX476" t="str">
        <f>"E000377324"</f>
        <v>E000377324</v>
      </c>
      <c r="BD476" t="str">
        <f>"רחמים זרוק"</f>
        <v>רחמים זרוק</v>
      </c>
    </row>
    <row r="477" spans="1:56" x14ac:dyDescent="0.3">
      <c r="A477" s="1">
        <v>45096</v>
      </c>
      <c r="B477" t="str">
        <f>"SI236000833"</f>
        <v>SI236000833</v>
      </c>
      <c r="C477" t="str">
        <f>"PR22000813"</f>
        <v>PR22000813</v>
      </c>
      <c r="E477" t="str">
        <f>"Y"</f>
        <v>Y</v>
      </c>
      <c r="F477" t="str">
        <f>"חשבוניות מרכזות"</f>
        <v>חשבוניות מרכזות</v>
      </c>
      <c r="G477" t="str">
        <f>"700065"</f>
        <v>700065</v>
      </c>
      <c r="H477" t="str">
        <f>"אלתא מערכות בע""מ"</f>
        <v>אלתא מערכות בע"מ</v>
      </c>
      <c r="I477" t="str">
        <f>"15"</f>
        <v>15</v>
      </c>
      <c r="J477" t="str">
        <f>"OP-AR03391"</f>
        <v>OP-AR03391</v>
      </c>
      <c r="K477" t="str">
        <f>"6930C814-001    HARNESS WX814 - POWER RACK 1 TO LAPTOP"</f>
        <v>6930C814-001    HARNESS WX814 - POWER RACK 1 TO LAPTOP</v>
      </c>
      <c r="L477">
        <v>1</v>
      </c>
      <c r="M477" t="str">
        <f>"יח"</f>
        <v>יח</v>
      </c>
      <c r="N477">
        <v>1</v>
      </c>
      <c r="O477" t="str">
        <f>"יח"</f>
        <v>יח</v>
      </c>
      <c r="P477">
        <v>475.33</v>
      </c>
      <c r="Q477" t="str">
        <f>"$"</f>
        <v>$</v>
      </c>
      <c r="R477" t="str">
        <f>"הזמנה"</f>
        <v>הזמנה</v>
      </c>
      <c r="S477">
        <v>0</v>
      </c>
      <c r="T477">
        <v>475.33</v>
      </c>
      <c r="U477">
        <v>0</v>
      </c>
      <c r="V477">
        <v>475.33</v>
      </c>
      <c r="W477" t="str">
        <f>"$"</f>
        <v>$</v>
      </c>
      <c r="X477">
        <v>0</v>
      </c>
      <c r="Y477">
        <v>0</v>
      </c>
      <c r="Z477">
        <v>0</v>
      </c>
      <c r="AA477" t="str">
        <f>"Y"</f>
        <v>Y</v>
      </c>
      <c r="AB477" t="str">
        <f>"SO22000426"</f>
        <v>SO22000426</v>
      </c>
      <c r="AC477">
        <v>2</v>
      </c>
      <c r="AD477" s="1">
        <v>44892</v>
      </c>
      <c r="AE477" t="str">
        <f>"SH23000715"</f>
        <v>SH23000715</v>
      </c>
      <c r="AF477" t="str">
        <f>"משלוחים ללקוח"</f>
        <v>משלוחים ללקוח</v>
      </c>
      <c r="AG477" s="1">
        <v>45089</v>
      </c>
      <c r="AM477" t="str">
        <f>"10"</f>
        <v>10</v>
      </c>
      <c r="AN477" t="str">
        <f>"500000"</f>
        <v>500000</v>
      </c>
      <c r="AO477" t="str">
        <f>"הכנסות  מלקוחות"</f>
        <v>הכנסות  מלקוחות</v>
      </c>
      <c r="AQ477" t="str">
        <f>"040"</f>
        <v>040</v>
      </c>
      <c r="AR477">
        <v>0</v>
      </c>
      <c r="AS477">
        <v>0</v>
      </c>
      <c r="AT477">
        <v>3.6019999999999999</v>
      </c>
      <c r="AX477" t="str">
        <f>"E000378275"</f>
        <v>E000378275</v>
      </c>
      <c r="BD477" t="str">
        <f>"רחמים זרוק"</f>
        <v>רחמים זרוק</v>
      </c>
    </row>
    <row r="478" spans="1:56" x14ac:dyDescent="0.3">
      <c r="A478" s="1">
        <v>45096</v>
      </c>
      <c r="B478" t="str">
        <f>"SI236000832"</f>
        <v>SI236000832</v>
      </c>
      <c r="C478" t="str">
        <f>"PR22000908"</f>
        <v>PR22000908</v>
      </c>
      <c r="D478" t="str">
        <f>"PR22000908"</f>
        <v>PR22000908</v>
      </c>
      <c r="E478" t="str">
        <f>"Y"</f>
        <v>Y</v>
      </c>
      <c r="F478" t="str">
        <f>"חשבוניות מרכזות"</f>
        <v>חשבוניות מרכזות</v>
      </c>
      <c r="G478" t="str">
        <f>"700065"</f>
        <v>700065</v>
      </c>
      <c r="H478" t="str">
        <f>"אלתא מערכות בע""מ"</f>
        <v>אלתא מערכות בע"מ</v>
      </c>
      <c r="I478" t="str">
        <f>"15"</f>
        <v>15</v>
      </c>
      <c r="J478" t="str">
        <f>"OP-AR03520"</f>
        <v>OP-AR03520</v>
      </c>
      <c r="K478" t="str">
        <f>"9004A942-001    HARNESS W1942 - J2 POWER IN"</f>
        <v>9004A942-001    HARNESS W1942 - J2 POWER IN</v>
      </c>
      <c r="L478">
        <v>1</v>
      </c>
      <c r="M478" t="str">
        <f>"יח"</f>
        <v>יח</v>
      </c>
      <c r="N478">
        <v>1</v>
      </c>
      <c r="O478" t="str">
        <f>"יח"</f>
        <v>יח</v>
      </c>
      <c r="P478">
        <v>457.69</v>
      </c>
      <c r="Q478" t="str">
        <f>"$"</f>
        <v>$</v>
      </c>
      <c r="R478" t="str">
        <f>"הזמנה"</f>
        <v>הזמנה</v>
      </c>
      <c r="S478">
        <v>0</v>
      </c>
      <c r="T478">
        <v>457.69</v>
      </c>
      <c r="U478">
        <v>0</v>
      </c>
      <c r="V478">
        <v>457.69</v>
      </c>
      <c r="W478" t="str">
        <f>"$"</f>
        <v>$</v>
      </c>
      <c r="X478">
        <v>0</v>
      </c>
      <c r="Y478">
        <v>0</v>
      </c>
      <c r="Z478">
        <v>0</v>
      </c>
      <c r="AA478" t="str">
        <f>"Y"</f>
        <v>Y</v>
      </c>
      <c r="AB478" t="str">
        <f>"SO22000490"</f>
        <v>SO22000490</v>
      </c>
      <c r="AC478">
        <v>2</v>
      </c>
      <c r="AD478" s="1">
        <v>44922</v>
      </c>
      <c r="AE478" t="str">
        <f>"SH23000714"</f>
        <v>SH23000714</v>
      </c>
      <c r="AF478" t="str">
        <f>"משלוחים ללקוח"</f>
        <v>משלוחים ללקוח</v>
      </c>
      <c r="AG478" s="1">
        <v>45089</v>
      </c>
      <c r="AM478" t="str">
        <f>"10"</f>
        <v>10</v>
      </c>
      <c r="AN478" t="str">
        <f>"500000"</f>
        <v>500000</v>
      </c>
      <c r="AO478" t="str">
        <f>"הכנסות  מלקוחות"</f>
        <v>הכנסות  מלקוחות</v>
      </c>
      <c r="AQ478" t="str">
        <f>"040"</f>
        <v>040</v>
      </c>
      <c r="AR478">
        <v>0</v>
      </c>
      <c r="AS478">
        <v>0</v>
      </c>
      <c r="AT478">
        <v>3.6019999999999999</v>
      </c>
      <c r="AX478" t="str">
        <f>"E000380890"</f>
        <v>E000380890</v>
      </c>
      <c r="BD478" t="str">
        <f>"רחמים זרוק"</f>
        <v>רחמים זרוק</v>
      </c>
    </row>
    <row r="479" spans="1:56" x14ac:dyDescent="0.3">
      <c r="A479" s="1">
        <v>45096</v>
      </c>
      <c r="B479" t="str">
        <f>"SI236000832"</f>
        <v>SI236000832</v>
      </c>
      <c r="C479" t="str">
        <f>"PR22000908"</f>
        <v>PR22000908</v>
      </c>
      <c r="D479" t="str">
        <f>"PR22000908"</f>
        <v>PR22000908</v>
      </c>
      <c r="E479" t="str">
        <f>"Y"</f>
        <v>Y</v>
      </c>
      <c r="F479" t="str">
        <f>"חשבוניות מרכזות"</f>
        <v>חשבוניות מרכזות</v>
      </c>
      <c r="G479" t="str">
        <f>"700065"</f>
        <v>700065</v>
      </c>
      <c r="H479" t="str">
        <f>"אלתא מערכות בע""מ"</f>
        <v>אלתא מערכות בע"מ</v>
      </c>
      <c r="I479" t="str">
        <f>"15"</f>
        <v>15</v>
      </c>
      <c r="J479" t="str">
        <f>"OP-AR03521"</f>
        <v>OP-AR03521</v>
      </c>
      <c r="K479" t="str">
        <f>"9004A943-001    HARNESS W1943 - J3 POWER IN"</f>
        <v>9004A943-001    HARNESS W1943 - J3 POWER IN</v>
      </c>
      <c r="L479">
        <v>1</v>
      </c>
      <c r="M479" t="str">
        <f>"יח"</f>
        <v>יח</v>
      </c>
      <c r="N479">
        <v>1</v>
      </c>
      <c r="O479" t="str">
        <f>"יח"</f>
        <v>יח</v>
      </c>
      <c r="P479">
        <v>450.89</v>
      </c>
      <c r="Q479" t="str">
        <f>"$"</f>
        <v>$</v>
      </c>
      <c r="R479" t="str">
        <f>"הזמנה"</f>
        <v>הזמנה</v>
      </c>
      <c r="S479">
        <v>0</v>
      </c>
      <c r="T479">
        <v>450.89</v>
      </c>
      <c r="U479">
        <v>0</v>
      </c>
      <c r="V479">
        <v>450.89</v>
      </c>
      <c r="W479" t="str">
        <f>"$"</f>
        <v>$</v>
      </c>
      <c r="X479">
        <v>0</v>
      </c>
      <c r="Y479">
        <v>0</v>
      </c>
      <c r="Z479">
        <v>0</v>
      </c>
      <c r="AA479" t="str">
        <f>"Y"</f>
        <v>Y</v>
      </c>
      <c r="AB479" t="str">
        <f>"SO22000490"</f>
        <v>SO22000490</v>
      </c>
      <c r="AC479">
        <v>3</v>
      </c>
      <c r="AD479" s="1">
        <v>44922</v>
      </c>
      <c r="AE479" t="str">
        <f>"SH23000714"</f>
        <v>SH23000714</v>
      </c>
      <c r="AF479" t="str">
        <f>"משלוחים ללקוח"</f>
        <v>משלוחים ללקוח</v>
      </c>
      <c r="AG479" s="1">
        <v>45089</v>
      </c>
      <c r="AM479" t="str">
        <f>"10"</f>
        <v>10</v>
      </c>
      <c r="AN479" t="str">
        <f>"500000"</f>
        <v>500000</v>
      </c>
      <c r="AO479" t="str">
        <f>"הכנסות  מלקוחות"</f>
        <v>הכנסות  מלקוחות</v>
      </c>
      <c r="AQ479" t="str">
        <f>"040"</f>
        <v>040</v>
      </c>
      <c r="AR479">
        <v>0</v>
      </c>
      <c r="AS479">
        <v>0</v>
      </c>
      <c r="AT479">
        <v>3.6019999999999999</v>
      </c>
      <c r="AX479" t="str">
        <f>"E000380890"</f>
        <v>E000380890</v>
      </c>
      <c r="BD479" t="str">
        <f>"רחמים זרוק"</f>
        <v>רחמים זרוק</v>
      </c>
    </row>
    <row r="480" spans="1:56" x14ac:dyDescent="0.3">
      <c r="A480" s="1">
        <v>45096</v>
      </c>
      <c r="B480" t="str">
        <f>"SI236000832"</f>
        <v>SI236000832</v>
      </c>
      <c r="C480" t="str">
        <f>"PR22000908"</f>
        <v>PR22000908</v>
      </c>
      <c r="D480" t="str">
        <f>"PR22000908"</f>
        <v>PR22000908</v>
      </c>
      <c r="E480" t="str">
        <f>"Y"</f>
        <v>Y</v>
      </c>
      <c r="F480" t="str">
        <f>"חשבוניות מרכזות"</f>
        <v>חשבוניות מרכזות</v>
      </c>
      <c r="G480" t="str">
        <f>"700065"</f>
        <v>700065</v>
      </c>
      <c r="H480" t="str">
        <f>"אלתא מערכות בע""מ"</f>
        <v>אלתא מערכות בע"מ</v>
      </c>
      <c r="I480" t="str">
        <f>"15"</f>
        <v>15</v>
      </c>
      <c r="J480" t="str">
        <f>"OP-AR03523"</f>
        <v>OP-AR03523</v>
      </c>
      <c r="K480" t="str">
        <f>"9004A946-001    HARNESS W1946 - J6 POWER OUT"</f>
        <v>9004A946-001    HARNESS W1946 - J6 POWER OUT</v>
      </c>
      <c r="L480">
        <v>1</v>
      </c>
      <c r="M480" t="str">
        <f>"יח"</f>
        <v>יח</v>
      </c>
      <c r="N480">
        <v>1</v>
      </c>
      <c r="O480" t="str">
        <f>"יח"</f>
        <v>יח</v>
      </c>
      <c r="P480">
        <v>262.36</v>
      </c>
      <c r="Q480" t="str">
        <f>"$"</f>
        <v>$</v>
      </c>
      <c r="R480" t="str">
        <f>"הזמנה"</f>
        <v>הזמנה</v>
      </c>
      <c r="S480">
        <v>0</v>
      </c>
      <c r="T480">
        <v>262.36</v>
      </c>
      <c r="U480">
        <v>0</v>
      </c>
      <c r="V480">
        <v>262.36</v>
      </c>
      <c r="W480" t="str">
        <f>"$"</f>
        <v>$</v>
      </c>
      <c r="X480">
        <v>0</v>
      </c>
      <c r="Y480">
        <v>0</v>
      </c>
      <c r="Z480">
        <v>0</v>
      </c>
      <c r="AA480" t="str">
        <f>"Y"</f>
        <v>Y</v>
      </c>
      <c r="AB480" t="str">
        <f>"SO22000490"</f>
        <v>SO22000490</v>
      </c>
      <c r="AC480">
        <v>5</v>
      </c>
      <c r="AD480" s="1">
        <v>44922</v>
      </c>
      <c r="AE480" t="str">
        <f>"SH23000714"</f>
        <v>SH23000714</v>
      </c>
      <c r="AF480" t="str">
        <f>"משלוחים ללקוח"</f>
        <v>משלוחים ללקוח</v>
      </c>
      <c r="AG480" s="1">
        <v>45089</v>
      </c>
      <c r="AM480" t="str">
        <f>"10"</f>
        <v>10</v>
      </c>
      <c r="AN480" t="str">
        <f>"500000"</f>
        <v>500000</v>
      </c>
      <c r="AO480" t="str">
        <f>"הכנסות  מלקוחות"</f>
        <v>הכנסות  מלקוחות</v>
      </c>
      <c r="AQ480" t="str">
        <f>"040"</f>
        <v>040</v>
      </c>
      <c r="AR480">
        <v>0</v>
      </c>
      <c r="AS480">
        <v>0</v>
      </c>
      <c r="AT480">
        <v>3.6019999999999999</v>
      </c>
      <c r="AX480" t="str">
        <f>"E000380890"</f>
        <v>E000380890</v>
      </c>
      <c r="BD480" t="str">
        <f>"רחמים זרוק"</f>
        <v>רחמים זרוק</v>
      </c>
    </row>
    <row r="481" spans="1:56" x14ac:dyDescent="0.3">
      <c r="A481" s="1">
        <v>45096</v>
      </c>
      <c r="B481" t="str">
        <f>"SI236000832"</f>
        <v>SI236000832</v>
      </c>
      <c r="C481" t="str">
        <f>"PR22000908"</f>
        <v>PR22000908</v>
      </c>
      <c r="D481" t="str">
        <f>"PR22000908"</f>
        <v>PR22000908</v>
      </c>
      <c r="E481" t="str">
        <f>"Y"</f>
        <v>Y</v>
      </c>
      <c r="F481" t="str">
        <f>"חשבוניות מרכזות"</f>
        <v>חשבוניות מרכזות</v>
      </c>
      <c r="G481" t="str">
        <f>"700065"</f>
        <v>700065</v>
      </c>
      <c r="H481" t="str">
        <f>"אלתא מערכות בע""מ"</f>
        <v>אלתא מערכות בע"מ</v>
      </c>
      <c r="I481" t="str">
        <f>"15"</f>
        <v>15</v>
      </c>
      <c r="J481" t="str">
        <f>"OP-AR03524"</f>
        <v>OP-AR03524</v>
      </c>
      <c r="K481" t="str">
        <f>"9004A947-001    HARNESS W1947 - J7 POWER OUT"</f>
        <v>9004A947-001    HARNESS W1947 - J7 POWER OUT</v>
      </c>
      <c r="L481">
        <v>1</v>
      </c>
      <c r="M481" t="str">
        <f>"יח"</f>
        <v>יח</v>
      </c>
      <c r="N481">
        <v>1</v>
      </c>
      <c r="O481" t="str">
        <f>"יח"</f>
        <v>יח</v>
      </c>
      <c r="P481">
        <v>301.23</v>
      </c>
      <c r="Q481" t="str">
        <f>"$"</f>
        <v>$</v>
      </c>
      <c r="R481" t="str">
        <f>"הזמנה"</f>
        <v>הזמנה</v>
      </c>
      <c r="S481">
        <v>0</v>
      </c>
      <c r="T481">
        <v>301.23</v>
      </c>
      <c r="U481">
        <v>0</v>
      </c>
      <c r="V481">
        <v>301.23</v>
      </c>
      <c r="W481" t="str">
        <f>"$"</f>
        <v>$</v>
      </c>
      <c r="X481">
        <v>0</v>
      </c>
      <c r="Y481">
        <v>0</v>
      </c>
      <c r="Z481">
        <v>0</v>
      </c>
      <c r="AA481" t="str">
        <f>"Y"</f>
        <v>Y</v>
      </c>
      <c r="AB481" t="str">
        <f>"SO22000490"</f>
        <v>SO22000490</v>
      </c>
      <c r="AC481">
        <v>6</v>
      </c>
      <c r="AD481" s="1">
        <v>44922</v>
      </c>
      <c r="AE481" t="str">
        <f>"SH23000714"</f>
        <v>SH23000714</v>
      </c>
      <c r="AF481" t="str">
        <f>"משלוחים ללקוח"</f>
        <v>משלוחים ללקוח</v>
      </c>
      <c r="AG481" s="1">
        <v>45089</v>
      </c>
      <c r="AM481" t="str">
        <f>"10"</f>
        <v>10</v>
      </c>
      <c r="AN481" t="str">
        <f>"500000"</f>
        <v>500000</v>
      </c>
      <c r="AO481" t="str">
        <f>"הכנסות  מלקוחות"</f>
        <v>הכנסות  מלקוחות</v>
      </c>
      <c r="AQ481" t="str">
        <f>"040"</f>
        <v>040</v>
      </c>
      <c r="AR481">
        <v>0</v>
      </c>
      <c r="AS481">
        <v>0</v>
      </c>
      <c r="AT481">
        <v>3.6019999999999999</v>
      </c>
      <c r="AX481" t="str">
        <f>"E000380890"</f>
        <v>E000380890</v>
      </c>
      <c r="BD481" t="str">
        <f>"רחמים זרוק"</f>
        <v>רחמים זרוק</v>
      </c>
    </row>
    <row r="482" spans="1:56" x14ac:dyDescent="0.3">
      <c r="A482" s="1">
        <v>45096</v>
      </c>
      <c r="B482" t="str">
        <f>"SI236000831"</f>
        <v>SI236000831</v>
      </c>
      <c r="C482" t="str">
        <f>"PR20000834"</f>
        <v>PR20000834</v>
      </c>
      <c r="D482" t="str">
        <f>"PR20000834"</f>
        <v>PR20000834</v>
      </c>
      <c r="E482" t="str">
        <f>"Y"</f>
        <v>Y</v>
      </c>
      <c r="F482" t="str">
        <f>"חשבוניות מרכזות"</f>
        <v>חשבוניות מרכזות</v>
      </c>
      <c r="G482" t="str">
        <f>"700065"</f>
        <v>700065</v>
      </c>
      <c r="H482" t="str">
        <f>"אלתא מערכות בע""מ"</f>
        <v>אלתא מערכות בע"מ</v>
      </c>
      <c r="I482" t="str">
        <f>"10"</f>
        <v>10</v>
      </c>
      <c r="J482" t="str">
        <f>"OP-AR02104"</f>
        <v>OP-AR02104</v>
      </c>
      <c r="K482" t="str">
        <f>"1032F921-001/-   ETHERNET CABLE MFR-W921 - FILTE"</f>
        <v>1032F921-001/-   ETHERNET CABLE MFR-W921 - FILTE</v>
      </c>
      <c r="L482">
        <v>4</v>
      </c>
      <c r="M482" t="str">
        <f>"יח"</f>
        <v>יח</v>
      </c>
      <c r="N482">
        <v>4</v>
      </c>
      <c r="O482" t="str">
        <f>"יח"</f>
        <v>יח</v>
      </c>
      <c r="P482">
        <v>174</v>
      </c>
      <c r="Q482" t="str">
        <f>"$"</f>
        <v>$</v>
      </c>
      <c r="R482" t="str">
        <f>"הזמנה"</f>
        <v>הזמנה</v>
      </c>
      <c r="S482">
        <v>0</v>
      </c>
      <c r="T482">
        <v>696</v>
      </c>
      <c r="U482">
        <v>0</v>
      </c>
      <c r="V482">
        <v>696</v>
      </c>
      <c r="W482" t="str">
        <f>"$"</f>
        <v>$</v>
      </c>
      <c r="X482">
        <v>0</v>
      </c>
      <c r="Y482">
        <v>0</v>
      </c>
      <c r="Z482">
        <v>0</v>
      </c>
      <c r="AA482" t="str">
        <f>"Y"</f>
        <v>Y</v>
      </c>
      <c r="AB482" t="str">
        <f>"SO20000532"</f>
        <v>SO20000532</v>
      </c>
      <c r="AC482">
        <v>9</v>
      </c>
      <c r="AD482" s="1">
        <v>44155</v>
      </c>
      <c r="AE482" t="str">
        <f>"SH23000712"</f>
        <v>SH23000712</v>
      </c>
      <c r="AF482" t="str">
        <f>"משלוחים ללקוח"</f>
        <v>משלוחים ללקוח</v>
      </c>
      <c r="AG482" s="1">
        <v>45089</v>
      </c>
      <c r="AM482" t="str">
        <f>"10"</f>
        <v>10</v>
      </c>
      <c r="AN482" t="str">
        <f>"500000"</f>
        <v>500000</v>
      </c>
      <c r="AO482" t="str">
        <f>"הכנסות  מלקוחות"</f>
        <v>הכנסות  מלקוחות</v>
      </c>
      <c r="AQ482" t="str">
        <f>"034"</f>
        <v>034</v>
      </c>
      <c r="AR482">
        <v>0</v>
      </c>
      <c r="AS482">
        <v>0</v>
      </c>
      <c r="AT482">
        <v>3.6019999999999999</v>
      </c>
      <c r="AX482" t="str">
        <f>"E000321177"</f>
        <v>E000321177</v>
      </c>
      <c r="BD482" t="str">
        <f>"ערן שלו"</f>
        <v>ערן שלו</v>
      </c>
    </row>
    <row r="483" spans="1:56" x14ac:dyDescent="0.3">
      <c r="A483" s="1">
        <v>45096</v>
      </c>
      <c r="B483" t="str">
        <f>"SI236000831"</f>
        <v>SI236000831</v>
      </c>
      <c r="C483" t="str">
        <f>"PR20000834"</f>
        <v>PR20000834</v>
      </c>
      <c r="D483" t="str">
        <f>"PR20000834"</f>
        <v>PR20000834</v>
      </c>
      <c r="E483" t="str">
        <f>"Y"</f>
        <v>Y</v>
      </c>
      <c r="F483" t="str">
        <f>"חשבוניות מרכזות"</f>
        <v>חשבוניות מרכזות</v>
      </c>
      <c r="G483" t="str">
        <f>"700065"</f>
        <v>700065</v>
      </c>
      <c r="H483" t="str">
        <f>"אלתא מערכות בע""מ"</f>
        <v>אלתא מערכות בע"מ</v>
      </c>
      <c r="I483" t="str">
        <f>"10"</f>
        <v>10</v>
      </c>
      <c r="J483" t="str">
        <f>"OP-AR02104"</f>
        <v>OP-AR02104</v>
      </c>
      <c r="K483" t="str">
        <f>"1032F921-001/-   ETHERNET CABLE MFR-W921 - FILTE"</f>
        <v>1032F921-001/-   ETHERNET CABLE MFR-W921 - FILTE</v>
      </c>
      <c r="L483">
        <v>4</v>
      </c>
      <c r="M483" t="str">
        <f>"יח"</f>
        <v>יח</v>
      </c>
      <c r="N483">
        <v>4</v>
      </c>
      <c r="O483" t="str">
        <f>"יח"</f>
        <v>יח</v>
      </c>
      <c r="P483">
        <v>174</v>
      </c>
      <c r="Q483" t="str">
        <f>"$"</f>
        <v>$</v>
      </c>
      <c r="R483" t="str">
        <f>"הזמנה"</f>
        <v>הזמנה</v>
      </c>
      <c r="S483">
        <v>0</v>
      </c>
      <c r="T483">
        <v>696</v>
      </c>
      <c r="U483">
        <v>0</v>
      </c>
      <c r="V483">
        <v>696</v>
      </c>
      <c r="W483" t="str">
        <f>"$"</f>
        <v>$</v>
      </c>
      <c r="X483">
        <v>0</v>
      </c>
      <c r="Y483">
        <v>0</v>
      </c>
      <c r="Z483">
        <v>0</v>
      </c>
      <c r="AA483" t="str">
        <f>"Y"</f>
        <v>Y</v>
      </c>
      <c r="AB483" t="str">
        <f>"SO20000532"</f>
        <v>SO20000532</v>
      </c>
      <c r="AC483">
        <v>10</v>
      </c>
      <c r="AD483" s="1">
        <v>44155</v>
      </c>
      <c r="AE483" t="str">
        <f>"SH23000712"</f>
        <v>SH23000712</v>
      </c>
      <c r="AF483" t="str">
        <f>"משלוחים ללקוח"</f>
        <v>משלוחים ללקוח</v>
      </c>
      <c r="AG483" s="1">
        <v>45089</v>
      </c>
      <c r="AM483" t="str">
        <f>"10"</f>
        <v>10</v>
      </c>
      <c r="AN483" t="str">
        <f>"500000"</f>
        <v>500000</v>
      </c>
      <c r="AO483" t="str">
        <f>"הכנסות  מלקוחות"</f>
        <v>הכנסות  מלקוחות</v>
      </c>
      <c r="AQ483" t="str">
        <f>"034"</f>
        <v>034</v>
      </c>
      <c r="AR483">
        <v>0</v>
      </c>
      <c r="AS483">
        <v>0</v>
      </c>
      <c r="AT483">
        <v>3.6019999999999999</v>
      </c>
      <c r="AX483" t="str">
        <f>"E000321177"</f>
        <v>E000321177</v>
      </c>
      <c r="BD483" t="str">
        <f>"ערן שלו"</f>
        <v>ערן שלו</v>
      </c>
    </row>
    <row r="484" spans="1:56" x14ac:dyDescent="0.3">
      <c r="A484" s="1">
        <v>45096</v>
      </c>
      <c r="B484" t="str">
        <f>"SI236000831"</f>
        <v>SI236000831</v>
      </c>
      <c r="C484" t="str">
        <f>"PR20000834"</f>
        <v>PR20000834</v>
      </c>
      <c r="D484" t="str">
        <f>"PR20000834"</f>
        <v>PR20000834</v>
      </c>
      <c r="E484" t="str">
        <f>"Y"</f>
        <v>Y</v>
      </c>
      <c r="F484" t="str">
        <f>"חשבוניות מרכזות"</f>
        <v>חשבוניות מרכזות</v>
      </c>
      <c r="G484" t="str">
        <f>"700065"</f>
        <v>700065</v>
      </c>
      <c r="H484" t="str">
        <f>"אלתא מערכות בע""מ"</f>
        <v>אלתא מערכות בע"מ</v>
      </c>
      <c r="I484" t="str">
        <f>"10"</f>
        <v>10</v>
      </c>
      <c r="J484" t="str">
        <f>"OP-AR02105"</f>
        <v>OP-AR02105</v>
      </c>
      <c r="K484" t="str">
        <f>"1032F922-001/-   ETHERNET CABLE MFR-W922 - FILTE"</f>
        <v>1032F922-001/-   ETHERNET CABLE MFR-W922 - FILTE</v>
      </c>
      <c r="L484">
        <v>4</v>
      </c>
      <c r="M484" t="str">
        <f>"יח"</f>
        <v>יח</v>
      </c>
      <c r="N484">
        <v>4</v>
      </c>
      <c r="O484" t="str">
        <f>"יח"</f>
        <v>יח</v>
      </c>
      <c r="P484">
        <v>174</v>
      </c>
      <c r="Q484" t="str">
        <f>"$"</f>
        <v>$</v>
      </c>
      <c r="R484" t="str">
        <f>"הזמנה"</f>
        <v>הזמנה</v>
      </c>
      <c r="S484">
        <v>0</v>
      </c>
      <c r="T484">
        <v>696</v>
      </c>
      <c r="U484">
        <v>0</v>
      </c>
      <c r="V484">
        <v>696</v>
      </c>
      <c r="W484" t="str">
        <f>"$"</f>
        <v>$</v>
      </c>
      <c r="X484">
        <v>0</v>
      </c>
      <c r="Y484">
        <v>0</v>
      </c>
      <c r="Z484">
        <v>0</v>
      </c>
      <c r="AA484" t="str">
        <f>"Y"</f>
        <v>Y</v>
      </c>
      <c r="AB484" t="str">
        <f>"SO20000532"</f>
        <v>SO20000532</v>
      </c>
      <c r="AC484">
        <v>15</v>
      </c>
      <c r="AD484" s="1">
        <v>44155</v>
      </c>
      <c r="AE484" t="str">
        <f>"SH23000712"</f>
        <v>SH23000712</v>
      </c>
      <c r="AF484" t="str">
        <f>"משלוחים ללקוח"</f>
        <v>משלוחים ללקוח</v>
      </c>
      <c r="AG484" s="1">
        <v>45089</v>
      </c>
      <c r="AM484" t="str">
        <f>"10"</f>
        <v>10</v>
      </c>
      <c r="AN484" t="str">
        <f>"500000"</f>
        <v>500000</v>
      </c>
      <c r="AO484" t="str">
        <f>"הכנסות  מלקוחות"</f>
        <v>הכנסות  מלקוחות</v>
      </c>
      <c r="AQ484" t="str">
        <f>"034"</f>
        <v>034</v>
      </c>
      <c r="AR484">
        <v>0</v>
      </c>
      <c r="AS484">
        <v>0</v>
      </c>
      <c r="AT484">
        <v>3.6019999999999999</v>
      </c>
      <c r="AX484" t="str">
        <f>"E000321177"</f>
        <v>E000321177</v>
      </c>
      <c r="BD484" t="str">
        <f>"ערן שלו"</f>
        <v>ערן שלו</v>
      </c>
    </row>
    <row r="485" spans="1:56" x14ac:dyDescent="0.3">
      <c r="A485" s="1">
        <v>45096</v>
      </c>
      <c r="B485" t="str">
        <f>"SI236000831"</f>
        <v>SI236000831</v>
      </c>
      <c r="C485" t="str">
        <f>"PR20000834"</f>
        <v>PR20000834</v>
      </c>
      <c r="D485" t="str">
        <f>"PR20000834"</f>
        <v>PR20000834</v>
      </c>
      <c r="E485" t="str">
        <f>"Y"</f>
        <v>Y</v>
      </c>
      <c r="F485" t="str">
        <f>"חשבוניות מרכזות"</f>
        <v>חשבוניות מרכזות</v>
      </c>
      <c r="G485" t="str">
        <f>"700065"</f>
        <v>700065</v>
      </c>
      <c r="H485" t="str">
        <f>"אלתא מערכות בע""מ"</f>
        <v>אלתא מערכות בע"מ</v>
      </c>
      <c r="I485" t="str">
        <f>"10"</f>
        <v>10</v>
      </c>
      <c r="J485" t="str">
        <f>"OP-AR02105"</f>
        <v>OP-AR02105</v>
      </c>
      <c r="K485" t="str">
        <f>"1032F922-001/-   ETHERNET CABLE MFR-W922 - FILTE"</f>
        <v>1032F922-001/-   ETHERNET CABLE MFR-W922 - FILTE</v>
      </c>
      <c r="L485">
        <v>4</v>
      </c>
      <c r="M485" t="str">
        <f>"יח"</f>
        <v>יח</v>
      </c>
      <c r="N485">
        <v>4</v>
      </c>
      <c r="O485" t="str">
        <f>"יח"</f>
        <v>יח</v>
      </c>
      <c r="P485">
        <v>174</v>
      </c>
      <c r="Q485" t="str">
        <f>"$"</f>
        <v>$</v>
      </c>
      <c r="R485" t="str">
        <f>"הזמנה"</f>
        <v>הזמנה</v>
      </c>
      <c r="S485">
        <v>0</v>
      </c>
      <c r="T485">
        <v>696</v>
      </c>
      <c r="U485">
        <v>0</v>
      </c>
      <c r="V485">
        <v>696</v>
      </c>
      <c r="W485" t="str">
        <f>"$"</f>
        <v>$</v>
      </c>
      <c r="X485">
        <v>0</v>
      </c>
      <c r="Y485">
        <v>0</v>
      </c>
      <c r="Z485">
        <v>0</v>
      </c>
      <c r="AA485" t="str">
        <f>"Y"</f>
        <v>Y</v>
      </c>
      <c r="AB485" t="str">
        <f>"SO20000532"</f>
        <v>SO20000532</v>
      </c>
      <c r="AC485">
        <v>16</v>
      </c>
      <c r="AD485" s="1">
        <v>44155</v>
      </c>
      <c r="AE485" t="str">
        <f>"SH23000712"</f>
        <v>SH23000712</v>
      </c>
      <c r="AF485" t="str">
        <f>"משלוחים ללקוח"</f>
        <v>משלוחים ללקוח</v>
      </c>
      <c r="AG485" s="1">
        <v>45089</v>
      </c>
      <c r="AM485" t="str">
        <f>"10"</f>
        <v>10</v>
      </c>
      <c r="AN485" t="str">
        <f>"500000"</f>
        <v>500000</v>
      </c>
      <c r="AO485" t="str">
        <f>"הכנסות  מלקוחות"</f>
        <v>הכנסות  מלקוחות</v>
      </c>
      <c r="AQ485" t="str">
        <f>"034"</f>
        <v>034</v>
      </c>
      <c r="AR485">
        <v>0</v>
      </c>
      <c r="AS485">
        <v>0</v>
      </c>
      <c r="AT485">
        <v>3.6019999999999999</v>
      </c>
      <c r="AX485" t="str">
        <f>"E000321177"</f>
        <v>E000321177</v>
      </c>
      <c r="BD485" t="str">
        <f>"ערן שלו"</f>
        <v>ערן שלו</v>
      </c>
    </row>
    <row r="486" spans="1:56" x14ac:dyDescent="0.3">
      <c r="A486" s="1">
        <v>45096</v>
      </c>
      <c r="B486" t="str">
        <f>"SI236000831"</f>
        <v>SI236000831</v>
      </c>
      <c r="C486" t="str">
        <f>"PR20000834"</f>
        <v>PR20000834</v>
      </c>
      <c r="D486" t="str">
        <f>"PR20000834"</f>
        <v>PR20000834</v>
      </c>
      <c r="E486" t="str">
        <f>"Y"</f>
        <v>Y</v>
      </c>
      <c r="F486" t="str">
        <f>"חשבוניות מרכזות"</f>
        <v>חשבוניות מרכזות</v>
      </c>
      <c r="G486" t="str">
        <f>"700065"</f>
        <v>700065</v>
      </c>
      <c r="H486" t="str">
        <f>"אלתא מערכות בע""מ"</f>
        <v>אלתא מערכות בע"מ</v>
      </c>
      <c r="I486" t="str">
        <f>"10"</f>
        <v>10</v>
      </c>
      <c r="J486" t="str">
        <f>"OP-AR02106"</f>
        <v>OP-AR02106</v>
      </c>
      <c r="K486" t="str">
        <f>"1032F923-001/-   ETHERNET CABLE MFR-W923 - FILTE"</f>
        <v>1032F923-001/-   ETHERNET CABLE MFR-W923 - FILTE</v>
      </c>
      <c r="L486">
        <v>4</v>
      </c>
      <c r="M486" t="str">
        <f>"יח"</f>
        <v>יח</v>
      </c>
      <c r="N486">
        <v>4</v>
      </c>
      <c r="O486" t="str">
        <f>"יח"</f>
        <v>יח</v>
      </c>
      <c r="P486">
        <v>174</v>
      </c>
      <c r="Q486" t="str">
        <f>"$"</f>
        <v>$</v>
      </c>
      <c r="R486" t="str">
        <f>"הזמנה"</f>
        <v>הזמנה</v>
      </c>
      <c r="S486">
        <v>0</v>
      </c>
      <c r="T486">
        <v>696</v>
      </c>
      <c r="U486">
        <v>0</v>
      </c>
      <c r="V486">
        <v>696</v>
      </c>
      <c r="W486" t="str">
        <f>"$"</f>
        <v>$</v>
      </c>
      <c r="X486">
        <v>0</v>
      </c>
      <c r="Y486">
        <v>0</v>
      </c>
      <c r="Z486">
        <v>0</v>
      </c>
      <c r="AA486" t="str">
        <f>"Y"</f>
        <v>Y</v>
      </c>
      <c r="AB486" t="str">
        <f>"SO20000532"</f>
        <v>SO20000532</v>
      </c>
      <c r="AC486">
        <v>21</v>
      </c>
      <c r="AD486" s="1">
        <v>44155</v>
      </c>
      <c r="AE486" t="str">
        <f>"SH23000712"</f>
        <v>SH23000712</v>
      </c>
      <c r="AF486" t="str">
        <f>"משלוחים ללקוח"</f>
        <v>משלוחים ללקוח</v>
      </c>
      <c r="AG486" s="1">
        <v>45089</v>
      </c>
      <c r="AM486" t="str">
        <f>"10"</f>
        <v>10</v>
      </c>
      <c r="AN486" t="str">
        <f>"500000"</f>
        <v>500000</v>
      </c>
      <c r="AO486" t="str">
        <f>"הכנסות  מלקוחות"</f>
        <v>הכנסות  מלקוחות</v>
      </c>
      <c r="AQ486" t="str">
        <f>"034"</f>
        <v>034</v>
      </c>
      <c r="AR486">
        <v>0</v>
      </c>
      <c r="AS486">
        <v>0</v>
      </c>
      <c r="AT486">
        <v>3.6019999999999999</v>
      </c>
      <c r="AX486" t="str">
        <f>"E000321177"</f>
        <v>E000321177</v>
      </c>
      <c r="BD486" t="str">
        <f>"ערן שלו"</f>
        <v>ערן שלו</v>
      </c>
    </row>
    <row r="487" spans="1:56" x14ac:dyDescent="0.3">
      <c r="A487" s="1">
        <v>45096</v>
      </c>
      <c r="B487" t="str">
        <f>"SI236000831"</f>
        <v>SI236000831</v>
      </c>
      <c r="C487" t="str">
        <f>"PR20000834"</f>
        <v>PR20000834</v>
      </c>
      <c r="D487" t="str">
        <f>"PR20000834"</f>
        <v>PR20000834</v>
      </c>
      <c r="E487" t="str">
        <f>"Y"</f>
        <v>Y</v>
      </c>
      <c r="F487" t="str">
        <f>"חשבוניות מרכזות"</f>
        <v>חשבוניות מרכזות</v>
      </c>
      <c r="G487" t="str">
        <f>"700065"</f>
        <v>700065</v>
      </c>
      <c r="H487" t="str">
        <f>"אלתא מערכות בע""מ"</f>
        <v>אלתא מערכות בע"מ</v>
      </c>
      <c r="I487" t="str">
        <f>"10"</f>
        <v>10</v>
      </c>
      <c r="J487" t="str">
        <f>"OP-AR02106"</f>
        <v>OP-AR02106</v>
      </c>
      <c r="K487" t="str">
        <f>"1032F923-001/-   ETHERNET CABLE MFR-W923 - FILTE"</f>
        <v>1032F923-001/-   ETHERNET CABLE MFR-W923 - FILTE</v>
      </c>
      <c r="L487">
        <v>4</v>
      </c>
      <c r="M487" t="str">
        <f>"יח"</f>
        <v>יח</v>
      </c>
      <c r="N487">
        <v>4</v>
      </c>
      <c r="O487" t="str">
        <f>"יח"</f>
        <v>יח</v>
      </c>
      <c r="P487">
        <v>174</v>
      </c>
      <c r="Q487" t="str">
        <f>"$"</f>
        <v>$</v>
      </c>
      <c r="R487" t="str">
        <f>"הזמנה"</f>
        <v>הזמנה</v>
      </c>
      <c r="S487">
        <v>0</v>
      </c>
      <c r="T487">
        <v>696</v>
      </c>
      <c r="U487">
        <v>0</v>
      </c>
      <c r="V487">
        <v>696</v>
      </c>
      <c r="W487" t="str">
        <f>"$"</f>
        <v>$</v>
      </c>
      <c r="X487">
        <v>0</v>
      </c>
      <c r="Y487">
        <v>0</v>
      </c>
      <c r="Z487">
        <v>0</v>
      </c>
      <c r="AA487" t="str">
        <f>"Y"</f>
        <v>Y</v>
      </c>
      <c r="AB487" t="str">
        <f>"SO20000532"</f>
        <v>SO20000532</v>
      </c>
      <c r="AC487">
        <v>22</v>
      </c>
      <c r="AD487" s="1">
        <v>44155</v>
      </c>
      <c r="AE487" t="str">
        <f>"SH23000712"</f>
        <v>SH23000712</v>
      </c>
      <c r="AF487" t="str">
        <f>"משלוחים ללקוח"</f>
        <v>משלוחים ללקוח</v>
      </c>
      <c r="AG487" s="1">
        <v>45089</v>
      </c>
      <c r="AM487" t="str">
        <f>"10"</f>
        <v>10</v>
      </c>
      <c r="AN487" t="str">
        <f>"500000"</f>
        <v>500000</v>
      </c>
      <c r="AO487" t="str">
        <f>"הכנסות  מלקוחות"</f>
        <v>הכנסות  מלקוחות</v>
      </c>
      <c r="AQ487" t="str">
        <f>"034"</f>
        <v>034</v>
      </c>
      <c r="AR487">
        <v>0</v>
      </c>
      <c r="AS487">
        <v>0</v>
      </c>
      <c r="AT487">
        <v>3.6019999999999999</v>
      </c>
      <c r="AX487" t="str">
        <f>"E000321177"</f>
        <v>E000321177</v>
      </c>
      <c r="BD487" t="str">
        <f>"ערן שלו"</f>
        <v>ערן שלו</v>
      </c>
    </row>
    <row r="488" spans="1:56" x14ac:dyDescent="0.3">
      <c r="A488" s="1">
        <v>45096</v>
      </c>
      <c r="B488" t="str">
        <f>"SI236000831"</f>
        <v>SI236000831</v>
      </c>
      <c r="C488" t="str">
        <f>"PR20000834"</f>
        <v>PR20000834</v>
      </c>
      <c r="D488" t="str">
        <f>"PR20000834"</f>
        <v>PR20000834</v>
      </c>
      <c r="E488" t="str">
        <f>"Y"</f>
        <v>Y</v>
      </c>
      <c r="F488" t="str">
        <f>"חשבוניות מרכזות"</f>
        <v>חשבוניות מרכזות</v>
      </c>
      <c r="G488" t="str">
        <f>"700065"</f>
        <v>700065</v>
      </c>
      <c r="H488" t="str">
        <f>"אלתא מערכות בע""מ"</f>
        <v>אלתא מערכות בע"מ</v>
      </c>
      <c r="I488" t="str">
        <f>"10"</f>
        <v>10</v>
      </c>
      <c r="J488" t="str">
        <f>"OP-AR02107"</f>
        <v>OP-AR02107</v>
      </c>
      <c r="K488" t="str">
        <f>"1032F924-001/-   ETHERNET CABLE MFR-W924 - FILTE"</f>
        <v>1032F924-001/-   ETHERNET CABLE MFR-W924 - FILTE</v>
      </c>
      <c r="L488">
        <v>4</v>
      </c>
      <c r="M488" t="str">
        <f>"יח"</f>
        <v>יח</v>
      </c>
      <c r="N488">
        <v>4</v>
      </c>
      <c r="O488" t="str">
        <f>"יח"</f>
        <v>יח</v>
      </c>
      <c r="P488">
        <v>174</v>
      </c>
      <c r="Q488" t="str">
        <f>"$"</f>
        <v>$</v>
      </c>
      <c r="R488" t="str">
        <f>"הזמנה"</f>
        <v>הזמנה</v>
      </c>
      <c r="S488">
        <v>0</v>
      </c>
      <c r="T488">
        <v>696</v>
      </c>
      <c r="U488">
        <v>0</v>
      </c>
      <c r="V488">
        <v>696</v>
      </c>
      <c r="W488" t="str">
        <f>"$"</f>
        <v>$</v>
      </c>
      <c r="X488">
        <v>0</v>
      </c>
      <c r="Y488">
        <v>0</v>
      </c>
      <c r="Z488">
        <v>0</v>
      </c>
      <c r="AA488" t="str">
        <f>"Y"</f>
        <v>Y</v>
      </c>
      <c r="AB488" t="str">
        <f>"SO20000532"</f>
        <v>SO20000532</v>
      </c>
      <c r="AC488">
        <v>27</v>
      </c>
      <c r="AD488" s="1">
        <v>44155</v>
      </c>
      <c r="AE488" t="str">
        <f>"SH23000712"</f>
        <v>SH23000712</v>
      </c>
      <c r="AF488" t="str">
        <f>"משלוחים ללקוח"</f>
        <v>משלוחים ללקוח</v>
      </c>
      <c r="AG488" s="1">
        <v>45089</v>
      </c>
      <c r="AM488" t="str">
        <f>"10"</f>
        <v>10</v>
      </c>
      <c r="AN488" t="str">
        <f>"500000"</f>
        <v>500000</v>
      </c>
      <c r="AO488" t="str">
        <f>"הכנסות  מלקוחות"</f>
        <v>הכנסות  מלקוחות</v>
      </c>
      <c r="AQ488" t="str">
        <f>"034"</f>
        <v>034</v>
      </c>
      <c r="AR488">
        <v>0</v>
      </c>
      <c r="AS488">
        <v>0</v>
      </c>
      <c r="AT488">
        <v>3.6019999999999999</v>
      </c>
      <c r="AX488" t="str">
        <f>"E000321177"</f>
        <v>E000321177</v>
      </c>
      <c r="BD488" t="str">
        <f>"ערן שלו"</f>
        <v>ערן שלו</v>
      </c>
    </row>
    <row r="489" spans="1:56" x14ac:dyDescent="0.3">
      <c r="A489" s="1">
        <v>45096</v>
      </c>
      <c r="B489" t="str">
        <f>"SI236000831"</f>
        <v>SI236000831</v>
      </c>
      <c r="C489" t="str">
        <f>"PR20000834"</f>
        <v>PR20000834</v>
      </c>
      <c r="D489" t="str">
        <f>"PR20000834"</f>
        <v>PR20000834</v>
      </c>
      <c r="E489" t="str">
        <f>"Y"</f>
        <v>Y</v>
      </c>
      <c r="F489" t="str">
        <f>"חשבוניות מרכזות"</f>
        <v>חשבוניות מרכזות</v>
      </c>
      <c r="G489" t="str">
        <f>"700065"</f>
        <v>700065</v>
      </c>
      <c r="H489" t="str">
        <f>"אלתא מערכות בע""מ"</f>
        <v>אלתא מערכות בע"מ</v>
      </c>
      <c r="I489" t="str">
        <f>"10"</f>
        <v>10</v>
      </c>
      <c r="J489" t="str">
        <f>"OP-AR02107"</f>
        <v>OP-AR02107</v>
      </c>
      <c r="K489" t="str">
        <f>"1032F924-001/-   ETHERNET CABLE MFR-W924 - FILTE"</f>
        <v>1032F924-001/-   ETHERNET CABLE MFR-W924 - FILTE</v>
      </c>
      <c r="L489">
        <v>4</v>
      </c>
      <c r="M489" t="str">
        <f>"יח"</f>
        <v>יח</v>
      </c>
      <c r="N489">
        <v>4</v>
      </c>
      <c r="O489" t="str">
        <f>"יח"</f>
        <v>יח</v>
      </c>
      <c r="P489">
        <v>174</v>
      </c>
      <c r="Q489" t="str">
        <f>"$"</f>
        <v>$</v>
      </c>
      <c r="R489" t="str">
        <f>"הזמנה"</f>
        <v>הזמנה</v>
      </c>
      <c r="S489">
        <v>0</v>
      </c>
      <c r="T489">
        <v>696</v>
      </c>
      <c r="U489">
        <v>0</v>
      </c>
      <c r="V489">
        <v>696</v>
      </c>
      <c r="W489" t="str">
        <f>"$"</f>
        <v>$</v>
      </c>
      <c r="X489">
        <v>0</v>
      </c>
      <c r="Y489">
        <v>0</v>
      </c>
      <c r="Z489">
        <v>0</v>
      </c>
      <c r="AA489" t="str">
        <f>"Y"</f>
        <v>Y</v>
      </c>
      <c r="AB489" t="str">
        <f>"SO20000532"</f>
        <v>SO20000532</v>
      </c>
      <c r="AC489">
        <v>28</v>
      </c>
      <c r="AD489" s="1">
        <v>44155</v>
      </c>
      <c r="AE489" t="str">
        <f>"SH23000712"</f>
        <v>SH23000712</v>
      </c>
      <c r="AF489" t="str">
        <f>"משלוחים ללקוח"</f>
        <v>משלוחים ללקוח</v>
      </c>
      <c r="AG489" s="1">
        <v>45089</v>
      </c>
      <c r="AM489" t="str">
        <f>"10"</f>
        <v>10</v>
      </c>
      <c r="AN489" t="str">
        <f>"500000"</f>
        <v>500000</v>
      </c>
      <c r="AO489" t="str">
        <f>"הכנסות  מלקוחות"</f>
        <v>הכנסות  מלקוחות</v>
      </c>
      <c r="AQ489" t="str">
        <f>"034"</f>
        <v>034</v>
      </c>
      <c r="AR489">
        <v>0</v>
      </c>
      <c r="AS489">
        <v>0</v>
      </c>
      <c r="AT489">
        <v>3.6019999999999999</v>
      </c>
      <c r="AX489" t="str">
        <f>"E000321177"</f>
        <v>E000321177</v>
      </c>
      <c r="BD489" t="str">
        <f>"ערן שלו"</f>
        <v>ערן שלו</v>
      </c>
    </row>
    <row r="490" spans="1:56" x14ac:dyDescent="0.3">
      <c r="A490" s="1">
        <v>45096</v>
      </c>
      <c r="B490" t="str">
        <f>"SI236000831"</f>
        <v>SI236000831</v>
      </c>
      <c r="C490" t="str">
        <f>"PR20000834"</f>
        <v>PR20000834</v>
      </c>
      <c r="D490" t="str">
        <f>"PR20000834"</f>
        <v>PR20000834</v>
      </c>
      <c r="E490" t="str">
        <f>"Y"</f>
        <v>Y</v>
      </c>
      <c r="F490" t="str">
        <f>"חשבוניות מרכזות"</f>
        <v>חשבוניות מרכזות</v>
      </c>
      <c r="G490" t="str">
        <f>"700065"</f>
        <v>700065</v>
      </c>
      <c r="H490" t="str">
        <f>"אלתא מערכות בע""מ"</f>
        <v>אלתא מערכות בע"מ</v>
      </c>
      <c r="I490" t="str">
        <f>"10"</f>
        <v>10</v>
      </c>
      <c r="J490" t="str">
        <f>"OP-AR02108"</f>
        <v>OP-AR02108</v>
      </c>
      <c r="K490" t="str">
        <f>"1032F925-001/-   ETHERNET CABLE MFR-W925 - FILTE"</f>
        <v>1032F925-001/-   ETHERNET CABLE MFR-W925 - FILTE</v>
      </c>
      <c r="L490">
        <v>4</v>
      </c>
      <c r="M490" t="str">
        <f>"יח"</f>
        <v>יח</v>
      </c>
      <c r="N490">
        <v>4</v>
      </c>
      <c r="O490" t="str">
        <f>"יח"</f>
        <v>יח</v>
      </c>
      <c r="P490">
        <v>174</v>
      </c>
      <c r="Q490" t="str">
        <f>"$"</f>
        <v>$</v>
      </c>
      <c r="R490" t="str">
        <f>"הזמנה"</f>
        <v>הזמנה</v>
      </c>
      <c r="S490">
        <v>0</v>
      </c>
      <c r="T490">
        <v>696</v>
      </c>
      <c r="U490">
        <v>0</v>
      </c>
      <c r="V490">
        <v>696</v>
      </c>
      <c r="W490" t="str">
        <f>"$"</f>
        <v>$</v>
      </c>
      <c r="X490">
        <v>0</v>
      </c>
      <c r="Y490">
        <v>0</v>
      </c>
      <c r="Z490">
        <v>0</v>
      </c>
      <c r="AA490" t="str">
        <f>"Y"</f>
        <v>Y</v>
      </c>
      <c r="AB490" t="str">
        <f>"SO20000532"</f>
        <v>SO20000532</v>
      </c>
      <c r="AC490">
        <v>33</v>
      </c>
      <c r="AD490" s="1">
        <v>44155</v>
      </c>
      <c r="AE490" t="str">
        <f>"SH23000712"</f>
        <v>SH23000712</v>
      </c>
      <c r="AF490" t="str">
        <f>"משלוחים ללקוח"</f>
        <v>משלוחים ללקוח</v>
      </c>
      <c r="AG490" s="1">
        <v>45089</v>
      </c>
      <c r="AM490" t="str">
        <f>"10"</f>
        <v>10</v>
      </c>
      <c r="AN490" t="str">
        <f>"500000"</f>
        <v>500000</v>
      </c>
      <c r="AO490" t="str">
        <f>"הכנסות  מלקוחות"</f>
        <v>הכנסות  מלקוחות</v>
      </c>
      <c r="AQ490" t="str">
        <f>"034"</f>
        <v>034</v>
      </c>
      <c r="AR490">
        <v>0</v>
      </c>
      <c r="AS490">
        <v>0</v>
      </c>
      <c r="AT490">
        <v>3.6019999999999999</v>
      </c>
      <c r="AX490" t="str">
        <f>"E000321177"</f>
        <v>E000321177</v>
      </c>
      <c r="BD490" t="str">
        <f>"ערן שלו"</f>
        <v>ערן שלו</v>
      </c>
    </row>
    <row r="491" spans="1:56" x14ac:dyDescent="0.3">
      <c r="A491" s="1">
        <v>45096</v>
      </c>
      <c r="B491" t="str">
        <f>"SI236000831"</f>
        <v>SI236000831</v>
      </c>
      <c r="C491" t="str">
        <f>"PR20000834"</f>
        <v>PR20000834</v>
      </c>
      <c r="D491" t="str">
        <f>"PR20000834"</f>
        <v>PR20000834</v>
      </c>
      <c r="E491" t="str">
        <f>"Y"</f>
        <v>Y</v>
      </c>
      <c r="F491" t="str">
        <f>"חשבוניות מרכזות"</f>
        <v>חשבוניות מרכזות</v>
      </c>
      <c r="G491" t="str">
        <f>"700065"</f>
        <v>700065</v>
      </c>
      <c r="H491" t="str">
        <f>"אלתא מערכות בע""מ"</f>
        <v>אלתא מערכות בע"מ</v>
      </c>
      <c r="I491" t="str">
        <f>"10"</f>
        <v>10</v>
      </c>
      <c r="J491" t="str">
        <f>"OP-AR02108"</f>
        <v>OP-AR02108</v>
      </c>
      <c r="K491" t="str">
        <f>"1032F925-001/-   ETHERNET CABLE MFR-W925 - FILTE"</f>
        <v>1032F925-001/-   ETHERNET CABLE MFR-W925 - FILTE</v>
      </c>
      <c r="L491">
        <v>4</v>
      </c>
      <c r="M491" t="str">
        <f>"יח"</f>
        <v>יח</v>
      </c>
      <c r="N491">
        <v>4</v>
      </c>
      <c r="O491" t="str">
        <f>"יח"</f>
        <v>יח</v>
      </c>
      <c r="P491">
        <v>174</v>
      </c>
      <c r="Q491" t="str">
        <f>"$"</f>
        <v>$</v>
      </c>
      <c r="R491" t="str">
        <f>"הזמנה"</f>
        <v>הזמנה</v>
      </c>
      <c r="S491">
        <v>0</v>
      </c>
      <c r="T491">
        <v>696</v>
      </c>
      <c r="U491">
        <v>0</v>
      </c>
      <c r="V491">
        <v>696</v>
      </c>
      <c r="W491" t="str">
        <f>"$"</f>
        <v>$</v>
      </c>
      <c r="X491">
        <v>0</v>
      </c>
      <c r="Y491">
        <v>0</v>
      </c>
      <c r="Z491">
        <v>0</v>
      </c>
      <c r="AA491" t="str">
        <f>"Y"</f>
        <v>Y</v>
      </c>
      <c r="AB491" t="str">
        <f>"SO20000532"</f>
        <v>SO20000532</v>
      </c>
      <c r="AC491">
        <v>34</v>
      </c>
      <c r="AD491" s="1">
        <v>44155</v>
      </c>
      <c r="AE491" t="str">
        <f>"SH23000712"</f>
        <v>SH23000712</v>
      </c>
      <c r="AF491" t="str">
        <f>"משלוחים ללקוח"</f>
        <v>משלוחים ללקוח</v>
      </c>
      <c r="AG491" s="1">
        <v>45089</v>
      </c>
      <c r="AM491" t="str">
        <f>"10"</f>
        <v>10</v>
      </c>
      <c r="AN491" t="str">
        <f>"500000"</f>
        <v>500000</v>
      </c>
      <c r="AO491" t="str">
        <f>"הכנסות  מלקוחות"</f>
        <v>הכנסות  מלקוחות</v>
      </c>
      <c r="AQ491" t="str">
        <f>"034"</f>
        <v>034</v>
      </c>
      <c r="AR491">
        <v>0</v>
      </c>
      <c r="AS491">
        <v>0</v>
      </c>
      <c r="AT491">
        <v>3.6019999999999999</v>
      </c>
      <c r="AX491" t="str">
        <f>"E000321177"</f>
        <v>E000321177</v>
      </c>
      <c r="BD491" t="str">
        <f>"ערן שלו"</f>
        <v>ערן שלו</v>
      </c>
    </row>
    <row r="492" spans="1:56" x14ac:dyDescent="0.3">
      <c r="A492" s="1">
        <v>45096</v>
      </c>
      <c r="B492" t="str">
        <f>"SI236000831"</f>
        <v>SI236000831</v>
      </c>
      <c r="C492" t="str">
        <f>"PR20000834"</f>
        <v>PR20000834</v>
      </c>
      <c r="D492" t="str">
        <f>"PR20000834"</f>
        <v>PR20000834</v>
      </c>
      <c r="E492" t="str">
        <f>"Y"</f>
        <v>Y</v>
      </c>
      <c r="F492" t="str">
        <f>"חשבוניות מרכזות"</f>
        <v>חשבוניות מרכזות</v>
      </c>
      <c r="G492" t="str">
        <f>"700065"</f>
        <v>700065</v>
      </c>
      <c r="H492" t="str">
        <f>"אלתא מערכות בע""מ"</f>
        <v>אלתא מערכות בע"מ</v>
      </c>
      <c r="I492" t="str">
        <f>"10"</f>
        <v>10</v>
      </c>
      <c r="J492" t="str">
        <f>"OP-AR02109"</f>
        <v>OP-AR02109</v>
      </c>
      <c r="K492" t="str">
        <f>"1032F926-001/-   ETHERNET CABLE MFR-W926 - FILTE"</f>
        <v>1032F926-001/-   ETHERNET CABLE MFR-W926 - FILTE</v>
      </c>
      <c r="L492">
        <v>4</v>
      </c>
      <c r="M492" t="str">
        <f>"יח"</f>
        <v>יח</v>
      </c>
      <c r="N492">
        <v>4</v>
      </c>
      <c r="O492" t="str">
        <f>"יח"</f>
        <v>יח</v>
      </c>
      <c r="P492">
        <v>174</v>
      </c>
      <c r="Q492" t="str">
        <f>"$"</f>
        <v>$</v>
      </c>
      <c r="R492" t="str">
        <f>"הזמנה"</f>
        <v>הזמנה</v>
      </c>
      <c r="S492">
        <v>0</v>
      </c>
      <c r="T492">
        <v>696</v>
      </c>
      <c r="U492">
        <v>0</v>
      </c>
      <c r="V492">
        <v>696</v>
      </c>
      <c r="W492" t="str">
        <f>"$"</f>
        <v>$</v>
      </c>
      <c r="X492">
        <v>0</v>
      </c>
      <c r="Y492">
        <v>0</v>
      </c>
      <c r="Z492">
        <v>0</v>
      </c>
      <c r="AA492" t="str">
        <f>"Y"</f>
        <v>Y</v>
      </c>
      <c r="AB492" t="str">
        <f>"SO20000532"</f>
        <v>SO20000532</v>
      </c>
      <c r="AC492">
        <v>39</v>
      </c>
      <c r="AD492" s="1">
        <v>44155</v>
      </c>
      <c r="AE492" t="str">
        <f>"SH23000712"</f>
        <v>SH23000712</v>
      </c>
      <c r="AF492" t="str">
        <f>"משלוחים ללקוח"</f>
        <v>משלוחים ללקוח</v>
      </c>
      <c r="AG492" s="1">
        <v>45089</v>
      </c>
      <c r="AM492" t="str">
        <f>"10"</f>
        <v>10</v>
      </c>
      <c r="AN492" t="str">
        <f>"500000"</f>
        <v>500000</v>
      </c>
      <c r="AO492" t="str">
        <f>"הכנסות  מלקוחות"</f>
        <v>הכנסות  מלקוחות</v>
      </c>
      <c r="AQ492" t="str">
        <f>"034"</f>
        <v>034</v>
      </c>
      <c r="AR492">
        <v>0</v>
      </c>
      <c r="AS492">
        <v>0</v>
      </c>
      <c r="AT492">
        <v>3.6019999999999999</v>
      </c>
      <c r="AX492" t="str">
        <f>"E000321177"</f>
        <v>E000321177</v>
      </c>
      <c r="BD492" t="str">
        <f>"ערן שלו"</f>
        <v>ערן שלו</v>
      </c>
    </row>
    <row r="493" spans="1:56" x14ac:dyDescent="0.3">
      <c r="A493" s="1">
        <v>45096</v>
      </c>
      <c r="B493" t="str">
        <f>"SI236000831"</f>
        <v>SI236000831</v>
      </c>
      <c r="C493" t="str">
        <f>"PR20000834"</f>
        <v>PR20000834</v>
      </c>
      <c r="D493" t="str">
        <f>"PR20000834"</f>
        <v>PR20000834</v>
      </c>
      <c r="E493" t="str">
        <f>"Y"</f>
        <v>Y</v>
      </c>
      <c r="F493" t="str">
        <f>"חשבוניות מרכזות"</f>
        <v>חשבוניות מרכזות</v>
      </c>
      <c r="G493" t="str">
        <f>"700065"</f>
        <v>700065</v>
      </c>
      <c r="H493" t="str">
        <f>"אלתא מערכות בע""מ"</f>
        <v>אלתא מערכות בע"מ</v>
      </c>
      <c r="I493" t="str">
        <f>"10"</f>
        <v>10</v>
      </c>
      <c r="J493" t="str">
        <f>"OP-AR02109"</f>
        <v>OP-AR02109</v>
      </c>
      <c r="K493" t="str">
        <f>"1032F926-001/-   ETHERNET CABLE MFR-W926 - FILTE"</f>
        <v>1032F926-001/-   ETHERNET CABLE MFR-W926 - FILTE</v>
      </c>
      <c r="L493">
        <v>4</v>
      </c>
      <c r="M493" t="str">
        <f>"יח"</f>
        <v>יח</v>
      </c>
      <c r="N493">
        <v>4</v>
      </c>
      <c r="O493" t="str">
        <f>"יח"</f>
        <v>יח</v>
      </c>
      <c r="P493">
        <v>174</v>
      </c>
      <c r="Q493" t="str">
        <f>"$"</f>
        <v>$</v>
      </c>
      <c r="R493" t="str">
        <f>"הזמנה"</f>
        <v>הזמנה</v>
      </c>
      <c r="S493">
        <v>0</v>
      </c>
      <c r="T493">
        <v>696</v>
      </c>
      <c r="U493">
        <v>0</v>
      </c>
      <c r="V493">
        <v>696</v>
      </c>
      <c r="W493" t="str">
        <f>"$"</f>
        <v>$</v>
      </c>
      <c r="X493">
        <v>0</v>
      </c>
      <c r="Y493">
        <v>0</v>
      </c>
      <c r="Z493">
        <v>0</v>
      </c>
      <c r="AA493" t="str">
        <f>"Y"</f>
        <v>Y</v>
      </c>
      <c r="AB493" t="str">
        <f>"SO20000532"</f>
        <v>SO20000532</v>
      </c>
      <c r="AC493">
        <v>40</v>
      </c>
      <c r="AD493" s="1">
        <v>44155</v>
      </c>
      <c r="AE493" t="str">
        <f>"SH23000712"</f>
        <v>SH23000712</v>
      </c>
      <c r="AF493" t="str">
        <f>"משלוחים ללקוח"</f>
        <v>משלוחים ללקוח</v>
      </c>
      <c r="AG493" s="1">
        <v>45089</v>
      </c>
      <c r="AM493" t="str">
        <f>"10"</f>
        <v>10</v>
      </c>
      <c r="AN493" t="str">
        <f>"500000"</f>
        <v>500000</v>
      </c>
      <c r="AO493" t="str">
        <f>"הכנסות  מלקוחות"</f>
        <v>הכנסות  מלקוחות</v>
      </c>
      <c r="AQ493" t="str">
        <f>"034"</f>
        <v>034</v>
      </c>
      <c r="AR493">
        <v>0</v>
      </c>
      <c r="AS493">
        <v>0</v>
      </c>
      <c r="AT493">
        <v>3.6019999999999999</v>
      </c>
      <c r="AX493" t="str">
        <f>"E000321177"</f>
        <v>E000321177</v>
      </c>
      <c r="BD493" t="str">
        <f>"ערן שלו"</f>
        <v>ערן שלו</v>
      </c>
    </row>
    <row r="494" spans="1:56" x14ac:dyDescent="0.3">
      <c r="A494" s="1">
        <v>45096</v>
      </c>
      <c r="B494" t="str">
        <f>"SI236000831"</f>
        <v>SI236000831</v>
      </c>
      <c r="C494" t="str">
        <f>"PR20000834"</f>
        <v>PR20000834</v>
      </c>
      <c r="D494" t="str">
        <f>"PR20000834"</f>
        <v>PR20000834</v>
      </c>
      <c r="E494" t="str">
        <f>"Y"</f>
        <v>Y</v>
      </c>
      <c r="F494" t="str">
        <f>"חשבוניות מרכזות"</f>
        <v>חשבוניות מרכזות</v>
      </c>
      <c r="G494" t="str">
        <f>"700065"</f>
        <v>700065</v>
      </c>
      <c r="H494" t="str">
        <f>"אלתא מערכות בע""מ"</f>
        <v>אלתא מערכות בע"מ</v>
      </c>
      <c r="I494" t="str">
        <f>"10"</f>
        <v>10</v>
      </c>
      <c r="J494" t="str">
        <f>"OP-AR02110"</f>
        <v>OP-AR02110</v>
      </c>
      <c r="K494" t="str">
        <f>"1032F927-001/-   ETHERNET CABLE MFR-W927 - FILTE"</f>
        <v>1032F927-001/-   ETHERNET CABLE MFR-W927 - FILTE</v>
      </c>
      <c r="L494">
        <v>4</v>
      </c>
      <c r="M494" t="str">
        <f>"יח"</f>
        <v>יח</v>
      </c>
      <c r="N494">
        <v>4</v>
      </c>
      <c r="O494" t="str">
        <f>"יח"</f>
        <v>יח</v>
      </c>
      <c r="P494">
        <v>174</v>
      </c>
      <c r="Q494" t="str">
        <f>"$"</f>
        <v>$</v>
      </c>
      <c r="R494" t="str">
        <f>"הזמנה"</f>
        <v>הזמנה</v>
      </c>
      <c r="S494">
        <v>0</v>
      </c>
      <c r="T494">
        <v>696</v>
      </c>
      <c r="U494">
        <v>0</v>
      </c>
      <c r="V494">
        <v>696</v>
      </c>
      <c r="W494" t="str">
        <f>"$"</f>
        <v>$</v>
      </c>
      <c r="X494">
        <v>0</v>
      </c>
      <c r="Y494">
        <v>0</v>
      </c>
      <c r="Z494">
        <v>0</v>
      </c>
      <c r="AA494" t="str">
        <f>"Y"</f>
        <v>Y</v>
      </c>
      <c r="AB494" t="str">
        <f>"SO20000532"</f>
        <v>SO20000532</v>
      </c>
      <c r="AC494">
        <v>45</v>
      </c>
      <c r="AD494" s="1">
        <v>44155</v>
      </c>
      <c r="AE494" t="str">
        <f>"SH23000712"</f>
        <v>SH23000712</v>
      </c>
      <c r="AF494" t="str">
        <f>"משלוחים ללקוח"</f>
        <v>משלוחים ללקוח</v>
      </c>
      <c r="AG494" s="1">
        <v>45089</v>
      </c>
      <c r="AM494" t="str">
        <f>"10"</f>
        <v>10</v>
      </c>
      <c r="AN494" t="str">
        <f>"500000"</f>
        <v>500000</v>
      </c>
      <c r="AO494" t="str">
        <f>"הכנסות  מלקוחות"</f>
        <v>הכנסות  מלקוחות</v>
      </c>
      <c r="AQ494" t="str">
        <f>"034"</f>
        <v>034</v>
      </c>
      <c r="AR494">
        <v>0</v>
      </c>
      <c r="AS494">
        <v>0</v>
      </c>
      <c r="AT494">
        <v>3.6019999999999999</v>
      </c>
      <c r="AX494" t="str">
        <f>"E000321177"</f>
        <v>E000321177</v>
      </c>
      <c r="BD494" t="str">
        <f>"ערן שלו"</f>
        <v>ערן שלו</v>
      </c>
    </row>
    <row r="495" spans="1:56" x14ac:dyDescent="0.3">
      <c r="A495" s="1">
        <v>45096</v>
      </c>
      <c r="B495" t="str">
        <f>"SI236000831"</f>
        <v>SI236000831</v>
      </c>
      <c r="C495" t="str">
        <f>"PR20000834"</f>
        <v>PR20000834</v>
      </c>
      <c r="D495" t="str">
        <f>"PR20000834"</f>
        <v>PR20000834</v>
      </c>
      <c r="E495" t="str">
        <f>"Y"</f>
        <v>Y</v>
      </c>
      <c r="F495" t="str">
        <f>"חשבוניות מרכזות"</f>
        <v>חשבוניות מרכזות</v>
      </c>
      <c r="G495" t="str">
        <f>"700065"</f>
        <v>700065</v>
      </c>
      <c r="H495" t="str">
        <f>"אלתא מערכות בע""מ"</f>
        <v>אלתא מערכות בע"מ</v>
      </c>
      <c r="I495" t="str">
        <f>"10"</f>
        <v>10</v>
      </c>
      <c r="J495" t="str">
        <f>"OP-AR02110"</f>
        <v>OP-AR02110</v>
      </c>
      <c r="K495" t="str">
        <f>"1032F927-001/-   ETHERNET CABLE MFR-W927 - FILTE"</f>
        <v>1032F927-001/-   ETHERNET CABLE MFR-W927 - FILTE</v>
      </c>
      <c r="L495">
        <v>4</v>
      </c>
      <c r="M495" t="str">
        <f>"יח"</f>
        <v>יח</v>
      </c>
      <c r="N495">
        <v>4</v>
      </c>
      <c r="O495" t="str">
        <f>"יח"</f>
        <v>יח</v>
      </c>
      <c r="P495">
        <v>174</v>
      </c>
      <c r="Q495" t="str">
        <f>"$"</f>
        <v>$</v>
      </c>
      <c r="R495" t="str">
        <f>"הזמנה"</f>
        <v>הזמנה</v>
      </c>
      <c r="S495">
        <v>0</v>
      </c>
      <c r="T495">
        <v>696</v>
      </c>
      <c r="U495">
        <v>0</v>
      </c>
      <c r="V495">
        <v>696</v>
      </c>
      <c r="W495" t="str">
        <f>"$"</f>
        <v>$</v>
      </c>
      <c r="X495">
        <v>0</v>
      </c>
      <c r="Y495">
        <v>0</v>
      </c>
      <c r="Z495">
        <v>0</v>
      </c>
      <c r="AA495" t="str">
        <f>"Y"</f>
        <v>Y</v>
      </c>
      <c r="AB495" t="str">
        <f>"SO20000532"</f>
        <v>SO20000532</v>
      </c>
      <c r="AC495">
        <v>46</v>
      </c>
      <c r="AD495" s="1">
        <v>44155</v>
      </c>
      <c r="AE495" t="str">
        <f>"SH23000712"</f>
        <v>SH23000712</v>
      </c>
      <c r="AF495" t="str">
        <f>"משלוחים ללקוח"</f>
        <v>משלוחים ללקוח</v>
      </c>
      <c r="AG495" s="1">
        <v>45089</v>
      </c>
      <c r="AM495" t="str">
        <f>"10"</f>
        <v>10</v>
      </c>
      <c r="AN495" t="str">
        <f>"500000"</f>
        <v>500000</v>
      </c>
      <c r="AO495" t="str">
        <f>"הכנסות  מלקוחות"</f>
        <v>הכנסות  מלקוחות</v>
      </c>
      <c r="AQ495" t="str">
        <f>"034"</f>
        <v>034</v>
      </c>
      <c r="AR495">
        <v>0</v>
      </c>
      <c r="AS495">
        <v>0</v>
      </c>
      <c r="AT495">
        <v>3.6019999999999999</v>
      </c>
      <c r="AX495" t="str">
        <f>"E000321177"</f>
        <v>E000321177</v>
      </c>
      <c r="BD495" t="str">
        <f>"ערן שלו"</f>
        <v>ערן שלו</v>
      </c>
    </row>
    <row r="496" spans="1:56" x14ac:dyDescent="0.3">
      <c r="A496" s="1">
        <v>45096</v>
      </c>
      <c r="B496" t="str">
        <f>"SI236000831"</f>
        <v>SI236000831</v>
      </c>
      <c r="C496" t="str">
        <f>"PR20000834"</f>
        <v>PR20000834</v>
      </c>
      <c r="D496" t="str">
        <f>"PR20000834"</f>
        <v>PR20000834</v>
      </c>
      <c r="E496" t="str">
        <f>"Y"</f>
        <v>Y</v>
      </c>
      <c r="F496" t="str">
        <f>"חשבוניות מרכזות"</f>
        <v>חשבוניות מרכזות</v>
      </c>
      <c r="G496" t="str">
        <f>"700065"</f>
        <v>700065</v>
      </c>
      <c r="H496" t="str">
        <f>"אלתא מערכות בע""מ"</f>
        <v>אלתא מערכות בע"מ</v>
      </c>
      <c r="I496" t="str">
        <f>"10"</f>
        <v>10</v>
      </c>
      <c r="J496" t="str">
        <f>"OP-AR02111"</f>
        <v>OP-AR02111</v>
      </c>
      <c r="K496" t="str">
        <f>"1032F928-001/-   ETHERNET CABLE MFR-W928 - FILTE"</f>
        <v>1032F928-001/-   ETHERNET CABLE MFR-W928 - FILTE</v>
      </c>
      <c r="L496">
        <v>4</v>
      </c>
      <c r="M496" t="str">
        <f>"יח"</f>
        <v>יח</v>
      </c>
      <c r="N496">
        <v>4</v>
      </c>
      <c r="O496" t="str">
        <f>"יח"</f>
        <v>יח</v>
      </c>
      <c r="P496">
        <v>174</v>
      </c>
      <c r="Q496" t="str">
        <f>"$"</f>
        <v>$</v>
      </c>
      <c r="R496" t="str">
        <f>"הזמנה"</f>
        <v>הזמנה</v>
      </c>
      <c r="S496">
        <v>0</v>
      </c>
      <c r="T496">
        <v>696</v>
      </c>
      <c r="U496">
        <v>0</v>
      </c>
      <c r="V496">
        <v>696</v>
      </c>
      <c r="W496" t="str">
        <f>"$"</f>
        <v>$</v>
      </c>
      <c r="X496">
        <v>0</v>
      </c>
      <c r="Y496">
        <v>0</v>
      </c>
      <c r="Z496">
        <v>0</v>
      </c>
      <c r="AA496" t="str">
        <f>"Y"</f>
        <v>Y</v>
      </c>
      <c r="AB496" t="str">
        <f>"SO20000532"</f>
        <v>SO20000532</v>
      </c>
      <c r="AC496">
        <v>51</v>
      </c>
      <c r="AD496" s="1">
        <v>44155</v>
      </c>
      <c r="AE496" t="str">
        <f>"SH23000712"</f>
        <v>SH23000712</v>
      </c>
      <c r="AF496" t="str">
        <f>"משלוחים ללקוח"</f>
        <v>משלוחים ללקוח</v>
      </c>
      <c r="AG496" s="1">
        <v>45089</v>
      </c>
      <c r="AM496" t="str">
        <f>"10"</f>
        <v>10</v>
      </c>
      <c r="AN496" t="str">
        <f>"500000"</f>
        <v>500000</v>
      </c>
      <c r="AO496" t="str">
        <f>"הכנסות  מלקוחות"</f>
        <v>הכנסות  מלקוחות</v>
      </c>
      <c r="AQ496" t="str">
        <f>"034"</f>
        <v>034</v>
      </c>
      <c r="AR496">
        <v>0</v>
      </c>
      <c r="AS496">
        <v>0</v>
      </c>
      <c r="AT496">
        <v>3.6019999999999999</v>
      </c>
      <c r="AX496" t="str">
        <f>"E000321177"</f>
        <v>E000321177</v>
      </c>
      <c r="BD496" t="str">
        <f>"ערן שלו"</f>
        <v>ערן שלו</v>
      </c>
    </row>
    <row r="497" spans="1:56" x14ac:dyDescent="0.3">
      <c r="A497" s="1">
        <v>45096</v>
      </c>
      <c r="B497" t="str">
        <f>"SI236000831"</f>
        <v>SI236000831</v>
      </c>
      <c r="C497" t="str">
        <f>"PR20000834"</f>
        <v>PR20000834</v>
      </c>
      <c r="D497" t="str">
        <f>"PR20000834"</f>
        <v>PR20000834</v>
      </c>
      <c r="E497" t="str">
        <f>"Y"</f>
        <v>Y</v>
      </c>
      <c r="F497" t="str">
        <f>"חשבוניות מרכזות"</f>
        <v>חשבוניות מרכזות</v>
      </c>
      <c r="G497" t="str">
        <f>"700065"</f>
        <v>700065</v>
      </c>
      <c r="H497" t="str">
        <f>"אלתא מערכות בע""מ"</f>
        <v>אלתא מערכות בע"מ</v>
      </c>
      <c r="I497" t="str">
        <f>"10"</f>
        <v>10</v>
      </c>
      <c r="J497" t="str">
        <f>"OP-AR02111"</f>
        <v>OP-AR02111</v>
      </c>
      <c r="K497" t="str">
        <f>"1032F928-001/-   ETHERNET CABLE MFR-W928 - FILTE"</f>
        <v>1032F928-001/-   ETHERNET CABLE MFR-W928 - FILTE</v>
      </c>
      <c r="L497">
        <v>4</v>
      </c>
      <c r="M497" t="str">
        <f>"יח"</f>
        <v>יח</v>
      </c>
      <c r="N497">
        <v>4</v>
      </c>
      <c r="O497" t="str">
        <f>"יח"</f>
        <v>יח</v>
      </c>
      <c r="P497">
        <v>174</v>
      </c>
      <c r="Q497" t="str">
        <f>"$"</f>
        <v>$</v>
      </c>
      <c r="R497" t="str">
        <f>"הזמנה"</f>
        <v>הזמנה</v>
      </c>
      <c r="S497">
        <v>0</v>
      </c>
      <c r="T497">
        <v>696</v>
      </c>
      <c r="U497">
        <v>0</v>
      </c>
      <c r="V497">
        <v>696</v>
      </c>
      <c r="W497" t="str">
        <f>"$"</f>
        <v>$</v>
      </c>
      <c r="X497">
        <v>0</v>
      </c>
      <c r="Y497">
        <v>0</v>
      </c>
      <c r="Z497">
        <v>0</v>
      </c>
      <c r="AA497" t="str">
        <f>"Y"</f>
        <v>Y</v>
      </c>
      <c r="AB497" t="str">
        <f>"SO20000532"</f>
        <v>SO20000532</v>
      </c>
      <c r="AC497">
        <v>52</v>
      </c>
      <c r="AD497" s="1">
        <v>44155</v>
      </c>
      <c r="AE497" t="str">
        <f>"SH23000712"</f>
        <v>SH23000712</v>
      </c>
      <c r="AF497" t="str">
        <f>"משלוחים ללקוח"</f>
        <v>משלוחים ללקוח</v>
      </c>
      <c r="AG497" s="1">
        <v>45089</v>
      </c>
      <c r="AM497" t="str">
        <f>"10"</f>
        <v>10</v>
      </c>
      <c r="AN497" t="str">
        <f>"500000"</f>
        <v>500000</v>
      </c>
      <c r="AO497" t="str">
        <f>"הכנסות  מלקוחות"</f>
        <v>הכנסות  מלקוחות</v>
      </c>
      <c r="AQ497" t="str">
        <f>"034"</f>
        <v>034</v>
      </c>
      <c r="AR497">
        <v>0</v>
      </c>
      <c r="AS497">
        <v>0</v>
      </c>
      <c r="AT497">
        <v>3.6019999999999999</v>
      </c>
      <c r="AX497" t="str">
        <f>"E000321177"</f>
        <v>E000321177</v>
      </c>
      <c r="BD497" t="str">
        <f>"ערן שלו"</f>
        <v>ערן שלו</v>
      </c>
    </row>
    <row r="498" spans="1:56" x14ac:dyDescent="0.3">
      <c r="A498" s="1">
        <v>45096</v>
      </c>
      <c r="B498" t="str">
        <f>"SI236000831"</f>
        <v>SI236000831</v>
      </c>
      <c r="C498" t="str">
        <f>"PR20000834"</f>
        <v>PR20000834</v>
      </c>
      <c r="D498" t="str">
        <f>"PR20000834"</f>
        <v>PR20000834</v>
      </c>
      <c r="E498" t="str">
        <f>"Y"</f>
        <v>Y</v>
      </c>
      <c r="F498" t="str">
        <f>"חשבוניות מרכזות"</f>
        <v>חשבוניות מרכזות</v>
      </c>
      <c r="G498" t="str">
        <f>"700065"</f>
        <v>700065</v>
      </c>
      <c r="H498" t="str">
        <f>"אלתא מערכות בע""מ"</f>
        <v>אלתא מערכות בע"מ</v>
      </c>
      <c r="I498" t="str">
        <f>"10"</f>
        <v>10</v>
      </c>
      <c r="J498" t="str">
        <f>"OP-AR02113"</f>
        <v>OP-AR02113</v>
      </c>
      <c r="K498" t="str">
        <f>"1032F930-001/-   ETHERNET CABLE MFR-W930 - FILTE"</f>
        <v>1032F930-001/-   ETHERNET CABLE MFR-W930 - FILTE</v>
      </c>
      <c r="L498">
        <v>4</v>
      </c>
      <c r="M498" t="str">
        <f>"יח"</f>
        <v>יח</v>
      </c>
      <c r="N498">
        <v>4</v>
      </c>
      <c r="O498" t="str">
        <f>"יח"</f>
        <v>יח</v>
      </c>
      <c r="P498">
        <v>174</v>
      </c>
      <c r="Q498" t="str">
        <f>"$"</f>
        <v>$</v>
      </c>
      <c r="R498" t="str">
        <f>"הזמנה"</f>
        <v>הזמנה</v>
      </c>
      <c r="S498">
        <v>0</v>
      </c>
      <c r="T498">
        <v>696</v>
      </c>
      <c r="U498">
        <v>0</v>
      </c>
      <c r="V498">
        <v>696</v>
      </c>
      <c r="W498" t="str">
        <f>"$"</f>
        <v>$</v>
      </c>
      <c r="X498">
        <v>0</v>
      </c>
      <c r="Y498">
        <v>0</v>
      </c>
      <c r="Z498">
        <v>0</v>
      </c>
      <c r="AA498" t="str">
        <f>"Y"</f>
        <v>Y</v>
      </c>
      <c r="AB498" t="str">
        <f>"SO20000532"</f>
        <v>SO20000532</v>
      </c>
      <c r="AC498">
        <v>63</v>
      </c>
      <c r="AD498" s="1">
        <v>44155</v>
      </c>
      <c r="AE498" t="str">
        <f>"SH23000712"</f>
        <v>SH23000712</v>
      </c>
      <c r="AF498" t="str">
        <f>"משלוחים ללקוח"</f>
        <v>משלוחים ללקוח</v>
      </c>
      <c r="AG498" s="1">
        <v>45089</v>
      </c>
      <c r="AM498" t="str">
        <f>"10"</f>
        <v>10</v>
      </c>
      <c r="AN498" t="str">
        <f>"500000"</f>
        <v>500000</v>
      </c>
      <c r="AO498" t="str">
        <f>"הכנסות  מלקוחות"</f>
        <v>הכנסות  מלקוחות</v>
      </c>
      <c r="AQ498" t="str">
        <f>"034"</f>
        <v>034</v>
      </c>
      <c r="AR498">
        <v>0</v>
      </c>
      <c r="AS498">
        <v>0</v>
      </c>
      <c r="AT498">
        <v>3.6019999999999999</v>
      </c>
      <c r="AX498" t="str">
        <f>"E000321177"</f>
        <v>E000321177</v>
      </c>
      <c r="BD498" t="str">
        <f>"ערן שלו"</f>
        <v>ערן שלו</v>
      </c>
    </row>
    <row r="499" spans="1:56" x14ac:dyDescent="0.3">
      <c r="A499" s="1">
        <v>45096</v>
      </c>
      <c r="B499" t="str">
        <f>"SI236000831"</f>
        <v>SI236000831</v>
      </c>
      <c r="C499" t="str">
        <f>"PR20000834"</f>
        <v>PR20000834</v>
      </c>
      <c r="D499" t="str">
        <f>"PR20000834"</f>
        <v>PR20000834</v>
      </c>
      <c r="E499" t="str">
        <f>"Y"</f>
        <v>Y</v>
      </c>
      <c r="F499" t="str">
        <f>"חשבוניות מרכזות"</f>
        <v>חשבוניות מרכזות</v>
      </c>
      <c r="G499" t="str">
        <f>"700065"</f>
        <v>700065</v>
      </c>
      <c r="H499" t="str">
        <f>"אלתא מערכות בע""מ"</f>
        <v>אלתא מערכות בע"מ</v>
      </c>
      <c r="I499" t="str">
        <f>"10"</f>
        <v>10</v>
      </c>
      <c r="J499" t="str">
        <f>"OP-AR02113"</f>
        <v>OP-AR02113</v>
      </c>
      <c r="K499" t="str">
        <f>"1032F930-001/-   ETHERNET CABLE MFR-W930 - FILTE"</f>
        <v>1032F930-001/-   ETHERNET CABLE MFR-W930 - FILTE</v>
      </c>
      <c r="L499">
        <v>4</v>
      </c>
      <c r="M499" t="str">
        <f>"יח"</f>
        <v>יח</v>
      </c>
      <c r="N499">
        <v>4</v>
      </c>
      <c r="O499" t="str">
        <f>"יח"</f>
        <v>יח</v>
      </c>
      <c r="P499">
        <v>174</v>
      </c>
      <c r="Q499" t="str">
        <f>"$"</f>
        <v>$</v>
      </c>
      <c r="R499" t="str">
        <f>"הזמנה"</f>
        <v>הזמנה</v>
      </c>
      <c r="S499">
        <v>0</v>
      </c>
      <c r="T499">
        <v>696</v>
      </c>
      <c r="U499">
        <v>0</v>
      </c>
      <c r="V499">
        <v>696</v>
      </c>
      <c r="W499" t="str">
        <f>"$"</f>
        <v>$</v>
      </c>
      <c r="X499">
        <v>0</v>
      </c>
      <c r="Y499">
        <v>0</v>
      </c>
      <c r="Z499">
        <v>0</v>
      </c>
      <c r="AA499" t="str">
        <f>"Y"</f>
        <v>Y</v>
      </c>
      <c r="AB499" t="str">
        <f>"SO20000532"</f>
        <v>SO20000532</v>
      </c>
      <c r="AC499">
        <v>64</v>
      </c>
      <c r="AD499" s="1">
        <v>44155</v>
      </c>
      <c r="AE499" t="str">
        <f>"SH23000712"</f>
        <v>SH23000712</v>
      </c>
      <c r="AF499" t="str">
        <f>"משלוחים ללקוח"</f>
        <v>משלוחים ללקוח</v>
      </c>
      <c r="AG499" s="1">
        <v>45089</v>
      </c>
      <c r="AM499" t="str">
        <f>"10"</f>
        <v>10</v>
      </c>
      <c r="AN499" t="str">
        <f>"500000"</f>
        <v>500000</v>
      </c>
      <c r="AO499" t="str">
        <f>"הכנסות  מלקוחות"</f>
        <v>הכנסות  מלקוחות</v>
      </c>
      <c r="AQ499" t="str">
        <f>"034"</f>
        <v>034</v>
      </c>
      <c r="AR499">
        <v>0</v>
      </c>
      <c r="AS499">
        <v>0</v>
      </c>
      <c r="AT499">
        <v>3.6019999999999999</v>
      </c>
      <c r="AX499" t="str">
        <f>"E000321177"</f>
        <v>E000321177</v>
      </c>
      <c r="BD499" t="str">
        <f>"ערן שלו"</f>
        <v>ערן שלו</v>
      </c>
    </row>
    <row r="500" spans="1:56" x14ac:dyDescent="0.3">
      <c r="A500" s="1">
        <v>45096</v>
      </c>
      <c r="B500" t="str">
        <f>"SI236000831"</f>
        <v>SI236000831</v>
      </c>
      <c r="C500" t="str">
        <f>"PR20000834"</f>
        <v>PR20000834</v>
      </c>
      <c r="D500" t="str">
        <f>"PR20000834"</f>
        <v>PR20000834</v>
      </c>
      <c r="E500" t="str">
        <f>"Y"</f>
        <v>Y</v>
      </c>
      <c r="F500" t="str">
        <f>"חשבוניות מרכזות"</f>
        <v>חשבוניות מרכזות</v>
      </c>
      <c r="G500" t="str">
        <f>"700065"</f>
        <v>700065</v>
      </c>
      <c r="H500" t="str">
        <f>"אלתא מערכות בע""מ"</f>
        <v>אלתא מערכות בע"מ</v>
      </c>
      <c r="I500" t="str">
        <f>"10"</f>
        <v>10</v>
      </c>
      <c r="J500" t="str">
        <f>"OP-AR02119"</f>
        <v>OP-AR02119</v>
      </c>
      <c r="K500" t="str">
        <f>"1032F935-001/-   ETHERNET CABLE MFR-W935 - FILTE"</f>
        <v>1032F935-001/-   ETHERNET CABLE MFR-W935 - FILTE</v>
      </c>
      <c r="L500">
        <v>4</v>
      </c>
      <c r="M500" t="str">
        <f>"יח"</f>
        <v>יח</v>
      </c>
      <c r="N500">
        <v>4</v>
      </c>
      <c r="O500" t="str">
        <f>"יח"</f>
        <v>יח</v>
      </c>
      <c r="P500">
        <v>174</v>
      </c>
      <c r="Q500" t="str">
        <f>"$"</f>
        <v>$</v>
      </c>
      <c r="R500" t="str">
        <f>"הזמנה"</f>
        <v>הזמנה</v>
      </c>
      <c r="S500">
        <v>0</v>
      </c>
      <c r="T500">
        <v>696</v>
      </c>
      <c r="U500">
        <v>0</v>
      </c>
      <c r="V500">
        <v>696</v>
      </c>
      <c r="W500" t="str">
        <f>"$"</f>
        <v>$</v>
      </c>
      <c r="X500">
        <v>0</v>
      </c>
      <c r="Y500">
        <v>0</v>
      </c>
      <c r="Z500">
        <v>0</v>
      </c>
      <c r="AA500" t="str">
        <f>"Y"</f>
        <v>Y</v>
      </c>
      <c r="AB500" t="str">
        <f>"SO20000532"</f>
        <v>SO20000532</v>
      </c>
      <c r="AC500">
        <v>93</v>
      </c>
      <c r="AD500" s="1">
        <v>44155</v>
      </c>
      <c r="AE500" t="str">
        <f>"SH23000712"</f>
        <v>SH23000712</v>
      </c>
      <c r="AF500" t="str">
        <f>"משלוחים ללקוח"</f>
        <v>משלוחים ללקוח</v>
      </c>
      <c r="AG500" s="1">
        <v>45089</v>
      </c>
      <c r="AM500" t="str">
        <f>"10"</f>
        <v>10</v>
      </c>
      <c r="AN500" t="str">
        <f>"500000"</f>
        <v>500000</v>
      </c>
      <c r="AO500" t="str">
        <f>"הכנסות  מלקוחות"</f>
        <v>הכנסות  מלקוחות</v>
      </c>
      <c r="AQ500" t="str">
        <f>"034"</f>
        <v>034</v>
      </c>
      <c r="AR500">
        <v>0</v>
      </c>
      <c r="AS500">
        <v>0</v>
      </c>
      <c r="AT500">
        <v>3.6019999999999999</v>
      </c>
      <c r="AX500" t="str">
        <f>"E000321177"</f>
        <v>E000321177</v>
      </c>
      <c r="BD500" t="str">
        <f>"ערן שלו"</f>
        <v>ערן שלו</v>
      </c>
    </row>
    <row r="501" spans="1:56" x14ac:dyDescent="0.3">
      <c r="A501" s="1">
        <v>45096</v>
      </c>
      <c r="B501" t="str">
        <f>"SI236000831"</f>
        <v>SI236000831</v>
      </c>
      <c r="C501" t="str">
        <f>"PR20000834"</f>
        <v>PR20000834</v>
      </c>
      <c r="D501" t="str">
        <f>"PR20000834"</f>
        <v>PR20000834</v>
      </c>
      <c r="E501" t="str">
        <f>"Y"</f>
        <v>Y</v>
      </c>
      <c r="F501" t="str">
        <f>"חשבוניות מרכזות"</f>
        <v>חשבוניות מרכזות</v>
      </c>
      <c r="G501" t="str">
        <f>"700065"</f>
        <v>700065</v>
      </c>
      <c r="H501" t="str">
        <f>"אלתא מערכות בע""מ"</f>
        <v>אלתא מערכות בע"מ</v>
      </c>
      <c r="I501" t="str">
        <f>"10"</f>
        <v>10</v>
      </c>
      <c r="J501" t="str">
        <f>"OP-AR02119"</f>
        <v>OP-AR02119</v>
      </c>
      <c r="K501" t="str">
        <f>"1032F935-001/-   ETHERNET CABLE MFR-W935 - FILTE"</f>
        <v>1032F935-001/-   ETHERNET CABLE MFR-W935 - FILTE</v>
      </c>
      <c r="L501">
        <v>4</v>
      </c>
      <c r="M501" t="str">
        <f>"יח"</f>
        <v>יח</v>
      </c>
      <c r="N501">
        <v>4</v>
      </c>
      <c r="O501" t="str">
        <f>"יח"</f>
        <v>יח</v>
      </c>
      <c r="P501">
        <v>174</v>
      </c>
      <c r="Q501" t="str">
        <f>"$"</f>
        <v>$</v>
      </c>
      <c r="R501" t="str">
        <f>"הזמנה"</f>
        <v>הזמנה</v>
      </c>
      <c r="S501">
        <v>0</v>
      </c>
      <c r="T501">
        <v>696</v>
      </c>
      <c r="U501">
        <v>0</v>
      </c>
      <c r="V501">
        <v>696</v>
      </c>
      <c r="W501" t="str">
        <f>"$"</f>
        <v>$</v>
      </c>
      <c r="X501">
        <v>0</v>
      </c>
      <c r="Y501">
        <v>0</v>
      </c>
      <c r="Z501">
        <v>0</v>
      </c>
      <c r="AA501" t="str">
        <f>"Y"</f>
        <v>Y</v>
      </c>
      <c r="AB501" t="str">
        <f>"SO20000532"</f>
        <v>SO20000532</v>
      </c>
      <c r="AC501">
        <v>94</v>
      </c>
      <c r="AD501" s="1">
        <v>44155</v>
      </c>
      <c r="AE501" t="str">
        <f>"SH23000712"</f>
        <v>SH23000712</v>
      </c>
      <c r="AF501" t="str">
        <f>"משלוחים ללקוח"</f>
        <v>משלוחים ללקוח</v>
      </c>
      <c r="AG501" s="1">
        <v>45089</v>
      </c>
      <c r="AM501" t="str">
        <f>"10"</f>
        <v>10</v>
      </c>
      <c r="AN501" t="str">
        <f>"500000"</f>
        <v>500000</v>
      </c>
      <c r="AO501" t="str">
        <f>"הכנסות  מלקוחות"</f>
        <v>הכנסות  מלקוחות</v>
      </c>
      <c r="AQ501" t="str">
        <f>"034"</f>
        <v>034</v>
      </c>
      <c r="AR501">
        <v>0</v>
      </c>
      <c r="AS501">
        <v>0</v>
      </c>
      <c r="AT501">
        <v>3.6019999999999999</v>
      </c>
      <c r="AX501" t="str">
        <f>"E000321177"</f>
        <v>E000321177</v>
      </c>
      <c r="BD501" t="str">
        <f>"ערן שלו"</f>
        <v>ערן שלו</v>
      </c>
    </row>
    <row r="502" spans="1:56" x14ac:dyDescent="0.3">
      <c r="A502" s="1">
        <v>45096</v>
      </c>
      <c r="B502" t="str">
        <f>"SI236000831"</f>
        <v>SI236000831</v>
      </c>
      <c r="C502" t="str">
        <f>"PR20000834"</f>
        <v>PR20000834</v>
      </c>
      <c r="D502" t="str">
        <f>"PR20000834"</f>
        <v>PR20000834</v>
      </c>
      <c r="E502" t="str">
        <f>"Y"</f>
        <v>Y</v>
      </c>
      <c r="F502" t="str">
        <f>"חשבוניות מרכזות"</f>
        <v>חשבוניות מרכזות</v>
      </c>
      <c r="G502" t="str">
        <f>"700065"</f>
        <v>700065</v>
      </c>
      <c r="H502" t="str">
        <f>"אלתא מערכות בע""מ"</f>
        <v>אלתא מערכות בע"מ</v>
      </c>
      <c r="I502" t="str">
        <f>"10"</f>
        <v>10</v>
      </c>
      <c r="J502" t="str">
        <f>"OP-AR02121"</f>
        <v>OP-AR02121</v>
      </c>
      <c r="K502" t="str">
        <f>"1032F937-001/-   ETHERNET CABLE MFR-W937 - FILTE"</f>
        <v>1032F937-001/-   ETHERNET CABLE MFR-W937 - FILTE</v>
      </c>
      <c r="L502">
        <v>4</v>
      </c>
      <c r="M502" t="str">
        <f>"יח"</f>
        <v>יח</v>
      </c>
      <c r="N502">
        <v>4</v>
      </c>
      <c r="O502" t="str">
        <f>"יח"</f>
        <v>יח</v>
      </c>
      <c r="P502">
        <v>174</v>
      </c>
      <c r="Q502" t="str">
        <f>"$"</f>
        <v>$</v>
      </c>
      <c r="R502" t="str">
        <f>"הזמנה"</f>
        <v>הזמנה</v>
      </c>
      <c r="S502">
        <v>0</v>
      </c>
      <c r="T502">
        <v>696</v>
      </c>
      <c r="U502">
        <v>0</v>
      </c>
      <c r="V502">
        <v>696</v>
      </c>
      <c r="W502" t="str">
        <f>"$"</f>
        <v>$</v>
      </c>
      <c r="X502">
        <v>0</v>
      </c>
      <c r="Y502">
        <v>0</v>
      </c>
      <c r="Z502">
        <v>0</v>
      </c>
      <c r="AA502" t="str">
        <f>"Y"</f>
        <v>Y</v>
      </c>
      <c r="AB502" t="str">
        <f>"SO20000532"</f>
        <v>SO20000532</v>
      </c>
      <c r="AC502">
        <v>105</v>
      </c>
      <c r="AD502" s="1">
        <v>44155</v>
      </c>
      <c r="AE502" t="str">
        <f>"SH23000712"</f>
        <v>SH23000712</v>
      </c>
      <c r="AF502" t="str">
        <f>"משלוחים ללקוח"</f>
        <v>משלוחים ללקוח</v>
      </c>
      <c r="AG502" s="1">
        <v>45089</v>
      </c>
      <c r="AM502" t="str">
        <f>"10"</f>
        <v>10</v>
      </c>
      <c r="AN502" t="str">
        <f>"500000"</f>
        <v>500000</v>
      </c>
      <c r="AO502" t="str">
        <f>"הכנסות  מלקוחות"</f>
        <v>הכנסות  מלקוחות</v>
      </c>
      <c r="AQ502" t="str">
        <f>"034"</f>
        <v>034</v>
      </c>
      <c r="AR502">
        <v>0</v>
      </c>
      <c r="AS502">
        <v>0</v>
      </c>
      <c r="AT502">
        <v>3.6019999999999999</v>
      </c>
      <c r="AX502" t="str">
        <f>"E000321177"</f>
        <v>E000321177</v>
      </c>
      <c r="BD502" t="str">
        <f>"ערן שלו"</f>
        <v>ערן שלו</v>
      </c>
    </row>
    <row r="503" spans="1:56" x14ac:dyDescent="0.3">
      <c r="A503" s="1">
        <v>45096</v>
      </c>
      <c r="B503" t="str">
        <f>"SI236000831"</f>
        <v>SI236000831</v>
      </c>
      <c r="C503" t="str">
        <f>"PR20000834"</f>
        <v>PR20000834</v>
      </c>
      <c r="D503" t="str">
        <f>"PR20000834"</f>
        <v>PR20000834</v>
      </c>
      <c r="E503" t="str">
        <f>"Y"</f>
        <v>Y</v>
      </c>
      <c r="F503" t="str">
        <f>"חשבוניות מרכזות"</f>
        <v>חשבוניות מרכזות</v>
      </c>
      <c r="G503" t="str">
        <f>"700065"</f>
        <v>700065</v>
      </c>
      <c r="H503" t="str">
        <f>"אלתא מערכות בע""מ"</f>
        <v>אלתא מערכות בע"מ</v>
      </c>
      <c r="I503" t="str">
        <f>"10"</f>
        <v>10</v>
      </c>
      <c r="J503" t="str">
        <f>"OP-AR02121"</f>
        <v>OP-AR02121</v>
      </c>
      <c r="K503" t="str">
        <f>"1032F937-001/-   ETHERNET CABLE MFR-W937 - FILTE"</f>
        <v>1032F937-001/-   ETHERNET CABLE MFR-W937 - FILTE</v>
      </c>
      <c r="L503">
        <v>4</v>
      </c>
      <c r="M503" t="str">
        <f>"יח"</f>
        <v>יח</v>
      </c>
      <c r="N503">
        <v>4</v>
      </c>
      <c r="O503" t="str">
        <f>"יח"</f>
        <v>יח</v>
      </c>
      <c r="P503">
        <v>174</v>
      </c>
      <c r="Q503" t="str">
        <f>"$"</f>
        <v>$</v>
      </c>
      <c r="R503" t="str">
        <f>"הזמנה"</f>
        <v>הזמנה</v>
      </c>
      <c r="S503">
        <v>0</v>
      </c>
      <c r="T503">
        <v>696</v>
      </c>
      <c r="U503">
        <v>0</v>
      </c>
      <c r="V503">
        <v>696</v>
      </c>
      <c r="W503" t="str">
        <f>"$"</f>
        <v>$</v>
      </c>
      <c r="X503">
        <v>0</v>
      </c>
      <c r="Y503">
        <v>0</v>
      </c>
      <c r="Z503">
        <v>0</v>
      </c>
      <c r="AA503" t="str">
        <f>"Y"</f>
        <v>Y</v>
      </c>
      <c r="AB503" t="str">
        <f>"SO20000532"</f>
        <v>SO20000532</v>
      </c>
      <c r="AC503">
        <v>106</v>
      </c>
      <c r="AD503" s="1">
        <v>44155</v>
      </c>
      <c r="AE503" t="str">
        <f>"SH23000712"</f>
        <v>SH23000712</v>
      </c>
      <c r="AF503" t="str">
        <f>"משלוחים ללקוח"</f>
        <v>משלוחים ללקוח</v>
      </c>
      <c r="AG503" s="1">
        <v>45089</v>
      </c>
      <c r="AM503" t="str">
        <f>"10"</f>
        <v>10</v>
      </c>
      <c r="AN503" t="str">
        <f>"500000"</f>
        <v>500000</v>
      </c>
      <c r="AO503" t="str">
        <f>"הכנסות  מלקוחות"</f>
        <v>הכנסות  מלקוחות</v>
      </c>
      <c r="AQ503" t="str">
        <f>"034"</f>
        <v>034</v>
      </c>
      <c r="AR503">
        <v>0</v>
      </c>
      <c r="AS503">
        <v>0</v>
      </c>
      <c r="AT503">
        <v>3.6019999999999999</v>
      </c>
      <c r="AX503" t="str">
        <f>"E000321177"</f>
        <v>E000321177</v>
      </c>
      <c r="BD503" t="str">
        <f>"ערן שלו"</f>
        <v>ערן שלו</v>
      </c>
    </row>
    <row r="504" spans="1:56" x14ac:dyDescent="0.3">
      <c r="A504" s="1">
        <v>45096</v>
      </c>
      <c r="B504" t="str">
        <f>"SI236000831"</f>
        <v>SI236000831</v>
      </c>
      <c r="C504" t="str">
        <f>"PR20000834"</f>
        <v>PR20000834</v>
      </c>
      <c r="D504" t="str">
        <f>"PR20000834"</f>
        <v>PR20000834</v>
      </c>
      <c r="E504" t="str">
        <f>"Y"</f>
        <v>Y</v>
      </c>
      <c r="F504" t="str">
        <f>"חשבוניות מרכזות"</f>
        <v>חשבוניות מרכזות</v>
      </c>
      <c r="G504" t="str">
        <f>"700065"</f>
        <v>700065</v>
      </c>
      <c r="H504" t="str">
        <f>"אלתא מערכות בע""מ"</f>
        <v>אלתא מערכות בע"מ</v>
      </c>
      <c r="I504" t="str">
        <f>"10"</f>
        <v>10</v>
      </c>
      <c r="J504" t="str">
        <f>"OP-AR02123"</f>
        <v>OP-AR02123</v>
      </c>
      <c r="K504" t="str">
        <f>"1032F939-001/-   ETHERNET CABLE MFR-W939 - FILTE"</f>
        <v>1032F939-001/-   ETHERNET CABLE MFR-W939 - FILTE</v>
      </c>
      <c r="L504">
        <v>4</v>
      </c>
      <c r="M504" t="str">
        <f>"יח"</f>
        <v>יח</v>
      </c>
      <c r="N504">
        <v>4</v>
      </c>
      <c r="O504" t="str">
        <f>"יח"</f>
        <v>יח</v>
      </c>
      <c r="P504">
        <v>174</v>
      </c>
      <c r="Q504" t="str">
        <f>"$"</f>
        <v>$</v>
      </c>
      <c r="R504" t="str">
        <f>"הזמנה"</f>
        <v>הזמנה</v>
      </c>
      <c r="S504">
        <v>0</v>
      </c>
      <c r="T504">
        <v>696</v>
      </c>
      <c r="U504">
        <v>0</v>
      </c>
      <c r="V504">
        <v>696</v>
      </c>
      <c r="W504" t="str">
        <f>"$"</f>
        <v>$</v>
      </c>
      <c r="X504">
        <v>0</v>
      </c>
      <c r="Y504">
        <v>0</v>
      </c>
      <c r="Z504">
        <v>0</v>
      </c>
      <c r="AA504" t="str">
        <f>"Y"</f>
        <v>Y</v>
      </c>
      <c r="AB504" t="str">
        <f>"SO20000532"</f>
        <v>SO20000532</v>
      </c>
      <c r="AC504">
        <v>117</v>
      </c>
      <c r="AD504" s="1">
        <v>44155</v>
      </c>
      <c r="AE504" t="str">
        <f>"SH23000712"</f>
        <v>SH23000712</v>
      </c>
      <c r="AF504" t="str">
        <f>"משלוחים ללקוח"</f>
        <v>משלוחים ללקוח</v>
      </c>
      <c r="AG504" s="1">
        <v>45089</v>
      </c>
      <c r="AM504" t="str">
        <f>"10"</f>
        <v>10</v>
      </c>
      <c r="AN504" t="str">
        <f>"500000"</f>
        <v>500000</v>
      </c>
      <c r="AO504" t="str">
        <f>"הכנסות  מלקוחות"</f>
        <v>הכנסות  מלקוחות</v>
      </c>
      <c r="AQ504" t="str">
        <f>"034"</f>
        <v>034</v>
      </c>
      <c r="AR504">
        <v>0</v>
      </c>
      <c r="AS504">
        <v>0</v>
      </c>
      <c r="AT504">
        <v>3.6019999999999999</v>
      </c>
      <c r="AX504" t="str">
        <f>"E000321177"</f>
        <v>E000321177</v>
      </c>
      <c r="BD504" t="str">
        <f>"ערן שלו"</f>
        <v>ערן שלו</v>
      </c>
    </row>
    <row r="505" spans="1:56" x14ac:dyDescent="0.3">
      <c r="A505" s="1">
        <v>45096</v>
      </c>
      <c r="B505" t="str">
        <f>"SI236000831"</f>
        <v>SI236000831</v>
      </c>
      <c r="C505" t="str">
        <f>"PR20000834"</f>
        <v>PR20000834</v>
      </c>
      <c r="D505" t="str">
        <f>"PR20000834"</f>
        <v>PR20000834</v>
      </c>
      <c r="E505" t="str">
        <f>"Y"</f>
        <v>Y</v>
      </c>
      <c r="F505" t="str">
        <f>"חשבוניות מרכזות"</f>
        <v>חשבוניות מרכזות</v>
      </c>
      <c r="G505" t="str">
        <f>"700065"</f>
        <v>700065</v>
      </c>
      <c r="H505" t="str">
        <f>"אלתא מערכות בע""מ"</f>
        <v>אלתא מערכות בע"מ</v>
      </c>
      <c r="I505" t="str">
        <f>"10"</f>
        <v>10</v>
      </c>
      <c r="J505" t="str">
        <f>"OP-AR02123"</f>
        <v>OP-AR02123</v>
      </c>
      <c r="K505" t="str">
        <f>"1032F939-001/-   ETHERNET CABLE MFR-W939 - FILTE"</f>
        <v>1032F939-001/-   ETHERNET CABLE MFR-W939 - FILTE</v>
      </c>
      <c r="L505">
        <v>4</v>
      </c>
      <c r="M505" t="str">
        <f>"יח"</f>
        <v>יח</v>
      </c>
      <c r="N505">
        <v>4</v>
      </c>
      <c r="O505" t="str">
        <f>"יח"</f>
        <v>יח</v>
      </c>
      <c r="P505">
        <v>174</v>
      </c>
      <c r="Q505" t="str">
        <f>"$"</f>
        <v>$</v>
      </c>
      <c r="R505" t="str">
        <f>"הזמנה"</f>
        <v>הזמנה</v>
      </c>
      <c r="S505">
        <v>0</v>
      </c>
      <c r="T505">
        <v>696</v>
      </c>
      <c r="U505">
        <v>0</v>
      </c>
      <c r="V505">
        <v>696</v>
      </c>
      <c r="W505" t="str">
        <f>"$"</f>
        <v>$</v>
      </c>
      <c r="X505">
        <v>0</v>
      </c>
      <c r="Y505">
        <v>0</v>
      </c>
      <c r="Z505">
        <v>0</v>
      </c>
      <c r="AA505" t="str">
        <f>"Y"</f>
        <v>Y</v>
      </c>
      <c r="AB505" t="str">
        <f>"SO20000532"</f>
        <v>SO20000532</v>
      </c>
      <c r="AC505">
        <v>118</v>
      </c>
      <c r="AD505" s="1">
        <v>44155</v>
      </c>
      <c r="AE505" t="str">
        <f>"SH23000712"</f>
        <v>SH23000712</v>
      </c>
      <c r="AF505" t="str">
        <f>"משלוחים ללקוח"</f>
        <v>משלוחים ללקוח</v>
      </c>
      <c r="AG505" s="1">
        <v>45089</v>
      </c>
      <c r="AM505" t="str">
        <f>"10"</f>
        <v>10</v>
      </c>
      <c r="AN505" t="str">
        <f>"500000"</f>
        <v>500000</v>
      </c>
      <c r="AO505" t="str">
        <f>"הכנסות  מלקוחות"</f>
        <v>הכנסות  מלקוחות</v>
      </c>
      <c r="AQ505" t="str">
        <f>"034"</f>
        <v>034</v>
      </c>
      <c r="AR505">
        <v>0</v>
      </c>
      <c r="AS505">
        <v>0</v>
      </c>
      <c r="AT505">
        <v>3.6019999999999999</v>
      </c>
      <c r="AX505" t="str">
        <f>"E000321177"</f>
        <v>E000321177</v>
      </c>
      <c r="BD505" t="str">
        <f>"ערן שלו"</f>
        <v>ערן שלו</v>
      </c>
    </row>
    <row r="506" spans="1:56" x14ac:dyDescent="0.3">
      <c r="A506" s="1">
        <v>45096</v>
      </c>
      <c r="B506" t="str">
        <f>"SI236000831"</f>
        <v>SI236000831</v>
      </c>
      <c r="C506" t="str">
        <f>"PR20000834"</f>
        <v>PR20000834</v>
      </c>
      <c r="D506" t="str">
        <f>"PR20000834"</f>
        <v>PR20000834</v>
      </c>
      <c r="E506" t="str">
        <f>"Y"</f>
        <v>Y</v>
      </c>
      <c r="F506" t="str">
        <f>"חשבוניות מרכזות"</f>
        <v>חשבוניות מרכזות</v>
      </c>
      <c r="G506" t="str">
        <f>"700065"</f>
        <v>700065</v>
      </c>
      <c r="H506" t="str">
        <f>"אלתא מערכות בע""מ"</f>
        <v>אלתא מערכות בע"מ</v>
      </c>
      <c r="I506" t="str">
        <f>"10"</f>
        <v>10</v>
      </c>
      <c r="J506" t="str">
        <f>"OP-AR02124"</f>
        <v>OP-AR02124</v>
      </c>
      <c r="K506" t="str">
        <f>"1032F940-001/-   ETHERNET CABLE MFR-W940 - FILTE"</f>
        <v>1032F940-001/-   ETHERNET CABLE MFR-W940 - FILTE</v>
      </c>
      <c r="L506">
        <v>4</v>
      </c>
      <c r="M506" t="str">
        <f>"יח"</f>
        <v>יח</v>
      </c>
      <c r="N506">
        <v>4</v>
      </c>
      <c r="O506" t="str">
        <f>"יח"</f>
        <v>יח</v>
      </c>
      <c r="P506">
        <v>174</v>
      </c>
      <c r="Q506" t="str">
        <f>"$"</f>
        <v>$</v>
      </c>
      <c r="R506" t="str">
        <f>"הזמנה"</f>
        <v>הזמנה</v>
      </c>
      <c r="S506">
        <v>0</v>
      </c>
      <c r="T506">
        <v>696</v>
      </c>
      <c r="U506">
        <v>0</v>
      </c>
      <c r="V506">
        <v>696</v>
      </c>
      <c r="W506" t="str">
        <f>"$"</f>
        <v>$</v>
      </c>
      <c r="X506">
        <v>0</v>
      </c>
      <c r="Y506">
        <v>0</v>
      </c>
      <c r="Z506">
        <v>0</v>
      </c>
      <c r="AA506" t="str">
        <f>"Y"</f>
        <v>Y</v>
      </c>
      <c r="AB506" t="str">
        <f>"SO20000532"</f>
        <v>SO20000532</v>
      </c>
      <c r="AC506">
        <v>123</v>
      </c>
      <c r="AD506" s="1">
        <v>44155</v>
      </c>
      <c r="AE506" t="str">
        <f>"SH23000712"</f>
        <v>SH23000712</v>
      </c>
      <c r="AF506" t="str">
        <f>"משלוחים ללקוח"</f>
        <v>משלוחים ללקוח</v>
      </c>
      <c r="AG506" s="1">
        <v>45089</v>
      </c>
      <c r="AM506" t="str">
        <f>"10"</f>
        <v>10</v>
      </c>
      <c r="AN506" t="str">
        <f>"500000"</f>
        <v>500000</v>
      </c>
      <c r="AO506" t="str">
        <f>"הכנסות  מלקוחות"</f>
        <v>הכנסות  מלקוחות</v>
      </c>
      <c r="AQ506" t="str">
        <f>"034"</f>
        <v>034</v>
      </c>
      <c r="AR506">
        <v>0</v>
      </c>
      <c r="AS506">
        <v>0</v>
      </c>
      <c r="AT506">
        <v>3.6019999999999999</v>
      </c>
      <c r="AX506" t="str">
        <f>"E000321177"</f>
        <v>E000321177</v>
      </c>
      <c r="BD506" t="str">
        <f>"ערן שלו"</f>
        <v>ערן שלו</v>
      </c>
    </row>
    <row r="507" spans="1:56" x14ac:dyDescent="0.3">
      <c r="A507" s="1">
        <v>45096</v>
      </c>
      <c r="B507" t="str">
        <f>"SI236000831"</f>
        <v>SI236000831</v>
      </c>
      <c r="C507" t="str">
        <f>"PR20000834"</f>
        <v>PR20000834</v>
      </c>
      <c r="D507" t="str">
        <f>"PR20000834"</f>
        <v>PR20000834</v>
      </c>
      <c r="E507" t="str">
        <f>"Y"</f>
        <v>Y</v>
      </c>
      <c r="F507" t="str">
        <f>"חשבוניות מרכזות"</f>
        <v>חשבוניות מרכזות</v>
      </c>
      <c r="G507" t="str">
        <f>"700065"</f>
        <v>700065</v>
      </c>
      <c r="H507" t="str">
        <f>"אלתא מערכות בע""מ"</f>
        <v>אלתא מערכות בע"מ</v>
      </c>
      <c r="I507" t="str">
        <f>"10"</f>
        <v>10</v>
      </c>
      <c r="J507" t="str">
        <f>"OP-AR02124"</f>
        <v>OP-AR02124</v>
      </c>
      <c r="K507" t="str">
        <f>"1032F940-001/-   ETHERNET CABLE MFR-W940 - FILTE"</f>
        <v>1032F940-001/-   ETHERNET CABLE MFR-W940 - FILTE</v>
      </c>
      <c r="L507">
        <v>4</v>
      </c>
      <c r="M507" t="str">
        <f>"יח"</f>
        <v>יח</v>
      </c>
      <c r="N507">
        <v>4</v>
      </c>
      <c r="O507" t="str">
        <f>"יח"</f>
        <v>יח</v>
      </c>
      <c r="P507">
        <v>174</v>
      </c>
      <c r="Q507" t="str">
        <f>"$"</f>
        <v>$</v>
      </c>
      <c r="R507" t="str">
        <f>"הזמנה"</f>
        <v>הזמנה</v>
      </c>
      <c r="S507">
        <v>0</v>
      </c>
      <c r="T507">
        <v>696</v>
      </c>
      <c r="U507">
        <v>0</v>
      </c>
      <c r="V507">
        <v>696</v>
      </c>
      <c r="W507" t="str">
        <f>"$"</f>
        <v>$</v>
      </c>
      <c r="X507">
        <v>0</v>
      </c>
      <c r="Y507">
        <v>0</v>
      </c>
      <c r="Z507">
        <v>0</v>
      </c>
      <c r="AA507" t="str">
        <f>"Y"</f>
        <v>Y</v>
      </c>
      <c r="AB507" t="str">
        <f>"SO20000532"</f>
        <v>SO20000532</v>
      </c>
      <c r="AC507">
        <v>124</v>
      </c>
      <c r="AD507" s="1">
        <v>44155</v>
      </c>
      <c r="AE507" t="str">
        <f>"SH23000712"</f>
        <v>SH23000712</v>
      </c>
      <c r="AF507" t="str">
        <f>"משלוחים ללקוח"</f>
        <v>משלוחים ללקוח</v>
      </c>
      <c r="AG507" s="1">
        <v>45089</v>
      </c>
      <c r="AM507" t="str">
        <f>"10"</f>
        <v>10</v>
      </c>
      <c r="AN507" t="str">
        <f>"500000"</f>
        <v>500000</v>
      </c>
      <c r="AO507" t="str">
        <f>"הכנסות  מלקוחות"</f>
        <v>הכנסות  מלקוחות</v>
      </c>
      <c r="AQ507" t="str">
        <f>"034"</f>
        <v>034</v>
      </c>
      <c r="AR507">
        <v>0</v>
      </c>
      <c r="AS507">
        <v>0</v>
      </c>
      <c r="AT507">
        <v>3.6019999999999999</v>
      </c>
      <c r="AX507" t="str">
        <f>"E000321177"</f>
        <v>E000321177</v>
      </c>
      <c r="BD507" t="str">
        <f>"ערן שלו"</f>
        <v>ערן שלו</v>
      </c>
    </row>
    <row r="508" spans="1:56" x14ac:dyDescent="0.3">
      <c r="A508" s="1">
        <v>45096</v>
      </c>
      <c r="B508" t="str">
        <f>"SI236000831"</f>
        <v>SI236000831</v>
      </c>
      <c r="C508" t="str">
        <f>"PR20000834"</f>
        <v>PR20000834</v>
      </c>
      <c r="D508" t="str">
        <f>"PR20000834"</f>
        <v>PR20000834</v>
      </c>
      <c r="E508" t="str">
        <f>"Y"</f>
        <v>Y</v>
      </c>
      <c r="F508" t="str">
        <f>"חשבוניות מרכזות"</f>
        <v>חשבוניות מרכזות</v>
      </c>
      <c r="G508" t="str">
        <f>"700065"</f>
        <v>700065</v>
      </c>
      <c r="H508" t="str">
        <f>"אלתא מערכות בע""מ"</f>
        <v>אלתא מערכות בע"מ</v>
      </c>
      <c r="I508" t="str">
        <f>"10"</f>
        <v>10</v>
      </c>
      <c r="J508" t="str">
        <f>"OP-AR02125"</f>
        <v>OP-AR02125</v>
      </c>
      <c r="K508" t="str">
        <f>"1032F941-001/-   ETHERNET CABLE MFR-W941 - FILTE"</f>
        <v>1032F941-001/-   ETHERNET CABLE MFR-W941 - FILTE</v>
      </c>
      <c r="L508">
        <v>4</v>
      </c>
      <c r="M508" t="str">
        <f>"יח"</f>
        <v>יח</v>
      </c>
      <c r="N508">
        <v>4</v>
      </c>
      <c r="O508" t="str">
        <f>"יח"</f>
        <v>יח</v>
      </c>
      <c r="P508">
        <v>174</v>
      </c>
      <c r="Q508" t="str">
        <f>"$"</f>
        <v>$</v>
      </c>
      <c r="R508" t="str">
        <f>"הזמנה"</f>
        <v>הזמנה</v>
      </c>
      <c r="S508">
        <v>0</v>
      </c>
      <c r="T508">
        <v>696</v>
      </c>
      <c r="U508">
        <v>0</v>
      </c>
      <c r="V508">
        <v>696</v>
      </c>
      <c r="W508" t="str">
        <f>"$"</f>
        <v>$</v>
      </c>
      <c r="X508">
        <v>0</v>
      </c>
      <c r="Y508">
        <v>0</v>
      </c>
      <c r="Z508">
        <v>0</v>
      </c>
      <c r="AA508" t="str">
        <f>"Y"</f>
        <v>Y</v>
      </c>
      <c r="AB508" t="str">
        <f>"SO20000532"</f>
        <v>SO20000532</v>
      </c>
      <c r="AC508">
        <v>129</v>
      </c>
      <c r="AD508" s="1">
        <v>44155</v>
      </c>
      <c r="AE508" t="str">
        <f>"SH23000712"</f>
        <v>SH23000712</v>
      </c>
      <c r="AF508" t="str">
        <f>"משלוחים ללקוח"</f>
        <v>משלוחים ללקוח</v>
      </c>
      <c r="AG508" s="1">
        <v>45089</v>
      </c>
      <c r="AM508" t="str">
        <f>"10"</f>
        <v>10</v>
      </c>
      <c r="AN508" t="str">
        <f>"500000"</f>
        <v>500000</v>
      </c>
      <c r="AO508" t="str">
        <f>"הכנסות  מלקוחות"</f>
        <v>הכנסות  מלקוחות</v>
      </c>
      <c r="AQ508" t="str">
        <f>"034"</f>
        <v>034</v>
      </c>
      <c r="AR508">
        <v>0</v>
      </c>
      <c r="AS508">
        <v>0</v>
      </c>
      <c r="AT508">
        <v>3.6019999999999999</v>
      </c>
      <c r="AX508" t="str">
        <f>"E000321177"</f>
        <v>E000321177</v>
      </c>
      <c r="BD508" t="str">
        <f>"ערן שלו"</f>
        <v>ערן שלו</v>
      </c>
    </row>
    <row r="509" spans="1:56" x14ac:dyDescent="0.3">
      <c r="A509" s="1">
        <v>45096</v>
      </c>
      <c r="B509" t="str">
        <f>"SI236000831"</f>
        <v>SI236000831</v>
      </c>
      <c r="C509" t="str">
        <f>"PR20000834"</f>
        <v>PR20000834</v>
      </c>
      <c r="D509" t="str">
        <f>"PR20000834"</f>
        <v>PR20000834</v>
      </c>
      <c r="E509" t="str">
        <f>"Y"</f>
        <v>Y</v>
      </c>
      <c r="F509" t="str">
        <f>"חשבוניות מרכזות"</f>
        <v>חשבוניות מרכזות</v>
      </c>
      <c r="G509" t="str">
        <f>"700065"</f>
        <v>700065</v>
      </c>
      <c r="H509" t="str">
        <f>"אלתא מערכות בע""מ"</f>
        <v>אלתא מערכות בע"מ</v>
      </c>
      <c r="I509" t="str">
        <f>"10"</f>
        <v>10</v>
      </c>
      <c r="J509" t="str">
        <f>"OP-AR02125"</f>
        <v>OP-AR02125</v>
      </c>
      <c r="K509" t="str">
        <f>"1032F941-001/-   ETHERNET CABLE MFR-W941 - FILTE"</f>
        <v>1032F941-001/-   ETHERNET CABLE MFR-W941 - FILTE</v>
      </c>
      <c r="L509">
        <v>4</v>
      </c>
      <c r="M509" t="str">
        <f>"יח"</f>
        <v>יח</v>
      </c>
      <c r="N509">
        <v>4</v>
      </c>
      <c r="O509" t="str">
        <f>"יח"</f>
        <v>יח</v>
      </c>
      <c r="P509">
        <v>174</v>
      </c>
      <c r="Q509" t="str">
        <f>"$"</f>
        <v>$</v>
      </c>
      <c r="R509" t="str">
        <f>"הזמנה"</f>
        <v>הזמנה</v>
      </c>
      <c r="S509">
        <v>0</v>
      </c>
      <c r="T509">
        <v>696</v>
      </c>
      <c r="U509">
        <v>0</v>
      </c>
      <c r="V509">
        <v>696</v>
      </c>
      <c r="W509" t="str">
        <f>"$"</f>
        <v>$</v>
      </c>
      <c r="X509">
        <v>0</v>
      </c>
      <c r="Y509">
        <v>0</v>
      </c>
      <c r="Z509">
        <v>0</v>
      </c>
      <c r="AA509" t="str">
        <f>"Y"</f>
        <v>Y</v>
      </c>
      <c r="AB509" t="str">
        <f>"SO20000532"</f>
        <v>SO20000532</v>
      </c>
      <c r="AC509">
        <v>130</v>
      </c>
      <c r="AD509" s="1">
        <v>44155</v>
      </c>
      <c r="AE509" t="str">
        <f>"SH23000712"</f>
        <v>SH23000712</v>
      </c>
      <c r="AF509" t="str">
        <f>"משלוחים ללקוח"</f>
        <v>משלוחים ללקוח</v>
      </c>
      <c r="AG509" s="1">
        <v>45089</v>
      </c>
      <c r="AM509" t="str">
        <f>"10"</f>
        <v>10</v>
      </c>
      <c r="AN509" t="str">
        <f>"500000"</f>
        <v>500000</v>
      </c>
      <c r="AO509" t="str">
        <f>"הכנסות  מלקוחות"</f>
        <v>הכנסות  מלקוחות</v>
      </c>
      <c r="AQ509" t="str">
        <f>"034"</f>
        <v>034</v>
      </c>
      <c r="AR509">
        <v>0</v>
      </c>
      <c r="AS509">
        <v>0</v>
      </c>
      <c r="AT509">
        <v>3.6019999999999999</v>
      </c>
      <c r="AX509" t="str">
        <f>"E000321177"</f>
        <v>E000321177</v>
      </c>
      <c r="BD509" t="str">
        <f>"ערן שלו"</f>
        <v>ערן שלו</v>
      </c>
    </row>
    <row r="510" spans="1:56" x14ac:dyDescent="0.3">
      <c r="A510" s="1">
        <v>45096</v>
      </c>
      <c r="B510" t="str">
        <f>"SI236000831"</f>
        <v>SI236000831</v>
      </c>
      <c r="C510" t="str">
        <f>"PR20000834"</f>
        <v>PR20000834</v>
      </c>
      <c r="D510" t="str">
        <f>"PR20000834"</f>
        <v>PR20000834</v>
      </c>
      <c r="E510" t="str">
        <f>"Y"</f>
        <v>Y</v>
      </c>
      <c r="F510" t="str">
        <f>"חשבוניות מרכזות"</f>
        <v>חשבוניות מרכזות</v>
      </c>
      <c r="G510" t="str">
        <f>"700065"</f>
        <v>700065</v>
      </c>
      <c r="H510" t="str">
        <f>"אלתא מערכות בע""מ"</f>
        <v>אלתא מערכות בע"מ</v>
      </c>
      <c r="I510" t="str">
        <f>"10"</f>
        <v>10</v>
      </c>
      <c r="J510" t="str">
        <f>"OP-AR02122"</f>
        <v>OP-AR02122</v>
      </c>
      <c r="K510" t="str">
        <f>"1032F938-001/-   ETHERNET CABLE MFR-W938 - FILTE"</f>
        <v>1032F938-001/-   ETHERNET CABLE MFR-W938 - FILTE</v>
      </c>
      <c r="L510">
        <v>4</v>
      </c>
      <c r="M510" t="str">
        <f>"יח"</f>
        <v>יח</v>
      </c>
      <c r="N510">
        <v>4</v>
      </c>
      <c r="O510" t="str">
        <f>"יח"</f>
        <v>יח</v>
      </c>
      <c r="P510">
        <v>174</v>
      </c>
      <c r="Q510" t="str">
        <f>"$"</f>
        <v>$</v>
      </c>
      <c r="R510" t="str">
        <f>"הזמנה"</f>
        <v>הזמנה</v>
      </c>
      <c r="S510">
        <v>0</v>
      </c>
      <c r="T510">
        <v>696</v>
      </c>
      <c r="U510">
        <v>0</v>
      </c>
      <c r="V510">
        <v>696</v>
      </c>
      <c r="W510" t="str">
        <f>"$"</f>
        <v>$</v>
      </c>
      <c r="X510">
        <v>0</v>
      </c>
      <c r="Y510">
        <v>0</v>
      </c>
      <c r="Z510">
        <v>0</v>
      </c>
      <c r="AA510" t="str">
        <f>"Y"</f>
        <v>Y</v>
      </c>
      <c r="AB510" t="str">
        <f>"SO20000532"</f>
        <v>SO20000532</v>
      </c>
      <c r="AC510">
        <v>111</v>
      </c>
      <c r="AD510" s="1">
        <v>44155</v>
      </c>
      <c r="AE510" t="str">
        <f>"SH23000712"</f>
        <v>SH23000712</v>
      </c>
      <c r="AF510" t="str">
        <f>"משלוחים ללקוח"</f>
        <v>משלוחים ללקוח</v>
      </c>
      <c r="AG510" s="1">
        <v>45089</v>
      </c>
      <c r="AM510" t="str">
        <f>"10"</f>
        <v>10</v>
      </c>
      <c r="AN510" t="str">
        <f>"500000"</f>
        <v>500000</v>
      </c>
      <c r="AO510" t="str">
        <f>"הכנסות  מלקוחות"</f>
        <v>הכנסות  מלקוחות</v>
      </c>
      <c r="AQ510" t="str">
        <f>"034"</f>
        <v>034</v>
      </c>
      <c r="AR510">
        <v>0</v>
      </c>
      <c r="AS510">
        <v>0</v>
      </c>
      <c r="AT510">
        <v>3.6019999999999999</v>
      </c>
      <c r="AX510" t="str">
        <f>"E000321177"</f>
        <v>E000321177</v>
      </c>
      <c r="BD510" t="str">
        <f>"ערן שלו"</f>
        <v>ערן שלו</v>
      </c>
    </row>
    <row r="511" spans="1:56" x14ac:dyDescent="0.3">
      <c r="A511" s="1">
        <v>45096</v>
      </c>
      <c r="B511" t="str">
        <f>"SI236000831"</f>
        <v>SI236000831</v>
      </c>
      <c r="C511" t="str">
        <f>"PR20000834"</f>
        <v>PR20000834</v>
      </c>
      <c r="D511" t="str">
        <f>"PR20000834"</f>
        <v>PR20000834</v>
      </c>
      <c r="E511" t="str">
        <f>"Y"</f>
        <v>Y</v>
      </c>
      <c r="F511" t="str">
        <f>"חשבוניות מרכזות"</f>
        <v>חשבוניות מרכזות</v>
      </c>
      <c r="G511" t="str">
        <f>"700065"</f>
        <v>700065</v>
      </c>
      <c r="H511" t="str">
        <f>"אלתא מערכות בע""מ"</f>
        <v>אלתא מערכות בע"מ</v>
      </c>
      <c r="I511" t="str">
        <f>"10"</f>
        <v>10</v>
      </c>
      <c r="J511" t="str">
        <f>"OP-AR02122"</f>
        <v>OP-AR02122</v>
      </c>
      <c r="K511" t="str">
        <f>"1032F938-001/-   ETHERNET CABLE MFR-W938 - FILTE"</f>
        <v>1032F938-001/-   ETHERNET CABLE MFR-W938 - FILTE</v>
      </c>
      <c r="L511">
        <v>4</v>
      </c>
      <c r="M511" t="str">
        <f>"יח"</f>
        <v>יח</v>
      </c>
      <c r="N511">
        <v>4</v>
      </c>
      <c r="O511" t="str">
        <f>"יח"</f>
        <v>יח</v>
      </c>
      <c r="P511">
        <v>174</v>
      </c>
      <c r="Q511" t="str">
        <f>"$"</f>
        <v>$</v>
      </c>
      <c r="R511" t="str">
        <f>"הזמנה"</f>
        <v>הזמנה</v>
      </c>
      <c r="S511">
        <v>0</v>
      </c>
      <c r="T511">
        <v>696</v>
      </c>
      <c r="U511">
        <v>0</v>
      </c>
      <c r="V511">
        <v>696</v>
      </c>
      <c r="W511" t="str">
        <f>"$"</f>
        <v>$</v>
      </c>
      <c r="X511">
        <v>0</v>
      </c>
      <c r="Y511">
        <v>0</v>
      </c>
      <c r="Z511">
        <v>0</v>
      </c>
      <c r="AA511" t="str">
        <f>"Y"</f>
        <v>Y</v>
      </c>
      <c r="AB511" t="str">
        <f>"SO20000532"</f>
        <v>SO20000532</v>
      </c>
      <c r="AC511">
        <v>112</v>
      </c>
      <c r="AD511" s="1">
        <v>44155</v>
      </c>
      <c r="AE511" t="str">
        <f>"SH23000712"</f>
        <v>SH23000712</v>
      </c>
      <c r="AF511" t="str">
        <f>"משלוחים ללקוח"</f>
        <v>משלוחים ללקוח</v>
      </c>
      <c r="AG511" s="1">
        <v>45089</v>
      </c>
      <c r="AM511" t="str">
        <f>"10"</f>
        <v>10</v>
      </c>
      <c r="AN511" t="str">
        <f>"500000"</f>
        <v>500000</v>
      </c>
      <c r="AO511" t="str">
        <f>"הכנסות  מלקוחות"</f>
        <v>הכנסות  מלקוחות</v>
      </c>
      <c r="AQ511" t="str">
        <f>"034"</f>
        <v>034</v>
      </c>
      <c r="AR511">
        <v>0</v>
      </c>
      <c r="AS511">
        <v>0</v>
      </c>
      <c r="AT511">
        <v>3.6019999999999999</v>
      </c>
      <c r="AX511" t="str">
        <f>"E000321177"</f>
        <v>E000321177</v>
      </c>
      <c r="BD511" t="str">
        <f>"ערן שלו"</f>
        <v>ערן שלו</v>
      </c>
    </row>
    <row r="512" spans="1:56" x14ac:dyDescent="0.3">
      <c r="A512" s="1">
        <v>45096</v>
      </c>
      <c r="B512" t="str">
        <f>"SI236000830"</f>
        <v>SI236000830</v>
      </c>
      <c r="C512" t="str">
        <f>"PR22000904"</f>
        <v>PR22000904</v>
      </c>
      <c r="E512" t="str">
        <f>"Y"</f>
        <v>Y</v>
      </c>
      <c r="F512" t="str">
        <f>"חשבוניות מרכזות"</f>
        <v>חשבוניות מרכזות</v>
      </c>
      <c r="G512" t="str">
        <f>"700065"</f>
        <v>700065</v>
      </c>
      <c r="H512" t="str">
        <f>"אלתא מערכות בע""מ"</f>
        <v>אלתא מערכות בע"מ</v>
      </c>
      <c r="I512" t="str">
        <f>"15"</f>
        <v>15</v>
      </c>
      <c r="J512" t="str">
        <f>"OP-AR03474"</f>
        <v>OP-AR03474</v>
      </c>
      <c r="K512" t="str">
        <f>"1032F608-001    HARNESS WB608 - LAB - POWER TO OC - 220V"</f>
        <v>1032F608-001    HARNESS WB608 - LAB - POWER TO OC - 220V</v>
      </c>
      <c r="L512">
        <v>1</v>
      </c>
      <c r="M512" t="str">
        <f>"יח"</f>
        <v>יח</v>
      </c>
      <c r="N512">
        <v>1</v>
      </c>
      <c r="O512" t="str">
        <f>"יח"</f>
        <v>יח</v>
      </c>
      <c r="P512">
        <v>215.32</v>
      </c>
      <c r="Q512" t="str">
        <f>"$"</f>
        <v>$</v>
      </c>
      <c r="R512" t="str">
        <f>"הזמנה"</f>
        <v>הזמנה</v>
      </c>
      <c r="S512">
        <v>0</v>
      </c>
      <c r="T512">
        <v>215.32</v>
      </c>
      <c r="U512">
        <v>0</v>
      </c>
      <c r="V512">
        <v>215.32</v>
      </c>
      <c r="W512" t="str">
        <f>"$"</f>
        <v>$</v>
      </c>
      <c r="X512">
        <v>0</v>
      </c>
      <c r="Y512">
        <v>0</v>
      </c>
      <c r="Z512">
        <v>0</v>
      </c>
      <c r="AA512" t="str">
        <f>"Y"</f>
        <v>Y</v>
      </c>
      <c r="AB512" t="str">
        <f>"SO22000469"</f>
        <v>SO22000469</v>
      </c>
      <c r="AC512">
        <v>16</v>
      </c>
      <c r="AD512" s="1">
        <v>44915</v>
      </c>
      <c r="AE512" t="str">
        <f>"SH23000711"</f>
        <v>SH23000711</v>
      </c>
      <c r="AF512" t="str">
        <f>"משלוחים ללקוח"</f>
        <v>משלוחים ללקוח</v>
      </c>
      <c r="AG512" s="1">
        <v>45089</v>
      </c>
      <c r="AM512" t="str">
        <f>"10"</f>
        <v>10</v>
      </c>
      <c r="AN512" t="str">
        <f>"500000"</f>
        <v>500000</v>
      </c>
      <c r="AO512" t="str">
        <f>"הכנסות  מלקוחות"</f>
        <v>הכנסות  מלקוחות</v>
      </c>
      <c r="AQ512" t="str">
        <f>"040"</f>
        <v>040</v>
      </c>
      <c r="AR512">
        <v>0</v>
      </c>
      <c r="AS512">
        <v>0</v>
      </c>
      <c r="AT512">
        <v>3.6019999999999999</v>
      </c>
      <c r="AX512" t="str">
        <f>"E000374099"</f>
        <v>E000374099</v>
      </c>
      <c r="BD512" t="str">
        <f>"רחמים זרוק"</f>
        <v>רחמים זרוק</v>
      </c>
    </row>
    <row r="513" spans="1:56" x14ac:dyDescent="0.3">
      <c r="A513" s="1">
        <v>45096</v>
      </c>
      <c r="B513" t="str">
        <f>"SI236000830"</f>
        <v>SI236000830</v>
      </c>
      <c r="C513" t="str">
        <f>"PR22000904"</f>
        <v>PR22000904</v>
      </c>
      <c r="E513" t="str">
        <f>"Y"</f>
        <v>Y</v>
      </c>
      <c r="F513" t="str">
        <f>"חשבוניות מרכזות"</f>
        <v>חשבוניות מרכזות</v>
      </c>
      <c r="G513" t="str">
        <f>"700065"</f>
        <v>700065</v>
      </c>
      <c r="H513" t="str">
        <f>"אלתא מערכות בע""מ"</f>
        <v>אלתא מערכות בע"מ</v>
      </c>
      <c r="I513" t="str">
        <f>"15"</f>
        <v>15</v>
      </c>
      <c r="J513" t="str">
        <f>"OP-AR03477"</f>
        <v>OP-AR03477</v>
      </c>
      <c r="K513" t="str">
        <f>"1032F613-001    HARNESS WB613 - LAB - HVPS_RACK TO SHELT"</f>
        <v>1032F613-001    HARNESS WB613 - LAB - HVPS_RACK TO SHELT</v>
      </c>
      <c r="L513">
        <v>1</v>
      </c>
      <c r="M513" t="str">
        <f>"יח"</f>
        <v>יח</v>
      </c>
      <c r="N513">
        <v>1</v>
      </c>
      <c r="O513" t="str">
        <f>"יח"</f>
        <v>יח</v>
      </c>
      <c r="P513" s="2">
        <v>4196.28</v>
      </c>
      <c r="Q513" t="str">
        <f>"$"</f>
        <v>$</v>
      </c>
      <c r="R513" t="str">
        <f>"הזמנה"</f>
        <v>הזמנה</v>
      </c>
      <c r="S513">
        <v>0</v>
      </c>
      <c r="T513" s="2">
        <v>4196.28</v>
      </c>
      <c r="U513">
        <v>0</v>
      </c>
      <c r="V513" s="2">
        <v>4196.28</v>
      </c>
      <c r="W513" t="str">
        <f>"$"</f>
        <v>$</v>
      </c>
      <c r="X513">
        <v>0</v>
      </c>
      <c r="Y513">
        <v>0</v>
      </c>
      <c r="Z513">
        <v>0</v>
      </c>
      <c r="AA513" t="str">
        <f>"Y"</f>
        <v>Y</v>
      </c>
      <c r="AB513" t="str">
        <f>"SO22000469"</f>
        <v>SO22000469</v>
      </c>
      <c r="AC513">
        <v>19</v>
      </c>
      <c r="AD513" s="1">
        <v>44915</v>
      </c>
      <c r="AE513" t="str">
        <f>"SH23000711"</f>
        <v>SH23000711</v>
      </c>
      <c r="AF513" t="str">
        <f>"משלוחים ללקוח"</f>
        <v>משלוחים ללקוח</v>
      </c>
      <c r="AG513" s="1">
        <v>45089</v>
      </c>
      <c r="AM513" t="str">
        <f>"10"</f>
        <v>10</v>
      </c>
      <c r="AN513" t="str">
        <f>"500000"</f>
        <v>500000</v>
      </c>
      <c r="AO513" t="str">
        <f>"הכנסות  מלקוחות"</f>
        <v>הכנסות  מלקוחות</v>
      </c>
      <c r="AQ513" t="str">
        <f>"040"</f>
        <v>040</v>
      </c>
      <c r="AR513">
        <v>0</v>
      </c>
      <c r="AS513">
        <v>0</v>
      </c>
      <c r="AT513">
        <v>3.6019999999999999</v>
      </c>
      <c r="AX513" t="str">
        <f>"E000374099"</f>
        <v>E000374099</v>
      </c>
      <c r="BD513" t="str">
        <f>"רחמים זרוק"</f>
        <v>רחמים זרוק</v>
      </c>
    </row>
    <row r="514" spans="1:56" x14ac:dyDescent="0.3">
      <c r="A514" s="1">
        <v>45096</v>
      </c>
      <c r="B514" t="str">
        <f>"SI236000830"</f>
        <v>SI236000830</v>
      </c>
      <c r="C514" t="str">
        <f>"PR22000904"</f>
        <v>PR22000904</v>
      </c>
      <c r="E514" t="str">
        <f>"Y"</f>
        <v>Y</v>
      </c>
      <c r="F514" t="str">
        <f>"חשבוניות מרכזות"</f>
        <v>חשבוניות מרכזות</v>
      </c>
      <c r="G514" t="str">
        <f>"700065"</f>
        <v>700065</v>
      </c>
      <c r="H514" t="str">
        <f>"אלתא מערכות בע""מ"</f>
        <v>אלתא מערכות בע"מ</v>
      </c>
      <c r="I514" t="str">
        <f>"15"</f>
        <v>15</v>
      </c>
      <c r="J514" t="str">
        <f>"OP-AR03487"</f>
        <v>OP-AR03487</v>
      </c>
      <c r="K514" t="str">
        <f>"1032F748-001    HARNESS W748 - RSU FRONT DEBUG"</f>
        <v>1032F748-001    HARNESS W748 - RSU FRONT DEBUG</v>
      </c>
      <c r="L514">
        <v>1</v>
      </c>
      <c r="M514" t="str">
        <f>"יח"</f>
        <v>יח</v>
      </c>
      <c r="N514">
        <v>1</v>
      </c>
      <c r="O514" t="str">
        <f>"יח"</f>
        <v>יח</v>
      </c>
      <c r="P514" s="2">
        <v>1201.02</v>
      </c>
      <c r="Q514" t="str">
        <f>"$"</f>
        <v>$</v>
      </c>
      <c r="R514" t="str">
        <f>"הזמנה"</f>
        <v>הזמנה</v>
      </c>
      <c r="S514">
        <v>0</v>
      </c>
      <c r="T514" s="2">
        <v>1201.02</v>
      </c>
      <c r="U514">
        <v>0</v>
      </c>
      <c r="V514" s="2">
        <v>1201.02</v>
      </c>
      <c r="W514" t="str">
        <f>"$"</f>
        <v>$</v>
      </c>
      <c r="X514">
        <v>0</v>
      </c>
      <c r="Y514">
        <v>0</v>
      </c>
      <c r="Z514">
        <v>0</v>
      </c>
      <c r="AA514" t="str">
        <f>"Y"</f>
        <v>Y</v>
      </c>
      <c r="AB514" t="str">
        <f>"SO22000469"</f>
        <v>SO22000469</v>
      </c>
      <c r="AC514">
        <v>31</v>
      </c>
      <c r="AD514" s="1">
        <v>44915</v>
      </c>
      <c r="AE514" t="str">
        <f>"SH23000711"</f>
        <v>SH23000711</v>
      </c>
      <c r="AF514" t="str">
        <f>"משלוחים ללקוח"</f>
        <v>משלוחים ללקוח</v>
      </c>
      <c r="AG514" s="1">
        <v>45089</v>
      </c>
      <c r="AM514" t="str">
        <f>"10"</f>
        <v>10</v>
      </c>
      <c r="AN514" t="str">
        <f>"500000"</f>
        <v>500000</v>
      </c>
      <c r="AO514" t="str">
        <f>"הכנסות  מלקוחות"</f>
        <v>הכנסות  מלקוחות</v>
      </c>
      <c r="AQ514" t="str">
        <f>"040"</f>
        <v>040</v>
      </c>
      <c r="AR514">
        <v>0</v>
      </c>
      <c r="AS514">
        <v>0</v>
      </c>
      <c r="AT514">
        <v>3.6019999999999999</v>
      </c>
      <c r="AX514" t="str">
        <f>"E000374099"</f>
        <v>E000374099</v>
      </c>
      <c r="BD514" t="str">
        <f>"רחמים זרוק"</f>
        <v>רחמים זרוק</v>
      </c>
    </row>
    <row r="515" spans="1:56" x14ac:dyDescent="0.3">
      <c r="A515" s="1">
        <v>45096</v>
      </c>
      <c r="B515" t="str">
        <f>"SI236000830"</f>
        <v>SI236000830</v>
      </c>
      <c r="C515" t="str">
        <f>"PR22000904"</f>
        <v>PR22000904</v>
      </c>
      <c r="E515" t="str">
        <f>"Y"</f>
        <v>Y</v>
      </c>
      <c r="F515" t="str">
        <f>"חשבוניות מרכזות"</f>
        <v>חשבוניות מרכזות</v>
      </c>
      <c r="G515" t="str">
        <f>"700065"</f>
        <v>700065</v>
      </c>
      <c r="H515" t="str">
        <f>"אלתא מערכות בע""מ"</f>
        <v>אלתא מערכות בע"מ</v>
      </c>
      <c r="I515" t="str">
        <f>"15"</f>
        <v>15</v>
      </c>
      <c r="J515" t="str">
        <f>"OP-AR03493"</f>
        <v>OP-AR03493</v>
      </c>
      <c r="K515" t="str">
        <f>"1036C704-001    HARNESS WE004 - EPU1 - POWER PDU TO OTXU"</f>
        <v>1036C704-001    HARNESS WE004 - EPU1 - POWER PDU TO OTXU</v>
      </c>
      <c r="L515">
        <v>1</v>
      </c>
      <c r="M515" t="str">
        <f>"יח"</f>
        <v>יח</v>
      </c>
      <c r="N515">
        <v>1</v>
      </c>
      <c r="O515" t="str">
        <f>"יח"</f>
        <v>יח</v>
      </c>
      <c r="P515">
        <v>419.72</v>
      </c>
      <c r="Q515" t="str">
        <f>"$"</f>
        <v>$</v>
      </c>
      <c r="R515" t="str">
        <f>"הזמנה"</f>
        <v>הזמנה</v>
      </c>
      <c r="S515">
        <v>0</v>
      </c>
      <c r="T515">
        <v>419.72</v>
      </c>
      <c r="U515">
        <v>0</v>
      </c>
      <c r="V515">
        <v>419.72</v>
      </c>
      <c r="W515" t="str">
        <f>"$"</f>
        <v>$</v>
      </c>
      <c r="X515">
        <v>0</v>
      </c>
      <c r="Y515">
        <v>0</v>
      </c>
      <c r="Z515">
        <v>0</v>
      </c>
      <c r="AA515" t="str">
        <f>"Y"</f>
        <v>Y</v>
      </c>
      <c r="AB515" t="str">
        <f>"SO22000469"</f>
        <v>SO22000469</v>
      </c>
      <c r="AC515">
        <v>37</v>
      </c>
      <c r="AD515" s="1">
        <v>44915</v>
      </c>
      <c r="AE515" t="str">
        <f>"SH23000711"</f>
        <v>SH23000711</v>
      </c>
      <c r="AF515" t="str">
        <f>"משלוחים ללקוח"</f>
        <v>משלוחים ללקוח</v>
      </c>
      <c r="AG515" s="1">
        <v>45089</v>
      </c>
      <c r="AM515" t="str">
        <f>"10"</f>
        <v>10</v>
      </c>
      <c r="AN515" t="str">
        <f>"500000"</f>
        <v>500000</v>
      </c>
      <c r="AO515" t="str">
        <f>"הכנסות  מלקוחות"</f>
        <v>הכנסות  מלקוחות</v>
      </c>
      <c r="AQ515" t="str">
        <f>"040"</f>
        <v>040</v>
      </c>
      <c r="AR515">
        <v>0</v>
      </c>
      <c r="AS515">
        <v>0</v>
      </c>
      <c r="AT515">
        <v>3.6019999999999999</v>
      </c>
      <c r="AX515" t="str">
        <f>"E000374099"</f>
        <v>E000374099</v>
      </c>
      <c r="BD515" t="str">
        <f>"רחמים זרוק"</f>
        <v>רחמים זרוק</v>
      </c>
    </row>
    <row r="516" spans="1:56" x14ac:dyDescent="0.3">
      <c r="A516" s="1">
        <v>45096</v>
      </c>
      <c r="B516" t="str">
        <f>"SI236000830"</f>
        <v>SI236000830</v>
      </c>
      <c r="C516" t="str">
        <f>"PR22000904"</f>
        <v>PR22000904</v>
      </c>
      <c r="E516" t="str">
        <f>"Y"</f>
        <v>Y</v>
      </c>
      <c r="F516" t="str">
        <f>"חשבוניות מרכזות"</f>
        <v>חשבוניות מרכזות</v>
      </c>
      <c r="G516" t="str">
        <f>"700065"</f>
        <v>700065</v>
      </c>
      <c r="H516" t="str">
        <f>"אלתא מערכות בע""מ"</f>
        <v>אלתא מערכות בע"מ</v>
      </c>
      <c r="I516" t="str">
        <f>"15"</f>
        <v>15</v>
      </c>
      <c r="J516" t="str">
        <f>"OP-AR03495"</f>
        <v>OP-AR03495</v>
      </c>
      <c r="K516" t="str">
        <f>"1036C707-001    HARNESS WE007 - EPU1 - POWER PDU TO RC"</f>
        <v>1036C707-001    HARNESS WE007 - EPU1 - POWER PDU TO RC</v>
      </c>
      <c r="L516">
        <v>1</v>
      </c>
      <c r="M516" t="str">
        <f>"יח"</f>
        <v>יח</v>
      </c>
      <c r="N516">
        <v>1</v>
      </c>
      <c r="O516" t="str">
        <f>"יח"</f>
        <v>יח</v>
      </c>
      <c r="P516">
        <v>655.1</v>
      </c>
      <c r="Q516" t="str">
        <f>"$"</f>
        <v>$</v>
      </c>
      <c r="R516" t="str">
        <f>"הזמנה"</f>
        <v>הזמנה</v>
      </c>
      <c r="S516">
        <v>0</v>
      </c>
      <c r="T516">
        <v>655.1</v>
      </c>
      <c r="U516">
        <v>0</v>
      </c>
      <c r="V516">
        <v>655.1</v>
      </c>
      <c r="W516" t="str">
        <f>"$"</f>
        <v>$</v>
      </c>
      <c r="X516">
        <v>0</v>
      </c>
      <c r="Y516">
        <v>0</v>
      </c>
      <c r="Z516">
        <v>0</v>
      </c>
      <c r="AA516" t="str">
        <f>"Y"</f>
        <v>Y</v>
      </c>
      <c r="AB516" t="str">
        <f>"SO22000469"</f>
        <v>SO22000469</v>
      </c>
      <c r="AC516">
        <v>39</v>
      </c>
      <c r="AD516" s="1">
        <v>44915</v>
      </c>
      <c r="AE516" t="str">
        <f>"SH23000711"</f>
        <v>SH23000711</v>
      </c>
      <c r="AF516" t="str">
        <f>"משלוחים ללקוח"</f>
        <v>משלוחים ללקוח</v>
      </c>
      <c r="AG516" s="1">
        <v>45089</v>
      </c>
      <c r="AM516" t="str">
        <f>"10"</f>
        <v>10</v>
      </c>
      <c r="AN516" t="str">
        <f>"500000"</f>
        <v>500000</v>
      </c>
      <c r="AO516" t="str">
        <f>"הכנסות  מלקוחות"</f>
        <v>הכנסות  מלקוחות</v>
      </c>
      <c r="AQ516" t="str">
        <f>"040"</f>
        <v>040</v>
      </c>
      <c r="AR516">
        <v>0</v>
      </c>
      <c r="AS516">
        <v>0</v>
      </c>
      <c r="AT516">
        <v>3.6019999999999999</v>
      </c>
      <c r="AX516" t="str">
        <f>"E000374099"</f>
        <v>E000374099</v>
      </c>
      <c r="BD516" t="str">
        <f>"רחמים זרוק"</f>
        <v>רחמים זרוק</v>
      </c>
    </row>
    <row r="517" spans="1:56" x14ac:dyDescent="0.3">
      <c r="A517" s="1">
        <v>45096</v>
      </c>
      <c r="B517" t="str">
        <f>"SI236000830"</f>
        <v>SI236000830</v>
      </c>
      <c r="C517" t="str">
        <f>"PR22000904"</f>
        <v>PR22000904</v>
      </c>
      <c r="E517" t="str">
        <f>"Y"</f>
        <v>Y</v>
      </c>
      <c r="F517" t="str">
        <f>"חשבוניות מרכזות"</f>
        <v>חשבוניות מרכזות</v>
      </c>
      <c r="G517" t="str">
        <f>"700065"</f>
        <v>700065</v>
      </c>
      <c r="H517" t="str">
        <f>"אלתא מערכות בע""מ"</f>
        <v>אלתא מערכות בע"מ</v>
      </c>
      <c r="I517" t="str">
        <f>"15"</f>
        <v>15</v>
      </c>
      <c r="J517" t="str">
        <f>"OP-AR03500"</f>
        <v>OP-AR03500</v>
      </c>
      <c r="K517" t="str">
        <f>"1036C713-001    HARNESS WE013 - EPU1 - POWER PDU TO KVM"</f>
        <v>1036C713-001    HARNESS WE013 - EPU1 - POWER PDU TO KVM</v>
      </c>
      <c r="L517">
        <v>1</v>
      </c>
      <c r="M517" t="str">
        <f>"יח"</f>
        <v>יח</v>
      </c>
      <c r="N517">
        <v>1</v>
      </c>
      <c r="O517" t="str">
        <f>"יח"</f>
        <v>יח</v>
      </c>
      <c r="P517">
        <v>267.99</v>
      </c>
      <c r="Q517" t="str">
        <f>"$"</f>
        <v>$</v>
      </c>
      <c r="R517" t="str">
        <f>"הזמנה"</f>
        <v>הזמנה</v>
      </c>
      <c r="S517">
        <v>0</v>
      </c>
      <c r="T517">
        <v>267.99</v>
      </c>
      <c r="U517">
        <v>0</v>
      </c>
      <c r="V517">
        <v>267.99</v>
      </c>
      <c r="W517" t="str">
        <f>"$"</f>
        <v>$</v>
      </c>
      <c r="X517">
        <v>0</v>
      </c>
      <c r="Y517">
        <v>0</v>
      </c>
      <c r="Z517">
        <v>0</v>
      </c>
      <c r="AA517" t="str">
        <f>"Y"</f>
        <v>Y</v>
      </c>
      <c r="AB517" t="str">
        <f>"SO22000469"</f>
        <v>SO22000469</v>
      </c>
      <c r="AC517">
        <v>44</v>
      </c>
      <c r="AD517" s="1">
        <v>44915</v>
      </c>
      <c r="AE517" t="str">
        <f>"SH23000711"</f>
        <v>SH23000711</v>
      </c>
      <c r="AF517" t="str">
        <f>"משלוחים ללקוח"</f>
        <v>משלוחים ללקוח</v>
      </c>
      <c r="AG517" s="1">
        <v>45089</v>
      </c>
      <c r="AM517" t="str">
        <f>"10"</f>
        <v>10</v>
      </c>
      <c r="AN517" t="str">
        <f>"500000"</f>
        <v>500000</v>
      </c>
      <c r="AO517" t="str">
        <f>"הכנסות  מלקוחות"</f>
        <v>הכנסות  מלקוחות</v>
      </c>
      <c r="AQ517" t="str">
        <f>"040"</f>
        <v>040</v>
      </c>
      <c r="AR517">
        <v>0</v>
      </c>
      <c r="AS517">
        <v>0</v>
      </c>
      <c r="AT517">
        <v>3.6019999999999999</v>
      </c>
      <c r="AX517" t="str">
        <f>"E000374099"</f>
        <v>E000374099</v>
      </c>
      <c r="BD517" t="str">
        <f>"רחמים זרוק"</f>
        <v>רחמים זרוק</v>
      </c>
    </row>
    <row r="518" spans="1:56" x14ac:dyDescent="0.3">
      <c r="A518" s="1">
        <v>45096</v>
      </c>
      <c r="B518" t="str">
        <f>"SI236000830"</f>
        <v>SI236000830</v>
      </c>
      <c r="C518" t="str">
        <f>"PR22000904"</f>
        <v>PR22000904</v>
      </c>
      <c r="E518" t="str">
        <f>"Y"</f>
        <v>Y</v>
      </c>
      <c r="F518" t="str">
        <f>"חשבוניות מרכזות"</f>
        <v>חשבוניות מרכזות</v>
      </c>
      <c r="G518" t="str">
        <f>"700065"</f>
        <v>700065</v>
      </c>
      <c r="H518" t="str">
        <f>"אלתא מערכות בע""מ"</f>
        <v>אלתא מערכות בע"מ</v>
      </c>
      <c r="I518" t="str">
        <f>"15"</f>
        <v>15</v>
      </c>
      <c r="J518" t="str">
        <f>"OP-AR03501"</f>
        <v>OP-AR03501</v>
      </c>
      <c r="K518" t="str">
        <f>"1036C719-001    HARNESS WE019 - EPU1 - ETHERNET ETH TO P"</f>
        <v>1036C719-001    HARNESS WE019 - EPU1 - ETHERNET ETH TO P</v>
      </c>
      <c r="L518">
        <v>1</v>
      </c>
      <c r="M518" t="str">
        <f>"יח"</f>
        <v>יח</v>
      </c>
      <c r="N518">
        <v>1</v>
      </c>
      <c r="O518" t="str">
        <f>"יח"</f>
        <v>יח</v>
      </c>
      <c r="P518">
        <v>327.31</v>
      </c>
      <c r="Q518" t="str">
        <f>"$"</f>
        <v>$</v>
      </c>
      <c r="R518" t="str">
        <f>"הזמנה"</f>
        <v>הזמנה</v>
      </c>
      <c r="S518">
        <v>0</v>
      </c>
      <c r="T518">
        <v>327.31</v>
      </c>
      <c r="U518">
        <v>0</v>
      </c>
      <c r="V518">
        <v>327.31</v>
      </c>
      <c r="W518" t="str">
        <f>"$"</f>
        <v>$</v>
      </c>
      <c r="X518">
        <v>0</v>
      </c>
      <c r="Y518">
        <v>0</v>
      </c>
      <c r="Z518">
        <v>0</v>
      </c>
      <c r="AA518" t="str">
        <f>"Y"</f>
        <v>Y</v>
      </c>
      <c r="AB518" t="str">
        <f>"SO22000469"</f>
        <v>SO22000469</v>
      </c>
      <c r="AC518">
        <v>45</v>
      </c>
      <c r="AD518" s="1">
        <v>44915</v>
      </c>
      <c r="AE518" t="str">
        <f>"SH23000711"</f>
        <v>SH23000711</v>
      </c>
      <c r="AF518" t="str">
        <f>"משלוחים ללקוח"</f>
        <v>משלוחים ללקוח</v>
      </c>
      <c r="AG518" s="1">
        <v>45089</v>
      </c>
      <c r="AM518" t="str">
        <f>"10"</f>
        <v>10</v>
      </c>
      <c r="AN518" t="str">
        <f>"500000"</f>
        <v>500000</v>
      </c>
      <c r="AO518" t="str">
        <f>"הכנסות  מלקוחות"</f>
        <v>הכנסות  מלקוחות</v>
      </c>
      <c r="AQ518" t="str">
        <f>"040"</f>
        <v>040</v>
      </c>
      <c r="AR518">
        <v>0</v>
      </c>
      <c r="AS518">
        <v>0</v>
      </c>
      <c r="AT518">
        <v>3.6019999999999999</v>
      </c>
      <c r="AX518" t="str">
        <f>"E000374099"</f>
        <v>E000374099</v>
      </c>
      <c r="BD518" t="str">
        <f>"רחמים זרוק"</f>
        <v>רחמים זרוק</v>
      </c>
    </row>
    <row r="519" spans="1:56" x14ac:dyDescent="0.3">
      <c r="A519" s="1">
        <v>45096</v>
      </c>
      <c r="B519" t="str">
        <f>"SI236000830"</f>
        <v>SI236000830</v>
      </c>
      <c r="C519" t="str">
        <f>"PR22000904"</f>
        <v>PR22000904</v>
      </c>
      <c r="E519" t="str">
        <f>"Y"</f>
        <v>Y</v>
      </c>
      <c r="F519" t="str">
        <f>"חשבוניות מרכזות"</f>
        <v>חשבוניות מרכזות</v>
      </c>
      <c r="G519" t="str">
        <f>"700065"</f>
        <v>700065</v>
      </c>
      <c r="H519" t="str">
        <f>"אלתא מערכות בע""מ"</f>
        <v>אלתא מערכות בע"מ</v>
      </c>
      <c r="I519" t="str">
        <f>"15"</f>
        <v>15</v>
      </c>
      <c r="J519" t="str">
        <f>"OP-AR03502"</f>
        <v>OP-AR03502</v>
      </c>
      <c r="K519" t="str">
        <f>"1036C720-001    HARNESS WE020 - EPU1 - ETHERNET ETH TO P"</f>
        <v>1036C720-001    HARNESS WE020 - EPU1 - ETHERNET ETH TO P</v>
      </c>
      <c r="L519">
        <v>1</v>
      </c>
      <c r="M519" t="str">
        <f>"יח"</f>
        <v>יח</v>
      </c>
      <c r="N519">
        <v>1</v>
      </c>
      <c r="O519" t="str">
        <f>"יח"</f>
        <v>יח</v>
      </c>
      <c r="P519">
        <v>461.21</v>
      </c>
      <c r="Q519" t="str">
        <f>"$"</f>
        <v>$</v>
      </c>
      <c r="R519" t="str">
        <f>"הזמנה"</f>
        <v>הזמנה</v>
      </c>
      <c r="S519">
        <v>0</v>
      </c>
      <c r="T519">
        <v>461.21</v>
      </c>
      <c r="U519">
        <v>0</v>
      </c>
      <c r="V519">
        <v>461.21</v>
      </c>
      <c r="W519" t="str">
        <f>"$"</f>
        <v>$</v>
      </c>
      <c r="X519">
        <v>0</v>
      </c>
      <c r="Y519">
        <v>0</v>
      </c>
      <c r="Z519">
        <v>0</v>
      </c>
      <c r="AA519" t="str">
        <f>"Y"</f>
        <v>Y</v>
      </c>
      <c r="AB519" t="str">
        <f>"SO22000469"</f>
        <v>SO22000469</v>
      </c>
      <c r="AC519">
        <v>46</v>
      </c>
      <c r="AD519" s="1">
        <v>44915</v>
      </c>
      <c r="AE519" t="str">
        <f>"SH23000711"</f>
        <v>SH23000711</v>
      </c>
      <c r="AF519" t="str">
        <f>"משלוחים ללקוח"</f>
        <v>משלוחים ללקוח</v>
      </c>
      <c r="AG519" s="1">
        <v>45089</v>
      </c>
      <c r="AM519" t="str">
        <f>"10"</f>
        <v>10</v>
      </c>
      <c r="AN519" t="str">
        <f>"500000"</f>
        <v>500000</v>
      </c>
      <c r="AO519" t="str">
        <f>"הכנסות  מלקוחות"</f>
        <v>הכנסות  מלקוחות</v>
      </c>
      <c r="AQ519" t="str">
        <f>"040"</f>
        <v>040</v>
      </c>
      <c r="AR519">
        <v>0</v>
      </c>
      <c r="AS519">
        <v>0</v>
      </c>
      <c r="AT519">
        <v>3.6019999999999999</v>
      </c>
      <c r="AX519" t="str">
        <f>"E000374099"</f>
        <v>E000374099</v>
      </c>
      <c r="BD519" t="str">
        <f>"רחמים זרוק"</f>
        <v>רחמים זרוק</v>
      </c>
    </row>
    <row r="520" spans="1:56" x14ac:dyDescent="0.3">
      <c r="A520" s="1">
        <v>45096</v>
      </c>
      <c r="B520" t="str">
        <f>"SI236000830"</f>
        <v>SI236000830</v>
      </c>
      <c r="C520" t="str">
        <f>"PR22000904"</f>
        <v>PR22000904</v>
      </c>
      <c r="E520" t="str">
        <f>"Y"</f>
        <v>Y</v>
      </c>
      <c r="F520" t="str">
        <f>"חשבוניות מרכזות"</f>
        <v>חשבוניות מרכזות</v>
      </c>
      <c r="G520" t="str">
        <f>"700065"</f>
        <v>700065</v>
      </c>
      <c r="H520" t="str">
        <f>"אלתא מערכות בע""מ"</f>
        <v>אלתא מערכות בע"מ</v>
      </c>
      <c r="I520" t="str">
        <f>"15"</f>
        <v>15</v>
      </c>
      <c r="J520" t="str">
        <f>"OP-AR03503"</f>
        <v>OP-AR03503</v>
      </c>
      <c r="K520" t="str">
        <f>"1036C721-001    HARNESS WE021 - EPU1 - ETHERNET ETH TO P"</f>
        <v>1036C721-001    HARNESS WE021 - EPU1 - ETHERNET ETH TO P</v>
      </c>
      <c r="L520">
        <v>1</v>
      </c>
      <c r="M520" t="str">
        <f>"יח"</f>
        <v>יח</v>
      </c>
      <c r="N520">
        <v>1</v>
      </c>
      <c r="O520" t="str">
        <f>"יח"</f>
        <v>יח</v>
      </c>
      <c r="P520">
        <v>431.73</v>
      </c>
      <c r="Q520" t="str">
        <f>"$"</f>
        <v>$</v>
      </c>
      <c r="R520" t="str">
        <f>"הזמנה"</f>
        <v>הזמנה</v>
      </c>
      <c r="S520">
        <v>0</v>
      </c>
      <c r="T520">
        <v>431.73</v>
      </c>
      <c r="U520">
        <v>0</v>
      </c>
      <c r="V520">
        <v>431.73</v>
      </c>
      <c r="W520" t="str">
        <f>"$"</f>
        <v>$</v>
      </c>
      <c r="X520">
        <v>0</v>
      </c>
      <c r="Y520">
        <v>0</v>
      </c>
      <c r="Z520">
        <v>0</v>
      </c>
      <c r="AA520" t="str">
        <f>"Y"</f>
        <v>Y</v>
      </c>
      <c r="AB520" t="str">
        <f>"SO22000469"</f>
        <v>SO22000469</v>
      </c>
      <c r="AC520">
        <v>47</v>
      </c>
      <c r="AD520" s="1">
        <v>44915</v>
      </c>
      <c r="AE520" t="str">
        <f>"SH23000711"</f>
        <v>SH23000711</v>
      </c>
      <c r="AF520" t="str">
        <f>"משלוחים ללקוח"</f>
        <v>משלוחים ללקוח</v>
      </c>
      <c r="AG520" s="1">
        <v>45089</v>
      </c>
      <c r="AM520" t="str">
        <f>"10"</f>
        <v>10</v>
      </c>
      <c r="AN520" t="str">
        <f>"500000"</f>
        <v>500000</v>
      </c>
      <c r="AO520" t="str">
        <f>"הכנסות  מלקוחות"</f>
        <v>הכנסות  מלקוחות</v>
      </c>
      <c r="AQ520" t="str">
        <f>"040"</f>
        <v>040</v>
      </c>
      <c r="AR520">
        <v>0</v>
      </c>
      <c r="AS520">
        <v>0</v>
      </c>
      <c r="AT520">
        <v>3.6019999999999999</v>
      </c>
      <c r="AX520" t="str">
        <f>"E000374099"</f>
        <v>E000374099</v>
      </c>
      <c r="BD520" t="str">
        <f>"רחמים זרוק"</f>
        <v>רחמים זרוק</v>
      </c>
    </row>
    <row r="521" spans="1:56" x14ac:dyDescent="0.3">
      <c r="A521" s="1">
        <v>45096</v>
      </c>
      <c r="B521" t="str">
        <f>"SI236000830"</f>
        <v>SI236000830</v>
      </c>
      <c r="C521" t="str">
        <f>"PR22000904"</f>
        <v>PR22000904</v>
      </c>
      <c r="E521" t="str">
        <f>"Y"</f>
        <v>Y</v>
      </c>
      <c r="F521" t="str">
        <f>"חשבוניות מרכזות"</f>
        <v>חשבוניות מרכזות</v>
      </c>
      <c r="G521" t="str">
        <f>"700065"</f>
        <v>700065</v>
      </c>
      <c r="H521" t="str">
        <f>"אלתא מערכות בע""מ"</f>
        <v>אלתא מערכות בע"מ</v>
      </c>
      <c r="I521" t="str">
        <f>"15"</f>
        <v>15</v>
      </c>
      <c r="J521" t="str">
        <f>"OP-AR03505"</f>
        <v>OP-AR03505</v>
      </c>
      <c r="K521" t="str">
        <f>"1036C723-001    HARNESS WE023 - EPU1 - ETHERNET ETH TO P"</f>
        <v>1036C723-001    HARNESS WE023 - EPU1 - ETHERNET ETH TO P</v>
      </c>
      <c r="L521">
        <v>1</v>
      </c>
      <c r="M521" t="str">
        <f>"יח"</f>
        <v>יח</v>
      </c>
      <c r="N521">
        <v>1</v>
      </c>
      <c r="O521" t="str">
        <f>"יח"</f>
        <v>יח</v>
      </c>
      <c r="P521">
        <v>461.21</v>
      </c>
      <c r="Q521" t="str">
        <f>"$"</f>
        <v>$</v>
      </c>
      <c r="R521" t="str">
        <f>"הזמנה"</f>
        <v>הזמנה</v>
      </c>
      <c r="S521">
        <v>0</v>
      </c>
      <c r="T521">
        <v>461.21</v>
      </c>
      <c r="U521">
        <v>0</v>
      </c>
      <c r="V521">
        <v>461.21</v>
      </c>
      <c r="W521" t="str">
        <f>"$"</f>
        <v>$</v>
      </c>
      <c r="X521">
        <v>0</v>
      </c>
      <c r="Y521">
        <v>0</v>
      </c>
      <c r="Z521">
        <v>0</v>
      </c>
      <c r="AA521" t="str">
        <f>"Y"</f>
        <v>Y</v>
      </c>
      <c r="AB521" t="str">
        <f>"SO22000469"</f>
        <v>SO22000469</v>
      </c>
      <c r="AC521">
        <v>49</v>
      </c>
      <c r="AD521" s="1">
        <v>44915</v>
      </c>
      <c r="AE521" t="str">
        <f>"SH23000711"</f>
        <v>SH23000711</v>
      </c>
      <c r="AF521" t="str">
        <f>"משלוחים ללקוח"</f>
        <v>משלוחים ללקוח</v>
      </c>
      <c r="AG521" s="1">
        <v>45089</v>
      </c>
      <c r="AM521" t="str">
        <f>"10"</f>
        <v>10</v>
      </c>
      <c r="AN521" t="str">
        <f>"500000"</f>
        <v>500000</v>
      </c>
      <c r="AO521" t="str">
        <f>"הכנסות  מלקוחות"</f>
        <v>הכנסות  מלקוחות</v>
      </c>
      <c r="AQ521" t="str">
        <f>"040"</f>
        <v>040</v>
      </c>
      <c r="AR521">
        <v>0</v>
      </c>
      <c r="AS521">
        <v>0</v>
      </c>
      <c r="AT521">
        <v>3.6019999999999999</v>
      </c>
      <c r="AX521" t="str">
        <f>"E000374099"</f>
        <v>E000374099</v>
      </c>
      <c r="BD521" t="str">
        <f>"רחמים זרוק"</f>
        <v>רחמים זרוק</v>
      </c>
    </row>
    <row r="522" spans="1:56" x14ac:dyDescent="0.3">
      <c r="A522" s="1">
        <v>45096</v>
      </c>
      <c r="B522" t="str">
        <f>"SI236000830"</f>
        <v>SI236000830</v>
      </c>
      <c r="C522" t="str">
        <f>"PR22000904"</f>
        <v>PR22000904</v>
      </c>
      <c r="E522" t="str">
        <f>"Y"</f>
        <v>Y</v>
      </c>
      <c r="F522" t="str">
        <f>"חשבוניות מרכזות"</f>
        <v>חשבוניות מרכזות</v>
      </c>
      <c r="G522" t="str">
        <f>"700065"</f>
        <v>700065</v>
      </c>
      <c r="H522" t="str">
        <f>"אלתא מערכות בע""מ"</f>
        <v>אלתא מערכות בע"מ</v>
      </c>
      <c r="I522" t="str">
        <f>"15"</f>
        <v>15</v>
      </c>
      <c r="J522" t="str">
        <f>"OP-AR03513"</f>
        <v>OP-AR03513</v>
      </c>
      <c r="K522" t="str">
        <f>"1036C761-001    HARNESS WE061 - EPU1 - MAIN R"</f>
        <v>1036C761-001    HARNESS WE061 - EPU1 - MAIN R</v>
      </c>
      <c r="L522">
        <v>1</v>
      </c>
      <c r="M522" t="str">
        <f>"יח"</f>
        <v>יח</v>
      </c>
      <c r="N522">
        <v>1</v>
      </c>
      <c r="O522" t="str">
        <f>"יח"</f>
        <v>יח</v>
      </c>
      <c r="P522">
        <v>102.29</v>
      </c>
      <c r="Q522" t="str">
        <f>"$"</f>
        <v>$</v>
      </c>
      <c r="R522" t="str">
        <f>"הזמנה"</f>
        <v>הזמנה</v>
      </c>
      <c r="S522">
        <v>0</v>
      </c>
      <c r="T522">
        <v>102.29</v>
      </c>
      <c r="U522">
        <v>0</v>
      </c>
      <c r="V522">
        <v>102.29</v>
      </c>
      <c r="W522" t="str">
        <f>"$"</f>
        <v>$</v>
      </c>
      <c r="X522">
        <v>0</v>
      </c>
      <c r="Y522">
        <v>0</v>
      </c>
      <c r="Z522">
        <v>0</v>
      </c>
      <c r="AA522" t="str">
        <f>"Y"</f>
        <v>Y</v>
      </c>
      <c r="AB522" t="str">
        <f>"SO22000469"</f>
        <v>SO22000469</v>
      </c>
      <c r="AC522">
        <v>57</v>
      </c>
      <c r="AD522" s="1">
        <v>44915</v>
      </c>
      <c r="AE522" t="str">
        <f>"SH23000711"</f>
        <v>SH23000711</v>
      </c>
      <c r="AF522" t="str">
        <f>"משלוחים ללקוח"</f>
        <v>משלוחים ללקוח</v>
      </c>
      <c r="AG522" s="1">
        <v>45089</v>
      </c>
      <c r="AM522" t="str">
        <f>"10"</f>
        <v>10</v>
      </c>
      <c r="AN522" t="str">
        <f>"500000"</f>
        <v>500000</v>
      </c>
      <c r="AO522" t="str">
        <f>"הכנסות  מלקוחות"</f>
        <v>הכנסות  מלקוחות</v>
      </c>
      <c r="AQ522" t="str">
        <f>"040"</f>
        <v>040</v>
      </c>
      <c r="AR522">
        <v>0</v>
      </c>
      <c r="AS522">
        <v>0</v>
      </c>
      <c r="AT522">
        <v>3.6019999999999999</v>
      </c>
      <c r="AX522" t="str">
        <f>"E000374099"</f>
        <v>E000374099</v>
      </c>
      <c r="BD522" t="str">
        <f>"רחמים זרוק"</f>
        <v>רחמים זרוק</v>
      </c>
    </row>
    <row r="523" spans="1:56" x14ac:dyDescent="0.3">
      <c r="A523" s="1">
        <v>45096</v>
      </c>
      <c r="B523" t="str">
        <f>"SI236000830"</f>
        <v>SI236000830</v>
      </c>
      <c r="C523" t="str">
        <f>"PR22000904"</f>
        <v>PR22000904</v>
      </c>
      <c r="E523" t="str">
        <f>"Y"</f>
        <v>Y</v>
      </c>
      <c r="F523" t="str">
        <f>"חשבוניות מרכזות"</f>
        <v>חשבוניות מרכזות</v>
      </c>
      <c r="G523" t="str">
        <f>"700065"</f>
        <v>700065</v>
      </c>
      <c r="H523" t="str">
        <f>"אלתא מערכות בע""מ"</f>
        <v>אלתא מערכות בע"מ</v>
      </c>
      <c r="I523" t="str">
        <f>"15"</f>
        <v>15</v>
      </c>
      <c r="J523" t="str">
        <f>"OP-AR03514"</f>
        <v>OP-AR03514</v>
      </c>
      <c r="K523" t="str">
        <f>"1036C762-001    HARNESS WE062 - EPU1 - OTXU"</f>
        <v>1036C762-001    HARNESS WE062 - EPU1 - OTXU</v>
      </c>
      <c r="L523">
        <v>1</v>
      </c>
      <c r="M523" t="str">
        <f>"יח"</f>
        <v>יח</v>
      </c>
      <c r="N523">
        <v>1</v>
      </c>
      <c r="O523" t="str">
        <f>"יח"</f>
        <v>יח</v>
      </c>
      <c r="P523">
        <v>135.68</v>
      </c>
      <c r="Q523" t="str">
        <f>"$"</f>
        <v>$</v>
      </c>
      <c r="R523" t="str">
        <f>"הזמנה"</f>
        <v>הזמנה</v>
      </c>
      <c r="S523">
        <v>0</v>
      </c>
      <c r="T523">
        <v>135.68</v>
      </c>
      <c r="U523">
        <v>0</v>
      </c>
      <c r="V523">
        <v>135.68</v>
      </c>
      <c r="W523" t="str">
        <f>"$"</f>
        <v>$</v>
      </c>
      <c r="X523">
        <v>0</v>
      </c>
      <c r="Y523">
        <v>0</v>
      </c>
      <c r="Z523">
        <v>0</v>
      </c>
      <c r="AA523" t="str">
        <f>"Y"</f>
        <v>Y</v>
      </c>
      <c r="AB523" t="str">
        <f>"SO22000469"</f>
        <v>SO22000469</v>
      </c>
      <c r="AC523">
        <v>58</v>
      </c>
      <c r="AD523" s="1">
        <v>44915</v>
      </c>
      <c r="AE523" t="str">
        <f>"SH23000711"</f>
        <v>SH23000711</v>
      </c>
      <c r="AF523" t="str">
        <f>"משלוחים ללקוח"</f>
        <v>משלוחים ללקוח</v>
      </c>
      <c r="AG523" s="1">
        <v>45089</v>
      </c>
      <c r="AM523" t="str">
        <f>"10"</f>
        <v>10</v>
      </c>
      <c r="AN523" t="str">
        <f>"500000"</f>
        <v>500000</v>
      </c>
      <c r="AO523" t="str">
        <f>"הכנסות  מלקוחות"</f>
        <v>הכנסות  מלקוחות</v>
      </c>
      <c r="AQ523" t="str">
        <f>"040"</f>
        <v>040</v>
      </c>
      <c r="AR523">
        <v>0</v>
      </c>
      <c r="AS523">
        <v>0</v>
      </c>
      <c r="AT523">
        <v>3.6019999999999999</v>
      </c>
      <c r="AX523" t="str">
        <f>"E000374099"</f>
        <v>E000374099</v>
      </c>
      <c r="BD523" t="str">
        <f>"רחמים זרוק"</f>
        <v>רחמים זרוק</v>
      </c>
    </row>
    <row r="524" spans="1:56" x14ac:dyDescent="0.3">
      <c r="A524" s="1">
        <v>45096</v>
      </c>
      <c r="B524" t="str">
        <f>"SI236000830"</f>
        <v>SI236000830</v>
      </c>
      <c r="C524" t="str">
        <f>"PR22000904"</f>
        <v>PR22000904</v>
      </c>
      <c r="E524" t="str">
        <f>"Y"</f>
        <v>Y</v>
      </c>
      <c r="F524" t="str">
        <f>"חשבוניות מרכזות"</f>
        <v>חשבוניות מרכזות</v>
      </c>
      <c r="G524" t="str">
        <f>"700065"</f>
        <v>700065</v>
      </c>
      <c r="H524" t="str">
        <f>"אלתא מערכות בע""מ"</f>
        <v>אלתא מערכות בע"מ</v>
      </c>
      <c r="I524" t="str">
        <f>"15"</f>
        <v>15</v>
      </c>
      <c r="J524" t="str">
        <f>"OP-AR03516"</f>
        <v>OP-AR03516</v>
      </c>
      <c r="K524" t="str">
        <f>"1036C767-001    HARNESS WE067 - ETH SW"</f>
        <v>1036C767-001    HARNESS WE067 - ETH SW</v>
      </c>
      <c r="L524">
        <v>1</v>
      </c>
      <c r="M524" t="str">
        <f>"יח"</f>
        <v>יח</v>
      </c>
      <c r="N524">
        <v>1</v>
      </c>
      <c r="O524" t="str">
        <f>"יח"</f>
        <v>יח</v>
      </c>
      <c r="P524">
        <v>135.68</v>
      </c>
      <c r="Q524" t="str">
        <f>"$"</f>
        <v>$</v>
      </c>
      <c r="R524" t="str">
        <f>"הזמנה"</f>
        <v>הזמנה</v>
      </c>
      <c r="S524">
        <v>0</v>
      </c>
      <c r="T524">
        <v>135.68</v>
      </c>
      <c r="U524">
        <v>0</v>
      </c>
      <c r="V524">
        <v>135.68</v>
      </c>
      <c r="W524" t="str">
        <f>"$"</f>
        <v>$</v>
      </c>
      <c r="X524">
        <v>0</v>
      </c>
      <c r="Y524">
        <v>0</v>
      </c>
      <c r="Z524">
        <v>0</v>
      </c>
      <c r="AA524" t="str">
        <f>"Y"</f>
        <v>Y</v>
      </c>
      <c r="AB524" t="str">
        <f>"SO22000469"</f>
        <v>SO22000469</v>
      </c>
      <c r="AC524">
        <v>60</v>
      </c>
      <c r="AD524" s="1">
        <v>44915</v>
      </c>
      <c r="AE524" t="str">
        <f>"SH23000711"</f>
        <v>SH23000711</v>
      </c>
      <c r="AF524" t="str">
        <f>"משלוחים ללקוח"</f>
        <v>משלוחים ללקוח</v>
      </c>
      <c r="AG524" s="1">
        <v>45089</v>
      </c>
      <c r="AM524" t="str">
        <f>"10"</f>
        <v>10</v>
      </c>
      <c r="AN524" t="str">
        <f>"500000"</f>
        <v>500000</v>
      </c>
      <c r="AO524" t="str">
        <f>"הכנסות  מלקוחות"</f>
        <v>הכנסות  מלקוחות</v>
      </c>
      <c r="AQ524" t="str">
        <f>"040"</f>
        <v>040</v>
      </c>
      <c r="AR524">
        <v>0</v>
      </c>
      <c r="AS524">
        <v>0</v>
      </c>
      <c r="AT524">
        <v>3.6019999999999999</v>
      </c>
      <c r="AX524" t="str">
        <f>"E000374099"</f>
        <v>E000374099</v>
      </c>
      <c r="BD524" t="str">
        <f>"רחמים זרוק"</f>
        <v>רחמים זרוק</v>
      </c>
    </row>
    <row r="525" spans="1:56" x14ac:dyDescent="0.3">
      <c r="A525" s="1">
        <v>45096</v>
      </c>
      <c r="B525" t="str">
        <f>"SI236000799"</f>
        <v>SI236000799</v>
      </c>
      <c r="C525" t="str">
        <f>"PR23000380"</f>
        <v>PR23000380</v>
      </c>
      <c r="D525" t="str">
        <f>"PR23000380"</f>
        <v>PR23000380</v>
      </c>
      <c r="E525" t="str">
        <f>"Y"</f>
        <v>Y</v>
      </c>
      <c r="F525" t="str">
        <f>"חשבוניות מרכזות"</f>
        <v>חשבוניות מרכזות</v>
      </c>
      <c r="G525" t="str">
        <f>"700065"</f>
        <v>700065</v>
      </c>
      <c r="H525" t="str">
        <f>"אלתא מערכות בע""מ"</f>
        <v>אלתא מערכות בע"מ</v>
      </c>
      <c r="I525" t="str">
        <f>"10"</f>
        <v>10</v>
      </c>
      <c r="J525" t="str">
        <f>"000"</f>
        <v>000</v>
      </c>
      <c r="K525" t="str">
        <f>"עדכון מערכת בקרה פלטפורמה RPU"</f>
        <v>עדכון מערכת בקרה פלטפורמה RPU</v>
      </c>
      <c r="L525">
        <v>1</v>
      </c>
      <c r="M525" t="str">
        <f>"יח"</f>
        <v>יח</v>
      </c>
      <c r="N525">
        <v>1</v>
      </c>
      <c r="O525" t="str">
        <f>"יח"</f>
        <v>יח</v>
      </c>
      <c r="P525" s="2">
        <v>11250</v>
      </c>
      <c r="Q525" t="str">
        <f>"$"</f>
        <v>$</v>
      </c>
      <c r="R525" t="str">
        <f>"הזמנה"</f>
        <v>הזמנה</v>
      </c>
      <c r="S525">
        <v>0</v>
      </c>
      <c r="T525" s="2">
        <v>11250</v>
      </c>
      <c r="U525">
        <v>0</v>
      </c>
      <c r="V525" s="2">
        <v>11250</v>
      </c>
      <c r="W525" t="str">
        <f>"$"</f>
        <v>$</v>
      </c>
      <c r="X525">
        <v>0</v>
      </c>
      <c r="Y525">
        <v>0</v>
      </c>
      <c r="Z525">
        <v>0</v>
      </c>
      <c r="AA525" t="str">
        <f>"Y"</f>
        <v>Y</v>
      </c>
      <c r="AB525" t="str">
        <f>"SO23000268"</f>
        <v>SO23000268</v>
      </c>
      <c r="AC525">
        <v>1</v>
      </c>
      <c r="AD525" s="1">
        <v>45089</v>
      </c>
      <c r="AM525" t="str">
        <f>"10"</f>
        <v>10</v>
      </c>
      <c r="AN525" t="str">
        <f>"500000"</f>
        <v>500000</v>
      </c>
      <c r="AO525" t="str">
        <f>"הכנסות  מלקוחות"</f>
        <v>הכנסות  מלקוחות</v>
      </c>
      <c r="AQ525" t="str">
        <f>"007"</f>
        <v>007</v>
      </c>
      <c r="AR525">
        <v>0</v>
      </c>
      <c r="AS525">
        <v>0</v>
      </c>
      <c r="AT525">
        <v>3.5529999999999999</v>
      </c>
      <c r="AX525" t="str">
        <f>"E000396146"</f>
        <v>E000396146</v>
      </c>
      <c r="BD525" t="str">
        <f>"רוני דידי"</f>
        <v>רוני דידי</v>
      </c>
    </row>
    <row r="526" spans="1:56" x14ac:dyDescent="0.3">
      <c r="A526" s="1">
        <v>45096</v>
      </c>
      <c r="B526" t="str">
        <f>"SI236000798"</f>
        <v>SI236000798</v>
      </c>
      <c r="C526" t="str">
        <f>"PR23000380"</f>
        <v>PR23000380</v>
      </c>
      <c r="D526" t="str">
        <f>"PR23000380"</f>
        <v>PR23000380</v>
      </c>
      <c r="E526" t="str">
        <f>"Y"</f>
        <v>Y</v>
      </c>
      <c r="F526" t="str">
        <f>"חשבוניות מרכזות"</f>
        <v>חשבוניות מרכזות</v>
      </c>
      <c r="G526" t="str">
        <f>"700065"</f>
        <v>700065</v>
      </c>
      <c r="H526" t="str">
        <f>"אלתא מערכות בע""מ"</f>
        <v>אלתא מערכות בע"מ</v>
      </c>
      <c r="I526" t="str">
        <f>"10"</f>
        <v>10</v>
      </c>
      <c r="J526" t="str">
        <f>"000"</f>
        <v>000</v>
      </c>
      <c r="K526" t="str">
        <f>"התקנת התוכנה באתר לקוח"</f>
        <v>התקנת התוכנה באתר לקוח</v>
      </c>
      <c r="L526">
        <v>1</v>
      </c>
      <c r="M526" t="str">
        <f>"יח"</f>
        <v>יח</v>
      </c>
      <c r="N526">
        <v>1</v>
      </c>
      <c r="O526" t="str">
        <f>"יח"</f>
        <v>יח</v>
      </c>
      <c r="P526" s="2">
        <v>2400</v>
      </c>
      <c r="Q526" t="str">
        <f>"$"</f>
        <v>$</v>
      </c>
      <c r="R526" t="str">
        <f>"הזמנה"</f>
        <v>הזמנה</v>
      </c>
      <c r="S526">
        <v>0</v>
      </c>
      <c r="T526" s="2">
        <v>2400</v>
      </c>
      <c r="U526">
        <v>0</v>
      </c>
      <c r="V526" s="2">
        <v>2400</v>
      </c>
      <c r="W526" t="str">
        <f>"$"</f>
        <v>$</v>
      </c>
      <c r="X526">
        <v>0</v>
      </c>
      <c r="Y526">
        <v>0</v>
      </c>
      <c r="Z526">
        <v>0</v>
      </c>
      <c r="AA526" t="str">
        <f>"Y"</f>
        <v>Y</v>
      </c>
      <c r="AB526" t="str">
        <f>"SO23000268"</f>
        <v>SO23000268</v>
      </c>
      <c r="AC526">
        <v>2</v>
      </c>
      <c r="AD526" s="1">
        <v>45089</v>
      </c>
      <c r="AM526" t="str">
        <f>"10"</f>
        <v>10</v>
      </c>
      <c r="AN526" t="str">
        <f>"500000"</f>
        <v>500000</v>
      </c>
      <c r="AO526" t="str">
        <f>"הכנסות  מלקוחות"</f>
        <v>הכנסות  מלקוחות</v>
      </c>
      <c r="AQ526" t="str">
        <f>"007"</f>
        <v>007</v>
      </c>
      <c r="AR526">
        <v>0</v>
      </c>
      <c r="AS526">
        <v>0</v>
      </c>
      <c r="AT526">
        <v>3.5529999999999999</v>
      </c>
      <c r="AX526" t="str">
        <f>"E000396146"</f>
        <v>E000396146</v>
      </c>
      <c r="BD526" t="str">
        <f>"רוני דידי"</f>
        <v>רוני דידי</v>
      </c>
    </row>
    <row r="527" spans="1:56" x14ac:dyDescent="0.3">
      <c r="A527" s="1">
        <v>45091</v>
      </c>
      <c r="B527" t="str">
        <f>"SI236000769"</f>
        <v>SI236000769</v>
      </c>
      <c r="C527" t="str">
        <f>"PR23000081"</f>
        <v>PR23000081</v>
      </c>
      <c r="D527" t="str">
        <f>"PR23000081"</f>
        <v>PR23000081</v>
      </c>
      <c r="E527" t="str">
        <f>"Y"</f>
        <v>Y</v>
      </c>
      <c r="F527" t="str">
        <f>"חשבוניות מרכזות"</f>
        <v>חשבוניות מרכזות</v>
      </c>
      <c r="G527" t="str">
        <f>"700065"</f>
        <v>700065</v>
      </c>
      <c r="H527" t="str">
        <f>"אלתא מערכות בע""מ"</f>
        <v>אלתא מערכות בע"מ</v>
      </c>
      <c r="I527" t="str">
        <f>"10"</f>
        <v>10</v>
      </c>
      <c r="J527" t="str">
        <f>"000"</f>
        <v>000</v>
      </c>
      <c r="K527" t="str">
        <f>"חלפים לPDB"</f>
        <v>חלפים לPDB</v>
      </c>
      <c r="L527">
        <v>1</v>
      </c>
      <c r="M527" t="str">
        <f>"יח"</f>
        <v>יח</v>
      </c>
      <c r="N527">
        <v>1</v>
      </c>
      <c r="O527" t="str">
        <f>"יח"</f>
        <v>יח</v>
      </c>
      <c r="P527">
        <v>900</v>
      </c>
      <c r="Q527" t="str">
        <f>"$"</f>
        <v>$</v>
      </c>
      <c r="R527" t="str">
        <f>"הזמנה"</f>
        <v>הזמנה</v>
      </c>
      <c r="S527">
        <v>0</v>
      </c>
      <c r="T527">
        <v>900</v>
      </c>
      <c r="U527">
        <v>0</v>
      </c>
      <c r="V527">
        <v>900</v>
      </c>
      <c r="W527" t="str">
        <f>"$"</f>
        <v>$</v>
      </c>
      <c r="X527">
        <v>0</v>
      </c>
      <c r="Y527">
        <v>0</v>
      </c>
      <c r="Z527">
        <v>0</v>
      </c>
      <c r="AA527" t="str">
        <f>"Y"</f>
        <v>Y</v>
      </c>
      <c r="AB527" t="str">
        <f>"SO23000049"</f>
        <v>SO23000049</v>
      </c>
      <c r="AC527">
        <v>4</v>
      </c>
      <c r="AD527" s="1">
        <v>44948</v>
      </c>
      <c r="AM527" t="str">
        <f>"10"</f>
        <v>10</v>
      </c>
      <c r="AN527" t="str">
        <f>"500000"</f>
        <v>500000</v>
      </c>
      <c r="AO527" t="str">
        <f>"הכנסות  מלקוחות"</f>
        <v>הכנסות  מלקוחות</v>
      </c>
      <c r="AQ527" t="str">
        <f>"034"</f>
        <v>034</v>
      </c>
      <c r="AR527">
        <v>0</v>
      </c>
      <c r="AS527">
        <v>0</v>
      </c>
      <c r="AT527">
        <v>3.5579999999999998</v>
      </c>
      <c r="AX527" t="str">
        <f>"E000385043"</f>
        <v>E000385043</v>
      </c>
      <c r="BD527" t="str">
        <f>"ערן שלו"</f>
        <v>ערן שלו</v>
      </c>
    </row>
    <row r="528" spans="1:56" x14ac:dyDescent="0.3">
      <c r="A528" s="1">
        <v>45089</v>
      </c>
      <c r="B528" t="str">
        <f>"SI236000859"</f>
        <v>SI236000859</v>
      </c>
      <c r="C528" t="str">
        <f>"PR23000380"</f>
        <v>PR23000380</v>
      </c>
      <c r="E528" t="str">
        <f>"Y"</f>
        <v>Y</v>
      </c>
      <c r="F528" t="str">
        <f>"חשבוניות מרכזות"</f>
        <v>חשבוניות מרכזות</v>
      </c>
      <c r="G528" t="str">
        <f>"700065"</f>
        <v>700065</v>
      </c>
      <c r="H528" t="str">
        <f>"אלתא מערכות בע""מ"</f>
        <v>אלתא מערכות בע"מ</v>
      </c>
      <c r="I528" t="str">
        <f>"10"</f>
        <v>10</v>
      </c>
      <c r="J528" t="str">
        <f>"000"</f>
        <v>000</v>
      </c>
      <c r="K528" t="str">
        <f>"התקנת התוכנה באתר לקוח"</f>
        <v>התקנת התוכנה באתר לקוח</v>
      </c>
      <c r="L528">
        <v>-1</v>
      </c>
      <c r="M528" t="str">
        <f>"יח"</f>
        <v>יח</v>
      </c>
      <c r="N528">
        <v>-1</v>
      </c>
      <c r="O528" t="str">
        <f>"יח"</f>
        <v>יח</v>
      </c>
      <c r="P528" s="2">
        <v>2400</v>
      </c>
      <c r="Q528" t="str">
        <f>"$"</f>
        <v>$</v>
      </c>
      <c r="R528" t="str">
        <f>"הזמנה"</f>
        <v>הזמנה</v>
      </c>
      <c r="S528">
        <v>0</v>
      </c>
      <c r="T528" s="2">
        <v>-2400</v>
      </c>
      <c r="U528">
        <v>0</v>
      </c>
      <c r="V528" s="2">
        <v>-2400</v>
      </c>
      <c r="W528" t="str">
        <f>"$"</f>
        <v>$</v>
      </c>
      <c r="X528">
        <v>0</v>
      </c>
      <c r="Y528">
        <v>0</v>
      </c>
      <c r="Z528">
        <v>0</v>
      </c>
      <c r="AA528" t="str">
        <f>"Y"</f>
        <v>Y</v>
      </c>
      <c r="AC528">
        <v>0</v>
      </c>
      <c r="AM528" t="str">
        <f>"10"</f>
        <v>10</v>
      </c>
      <c r="AN528" t="str">
        <f>"500000"</f>
        <v>500000</v>
      </c>
      <c r="AO528" t="str">
        <f>"הכנסות  מלקוחות"</f>
        <v>הכנסות  מלקוחות</v>
      </c>
      <c r="AQ528" t="str">
        <f>"007"</f>
        <v>007</v>
      </c>
      <c r="AR528">
        <v>0</v>
      </c>
      <c r="AS528">
        <v>0</v>
      </c>
      <c r="AT528">
        <v>3.63</v>
      </c>
      <c r="BB528" t="str">
        <f>"Y"</f>
        <v>Y</v>
      </c>
      <c r="BD528" t="str">
        <f>"רוני דידי"</f>
        <v>רוני דידי</v>
      </c>
    </row>
    <row r="529" spans="1:56" x14ac:dyDescent="0.3">
      <c r="A529" s="1">
        <v>45089</v>
      </c>
      <c r="B529" t="str">
        <f>"SI236000858"</f>
        <v>SI236000858</v>
      </c>
      <c r="C529" t="str">
        <f>"PR23000380"</f>
        <v>PR23000380</v>
      </c>
      <c r="E529" t="str">
        <f>"Y"</f>
        <v>Y</v>
      </c>
      <c r="F529" t="str">
        <f>"חשבוניות מרכזות"</f>
        <v>חשבוניות מרכזות</v>
      </c>
      <c r="G529" t="str">
        <f>"700065"</f>
        <v>700065</v>
      </c>
      <c r="H529" t="str">
        <f>"אלתא מערכות בע""מ"</f>
        <v>אלתא מערכות בע"מ</v>
      </c>
      <c r="I529" t="str">
        <f>"10"</f>
        <v>10</v>
      </c>
      <c r="J529" t="str">
        <f>"000"</f>
        <v>000</v>
      </c>
      <c r="K529" t="str">
        <f>"עדכון מערכת בקרה פלטפורמה RPU"</f>
        <v>עדכון מערכת בקרה פלטפורמה RPU</v>
      </c>
      <c r="L529">
        <v>-1</v>
      </c>
      <c r="M529" t="str">
        <f>"יח"</f>
        <v>יח</v>
      </c>
      <c r="N529">
        <v>-1</v>
      </c>
      <c r="O529" t="str">
        <f>"יח"</f>
        <v>יח</v>
      </c>
      <c r="P529" s="2">
        <v>11250</v>
      </c>
      <c r="Q529" t="str">
        <f>"$"</f>
        <v>$</v>
      </c>
      <c r="R529" t="str">
        <f>"הזמנה"</f>
        <v>הזמנה</v>
      </c>
      <c r="S529">
        <v>0</v>
      </c>
      <c r="T529" s="2">
        <v>-11250</v>
      </c>
      <c r="U529">
        <v>0</v>
      </c>
      <c r="V529" s="2">
        <v>-11250</v>
      </c>
      <c r="W529" t="str">
        <f>"$"</f>
        <v>$</v>
      </c>
      <c r="X529">
        <v>0</v>
      </c>
      <c r="Y529">
        <v>0</v>
      </c>
      <c r="Z529">
        <v>0</v>
      </c>
      <c r="AA529" t="str">
        <f>"Y"</f>
        <v>Y</v>
      </c>
      <c r="AC529">
        <v>0</v>
      </c>
      <c r="AM529" t="str">
        <f>"10"</f>
        <v>10</v>
      </c>
      <c r="AN529" t="str">
        <f>"500000"</f>
        <v>500000</v>
      </c>
      <c r="AO529" t="str">
        <f>"הכנסות  מלקוחות"</f>
        <v>הכנסות  מלקוחות</v>
      </c>
      <c r="AQ529" t="str">
        <f>"007"</f>
        <v>007</v>
      </c>
      <c r="AR529">
        <v>0</v>
      </c>
      <c r="AS529">
        <v>0</v>
      </c>
      <c r="AT529">
        <v>3.63</v>
      </c>
      <c r="BB529" t="str">
        <f>"Y"</f>
        <v>Y</v>
      </c>
      <c r="BD529" t="str">
        <f>"רוני דידי"</f>
        <v>רוני דידי</v>
      </c>
    </row>
    <row r="530" spans="1:56" x14ac:dyDescent="0.3">
      <c r="A530" s="1">
        <v>45089</v>
      </c>
      <c r="B530" t="str">
        <f>"SI236000763"</f>
        <v>SI236000763</v>
      </c>
      <c r="C530" t="str">
        <f>"PR23000269"</f>
        <v>PR23000269</v>
      </c>
      <c r="D530" t="str">
        <f>"PR23000269"</f>
        <v>PR23000269</v>
      </c>
      <c r="E530" t="str">
        <f>"Y"</f>
        <v>Y</v>
      </c>
      <c r="F530" t="str">
        <f>"חשבוניות מרכזות"</f>
        <v>חשבוניות מרכזות</v>
      </c>
      <c r="G530" t="str">
        <f>"700065"</f>
        <v>700065</v>
      </c>
      <c r="H530" t="str">
        <f>"אלתא מערכות בע""מ"</f>
        <v>אלתא מערכות בע"מ</v>
      </c>
      <c r="I530" t="str">
        <f>"10"</f>
        <v>10</v>
      </c>
      <c r="J530" t="str">
        <f>"cust00914"</f>
        <v>cust00914</v>
      </c>
      <c r="K530" t="str">
        <f>"AC SUPPLY CONTROL BOX אלתא"</f>
        <v>AC SUPPLY CONTROL BOX אלתא</v>
      </c>
      <c r="L530">
        <v>1</v>
      </c>
      <c r="M530" t="str">
        <f>"יח"</f>
        <v>יח</v>
      </c>
      <c r="N530">
        <v>1</v>
      </c>
      <c r="O530" t="str">
        <f>"יח"</f>
        <v>יח</v>
      </c>
      <c r="P530">
        <v>850</v>
      </c>
      <c r="Q530" t="str">
        <f>"$"</f>
        <v>$</v>
      </c>
      <c r="R530" t="str">
        <f>"הזמנה"</f>
        <v>הזמנה</v>
      </c>
      <c r="S530">
        <v>0</v>
      </c>
      <c r="T530">
        <v>850</v>
      </c>
      <c r="U530">
        <v>0</v>
      </c>
      <c r="V530">
        <v>850</v>
      </c>
      <c r="W530" t="str">
        <f>"$"</f>
        <v>$</v>
      </c>
      <c r="X530">
        <v>0</v>
      </c>
      <c r="Y530">
        <v>0</v>
      </c>
      <c r="Z530">
        <v>0</v>
      </c>
      <c r="AA530" t="str">
        <f>"Y"</f>
        <v>Y</v>
      </c>
      <c r="AB530" t="str">
        <f>"SO23000246"</f>
        <v>SO23000246</v>
      </c>
      <c r="AC530">
        <v>1</v>
      </c>
      <c r="AD530" s="1">
        <v>45070</v>
      </c>
      <c r="AE530" t="str">
        <f>"SH23000721"</f>
        <v>SH23000721</v>
      </c>
      <c r="AF530" t="str">
        <f>"משלוחים ללקוח"</f>
        <v>משלוחים ללקוח</v>
      </c>
      <c r="AG530" s="1">
        <v>45089</v>
      </c>
      <c r="AM530" t="str">
        <f>"10"</f>
        <v>10</v>
      </c>
      <c r="AN530" t="str">
        <f>"500000"</f>
        <v>500000</v>
      </c>
      <c r="AO530" t="str">
        <f>"הכנסות  מלקוחות"</f>
        <v>הכנסות  מלקוחות</v>
      </c>
      <c r="AQ530" t="str">
        <f>"007"</f>
        <v>007</v>
      </c>
      <c r="AR530">
        <v>0</v>
      </c>
      <c r="AS530">
        <v>0</v>
      </c>
      <c r="AT530">
        <v>3.63</v>
      </c>
      <c r="AX530" t="str">
        <f>"E000391195"</f>
        <v>E000391195</v>
      </c>
      <c r="BD530" t="str">
        <f>"רוני דידי"</f>
        <v>רוני דידי</v>
      </c>
    </row>
    <row r="531" spans="1:56" x14ac:dyDescent="0.3">
      <c r="A531" s="1">
        <v>45089</v>
      </c>
      <c r="B531" t="str">
        <f>"SI236000762"</f>
        <v>SI236000762</v>
      </c>
      <c r="C531" t="str">
        <f>"PR23000054"</f>
        <v>PR23000054</v>
      </c>
      <c r="E531" t="str">
        <f>"Y"</f>
        <v>Y</v>
      </c>
      <c r="F531" t="str">
        <f>"חשבוניות מרכזות"</f>
        <v>חשבוניות מרכזות</v>
      </c>
      <c r="G531" t="str">
        <f>"700065"</f>
        <v>700065</v>
      </c>
      <c r="H531" t="str">
        <f>"אלתא מערכות בע""מ"</f>
        <v>אלתא מערכות בע"מ</v>
      </c>
      <c r="I531" t="str">
        <f>"10"</f>
        <v>10</v>
      </c>
      <c r="J531" t="str">
        <f>"cust00891"</f>
        <v>cust00891</v>
      </c>
      <c r="K531" t="str">
        <f>"1038H185-001 אלתא"</f>
        <v>1038H185-001 אלתא</v>
      </c>
      <c r="L531">
        <v>1</v>
      </c>
      <c r="M531" t="str">
        <f>"יח"</f>
        <v>יח</v>
      </c>
      <c r="N531">
        <v>1</v>
      </c>
      <c r="O531" t="str">
        <f>"יח"</f>
        <v>יח</v>
      </c>
      <c r="P531" s="2">
        <v>5785</v>
      </c>
      <c r="Q531" t="str">
        <f>"$"</f>
        <v>$</v>
      </c>
      <c r="R531" t="str">
        <f>"הזמנה"</f>
        <v>הזמנה</v>
      </c>
      <c r="S531">
        <v>0</v>
      </c>
      <c r="T531" s="2">
        <v>5785</v>
      </c>
      <c r="U531">
        <v>0</v>
      </c>
      <c r="V531" s="2">
        <v>5785</v>
      </c>
      <c r="W531" t="str">
        <f>"$"</f>
        <v>$</v>
      </c>
      <c r="X531">
        <v>0</v>
      </c>
      <c r="Y531">
        <v>0</v>
      </c>
      <c r="Z531">
        <v>0</v>
      </c>
      <c r="AA531" t="str">
        <f>"Y"</f>
        <v>Y</v>
      </c>
      <c r="AB531" t="str">
        <f>"SO23000038"</f>
        <v>SO23000038</v>
      </c>
      <c r="AC531">
        <v>1</v>
      </c>
      <c r="AD531" s="1">
        <v>44941</v>
      </c>
      <c r="AE531" t="str">
        <f>"SH23000685"</f>
        <v>SH23000685</v>
      </c>
      <c r="AF531" t="str">
        <f>"משלוחים ללקוח"</f>
        <v>משלוחים ללקוח</v>
      </c>
      <c r="AG531" s="1">
        <v>45081</v>
      </c>
      <c r="AM531" t="str">
        <f>"10"</f>
        <v>10</v>
      </c>
      <c r="AN531" t="str">
        <f>"500000"</f>
        <v>500000</v>
      </c>
      <c r="AO531" t="str">
        <f>"הכנסות  מלקוחות"</f>
        <v>הכנסות  מלקוחות</v>
      </c>
      <c r="AQ531" t="str">
        <f>"007"</f>
        <v>007</v>
      </c>
      <c r="AR531">
        <v>0</v>
      </c>
      <c r="AS531">
        <v>0</v>
      </c>
      <c r="AT531">
        <v>3.63</v>
      </c>
      <c r="AX531" t="str">
        <f>"E000383687"</f>
        <v>E000383687</v>
      </c>
      <c r="BD531" t="str">
        <f>"רוני דידי"</f>
        <v>רוני דידי</v>
      </c>
    </row>
    <row r="532" spans="1:56" x14ac:dyDescent="0.3">
      <c r="A532" s="1">
        <v>45089</v>
      </c>
      <c r="B532" t="str">
        <f>"SI236000758"</f>
        <v>SI236000758</v>
      </c>
      <c r="C532" t="str">
        <f>"PR23000380"</f>
        <v>PR23000380</v>
      </c>
      <c r="E532" t="str">
        <f>"Y"</f>
        <v>Y</v>
      </c>
      <c r="F532" t="str">
        <f>"חשבוניות מרכזות"</f>
        <v>חשבוניות מרכזות</v>
      </c>
      <c r="G532" t="str">
        <f>"700065"</f>
        <v>700065</v>
      </c>
      <c r="H532" t="str">
        <f>"אלתא מערכות בע""מ"</f>
        <v>אלתא מערכות בע"מ</v>
      </c>
      <c r="I532" t="str">
        <f>"10"</f>
        <v>10</v>
      </c>
      <c r="J532" t="str">
        <f>"000"</f>
        <v>000</v>
      </c>
      <c r="K532" t="str">
        <f>"התקנת התוכנה באתר לקוח"</f>
        <v>התקנת התוכנה באתר לקוח</v>
      </c>
      <c r="L532">
        <v>1</v>
      </c>
      <c r="M532" t="str">
        <f>"יח"</f>
        <v>יח</v>
      </c>
      <c r="N532">
        <v>1</v>
      </c>
      <c r="O532" t="str">
        <f>"יח"</f>
        <v>יח</v>
      </c>
      <c r="P532" s="2">
        <v>2400</v>
      </c>
      <c r="Q532" t="str">
        <f>"$"</f>
        <v>$</v>
      </c>
      <c r="R532" t="str">
        <f>"הזמנה"</f>
        <v>הזמנה</v>
      </c>
      <c r="S532">
        <v>0</v>
      </c>
      <c r="T532" s="2">
        <v>2400</v>
      </c>
      <c r="U532">
        <v>0</v>
      </c>
      <c r="V532" s="2">
        <v>2400</v>
      </c>
      <c r="W532" t="str">
        <f>"$"</f>
        <v>$</v>
      </c>
      <c r="X532">
        <v>0</v>
      </c>
      <c r="Y532">
        <v>0</v>
      </c>
      <c r="Z532">
        <v>0</v>
      </c>
      <c r="AA532" t="str">
        <f>"Y"</f>
        <v>Y</v>
      </c>
      <c r="AC532">
        <v>0</v>
      </c>
      <c r="AM532" t="str">
        <f>"10"</f>
        <v>10</v>
      </c>
      <c r="AN532" t="str">
        <f>"500000"</f>
        <v>500000</v>
      </c>
      <c r="AO532" t="str">
        <f>"הכנסות  מלקוחות"</f>
        <v>הכנסות  מלקוחות</v>
      </c>
      <c r="AQ532" t="str">
        <f>"007"</f>
        <v>007</v>
      </c>
      <c r="AR532">
        <v>0</v>
      </c>
      <c r="AS532">
        <v>0</v>
      </c>
      <c r="AT532">
        <v>3.63</v>
      </c>
      <c r="BB532" t="str">
        <f>"Y"</f>
        <v>Y</v>
      </c>
      <c r="BD532" t="str">
        <f>"רוני דידי"</f>
        <v>רוני דידי</v>
      </c>
    </row>
    <row r="533" spans="1:56" x14ac:dyDescent="0.3">
      <c r="A533" s="1">
        <v>45089</v>
      </c>
      <c r="B533" t="str">
        <f>"SI236000757"</f>
        <v>SI236000757</v>
      </c>
      <c r="C533" t="str">
        <f>"PR23000380"</f>
        <v>PR23000380</v>
      </c>
      <c r="E533" t="str">
        <f>"Y"</f>
        <v>Y</v>
      </c>
      <c r="F533" t="str">
        <f>"חשבוניות מרכזות"</f>
        <v>חשבוניות מרכזות</v>
      </c>
      <c r="G533" t="str">
        <f>"700065"</f>
        <v>700065</v>
      </c>
      <c r="H533" t="str">
        <f>"אלתא מערכות בע""מ"</f>
        <v>אלתא מערכות בע"מ</v>
      </c>
      <c r="I533" t="str">
        <f>"10"</f>
        <v>10</v>
      </c>
      <c r="J533" t="str">
        <f>"000"</f>
        <v>000</v>
      </c>
      <c r="K533" t="str">
        <f>"עדכון מערכת בקרה פלטפורמה RPU"</f>
        <v>עדכון מערכת בקרה פלטפורמה RPU</v>
      </c>
      <c r="L533">
        <v>1</v>
      </c>
      <c r="M533" t="str">
        <f>"יח"</f>
        <v>יח</v>
      </c>
      <c r="N533">
        <v>1</v>
      </c>
      <c r="O533" t="str">
        <f>"יח"</f>
        <v>יח</v>
      </c>
      <c r="P533" s="2">
        <v>11250</v>
      </c>
      <c r="Q533" t="str">
        <f>"$"</f>
        <v>$</v>
      </c>
      <c r="R533" t="str">
        <f>"הזמנה"</f>
        <v>הזמנה</v>
      </c>
      <c r="S533">
        <v>0</v>
      </c>
      <c r="T533" s="2">
        <v>11250</v>
      </c>
      <c r="U533">
        <v>0</v>
      </c>
      <c r="V533" s="2">
        <v>11250</v>
      </c>
      <c r="W533" t="str">
        <f>"$"</f>
        <v>$</v>
      </c>
      <c r="X533">
        <v>0</v>
      </c>
      <c r="Y533">
        <v>0</v>
      </c>
      <c r="Z533">
        <v>0</v>
      </c>
      <c r="AA533" t="str">
        <f>"Y"</f>
        <v>Y</v>
      </c>
      <c r="AC533">
        <v>0</v>
      </c>
      <c r="AM533" t="str">
        <f>"10"</f>
        <v>10</v>
      </c>
      <c r="AN533" t="str">
        <f>"500000"</f>
        <v>500000</v>
      </c>
      <c r="AO533" t="str">
        <f>"הכנסות  מלקוחות"</f>
        <v>הכנסות  מלקוחות</v>
      </c>
      <c r="AQ533" t="str">
        <f>"007"</f>
        <v>007</v>
      </c>
      <c r="AR533">
        <v>0</v>
      </c>
      <c r="AS533">
        <v>0</v>
      </c>
      <c r="AT533">
        <v>3.63</v>
      </c>
      <c r="BB533" t="str">
        <f>"Y"</f>
        <v>Y</v>
      </c>
      <c r="BD533" t="str">
        <f>"רוני דידי"</f>
        <v>רוני דידי</v>
      </c>
    </row>
    <row r="534" spans="1:56" x14ac:dyDescent="0.3">
      <c r="A534" s="1">
        <v>45085</v>
      </c>
      <c r="B534" t="str">
        <f>"SI236000767"</f>
        <v>SI236000767</v>
      </c>
      <c r="C534" t="str">
        <f>"PR23000083"</f>
        <v>PR23000083</v>
      </c>
      <c r="D534" t="str">
        <f>"PR23000083"</f>
        <v>PR23000083</v>
      </c>
      <c r="E534" t="str">
        <f>"Y"</f>
        <v>Y</v>
      </c>
      <c r="F534" t="str">
        <f>"חשבוניות מרכזות"</f>
        <v>חשבוניות מרכזות</v>
      </c>
      <c r="G534" t="str">
        <f>"700065"</f>
        <v>700065</v>
      </c>
      <c r="H534" t="str">
        <f>"אלתא מערכות בע""מ"</f>
        <v>אלתא מערכות בע"מ</v>
      </c>
      <c r="I534" t="str">
        <f>"10"</f>
        <v>10</v>
      </c>
      <c r="J534" t="str">
        <f>"000"</f>
        <v>000</v>
      </c>
      <c r="K534" t="str">
        <f>"6930P400-001"</f>
        <v>6930P400-001</v>
      </c>
      <c r="L534">
        <v>1</v>
      </c>
      <c r="M534" t="str">
        <f>"יח"</f>
        <v>יח</v>
      </c>
      <c r="N534">
        <v>1</v>
      </c>
      <c r="O534" t="str">
        <f>"יח"</f>
        <v>יח</v>
      </c>
      <c r="P534" s="2">
        <v>3500</v>
      </c>
      <c r="Q534" t="str">
        <f>"$"</f>
        <v>$</v>
      </c>
      <c r="R534" t="str">
        <f>"הזמנה"</f>
        <v>הזמנה</v>
      </c>
      <c r="S534">
        <v>0</v>
      </c>
      <c r="T534" s="2">
        <v>3500</v>
      </c>
      <c r="U534">
        <v>0</v>
      </c>
      <c r="V534" s="2">
        <v>3500</v>
      </c>
      <c r="W534" t="str">
        <f>"$"</f>
        <v>$</v>
      </c>
      <c r="X534">
        <v>0</v>
      </c>
      <c r="Y534">
        <v>0</v>
      </c>
      <c r="Z534">
        <v>0</v>
      </c>
      <c r="AA534" t="str">
        <f>"Y"</f>
        <v>Y</v>
      </c>
      <c r="AB534" t="str">
        <f>"SO23000054"</f>
        <v>SO23000054</v>
      </c>
      <c r="AC534">
        <v>2</v>
      </c>
      <c r="AD534" s="1">
        <v>44949</v>
      </c>
      <c r="AM534" t="str">
        <f>"10"</f>
        <v>10</v>
      </c>
      <c r="AN534" t="str">
        <f>"500000"</f>
        <v>500000</v>
      </c>
      <c r="AO534" t="str">
        <f>"הכנסות  מלקוחות"</f>
        <v>הכנסות  מלקוחות</v>
      </c>
      <c r="AQ534" t="str">
        <f>"007"</f>
        <v>007</v>
      </c>
      <c r="AR534">
        <v>0</v>
      </c>
      <c r="AS534">
        <v>0</v>
      </c>
      <c r="AT534">
        <v>3.6629999999999998</v>
      </c>
      <c r="AX534" t="str">
        <f>"E000384484"</f>
        <v>E000384484</v>
      </c>
      <c r="BD534" t="str">
        <f>"רוני דידי"</f>
        <v>רוני דידי</v>
      </c>
    </row>
    <row r="535" spans="1:56" x14ac:dyDescent="0.3">
      <c r="A535" s="1">
        <v>45085</v>
      </c>
      <c r="B535" t="str">
        <f>"SI236000766"</f>
        <v>SI236000766</v>
      </c>
      <c r="C535" t="str">
        <f>"PR23000083"</f>
        <v>PR23000083</v>
      </c>
      <c r="E535" t="str">
        <f>"Y"</f>
        <v>Y</v>
      </c>
      <c r="F535" t="str">
        <f>"חשבוניות מרכזות"</f>
        <v>חשבוניות מרכזות</v>
      </c>
      <c r="G535" t="str">
        <f>"700065"</f>
        <v>700065</v>
      </c>
      <c r="H535" t="str">
        <f>"אלתא מערכות בע""מ"</f>
        <v>אלתא מערכות בע"מ</v>
      </c>
      <c r="I535" t="str">
        <f>"10"</f>
        <v>10</v>
      </c>
      <c r="J535" t="str">
        <f>"OP-AR03550"</f>
        <v>OP-AR03550</v>
      </c>
      <c r="K535" t="str">
        <f>"PDU LAB SOCD 6930P400-001"</f>
        <v>PDU LAB SOCD 6930P400-001</v>
      </c>
      <c r="L535">
        <v>-2</v>
      </c>
      <c r="M535" t="str">
        <f>"יח"</f>
        <v>יח</v>
      </c>
      <c r="N535">
        <v>-2</v>
      </c>
      <c r="O535" t="str">
        <f>"יח"</f>
        <v>יח</v>
      </c>
      <c r="P535" s="2">
        <v>1750</v>
      </c>
      <c r="Q535" t="str">
        <f>"$"</f>
        <v>$</v>
      </c>
      <c r="R535" t="str">
        <f>"הזמנה"</f>
        <v>הזמנה</v>
      </c>
      <c r="S535">
        <v>0</v>
      </c>
      <c r="T535" s="2">
        <v>-3500</v>
      </c>
      <c r="U535">
        <v>0</v>
      </c>
      <c r="V535" s="2">
        <v>-3500</v>
      </c>
      <c r="W535" t="str">
        <f>"$"</f>
        <v>$</v>
      </c>
      <c r="X535">
        <v>0</v>
      </c>
      <c r="Y535">
        <v>0</v>
      </c>
      <c r="Z535">
        <v>0</v>
      </c>
      <c r="AA535" t="str">
        <f>"Y"</f>
        <v>Y</v>
      </c>
      <c r="AC535">
        <v>0</v>
      </c>
      <c r="AM535" t="str">
        <f>"10"</f>
        <v>10</v>
      </c>
      <c r="AN535" t="str">
        <f>"500000"</f>
        <v>500000</v>
      </c>
      <c r="AO535" t="str">
        <f>"הכנסות  מלקוחות"</f>
        <v>הכנסות  מלקוחות</v>
      </c>
      <c r="AQ535" t="str">
        <f>"007"</f>
        <v>007</v>
      </c>
      <c r="AR535">
        <v>0</v>
      </c>
      <c r="AS535">
        <v>0</v>
      </c>
      <c r="AT535">
        <v>3.6629999999999998</v>
      </c>
      <c r="BB535" t="str">
        <f>"Y"</f>
        <v>Y</v>
      </c>
      <c r="BD535" t="str">
        <f>"רוני דידי"</f>
        <v>רוני דידי</v>
      </c>
    </row>
    <row r="536" spans="1:56" x14ac:dyDescent="0.3">
      <c r="A536" s="1">
        <v>45085</v>
      </c>
      <c r="B536" t="str">
        <f>"SI236000755"</f>
        <v>SI236000755</v>
      </c>
      <c r="C536" t="str">
        <f>"PR22000574"</f>
        <v>PR22000574</v>
      </c>
      <c r="D536" t="str">
        <f>"PR22000574"</f>
        <v>PR22000574</v>
      </c>
      <c r="E536" t="str">
        <f>"Y"</f>
        <v>Y</v>
      </c>
      <c r="F536" t="str">
        <f>"חשבוניות מרכזות"</f>
        <v>חשבוניות מרכזות</v>
      </c>
      <c r="G536" t="str">
        <f>"700065"</f>
        <v>700065</v>
      </c>
      <c r="H536" t="str">
        <f>"אלתא מערכות בע""מ"</f>
        <v>אלתא מערכות בע"מ</v>
      </c>
      <c r="I536" t="str">
        <f>"10"</f>
        <v>10</v>
      </c>
      <c r="J536" t="str">
        <f>"PD0300358"</f>
        <v>PD0300358</v>
      </c>
      <c r="K536" t="str">
        <f>"כבל מסוכך באורך 3 מטר 40 פינים BMXFCW301S"</f>
        <v>כבל מסוכך באורך 3 מטר 40 פינים BMXFCW301S</v>
      </c>
      <c r="L536">
        <v>1</v>
      </c>
      <c r="M536" t="str">
        <f>"יח"</f>
        <v>יח</v>
      </c>
      <c r="N536">
        <v>1</v>
      </c>
      <c r="O536" t="str">
        <f>"יח"</f>
        <v>יח</v>
      </c>
      <c r="P536">
        <v>50</v>
      </c>
      <c r="Q536" t="str">
        <f>"$"</f>
        <v>$</v>
      </c>
      <c r="R536" t="str">
        <f>"הזמנה"</f>
        <v>הזמנה</v>
      </c>
      <c r="S536">
        <v>0</v>
      </c>
      <c r="T536">
        <v>50</v>
      </c>
      <c r="U536">
        <v>0</v>
      </c>
      <c r="V536">
        <v>50</v>
      </c>
      <c r="W536" t="str">
        <f>"$"</f>
        <v>$</v>
      </c>
      <c r="X536">
        <v>0</v>
      </c>
      <c r="Y536">
        <v>0</v>
      </c>
      <c r="Z536">
        <v>0</v>
      </c>
      <c r="AA536" t="str">
        <f>"Y"</f>
        <v>Y</v>
      </c>
      <c r="AB536" t="str">
        <f>"SO22000338"</f>
        <v>SO22000338</v>
      </c>
      <c r="AC536">
        <v>7</v>
      </c>
      <c r="AD536" s="1">
        <v>44791</v>
      </c>
      <c r="AE536" t="str">
        <f>"SH23000702"</f>
        <v>SH23000702</v>
      </c>
      <c r="AF536" t="str">
        <f>"משלוחים ללקוח"</f>
        <v>משלוחים ללקוח</v>
      </c>
      <c r="AG536" s="1">
        <v>45084</v>
      </c>
      <c r="AM536" t="str">
        <f>"10"</f>
        <v>10</v>
      </c>
      <c r="AN536" t="str">
        <f>"500000"</f>
        <v>500000</v>
      </c>
      <c r="AO536" t="str">
        <f>"הכנסות  מלקוחות"</f>
        <v>הכנסות  מלקוחות</v>
      </c>
      <c r="AQ536" t="str">
        <f>"007"</f>
        <v>007</v>
      </c>
      <c r="AR536">
        <v>0</v>
      </c>
      <c r="AS536">
        <v>0</v>
      </c>
      <c r="AT536">
        <v>3.6629999999999998</v>
      </c>
      <c r="AX536" t="str">
        <f>"E000369077"</f>
        <v>E000369077</v>
      </c>
      <c r="BD536" t="str">
        <f>"רוני דידי"</f>
        <v>רוני דידי</v>
      </c>
    </row>
    <row r="537" spans="1:56" x14ac:dyDescent="0.3">
      <c r="A537" s="1">
        <v>45085</v>
      </c>
      <c r="B537" t="str">
        <f>"SI236000755"</f>
        <v>SI236000755</v>
      </c>
      <c r="C537" t="str">
        <f>"PR22000574"</f>
        <v>PR22000574</v>
      </c>
      <c r="D537" t="str">
        <f>"PR22000574"</f>
        <v>PR22000574</v>
      </c>
      <c r="E537" t="str">
        <f>"Y"</f>
        <v>Y</v>
      </c>
      <c r="F537" t="str">
        <f>"חשבוניות מרכזות"</f>
        <v>חשבוניות מרכזות</v>
      </c>
      <c r="G537" t="str">
        <f>"700065"</f>
        <v>700065</v>
      </c>
      <c r="H537" t="str">
        <f>"אלתא מערכות בע""מ"</f>
        <v>אלתא מערכות בע"מ</v>
      </c>
      <c r="I537" t="str">
        <f>"10"</f>
        <v>10</v>
      </c>
      <c r="J537" t="str">
        <f>"PD0300359"</f>
        <v>PD0300359</v>
      </c>
      <c r="K537" t="str">
        <f>"מהדק נשלף 20 פינים BMXFTB2010"</f>
        <v>מהדק נשלף 20 פינים BMXFTB2010</v>
      </c>
      <c r="L537">
        <v>2</v>
      </c>
      <c r="M537" t="str">
        <f>"יח"</f>
        <v>יח</v>
      </c>
      <c r="N537">
        <v>2</v>
      </c>
      <c r="O537" t="str">
        <f>"יח"</f>
        <v>יח</v>
      </c>
      <c r="P537">
        <v>30</v>
      </c>
      <c r="Q537" t="str">
        <f>"$"</f>
        <v>$</v>
      </c>
      <c r="R537" t="str">
        <f>"הזמנה"</f>
        <v>הזמנה</v>
      </c>
      <c r="S537">
        <v>0</v>
      </c>
      <c r="T537">
        <v>60</v>
      </c>
      <c r="U537">
        <v>0</v>
      </c>
      <c r="V537">
        <v>60</v>
      </c>
      <c r="W537" t="str">
        <f>"$"</f>
        <v>$</v>
      </c>
      <c r="X537">
        <v>0</v>
      </c>
      <c r="Y537">
        <v>0</v>
      </c>
      <c r="Z537">
        <v>0</v>
      </c>
      <c r="AA537" t="str">
        <f>"Y"</f>
        <v>Y</v>
      </c>
      <c r="AB537" t="str">
        <f>"SO22000338"</f>
        <v>SO22000338</v>
      </c>
      <c r="AC537">
        <v>11</v>
      </c>
      <c r="AD537" s="1">
        <v>44791</v>
      </c>
      <c r="AE537" t="str">
        <f>"SH23000702"</f>
        <v>SH23000702</v>
      </c>
      <c r="AF537" t="str">
        <f>"משלוחים ללקוח"</f>
        <v>משלוחים ללקוח</v>
      </c>
      <c r="AG537" s="1">
        <v>45084</v>
      </c>
      <c r="AM537" t="str">
        <f>"10"</f>
        <v>10</v>
      </c>
      <c r="AN537" t="str">
        <f>"500000"</f>
        <v>500000</v>
      </c>
      <c r="AO537" t="str">
        <f>"הכנסות  מלקוחות"</f>
        <v>הכנסות  מלקוחות</v>
      </c>
      <c r="AQ537" t="str">
        <f>"007"</f>
        <v>007</v>
      </c>
      <c r="AR537">
        <v>0</v>
      </c>
      <c r="AS537">
        <v>0</v>
      </c>
      <c r="AT537">
        <v>3.6629999999999998</v>
      </c>
      <c r="AX537" t="str">
        <f>"E000369077"</f>
        <v>E000369077</v>
      </c>
      <c r="BD537" t="str">
        <f>"רוני דידי"</f>
        <v>רוני דידי</v>
      </c>
    </row>
    <row r="538" spans="1:56" x14ac:dyDescent="0.3">
      <c r="A538" s="1">
        <v>45085</v>
      </c>
      <c r="B538" t="str">
        <f>"SI236000755"</f>
        <v>SI236000755</v>
      </c>
      <c r="C538" t="str">
        <f>"PR22000574"</f>
        <v>PR22000574</v>
      </c>
      <c r="D538" t="str">
        <f>"PR22000574"</f>
        <v>PR22000574</v>
      </c>
      <c r="E538" t="str">
        <f>"Y"</f>
        <v>Y</v>
      </c>
      <c r="F538" t="str">
        <f>"חשבוניות מרכזות"</f>
        <v>חשבוניות מרכזות</v>
      </c>
      <c r="G538" t="str">
        <f>"700065"</f>
        <v>700065</v>
      </c>
      <c r="H538" t="str">
        <f>"אלתא מערכות בע""מ"</f>
        <v>אלתא מערכות בע"מ</v>
      </c>
      <c r="I538" t="str">
        <f>"10"</f>
        <v>10</v>
      </c>
      <c r="J538" t="str">
        <f>"PD0300482"</f>
        <v>PD0300482</v>
      </c>
      <c r="K538" t="str">
        <f>"כבל למודול כניסות דיגיטליות שניידר BMXFCW303"</f>
        <v>כבל למודול כניסות דיגיטליות שניידר BMXFCW303</v>
      </c>
      <c r="L538">
        <v>1</v>
      </c>
      <c r="M538" t="str">
        <f>"יח"</f>
        <v>יח</v>
      </c>
      <c r="N538">
        <v>1</v>
      </c>
      <c r="O538" t="str">
        <f>"יח"</f>
        <v>יח</v>
      </c>
      <c r="P538">
        <v>60</v>
      </c>
      <c r="Q538" t="str">
        <f>"$"</f>
        <v>$</v>
      </c>
      <c r="R538" t="str">
        <f>"הזמנה"</f>
        <v>הזמנה</v>
      </c>
      <c r="S538">
        <v>0</v>
      </c>
      <c r="T538">
        <v>60</v>
      </c>
      <c r="U538">
        <v>0</v>
      </c>
      <c r="V538">
        <v>60</v>
      </c>
      <c r="W538" t="str">
        <f>"$"</f>
        <v>$</v>
      </c>
      <c r="X538">
        <v>0</v>
      </c>
      <c r="Y538">
        <v>0</v>
      </c>
      <c r="Z538">
        <v>0</v>
      </c>
      <c r="AA538" t="str">
        <f>"Y"</f>
        <v>Y</v>
      </c>
      <c r="AB538" t="str">
        <f>"SO22000338"</f>
        <v>SO22000338</v>
      </c>
      <c r="AC538">
        <v>12</v>
      </c>
      <c r="AD538" s="1">
        <v>44791</v>
      </c>
      <c r="AE538" t="str">
        <f>"SH23000702"</f>
        <v>SH23000702</v>
      </c>
      <c r="AF538" t="str">
        <f>"משלוחים ללקוח"</f>
        <v>משלוחים ללקוח</v>
      </c>
      <c r="AG538" s="1">
        <v>45084</v>
      </c>
      <c r="AM538" t="str">
        <f>"10"</f>
        <v>10</v>
      </c>
      <c r="AN538" t="str">
        <f>"500000"</f>
        <v>500000</v>
      </c>
      <c r="AO538" t="str">
        <f>"הכנסות  מלקוחות"</f>
        <v>הכנסות  מלקוחות</v>
      </c>
      <c r="AQ538" t="str">
        <f>"007"</f>
        <v>007</v>
      </c>
      <c r="AR538">
        <v>0</v>
      </c>
      <c r="AS538">
        <v>0</v>
      </c>
      <c r="AT538">
        <v>3.6629999999999998</v>
      </c>
      <c r="AX538" t="str">
        <f>"E000369077"</f>
        <v>E000369077</v>
      </c>
      <c r="BD538" t="str">
        <f>"רוני דידי"</f>
        <v>רוני דידי</v>
      </c>
    </row>
    <row r="539" spans="1:56" x14ac:dyDescent="0.3">
      <c r="A539" s="1">
        <v>45085</v>
      </c>
      <c r="B539" t="str">
        <f>"SI236000754"</f>
        <v>SI236000754</v>
      </c>
      <c r="C539" t="str">
        <f>"PR23000071"</f>
        <v>PR23000071</v>
      </c>
      <c r="E539" t="str">
        <f>"Y"</f>
        <v>Y</v>
      </c>
      <c r="F539" t="str">
        <f>"חשבוניות מרכזות"</f>
        <v>חשבוניות מרכזות</v>
      </c>
      <c r="G539" t="str">
        <f>"700065"</f>
        <v>700065</v>
      </c>
      <c r="H539" t="str">
        <f>"אלתא מערכות בע""מ"</f>
        <v>אלתא מערכות בע"מ</v>
      </c>
      <c r="I539" t="str">
        <f>"10"</f>
        <v>10</v>
      </c>
      <c r="J539" t="str">
        <f>"OP-ML00226"</f>
        <v>OP-ML00226</v>
      </c>
      <c r="K539" t="str">
        <f>"POWER SUPPLY AC/DC 21-29V/220ADC RUGGED"</f>
        <v>POWER SUPPLY AC/DC 21-29V/220ADC RUGGED</v>
      </c>
      <c r="L539">
        <v>1</v>
      </c>
      <c r="M539" t="str">
        <f>"יח"</f>
        <v>יח</v>
      </c>
      <c r="N539">
        <v>1</v>
      </c>
      <c r="O539" t="str">
        <f>"יח"</f>
        <v>יח</v>
      </c>
      <c r="P539" s="2">
        <v>11323.9</v>
      </c>
      <c r="Q539" t="str">
        <f>"$"</f>
        <v>$</v>
      </c>
      <c r="R539" t="str">
        <f>"הזמנה"</f>
        <v>הזמנה</v>
      </c>
      <c r="S539">
        <v>0</v>
      </c>
      <c r="T539" s="2">
        <v>11323.9</v>
      </c>
      <c r="U539">
        <v>0</v>
      </c>
      <c r="V539" s="2">
        <v>11323.9</v>
      </c>
      <c r="W539" t="str">
        <f>"$"</f>
        <v>$</v>
      </c>
      <c r="X539">
        <v>0</v>
      </c>
      <c r="Y539">
        <v>0</v>
      </c>
      <c r="Z539">
        <v>0</v>
      </c>
      <c r="AA539" t="str">
        <f>"Y"</f>
        <v>Y</v>
      </c>
      <c r="AB539" t="str">
        <f>"SO23000042"</f>
        <v>SO23000042</v>
      </c>
      <c r="AC539">
        <v>1</v>
      </c>
      <c r="AD539" s="1">
        <v>44942</v>
      </c>
      <c r="AE539" t="str">
        <f>"SH23000699"</f>
        <v>SH23000699</v>
      </c>
      <c r="AF539" t="str">
        <f>"משלוחים ללקוח"</f>
        <v>משלוחים ללקוח</v>
      </c>
      <c r="AG539" s="1">
        <v>45083</v>
      </c>
      <c r="AM539" t="str">
        <f>"10"</f>
        <v>10</v>
      </c>
      <c r="AN539" t="str">
        <f>"500000"</f>
        <v>500000</v>
      </c>
      <c r="AO539" t="str">
        <f>"הכנסות  מלקוחות"</f>
        <v>הכנסות  מלקוחות</v>
      </c>
      <c r="AQ539" t="str">
        <f>"007"</f>
        <v>007</v>
      </c>
      <c r="AR539">
        <v>0</v>
      </c>
      <c r="AS539">
        <v>0</v>
      </c>
      <c r="AT539">
        <v>3.6629999999999998</v>
      </c>
      <c r="AX539" t="str">
        <f>"E000381994"</f>
        <v>E000381994</v>
      </c>
      <c r="BD539" t="str">
        <f>"רוני דידי"</f>
        <v>רוני דידי</v>
      </c>
    </row>
    <row r="540" spans="1:56" x14ac:dyDescent="0.3">
      <c r="A540" s="1">
        <v>45085</v>
      </c>
      <c r="B540" t="str">
        <f>"SI236000753"</f>
        <v>SI236000753</v>
      </c>
      <c r="C540" t="str">
        <f>"PR23000083"</f>
        <v>PR23000083</v>
      </c>
      <c r="E540" t="str">
        <f>"Y"</f>
        <v>Y</v>
      </c>
      <c r="F540" t="str">
        <f>"חשבוניות מרכזות"</f>
        <v>חשבוניות מרכזות</v>
      </c>
      <c r="G540" t="str">
        <f>"700065"</f>
        <v>700065</v>
      </c>
      <c r="H540" t="str">
        <f>"אלתא מערכות בע""מ"</f>
        <v>אלתא מערכות בע"מ</v>
      </c>
      <c r="I540" t="str">
        <f>"10"</f>
        <v>10</v>
      </c>
      <c r="J540" t="str">
        <f>"OP-AR03550"</f>
        <v>OP-AR03550</v>
      </c>
      <c r="K540" t="str">
        <f>"PDU LAB SOCD 6930P400-001"</f>
        <v>PDU LAB SOCD 6930P400-001</v>
      </c>
      <c r="L540">
        <v>2</v>
      </c>
      <c r="M540" t="str">
        <f>"יח"</f>
        <v>יח</v>
      </c>
      <c r="N540">
        <v>2</v>
      </c>
      <c r="O540" t="str">
        <f>"יח"</f>
        <v>יח</v>
      </c>
      <c r="P540" s="2">
        <v>1750</v>
      </c>
      <c r="Q540" t="str">
        <f>"$"</f>
        <v>$</v>
      </c>
      <c r="R540" t="str">
        <f>"הזמנה"</f>
        <v>הזמנה</v>
      </c>
      <c r="S540">
        <v>0</v>
      </c>
      <c r="T540" s="2">
        <v>3500</v>
      </c>
      <c r="U540">
        <v>0</v>
      </c>
      <c r="V540" s="2">
        <v>3500</v>
      </c>
      <c r="W540" t="str">
        <f>"$"</f>
        <v>$</v>
      </c>
      <c r="X540">
        <v>0</v>
      </c>
      <c r="Y540">
        <v>0</v>
      </c>
      <c r="Z540">
        <v>0</v>
      </c>
      <c r="AA540" t="str">
        <f>"Y"</f>
        <v>Y</v>
      </c>
      <c r="AC540">
        <v>0</v>
      </c>
      <c r="AM540" t="str">
        <f>"10"</f>
        <v>10</v>
      </c>
      <c r="AN540" t="str">
        <f>"500000"</f>
        <v>500000</v>
      </c>
      <c r="AO540" t="str">
        <f>"הכנסות  מלקוחות"</f>
        <v>הכנסות  מלקוחות</v>
      </c>
      <c r="AQ540" t="str">
        <f>"007"</f>
        <v>007</v>
      </c>
      <c r="AR540">
        <v>0</v>
      </c>
      <c r="AS540">
        <v>0</v>
      </c>
      <c r="AT540">
        <v>3.6629999999999998</v>
      </c>
      <c r="BB540" t="str">
        <f>"Y"</f>
        <v>Y</v>
      </c>
      <c r="BD540" t="str">
        <f>"רוני דידי"</f>
        <v>רוני דידי</v>
      </c>
    </row>
    <row r="541" spans="1:56" x14ac:dyDescent="0.3">
      <c r="A541" s="1">
        <v>45085</v>
      </c>
      <c r="B541" t="str">
        <f>"SI236000751"</f>
        <v>SI236000751</v>
      </c>
      <c r="C541" t="str">
        <f>"PR22000574"</f>
        <v>PR22000574</v>
      </c>
      <c r="D541" t="str">
        <f>"PR22000574"</f>
        <v>PR22000574</v>
      </c>
      <c r="E541" t="str">
        <f>"Y"</f>
        <v>Y</v>
      </c>
      <c r="F541" t="str">
        <f>"חשבוניות מרכזות"</f>
        <v>חשבוניות מרכזות</v>
      </c>
      <c r="G541" t="str">
        <f>"700065"</f>
        <v>700065</v>
      </c>
      <c r="H541" t="str">
        <f>"אלתא מערכות בע""מ"</f>
        <v>אלתא מערכות בע"מ</v>
      </c>
      <c r="I541" t="str">
        <f>"10"</f>
        <v>10</v>
      </c>
      <c r="J541" t="str">
        <f>"PD0300372"</f>
        <v>PD0300372</v>
      </c>
      <c r="K541" t="str">
        <f>"ספק כוח לבקר BMXCPS3020H 24VDC"</f>
        <v>ספק כוח לבקר BMXCPS3020H 24VDC</v>
      </c>
      <c r="L541">
        <v>1</v>
      </c>
      <c r="M541" t="str">
        <f>"יח"</f>
        <v>יח</v>
      </c>
      <c r="N541">
        <v>1</v>
      </c>
      <c r="O541" t="str">
        <f>"יח"</f>
        <v>יח</v>
      </c>
      <c r="P541">
        <v>510</v>
      </c>
      <c r="Q541" t="str">
        <f>"$"</f>
        <v>$</v>
      </c>
      <c r="R541" t="str">
        <f>"הזמנה"</f>
        <v>הזמנה</v>
      </c>
      <c r="S541">
        <v>0</v>
      </c>
      <c r="T541">
        <v>510</v>
      </c>
      <c r="U541">
        <v>0</v>
      </c>
      <c r="V541">
        <v>510</v>
      </c>
      <c r="W541" t="str">
        <f>"$"</f>
        <v>$</v>
      </c>
      <c r="X541">
        <v>0</v>
      </c>
      <c r="Y541">
        <v>0</v>
      </c>
      <c r="Z541">
        <v>0</v>
      </c>
      <c r="AA541" t="str">
        <f>"Y"</f>
        <v>Y</v>
      </c>
      <c r="AB541" t="str">
        <f>"SO22000338"</f>
        <v>SO22000338</v>
      </c>
      <c r="AC541">
        <v>2</v>
      </c>
      <c r="AD541" s="1">
        <v>44791</v>
      </c>
      <c r="AE541" t="str">
        <f>"SH23000693"</f>
        <v>SH23000693</v>
      </c>
      <c r="AF541" t="str">
        <f>"משלוחים ללקוח"</f>
        <v>משלוחים ללקוח</v>
      </c>
      <c r="AG541" s="1">
        <v>45082</v>
      </c>
      <c r="AM541" t="str">
        <f>"10"</f>
        <v>10</v>
      </c>
      <c r="AN541" t="str">
        <f>"500000"</f>
        <v>500000</v>
      </c>
      <c r="AO541" t="str">
        <f>"הכנסות  מלקוחות"</f>
        <v>הכנסות  מלקוחות</v>
      </c>
      <c r="AQ541" t="str">
        <f>"007"</f>
        <v>007</v>
      </c>
      <c r="AR541">
        <v>0</v>
      </c>
      <c r="AS541">
        <v>0</v>
      </c>
      <c r="AT541">
        <v>3.6629999999999998</v>
      </c>
      <c r="AX541" t="str">
        <f>"E000369077"</f>
        <v>E000369077</v>
      </c>
      <c r="BD541" t="str">
        <f>"רוני דידי"</f>
        <v>רוני דידי</v>
      </c>
    </row>
    <row r="542" spans="1:56" x14ac:dyDescent="0.3">
      <c r="A542" s="1">
        <v>45085</v>
      </c>
      <c r="B542" t="str">
        <f>"SI236000751"</f>
        <v>SI236000751</v>
      </c>
      <c r="C542" t="str">
        <f>"PR22000574"</f>
        <v>PR22000574</v>
      </c>
      <c r="D542" t="str">
        <f>"PR22000574"</f>
        <v>PR22000574</v>
      </c>
      <c r="E542" t="str">
        <f>"Y"</f>
        <v>Y</v>
      </c>
      <c r="F542" t="str">
        <f>"חשבוניות מרכזות"</f>
        <v>חשבוניות מרכזות</v>
      </c>
      <c r="G542" t="str">
        <f>"700065"</f>
        <v>700065</v>
      </c>
      <c r="H542" t="str">
        <f>"אלתא מערכות בע""מ"</f>
        <v>אלתא מערכות בע"מ</v>
      </c>
      <c r="I542" t="str">
        <f>"10"</f>
        <v>10</v>
      </c>
      <c r="J542" t="str">
        <f>"PD0300373"</f>
        <v>PD0300373</v>
      </c>
      <c r="K542" t="str">
        <f>"מעבד לבקר מודול ראשי+MODBUSוBMXP342020H ETHERN"</f>
        <v>מעבד לבקר מודול ראשי+MODBUSוBMXP342020H ETHERN</v>
      </c>
      <c r="L542">
        <v>1</v>
      </c>
      <c r="M542" t="str">
        <f>"יח"</f>
        <v>יח</v>
      </c>
      <c r="N542">
        <v>1</v>
      </c>
      <c r="O542" t="str">
        <f>"יח"</f>
        <v>יח</v>
      </c>
      <c r="P542" s="2">
        <v>1260</v>
      </c>
      <c r="Q542" t="str">
        <f>"$"</f>
        <v>$</v>
      </c>
      <c r="R542" t="str">
        <f>"הזמנה"</f>
        <v>הזמנה</v>
      </c>
      <c r="S542">
        <v>0</v>
      </c>
      <c r="T542" s="2">
        <v>1260</v>
      </c>
      <c r="U542">
        <v>0</v>
      </c>
      <c r="V542" s="2">
        <v>1260</v>
      </c>
      <c r="W542" t="str">
        <f>"$"</f>
        <v>$</v>
      </c>
      <c r="X542">
        <v>0</v>
      </c>
      <c r="Y542">
        <v>0</v>
      </c>
      <c r="Z542">
        <v>0</v>
      </c>
      <c r="AA542" t="str">
        <f>"Y"</f>
        <v>Y</v>
      </c>
      <c r="AB542" t="str">
        <f>"SO22000338"</f>
        <v>SO22000338</v>
      </c>
      <c r="AC542">
        <v>3</v>
      </c>
      <c r="AD542" s="1">
        <v>44791</v>
      </c>
      <c r="AE542" t="str">
        <f>"SH23000693"</f>
        <v>SH23000693</v>
      </c>
      <c r="AF542" t="str">
        <f>"משלוחים ללקוח"</f>
        <v>משלוחים ללקוח</v>
      </c>
      <c r="AG542" s="1">
        <v>45082</v>
      </c>
      <c r="AM542" t="str">
        <f>"10"</f>
        <v>10</v>
      </c>
      <c r="AN542" t="str">
        <f>"500000"</f>
        <v>500000</v>
      </c>
      <c r="AO542" t="str">
        <f>"הכנסות  מלקוחות"</f>
        <v>הכנסות  מלקוחות</v>
      </c>
      <c r="AQ542" t="str">
        <f>"007"</f>
        <v>007</v>
      </c>
      <c r="AR542">
        <v>0</v>
      </c>
      <c r="AS542">
        <v>0</v>
      </c>
      <c r="AT542">
        <v>3.6629999999999998</v>
      </c>
      <c r="AX542" t="str">
        <f>"E000369077"</f>
        <v>E000369077</v>
      </c>
      <c r="BD542" t="str">
        <f>"רוני דידי"</f>
        <v>רוני דידי</v>
      </c>
    </row>
    <row r="543" spans="1:56" x14ac:dyDescent="0.3">
      <c r="A543" s="1">
        <v>45085</v>
      </c>
      <c r="B543" t="str">
        <f>"SI236000751"</f>
        <v>SI236000751</v>
      </c>
      <c r="C543" t="str">
        <f>"PR22000574"</f>
        <v>PR22000574</v>
      </c>
      <c r="D543" t="str">
        <f>"PR22000574"</f>
        <v>PR22000574</v>
      </c>
      <c r="E543" t="str">
        <f>"Y"</f>
        <v>Y</v>
      </c>
      <c r="F543" t="str">
        <f>"חשבוניות מרכזות"</f>
        <v>חשבוניות מרכזות</v>
      </c>
      <c r="G543" t="str">
        <f>"700065"</f>
        <v>700065</v>
      </c>
      <c r="H543" t="str">
        <f>"אלתא מערכות בע""מ"</f>
        <v>אלתא מערכות בע"מ</v>
      </c>
      <c r="I543" t="str">
        <f>"10"</f>
        <v>10</v>
      </c>
      <c r="J543" t="str">
        <f>"PD0300358"</f>
        <v>PD0300358</v>
      </c>
      <c r="K543" t="str">
        <f>"כבל מסוכך באורך 3 מטר 40 פינים BMXFCW301S"</f>
        <v>כבל מסוכך באורך 3 מטר 40 פינים BMXFCW301S</v>
      </c>
      <c r="L543">
        <v>1</v>
      </c>
      <c r="M543" t="str">
        <f>"יח"</f>
        <v>יח</v>
      </c>
      <c r="N543">
        <v>1</v>
      </c>
      <c r="O543" t="str">
        <f>"יח"</f>
        <v>יח</v>
      </c>
      <c r="P543">
        <v>50</v>
      </c>
      <c r="Q543" t="str">
        <f>"$"</f>
        <v>$</v>
      </c>
      <c r="R543" t="str">
        <f>"הזמנה"</f>
        <v>הזמנה</v>
      </c>
      <c r="S543">
        <v>0</v>
      </c>
      <c r="T543">
        <v>50</v>
      </c>
      <c r="U543">
        <v>0</v>
      </c>
      <c r="V543">
        <v>50</v>
      </c>
      <c r="W543" t="str">
        <f>"$"</f>
        <v>$</v>
      </c>
      <c r="X543">
        <v>0</v>
      </c>
      <c r="Y543">
        <v>0</v>
      </c>
      <c r="Z543">
        <v>0</v>
      </c>
      <c r="AA543" t="str">
        <f>"Y"</f>
        <v>Y</v>
      </c>
      <c r="AB543" t="str">
        <f>"SO22000338"</f>
        <v>SO22000338</v>
      </c>
      <c r="AC543">
        <v>7</v>
      </c>
      <c r="AD543" s="1">
        <v>44791</v>
      </c>
      <c r="AE543" t="str">
        <f>"SH23000693"</f>
        <v>SH23000693</v>
      </c>
      <c r="AF543" t="str">
        <f>"משלוחים ללקוח"</f>
        <v>משלוחים ללקוח</v>
      </c>
      <c r="AG543" s="1">
        <v>45082</v>
      </c>
      <c r="AM543" t="str">
        <f>"10"</f>
        <v>10</v>
      </c>
      <c r="AN543" t="str">
        <f>"500000"</f>
        <v>500000</v>
      </c>
      <c r="AO543" t="str">
        <f>"הכנסות  מלקוחות"</f>
        <v>הכנסות  מלקוחות</v>
      </c>
      <c r="AQ543" t="str">
        <f>"007"</f>
        <v>007</v>
      </c>
      <c r="AR543">
        <v>0</v>
      </c>
      <c r="AS543">
        <v>0</v>
      </c>
      <c r="AT543">
        <v>3.6629999999999998</v>
      </c>
      <c r="AX543" t="str">
        <f>"E000369077"</f>
        <v>E000369077</v>
      </c>
      <c r="BD543" t="str">
        <f>"רוני דידי"</f>
        <v>רוני דידי</v>
      </c>
    </row>
    <row r="544" spans="1:56" x14ac:dyDescent="0.3">
      <c r="A544" s="1">
        <v>45085</v>
      </c>
      <c r="B544" t="str">
        <f>"SI236000751"</f>
        <v>SI236000751</v>
      </c>
      <c r="C544" t="str">
        <f>"PR22000574"</f>
        <v>PR22000574</v>
      </c>
      <c r="D544" t="str">
        <f>"PR22000574"</f>
        <v>PR22000574</v>
      </c>
      <c r="E544" t="str">
        <f>"Y"</f>
        <v>Y</v>
      </c>
      <c r="F544" t="str">
        <f>"חשבוניות מרכזות"</f>
        <v>חשבוניות מרכזות</v>
      </c>
      <c r="G544" t="str">
        <f>"700065"</f>
        <v>700065</v>
      </c>
      <c r="H544" t="str">
        <f>"אלתא מערכות בע""מ"</f>
        <v>אלתא מערכות בע"מ</v>
      </c>
      <c r="I544" t="str">
        <f>"10"</f>
        <v>10</v>
      </c>
      <c r="J544" t="str">
        <f>"PD0300376"</f>
        <v>PD0300376</v>
      </c>
      <c r="K544" t="str">
        <f>"כרטיס זיכרון BMXRMS008MPF SD 8MB"</f>
        <v>כרטיס זיכרון BMXRMS008MPF SD 8MB</v>
      </c>
      <c r="L544">
        <v>1</v>
      </c>
      <c r="M544" t="str">
        <f>"יח"</f>
        <v>יח</v>
      </c>
      <c r="N544">
        <v>1</v>
      </c>
      <c r="O544" t="str">
        <f>"יח"</f>
        <v>יח</v>
      </c>
      <c r="P544">
        <v>264</v>
      </c>
      <c r="Q544" t="str">
        <f>"$"</f>
        <v>$</v>
      </c>
      <c r="R544" t="str">
        <f>"הזמנה"</f>
        <v>הזמנה</v>
      </c>
      <c r="S544">
        <v>0</v>
      </c>
      <c r="T544">
        <v>264</v>
      </c>
      <c r="U544">
        <v>0</v>
      </c>
      <c r="V544">
        <v>264</v>
      </c>
      <c r="W544" t="str">
        <f>"$"</f>
        <v>$</v>
      </c>
      <c r="X544">
        <v>0</v>
      </c>
      <c r="Y544">
        <v>0</v>
      </c>
      <c r="Z544">
        <v>0</v>
      </c>
      <c r="AA544" t="str">
        <f>"Y"</f>
        <v>Y</v>
      </c>
      <c r="AB544" t="str">
        <f>"SO22000338"</f>
        <v>SO22000338</v>
      </c>
      <c r="AC544">
        <v>9</v>
      </c>
      <c r="AD544" s="1">
        <v>44791</v>
      </c>
      <c r="AE544" t="str">
        <f>"SH23000693"</f>
        <v>SH23000693</v>
      </c>
      <c r="AF544" t="str">
        <f>"משלוחים ללקוח"</f>
        <v>משלוחים ללקוח</v>
      </c>
      <c r="AG544" s="1">
        <v>45082</v>
      </c>
      <c r="AM544" t="str">
        <f>"10"</f>
        <v>10</v>
      </c>
      <c r="AN544" t="str">
        <f>"500000"</f>
        <v>500000</v>
      </c>
      <c r="AO544" t="str">
        <f>"הכנסות  מלקוחות"</f>
        <v>הכנסות  מלקוחות</v>
      </c>
      <c r="AQ544" t="str">
        <f>"007"</f>
        <v>007</v>
      </c>
      <c r="AR544">
        <v>0</v>
      </c>
      <c r="AS544">
        <v>0</v>
      </c>
      <c r="AT544">
        <v>3.6629999999999998</v>
      </c>
      <c r="AX544" t="str">
        <f>"E000369077"</f>
        <v>E000369077</v>
      </c>
      <c r="BD544" t="str">
        <f>"רוני דידי"</f>
        <v>רוני דידי</v>
      </c>
    </row>
    <row r="545" spans="1:56" x14ac:dyDescent="0.3">
      <c r="A545" s="1">
        <v>45085</v>
      </c>
      <c r="B545" t="str">
        <f>"SI236000751"</f>
        <v>SI236000751</v>
      </c>
      <c r="C545" t="str">
        <f>"PR22000574"</f>
        <v>PR22000574</v>
      </c>
      <c r="D545" t="str">
        <f>"PR22000574"</f>
        <v>PR22000574</v>
      </c>
      <c r="E545" t="str">
        <f>"Y"</f>
        <v>Y</v>
      </c>
      <c r="F545" t="str">
        <f>"חשבוניות מרכזות"</f>
        <v>חשבוניות מרכזות</v>
      </c>
      <c r="G545" t="str">
        <f>"700065"</f>
        <v>700065</v>
      </c>
      <c r="H545" t="str">
        <f>"אלתא מערכות בע""מ"</f>
        <v>אלתא מערכות בע"מ</v>
      </c>
      <c r="I545" t="str">
        <f>"10"</f>
        <v>10</v>
      </c>
      <c r="J545" t="str">
        <f>"PD0300377"</f>
        <v>PD0300377</v>
      </c>
      <c r="K545" t="str">
        <f>"כרטיס זיכרון HMIZSD4G SD 4GB"</f>
        <v>כרטיס זיכרון HMIZSD4G SD 4GB</v>
      </c>
      <c r="L545">
        <v>1</v>
      </c>
      <c r="M545" t="str">
        <f>"יח"</f>
        <v>יח</v>
      </c>
      <c r="N545">
        <v>1</v>
      </c>
      <c r="O545" t="str">
        <f>"יח"</f>
        <v>יח</v>
      </c>
      <c r="P545">
        <v>93</v>
      </c>
      <c r="Q545" t="str">
        <f>"$"</f>
        <v>$</v>
      </c>
      <c r="R545" t="str">
        <f>"הזמנה"</f>
        <v>הזמנה</v>
      </c>
      <c r="S545">
        <v>0</v>
      </c>
      <c r="T545">
        <v>93</v>
      </c>
      <c r="U545">
        <v>0</v>
      </c>
      <c r="V545">
        <v>93</v>
      </c>
      <c r="W545" t="str">
        <f>"$"</f>
        <v>$</v>
      </c>
      <c r="X545">
        <v>0</v>
      </c>
      <c r="Y545">
        <v>0</v>
      </c>
      <c r="Z545">
        <v>0</v>
      </c>
      <c r="AA545" t="str">
        <f>"Y"</f>
        <v>Y</v>
      </c>
      <c r="AB545" t="str">
        <f>"SO22000338"</f>
        <v>SO22000338</v>
      </c>
      <c r="AC545">
        <v>10</v>
      </c>
      <c r="AD545" s="1">
        <v>44791</v>
      </c>
      <c r="AE545" t="str">
        <f>"SH23000693"</f>
        <v>SH23000693</v>
      </c>
      <c r="AF545" t="str">
        <f>"משלוחים ללקוח"</f>
        <v>משלוחים ללקוח</v>
      </c>
      <c r="AG545" s="1">
        <v>45082</v>
      </c>
      <c r="AM545" t="str">
        <f>"10"</f>
        <v>10</v>
      </c>
      <c r="AN545" t="str">
        <f>"500000"</f>
        <v>500000</v>
      </c>
      <c r="AO545" t="str">
        <f>"הכנסות  מלקוחות"</f>
        <v>הכנסות  מלקוחות</v>
      </c>
      <c r="AQ545" t="str">
        <f>"007"</f>
        <v>007</v>
      </c>
      <c r="AR545">
        <v>0</v>
      </c>
      <c r="AS545">
        <v>0</v>
      </c>
      <c r="AT545">
        <v>3.6629999999999998</v>
      </c>
      <c r="AX545" t="str">
        <f>"E000369077"</f>
        <v>E000369077</v>
      </c>
      <c r="BD545" t="str">
        <f>"רוני דידי"</f>
        <v>רוני דידי</v>
      </c>
    </row>
    <row r="546" spans="1:56" x14ac:dyDescent="0.3">
      <c r="A546" s="1">
        <v>45085</v>
      </c>
      <c r="B546" t="str">
        <f>"SI236000751"</f>
        <v>SI236000751</v>
      </c>
      <c r="C546" t="str">
        <f>"PR22000574"</f>
        <v>PR22000574</v>
      </c>
      <c r="D546" t="str">
        <f>"PR22000574"</f>
        <v>PR22000574</v>
      </c>
      <c r="E546" t="str">
        <f>"Y"</f>
        <v>Y</v>
      </c>
      <c r="F546" t="str">
        <f>"חשבוניות מרכזות"</f>
        <v>חשבוניות מרכזות</v>
      </c>
      <c r="G546" t="str">
        <f>"700065"</f>
        <v>700065</v>
      </c>
      <c r="H546" t="str">
        <f>"אלתא מערכות בע""מ"</f>
        <v>אלתא מערכות בע"מ</v>
      </c>
      <c r="I546" t="str">
        <f>"10"</f>
        <v>10</v>
      </c>
      <c r="J546" t="str">
        <f>"PD0300359"</f>
        <v>PD0300359</v>
      </c>
      <c r="K546" t="str">
        <f>"מהדק נשלף 20 פינים BMXFTB2010"</f>
        <v>מהדק נשלף 20 פינים BMXFTB2010</v>
      </c>
      <c r="L546">
        <v>1</v>
      </c>
      <c r="M546" t="str">
        <f>"יח"</f>
        <v>יח</v>
      </c>
      <c r="N546">
        <v>1</v>
      </c>
      <c r="O546" t="str">
        <f>"יח"</f>
        <v>יח</v>
      </c>
      <c r="P546">
        <v>30</v>
      </c>
      <c r="Q546" t="str">
        <f>"$"</f>
        <v>$</v>
      </c>
      <c r="R546" t="str">
        <f>"הזמנה"</f>
        <v>הזמנה</v>
      </c>
      <c r="S546">
        <v>0</v>
      </c>
      <c r="T546">
        <v>30</v>
      </c>
      <c r="U546">
        <v>0</v>
      </c>
      <c r="V546">
        <v>30</v>
      </c>
      <c r="W546" t="str">
        <f>"$"</f>
        <v>$</v>
      </c>
      <c r="X546">
        <v>0</v>
      </c>
      <c r="Y546">
        <v>0</v>
      </c>
      <c r="Z546">
        <v>0</v>
      </c>
      <c r="AA546" t="str">
        <f>"Y"</f>
        <v>Y</v>
      </c>
      <c r="AB546" t="str">
        <f>"SO22000338"</f>
        <v>SO22000338</v>
      </c>
      <c r="AC546">
        <v>11</v>
      </c>
      <c r="AD546" s="1">
        <v>44791</v>
      </c>
      <c r="AE546" t="str">
        <f>"SH23000693"</f>
        <v>SH23000693</v>
      </c>
      <c r="AF546" t="str">
        <f>"משלוחים ללקוח"</f>
        <v>משלוחים ללקוח</v>
      </c>
      <c r="AG546" s="1">
        <v>45082</v>
      </c>
      <c r="AM546" t="str">
        <f>"10"</f>
        <v>10</v>
      </c>
      <c r="AN546" t="str">
        <f>"500000"</f>
        <v>500000</v>
      </c>
      <c r="AO546" t="str">
        <f>"הכנסות  מלקוחות"</f>
        <v>הכנסות  מלקוחות</v>
      </c>
      <c r="AQ546" t="str">
        <f>"007"</f>
        <v>007</v>
      </c>
      <c r="AR546">
        <v>0</v>
      </c>
      <c r="AS546">
        <v>0</v>
      </c>
      <c r="AT546">
        <v>3.6629999999999998</v>
      </c>
      <c r="AX546" t="str">
        <f>"E000369077"</f>
        <v>E000369077</v>
      </c>
      <c r="BD546" t="str">
        <f>"רוני דידי"</f>
        <v>רוני דידי</v>
      </c>
    </row>
    <row r="547" spans="1:56" x14ac:dyDescent="0.3">
      <c r="A547" s="1">
        <v>45085</v>
      </c>
      <c r="B547" t="str">
        <f>"SI236000751"</f>
        <v>SI236000751</v>
      </c>
      <c r="C547" t="str">
        <f>"PR22000574"</f>
        <v>PR22000574</v>
      </c>
      <c r="D547" t="str">
        <f>"PR22000574"</f>
        <v>PR22000574</v>
      </c>
      <c r="E547" t="str">
        <f>"Y"</f>
        <v>Y</v>
      </c>
      <c r="F547" t="str">
        <f>"חשבוניות מרכזות"</f>
        <v>חשבוניות מרכזות</v>
      </c>
      <c r="G547" t="str">
        <f>"700065"</f>
        <v>700065</v>
      </c>
      <c r="H547" t="str">
        <f>"אלתא מערכות בע""מ"</f>
        <v>אלתא מערכות בע"מ</v>
      </c>
      <c r="I547" t="str">
        <f>"10"</f>
        <v>10</v>
      </c>
      <c r="J547" t="str">
        <f>"PD0300482"</f>
        <v>PD0300482</v>
      </c>
      <c r="K547" t="str">
        <f>"כבל למודול כניסות דיגיטליות שניידר BMXFCW303"</f>
        <v>כבל למודול כניסות דיגיטליות שניידר BMXFCW303</v>
      </c>
      <c r="L547">
        <v>1</v>
      </c>
      <c r="M547" t="str">
        <f>"יח"</f>
        <v>יח</v>
      </c>
      <c r="N547">
        <v>1</v>
      </c>
      <c r="O547" t="str">
        <f>"יח"</f>
        <v>יח</v>
      </c>
      <c r="P547">
        <v>60</v>
      </c>
      <c r="Q547" t="str">
        <f>"$"</f>
        <v>$</v>
      </c>
      <c r="R547" t="str">
        <f>"הזמנה"</f>
        <v>הזמנה</v>
      </c>
      <c r="S547">
        <v>0</v>
      </c>
      <c r="T547">
        <v>60</v>
      </c>
      <c r="U547">
        <v>0</v>
      </c>
      <c r="V547">
        <v>60</v>
      </c>
      <c r="W547" t="str">
        <f>"$"</f>
        <v>$</v>
      </c>
      <c r="X547">
        <v>0</v>
      </c>
      <c r="Y547">
        <v>0</v>
      </c>
      <c r="Z547">
        <v>0</v>
      </c>
      <c r="AA547" t="str">
        <f>"Y"</f>
        <v>Y</v>
      </c>
      <c r="AB547" t="str">
        <f>"SO22000338"</f>
        <v>SO22000338</v>
      </c>
      <c r="AC547">
        <v>12</v>
      </c>
      <c r="AD547" s="1">
        <v>44791</v>
      </c>
      <c r="AE547" t="str">
        <f>"SH23000693"</f>
        <v>SH23000693</v>
      </c>
      <c r="AF547" t="str">
        <f>"משלוחים ללקוח"</f>
        <v>משלוחים ללקוח</v>
      </c>
      <c r="AG547" s="1">
        <v>45082</v>
      </c>
      <c r="AM547" t="str">
        <f>"10"</f>
        <v>10</v>
      </c>
      <c r="AN547" t="str">
        <f>"500000"</f>
        <v>500000</v>
      </c>
      <c r="AO547" t="str">
        <f>"הכנסות  מלקוחות"</f>
        <v>הכנסות  מלקוחות</v>
      </c>
      <c r="AQ547" t="str">
        <f>"007"</f>
        <v>007</v>
      </c>
      <c r="AR547">
        <v>0</v>
      </c>
      <c r="AS547">
        <v>0</v>
      </c>
      <c r="AT547">
        <v>3.6629999999999998</v>
      </c>
      <c r="AX547" t="str">
        <f>"E000369077"</f>
        <v>E000369077</v>
      </c>
      <c r="BD547" t="str">
        <f>"רוני דידי"</f>
        <v>רוני דידי</v>
      </c>
    </row>
    <row r="548" spans="1:56" x14ac:dyDescent="0.3">
      <c r="A548" s="1">
        <v>45083</v>
      </c>
      <c r="B548" t="str">
        <f>"SI236000744"</f>
        <v>SI236000744</v>
      </c>
      <c r="C548" t="str">
        <f>"PR22000286"</f>
        <v>PR22000286</v>
      </c>
      <c r="E548" t="str">
        <f>"Y"</f>
        <v>Y</v>
      </c>
      <c r="F548" t="str">
        <f>"חשבוניות מרכזות"</f>
        <v>חשבוניות מרכזות</v>
      </c>
      <c r="G548" t="str">
        <f>"700065"</f>
        <v>700065</v>
      </c>
      <c r="H548" t="str">
        <f>"אלתא מערכות בע""מ"</f>
        <v>אלתא מערכות בע"מ</v>
      </c>
      <c r="I548" t="str">
        <f>"10"</f>
        <v>10</v>
      </c>
      <c r="J548" t="str">
        <f>"cust001283"</f>
        <v>cust001283</v>
      </c>
      <c r="K548" t="str">
        <f>"ELTA BATTERY BOX 1039V520-001"</f>
        <v>ELTA BATTERY BOX 1039V520-001</v>
      </c>
      <c r="L548">
        <v>-1</v>
      </c>
      <c r="M548" t="str">
        <f>"יח"</f>
        <v>יח</v>
      </c>
      <c r="N548">
        <v>-1</v>
      </c>
      <c r="O548" t="str">
        <f>"יח"</f>
        <v>יח</v>
      </c>
      <c r="P548">
        <v>0.1</v>
      </c>
      <c r="Q548" t="str">
        <f>"$"</f>
        <v>$</v>
      </c>
      <c r="R548" t="str">
        <f>"הזמנה"</f>
        <v>הזמנה</v>
      </c>
      <c r="S548">
        <v>0</v>
      </c>
      <c r="T548">
        <v>-0.1</v>
      </c>
      <c r="U548">
        <v>0</v>
      </c>
      <c r="V548">
        <v>-0.1</v>
      </c>
      <c r="W548" t="str">
        <f>"$"</f>
        <v>$</v>
      </c>
      <c r="X548">
        <v>0</v>
      </c>
      <c r="Y548">
        <v>0</v>
      </c>
      <c r="Z548">
        <v>0</v>
      </c>
      <c r="AA548" t="str">
        <f>"Y"</f>
        <v>Y</v>
      </c>
      <c r="AC548">
        <v>0</v>
      </c>
      <c r="AM548" t="str">
        <f>"10"</f>
        <v>10</v>
      </c>
      <c r="AN548" t="str">
        <f>"500000"</f>
        <v>500000</v>
      </c>
      <c r="AO548" t="str">
        <f>"הכנסות  מלקוחות"</f>
        <v>הכנסות  מלקוחות</v>
      </c>
      <c r="AQ548" t="str">
        <f>"034"</f>
        <v>034</v>
      </c>
      <c r="AR548">
        <v>0</v>
      </c>
      <c r="AS548">
        <v>0</v>
      </c>
      <c r="AT548">
        <v>3.456</v>
      </c>
      <c r="BB548" t="str">
        <f>"Y"</f>
        <v>Y</v>
      </c>
      <c r="BD548" t="str">
        <f>"ערן שלו"</f>
        <v>ערן שלו</v>
      </c>
    </row>
    <row r="549" spans="1:56" x14ac:dyDescent="0.3">
      <c r="A549" s="1">
        <v>45083</v>
      </c>
      <c r="B549" t="str">
        <f>"SI236000744"</f>
        <v>SI236000744</v>
      </c>
      <c r="C549" t="str">
        <f>"PR22000286"</f>
        <v>PR22000286</v>
      </c>
      <c r="E549" t="str">
        <f>"Y"</f>
        <v>Y</v>
      </c>
      <c r="F549" t="str">
        <f>"חשבוניות מרכזות"</f>
        <v>חשבוניות מרכזות</v>
      </c>
      <c r="G549" t="str">
        <f>"700065"</f>
        <v>700065</v>
      </c>
      <c r="H549" t="str">
        <f>"אלתא מערכות בע""מ"</f>
        <v>אלתא מערכות בע"מ</v>
      </c>
      <c r="I549" t="str">
        <f>"10"</f>
        <v>10</v>
      </c>
      <c r="J549" t="str">
        <f>"cust001283"</f>
        <v>cust001283</v>
      </c>
      <c r="K549" t="str">
        <f>"ELTA BATTERY BOX 1039V520-001"</f>
        <v>ELTA BATTERY BOX 1039V520-001</v>
      </c>
      <c r="L549">
        <v>-1</v>
      </c>
      <c r="M549" t="str">
        <f>"יח"</f>
        <v>יח</v>
      </c>
      <c r="N549">
        <v>-1</v>
      </c>
      <c r="O549" t="str">
        <f>"יח"</f>
        <v>יח</v>
      </c>
      <c r="P549">
        <v>0.1</v>
      </c>
      <c r="Q549" t="str">
        <f>"$"</f>
        <v>$</v>
      </c>
      <c r="R549" t="str">
        <f>"הזמנה"</f>
        <v>הזמנה</v>
      </c>
      <c r="S549">
        <v>0</v>
      </c>
      <c r="T549">
        <v>-0.1</v>
      </c>
      <c r="U549">
        <v>0</v>
      </c>
      <c r="V549">
        <v>-0.1</v>
      </c>
      <c r="W549" t="str">
        <f>"$"</f>
        <v>$</v>
      </c>
      <c r="X549">
        <v>0</v>
      </c>
      <c r="Y549">
        <v>0</v>
      </c>
      <c r="Z549">
        <v>0</v>
      </c>
      <c r="AA549" t="str">
        <f>"Y"</f>
        <v>Y</v>
      </c>
      <c r="AC549">
        <v>0</v>
      </c>
      <c r="AM549" t="str">
        <f>"10"</f>
        <v>10</v>
      </c>
      <c r="AN549" t="str">
        <f>"500000"</f>
        <v>500000</v>
      </c>
      <c r="AO549" t="str">
        <f>"הכנסות  מלקוחות"</f>
        <v>הכנסות  מלקוחות</v>
      </c>
      <c r="AQ549" t="str">
        <f>"034"</f>
        <v>034</v>
      </c>
      <c r="AR549">
        <v>0</v>
      </c>
      <c r="AS549">
        <v>0</v>
      </c>
      <c r="AT549">
        <v>3.456</v>
      </c>
      <c r="BB549" t="str">
        <f>"Y"</f>
        <v>Y</v>
      </c>
      <c r="BD549" t="str">
        <f>"ערן שלו"</f>
        <v>ערן שלו</v>
      </c>
    </row>
    <row r="550" spans="1:56" x14ac:dyDescent="0.3">
      <c r="A550" s="1">
        <v>45083</v>
      </c>
      <c r="B550" t="str">
        <f>"SI236000743"</f>
        <v>SI236000743</v>
      </c>
      <c r="C550" t="str">
        <f>"PR22000449"</f>
        <v>PR22000449</v>
      </c>
      <c r="E550" t="str">
        <f>"Y"</f>
        <v>Y</v>
      </c>
      <c r="F550" t="str">
        <f>"חשבוניות מרכזות"</f>
        <v>חשבוניות מרכזות</v>
      </c>
      <c r="G550" t="str">
        <f>"700065"</f>
        <v>700065</v>
      </c>
      <c r="H550" t="str">
        <f>"אלתא מערכות בע""מ"</f>
        <v>אלתא מערכות בע"מ</v>
      </c>
      <c r="I550" t="str">
        <f>"10"</f>
        <v>10</v>
      </c>
      <c r="J550" t="str">
        <f>"cust001348"</f>
        <v>cust001348</v>
      </c>
      <c r="K550" t="str">
        <f>"241119.815 ELTA"</f>
        <v>241119.815 ELTA</v>
      </c>
      <c r="L550">
        <v>-1</v>
      </c>
      <c r="M550" t="str">
        <f>"יח"</f>
        <v>יח</v>
      </c>
      <c r="N550">
        <v>-1</v>
      </c>
      <c r="O550" t="str">
        <f>"יח"</f>
        <v>יח</v>
      </c>
      <c r="P550">
        <v>0.1</v>
      </c>
      <c r="Q550" t="str">
        <f>"$"</f>
        <v>$</v>
      </c>
      <c r="R550" t="str">
        <f>"הזמנה"</f>
        <v>הזמנה</v>
      </c>
      <c r="S550">
        <v>0</v>
      </c>
      <c r="T550">
        <v>-0.1</v>
      </c>
      <c r="U550">
        <v>0</v>
      </c>
      <c r="V550">
        <v>-0.1</v>
      </c>
      <c r="W550" t="str">
        <f>"$"</f>
        <v>$</v>
      </c>
      <c r="X550">
        <v>0</v>
      </c>
      <c r="Y550">
        <v>0</v>
      </c>
      <c r="Z550">
        <v>0</v>
      </c>
      <c r="AA550" t="str">
        <f>"Y"</f>
        <v>Y</v>
      </c>
      <c r="AC550">
        <v>0</v>
      </c>
      <c r="AM550" t="str">
        <f>"10"</f>
        <v>10</v>
      </c>
      <c r="AN550" t="str">
        <f>"500000"</f>
        <v>500000</v>
      </c>
      <c r="AO550" t="str">
        <f>"הכנסות  מלקוחות"</f>
        <v>הכנסות  מלקוחות</v>
      </c>
      <c r="AQ550" t="str">
        <f>"007"</f>
        <v>007</v>
      </c>
      <c r="AR550">
        <v>0</v>
      </c>
      <c r="AS550">
        <v>0</v>
      </c>
      <c r="AT550">
        <v>3.456</v>
      </c>
      <c r="BB550" t="str">
        <f>"Y"</f>
        <v>Y</v>
      </c>
      <c r="BD550" t="str">
        <f>"רוני דידי"</f>
        <v>רוני דידי</v>
      </c>
    </row>
    <row r="551" spans="1:56" x14ac:dyDescent="0.3">
      <c r="A551" s="1">
        <v>45083</v>
      </c>
      <c r="B551" t="str">
        <f>"SI236000729"</f>
        <v>SI236000729</v>
      </c>
      <c r="E551" t="str">
        <f>"Y"</f>
        <v>Y</v>
      </c>
      <c r="F551" t="str">
        <f>"חשבוניות מרכזות"</f>
        <v>חשבוניות מרכזות</v>
      </c>
      <c r="G551" t="str">
        <f>"700065"</f>
        <v>700065</v>
      </c>
      <c r="H551" t="str">
        <f>"אלתא מערכות בע""מ"</f>
        <v>אלתא מערכות בע"מ</v>
      </c>
      <c r="I551" t="str">
        <f>"10"</f>
        <v>10</v>
      </c>
      <c r="J551" t="str">
        <f>"000"</f>
        <v>000</v>
      </c>
      <c r="K551" t="str">
        <f>"אקספרטיזה שבוצעה PQ23000055"</f>
        <v>אקספרטיזה שבוצעה PQ23000055</v>
      </c>
      <c r="L551">
        <v>1</v>
      </c>
      <c r="M551" t="str">
        <f>"יח"</f>
        <v>יח</v>
      </c>
      <c r="N551">
        <v>1</v>
      </c>
      <c r="O551" t="str">
        <f>"יח"</f>
        <v>יח</v>
      </c>
      <c r="P551" s="2">
        <v>1365</v>
      </c>
      <c r="Q551" t="str">
        <f>"$"</f>
        <v>$</v>
      </c>
      <c r="R551" t="str">
        <f>"הזמנה"</f>
        <v>הזמנה</v>
      </c>
      <c r="S551">
        <v>0</v>
      </c>
      <c r="T551" s="2">
        <v>1365</v>
      </c>
      <c r="U551">
        <v>0</v>
      </c>
      <c r="V551" s="2">
        <v>1365</v>
      </c>
      <c r="W551" t="str">
        <f>"$"</f>
        <v>$</v>
      </c>
      <c r="X551">
        <v>0</v>
      </c>
      <c r="Y551">
        <v>0</v>
      </c>
      <c r="Z551">
        <v>0</v>
      </c>
      <c r="AA551" t="str">
        <f>"Y"</f>
        <v>Y</v>
      </c>
      <c r="AB551" t="str">
        <f>"SO22000463"</f>
        <v>SO22000463</v>
      </c>
      <c r="AC551">
        <v>2</v>
      </c>
      <c r="AD551" s="1">
        <v>44913</v>
      </c>
      <c r="AM551" t="str">
        <f>"10"</f>
        <v>10</v>
      </c>
      <c r="AN551" t="str">
        <f>"500000"</f>
        <v>500000</v>
      </c>
      <c r="AO551" t="str">
        <f>"הכנסות  מלקוחות"</f>
        <v>הכנסות  מלקוחות</v>
      </c>
      <c r="AQ551" t="str">
        <f>"040"</f>
        <v>040</v>
      </c>
      <c r="AR551">
        <v>0</v>
      </c>
      <c r="AS551">
        <v>0</v>
      </c>
      <c r="AT551">
        <v>3.7349999999999999</v>
      </c>
      <c r="AX551" t="str">
        <f>"E000381458"</f>
        <v>E000381458</v>
      </c>
      <c r="BD551" t="str">
        <f>"רחמים זרוק"</f>
        <v>רחמים זרוק</v>
      </c>
    </row>
    <row r="552" spans="1:56" x14ac:dyDescent="0.3">
      <c r="A552" s="1">
        <v>45082</v>
      </c>
      <c r="B552" t="str">
        <f>"SI236000735"</f>
        <v>SI236000735</v>
      </c>
      <c r="E552" t="str">
        <f>"Y"</f>
        <v>Y</v>
      </c>
      <c r="F552" t="str">
        <f>"חשבוניות מרכזות"</f>
        <v>חשבוניות מרכזות</v>
      </c>
      <c r="G552" t="str">
        <f>"700065"</f>
        <v>700065</v>
      </c>
      <c r="H552" t="str">
        <f>"אלתא מערכות בע""מ"</f>
        <v>אלתא מערכות בע"מ</v>
      </c>
      <c r="I552" t="str">
        <f>"10"</f>
        <v>10</v>
      </c>
      <c r="J552" t="str">
        <f>"OP-AR01088"</f>
        <v>OP-AR01088</v>
      </c>
      <c r="K552" t="str">
        <f>"1038H185-001 SRASR POWER DISTRIUTION UNIT"</f>
        <v>1038H185-001 SRASR POWER DISTRIUTION UNIT</v>
      </c>
      <c r="L552">
        <v>1</v>
      </c>
      <c r="M552" t="str">
        <f>"יח"</f>
        <v>יח</v>
      </c>
      <c r="N552">
        <v>1</v>
      </c>
      <c r="O552" t="str">
        <f>"יח"</f>
        <v>יח</v>
      </c>
      <c r="P552" s="2">
        <v>14757</v>
      </c>
      <c r="Q552" t="str">
        <f>"$"</f>
        <v>$</v>
      </c>
      <c r="R552" t="str">
        <f>"הזמנה"</f>
        <v>הזמנה</v>
      </c>
      <c r="S552">
        <v>0</v>
      </c>
      <c r="T552" s="2">
        <v>14757</v>
      </c>
      <c r="U552">
        <v>0</v>
      </c>
      <c r="V552" s="2">
        <v>14757</v>
      </c>
      <c r="W552" t="str">
        <f>"$"</f>
        <v>$</v>
      </c>
      <c r="X552">
        <v>0</v>
      </c>
      <c r="Y552">
        <v>0</v>
      </c>
      <c r="Z552">
        <v>0</v>
      </c>
      <c r="AA552" t="str">
        <f>"Y"</f>
        <v>Y</v>
      </c>
      <c r="AB552" t="str">
        <f>"SO22000484"</f>
        <v>SO22000484</v>
      </c>
      <c r="AC552">
        <v>5</v>
      </c>
      <c r="AD552" s="1">
        <v>44921</v>
      </c>
      <c r="AE552" t="str">
        <f>"SH23000761"</f>
        <v>SH23000761</v>
      </c>
      <c r="AF552" t="str">
        <f>"משלוחים ללקוח"</f>
        <v>משלוחים ללקוח</v>
      </c>
      <c r="AG552" s="1">
        <v>45097</v>
      </c>
      <c r="AM552" t="str">
        <f>"10"</f>
        <v>10</v>
      </c>
      <c r="AN552" t="str">
        <f>"500000"</f>
        <v>500000</v>
      </c>
      <c r="AO552" t="str">
        <f>"הכנסות  מלקוחות"</f>
        <v>הכנסות  מלקוחות</v>
      </c>
      <c r="AQ552" t="str">
        <f>"007"</f>
        <v>007</v>
      </c>
      <c r="AR552">
        <v>0</v>
      </c>
      <c r="AS552">
        <v>0</v>
      </c>
      <c r="AT552">
        <v>3.7349999999999999</v>
      </c>
      <c r="AX552" t="str">
        <f>"E000381412"</f>
        <v>E000381412</v>
      </c>
      <c r="BD552" t="str">
        <f>"רוני דידי"</f>
        <v>רוני דידי</v>
      </c>
    </row>
    <row r="553" spans="1:56" x14ac:dyDescent="0.3">
      <c r="A553" s="1">
        <v>45082</v>
      </c>
      <c r="B553" t="str">
        <f>"SI236000734"</f>
        <v>SI236000734</v>
      </c>
      <c r="E553" t="str">
        <f>"Y"</f>
        <v>Y</v>
      </c>
      <c r="F553" t="str">
        <f>"חשבוניות מרכזות"</f>
        <v>חשבוניות מרכזות</v>
      </c>
      <c r="G553" t="str">
        <f>"700065"</f>
        <v>700065</v>
      </c>
      <c r="H553" t="str">
        <f>"אלתא מערכות בע""מ"</f>
        <v>אלתא מערכות בע"מ</v>
      </c>
      <c r="I553" t="str">
        <f>"10"</f>
        <v>10</v>
      </c>
      <c r="J553" t="str">
        <f>"OP-AR01088"</f>
        <v>OP-AR01088</v>
      </c>
      <c r="K553" t="str">
        <f>"1038H185-001 SRASR POWER DISTRIUTION UNIT"</f>
        <v>1038H185-001 SRASR POWER DISTRIUTION UNIT</v>
      </c>
      <c r="L553">
        <v>1</v>
      </c>
      <c r="M553" t="str">
        <f>"יח"</f>
        <v>יח</v>
      </c>
      <c r="N553">
        <v>1</v>
      </c>
      <c r="O553" t="str">
        <f>"יח"</f>
        <v>יח</v>
      </c>
      <c r="P553" s="2">
        <v>14757</v>
      </c>
      <c r="Q553" t="str">
        <f>"$"</f>
        <v>$</v>
      </c>
      <c r="R553" t="str">
        <f>"הזמנה"</f>
        <v>הזמנה</v>
      </c>
      <c r="S553">
        <v>0</v>
      </c>
      <c r="T553" s="2">
        <v>14757</v>
      </c>
      <c r="U553">
        <v>0</v>
      </c>
      <c r="V553" s="2">
        <v>14757</v>
      </c>
      <c r="W553" t="str">
        <f>"$"</f>
        <v>$</v>
      </c>
      <c r="X553">
        <v>0</v>
      </c>
      <c r="Y553">
        <v>0</v>
      </c>
      <c r="Z553">
        <v>0</v>
      </c>
      <c r="AA553" t="str">
        <f>"Y"</f>
        <v>Y</v>
      </c>
      <c r="AB553" t="str">
        <f>"SO22000484"</f>
        <v>SO22000484</v>
      </c>
      <c r="AC553">
        <v>5</v>
      </c>
      <c r="AD553" s="1">
        <v>44921</v>
      </c>
      <c r="AM553" t="str">
        <f>"10"</f>
        <v>10</v>
      </c>
      <c r="AN553" t="str">
        <f>"500000"</f>
        <v>500000</v>
      </c>
      <c r="AO553" t="str">
        <f>"הכנסות  מלקוחות"</f>
        <v>הכנסות  מלקוחות</v>
      </c>
      <c r="AQ553" t="str">
        <f>"007"</f>
        <v>007</v>
      </c>
      <c r="AR553">
        <v>0</v>
      </c>
      <c r="AS553">
        <v>0</v>
      </c>
      <c r="AT553">
        <v>3.7349999999999999</v>
      </c>
      <c r="AX553" t="str">
        <f>"E000381412"</f>
        <v>E000381412</v>
      </c>
      <c r="BD553" t="str">
        <f>"רוני דידי"</f>
        <v>רוני דידי</v>
      </c>
    </row>
    <row r="554" spans="1:56" x14ac:dyDescent="0.3">
      <c r="A554" s="1">
        <v>45082</v>
      </c>
      <c r="B554" t="str">
        <f>"SI236000733"</f>
        <v>SI236000733</v>
      </c>
      <c r="E554" t="str">
        <f>"Y"</f>
        <v>Y</v>
      </c>
      <c r="F554" t="str">
        <f>"חשבוניות מרכזות"</f>
        <v>חשבוניות מרכזות</v>
      </c>
      <c r="G554" t="str">
        <f>"700065"</f>
        <v>700065</v>
      </c>
      <c r="H554" t="str">
        <f>"אלתא מערכות בע""מ"</f>
        <v>אלתא מערכות בע"מ</v>
      </c>
      <c r="I554" t="str">
        <f>"10"</f>
        <v>10</v>
      </c>
      <c r="J554" t="str">
        <f>"OP-AR01088"</f>
        <v>OP-AR01088</v>
      </c>
      <c r="K554" t="str">
        <f>"1038H185-001 SRASR POWER DISTRIUTION UNIT"</f>
        <v>1038H185-001 SRASR POWER DISTRIUTION UNIT</v>
      </c>
      <c r="L554">
        <v>1</v>
      </c>
      <c r="M554" t="str">
        <f>"יח"</f>
        <v>יח</v>
      </c>
      <c r="N554">
        <v>1</v>
      </c>
      <c r="O554" t="str">
        <f>"יח"</f>
        <v>יח</v>
      </c>
      <c r="P554" s="2">
        <v>14757</v>
      </c>
      <c r="Q554" t="str">
        <f>"$"</f>
        <v>$</v>
      </c>
      <c r="R554" t="str">
        <f>"הזמנה"</f>
        <v>הזמנה</v>
      </c>
      <c r="S554">
        <v>0</v>
      </c>
      <c r="T554" s="2">
        <v>14757</v>
      </c>
      <c r="U554">
        <v>0</v>
      </c>
      <c r="V554" s="2">
        <v>14757</v>
      </c>
      <c r="W554" t="str">
        <f>"$"</f>
        <v>$</v>
      </c>
      <c r="X554">
        <v>0</v>
      </c>
      <c r="Y554">
        <v>0</v>
      </c>
      <c r="Z554">
        <v>0</v>
      </c>
      <c r="AA554" t="str">
        <f>"Y"</f>
        <v>Y</v>
      </c>
      <c r="AB554" t="str">
        <f>"SO22000484"</f>
        <v>SO22000484</v>
      </c>
      <c r="AC554">
        <v>3</v>
      </c>
      <c r="AD554" s="1">
        <v>44921</v>
      </c>
      <c r="AM554" t="str">
        <f>"10"</f>
        <v>10</v>
      </c>
      <c r="AN554" t="str">
        <f>"500000"</f>
        <v>500000</v>
      </c>
      <c r="AO554" t="str">
        <f>"הכנסות  מלקוחות"</f>
        <v>הכנסות  מלקוחות</v>
      </c>
      <c r="AQ554" t="str">
        <f>"007"</f>
        <v>007</v>
      </c>
      <c r="AR554">
        <v>0</v>
      </c>
      <c r="AS554">
        <v>0</v>
      </c>
      <c r="AT554">
        <v>3.7349999999999999</v>
      </c>
      <c r="AX554" t="str">
        <f>"E000381412"</f>
        <v>E000381412</v>
      </c>
      <c r="BD554" t="str">
        <f>"רוני דידי"</f>
        <v>רוני דידי</v>
      </c>
    </row>
    <row r="555" spans="1:56" x14ac:dyDescent="0.3">
      <c r="A555" s="1">
        <v>45082</v>
      </c>
      <c r="B555" t="str">
        <f>"SI236000732"</f>
        <v>SI236000732</v>
      </c>
      <c r="E555" t="str">
        <f>"Y"</f>
        <v>Y</v>
      </c>
      <c r="F555" t="str">
        <f>"חשבוניות מרכזות"</f>
        <v>חשבוניות מרכזות</v>
      </c>
      <c r="G555" t="str">
        <f>"700065"</f>
        <v>700065</v>
      </c>
      <c r="H555" t="str">
        <f>"אלתא מערכות בע""מ"</f>
        <v>אלתא מערכות בע"מ</v>
      </c>
      <c r="I555" t="str">
        <f>"10"</f>
        <v>10</v>
      </c>
      <c r="J555" t="str">
        <f>"OP-AR01088"</f>
        <v>OP-AR01088</v>
      </c>
      <c r="K555" t="str">
        <f>"1038H185-001 SRASR POWER DISTRIUTION UNIT"</f>
        <v>1038H185-001 SRASR POWER DISTRIUTION UNIT</v>
      </c>
      <c r="L555">
        <v>1</v>
      </c>
      <c r="M555" t="str">
        <f>"יח"</f>
        <v>יח</v>
      </c>
      <c r="N555">
        <v>1</v>
      </c>
      <c r="O555" t="str">
        <f>"יח"</f>
        <v>יח</v>
      </c>
      <c r="P555" s="2">
        <v>14757</v>
      </c>
      <c r="Q555" t="str">
        <f>"$"</f>
        <v>$</v>
      </c>
      <c r="R555" t="str">
        <f>"הזמנה"</f>
        <v>הזמנה</v>
      </c>
      <c r="S555">
        <v>0</v>
      </c>
      <c r="T555" s="2">
        <v>14757</v>
      </c>
      <c r="U555">
        <v>0</v>
      </c>
      <c r="V555" s="2">
        <v>14757</v>
      </c>
      <c r="W555" t="str">
        <f>"$"</f>
        <v>$</v>
      </c>
      <c r="X555">
        <v>0</v>
      </c>
      <c r="Y555">
        <v>0</v>
      </c>
      <c r="Z555">
        <v>0</v>
      </c>
      <c r="AA555" t="str">
        <f>"Y"</f>
        <v>Y</v>
      </c>
      <c r="AB555" t="str">
        <f>"SO22000484"</f>
        <v>SO22000484</v>
      </c>
      <c r="AC555">
        <v>3</v>
      </c>
      <c r="AD555" s="1">
        <v>44921</v>
      </c>
      <c r="AE555" t="str">
        <f>"SH23000739"</f>
        <v>SH23000739</v>
      </c>
      <c r="AF555" t="str">
        <f>"משלוחים ללקוח"</f>
        <v>משלוחים ללקוח</v>
      </c>
      <c r="AG555" s="1">
        <v>45092</v>
      </c>
      <c r="AM555" t="str">
        <f>"10"</f>
        <v>10</v>
      </c>
      <c r="AN555" t="str">
        <f>"500000"</f>
        <v>500000</v>
      </c>
      <c r="AO555" t="str">
        <f>"הכנסות  מלקוחות"</f>
        <v>הכנסות  מלקוחות</v>
      </c>
      <c r="AQ555" t="str">
        <f>"007"</f>
        <v>007</v>
      </c>
      <c r="AR555">
        <v>0</v>
      </c>
      <c r="AS555">
        <v>0</v>
      </c>
      <c r="AT555">
        <v>3.7349999999999999</v>
      </c>
      <c r="AX555" t="str">
        <f>"E000381412"</f>
        <v>E000381412</v>
      </c>
      <c r="BD555" t="str">
        <f>"רוני דידי"</f>
        <v>רוני דידי</v>
      </c>
    </row>
    <row r="556" spans="1:56" x14ac:dyDescent="0.3">
      <c r="A556" s="1">
        <v>45082</v>
      </c>
      <c r="B556" t="str">
        <f>"SI236000731"</f>
        <v>SI236000731</v>
      </c>
      <c r="E556" t="str">
        <f>"Y"</f>
        <v>Y</v>
      </c>
      <c r="F556" t="str">
        <f>"חשבוניות מרכזות"</f>
        <v>חשבוניות מרכזות</v>
      </c>
      <c r="G556" t="str">
        <f>"700065"</f>
        <v>700065</v>
      </c>
      <c r="H556" t="str">
        <f>"אלתא מערכות בע""מ"</f>
        <v>אלתא מערכות בע"מ</v>
      </c>
      <c r="I556" t="str">
        <f>"10"</f>
        <v>10</v>
      </c>
      <c r="J556" t="str">
        <f>"OP-AR01088"</f>
        <v>OP-AR01088</v>
      </c>
      <c r="K556" t="str">
        <f>"1038H185-001 SRASR POWER DISTRIUTION UNIT"</f>
        <v>1038H185-001 SRASR POWER DISTRIUTION UNIT</v>
      </c>
      <c r="L556">
        <v>-2</v>
      </c>
      <c r="M556" t="str">
        <f>"יח"</f>
        <v>יח</v>
      </c>
      <c r="N556">
        <v>-2</v>
      </c>
      <c r="O556" t="str">
        <f>"יח"</f>
        <v>יח</v>
      </c>
      <c r="P556" s="2">
        <v>14757</v>
      </c>
      <c r="Q556" t="str">
        <f>"$"</f>
        <v>$</v>
      </c>
      <c r="R556" t="str">
        <f>"הזמנה"</f>
        <v>הזמנה</v>
      </c>
      <c r="S556">
        <v>0</v>
      </c>
      <c r="T556" s="2">
        <v>-29514</v>
      </c>
      <c r="U556">
        <v>0</v>
      </c>
      <c r="V556" s="2">
        <v>-29514</v>
      </c>
      <c r="W556" t="str">
        <f>"$"</f>
        <v>$</v>
      </c>
      <c r="X556">
        <v>0</v>
      </c>
      <c r="Y556">
        <v>0</v>
      </c>
      <c r="Z556">
        <v>0</v>
      </c>
      <c r="AA556" t="str">
        <f>"Y"</f>
        <v>Y</v>
      </c>
      <c r="AC556">
        <v>0</v>
      </c>
      <c r="AM556" t="str">
        <f>"10"</f>
        <v>10</v>
      </c>
      <c r="AN556" t="str">
        <f>"500000"</f>
        <v>500000</v>
      </c>
      <c r="AO556" t="str">
        <f>"הכנסות  מלקוחות"</f>
        <v>הכנסות  מלקוחות</v>
      </c>
      <c r="AQ556" t="str">
        <f>"007"</f>
        <v>007</v>
      </c>
      <c r="AR556">
        <v>0</v>
      </c>
      <c r="AS556">
        <v>0</v>
      </c>
      <c r="AT556">
        <v>3.7349999999999999</v>
      </c>
      <c r="BB556" t="str">
        <f>"Y"</f>
        <v>Y</v>
      </c>
      <c r="BD556" t="str">
        <f>"רוני דידי"</f>
        <v>רוני דידי</v>
      </c>
    </row>
    <row r="557" spans="1:56" x14ac:dyDescent="0.3">
      <c r="A557" s="1">
        <v>45082</v>
      </c>
      <c r="B557" t="str">
        <f>"SI236000730"</f>
        <v>SI236000730</v>
      </c>
      <c r="E557" t="str">
        <f>"Y"</f>
        <v>Y</v>
      </c>
      <c r="F557" t="str">
        <f>"חשבוניות מרכזות"</f>
        <v>חשבוניות מרכזות</v>
      </c>
      <c r="G557" t="str">
        <f>"700065"</f>
        <v>700065</v>
      </c>
      <c r="H557" t="str">
        <f>"אלתא מערכות בע""מ"</f>
        <v>אלתא מערכות בע"מ</v>
      </c>
      <c r="I557" t="str">
        <f>"10"</f>
        <v>10</v>
      </c>
      <c r="J557" t="str">
        <f>"OP-AR01088"</f>
        <v>OP-AR01088</v>
      </c>
      <c r="K557" t="str">
        <f>"1038H185-001 SRASR POWER DISTRIUTION UNIT"</f>
        <v>1038H185-001 SRASR POWER DISTRIUTION UNIT</v>
      </c>
      <c r="L557">
        <v>-2</v>
      </c>
      <c r="M557" t="str">
        <f>"יח"</f>
        <v>יח</v>
      </c>
      <c r="N557">
        <v>-2</v>
      </c>
      <c r="O557" t="str">
        <f>"יח"</f>
        <v>יח</v>
      </c>
      <c r="P557" s="2">
        <v>14757</v>
      </c>
      <c r="Q557" t="str">
        <f>"$"</f>
        <v>$</v>
      </c>
      <c r="R557" t="str">
        <f>"הזמנה"</f>
        <v>הזמנה</v>
      </c>
      <c r="S557">
        <v>0</v>
      </c>
      <c r="T557" s="2">
        <v>-29514</v>
      </c>
      <c r="U557">
        <v>0</v>
      </c>
      <c r="V557" s="2">
        <v>-29514</v>
      </c>
      <c r="W557" t="str">
        <f>"$"</f>
        <v>$</v>
      </c>
      <c r="X557">
        <v>0</v>
      </c>
      <c r="Y557">
        <v>0</v>
      </c>
      <c r="Z557">
        <v>0</v>
      </c>
      <c r="AA557" t="str">
        <f>"Y"</f>
        <v>Y</v>
      </c>
      <c r="AC557">
        <v>0</v>
      </c>
      <c r="AM557" t="str">
        <f>"10"</f>
        <v>10</v>
      </c>
      <c r="AN557" t="str">
        <f>"500000"</f>
        <v>500000</v>
      </c>
      <c r="AO557" t="str">
        <f>"הכנסות  מלקוחות"</f>
        <v>הכנסות  מלקוחות</v>
      </c>
      <c r="AQ557" t="str">
        <f>"007"</f>
        <v>007</v>
      </c>
      <c r="AR557">
        <v>0</v>
      </c>
      <c r="AS557">
        <v>0</v>
      </c>
      <c r="AT557">
        <v>3.7349999999999999</v>
      </c>
      <c r="BB557" t="str">
        <f>"Y"</f>
        <v>Y</v>
      </c>
      <c r="BD557" t="str">
        <f>"רוני דידי"</f>
        <v>רוני דידי</v>
      </c>
    </row>
    <row r="558" spans="1:56" x14ac:dyDescent="0.3">
      <c r="A558" s="1">
        <v>45082</v>
      </c>
      <c r="B558" t="str">
        <f>"SI236000728"</f>
        <v>SI236000728</v>
      </c>
      <c r="E558" t="str">
        <f>"Y"</f>
        <v>Y</v>
      </c>
      <c r="F558" t="str">
        <f>"חשבוניות מרכזות"</f>
        <v>חשבוניות מרכזות</v>
      </c>
      <c r="G558" t="str">
        <f>"700065"</f>
        <v>700065</v>
      </c>
      <c r="H558" t="str">
        <f>"אלתא מערכות בע""מ"</f>
        <v>אלתא מערכות בע"מ</v>
      </c>
      <c r="I558" t="str">
        <f>"10"</f>
        <v>10</v>
      </c>
      <c r="J558" t="str">
        <f>"OP-ML00226"</f>
        <v>OP-ML00226</v>
      </c>
      <c r="K558" t="str">
        <f>"POWER SUPPLY AC/DC 21-29V/220ADC RUGGED"</f>
        <v>POWER SUPPLY AC/DC 21-29V/220ADC RUGGED</v>
      </c>
      <c r="L558">
        <v>1</v>
      </c>
      <c r="M558" t="str">
        <f>"יח"</f>
        <v>יח</v>
      </c>
      <c r="N558">
        <v>1</v>
      </c>
      <c r="O558" t="str">
        <f>"יח"</f>
        <v>יח</v>
      </c>
      <c r="P558" s="2">
        <v>11323.9</v>
      </c>
      <c r="Q558" t="str">
        <f>"$"</f>
        <v>$</v>
      </c>
      <c r="R558" t="str">
        <f>"הזמנה"</f>
        <v>הזמנה</v>
      </c>
      <c r="S558">
        <v>0</v>
      </c>
      <c r="T558" s="2">
        <v>11323.9</v>
      </c>
      <c r="U558">
        <v>0</v>
      </c>
      <c r="V558" s="2">
        <v>11323.9</v>
      </c>
      <c r="W558" t="str">
        <f>"$"</f>
        <v>$</v>
      </c>
      <c r="X558">
        <v>0</v>
      </c>
      <c r="Y558">
        <v>0</v>
      </c>
      <c r="Z558">
        <v>0</v>
      </c>
      <c r="AA558" t="str">
        <f>"Y"</f>
        <v>Y</v>
      </c>
      <c r="AB558" t="str">
        <f>"SO23000042"</f>
        <v>SO23000042</v>
      </c>
      <c r="AC558">
        <v>1</v>
      </c>
      <c r="AD558" s="1">
        <v>44942</v>
      </c>
      <c r="AM558" t="str">
        <f>"10"</f>
        <v>10</v>
      </c>
      <c r="AN558" t="str">
        <f>"500000"</f>
        <v>500000</v>
      </c>
      <c r="AO558" t="str">
        <f>"הכנסות  מלקוחות"</f>
        <v>הכנסות  מלקוחות</v>
      </c>
      <c r="AQ558" t="str">
        <f>"007"</f>
        <v>007</v>
      </c>
      <c r="AR558">
        <v>0</v>
      </c>
      <c r="AS558">
        <v>0</v>
      </c>
      <c r="AT558">
        <v>3.7349999999999999</v>
      </c>
      <c r="AX558" t="str">
        <f>"E000381994"</f>
        <v>E000381994</v>
      </c>
      <c r="BD558" t="str">
        <f>"רוני דידי"</f>
        <v>רוני דידי</v>
      </c>
    </row>
    <row r="559" spans="1:56" x14ac:dyDescent="0.3">
      <c r="A559" s="1">
        <v>45082</v>
      </c>
      <c r="B559" t="str">
        <f>"SI236000727"</f>
        <v>SI236000727</v>
      </c>
      <c r="E559" t="str">
        <f>"Y"</f>
        <v>Y</v>
      </c>
      <c r="F559" t="str">
        <f>"חשבוניות מרכזות"</f>
        <v>חשבוניות מרכזות</v>
      </c>
      <c r="G559" t="str">
        <f>"700065"</f>
        <v>700065</v>
      </c>
      <c r="H559" t="str">
        <f>"אלתא מערכות בע""מ"</f>
        <v>אלתא מערכות בע"מ</v>
      </c>
      <c r="I559" t="str">
        <f>"10"</f>
        <v>10</v>
      </c>
      <c r="J559" t="str">
        <f>"OP-ML00226"</f>
        <v>OP-ML00226</v>
      </c>
      <c r="K559" t="str">
        <f>"POWER SUPPLY AC/DC 21-29V/220ADC RUGGED"</f>
        <v>POWER SUPPLY AC/DC 21-29V/220ADC RUGGED</v>
      </c>
      <c r="L559">
        <v>1</v>
      </c>
      <c r="M559" t="str">
        <f>"יח"</f>
        <v>יח</v>
      </c>
      <c r="N559">
        <v>1</v>
      </c>
      <c r="O559" t="str">
        <f>"יח"</f>
        <v>יח</v>
      </c>
      <c r="P559" s="2">
        <v>11323.9</v>
      </c>
      <c r="Q559" t="str">
        <f>"$"</f>
        <v>$</v>
      </c>
      <c r="R559" t="str">
        <f>"הזמנה"</f>
        <v>הזמנה</v>
      </c>
      <c r="S559">
        <v>0</v>
      </c>
      <c r="T559" s="2">
        <v>11323.9</v>
      </c>
      <c r="U559">
        <v>0</v>
      </c>
      <c r="V559" s="2">
        <v>11323.9</v>
      </c>
      <c r="W559" t="str">
        <f>"$"</f>
        <v>$</v>
      </c>
      <c r="X559">
        <v>0</v>
      </c>
      <c r="Y559">
        <v>0</v>
      </c>
      <c r="Z559">
        <v>0</v>
      </c>
      <c r="AA559" t="str">
        <f>"Y"</f>
        <v>Y</v>
      </c>
      <c r="AB559" t="str">
        <f>"SO23000042"</f>
        <v>SO23000042</v>
      </c>
      <c r="AC559">
        <v>1</v>
      </c>
      <c r="AD559" s="1">
        <v>44942</v>
      </c>
      <c r="AM559" t="str">
        <f>"10"</f>
        <v>10</v>
      </c>
      <c r="AN559" t="str">
        <f>"500000"</f>
        <v>500000</v>
      </c>
      <c r="AO559" t="str">
        <f>"הכנסות  מלקוחות"</f>
        <v>הכנסות  מלקוחות</v>
      </c>
      <c r="AQ559" t="str">
        <f>"007"</f>
        <v>007</v>
      </c>
      <c r="AR559">
        <v>0</v>
      </c>
      <c r="AS559">
        <v>0</v>
      </c>
      <c r="AT559">
        <v>3.7349999999999999</v>
      </c>
      <c r="AX559" t="str">
        <f>"E000381994"</f>
        <v>E000381994</v>
      </c>
      <c r="BD559" t="str">
        <f>"רוני דידי"</f>
        <v>רוני דידי</v>
      </c>
    </row>
    <row r="560" spans="1:56" x14ac:dyDescent="0.3">
      <c r="A560" s="1">
        <v>45082</v>
      </c>
      <c r="B560" t="str">
        <f>"SI236000726"</f>
        <v>SI236000726</v>
      </c>
      <c r="E560" t="str">
        <f>"Y"</f>
        <v>Y</v>
      </c>
      <c r="F560" t="str">
        <f>"חשבוניות מרכזות"</f>
        <v>חשבוניות מרכזות</v>
      </c>
      <c r="G560" t="str">
        <f>"700065"</f>
        <v>700065</v>
      </c>
      <c r="H560" t="str">
        <f>"אלתא מערכות בע""מ"</f>
        <v>אלתא מערכות בע"מ</v>
      </c>
      <c r="I560" t="str">
        <f>"10"</f>
        <v>10</v>
      </c>
      <c r="J560" t="str">
        <f>"OP-ML00226"</f>
        <v>OP-ML00226</v>
      </c>
      <c r="K560" t="str">
        <f>"POWER SUPPLY AC/DC 21-29V/220ADC RUGGED"</f>
        <v>POWER SUPPLY AC/DC 21-29V/220ADC RUGGED</v>
      </c>
      <c r="L560">
        <v>1</v>
      </c>
      <c r="M560" t="str">
        <f>"יח"</f>
        <v>יח</v>
      </c>
      <c r="N560">
        <v>1</v>
      </c>
      <c r="O560" t="str">
        <f>"יח"</f>
        <v>יח</v>
      </c>
      <c r="P560" s="2">
        <v>11323.9</v>
      </c>
      <c r="Q560" t="str">
        <f>"$"</f>
        <v>$</v>
      </c>
      <c r="R560" t="str">
        <f>"הזמנה"</f>
        <v>הזמנה</v>
      </c>
      <c r="S560">
        <v>0</v>
      </c>
      <c r="T560" s="2">
        <v>11323.9</v>
      </c>
      <c r="U560">
        <v>0</v>
      </c>
      <c r="V560" s="2">
        <v>11323.9</v>
      </c>
      <c r="W560" t="str">
        <f>"$"</f>
        <v>$</v>
      </c>
      <c r="X560">
        <v>0</v>
      </c>
      <c r="Y560">
        <v>0</v>
      </c>
      <c r="Z560">
        <v>0</v>
      </c>
      <c r="AA560" t="str">
        <f>"Y"</f>
        <v>Y</v>
      </c>
      <c r="AB560" t="str">
        <f>"SO23000042"</f>
        <v>SO23000042</v>
      </c>
      <c r="AC560">
        <v>1</v>
      </c>
      <c r="AD560" s="1">
        <v>44942</v>
      </c>
      <c r="AM560" t="str">
        <f>"10"</f>
        <v>10</v>
      </c>
      <c r="AN560" t="str">
        <f>"500000"</f>
        <v>500000</v>
      </c>
      <c r="AO560" t="str">
        <f>"הכנסות  מלקוחות"</f>
        <v>הכנסות  מלקוחות</v>
      </c>
      <c r="AQ560" t="str">
        <f>"007"</f>
        <v>007</v>
      </c>
      <c r="AR560">
        <v>0</v>
      </c>
      <c r="AS560">
        <v>0</v>
      </c>
      <c r="AT560">
        <v>3.7349999999999999</v>
      </c>
      <c r="AX560" t="str">
        <f>"E000381994"</f>
        <v>E000381994</v>
      </c>
      <c r="BD560" t="str">
        <f>"רוני דידי"</f>
        <v>רוני דידי</v>
      </c>
    </row>
    <row r="561" spans="1:56" x14ac:dyDescent="0.3">
      <c r="A561" s="1">
        <v>45082</v>
      </c>
      <c r="B561" t="str">
        <f>"SI236000725"</f>
        <v>SI236000725</v>
      </c>
      <c r="E561" t="str">
        <f>"Y"</f>
        <v>Y</v>
      </c>
      <c r="F561" t="str">
        <f>"חשבוניות מרכזות"</f>
        <v>חשבוניות מרכזות</v>
      </c>
      <c r="G561" t="str">
        <f>"700065"</f>
        <v>700065</v>
      </c>
      <c r="H561" t="str">
        <f>"אלתא מערכות בע""מ"</f>
        <v>אלתא מערכות בע"מ</v>
      </c>
      <c r="I561" t="str">
        <f>"10"</f>
        <v>10</v>
      </c>
      <c r="J561" t="str">
        <f>"OP-ML00226"</f>
        <v>OP-ML00226</v>
      </c>
      <c r="K561" t="str">
        <f>"POWER SUPPLY AC/DC 21-29V/220ADC RUGGED"</f>
        <v>POWER SUPPLY AC/DC 21-29V/220ADC RUGGED</v>
      </c>
      <c r="L561">
        <v>1</v>
      </c>
      <c r="M561" t="str">
        <f>"יח"</f>
        <v>יח</v>
      </c>
      <c r="N561">
        <v>1</v>
      </c>
      <c r="O561" t="str">
        <f>"יח"</f>
        <v>יח</v>
      </c>
      <c r="P561" s="2">
        <v>11323.9</v>
      </c>
      <c r="Q561" t="str">
        <f>"$"</f>
        <v>$</v>
      </c>
      <c r="R561" t="str">
        <f>"הזמנה"</f>
        <v>הזמנה</v>
      </c>
      <c r="S561">
        <v>0</v>
      </c>
      <c r="T561" s="2">
        <v>11323.9</v>
      </c>
      <c r="U561">
        <v>0</v>
      </c>
      <c r="V561" s="2">
        <v>11323.9</v>
      </c>
      <c r="W561" t="str">
        <f>"$"</f>
        <v>$</v>
      </c>
      <c r="X561">
        <v>0</v>
      </c>
      <c r="Y561">
        <v>0</v>
      </c>
      <c r="Z561">
        <v>0</v>
      </c>
      <c r="AA561" t="str">
        <f>"Y"</f>
        <v>Y</v>
      </c>
      <c r="AB561" t="str">
        <f>"SO23000042"</f>
        <v>SO23000042</v>
      </c>
      <c r="AC561">
        <v>1</v>
      </c>
      <c r="AD561" s="1">
        <v>44942</v>
      </c>
      <c r="AM561" t="str">
        <f>"10"</f>
        <v>10</v>
      </c>
      <c r="AN561" t="str">
        <f>"500000"</f>
        <v>500000</v>
      </c>
      <c r="AO561" t="str">
        <f>"הכנסות  מלקוחות"</f>
        <v>הכנסות  מלקוחות</v>
      </c>
      <c r="AQ561" t="str">
        <f>"007"</f>
        <v>007</v>
      </c>
      <c r="AR561">
        <v>0</v>
      </c>
      <c r="AS561">
        <v>0</v>
      </c>
      <c r="AT561">
        <v>3.7349999999999999</v>
      </c>
      <c r="AX561" t="str">
        <f>"E000381994"</f>
        <v>E000381994</v>
      </c>
      <c r="BD561" t="str">
        <f>"רוני דידי"</f>
        <v>רוני דידי</v>
      </c>
    </row>
    <row r="562" spans="1:56" x14ac:dyDescent="0.3">
      <c r="A562" s="1">
        <v>45082</v>
      </c>
      <c r="B562" t="str">
        <f>"SI236000724"</f>
        <v>SI236000724</v>
      </c>
      <c r="E562" t="str">
        <f>"Y"</f>
        <v>Y</v>
      </c>
      <c r="F562" t="str">
        <f>"חשבוניות מרכזות"</f>
        <v>חשבוניות מרכזות</v>
      </c>
      <c r="G562" t="str">
        <f>"700065"</f>
        <v>700065</v>
      </c>
      <c r="H562" t="str">
        <f>"אלתא מערכות בע""מ"</f>
        <v>אלתא מערכות בע"מ</v>
      </c>
      <c r="I562" t="str">
        <f>"10"</f>
        <v>10</v>
      </c>
      <c r="J562" t="str">
        <f>"OP-ML00226"</f>
        <v>OP-ML00226</v>
      </c>
      <c r="K562" t="str">
        <f>"POWER SUPPLY AC/DC 21-29V/220ADC RUGGED"</f>
        <v>POWER SUPPLY AC/DC 21-29V/220ADC RUGGED</v>
      </c>
      <c r="L562">
        <v>-1</v>
      </c>
      <c r="M562" t="str">
        <f>"יח"</f>
        <v>יח</v>
      </c>
      <c r="N562">
        <v>-1</v>
      </c>
      <c r="O562" t="str">
        <f>"יח"</f>
        <v>יח</v>
      </c>
      <c r="P562" s="2">
        <v>11323.9</v>
      </c>
      <c r="Q562" t="str">
        <f>"$"</f>
        <v>$</v>
      </c>
      <c r="R562" t="str">
        <f>"הזמנה"</f>
        <v>הזמנה</v>
      </c>
      <c r="S562">
        <v>0</v>
      </c>
      <c r="T562" s="2">
        <v>-11323.9</v>
      </c>
      <c r="U562">
        <v>0</v>
      </c>
      <c r="V562" s="2">
        <v>-11323.9</v>
      </c>
      <c r="W562" t="str">
        <f>"$"</f>
        <v>$</v>
      </c>
      <c r="X562">
        <v>0</v>
      </c>
      <c r="Y562">
        <v>0</v>
      </c>
      <c r="Z562">
        <v>0</v>
      </c>
      <c r="AA562" t="str">
        <f>"Y"</f>
        <v>Y</v>
      </c>
      <c r="AC562">
        <v>0</v>
      </c>
      <c r="AM562" t="str">
        <f>"10"</f>
        <v>10</v>
      </c>
      <c r="AN562" t="str">
        <f>"500000"</f>
        <v>500000</v>
      </c>
      <c r="AO562" t="str">
        <f>"הכנסות  מלקוחות"</f>
        <v>הכנסות  מלקוחות</v>
      </c>
      <c r="AQ562" t="str">
        <f>"007"</f>
        <v>007</v>
      </c>
      <c r="AR562">
        <v>0</v>
      </c>
      <c r="AS562">
        <v>0</v>
      </c>
      <c r="AT562">
        <v>3.7450000000000001</v>
      </c>
      <c r="BB562" t="str">
        <f>"Y"</f>
        <v>Y</v>
      </c>
      <c r="BD562" t="str">
        <f>"רוני דידי"</f>
        <v>רוני דידי</v>
      </c>
    </row>
    <row r="563" spans="1:56" x14ac:dyDescent="0.3">
      <c r="A563" s="1">
        <v>45082</v>
      </c>
      <c r="B563" t="str">
        <f>"SI236000723"</f>
        <v>SI236000723</v>
      </c>
      <c r="E563" t="str">
        <f>"Y"</f>
        <v>Y</v>
      </c>
      <c r="F563" t="str">
        <f>"חשבוניות מרכזות"</f>
        <v>חשבוניות מרכזות</v>
      </c>
      <c r="G563" t="str">
        <f>"700065"</f>
        <v>700065</v>
      </c>
      <c r="H563" t="str">
        <f>"אלתא מערכות בע""מ"</f>
        <v>אלתא מערכות בע"מ</v>
      </c>
      <c r="I563" t="str">
        <f>"10"</f>
        <v>10</v>
      </c>
      <c r="J563" t="str">
        <f>"OP-ML00226"</f>
        <v>OP-ML00226</v>
      </c>
      <c r="K563" t="str">
        <f>"POWER SUPPLY AC/DC 21-29V/220ADC RUGGED"</f>
        <v>POWER SUPPLY AC/DC 21-29V/220ADC RUGGED</v>
      </c>
      <c r="L563">
        <v>1</v>
      </c>
      <c r="M563" t="str">
        <f>"יח"</f>
        <v>יח</v>
      </c>
      <c r="N563">
        <v>1</v>
      </c>
      <c r="O563" t="str">
        <f>"יח"</f>
        <v>יח</v>
      </c>
      <c r="P563" s="2">
        <v>11323.9</v>
      </c>
      <c r="Q563" t="str">
        <f>"$"</f>
        <v>$</v>
      </c>
      <c r="R563" t="str">
        <f>"הזמנה"</f>
        <v>הזמנה</v>
      </c>
      <c r="S563">
        <v>0</v>
      </c>
      <c r="T563" s="2">
        <v>11323.9</v>
      </c>
      <c r="U563">
        <v>0</v>
      </c>
      <c r="V563" s="2">
        <v>11323.9</v>
      </c>
      <c r="W563" t="str">
        <f>"$"</f>
        <v>$</v>
      </c>
      <c r="X563">
        <v>0</v>
      </c>
      <c r="Y563">
        <v>0</v>
      </c>
      <c r="Z563">
        <v>0</v>
      </c>
      <c r="AA563" t="str">
        <f>"Y"</f>
        <v>Y</v>
      </c>
      <c r="AB563" t="str">
        <f>"SO23000042"</f>
        <v>SO23000042</v>
      </c>
      <c r="AC563">
        <v>1</v>
      </c>
      <c r="AD563" s="1">
        <v>44942</v>
      </c>
      <c r="AM563" t="str">
        <f>"10"</f>
        <v>10</v>
      </c>
      <c r="AN563" t="str">
        <f>"500000"</f>
        <v>500000</v>
      </c>
      <c r="AO563" t="str">
        <f>"הכנסות  מלקוחות"</f>
        <v>הכנסות  מלקוחות</v>
      </c>
      <c r="AQ563" t="str">
        <f>"007"</f>
        <v>007</v>
      </c>
      <c r="AR563">
        <v>0</v>
      </c>
      <c r="AS563">
        <v>0</v>
      </c>
      <c r="AT563">
        <v>3.7349999999999999</v>
      </c>
      <c r="AX563" t="str">
        <f>"E000381994"</f>
        <v>E000381994</v>
      </c>
      <c r="BD563" t="str">
        <f>"רוני דידי"</f>
        <v>רוני דידי</v>
      </c>
    </row>
    <row r="564" spans="1:56" x14ac:dyDescent="0.3">
      <c r="A564" s="1">
        <v>45082</v>
      </c>
      <c r="B564" t="str">
        <f>"SI236000722"</f>
        <v>SI236000722</v>
      </c>
      <c r="E564" t="str">
        <f>"Y"</f>
        <v>Y</v>
      </c>
      <c r="F564" t="str">
        <f>"חשבוניות מרכזות"</f>
        <v>חשבוניות מרכזות</v>
      </c>
      <c r="G564" t="str">
        <f>"700065"</f>
        <v>700065</v>
      </c>
      <c r="H564" t="str">
        <f>"אלתא מערכות בע""מ"</f>
        <v>אלתא מערכות בע"מ</v>
      </c>
      <c r="I564" t="str">
        <f>"10"</f>
        <v>10</v>
      </c>
      <c r="J564" t="str">
        <f>"OP-ML00226"</f>
        <v>OP-ML00226</v>
      </c>
      <c r="K564" t="str">
        <f>"POWER SUPPLY AC/DC 21-29V/220ADC RUGGED"</f>
        <v>POWER SUPPLY AC/DC 21-29V/220ADC RUGGED</v>
      </c>
      <c r="L564">
        <v>1</v>
      </c>
      <c r="M564" t="str">
        <f>"יח"</f>
        <v>יח</v>
      </c>
      <c r="N564">
        <v>1</v>
      </c>
      <c r="O564" t="str">
        <f>"יח"</f>
        <v>יח</v>
      </c>
      <c r="P564" s="2">
        <v>11323.9</v>
      </c>
      <c r="Q564" t="str">
        <f>"$"</f>
        <v>$</v>
      </c>
      <c r="R564" t="str">
        <f>"הזמנה"</f>
        <v>הזמנה</v>
      </c>
      <c r="S564">
        <v>0</v>
      </c>
      <c r="T564" s="2">
        <v>11323.9</v>
      </c>
      <c r="U564">
        <v>0</v>
      </c>
      <c r="V564" s="2">
        <v>11323.9</v>
      </c>
      <c r="W564" t="str">
        <f>"$"</f>
        <v>$</v>
      </c>
      <c r="X564">
        <v>0</v>
      </c>
      <c r="Y564">
        <v>0</v>
      </c>
      <c r="Z564">
        <v>0</v>
      </c>
      <c r="AA564" t="str">
        <f>"Y"</f>
        <v>Y</v>
      </c>
      <c r="AC564">
        <v>0</v>
      </c>
      <c r="AM564" t="str">
        <f>"10"</f>
        <v>10</v>
      </c>
      <c r="AN564" t="str">
        <f>"500000"</f>
        <v>500000</v>
      </c>
      <c r="AO564" t="str">
        <f>"הכנסות  מלקוחות"</f>
        <v>הכנסות  מלקוחות</v>
      </c>
      <c r="AQ564" t="str">
        <f>"007"</f>
        <v>007</v>
      </c>
      <c r="AR564">
        <v>0</v>
      </c>
      <c r="AS564">
        <v>0</v>
      </c>
      <c r="AT564">
        <v>3.7450000000000001</v>
      </c>
      <c r="BB564" t="str">
        <f>"Y"</f>
        <v>Y</v>
      </c>
      <c r="BD564" t="str">
        <f>"רוני דידי"</f>
        <v>רוני דידי</v>
      </c>
    </row>
    <row r="565" spans="1:56" x14ac:dyDescent="0.3">
      <c r="A565" s="1">
        <v>45082</v>
      </c>
      <c r="B565" t="str">
        <f>"SI236000721"</f>
        <v>SI236000721</v>
      </c>
      <c r="E565" t="str">
        <f>"Y"</f>
        <v>Y</v>
      </c>
      <c r="F565" t="str">
        <f>"חשבוניות מרכזות"</f>
        <v>חשבוניות מרכזות</v>
      </c>
      <c r="G565" t="str">
        <f>"700065"</f>
        <v>700065</v>
      </c>
      <c r="H565" t="str">
        <f>"אלתא מערכות בע""מ"</f>
        <v>אלתא מערכות בע"מ</v>
      </c>
      <c r="I565" t="str">
        <f>"10"</f>
        <v>10</v>
      </c>
      <c r="J565" t="str">
        <f>"OP-ML00226"</f>
        <v>OP-ML00226</v>
      </c>
      <c r="K565" t="str">
        <f>"POWER SUPPLY AC/DC 21-29V/220ADC RUGGED"</f>
        <v>POWER SUPPLY AC/DC 21-29V/220ADC RUGGED</v>
      </c>
      <c r="L565">
        <v>-1</v>
      </c>
      <c r="M565" t="str">
        <f>"יח"</f>
        <v>יח</v>
      </c>
      <c r="N565">
        <v>-1</v>
      </c>
      <c r="O565" t="str">
        <f>"יח"</f>
        <v>יח</v>
      </c>
      <c r="P565" s="2">
        <v>11323.9</v>
      </c>
      <c r="Q565" t="str">
        <f>"$"</f>
        <v>$</v>
      </c>
      <c r="R565" t="str">
        <f>"הזמנה"</f>
        <v>הזמנה</v>
      </c>
      <c r="S565">
        <v>0</v>
      </c>
      <c r="T565" s="2">
        <v>-11323.9</v>
      </c>
      <c r="U565">
        <v>0</v>
      </c>
      <c r="V565" s="2">
        <v>-11323.9</v>
      </c>
      <c r="W565" t="str">
        <f>"$"</f>
        <v>$</v>
      </c>
      <c r="X565">
        <v>0</v>
      </c>
      <c r="Y565">
        <v>0</v>
      </c>
      <c r="Z565">
        <v>0</v>
      </c>
      <c r="AA565" t="str">
        <f>"Y"</f>
        <v>Y</v>
      </c>
      <c r="AC565">
        <v>0</v>
      </c>
      <c r="AM565" t="str">
        <f>"10"</f>
        <v>10</v>
      </c>
      <c r="AN565" t="str">
        <f>"500000"</f>
        <v>500000</v>
      </c>
      <c r="AO565" t="str">
        <f>"הכנסות  מלקוחות"</f>
        <v>הכנסות  מלקוחות</v>
      </c>
      <c r="AQ565" t="str">
        <f>"007"</f>
        <v>007</v>
      </c>
      <c r="AR565">
        <v>0</v>
      </c>
      <c r="AS565">
        <v>0</v>
      </c>
      <c r="AT565">
        <v>3.7349999999999999</v>
      </c>
      <c r="BB565" t="str">
        <f>"Y"</f>
        <v>Y</v>
      </c>
      <c r="BD565" t="str">
        <f>"רוני דידי"</f>
        <v>רוני דידי</v>
      </c>
    </row>
    <row r="566" spans="1:56" x14ac:dyDescent="0.3">
      <c r="A566" s="1">
        <v>45082</v>
      </c>
      <c r="B566" t="str">
        <f>"SI236000721"</f>
        <v>SI236000721</v>
      </c>
      <c r="E566" t="str">
        <f>"Y"</f>
        <v>Y</v>
      </c>
      <c r="F566" t="str">
        <f>"חשבוניות מרכזות"</f>
        <v>חשבוניות מרכזות</v>
      </c>
      <c r="G566" t="str">
        <f>"700065"</f>
        <v>700065</v>
      </c>
      <c r="H566" t="str">
        <f>"אלתא מערכות בע""מ"</f>
        <v>אלתא מערכות בע"מ</v>
      </c>
      <c r="I566" t="str">
        <f>"10"</f>
        <v>10</v>
      </c>
      <c r="J566" t="str">
        <f>"OP-ML00226"</f>
        <v>OP-ML00226</v>
      </c>
      <c r="K566" t="str">
        <f>"POWER SUPPLY AC/DC 21-29V/220ADC RUGGED"</f>
        <v>POWER SUPPLY AC/DC 21-29V/220ADC RUGGED</v>
      </c>
      <c r="L566">
        <v>-1</v>
      </c>
      <c r="M566" t="str">
        <f>"יח"</f>
        <v>יח</v>
      </c>
      <c r="N566">
        <v>-1</v>
      </c>
      <c r="O566" t="str">
        <f>"יח"</f>
        <v>יח</v>
      </c>
      <c r="P566" s="2">
        <v>11323.9</v>
      </c>
      <c r="Q566" t="str">
        <f>"$"</f>
        <v>$</v>
      </c>
      <c r="R566" t="str">
        <f>"הזמנה"</f>
        <v>הזמנה</v>
      </c>
      <c r="S566">
        <v>0</v>
      </c>
      <c r="T566" s="2">
        <v>-11323.9</v>
      </c>
      <c r="U566">
        <v>0</v>
      </c>
      <c r="V566" s="2">
        <v>-11323.9</v>
      </c>
      <c r="W566" t="str">
        <f>"$"</f>
        <v>$</v>
      </c>
      <c r="X566">
        <v>0</v>
      </c>
      <c r="Y566">
        <v>0</v>
      </c>
      <c r="Z566">
        <v>0</v>
      </c>
      <c r="AA566" t="str">
        <f>"Y"</f>
        <v>Y</v>
      </c>
      <c r="AC566">
        <v>0</v>
      </c>
      <c r="AM566" t="str">
        <f>"10"</f>
        <v>10</v>
      </c>
      <c r="AN566" t="str">
        <f>"500000"</f>
        <v>500000</v>
      </c>
      <c r="AO566" t="str">
        <f>"הכנסות  מלקוחות"</f>
        <v>הכנסות  מלקוחות</v>
      </c>
      <c r="AQ566" t="str">
        <f>"007"</f>
        <v>007</v>
      </c>
      <c r="AR566">
        <v>0</v>
      </c>
      <c r="AS566">
        <v>0</v>
      </c>
      <c r="AT566">
        <v>3.7349999999999999</v>
      </c>
      <c r="BB566" t="str">
        <f>"Y"</f>
        <v>Y</v>
      </c>
      <c r="BD566" t="str">
        <f>"רוני דידי"</f>
        <v>רוני דידי</v>
      </c>
    </row>
    <row r="567" spans="1:56" x14ac:dyDescent="0.3">
      <c r="A567" s="1">
        <v>45082</v>
      </c>
      <c r="B567" t="str">
        <f>"SI236000720"</f>
        <v>SI236000720</v>
      </c>
      <c r="E567" t="str">
        <f>"Y"</f>
        <v>Y</v>
      </c>
      <c r="F567" t="str">
        <f>"חשבוניות מרכזות"</f>
        <v>חשבוניות מרכזות</v>
      </c>
      <c r="G567" t="str">
        <f>"700065"</f>
        <v>700065</v>
      </c>
      <c r="H567" t="str">
        <f>"אלתא מערכות בע""מ"</f>
        <v>אלתא מערכות בע"מ</v>
      </c>
      <c r="I567" t="str">
        <f>"10"</f>
        <v>10</v>
      </c>
      <c r="J567" t="str">
        <f>"OP-ML00226"</f>
        <v>OP-ML00226</v>
      </c>
      <c r="K567" t="str">
        <f>"POWER SUPPLY AC/DC 21-29V/220ADC RUGGED"</f>
        <v>POWER SUPPLY AC/DC 21-29V/220ADC RUGGED</v>
      </c>
      <c r="L567">
        <v>1</v>
      </c>
      <c r="M567" t="str">
        <f>"יח"</f>
        <v>יח</v>
      </c>
      <c r="N567">
        <v>1</v>
      </c>
      <c r="O567" t="str">
        <f>"יח"</f>
        <v>יח</v>
      </c>
      <c r="P567" s="2">
        <v>11323.9</v>
      </c>
      <c r="Q567" t="str">
        <f>"$"</f>
        <v>$</v>
      </c>
      <c r="R567" t="str">
        <f>"הזמנה"</f>
        <v>הזמנה</v>
      </c>
      <c r="S567">
        <v>0</v>
      </c>
      <c r="T567" s="2">
        <v>11323.9</v>
      </c>
      <c r="U567">
        <v>0</v>
      </c>
      <c r="V567" s="2">
        <v>11323.9</v>
      </c>
      <c r="W567" t="str">
        <f>"$"</f>
        <v>$</v>
      </c>
      <c r="X567">
        <v>0</v>
      </c>
      <c r="Y567">
        <v>0</v>
      </c>
      <c r="Z567">
        <v>0</v>
      </c>
      <c r="AA567" t="str">
        <f>"Y"</f>
        <v>Y</v>
      </c>
      <c r="AC567">
        <v>0</v>
      </c>
      <c r="AM567" t="str">
        <f>"10"</f>
        <v>10</v>
      </c>
      <c r="AN567" t="str">
        <f>"500000"</f>
        <v>500000</v>
      </c>
      <c r="AO567" t="str">
        <f>"הכנסות  מלקוחות"</f>
        <v>הכנסות  מלקוחות</v>
      </c>
      <c r="AQ567" t="str">
        <f>"007"</f>
        <v>007</v>
      </c>
      <c r="AR567">
        <v>0</v>
      </c>
      <c r="AS567">
        <v>0</v>
      </c>
      <c r="AT567">
        <v>3.7349999999999999</v>
      </c>
      <c r="BB567" t="str">
        <f>"Y"</f>
        <v>Y</v>
      </c>
      <c r="BD567" t="str">
        <f>"רוני דידי"</f>
        <v>רוני דידי</v>
      </c>
    </row>
    <row r="568" spans="1:56" x14ac:dyDescent="0.3">
      <c r="A568" s="1">
        <v>45082</v>
      </c>
      <c r="B568" t="str">
        <f>"SI236000720"</f>
        <v>SI236000720</v>
      </c>
      <c r="E568" t="str">
        <f>"Y"</f>
        <v>Y</v>
      </c>
      <c r="F568" t="str">
        <f>"חשבוניות מרכזות"</f>
        <v>חשבוניות מרכזות</v>
      </c>
      <c r="G568" t="str">
        <f>"700065"</f>
        <v>700065</v>
      </c>
      <c r="H568" t="str">
        <f>"אלתא מערכות בע""מ"</f>
        <v>אלתא מערכות בע"מ</v>
      </c>
      <c r="I568" t="str">
        <f>"10"</f>
        <v>10</v>
      </c>
      <c r="J568" t="str">
        <f>"OP-ML00226"</f>
        <v>OP-ML00226</v>
      </c>
      <c r="K568" t="str">
        <f>"POWER SUPPLY AC/DC 21-29V/220ADC RUGGED"</f>
        <v>POWER SUPPLY AC/DC 21-29V/220ADC RUGGED</v>
      </c>
      <c r="L568">
        <v>1</v>
      </c>
      <c r="M568" t="str">
        <f>"יח"</f>
        <v>יח</v>
      </c>
      <c r="N568">
        <v>1</v>
      </c>
      <c r="O568" t="str">
        <f>"יח"</f>
        <v>יח</v>
      </c>
      <c r="P568" s="2">
        <v>11323.9</v>
      </c>
      <c r="Q568" t="str">
        <f>"$"</f>
        <v>$</v>
      </c>
      <c r="R568" t="str">
        <f>"הזמנה"</f>
        <v>הזמנה</v>
      </c>
      <c r="S568">
        <v>0</v>
      </c>
      <c r="T568" s="2">
        <v>11323.9</v>
      </c>
      <c r="U568">
        <v>0</v>
      </c>
      <c r="V568" s="2">
        <v>11323.9</v>
      </c>
      <c r="W568" t="str">
        <f>"$"</f>
        <v>$</v>
      </c>
      <c r="X568">
        <v>0</v>
      </c>
      <c r="Y568">
        <v>0</v>
      </c>
      <c r="Z568">
        <v>0</v>
      </c>
      <c r="AA568" t="str">
        <f>"Y"</f>
        <v>Y</v>
      </c>
      <c r="AC568">
        <v>0</v>
      </c>
      <c r="AM568" t="str">
        <f>"10"</f>
        <v>10</v>
      </c>
      <c r="AN568" t="str">
        <f>"500000"</f>
        <v>500000</v>
      </c>
      <c r="AO568" t="str">
        <f>"הכנסות  מלקוחות"</f>
        <v>הכנסות  מלקוחות</v>
      </c>
      <c r="AQ568" t="str">
        <f>"007"</f>
        <v>007</v>
      </c>
      <c r="AR568">
        <v>0</v>
      </c>
      <c r="AS568">
        <v>0</v>
      </c>
      <c r="AT568">
        <v>3.7349999999999999</v>
      </c>
      <c r="BB568" t="str">
        <f>"Y"</f>
        <v>Y</v>
      </c>
      <c r="BD568" t="str">
        <f>"רוני דידי"</f>
        <v>רוני דידי</v>
      </c>
    </row>
    <row r="569" spans="1:56" x14ac:dyDescent="0.3">
      <c r="A569" s="1">
        <v>45082</v>
      </c>
      <c r="B569" t="str">
        <f>"SI236000719"</f>
        <v>SI236000719</v>
      </c>
      <c r="E569" t="str">
        <f>"Y"</f>
        <v>Y</v>
      </c>
      <c r="F569" t="str">
        <f>"חשבוניות מרכזות"</f>
        <v>חשבוניות מרכזות</v>
      </c>
      <c r="G569" t="str">
        <f>"700065"</f>
        <v>700065</v>
      </c>
      <c r="H569" t="str">
        <f>"אלתא מערכות בע""מ"</f>
        <v>אלתא מערכות בע"מ</v>
      </c>
      <c r="I569" t="str">
        <f>"10"</f>
        <v>10</v>
      </c>
      <c r="J569" t="str">
        <f>"OP-ML00226"</f>
        <v>OP-ML00226</v>
      </c>
      <c r="K569" t="str">
        <f>"POWER SUPPLY AC/DC 21-29V/220ADC RUGGED"</f>
        <v>POWER SUPPLY AC/DC 21-29V/220ADC RUGGED</v>
      </c>
      <c r="L569">
        <v>1</v>
      </c>
      <c r="M569" t="str">
        <f>"יח"</f>
        <v>יח</v>
      </c>
      <c r="N569">
        <v>1</v>
      </c>
      <c r="O569" t="str">
        <f>"יח"</f>
        <v>יח</v>
      </c>
      <c r="P569" s="2">
        <v>11323.9</v>
      </c>
      <c r="Q569" t="str">
        <f>"$"</f>
        <v>$</v>
      </c>
      <c r="R569" t="str">
        <f>"הזמנה"</f>
        <v>הזמנה</v>
      </c>
      <c r="S569">
        <v>0</v>
      </c>
      <c r="T569" s="2">
        <v>11323.9</v>
      </c>
      <c r="U569">
        <v>0</v>
      </c>
      <c r="V569" s="2">
        <v>11323.9</v>
      </c>
      <c r="W569" t="str">
        <f>"$"</f>
        <v>$</v>
      </c>
      <c r="X569">
        <v>0</v>
      </c>
      <c r="Y569">
        <v>0</v>
      </c>
      <c r="Z569">
        <v>0</v>
      </c>
      <c r="AA569" t="str">
        <f>"Y"</f>
        <v>Y</v>
      </c>
      <c r="AB569" t="str">
        <f>"SO23000042"</f>
        <v>SO23000042</v>
      </c>
      <c r="AC569">
        <v>1</v>
      </c>
      <c r="AD569" s="1">
        <v>44942</v>
      </c>
      <c r="AM569" t="str">
        <f>"10"</f>
        <v>10</v>
      </c>
      <c r="AN569" t="str">
        <f>"500000"</f>
        <v>500000</v>
      </c>
      <c r="AO569" t="str">
        <f>"הכנסות  מלקוחות"</f>
        <v>הכנסות  מלקוחות</v>
      </c>
      <c r="AQ569" t="str">
        <f>"007"</f>
        <v>007</v>
      </c>
      <c r="AR569">
        <v>0</v>
      </c>
      <c r="AS569">
        <v>0</v>
      </c>
      <c r="AT569">
        <v>3.7349999999999999</v>
      </c>
      <c r="AX569" t="str">
        <f>"E000381994"</f>
        <v>E000381994</v>
      </c>
      <c r="BD569" t="str">
        <f>"רוני דידי"</f>
        <v>רוני דידי</v>
      </c>
    </row>
    <row r="570" spans="1:56" x14ac:dyDescent="0.3">
      <c r="A570" s="1">
        <v>45082</v>
      </c>
      <c r="B570" t="str">
        <f>"SI236000718"</f>
        <v>SI236000718</v>
      </c>
      <c r="E570" t="str">
        <f>"Y"</f>
        <v>Y</v>
      </c>
      <c r="F570" t="str">
        <f>"חשבוניות מרכזות"</f>
        <v>חשבוניות מרכזות</v>
      </c>
      <c r="G570" t="str">
        <f>"700065"</f>
        <v>700065</v>
      </c>
      <c r="H570" t="str">
        <f>"אלתא מערכות בע""מ"</f>
        <v>אלתא מערכות בע"מ</v>
      </c>
      <c r="I570" t="str">
        <f>"10"</f>
        <v>10</v>
      </c>
      <c r="J570" t="str">
        <f>"OP-AR01088"</f>
        <v>OP-AR01088</v>
      </c>
      <c r="K570" t="str">
        <f>"1038H185-001 SRASR POWER DISTRIUTION UNIT"</f>
        <v>1038H185-001 SRASR POWER DISTRIUTION UNIT</v>
      </c>
      <c r="L570">
        <v>2</v>
      </c>
      <c r="M570" t="str">
        <f>"יח"</f>
        <v>יח</v>
      </c>
      <c r="N570">
        <v>2</v>
      </c>
      <c r="O570" t="str">
        <f>"יח"</f>
        <v>יח</v>
      </c>
      <c r="P570" s="2">
        <v>14757</v>
      </c>
      <c r="Q570" t="str">
        <f>"$"</f>
        <v>$</v>
      </c>
      <c r="R570" t="str">
        <f>"הזמנה"</f>
        <v>הזמנה</v>
      </c>
      <c r="S570">
        <v>0</v>
      </c>
      <c r="T570" s="2">
        <v>29514</v>
      </c>
      <c r="U570">
        <v>0</v>
      </c>
      <c r="V570" s="2">
        <v>29514</v>
      </c>
      <c r="W570" t="str">
        <f>"$"</f>
        <v>$</v>
      </c>
      <c r="X570">
        <v>0</v>
      </c>
      <c r="Y570">
        <v>0</v>
      </c>
      <c r="Z570">
        <v>0</v>
      </c>
      <c r="AA570" t="str">
        <f>"Y"</f>
        <v>Y</v>
      </c>
      <c r="AC570">
        <v>0</v>
      </c>
      <c r="AM570" t="str">
        <f>"10"</f>
        <v>10</v>
      </c>
      <c r="AN570" t="str">
        <f>"500000"</f>
        <v>500000</v>
      </c>
      <c r="AO570" t="str">
        <f>"הכנסות  מלקוחות"</f>
        <v>הכנסות  מלקוחות</v>
      </c>
      <c r="AQ570" t="str">
        <f>"007"</f>
        <v>007</v>
      </c>
      <c r="AR570">
        <v>0</v>
      </c>
      <c r="AS570">
        <v>0</v>
      </c>
      <c r="AT570">
        <v>3.7349999999999999</v>
      </c>
      <c r="BB570" t="str">
        <f>"Y"</f>
        <v>Y</v>
      </c>
      <c r="BD570" t="str">
        <f>"רוני דידי"</f>
        <v>רוני דידי</v>
      </c>
    </row>
    <row r="571" spans="1:56" x14ac:dyDescent="0.3">
      <c r="A571" s="1">
        <v>45082</v>
      </c>
      <c r="B571" t="str">
        <f>"SI236000717"</f>
        <v>SI236000717</v>
      </c>
      <c r="E571" t="str">
        <f>"Y"</f>
        <v>Y</v>
      </c>
      <c r="F571" t="str">
        <f>"חשבוניות מרכזות"</f>
        <v>חשבוניות מרכזות</v>
      </c>
      <c r="G571" t="str">
        <f>"700065"</f>
        <v>700065</v>
      </c>
      <c r="H571" t="str">
        <f>"אלתא מערכות בע""מ"</f>
        <v>אלתא מערכות בע"מ</v>
      </c>
      <c r="I571" t="str">
        <f>"10"</f>
        <v>10</v>
      </c>
      <c r="J571" t="str">
        <f>"OP-AR01088"</f>
        <v>OP-AR01088</v>
      </c>
      <c r="K571" t="str">
        <f>"1038H185-001 SRASR POWER DISTRIUTION UNIT"</f>
        <v>1038H185-001 SRASR POWER DISTRIUTION UNIT</v>
      </c>
      <c r="L571">
        <v>2</v>
      </c>
      <c r="M571" t="str">
        <f>"יח"</f>
        <v>יח</v>
      </c>
      <c r="N571">
        <v>2</v>
      </c>
      <c r="O571" t="str">
        <f>"יח"</f>
        <v>יח</v>
      </c>
      <c r="P571" s="2">
        <v>14757</v>
      </c>
      <c r="Q571" t="str">
        <f>"$"</f>
        <v>$</v>
      </c>
      <c r="R571" t="str">
        <f>"הזמנה"</f>
        <v>הזמנה</v>
      </c>
      <c r="S571">
        <v>0</v>
      </c>
      <c r="T571" s="2">
        <v>29514</v>
      </c>
      <c r="U571">
        <v>0</v>
      </c>
      <c r="V571" s="2">
        <v>29514</v>
      </c>
      <c r="W571" t="str">
        <f>"$"</f>
        <v>$</v>
      </c>
      <c r="X571">
        <v>0</v>
      </c>
      <c r="Y571">
        <v>0</v>
      </c>
      <c r="Z571">
        <v>0</v>
      </c>
      <c r="AA571" t="str">
        <f>"Y"</f>
        <v>Y</v>
      </c>
      <c r="AC571">
        <v>0</v>
      </c>
      <c r="AM571" t="str">
        <f>"10"</f>
        <v>10</v>
      </c>
      <c r="AN571" t="str">
        <f>"500000"</f>
        <v>500000</v>
      </c>
      <c r="AO571" t="str">
        <f>"הכנסות  מלקוחות"</f>
        <v>הכנסות  מלקוחות</v>
      </c>
      <c r="AQ571" t="str">
        <f>"007"</f>
        <v>007</v>
      </c>
      <c r="AR571">
        <v>0</v>
      </c>
      <c r="AS571">
        <v>0</v>
      </c>
      <c r="AT571">
        <v>3.7349999999999999</v>
      </c>
      <c r="BB571" t="str">
        <f>"Y"</f>
        <v>Y</v>
      </c>
      <c r="BD571" t="str">
        <f>"רוני דידי"</f>
        <v>רוני דידי</v>
      </c>
    </row>
    <row r="572" spans="1:56" x14ac:dyDescent="0.3">
      <c r="A572" s="1">
        <v>45082</v>
      </c>
      <c r="B572" t="str">
        <f>"SI236000716"</f>
        <v>SI236000716</v>
      </c>
      <c r="E572" t="str">
        <f>"Y"</f>
        <v>Y</v>
      </c>
      <c r="F572" t="str">
        <f>"חשבוניות מרכזות"</f>
        <v>חשבוניות מרכזות</v>
      </c>
      <c r="G572" t="str">
        <f>"700065"</f>
        <v>700065</v>
      </c>
      <c r="H572" t="str">
        <f>"אלתא מערכות בע""מ"</f>
        <v>אלתא מערכות בע"מ</v>
      </c>
      <c r="I572" t="str">
        <f>"10"</f>
        <v>10</v>
      </c>
      <c r="J572" t="str">
        <f>"OP-ML00216"</f>
        <v>OP-ML00216</v>
      </c>
      <c r="K572" t="str">
        <f>"6930H860-001    M - VRU"</f>
        <v>6930H860-001    M - VRU</v>
      </c>
      <c r="L572">
        <v>1</v>
      </c>
      <c r="M572" t="str">
        <f>"יח"</f>
        <v>יח</v>
      </c>
      <c r="N572">
        <v>1</v>
      </c>
      <c r="O572" t="str">
        <f>"יח"</f>
        <v>יח</v>
      </c>
      <c r="P572" s="2">
        <v>9760</v>
      </c>
      <c r="Q572" t="str">
        <f>"$"</f>
        <v>$</v>
      </c>
      <c r="R572" t="str">
        <f>"הזמנה"</f>
        <v>הזמנה</v>
      </c>
      <c r="S572">
        <v>0</v>
      </c>
      <c r="T572" s="2">
        <v>9760</v>
      </c>
      <c r="U572">
        <v>0</v>
      </c>
      <c r="V572" s="2">
        <v>9760</v>
      </c>
      <c r="W572" t="str">
        <f>"$"</f>
        <v>$</v>
      </c>
      <c r="X572">
        <v>0</v>
      </c>
      <c r="Y572">
        <v>0</v>
      </c>
      <c r="Z572">
        <v>0</v>
      </c>
      <c r="AA572" t="str">
        <f>"Y"</f>
        <v>Y</v>
      </c>
      <c r="AB572" t="str">
        <f>"SO22000193"</f>
        <v>SO22000193</v>
      </c>
      <c r="AC572">
        <v>22</v>
      </c>
      <c r="AD572" s="1">
        <v>44698</v>
      </c>
      <c r="AE572" t="str">
        <f>"SH23001050"</f>
        <v>SH23001050</v>
      </c>
      <c r="AF572" t="str">
        <f>"משלוחים ללקוח"</f>
        <v>משלוחים ללקוח</v>
      </c>
      <c r="AG572" s="1">
        <v>45154</v>
      </c>
      <c r="AM572" t="str">
        <f>"10"</f>
        <v>10</v>
      </c>
      <c r="AN572" t="str">
        <f>"500000"</f>
        <v>500000</v>
      </c>
      <c r="AO572" t="str">
        <f>"הכנסות  מלקוחות"</f>
        <v>הכנסות  מלקוחות</v>
      </c>
      <c r="AQ572" t="str">
        <f>"034"</f>
        <v>034</v>
      </c>
      <c r="AR572">
        <v>0</v>
      </c>
      <c r="AS572">
        <v>0</v>
      </c>
      <c r="AT572">
        <v>3.7349999999999999</v>
      </c>
      <c r="AX572" t="str">
        <f>"E000359087"</f>
        <v>E000359087</v>
      </c>
      <c r="BD572" t="str">
        <f>"ערן שלו"</f>
        <v>ערן שלו</v>
      </c>
    </row>
    <row r="573" spans="1:56" x14ac:dyDescent="0.3">
      <c r="A573" s="1">
        <v>45082</v>
      </c>
      <c r="B573" t="str">
        <f>"SI236000715"</f>
        <v>SI236000715</v>
      </c>
      <c r="E573" t="str">
        <f>"Y"</f>
        <v>Y</v>
      </c>
      <c r="F573" t="str">
        <f>"חשבוניות מרכזות"</f>
        <v>חשבוניות מרכזות</v>
      </c>
      <c r="G573" t="str">
        <f>"700065"</f>
        <v>700065</v>
      </c>
      <c r="H573" t="str">
        <f>"אלתא מערכות בע""מ"</f>
        <v>אלתא מערכות בע"מ</v>
      </c>
      <c r="I573" t="str">
        <f>"10"</f>
        <v>10</v>
      </c>
      <c r="J573" t="str">
        <f>"OP-ML00216"</f>
        <v>OP-ML00216</v>
      </c>
      <c r="K573" t="str">
        <f>"6930H860-001    M - VRU"</f>
        <v>6930H860-001    M - VRU</v>
      </c>
      <c r="L573">
        <v>1</v>
      </c>
      <c r="M573" t="str">
        <f>"יח"</f>
        <v>יח</v>
      </c>
      <c r="N573">
        <v>1</v>
      </c>
      <c r="O573" t="str">
        <f>"יח"</f>
        <v>יח</v>
      </c>
      <c r="P573" s="2">
        <v>9760</v>
      </c>
      <c r="Q573" t="str">
        <f>"$"</f>
        <v>$</v>
      </c>
      <c r="R573" t="str">
        <f>"הזמנה"</f>
        <v>הזמנה</v>
      </c>
      <c r="S573">
        <v>0</v>
      </c>
      <c r="T573" s="2">
        <v>9760</v>
      </c>
      <c r="U573">
        <v>0</v>
      </c>
      <c r="V573" s="2">
        <v>9760</v>
      </c>
      <c r="W573" t="str">
        <f>"$"</f>
        <v>$</v>
      </c>
      <c r="X573">
        <v>0</v>
      </c>
      <c r="Y573">
        <v>0</v>
      </c>
      <c r="Z573">
        <v>0</v>
      </c>
      <c r="AA573" t="str">
        <f>"Y"</f>
        <v>Y</v>
      </c>
      <c r="AB573" t="str">
        <f>"SO22000193"</f>
        <v>SO22000193</v>
      </c>
      <c r="AC573">
        <v>21</v>
      </c>
      <c r="AD573" s="1">
        <v>44698</v>
      </c>
      <c r="AE573" t="str">
        <f>"SH23001050"</f>
        <v>SH23001050</v>
      </c>
      <c r="AF573" t="str">
        <f>"משלוחים ללקוח"</f>
        <v>משלוחים ללקוח</v>
      </c>
      <c r="AG573" s="1">
        <v>45154</v>
      </c>
      <c r="AM573" t="str">
        <f>"10"</f>
        <v>10</v>
      </c>
      <c r="AN573" t="str">
        <f>"500000"</f>
        <v>500000</v>
      </c>
      <c r="AO573" t="str">
        <f>"הכנסות  מלקוחות"</f>
        <v>הכנסות  מלקוחות</v>
      </c>
      <c r="AQ573" t="str">
        <f>"034"</f>
        <v>034</v>
      </c>
      <c r="AR573">
        <v>0</v>
      </c>
      <c r="AS573">
        <v>0</v>
      </c>
      <c r="AT573">
        <v>3.7349999999999999</v>
      </c>
      <c r="AX573" t="str">
        <f>"E000359087"</f>
        <v>E000359087</v>
      </c>
      <c r="BD573" t="str">
        <f>"ערן שלו"</f>
        <v>ערן שלו</v>
      </c>
    </row>
    <row r="574" spans="1:56" x14ac:dyDescent="0.3">
      <c r="A574" s="1">
        <v>45082</v>
      </c>
      <c r="B574" t="str">
        <f>"SI236000714"</f>
        <v>SI236000714</v>
      </c>
      <c r="E574" t="str">
        <f>"Y"</f>
        <v>Y</v>
      </c>
      <c r="F574" t="str">
        <f>"חשבוניות מרכזות"</f>
        <v>חשבוניות מרכזות</v>
      </c>
      <c r="G574" t="str">
        <f>"700065"</f>
        <v>700065</v>
      </c>
      <c r="H574" t="str">
        <f>"אלתא מערכות בע""מ"</f>
        <v>אלתא מערכות בע"מ</v>
      </c>
      <c r="I574" t="str">
        <f>"10"</f>
        <v>10</v>
      </c>
      <c r="J574" t="str">
        <f>"OP-ML00216"</f>
        <v>OP-ML00216</v>
      </c>
      <c r="K574" t="str">
        <f>"6930H860-001    M - VRU"</f>
        <v>6930H860-001    M - VRU</v>
      </c>
      <c r="L574">
        <v>1</v>
      </c>
      <c r="M574" t="str">
        <f>"יח"</f>
        <v>יח</v>
      </c>
      <c r="N574">
        <v>1</v>
      </c>
      <c r="O574" t="str">
        <f>"יח"</f>
        <v>יח</v>
      </c>
      <c r="P574" s="2">
        <v>9760</v>
      </c>
      <c r="Q574" t="str">
        <f>"$"</f>
        <v>$</v>
      </c>
      <c r="R574" t="str">
        <f>"הזמנה"</f>
        <v>הזמנה</v>
      </c>
      <c r="S574">
        <v>0</v>
      </c>
      <c r="T574" s="2">
        <v>9760</v>
      </c>
      <c r="U574">
        <v>0</v>
      </c>
      <c r="V574" s="2">
        <v>9760</v>
      </c>
      <c r="W574" t="str">
        <f>"$"</f>
        <v>$</v>
      </c>
      <c r="X574">
        <v>0</v>
      </c>
      <c r="Y574">
        <v>0</v>
      </c>
      <c r="Z574">
        <v>0</v>
      </c>
      <c r="AA574" t="str">
        <f>"Y"</f>
        <v>Y</v>
      </c>
      <c r="AB574" t="str">
        <f>"SO22000193"</f>
        <v>SO22000193</v>
      </c>
      <c r="AC574">
        <v>20</v>
      </c>
      <c r="AD574" s="1">
        <v>44698</v>
      </c>
      <c r="AE574" t="str">
        <f>"SH23001050"</f>
        <v>SH23001050</v>
      </c>
      <c r="AF574" t="str">
        <f>"משלוחים ללקוח"</f>
        <v>משלוחים ללקוח</v>
      </c>
      <c r="AG574" s="1">
        <v>45154</v>
      </c>
      <c r="AM574" t="str">
        <f>"10"</f>
        <v>10</v>
      </c>
      <c r="AN574" t="str">
        <f>"500000"</f>
        <v>500000</v>
      </c>
      <c r="AO574" t="str">
        <f>"הכנסות  מלקוחות"</f>
        <v>הכנסות  מלקוחות</v>
      </c>
      <c r="AQ574" t="str">
        <f>"034"</f>
        <v>034</v>
      </c>
      <c r="AR574">
        <v>0</v>
      </c>
      <c r="AS574">
        <v>0</v>
      </c>
      <c r="AT574">
        <v>3.7349999999999999</v>
      </c>
      <c r="AX574" t="str">
        <f>"E000359087"</f>
        <v>E000359087</v>
      </c>
      <c r="BD574" t="str">
        <f>"ערן שלו"</f>
        <v>ערן שלו</v>
      </c>
    </row>
    <row r="575" spans="1:56" x14ac:dyDescent="0.3">
      <c r="A575" s="1">
        <v>45082</v>
      </c>
      <c r="B575" t="str">
        <f>"SI236000713"</f>
        <v>SI236000713</v>
      </c>
      <c r="E575" t="str">
        <f>"Y"</f>
        <v>Y</v>
      </c>
      <c r="F575" t="str">
        <f>"חשבוניות מרכזות"</f>
        <v>חשבוניות מרכזות</v>
      </c>
      <c r="G575" t="str">
        <f>"700065"</f>
        <v>700065</v>
      </c>
      <c r="H575" t="str">
        <f>"אלתא מערכות בע""מ"</f>
        <v>אלתא מערכות בע"מ</v>
      </c>
      <c r="I575" t="str">
        <f>"10"</f>
        <v>10</v>
      </c>
      <c r="J575" t="str">
        <f>"OP-ML00216"</f>
        <v>OP-ML00216</v>
      </c>
      <c r="K575" t="str">
        <f>"6930H860-001    M - VRU"</f>
        <v>6930H860-001    M - VRU</v>
      </c>
      <c r="L575">
        <v>1</v>
      </c>
      <c r="M575" t="str">
        <f>"יח"</f>
        <v>יח</v>
      </c>
      <c r="N575">
        <v>1</v>
      </c>
      <c r="O575" t="str">
        <f>"יח"</f>
        <v>יח</v>
      </c>
      <c r="P575" s="2">
        <v>9760</v>
      </c>
      <c r="Q575" t="str">
        <f>"$"</f>
        <v>$</v>
      </c>
      <c r="R575" t="str">
        <f>"הזמנה"</f>
        <v>הזמנה</v>
      </c>
      <c r="S575">
        <v>0</v>
      </c>
      <c r="T575" s="2">
        <v>9760</v>
      </c>
      <c r="U575">
        <v>0</v>
      </c>
      <c r="V575" s="2">
        <v>9760</v>
      </c>
      <c r="W575" t="str">
        <f>"$"</f>
        <v>$</v>
      </c>
      <c r="X575">
        <v>0</v>
      </c>
      <c r="Y575">
        <v>0</v>
      </c>
      <c r="Z575">
        <v>0</v>
      </c>
      <c r="AA575" t="str">
        <f>"Y"</f>
        <v>Y</v>
      </c>
      <c r="AB575" t="str">
        <f>"SO22000193"</f>
        <v>SO22000193</v>
      </c>
      <c r="AC575">
        <v>6</v>
      </c>
      <c r="AD575" s="1">
        <v>44698</v>
      </c>
      <c r="AE575" t="str">
        <f>"SH23001050"</f>
        <v>SH23001050</v>
      </c>
      <c r="AF575" t="str">
        <f>"משלוחים ללקוח"</f>
        <v>משלוחים ללקוח</v>
      </c>
      <c r="AG575" s="1">
        <v>45154</v>
      </c>
      <c r="AM575" t="str">
        <f>"10"</f>
        <v>10</v>
      </c>
      <c r="AN575" t="str">
        <f>"500000"</f>
        <v>500000</v>
      </c>
      <c r="AO575" t="str">
        <f>"הכנסות  מלקוחות"</f>
        <v>הכנסות  מלקוחות</v>
      </c>
      <c r="AQ575" t="str">
        <f>"034"</f>
        <v>034</v>
      </c>
      <c r="AR575">
        <v>0</v>
      </c>
      <c r="AS575">
        <v>0</v>
      </c>
      <c r="AT575">
        <v>3.7349999999999999</v>
      </c>
      <c r="AX575" t="str">
        <f>"E000359087"</f>
        <v>E000359087</v>
      </c>
      <c r="BD575" t="str">
        <f>"ערן שלו"</f>
        <v>ערן שלו</v>
      </c>
    </row>
    <row r="576" spans="1:56" x14ac:dyDescent="0.3">
      <c r="A576" s="1">
        <v>45082</v>
      </c>
      <c r="B576" t="str">
        <f>"SI236000712"</f>
        <v>SI236000712</v>
      </c>
      <c r="E576" t="str">
        <f>"Y"</f>
        <v>Y</v>
      </c>
      <c r="F576" t="str">
        <f>"חשבוניות מרכזות"</f>
        <v>חשבוניות מרכזות</v>
      </c>
      <c r="G576" t="str">
        <f>"700065"</f>
        <v>700065</v>
      </c>
      <c r="H576" t="str">
        <f>"אלתא מערכות בע""מ"</f>
        <v>אלתא מערכות בע"מ</v>
      </c>
      <c r="I576" t="str">
        <f>"10"</f>
        <v>10</v>
      </c>
      <c r="J576" t="str">
        <f>"OP-AR03538"</f>
        <v>OP-AR03538</v>
      </c>
      <c r="K576" t="str">
        <f>"1043B860-001 PDB1 M"</f>
        <v>1043B860-001 PDB1 M</v>
      </c>
      <c r="L576">
        <v>1</v>
      </c>
      <c r="M576" t="str">
        <f>"יח"</f>
        <v>יח</v>
      </c>
      <c r="N576">
        <v>1</v>
      </c>
      <c r="O576" t="str">
        <f>"יח"</f>
        <v>יח</v>
      </c>
      <c r="P576" s="2">
        <v>43055</v>
      </c>
      <c r="Q576" t="str">
        <f>"$"</f>
        <v>$</v>
      </c>
      <c r="R576" t="str">
        <f>"הזמנה"</f>
        <v>הזמנה</v>
      </c>
      <c r="S576">
        <v>0</v>
      </c>
      <c r="T576" s="2">
        <v>43055</v>
      </c>
      <c r="U576">
        <v>0</v>
      </c>
      <c r="V576" s="2">
        <v>43055</v>
      </c>
      <c r="W576" t="str">
        <f>"$"</f>
        <v>$</v>
      </c>
      <c r="X576">
        <v>0</v>
      </c>
      <c r="Y576">
        <v>0</v>
      </c>
      <c r="Z576">
        <v>0</v>
      </c>
      <c r="AA576" t="str">
        <f>"Y"</f>
        <v>Y</v>
      </c>
      <c r="AB576" t="str">
        <f>"SO22000192"</f>
        <v>SO22000192</v>
      </c>
      <c r="AC576">
        <v>5</v>
      </c>
      <c r="AD576" s="1">
        <v>44698</v>
      </c>
      <c r="AM576" t="str">
        <f>"10"</f>
        <v>10</v>
      </c>
      <c r="AN576" t="str">
        <f>"500000"</f>
        <v>500000</v>
      </c>
      <c r="AO576" t="str">
        <f>"הכנסות  מלקוחות"</f>
        <v>הכנסות  מלקוחות</v>
      </c>
      <c r="AQ576" t="str">
        <f>"034"</f>
        <v>034</v>
      </c>
      <c r="AR576">
        <v>0</v>
      </c>
      <c r="AS576">
        <v>0</v>
      </c>
      <c r="AT576">
        <v>3.7349999999999999</v>
      </c>
      <c r="AX576" t="str">
        <f>"E000361337"</f>
        <v>E000361337</v>
      </c>
      <c r="BD576" t="str">
        <f>"ערן שלו"</f>
        <v>ערן שלו</v>
      </c>
    </row>
    <row r="577" spans="1:56" x14ac:dyDescent="0.3">
      <c r="A577" s="1">
        <v>45082</v>
      </c>
      <c r="B577" t="str">
        <f>"SI236000711"</f>
        <v>SI236000711</v>
      </c>
      <c r="E577" t="str">
        <f>"Y"</f>
        <v>Y</v>
      </c>
      <c r="F577" t="str">
        <f>"חשבוניות מרכזות"</f>
        <v>חשבוניות מרכזות</v>
      </c>
      <c r="G577" t="str">
        <f>"700065"</f>
        <v>700065</v>
      </c>
      <c r="H577" t="str">
        <f>"אלתא מערכות בע""מ"</f>
        <v>אלתא מערכות בע"מ</v>
      </c>
      <c r="I577" t="str">
        <f>"10"</f>
        <v>10</v>
      </c>
      <c r="J577" t="str">
        <f>"OP-AR03538"</f>
        <v>OP-AR03538</v>
      </c>
      <c r="K577" t="str">
        <f>"1043B860-001 PDB1 M"</f>
        <v>1043B860-001 PDB1 M</v>
      </c>
      <c r="L577">
        <v>1</v>
      </c>
      <c r="M577" t="str">
        <f>"יח"</f>
        <v>יח</v>
      </c>
      <c r="N577">
        <v>1</v>
      </c>
      <c r="O577" t="str">
        <f>"יח"</f>
        <v>יח</v>
      </c>
      <c r="P577" s="2">
        <v>43055</v>
      </c>
      <c r="Q577" t="str">
        <f>"$"</f>
        <v>$</v>
      </c>
      <c r="R577" t="str">
        <f>"הזמנה"</f>
        <v>הזמנה</v>
      </c>
      <c r="S577">
        <v>0</v>
      </c>
      <c r="T577" s="2">
        <v>43055</v>
      </c>
      <c r="U577">
        <v>0</v>
      </c>
      <c r="V577" s="2">
        <v>43055</v>
      </c>
      <c r="W577" t="str">
        <f>"$"</f>
        <v>$</v>
      </c>
      <c r="X577">
        <v>0</v>
      </c>
      <c r="Y577">
        <v>0</v>
      </c>
      <c r="Z577">
        <v>0</v>
      </c>
      <c r="AA577" t="str">
        <f>"Y"</f>
        <v>Y</v>
      </c>
      <c r="AB577" t="str">
        <f>"SO22000192"</f>
        <v>SO22000192</v>
      </c>
      <c r="AC577">
        <v>6</v>
      </c>
      <c r="AD577" s="1">
        <v>44698</v>
      </c>
      <c r="AE577" t="str">
        <f>"SH23001051"</f>
        <v>SH23001051</v>
      </c>
      <c r="AF577" t="str">
        <f>"משלוחים ללקוח"</f>
        <v>משלוחים ללקוח</v>
      </c>
      <c r="AG577" s="1">
        <v>45154</v>
      </c>
      <c r="AM577" t="str">
        <f>"10"</f>
        <v>10</v>
      </c>
      <c r="AN577" t="str">
        <f>"500000"</f>
        <v>500000</v>
      </c>
      <c r="AO577" t="str">
        <f>"הכנסות  מלקוחות"</f>
        <v>הכנסות  מלקוחות</v>
      </c>
      <c r="AQ577" t="str">
        <f>"034"</f>
        <v>034</v>
      </c>
      <c r="AR577">
        <v>0</v>
      </c>
      <c r="AS577">
        <v>0</v>
      </c>
      <c r="AT577">
        <v>3.7349999999999999</v>
      </c>
      <c r="AX577" t="str">
        <f>"E000361337"</f>
        <v>E000361337</v>
      </c>
      <c r="BD577" t="str">
        <f>"ערן שלו"</f>
        <v>ערן שלו</v>
      </c>
    </row>
    <row r="578" spans="1:56" x14ac:dyDescent="0.3">
      <c r="A578" s="1">
        <v>45082</v>
      </c>
      <c r="B578" t="str">
        <f>"SI236000710"</f>
        <v>SI236000710</v>
      </c>
      <c r="E578" t="str">
        <f>"Y"</f>
        <v>Y</v>
      </c>
      <c r="F578" t="str">
        <f>"חשבוניות מרכזות"</f>
        <v>חשבוניות מרכזות</v>
      </c>
      <c r="G578" t="str">
        <f>"700065"</f>
        <v>700065</v>
      </c>
      <c r="H578" t="str">
        <f>"אלתא מערכות בע""מ"</f>
        <v>אלתא מערכות בע"מ</v>
      </c>
      <c r="I578" t="str">
        <f>"10"</f>
        <v>10</v>
      </c>
      <c r="J578" t="str">
        <f>"OP-ML00217"</f>
        <v>OP-ML00217</v>
      </c>
      <c r="K578" t="str">
        <f>"1042A920-001 COMPUTER RACK"</f>
        <v>1042A920-001 COMPUTER RACK</v>
      </c>
      <c r="L578">
        <v>1</v>
      </c>
      <c r="M578" t="str">
        <f>"יח"</f>
        <v>יח</v>
      </c>
      <c r="N578">
        <v>1</v>
      </c>
      <c r="O578" t="str">
        <f>"יח"</f>
        <v>יח</v>
      </c>
      <c r="P578" s="2">
        <v>36500</v>
      </c>
      <c r="Q578" t="str">
        <f>"$"</f>
        <v>$</v>
      </c>
      <c r="R578" t="str">
        <f>"הזמנה"</f>
        <v>הזמנה</v>
      </c>
      <c r="S578">
        <v>0</v>
      </c>
      <c r="T578" s="2">
        <v>36500</v>
      </c>
      <c r="U578">
        <v>0</v>
      </c>
      <c r="V578" s="2">
        <v>36500</v>
      </c>
      <c r="W578" t="str">
        <f>"$"</f>
        <v>$</v>
      </c>
      <c r="X578">
        <v>0</v>
      </c>
      <c r="Y578">
        <v>0</v>
      </c>
      <c r="Z578">
        <v>0</v>
      </c>
      <c r="AA578" t="str">
        <f>"Y"</f>
        <v>Y</v>
      </c>
      <c r="AB578" t="str">
        <f>"SO22000181"</f>
        <v>SO22000181</v>
      </c>
      <c r="AC578">
        <v>2</v>
      </c>
      <c r="AD578" s="1">
        <v>44696</v>
      </c>
      <c r="AM578" t="str">
        <f>"10"</f>
        <v>10</v>
      </c>
      <c r="AN578" t="str">
        <f>"500000"</f>
        <v>500000</v>
      </c>
      <c r="AO578" t="str">
        <f>"הכנסות  מלקוחות"</f>
        <v>הכנסות  מלקוחות</v>
      </c>
      <c r="AQ578" t="str">
        <f>"034"</f>
        <v>034</v>
      </c>
      <c r="AR578">
        <v>0</v>
      </c>
      <c r="AS578">
        <v>0</v>
      </c>
      <c r="AT578">
        <v>3.7349999999999999</v>
      </c>
      <c r="AX578" t="str">
        <f>"E000362815"</f>
        <v>E000362815</v>
      </c>
      <c r="BD578" t="str">
        <f>"ערן שלו"</f>
        <v>ערן שלו</v>
      </c>
    </row>
    <row r="579" spans="1:56" x14ac:dyDescent="0.3">
      <c r="A579" s="1">
        <v>45078</v>
      </c>
      <c r="B579" t="str">
        <f>"CR237000050"</f>
        <v>CR237000050</v>
      </c>
      <c r="E579" t="str">
        <f>"Y"</f>
        <v>Y</v>
      </c>
      <c r="F579" t="str">
        <f>"חשבוניות זיכוי"</f>
        <v>חשבוניות זיכוי</v>
      </c>
      <c r="G579" t="str">
        <f>"700065"</f>
        <v>700065</v>
      </c>
      <c r="H579" t="str">
        <f>"אלתא מערכות בע""מ"</f>
        <v>אלתא מערכות בע"מ</v>
      </c>
      <c r="I579" t="str">
        <f>"10"</f>
        <v>10</v>
      </c>
      <c r="J579" t="str">
        <f>"000"</f>
        <v>000</v>
      </c>
      <c r="K579" t="str">
        <f>"לפי זיכוי  51133924222023"</f>
        <v>לפי זיכוי  51133924222023</v>
      </c>
      <c r="L579">
        <v>-1</v>
      </c>
      <c r="M579" t="str">
        <f>"יח"</f>
        <v>יח</v>
      </c>
      <c r="N579">
        <v>-1</v>
      </c>
      <c r="O579" t="str">
        <f>"יח"</f>
        <v>יח</v>
      </c>
      <c r="P579">
        <v>375.28</v>
      </c>
      <c r="Q579" t="str">
        <f>"$"</f>
        <v>$</v>
      </c>
      <c r="R579" t="str">
        <f>"ידני"</f>
        <v>ידני</v>
      </c>
      <c r="S579">
        <v>0</v>
      </c>
      <c r="T579">
        <v>-375.28</v>
      </c>
      <c r="U579">
        <v>0</v>
      </c>
      <c r="V579">
        <v>-375.28</v>
      </c>
      <c r="W579" t="str">
        <f>"$"</f>
        <v>$</v>
      </c>
      <c r="X579">
        <v>0</v>
      </c>
      <c r="Y579">
        <v>0</v>
      </c>
      <c r="Z579">
        <v>0</v>
      </c>
      <c r="AA579" t="str">
        <f>"Y"</f>
        <v>Y</v>
      </c>
      <c r="AC579">
        <v>0</v>
      </c>
      <c r="AM579" t="str">
        <f>"10"</f>
        <v>10</v>
      </c>
      <c r="AN579" t="str">
        <f>"500000"</f>
        <v>500000</v>
      </c>
      <c r="AO579" t="str">
        <f>"הכנסות  מלקוחות"</f>
        <v>הכנסות  מלקוחות</v>
      </c>
      <c r="AP579" t="str">
        <f>"Y"</f>
        <v>Y</v>
      </c>
      <c r="AQ579" t="str">
        <f>"034"</f>
        <v>034</v>
      </c>
      <c r="AR579">
        <v>0</v>
      </c>
      <c r="AS579">
        <v>0</v>
      </c>
      <c r="AT579">
        <v>3.7360000000000002</v>
      </c>
      <c r="BB579" t="str">
        <f>"Y"</f>
        <v>Y</v>
      </c>
      <c r="BD579" t="str">
        <f>"ערן שלו"</f>
        <v>ערן שלו</v>
      </c>
    </row>
    <row r="580" spans="1:56" x14ac:dyDescent="0.3">
      <c r="A580" s="1">
        <v>45078</v>
      </c>
      <c r="B580" t="str">
        <f>"CR237000044"</f>
        <v>CR237000044</v>
      </c>
      <c r="E580" t="str">
        <f>"Y"</f>
        <v>Y</v>
      </c>
      <c r="F580" t="str">
        <f>"חשבוניות זיכוי"</f>
        <v>חשבוניות זיכוי</v>
      </c>
      <c r="G580" t="str">
        <f>"700065"</f>
        <v>700065</v>
      </c>
      <c r="H580" t="str">
        <f>"אלתא מערכות בע""מ"</f>
        <v>אלתא מערכות בע"מ</v>
      </c>
      <c r="I580" t="str">
        <f>"10"</f>
        <v>10</v>
      </c>
      <c r="J580" t="str">
        <f>"000"</f>
        <v>000</v>
      </c>
      <c r="K580" t="str">
        <f>"לפי זיכוי  51133924222023"</f>
        <v>לפי זיכוי  51133924222023</v>
      </c>
      <c r="L580">
        <v>1</v>
      </c>
      <c r="M580" t="str">
        <f>"יח"</f>
        <v>יח</v>
      </c>
      <c r="N580">
        <v>1</v>
      </c>
      <c r="O580" t="str">
        <f>"יח"</f>
        <v>יח</v>
      </c>
      <c r="P580">
        <v>375.28</v>
      </c>
      <c r="Q580" t="str">
        <f>"$"</f>
        <v>$</v>
      </c>
      <c r="R580" t="str">
        <f>"ידני"</f>
        <v>ידני</v>
      </c>
      <c r="S580">
        <v>0</v>
      </c>
      <c r="T580">
        <v>375.28</v>
      </c>
      <c r="U580">
        <v>0</v>
      </c>
      <c r="V580">
        <v>375.28</v>
      </c>
      <c r="W580" t="str">
        <f>"$"</f>
        <v>$</v>
      </c>
      <c r="X580">
        <v>0</v>
      </c>
      <c r="Y580">
        <v>0</v>
      </c>
      <c r="Z580">
        <v>0</v>
      </c>
      <c r="AA580" t="str">
        <f>"Y"</f>
        <v>Y</v>
      </c>
      <c r="AC580">
        <v>0</v>
      </c>
      <c r="AM580" t="str">
        <f>"10"</f>
        <v>10</v>
      </c>
      <c r="AN580" t="str">
        <f>"500000"</f>
        <v>500000</v>
      </c>
      <c r="AO580" t="str">
        <f>"הכנסות  מלקוחות"</f>
        <v>הכנסות  מלקוחות</v>
      </c>
      <c r="AP580" t="str">
        <f>"Y"</f>
        <v>Y</v>
      </c>
      <c r="AQ580" t="str">
        <f>"034"</f>
        <v>034</v>
      </c>
      <c r="AR580">
        <v>0</v>
      </c>
      <c r="AS580">
        <v>0</v>
      </c>
      <c r="AT580">
        <v>3.7360000000000002</v>
      </c>
      <c r="BB580" t="str">
        <f>"Y"</f>
        <v>Y</v>
      </c>
      <c r="BD580" t="str">
        <f>"ערן שלו"</f>
        <v>ערן שלו</v>
      </c>
    </row>
    <row r="581" spans="1:56" x14ac:dyDescent="0.3">
      <c r="A581" s="1">
        <v>45077</v>
      </c>
      <c r="B581" t="str">
        <f>"SI236000742"</f>
        <v>SI236000742</v>
      </c>
      <c r="C581" t="str">
        <f>"PR22000356"</f>
        <v>PR22000356</v>
      </c>
      <c r="E581" t="str">
        <f>"Y"</f>
        <v>Y</v>
      </c>
      <c r="F581" t="str">
        <f>"חשבוניות מרכזות"</f>
        <v>חשבוניות מרכזות</v>
      </c>
      <c r="G581" t="str">
        <f>"700065"</f>
        <v>700065</v>
      </c>
      <c r="H581" t="str">
        <f>"אלתא מערכות בע""מ"</f>
        <v>אלתא מערכות בע"מ</v>
      </c>
      <c r="I581" t="str">
        <f>"10"</f>
        <v>10</v>
      </c>
      <c r="J581" t="str">
        <f>"OP-AR03131"</f>
        <v>OP-AR03131</v>
      </c>
      <c r="K581" t="str">
        <f>"4043B120-001   HARNESS W120 - SATCOM M-C CABLE"</f>
        <v>4043B120-001   HARNESS W120 - SATCOM M-C CABLE</v>
      </c>
      <c r="L581">
        <v>8</v>
      </c>
      <c r="M581" t="str">
        <f>"יח"</f>
        <v>יח</v>
      </c>
      <c r="N581">
        <v>8</v>
      </c>
      <c r="O581" t="str">
        <f>"יח"</f>
        <v>יח</v>
      </c>
      <c r="P581" s="2">
        <v>1006.78</v>
      </c>
      <c r="Q581" t="str">
        <f>"$"</f>
        <v>$</v>
      </c>
      <c r="R581" t="str">
        <f>"הזמנה"</f>
        <v>הזמנה</v>
      </c>
      <c r="S581">
        <v>0</v>
      </c>
      <c r="T581" s="2">
        <v>8054.24</v>
      </c>
      <c r="U581">
        <v>0</v>
      </c>
      <c r="V581" s="2">
        <v>8054.24</v>
      </c>
      <c r="W581" t="str">
        <f>"$"</f>
        <v>$</v>
      </c>
      <c r="X581">
        <v>0</v>
      </c>
      <c r="Y581">
        <v>0</v>
      </c>
      <c r="Z581">
        <v>0</v>
      </c>
      <c r="AA581" t="str">
        <f>"Y"</f>
        <v>Y</v>
      </c>
      <c r="AB581" t="str">
        <f>"SO22000180"</f>
        <v>SO22000180</v>
      </c>
      <c r="AC581">
        <v>1</v>
      </c>
      <c r="AD581" s="1">
        <v>44696</v>
      </c>
      <c r="AE581" t="str">
        <f>"SH23000671"</f>
        <v>SH23000671</v>
      </c>
      <c r="AF581" t="str">
        <f>"משלוחים ללקוח"</f>
        <v>משלוחים ללקוח</v>
      </c>
      <c r="AG581" s="1">
        <v>45077</v>
      </c>
      <c r="AM581" t="str">
        <f>"10"</f>
        <v>10</v>
      </c>
      <c r="AN581" t="str">
        <f>"500000"</f>
        <v>500000</v>
      </c>
      <c r="AO581" t="str">
        <f>"הכנסות  מלקוחות"</f>
        <v>הכנסות  מלקוחות</v>
      </c>
      <c r="AQ581" t="str">
        <f>"040"</f>
        <v>040</v>
      </c>
      <c r="AR581">
        <v>0</v>
      </c>
      <c r="AS581">
        <v>0</v>
      </c>
      <c r="AT581">
        <v>3.7149999999999999</v>
      </c>
      <c r="AX581" t="str">
        <f>"E000364014"</f>
        <v>E000364014</v>
      </c>
      <c r="BD581" t="str">
        <f>"רחמים זרוק"</f>
        <v>רחמים זרוק</v>
      </c>
    </row>
    <row r="582" spans="1:56" x14ac:dyDescent="0.3">
      <c r="A582" s="1">
        <v>45077</v>
      </c>
      <c r="B582" t="str">
        <f>"SI236000708"</f>
        <v>SI236000708</v>
      </c>
      <c r="C582" t="str">
        <f>"PR22000671"</f>
        <v>PR22000671</v>
      </c>
      <c r="E582" t="str">
        <f>"Y"</f>
        <v>Y</v>
      </c>
      <c r="F582" t="str">
        <f>"חשבוניות מרכזות"</f>
        <v>חשבוניות מרכזות</v>
      </c>
      <c r="G582" t="str">
        <f>"700065"</f>
        <v>700065</v>
      </c>
      <c r="H582" t="str">
        <f>"אלתא מערכות בע""מ"</f>
        <v>אלתא מערכות בע"מ</v>
      </c>
      <c r="I582" t="str">
        <f>"15"</f>
        <v>15</v>
      </c>
      <c r="J582" t="str">
        <f>"OP-AR03360"</f>
        <v>OP-AR03360</v>
      </c>
      <c r="K582" t="str">
        <f>"1094U185-001    JTAG CABLE FOR ANTENNA"</f>
        <v>1094U185-001    JTAG CABLE FOR ANTENNA</v>
      </c>
      <c r="L582">
        <v>3</v>
      </c>
      <c r="M582" t="str">
        <f>"יח"</f>
        <v>יח</v>
      </c>
      <c r="N582">
        <v>3</v>
      </c>
      <c r="O582" t="str">
        <f>"יח"</f>
        <v>יח</v>
      </c>
      <c r="P582">
        <v>560.55999999999995</v>
      </c>
      <c r="Q582" t="str">
        <f>"$"</f>
        <v>$</v>
      </c>
      <c r="R582" t="str">
        <f>"הזמנה"</f>
        <v>הזמנה</v>
      </c>
      <c r="S582">
        <v>0</v>
      </c>
      <c r="T582" s="2">
        <v>1681.68</v>
      </c>
      <c r="U582">
        <v>0</v>
      </c>
      <c r="V582" s="2">
        <v>1681.68</v>
      </c>
      <c r="W582" t="str">
        <f>"$"</f>
        <v>$</v>
      </c>
      <c r="X582">
        <v>0</v>
      </c>
      <c r="Y582">
        <v>0</v>
      </c>
      <c r="Z582">
        <v>0</v>
      </c>
      <c r="AA582" t="str">
        <f>"Y"</f>
        <v>Y</v>
      </c>
      <c r="AB582" t="str">
        <f>"SO22000385"</f>
        <v>SO22000385</v>
      </c>
      <c r="AC582">
        <v>1</v>
      </c>
      <c r="AD582" s="1">
        <v>44860</v>
      </c>
      <c r="AE582" t="str">
        <f>"SH23000669"</f>
        <v>SH23000669</v>
      </c>
      <c r="AF582" t="str">
        <f>"משלוחים ללקוח"</f>
        <v>משלוחים ללקוח</v>
      </c>
      <c r="AG582" s="1">
        <v>45076</v>
      </c>
      <c r="AM582" t="str">
        <f>"10"</f>
        <v>10</v>
      </c>
      <c r="AN582" t="str">
        <f>"500000"</f>
        <v>500000</v>
      </c>
      <c r="AO582" t="str">
        <f>"הכנסות  מלקוחות"</f>
        <v>הכנסות  מלקוחות</v>
      </c>
      <c r="AQ582" t="str">
        <f>"040"</f>
        <v>040</v>
      </c>
      <c r="AR582">
        <v>0</v>
      </c>
      <c r="AS582">
        <v>0</v>
      </c>
      <c r="AT582">
        <v>3.7149999999999999</v>
      </c>
      <c r="AX582" t="str">
        <f>"E000374617"</f>
        <v>E000374617</v>
      </c>
      <c r="BD582" t="str">
        <f>"רחמים זרוק"</f>
        <v>רחמים זרוק</v>
      </c>
    </row>
    <row r="583" spans="1:56" x14ac:dyDescent="0.3">
      <c r="A583" s="1">
        <v>45077</v>
      </c>
      <c r="B583" t="str">
        <f>"SI236000707"</f>
        <v>SI236000707</v>
      </c>
      <c r="C583" t="str">
        <f>"PR22000683"</f>
        <v>PR22000683</v>
      </c>
      <c r="E583" t="str">
        <f>"Y"</f>
        <v>Y</v>
      </c>
      <c r="F583" t="str">
        <f>"חשבוניות מרכזות"</f>
        <v>חשבוניות מרכזות</v>
      </c>
      <c r="G583" t="str">
        <f>"700065"</f>
        <v>700065</v>
      </c>
      <c r="H583" t="str">
        <f>"אלתא מערכות בע""מ"</f>
        <v>אלתא מערכות בע"מ</v>
      </c>
      <c r="I583" t="str">
        <f>"15"</f>
        <v>15</v>
      </c>
      <c r="J583" t="str">
        <f>"OP-AR03385"</f>
        <v>OP-AR03385</v>
      </c>
      <c r="K583" t="str">
        <f>"1032F358-001    HARNESS WB358 - LAB DEV - OTXU-P6 COMM"</f>
        <v>1032F358-001    HARNESS WB358 - LAB DEV - OTXU-P6 COMM</v>
      </c>
      <c r="L583">
        <v>1</v>
      </c>
      <c r="M583" t="str">
        <f>"יח"</f>
        <v>יח</v>
      </c>
      <c r="N583">
        <v>1</v>
      </c>
      <c r="O583" t="str">
        <f>"יח"</f>
        <v>יח</v>
      </c>
      <c r="P583">
        <v>573.20000000000005</v>
      </c>
      <c r="Q583" t="str">
        <f>"$"</f>
        <v>$</v>
      </c>
      <c r="R583" t="str">
        <f>"הזמנה"</f>
        <v>הזמנה</v>
      </c>
      <c r="S583">
        <v>0</v>
      </c>
      <c r="T583">
        <v>573.20000000000005</v>
      </c>
      <c r="U583">
        <v>0</v>
      </c>
      <c r="V583">
        <v>573.20000000000005</v>
      </c>
      <c r="W583" t="str">
        <f>"$"</f>
        <v>$</v>
      </c>
      <c r="X583">
        <v>0</v>
      </c>
      <c r="Y583">
        <v>0</v>
      </c>
      <c r="Z583">
        <v>0</v>
      </c>
      <c r="AA583" t="str">
        <f>"Y"</f>
        <v>Y</v>
      </c>
      <c r="AB583" t="str">
        <f>"SO22000393"</f>
        <v>SO22000393</v>
      </c>
      <c r="AC583">
        <v>1</v>
      </c>
      <c r="AD583" s="1">
        <v>44867</v>
      </c>
      <c r="AE583" t="str">
        <f>"SH23000653"</f>
        <v>SH23000653</v>
      </c>
      <c r="AF583" t="str">
        <f>"משלוחים ללקוח"</f>
        <v>משלוחים ללקוח</v>
      </c>
      <c r="AG583" s="1">
        <v>45074</v>
      </c>
      <c r="AM583" t="str">
        <f>"10"</f>
        <v>10</v>
      </c>
      <c r="AN583" t="str">
        <f>"500000"</f>
        <v>500000</v>
      </c>
      <c r="AO583" t="str">
        <f>"הכנסות  מלקוחות"</f>
        <v>הכנסות  מלקוחות</v>
      </c>
      <c r="AQ583" t="str">
        <f>"040"</f>
        <v>040</v>
      </c>
      <c r="AR583">
        <v>0</v>
      </c>
      <c r="AS583">
        <v>0</v>
      </c>
      <c r="AT583">
        <v>3.7149999999999999</v>
      </c>
      <c r="AX583" t="str">
        <f>"E000377452"</f>
        <v>E000377452</v>
      </c>
      <c r="BD583" t="str">
        <f>"רחמים זרוק"</f>
        <v>רחמים זרוק</v>
      </c>
    </row>
    <row r="584" spans="1:56" x14ac:dyDescent="0.3">
      <c r="A584" s="1">
        <v>45077</v>
      </c>
      <c r="B584" t="str">
        <f>"SI236000707"</f>
        <v>SI236000707</v>
      </c>
      <c r="C584" t="str">
        <f>"PR22000683"</f>
        <v>PR22000683</v>
      </c>
      <c r="E584" t="str">
        <f>"Y"</f>
        <v>Y</v>
      </c>
      <c r="F584" t="str">
        <f>"חשבוניות מרכזות"</f>
        <v>חשבוניות מרכזות</v>
      </c>
      <c r="G584" t="str">
        <f>"700065"</f>
        <v>700065</v>
      </c>
      <c r="H584" t="str">
        <f>"אלתא מערכות בע""מ"</f>
        <v>אלתא מערכות בע"מ</v>
      </c>
      <c r="I584" t="str">
        <f>"15"</f>
        <v>15</v>
      </c>
      <c r="J584" t="str">
        <f>"OP-AR03385"</f>
        <v>OP-AR03385</v>
      </c>
      <c r="K584" t="str">
        <f>"1032F358-001    HARNESS WB358 - LAB DEV - OTXU-P6 COMM"</f>
        <v>1032F358-001    HARNESS WB358 - LAB DEV - OTXU-P6 COMM</v>
      </c>
      <c r="L584">
        <v>1</v>
      </c>
      <c r="M584" t="str">
        <f>"יח"</f>
        <v>יח</v>
      </c>
      <c r="N584">
        <v>1</v>
      </c>
      <c r="O584" t="str">
        <f>"יח"</f>
        <v>יח</v>
      </c>
      <c r="P584">
        <v>573.20000000000005</v>
      </c>
      <c r="Q584" t="str">
        <f>"$"</f>
        <v>$</v>
      </c>
      <c r="R584" t="str">
        <f>"הזמנה"</f>
        <v>הזמנה</v>
      </c>
      <c r="S584">
        <v>0</v>
      </c>
      <c r="T584">
        <v>573.20000000000005</v>
      </c>
      <c r="U584">
        <v>0</v>
      </c>
      <c r="V584">
        <v>573.20000000000005</v>
      </c>
      <c r="W584" t="str">
        <f>"$"</f>
        <v>$</v>
      </c>
      <c r="X584">
        <v>0</v>
      </c>
      <c r="Y584">
        <v>0</v>
      </c>
      <c r="Z584">
        <v>0</v>
      </c>
      <c r="AA584" t="str">
        <f>"Y"</f>
        <v>Y</v>
      </c>
      <c r="AB584" t="str">
        <f>"SO22000393"</f>
        <v>SO22000393</v>
      </c>
      <c r="AC584">
        <v>2</v>
      </c>
      <c r="AD584" s="1">
        <v>44867</v>
      </c>
      <c r="AE584" t="str">
        <f>"SH23000653"</f>
        <v>SH23000653</v>
      </c>
      <c r="AF584" t="str">
        <f>"משלוחים ללקוח"</f>
        <v>משלוחים ללקוח</v>
      </c>
      <c r="AG584" s="1">
        <v>45074</v>
      </c>
      <c r="AM584" t="str">
        <f>"10"</f>
        <v>10</v>
      </c>
      <c r="AN584" t="str">
        <f>"500000"</f>
        <v>500000</v>
      </c>
      <c r="AO584" t="str">
        <f>"הכנסות  מלקוחות"</f>
        <v>הכנסות  מלקוחות</v>
      </c>
      <c r="AQ584" t="str">
        <f>"040"</f>
        <v>040</v>
      </c>
      <c r="AR584">
        <v>0</v>
      </c>
      <c r="AS584">
        <v>0</v>
      </c>
      <c r="AT584">
        <v>3.7149999999999999</v>
      </c>
      <c r="AX584" t="str">
        <f>"E000377452"</f>
        <v>E000377452</v>
      </c>
      <c r="BD584" t="str">
        <f>"רחמים זרוק"</f>
        <v>רחמים זרוק</v>
      </c>
    </row>
    <row r="585" spans="1:56" x14ac:dyDescent="0.3">
      <c r="A585" s="1">
        <v>45077</v>
      </c>
      <c r="B585" t="str">
        <f>"SI236000706"</f>
        <v>SI236000706</v>
      </c>
      <c r="C585" t="str">
        <f>"PR22000604"</f>
        <v>PR22000604</v>
      </c>
      <c r="D585" t="str">
        <f>"PR22000604"</f>
        <v>PR22000604</v>
      </c>
      <c r="E585" t="str">
        <f>"Y"</f>
        <v>Y</v>
      </c>
      <c r="F585" t="str">
        <f>"חשבוניות מרכזות"</f>
        <v>חשבוניות מרכזות</v>
      </c>
      <c r="G585" t="str">
        <f>"700065"</f>
        <v>700065</v>
      </c>
      <c r="H585" t="str">
        <f>"אלתא מערכות בע""מ"</f>
        <v>אלתא מערכות בע"מ</v>
      </c>
      <c r="I585" t="str">
        <f>"15"</f>
        <v>15</v>
      </c>
      <c r="J585" t="str">
        <f>"OP-AR03319"</f>
        <v>OP-AR03319</v>
      </c>
      <c r="K585" t="str">
        <f>"2091B108-001    CABLE ASSY TRW310"</f>
        <v>2091B108-001    CABLE ASSY TRW310</v>
      </c>
      <c r="L585">
        <v>2</v>
      </c>
      <c r="M585" t="str">
        <f>"יח"</f>
        <v>יח</v>
      </c>
      <c r="N585">
        <v>2</v>
      </c>
      <c r="O585" t="str">
        <f>"יח"</f>
        <v>יח</v>
      </c>
      <c r="P585" s="2">
        <v>1791.69</v>
      </c>
      <c r="Q585" t="str">
        <f>"$"</f>
        <v>$</v>
      </c>
      <c r="R585" t="str">
        <f>"הזמנה"</f>
        <v>הזמנה</v>
      </c>
      <c r="S585">
        <v>0</v>
      </c>
      <c r="T585" s="2">
        <v>3583.38</v>
      </c>
      <c r="U585">
        <v>0</v>
      </c>
      <c r="V585" s="2">
        <v>3583.38</v>
      </c>
      <c r="W585" t="str">
        <f>"$"</f>
        <v>$</v>
      </c>
      <c r="X585">
        <v>0</v>
      </c>
      <c r="Y585">
        <v>0</v>
      </c>
      <c r="Z585">
        <v>0</v>
      </c>
      <c r="AA585" t="str">
        <f>"Y"</f>
        <v>Y</v>
      </c>
      <c r="AB585" t="str">
        <f>"SO22000356"</f>
        <v>SO22000356</v>
      </c>
      <c r="AC585">
        <v>3</v>
      </c>
      <c r="AD585" s="1">
        <v>44816</v>
      </c>
      <c r="AE585" t="str">
        <f>"SH23000652"</f>
        <v>SH23000652</v>
      </c>
      <c r="AF585" t="str">
        <f>"משלוחים ללקוח"</f>
        <v>משלוחים ללקוח</v>
      </c>
      <c r="AG585" s="1">
        <v>45074</v>
      </c>
      <c r="AM585" t="str">
        <f>"10"</f>
        <v>10</v>
      </c>
      <c r="AN585" t="str">
        <f>"500000"</f>
        <v>500000</v>
      </c>
      <c r="AO585" t="str">
        <f>"הכנסות  מלקוחות"</f>
        <v>הכנסות  מלקוחות</v>
      </c>
      <c r="AQ585" t="str">
        <f>"040"</f>
        <v>040</v>
      </c>
      <c r="AR585">
        <v>0</v>
      </c>
      <c r="AS585">
        <v>0</v>
      </c>
      <c r="AT585">
        <v>3.7149999999999999</v>
      </c>
      <c r="AX585" t="str">
        <f>"E000373398"</f>
        <v>E000373398</v>
      </c>
      <c r="BD585" t="str">
        <f>"רחמים זרוק"</f>
        <v>רחמים זרוק</v>
      </c>
    </row>
    <row r="586" spans="1:56" x14ac:dyDescent="0.3">
      <c r="A586" s="1">
        <v>45077</v>
      </c>
      <c r="B586" t="str">
        <f>"SI236000705"</f>
        <v>SI236000705</v>
      </c>
      <c r="C586" t="str">
        <f>"PR22000483"</f>
        <v>PR22000483</v>
      </c>
      <c r="D586" t="str">
        <f>"PR22000483"</f>
        <v>PR22000483</v>
      </c>
      <c r="E586" t="str">
        <f>"Y"</f>
        <v>Y</v>
      </c>
      <c r="F586" t="str">
        <f>"חשבוניות מרכזות"</f>
        <v>חשבוניות מרכזות</v>
      </c>
      <c r="G586" t="str">
        <f>"700065"</f>
        <v>700065</v>
      </c>
      <c r="H586" t="str">
        <f>"אלתא מערכות בע""מ"</f>
        <v>אלתא מערכות בע"מ</v>
      </c>
      <c r="I586" t="str">
        <f>"15"</f>
        <v>15</v>
      </c>
      <c r="J586" t="str">
        <f>"OP-AR03208"</f>
        <v>OP-AR03208</v>
      </c>
      <c r="K586" t="str">
        <f>"1096H331-001     DC HARNESS TRA (W1)"</f>
        <v>1096H331-001     DC HARNESS TRA (W1)</v>
      </c>
      <c r="L586">
        <v>16</v>
      </c>
      <c r="M586" t="str">
        <f>"יח"</f>
        <v>יח</v>
      </c>
      <c r="N586">
        <v>16</v>
      </c>
      <c r="O586" t="str">
        <f>"יח"</f>
        <v>יח</v>
      </c>
      <c r="P586">
        <v>833.5</v>
      </c>
      <c r="Q586" t="str">
        <f>"$"</f>
        <v>$</v>
      </c>
      <c r="R586" t="str">
        <f>"הזמנה"</f>
        <v>הזמנה</v>
      </c>
      <c r="S586">
        <v>0</v>
      </c>
      <c r="T586" s="2">
        <v>13336</v>
      </c>
      <c r="U586">
        <v>0</v>
      </c>
      <c r="V586" s="2">
        <v>13336</v>
      </c>
      <c r="W586" t="str">
        <f>"$"</f>
        <v>$</v>
      </c>
      <c r="X586">
        <v>0</v>
      </c>
      <c r="Y586">
        <v>0</v>
      </c>
      <c r="Z586">
        <v>0</v>
      </c>
      <c r="AA586" t="str">
        <f>"Y"</f>
        <v>Y</v>
      </c>
      <c r="AB586" t="str">
        <f>"SO22000256"</f>
        <v>SO22000256</v>
      </c>
      <c r="AC586">
        <v>1</v>
      </c>
      <c r="AD586" s="1">
        <v>44738</v>
      </c>
      <c r="AE586" t="str">
        <f>"SH23000651"</f>
        <v>SH23000651</v>
      </c>
      <c r="AF586" t="str">
        <f>"משלוחים ללקוח"</f>
        <v>משלוחים ללקוח</v>
      </c>
      <c r="AG586" s="1">
        <v>45074</v>
      </c>
      <c r="AM586" t="str">
        <f>"10"</f>
        <v>10</v>
      </c>
      <c r="AN586" t="str">
        <f>"500000"</f>
        <v>500000</v>
      </c>
      <c r="AO586" t="str">
        <f>"הכנסות  מלקוחות"</f>
        <v>הכנסות  מלקוחות</v>
      </c>
      <c r="AQ586" t="str">
        <f>"040"</f>
        <v>040</v>
      </c>
      <c r="AR586">
        <v>0</v>
      </c>
      <c r="AS586">
        <v>0</v>
      </c>
      <c r="AT586">
        <v>3.7149999999999999</v>
      </c>
      <c r="AX586" t="str">
        <f>"E000367695"</f>
        <v>E000367695</v>
      </c>
      <c r="BD586" t="str">
        <f>"רחמים זרוק"</f>
        <v>רחמים זרוק</v>
      </c>
    </row>
    <row r="587" spans="1:56" x14ac:dyDescent="0.3">
      <c r="A587" s="1">
        <v>45077</v>
      </c>
      <c r="B587" t="str">
        <f>"SI236000704"</f>
        <v>SI236000704</v>
      </c>
      <c r="C587" t="str">
        <f>"PR22000908"</f>
        <v>PR22000908</v>
      </c>
      <c r="D587" t="str">
        <f>"PR22000908"</f>
        <v>PR22000908</v>
      </c>
      <c r="E587" t="str">
        <f>"Y"</f>
        <v>Y</v>
      </c>
      <c r="F587" t="str">
        <f>"חשבוניות מרכזות"</f>
        <v>חשבוניות מרכזות</v>
      </c>
      <c r="G587" t="str">
        <f>"700065"</f>
        <v>700065</v>
      </c>
      <c r="H587" t="str">
        <f>"אלתא מערכות בע""מ"</f>
        <v>אלתא מערכות בע"מ</v>
      </c>
      <c r="I587" t="str">
        <f>"15"</f>
        <v>15</v>
      </c>
      <c r="J587" t="str">
        <f>"OP-AR03519"</f>
        <v>OP-AR03519</v>
      </c>
      <c r="K587" t="str">
        <f>"9004A941-001    HARNESS W1941 - J1 POWER IN"</f>
        <v>9004A941-001    HARNESS W1941 - J1 POWER IN</v>
      </c>
      <c r="L587">
        <v>1</v>
      </c>
      <c r="M587" t="str">
        <f>"יח"</f>
        <v>יח</v>
      </c>
      <c r="N587">
        <v>1</v>
      </c>
      <c r="O587" t="str">
        <f>"יח"</f>
        <v>יח</v>
      </c>
      <c r="P587">
        <v>282.19</v>
      </c>
      <c r="Q587" t="str">
        <f>"$"</f>
        <v>$</v>
      </c>
      <c r="R587" t="str">
        <f>"הזמנה"</f>
        <v>הזמנה</v>
      </c>
      <c r="S587">
        <v>0</v>
      </c>
      <c r="T587">
        <v>282.19</v>
      </c>
      <c r="U587">
        <v>0</v>
      </c>
      <c r="V587">
        <v>282.19</v>
      </c>
      <c r="W587" t="str">
        <f>"$"</f>
        <v>$</v>
      </c>
      <c r="X587">
        <v>0</v>
      </c>
      <c r="Y587">
        <v>0</v>
      </c>
      <c r="Z587">
        <v>0</v>
      </c>
      <c r="AA587" t="str">
        <f>"Y"</f>
        <v>Y</v>
      </c>
      <c r="AB587" t="str">
        <f>"SO22000490"</f>
        <v>SO22000490</v>
      </c>
      <c r="AC587">
        <v>1</v>
      </c>
      <c r="AD587" s="1">
        <v>44922</v>
      </c>
      <c r="AE587" t="str">
        <f>"SH23000649"</f>
        <v>SH23000649</v>
      </c>
      <c r="AF587" t="str">
        <f>"משלוחים ללקוח"</f>
        <v>משלוחים ללקוח</v>
      </c>
      <c r="AG587" s="1">
        <v>45074</v>
      </c>
      <c r="AM587" t="str">
        <f>"10"</f>
        <v>10</v>
      </c>
      <c r="AN587" t="str">
        <f>"500000"</f>
        <v>500000</v>
      </c>
      <c r="AO587" t="str">
        <f>"הכנסות  מלקוחות"</f>
        <v>הכנסות  מלקוחות</v>
      </c>
      <c r="AQ587" t="str">
        <f>"040"</f>
        <v>040</v>
      </c>
      <c r="AR587">
        <v>0</v>
      </c>
      <c r="AS587">
        <v>0</v>
      </c>
      <c r="AT587">
        <v>3.7149999999999999</v>
      </c>
      <c r="AX587" t="str">
        <f>"E000380890"</f>
        <v>E000380890</v>
      </c>
      <c r="BD587" t="str">
        <f>"רחמים זרוק"</f>
        <v>רחמים זרוק</v>
      </c>
    </row>
    <row r="588" spans="1:56" x14ac:dyDescent="0.3">
      <c r="A588" s="1">
        <v>45077</v>
      </c>
      <c r="B588" t="str">
        <f>"SI236000703"</f>
        <v>SI236000703</v>
      </c>
      <c r="C588" t="str">
        <f>"PR22000904"</f>
        <v>PR22000904</v>
      </c>
      <c r="E588" t="str">
        <f>"Y"</f>
        <v>Y</v>
      </c>
      <c r="F588" t="str">
        <f>"חשבוניות מרכזות"</f>
        <v>חשבוניות מרכזות</v>
      </c>
      <c r="G588" t="str">
        <f>"700065"</f>
        <v>700065</v>
      </c>
      <c r="H588" t="str">
        <f>"אלתא מערכות בע""מ"</f>
        <v>אלתא מערכות בע"מ</v>
      </c>
      <c r="I588" t="str">
        <f>"15"</f>
        <v>15</v>
      </c>
      <c r="J588" t="str">
        <f>"OP-AR03463"</f>
        <v>OP-AR03463</v>
      </c>
      <c r="K588" t="str">
        <f>"1021M614-001    HARNESS W15 - ACM TO HVPS"</f>
        <v>1021M614-001    HARNESS W15 - ACM TO HVPS</v>
      </c>
      <c r="L588">
        <v>1</v>
      </c>
      <c r="M588" t="str">
        <f>"יח"</f>
        <v>יח</v>
      </c>
      <c r="N588">
        <v>1</v>
      </c>
      <c r="O588" t="str">
        <f>"יח"</f>
        <v>יח</v>
      </c>
      <c r="P588" s="2">
        <v>1045.18</v>
      </c>
      <c r="Q588" t="str">
        <f>"$"</f>
        <v>$</v>
      </c>
      <c r="R588" t="str">
        <f>"הזמנה"</f>
        <v>הזמנה</v>
      </c>
      <c r="S588">
        <v>0</v>
      </c>
      <c r="T588" s="2">
        <v>1045.18</v>
      </c>
      <c r="U588">
        <v>0</v>
      </c>
      <c r="V588" s="2">
        <v>1045.18</v>
      </c>
      <c r="W588" t="str">
        <f>"$"</f>
        <v>$</v>
      </c>
      <c r="X588">
        <v>0</v>
      </c>
      <c r="Y588">
        <v>0</v>
      </c>
      <c r="Z588">
        <v>0</v>
      </c>
      <c r="AA588" t="str">
        <f>"Y"</f>
        <v>Y</v>
      </c>
      <c r="AB588" t="str">
        <f>"SO22000469"</f>
        <v>SO22000469</v>
      </c>
      <c r="AC588">
        <v>2</v>
      </c>
      <c r="AD588" s="1">
        <v>44915</v>
      </c>
      <c r="AE588" t="str">
        <f>"SH23000647"</f>
        <v>SH23000647</v>
      </c>
      <c r="AF588" t="str">
        <f>"משלוחים ללקוח"</f>
        <v>משלוחים ללקוח</v>
      </c>
      <c r="AG588" s="1">
        <v>45074</v>
      </c>
      <c r="AM588" t="str">
        <f>"10"</f>
        <v>10</v>
      </c>
      <c r="AN588" t="str">
        <f>"500000"</f>
        <v>500000</v>
      </c>
      <c r="AO588" t="str">
        <f>"הכנסות  מלקוחות"</f>
        <v>הכנסות  מלקוחות</v>
      </c>
      <c r="AQ588" t="str">
        <f>"040"</f>
        <v>040</v>
      </c>
      <c r="AR588">
        <v>0</v>
      </c>
      <c r="AS588">
        <v>0</v>
      </c>
      <c r="AT588">
        <v>3.7149999999999999</v>
      </c>
      <c r="AX588" t="str">
        <f>"E000374099"</f>
        <v>E000374099</v>
      </c>
      <c r="BD588" t="str">
        <f>"רחמים זרוק"</f>
        <v>רחמים זרוק</v>
      </c>
    </row>
    <row r="589" spans="1:56" x14ac:dyDescent="0.3">
      <c r="A589" s="1">
        <v>45077</v>
      </c>
      <c r="B589" t="str">
        <f>"SI236000703"</f>
        <v>SI236000703</v>
      </c>
      <c r="C589" t="str">
        <f>"PR22000904"</f>
        <v>PR22000904</v>
      </c>
      <c r="E589" t="str">
        <f>"Y"</f>
        <v>Y</v>
      </c>
      <c r="F589" t="str">
        <f>"חשבוניות מרכזות"</f>
        <v>חשבוניות מרכזות</v>
      </c>
      <c r="G589" t="str">
        <f>"700065"</f>
        <v>700065</v>
      </c>
      <c r="H589" t="str">
        <f>"אלתא מערכות בע""מ"</f>
        <v>אלתא מערכות בע"מ</v>
      </c>
      <c r="I589" t="str">
        <f>"15"</f>
        <v>15</v>
      </c>
      <c r="J589" t="str">
        <f>"OP-AR03467"</f>
        <v>OP-AR03467</v>
      </c>
      <c r="K589" t="str">
        <f>"1021M631-002    CABLE ASSY W8"</f>
        <v>1021M631-002    CABLE ASSY W8</v>
      </c>
      <c r="L589">
        <v>1</v>
      </c>
      <c r="M589" t="str">
        <f>"יח"</f>
        <v>יח</v>
      </c>
      <c r="N589">
        <v>1</v>
      </c>
      <c r="O589" t="str">
        <f>"יח"</f>
        <v>יח</v>
      </c>
      <c r="P589">
        <v>860.12</v>
      </c>
      <c r="Q589" t="str">
        <f>"$"</f>
        <v>$</v>
      </c>
      <c r="R589" t="str">
        <f>"הזמנה"</f>
        <v>הזמנה</v>
      </c>
      <c r="S589">
        <v>0</v>
      </c>
      <c r="T589">
        <v>860.12</v>
      </c>
      <c r="U589">
        <v>0</v>
      </c>
      <c r="V589">
        <v>860.12</v>
      </c>
      <c r="W589" t="str">
        <f>"$"</f>
        <v>$</v>
      </c>
      <c r="X589">
        <v>0</v>
      </c>
      <c r="Y589">
        <v>0</v>
      </c>
      <c r="Z589">
        <v>0</v>
      </c>
      <c r="AA589" t="str">
        <f>"Y"</f>
        <v>Y</v>
      </c>
      <c r="AB589" t="str">
        <f>"SO22000469"</f>
        <v>SO22000469</v>
      </c>
      <c r="AC589">
        <v>6</v>
      </c>
      <c r="AD589" s="1">
        <v>44915</v>
      </c>
      <c r="AE589" t="str">
        <f>"SH23000647"</f>
        <v>SH23000647</v>
      </c>
      <c r="AF589" t="str">
        <f>"משלוחים ללקוח"</f>
        <v>משלוחים ללקוח</v>
      </c>
      <c r="AG589" s="1">
        <v>45074</v>
      </c>
      <c r="AM589" t="str">
        <f>"10"</f>
        <v>10</v>
      </c>
      <c r="AN589" t="str">
        <f>"500000"</f>
        <v>500000</v>
      </c>
      <c r="AO589" t="str">
        <f>"הכנסות  מלקוחות"</f>
        <v>הכנסות  מלקוחות</v>
      </c>
      <c r="AQ589" t="str">
        <f>"040"</f>
        <v>040</v>
      </c>
      <c r="AR589">
        <v>0</v>
      </c>
      <c r="AS589">
        <v>0</v>
      </c>
      <c r="AT589">
        <v>3.7149999999999999</v>
      </c>
      <c r="AX589" t="str">
        <f>"E000374099"</f>
        <v>E000374099</v>
      </c>
      <c r="BD589" t="str">
        <f>"רחמים זרוק"</f>
        <v>רחמים זרוק</v>
      </c>
    </row>
    <row r="590" spans="1:56" x14ac:dyDescent="0.3">
      <c r="A590" s="1">
        <v>45077</v>
      </c>
      <c r="B590" t="str">
        <f>"SI236000703"</f>
        <v>SI236000703</v>
      </c>
      <c r="C590" t="str">
        <f>"PR22000904"</f>
        <v>PR22000904</v>
      </c>
      <c r="E590" t="str">
        <f>"Y"</f>
        <v>Y</v>
      </c>
      <c r="F590" t="str">
        <f>"חשבוניות מרכזות"</f>
        <v>חשבוניות מרכזות</v>
      </c>
      <c r="G590" t="str">
        <f>"700065"</f>
        <v>700065</v>
      </c>
      <c r="H590" t="str">
        <f>"אלתא מערכות בע""מ"</f>
        <v>אלתא מערכות בע"מ</v>
      </c>
      <c r="I590" t="str">
        <f>"15"</f>
        <v>15</v>
      </c>
      <c r="J590" t="str">
        <f>"OP-AR03468"</f>
        <v>OP-AR03468</v>
      </c>
      <c r="K590" t="str">
        <f>"1021M632-002    HARNESS W09 - HVPS2 TO HVPS-J4"</f>
        <v>1021M632-002    HARNESS W09 - HVPS2 TO HVPS-J4</v>
      </c>
      <c r="L590">
        <v>1</v>
      </c>
      <c r="M590" t="str">
        <f>"יח"</f>
        <v>יח</v>
      </c>
      <c r="N590">
        <v>1</v>
      </c>
      <c r="O590" t="str">
        <f>"יח"</f>
        <v>יח</v>
      </c>
      <c r="P590">
        <v>887.96</v>
      </c>
      <c r="Q590" t="str">
        <f>"$"</f>
        <v>$</v>
      </c>
      <c r="R590" t="str">
        <f>"הזמנה"</f>
        <v>הזמנה</v>
      </c>
      <c r="S590">
        <v>0</v>
      </c>
      <c r="T590">
        <v>887.96</v>
      </c>
      <c r="U590">
        <v>0</v>
      </c>
      <c r="V590">
        <v>887.96</v>
      </c>
      <c r="W590" t="str">
        <f>"$"</f>
        <v>$</v>
      </c>
      <c r="X590">
        <v>0</v>
      </c>
      <c r="Y590">
        <v>0</v>
      </c>
      <c r="Z590">
        <v>0</v>
      </c>
      <c r="AA590" t="str">
        <f>"Y"</f>
        <v>Y</v>
      </c>
      <c r="AB590" t="str">
        <f>"SO22000469"</f>
        <v>SO22000469</v>
      </c>
      <c r="AC590">
        <v>7</v>
      </c>
      <c r="AD590" s="1">
        <v>44915</v>
      </c>
      <c r="AE590" t="str">
        <f>"SH23000647"</f>
        <v>SH23000647</v>
      </c>
      <c r="AF590" t="str">
        <f>"משלוחים ללקוח"</f>
        <v>משלוחים ללקוח</v>
      </c>
      <c r="AG590" s="1">
        <v>45074</v>
      </c>
      <c r="AM590" t="str">
        <f>"10"</f>
        <v>10</v>
      </c>
      <c r="AN590" t="str">
        <f>"500000"</f>
        <v>500000</v>
      </c>
      <c r="AO590" t="str">
        <f>"הכנסות  מלקוחות"</f>
        <v>הכנסות  מלקוחות</v>
      </c>
      <c r="AQ590" t="str">
        <f>"040"</f>
        <v>040</v>
      </c>
      <c r="AR590">
        <v>0</v>
      </c>
      <c r="AS590">
        <v>0</v>
      </c>
      <c r="AT590">
        <v>3.7149999999999999</v>
      </c>
      <c r="AX590" t="str">
        <f>"E000374099"</f>
        <v>E000374099</v>
      </c>
      <c r="BD590" t="str">
        <f>"רחמים זרוק"</f>
        <v>רחמים זרוק</v>
      </c>
    </row>
    <row r="591" spans="1:56" x14ac:dyDescent="0.3">
      <c r="A591" s="1">
        <v>45077</v>
      </c>
      <c r="B591" t="str">
        <f>"SI236000703"</f>
        <v>SI236000703</v>
      </c>
      <c r="C591" t="str">
        <f>"PR22000904"</f>
        <v>PR22000904</v>
      </c>
      <c r="E591" t="str">
        <f>"Y"</f>
        <v>Y</v>
      </c>
      <c r="F591" t="str">
        <f>"חשבוניות מרכזות"</f>
        <v>חשבוניות מרכזות</v>
      </c>
      <c r="G591" t="str">
        <f>"700065"</f>
        <v>700065</v>
      </c>
      <c r="H591" t="str">
        <f>"אלתא מערכות בע""מ"</f>
        <v>אלתא מערכות בע"מ</v>
      </c>
      <c r="I591" t="str">
        <f>"15"</f>
        <v>15</v>
      </c>
      <c r="J591" t="str">
        <f>"OP-AR03471"</f>
        <v>OP-AR03471</v>
      </c>
      <c r="K591" t="str">
        <f>"1021M635-002    HARNESS W12 - HVPS5 TO HVPS-J7"</f>
        <v>1021M635-002    HARNESS W12 - HVPS5 TO HVPS-J7</v>
      </c>
      <c r="L591">
        <v>1</v>
      </c>
      <c r="M591" t="str">
        <f>"יח"</f>
        <v>יח</v>
      </c>
      <c r="N591">
        <v>1</v>
      </c>
      <c r="O591" t="str">
        <f>"יח"</f>
        <v>יח</v>
      </c>
      <c r="P591">
        <v>792.93</v>
      </c>
      <c r="Q591" t="str">
        <f>"$"</f>
        <v>$</v>
      </c>
      <c r="R591" t="str">
        <f>"הזמנה"</f>
        <v>הזמנה</v>
      </c>
      <c r="S591">
        <v>0</v>
      </c>
      <c r="T591">
        <v>792.93</v>
      </c>
      <c r="U591">
        <v>0</v>
      </c>
      <c r="V591">
        <v>792.93</v>
      </c>
      <c r="W591" t="str">
        <f>"$"</f>
        <v>$</v>
      </c>
      <c r="X591">
        <v>0</v>
      </c>
      <c r="Y591">
        <v>0</v>
      </c>
      <c r="Z591">
        <v>0</v>
      </c>
      <c r="AA591" t="str">
        <f>"Y"</f>
        <v>Y</v>
      </c>
      <c r="AB591" t="str">
        <f>"SO22000469"</f>
        <v>SO22000469</v>
      </c>
      <c r="AC591">
        <v>10</v>
      </c>
      <c r="AD591" s="1">
        <v>44915</v>
      </c>
      <c r="AE591" t="str">
        <f>"SH23000647"</f>
        <v>SH23000647</v>
      </c>
      <c r="AF591" t="str">
        <f>"משלוחים ללקוח"</f>
        <v>משלוחים ללקוח</v>
      </c>
      <c r="AG591" s="1">
        <v>45074</v>
      </c>
      <c r="AM591" t="str">
        <f>"10"</f>
        <v>10</v>
      </c>
      <c r="AN591" t="str">
        <f>"500000"</f>
        <v>500000</v>
      </c>
      <c r="AO591" t="str">
        <f>"הכנסות  מלקוחות"</f>
        <v>הכנסות  מלקוחות</v>
      </c>
      <c r="AQ591" t="str">
        <f>"040"</f>
        <v>040</v>
      </c>
      <c r="AR591">
        <v>0</v>
      </c>
      <c r="AS591">
        <v>0</v>
      </c>
      <c r="AT591">
        <v>3.7149999999999999</v>
      </c>
      <c r="AX591" t="str">
        <f>"E000374099"</f>
        <v>E000374099</v>
      </c>
      <c r="BD591" t="str">
        <f>"רחמים זרוק"</f>
        <v>רחמים זרוק</v>
      </c>
    </row>
    <row r="592" spans="1:56" x14ac:dyDescent="0.3">
      <c r="A592" s="1">
        <v>45077</v>
      </c>
      <c r="B592" t="str">
        <f>"SI236000703"</f>
        <v>SI236000703</v>
      </c>
      <c r="C592" t="str">
        <f>"PR22000904"</f>
        <v>PR22000904</v>
      </c>
      <c r="E592" t="str">
        <f>"Y"</f>
        <v>Y</v>
      </c>
      <c r="F592" t="str">
        <f>"חשבוניות מרכזות"</f>
        <v>חשבוניות מרכזות</v>
      </c>
      <c r="G592" t="str">
        <f>"700065"</f>
        <v>700065</v>
      </c>
      <c r="H592" t="str">
        <f>"אלתא מערכות בע""מ"</f>
        <v>אלתא מערכות בע"מ</v>
      </c>
      <c r="I592" t="str">
        <f>"15"</f>
        <v>15</v>
      </c>
      <c r="J592" t="str">
        <f>"OP-AR03472"</f>
        <v>OP-AR03472</v>
      </c>
      <c r="K592" t="str">
        <f>"1021M637-001    HARNESS W14 - ACM TO HVPS"</f>
        <v>1021M637-001    HARNESS W14 - ACM TO HVPS</v>
      </c>
      <c r="L592">
        <v>1</v>
      </c>
      <c r="M592" t="str">
        <f>"יח"</f>
        <v>יח</v>
      </c>
      <c r="N592">
        <v>1</v>
      </c>
      <c r="O592" t="str">
        <f>"יח"</f>
        <v>יח</v>
      </c>
      <c r="P592">
        <v>761.65</v>
      </c>
      <c r="Q592" t="str">
        <f>"$"</f>
        <v>$</v>
      </c>
      <c r="R592" t="str">
        <f>"הזמנה"</f>
        <v>הזמנה</v>
      </c>
      <c r="S592">
        <v>0</v>
      </c>
      <c r="T592">
        <v>761.65</v>
      </c>
      <c r="U592">
        <v>0</v>
      </c>
      <c r="V592">
        <v>761.65</v>
      </c>
      <c r="W592" t="str">
        <f>"$"</f>
        <v>$</v>
      </c>
      <c r="X592">
        <v>0</v>
      </c>
      <c r="Y592">
        <v>0</v>
      </c>
      <c r="Z592">
        <v>0</v>
      </c>
      <c r="AA592" t="str">
        <f>"Y"</f>
        <v>Y</v>
      </c>
      <c r="AB592" t="str">
        <f>"SO22000469"</f>
        <v>SO22000469</v>
      </c>
      <c r="AC592">
        <v>11</v>
      </c>
      <c r="AD592" s="1">
        <v>44915</v>
      </c>
      <c r="AE592" t="str">
        <f>"SH23000647"</f>
        <v>SH23000647</v>
      </c>
      <c r="AF592" t="str">
        <f>"משלוחים ללקוח"</f>
        <v>משלוחים ללקוח</v>
      </c>
      <c r="AG592" s="1">
        <v>45074</v>
      </c>
      <c r="AM592" t="str">
        <f>"10"</f>
        <v>10</v>
      </c>
      <c r="AN592" t="str">
        <f>"500000"</f>
        <v>500000</v>
      </c>
      <c r="AO592" t="str">
        <f>"הכנסות  מלקוחות"</f>
        <v>הכנסות  מלקוחות</v>
      </c>
      <c r="AQ592" t="str">
        <f>"040"</f>
        <v>040</v>
      </c>
      <c r="AR592">
        <v>0</v>
      </c>
      <c r="AS592">
        <v>0</v>
      </c>
      <c r="AT592">
        <v>3.7149999999999999</v>
      </c>
      <c r="AX592" t="str">
        <f>"E000374099"</f>
        <v>E000374099</v>
      </c>
      <c r="BD592" t="str">
        <f>"רחמים זרוק"</f>
        <v>רחמים זרוק</v>
      </c>
    </row>
    <row r="593" spans="1:56" x14ac:dyDescent="0.3">
      <c r="A593" s="1">
        <v>45077</v>
      </c>
      <c r="B593" t="str">
        <f>"SI236000703"</f>
        <v>SI236000703</v>
      </c>
      <c r="C593" t="str">
        <f>"PR22000904"</f>
        <v>PR22000904</v>
      </c>
      <c r="E593" t="str">
        <f>"Y"</f>
        <v>Y</v>
      </c>
      <c r="F593" t="str">
        <f>"חשבוניות מרכזות"</f>
        <v>חשבוניות מרכזות</v>
      </c>
      <c r="G593" t="str">
        <f>"700065"</f>
        <v>700065</v>
      </c>
      <c r="H593" t="str">
        <f>"אלתא מערכות בע""מ"</f>
        <v>אלתא מערכות בע"מ</v>
      </c>
      <c r="I593" t="str">
        <f>"15"</f>
        <v>15</v>
      </c>
      <c r="J593" t="str">
        <f>"OP-AR03476"</f>
        <v>OP-AR03476</v>
      </c>
      <c r="K593" t="str">
        <f>"1032F612-001    HARNESS WB612 - LAB - HVPS_RACK TO SHELT"</f>
        <v>1032F612-001    HARNESS WB612 - LAB - HVPS_RACK TO SHELT</v>
      </c>
      <c r="L593">
        <v>1</v>
      </c>
      <c r="M593" t="str">
        <f>"יח"</f>
        <v>יח</v>
      </c>
      <c r="N593">
        <v>1</v>
      </c>
      <c r="O593" t="str">
        <f>"יח"</f>
        <v>יח</v>
      </c>
      <c r="P593" s="2">
        <v>4196.28</v>
      </c>
      <c r="Q593" t="str">
        <f>"$"</f>
        <v>$</v>
      </c>
      <c r="R593" t="str">
        <f>"הזמנה"</f>
        <v>הזמנה</v>
      </c>
      <c r="S593">
        <v>0</v>
      </c>
      <c r="T593" s="2">
        <v>4196.28</v>
      </c>
      <c r="U593">
        <v>0</v>
      </c>
      <c r="V593" s="2">
        <v>4196.28</v>
      </c>
      <c r="W593" t="str">
        <f>"$"</f>
        <v>$</v>
      </c>
      <c r="X593">
        <v>0</v>
      </c>
      <c r="Y593">
        <v>0</v>
      </c>
      <c r="Z593">
        <v>0</v>
      </c>
      <c r="AA593" t="str">
        <f>"Y"</f>
        <v>Y</v>
      </c>
      <c r="AB593" t="str">
        <f>"SO22000469"</f>
        <v>SO22000469</v>
      </c>
      <c r="AC593">
        <v>18</v>
      </c>
      <c r="AD593" s="1">
        <v>44915</v>
      </c>
      <c r="AE593" t="str">
        <f>"SH23000647"</f>
        <v>SH23000647</v>
      </c>
      <c r="AF593" t="str">
        <f>"משלוחים ללקוח"</f>
        <v>משלוחים ללקוח</v>
      </c>
      <c r="AG593" s="1">
        <v>45074</v>
      </c>
      <c r="AM593" t="str">
        <f>"10"</f>
        <v>10</v>
      </c>
      <c r="AN593" t="str">
        <f>"500000"</f>
        <v>500000</v>
      </c>
      <c r="AO593" t="str">
        <f>"הכנסות  מלקוחות"</f>
        <v>הכנסות  מלקוחות</v>
      </c>
      <c r="AQ593" t="str">
        <f>"040"</f>
        <v>040</v>
      </c>
      <c r="AR593">
        <v>0</v>
      </c>
      <c r="AS593">
        <v>0</v>
      </c>
      <c r="AT593">
        <v>3.7149999999999999</v>
      </c>
      <c r="AX593" t="str">
        <f>"E000374099"</f>
        <v>E000374099</v>
      </c>
      <c r="BD593" t="str">
        <f>"רחמים זרוק"</f>
        <v>רחמים זרוק</v>
      </c>
    </row>
    <row r="594" spans="1:56" x14ac:dyDescent="0.3">
      <c r="A594" s="1">
        <v>45077</v>
      </c>
      <c r="B594" t="str">
        <f>"SI236000703"</f>
        <v>SI236000703</v>
      </c>
      <c r="C594" t="str">
        <f>"PR22000904"</f>
        <v>PR22000904</v>
      </c>
      <c r="E594" t="str">
        <f>"Y"</f>
        <v>Y</v>
      </c>
      <c r="F594" t="str">
        <f>"חשבוניות מרכזות"</f>
        <v>חשבוניות מרכזות</v>
      </c>
      <c r="G594" t="str">
        <f>"700065"</f>
        <v>700065</v>
      </c>
      <c r="H594" t="str">
        <f>"אלתא מערכות בע""מ"</f>
        <v>אלתא מערכות בע"מ</v>
      </c>
      <c r="I594" t="str">
        <f>"15"</f>
        <v>15</v>
      </c>
      <c r="J594" t="str">
        <f>"OP-AR03479"</f>
        <v>OP-AR03479</v>
      </c>
      <c r="K594" t="str">
        <f>"1032F621-001    HARNESS WB621 - LAB - SHELTER PANEL B TO"</f>
        <v>1032F621-001    HARNESS WB621 - LAB - SHELTER PANEL B TO</v>
      </c>
      <c r="L594">
        <v>1</v>
      </c>
      <c r="M594" t="str">
        <f>"יח"</f>
        <v>יח</v>
      </c>
      <c r="N594">
        <v>1</v>
      </c>
      <c r="O594" t="str">
        <f>"יח"</f>
        <v>יח</v>
      </c>
      <c r="P594" s="2">
        <v>1753.81</v>
      </c>
      <c r="Q594" t="str">
        <f>"$"</f>
        <v>$</v>
      </c>
      <c r="R594" t="str">
        <f>"הזמנה"</f>
        <v>הזמנה</v>
      </c>
      <c r="S594">
        <v>0</v>
      </c>
      <c r="T594" s="2">
        <v>1753.81</v>
      </c>
      <c r="U594">
        <v>0</v>
      </c>
      <c r="V594" s="2">
        <v>1753.81</v>
      </c>
      <c r="W594" t="str">
        <f>"$"</f>
        <v>$</v>
      </c>
      <c r="X594">
        <v>0</v>
      </c>
      <c r="Y594">
        <v>0</v>
      </c>
      <c r="Z594">
        <v>0</v>
      </c>
      <c r="AA594" t="str">
        <f>"Y"</f>
        <v>Y</v>
      </c>
      <c r="AB594" t="str">
        <f>"SO22000469"</f>
        <v>SO22000469</v>
      </c>
      <c r="AC594">
        <v>21</v>
      </c>
      <c r="AD594" s="1">
        <v>44915</v>
      </c>
      <c r="AE594" t="str">
        <f>"SH23000647"</f>
        <v>SH23000647</v>
      </c>
      <c r="AF594" t="str">
        <f>"משלוחים ללקוח"</f>
        <v>משלוחים ללקוח</v>
      </c>
      <c r="AG594" s="1">
        <v>45074</v>
      </c>
      <c r="AM594" t="str">
        <f>"10"</f>
        <v>10</v>
      </c>
      <c r="AN594" t="str">
        <f>"500000"</f>
        <v>500000</v>
      </c>
      <c r="AO594" t="str">
        <f>"הכנסות  מלקוחות"</f>
        <v>הכנסות  מלקוחות</v>
      </c>
      <c r="AQ594" t="str">
        <f>"040"</f>
        <v>040</v>
      </c>
      <c r="AR594">
        <v>0</v>
      </c>
      <c r="AS594">
        <v>0</v>
      </c>
      <c r="AT594">
        <v>3.7149999999999999</v>
      </c>
      <c r="AX594" t="str">
        <f>"E000374099"</f>
        <v>E000374099</v>
      </c>
      <c r="BD594" t="str">
        <f>"רחמים זרוק"</f>
        <v>רחמים זרוק</v>
      </c>
    </row>
    <row r="595" spans="1:56" x14ac:dyDescent="0.3">
      <c r="A595" s="1">
        <v>45077</v>
      </c>
      <c r="B595" t="str">
        <f>"SI236000703"</f>
        <v>SI236000703</v>
      </c>
      <c r="C595" t="str">
        <f>"PR22000904"</f>
        <v>PR22000904</v>
      </c>
      <c r="E595" t="str">
        <f>"Y"</f>
        <v>Y</v>
      </c>
      <c r="F595" t="str">
        <f>"חשבוניות מרכזות"</f>
        <v>חשבוניות מרכזות</v>
      </c>
      <c r="G595" t="str">
        <f>"700065"</f>
        <v>700065</v>
      </c>
      <c r="H595" t="str">
        <f>"אלתא מערכות בע""מ"</f>
        <v>אלתא מערכות בע"מ</v>
      </c>
      <c r="I595" t="str">
        <f>"15"</f>
        <v>15</v>
      </c>
      <c r="J595" t="str">
        <f>"OP-AR03480"</f>
        <v>OP-AR03480</v>
      </c>
      <c r="K595" t="str">
        <f>"1032F651-001    HARNESS WB651 - LAB - HVPS RACK TO EPU1"</f>
        <v>1032F651-001    HARNESS WB651 - LAB - HVPS RACK TO EPU1</v>
      </c>
      <c r="L595">
        <v>1</v>
      </c>
      <c r="M595" t="str">
        <f>"יח"</f>
        <v>יח</v>
      </c>
      <c r="N595">
        <v>1</v>
      </c>
      <c r="O595" t="str">
        <f>"יח"</f>
        <v>יח</v>
      </c>
      <c r="P595">
        <v>412.71</v>
      </c>
      <c r="Q595" t="str">
        <f>"$"</f>
        <v>$</v>
      </c>
      <c r="R595" t="str">
        <f>"הזמנה"</f>
        <v>הזמנה</v>
      </c>
      <c r="S595">
        <v>0</v>
      </c>
      <c r="T595">
        <v>412.71</v>
      </c>
      <c r="U595">
        <v>0</v>
      </c>
      <c r="V595">
        <v>412.71</v>
      </c>
      <c r="W595" t="str">
        <f>"$"</f>
        <v>$</v>
      </c>
      <c r="X595">
        <v>0</v>
      </c>
      <c r="Y595">
        <v>0</v>
      </c>
      <c r="Z595">
        <v>0</v>
      </c>
      <c r="AA595" t="str">
        <f>"Y"</f>
        <v>Y</v>
      </c>
      <c r="AB595" t="str">
        <f>"SO22000469"</f>
        <v>SO22000469</v>
      </c>
      <c r="AC595">
        <v>22</v>
      </c>
      <c r="AD595" s="1">
        <v>44915</v>
      </c>
      <c r="AE595" t="str">
        <f>"SH23000647"</f>
        <v>SH23000647</v>
      </c>
      <c r="AF595" t="str">
        <f>"משלוחים ללקוח"</f>
        <v>משלוחים ללקוח</v>
      </c>
      <c r="AG595" s="1">
        <v>45074</v>
      </c>
      <c r="AM595" t="str">
        <f>"10"</f>
        <v>10</v>
      </c>
      <c r="AN595" t="str">
        <f>"500000"</f>
        <v>500000</v>
      </c>
      <c r="AO595" t="str">
        <f>"הכנסות  מלקוחות"</f>
        <v>הכנסות  מלקוחות</v>
      </c>
      <c r="AQ595" t="str">
        <f>"040"</f>
        <v>040</v>
      </c>
      <c r="AR595">
        <v>0</v>
      </c>
      <c r="AS595">
        <v>0</v>
      </c>
      <c r="AT595">
        <v>3.7149999999999999</v>
      </c>
      <c r="AX595" t="str">
        <f>"E000374099"</f>
        <v>E000374099</v>
      </c>
      <c r="BD595" t="str">
        <f>"רחמים זרוק"</f>
        <v>רחמים זרוק</v>
      </c>
    </row>
    <row r="596" spans="1:56" x14ac:dyDescent="0.3">
      <c r="A596" s="1">
        <v>45077</v>
      </c>
      <c r="B596" t="str">
        <f>"SI236000703"</f>
        <v>SI236000703</v>
      </c>
      <c r="C596" t="str">
        <f>"PR22000904"</f>
        <v>PR22000904</v>
      </c>
      <c r="E596" t="str">
        <f>"Y"</f>
        <v>Y</v>
      </c>
      <c r="F596" t="str">
        <f>"חשבוניות מרכזות"</f>
        <v>חשבוניות מרכזות</v>
      </c>
      <c r="G596" t="str">
        <f>"700065"</f>
        <v>700065</v>
      </c>
      <c r="H596" t="str">
        <f>"אלתא מערכות בע""מ"</f>
        <v>אלתא מערכות בע"מ</v>
      </c>
      <c r="I596" t="str">
        <f>"15"</f>
        <v>15</v>
      </c>
      <c r="J596" t="str">
        <f>"OP-AR01884"</f>
        <v>OP-AR01884</v>
      </c>
      <c r="K596" t="str">
        <f>"1032F653-001 - HARNESS WB653 - LAB - EPU1 TO INS"</f>
        <v>1032F653-001 - HARNESS WB653 - LAB - EPU1 TO INS</v>
      </c>
      <c r="L596">
        <v>1</v>
      </c>
      <c r="M596" t="str">
        <f>"יח"</f>
        <v>יח</v>
      </c>
      <c r="N596">
        <v>1</v>
      </c>
      <c r="O596" t="str">
        <f>"יח"</f>
        <v>יח</v>
      </c>
      <c r="P596">
        <v>462.24</v>
      </c>
      <c r="Q596" t="str">
        <f>"$"</f>
        <v>$</v>
      </c>
      <c r="R596" t="str">
        <f>"הזמנה"</f>
        <v>הזמנה</v>
      </c>
      <c r="S596">
        <v>0</v>
      </c>
      <c r="T596">
        <v>462.24</v>
      </c>
      <c r="U596">
        <v>0</v>
      </c>
      <c r="V596">
        <v>462.24</v>
      </c>
      <c r="W596" t="str">
        <f>"$"</f>
        <v>$</v>
      </c>
      <c r="X596">
        <v>0</v>
      </c>
      <c r="Y596">
        <v>0</v>
      </c>
      <c r="Z596">
        <v>0</v>
      </c>
      <c r="AA596" t="str">
        <f>"Y"</f>
        <v>Y</v>
      </c>
      <c r="AB596" t="str">
        <f>"SO22000469"</f>
        <v>SO22000469</v>
      </c>
      <c r="AC596">
        <v>24</v>
      </c>
      <c r="AD596" s="1">
        <v>44915</v>
      </c>
      <c r="AE596" t="str">
        <f>"SH23000647"</f>
        <v>SH23000647</v>
      </c>
      <c r="AF596" t="str">
        <f>"משלוחים ללקוח"</f>
        <v>משלוחים ללקוח</v>
      </c>
      <c r="AG596" s="1">
        <v>45074</v>
      </c>
      <c r="AM596" t="str">
        <f>"10"</f>
        <v>10</v>
      </c>
      <c r="AN596" t="str">
        <f>"500000"</f>
        <v>500000</v>
      </c>
      <c r="AO596" t="str">
        <f>"הכנסות  מלקוחות"</f>
        <v>הכנסות  מלקוחות</v>
      </c>
      <c r="AQ596" t="str">
        <f>"040"</f>
        <v>040</v>
      </c>
      <c r="AR596">
        <v>0</v>
      </c>
      <c r="AS596">
        <v>0</v>
      </c>
      <c r="AT596">
        <v>3.7149999999999999</v>
      </c>
      <c r="AX596" t="str">
        <f>"E000374099"</f>
        <v>E000374099</v>
      </c>
      <c r="BD596" t="str">
        <f>"רחמים זרוק"</f>
        <v>רחמים זרוק</v>
      </c>
    </row>
    <row r="597" spans="1:56" x14ac:dyDescent="0.3">
      <c r="A597" s="1">
        <v>45077</v>
      </c>
      <c r="B597" t="str">
        <f>"SI236000703"</f>
        <v>SI236000703</v>
      </c>
      <c r="C597" t="str">
        <f>"PR22000904"</f>
        <v>PR22000904</v>
      </c>
      <c r="E597" t="str">
        <f>"Y"</f>
        <v>Y</v>
      </c>
      <c r="F597" t="str">
        <f>"חשבוניות מרכזות"</f>
        <v>חשבוניות מרכזות</v>
      </c>
      <c r="G597" t="str">
        <f>"700065"</f>
        <v>700065</v>
      </c>
      <c r="H597" t="str">
        <f>"אלתא מערכות בע""מ"</f>
        <v>אלתא מערכות בע"מ</v>
      </c>
      <c r="I597" t="str">
        <f>"15"</f>
        <v>15</v>
      </c>
      <c r="J597" t="str">
        <f>"OP-AR03484"</f>
        <v>OP-AR03484</v>
      </c>
      <c r="K597" t="str">
        <f>"1032F666-001    HARNESS WB666 - LAB - EPU1 TO EPU2 - PO"</f>
        <v>1032F666-001    HARNESS WB666 - LAB - EPU1 TO EPU2 - PO</v>
      </c>
      <c r="L597">
        <v>1</v>
      </c>
      <c r="M597" t="str">
        <f>"יח"</f>
        <v>יח</v>
      </c>
      <c r="N597">
        <v>1</v>
      </c>
      <c r="O597" t="str">
        <f>"יח"</f>
        <v>יח</v>
      </c>
      <c r="P597">
        <v>464.79</v>
      </c>
      <c r="Q597" t="str">
        <f>"$"</f>
        <v>$</v>
      </c>
      <c r="R597" t="str">
        <f>"הזמנה"</f>
        <v>הזמנה</v>
      </c>
      <c r="S597">
        <v>0</v>
      </c>
      <c r="T597">
        <v>464.79</v>
      </c>
      <c r="U597">
        <v>0</v>
      </c>
      <c r="V597">
        <v>464.79</v>
      </c>
      <c r="W597" t="str">
        <f>"$"</f>
        <v>$</v>
      </c>
      <c r="X597">
        <v>0</v>
      </c>
      <c r="Y597">
        <v>0</v>
      </c>
      <c r="Z597">
        <v>0</v>
      </c>
      <c r="AA597" t="str">
        <f>"Y"</f>
        <v>Y</v>
      </c>
      <c r="AB597" t="str">
        <f>"SO22000469"</f>
        <v>SO22000469</v>
      </c>
      <c r="AC597">
        <v>28</v>
      </c>
      <c r="AD597" s="1">
        <v>44915</v>
      </c>
      <c r="AE597" t="str">
        <f>"SH23000647"</f>
        <v>SH23000647</v>
      </c>
      <c r="AF597" t="str">
        <f>"משלוחים ללקוח"</f>
        <v>משלוחים ללקוח</v>
      </c>
      <c r="AG597" s="1">
        <v>45074</v>
      </c>
      <c r="AM597" t="str">
        <f>"10"</f>
        <v>10</v>
      </c>
      <c r="AN597" t="str">
        <f>"500000"</f>
        <v>500000</v>
      </c>
      <c r="AO597" t="str">
        <f>"הכנסות  מלקוחות"</f>
        <v>הכנסות  מלקוחות</v>
      </c>
      <c r="AQ597" t="str">
        <f>"040"</f>
        <v>040</v>
      </c>
      <c r="AR597">
        <v>0</v>
      </c>
      <c r="AS597">
        <v>0</v>
      </c>
      <c r="AT597">
        <v>3.7149999999999999</v>
      </c>
      <c r="AX597" t="str">
        <f>"E000374099"</f>
        <v>E000374099</v>
      </c>
      <c r="BD597" t="str">
        <f>"רחמים זרוק"</f>
        <v>רחמים זרוק</v>
      </c>
    </row>
    <row r="598" spans="1:56" x14ac:dyDescent="0.3">
      <c r="A598" s="1">
        <v>45077</v>
      </c>
      <c r="B598" t="str">
        <f>"SI236000703"</f>
        <v>SI236000703</v>
      </c>
      <c r="C598" t="str">
        <f>"PR22000904"</f>
        <v>PR22000904</v>
      </c>
      <c r="E598" t="str">
        <f>"Y"</f>
        <v>Y</v>
      </c>
      <c r="F598" t="str">
        <f>"חשבוניות מרכזות"</f>
        <v>חשבוניות מרכזות</v>
      </c>
      <c r="G598" t="str">
        <f>"700065"</f>
        <v>700065</v>
      </c>
      <c r="H598" t="str">
        <f>"אלתא מערכות בע""מ"</f>
        <v>אלתא מערכות בע"מ</v>
      </c>
      <c r="I598" t="str">
        <f>"15"</f>
        <v>15</v>
      </c>
      <c r="J598" t="str">
        <f>"OP-AR03485"</f>
        <v>OP-AR03485</v>
      </c>
      <c r="K598" t="str">
        <f>"1032F667-001    ETHERNET CABLE WB667 - LAB - EPU1 TO EPU"</f>
        <v>1032F667-001    ETHERNET CABLE WB667 - LAB - EPU1 TO EPU</v>
      </c>
      <c r="L598">
        <v>1</v>
      </c>
      <c r="M598" t="str">
        <f>"יח"</f>
        <v>יח</v>
      </c>
      <c r="N598">
        <v>1</v>
      </c>
      <c r="O598" t="str">
        <f>"יח"</f>
        <v>יח</v>
      </c>
      <c r="P598">
        <v>364.31</v>
      </c>
      <c r="Q598" t="str">
        <f>"$"</f>
        <v>$</v>
      </c>
      <c r="R598" t="str">
        <f>"הזמנה"</f>
        <v>הזמנה</v>
      </c>
      <c r="S598">
        <v>0</v>
      </c>
      <c r="T598">
        <v>364.31</v>
      </c>
      <c r="U598">
        <v>0</v>
      </c>
      <c r="V598">
        <v>364.31</v>
      </c>
      <c r="W598" t="str">
        <f>"$"</f>
        <v>$</v>
      </c>
      <c r="X598">
        <v>0</v>
      </c>
      <c r="Y598">
        <v>0</v>
      </c>
      <c r="Z598">
        <v>0</v>
      </c>
      <c r="AA598" t="str">
        <f>"Y"</f>
        <v>Y</v>
      </c>
      <c r="AB598" t="str">
        <f>"SO22000469"</f>
        <v>SO22000469</v>
      </c>
      <c r="AC598">
        <v>29</v>
      </c>
      <c r="AD598" s="1">
        <v>44915</v>
      </c>
      <c r="AE598" t="str">
        <f>"SH23000647"</f>
        <v>SH23000647</v>
      </c>
      <c r="AF598" t="str">
        <f>"משלוחים ללקוח"</f>
        <v>משלוחים ללקוח</v>
      </c>
      <c r="AG598" s="1">
        <v>45074</v>
      </c>
      <c r="AM598" t="str">
        <f>"10"</f>
        <v>10</v>
      </c>
      <c r="AN598" t="str">
        <f>"500000"</f>
        <v>500000</v>
      </c>
      <c r="AO598" t="str">
        <f>"הכנסות  מלקוחות"</f>
        <v>הכנסות  מלקוחות</v>
      </c>
      <c r="AQ598" t="str">
        <f>"040"</f>
        <v>040</v>
      </c>
      <c r="AR598">
        <v>0</v>
      </c>
      <c r="AS598">
        <v>0</v>
      </c>
      <c r="AT598">
        <v>3.7149999999999999</v>
      </c>
      <c r="AX598" t="str">
        <f>"E000374099"</f>
        <v>E000374099</v>
      </c>
      <c r="BD598" t="str">
        <f>"רחמים זרוק"</f>
        <v>רחמים זרוק</v>
      </c>
    </row>
    <row r="599" spans="1:56" x14ac:dyDescent="0.3">
      <c r="A599" s="1">
        <v>45077</v>
      </c>
      <c r="B599" t="str">
        <f>"SI236000703"</f>
        <v>SI236000703</v>
      </c>
      <c r="C599" t="str">
        <f>"PR22000904"</f>
        <v>PR22000904</v>
      </c>
      <c r="E599" t="str">
        <f>"Y"</f>
        <v>Y</v>
      </c>
      <c r="F599" t="str">
        <f>"חשבוניות מרכזות"</f>
        <v>חשבוניות מרכזות</v>
      </c>
      <c r="G599" t="str">
        <f>"700065"</f>
        <v>700065</v>
      </c>
      <c r="H599" t="str">
        <f>"אלתא מערכות בע""מ"</f>
        <v>אלתא מערכות בע"מ</v>
      </c>
      <c r="I599" t="str">
        <f>"15"</f>
        <v>15</v>
      </c>
      <c r="J599" t="str">
        <f>"OP-AR03488"</f>
        <v>OP-AR03488</v>
      </c>
      <c r="K599" t="str">
        <f>"1032F914-002    HARNESS W914 - A1-ACM TO HVPS J10"</f>
        <v>1032F914-002    HARNESS W914 - A1-ACM TO HVPS J10</v>
      </c>
      <c r="L599">
        <v>1</v>
      </c>
      <c r="M599" t="str">
        <f>"יח"</f>
        <v>יח</v>
      </c>
      <c r="N599">
        <v>1</v>
      </c>
      <c r="O599" t="str">
        <f>"יח"</f>
        <v>יח</v>
      </c>
      <c r="P599">
        <v>758.72</v>
      </c>
      <c r="Q599" t="str">
        <f>"$"</f>
        <v>$</v>
      </c>
      <c r="R599" t="str">
        <f>"הזמנה"</f>
        <v>הזמנה</v>
      </c>
      <c r="S599">
        <v>0</v>
      </c>
      <c r="T599">
        <v>758.72</v>
      </c>
      <c r="U599">
        <v>0</v>
      </c>
      <c r="V599">
        <v>758.72</v>
      </c>
      <c r="W599" t="str">
        <f>"$"</f>
        <v>$</v>
      </c>
      <c r="X599">
        <v>0</v>
      </c>
      <c r="Y599">
        <v>0</v>
      </c>
      <c r="Z599">
        <v>0</v>
      </c>
      <c r="AA599" t="str">
        <f>"Y"</f>
        <v>Y</v>
      </c>
      <c r="AB599" t="str">
        <f>"SO22000469"</f>
        <v>SO22000469</v>
      </c>
      <c r="AC599">
        <v>32</v>
      </c>
      <c r="AD599" s="1">
        <v>44915</v>
      </c>
      <c r="AE599" t="str">
        <f>"SH23000647"</f>
        <v>SH23000647</v>
      </c>
      <c r="AF599" t="str">
        <f>"משלוחים ללקוח"</f>
        <v>משלוחים ללקוח</v>
      </c>
      <c r="AG599" s="1">
        <v>45074</v>
      </c>
      <c r="AM599" t="str">
        <f>"10"</f>
        <v>10</v>
      </c>
      <c r="AN599" t="str">
        <f>"500000"</f>
        <v>500000</v>
      </c>
      <c r="AO599" t="str">
        <f>"הכנסות  מלקוחות"</f>
        <v>הכנסות  מלקוחות</v>
      </c>
      <c r="AQ599" t="str">
        <f>"040"</f>
        <v>040</v>
      </c>
      <c r="AR599">
        <v>0</v>
      </c>
      <c r="AS599">
        <v>0</v>
      </c>
      <c r="AT599">
        <v>3.7149999999999999</v>
      </c>
      <c r="AX599" t="str">
        <f>"E000374099"</f>
        <v>E000374099</v>
      </c>
      <c r="BD599" t="str">
        <f>"רחמים זרוק"</f>
        <v>רחמים זרוק</v>
      </c>
    </row>
    <row r="600" spans="1:56" x14ac:dyDescent="0.3">
      <c r="A600" s="1">
        <v>45077</v>
      </c>
      <c r="B600" t="str">
        <f>"SI236000703"</f>
        <v>SI236000703</v>
      </c>
      <c r="C600" t="str">
        <f>"PR22000904"</f>
        <v>PR22000904</v>
      </c>
      <c r="E600" t="str">
        <f>"Y"</f>
        <v>Y</v>
      </c>
      <c r="F600" t="str">
        <f>"חשבוניות מרכזות"</f>
        <v>חשבוניות מרכזות</v>
      </c>
      <c r="G600" t="str">
        <f>"700065"</f>
        <v>700065</v>
      </c>
      <c r="H600" t="str">
        <f>"אלתא מערכות בע""מ"</f>
        <v>אלתא מערכות בע"מ</v>
      </c>
      <c r="I600" t="str">
        <f>"15"</f>
        <v>15</v>
      </c>
      <c r="J600" t="str">
        <f>"OP-AR03489"</f>
        <v>OP-AR03489</v>
      </c>
      <c r="K600" t="str">
        <f>"1032F917-001    GROUND CABLE W917 - HVPS - TB1 TO GND"</f>
        <v>1032F917-001    GROUND CABLE W917 - HVPS - TB1 TO GND</v>
      </c>
      <c r="L600">
        <v>1</v>
      </c>
      <c r="M600" t="str">
        <f>"יח"</f>
        <v>יח</v>
      </c>
      <c r="N600">
        <v>1</v>
      </c>
      <c r="O600" t="str">
        <f>"יח"</f>
        <v>יח</v>
      </c>
      <c r="P600">
        <v>119.09</v>
      </c>
      <c r="Q600" t="str">
        <f>"$"</f>
        <v>$</v>
      </c>
      <c r="R600" t="str">
        <f>"הזמנה"</f>
        <v>הזמנה</v>
      </c>
      <c r="S600">
        <v>0</v>
      </c>
      <c r="T600">
        <v>119.09</v>
      </c>
      <c r="U600">
        <v>0</v>
      </c>
      <c r="V600">
        <v>119.09</v>
      </c>
      <c r="W600" t="str">
        <f>"$"</f>
        <v>$</v>
      </c>
      <c r="X600">
        <v>0</v>
      </c>
      <c r="Y600">
        <v>0</v>
      </c>
      <c r="Z600">
        <v>0</v>
      </c>
      <c r="AA600" t="str">
        <f>"Y"</f>
        <v>Y</v>
      </c>
      <c r="AB600" t="str">
        <f>"SO22000469"</f>
        <v>SO22000469</v>
      </c>
      <c r="AC600">
        <v>33</v>
      </c>
      <c r="AD600" s="1">
        <v>44915</v>
      </c>
      <c r="AE600" t="str">
        <f>"SH23000647"</f>
        <v>SH23000647</v>
      </c>
      <c r="AF600" t="str">
        <f>"משלוחים ללקוח"</f>
        <v>משלוחים ללקוח</v>
      </c>
      <c r="AG600" s="1">
        <v>45074</v>
      </c>
      <c r="AM600" t="str">
        <f>"10"</f>
        <v>10</v>
      </c>
      <c r="AN600" t="str">
        <f>"500000"</f>
        <v>500000</v>
      </c>
      <c r="AO600" t="str">
        <f>"הכנסות  מלקוחות"</f>
        <v>הכנסות  מלקוחות</v>
      </c>
      <c r="AQ600" t="str">
        <f>"040"</f>
        <v>040</v>
      </c>
      <c r="AR600">
        <v>0</v>
      </c>
      <c r="AS600">
        <v>0</v>
      </c>
      <c r="AT600">
        <v>3.7149999999999999</v>
      </c>
      <c r="AX600" t="str">
        <f>"E000374099"</f>
        <v>E000374099</v>
      </c>
      <c r="BD600" t="str">
        <f>"רחמים זרוק"</f>
        <v>רחמים זרוק</v>
      </c>
    </row>
    <row r="601" spans="1:56" x14ac:dyDescent="0.3">
      <c r="A601" s="1">
        <v>45077</v>
      </c>
      <c r="B601" t="str">
        <f>"SI236000703"</f>
        <v>SI236000703</v>
      </c>
      <c r="C601" t="str">
        <f>"PR22000904"</f>
        <v>PR22000904</v>
      </c>
      <c r="E601" t="str">
        <f>"Y"</f>
        <v>Y</v>
      </c>
      <c r="F601" t="str">
        <f>"חשבוניות מרכזות"</f>
        <v>חשבוניות מרכזות</v>
      </c>
      <c r="G601" t="str">
        <f>"700065"</f>
        <v>700065</v>
      </c>
      <c r="H601" t="str">
        <f>"אלתא מערכות בע""מ"</f>
        <v>אלתא מערכות בע"מ</v>
      </c>
      <c r="I601" t="str">
        <f>"15"</f>
        <v>15</v>
      </c>
      <c r="J601" t="str">
        <f>"OP-AR03490"</f>
        <v>OP-AR03490</v>
      </c>
      <c r="K601" t="str">
        <f>"1032F951-001    GROUND CABLE W951 - HVPS-2 TO GND"</f>
        <v>1032F951-001    GROUND CABLE W951 - HVPS-2 TO GND</v>
      </c>
      <c r="L601">
        <v>1</v>
      </c>
      <c r="M601" t="str">
        <f>"יח"</f>
        <v>יח</v>
      </c>
      <c r="N601">
        <v>1</v>
      </c>
      <c r="O601" t="str">
        <f>"יח"</f>
        <v>יח</v>
      </c>
      <c r="P601">
        <v>65.12</v>
      </c>
      <c r="Q601" t="str">
        <f>"$"</f>
        <v>$</v>
      </c>
      <c r="R601" t="str">
        <f>"הזמנה"</f>
        <v>הזמנה</v>
      </c>
      <c r="S601">
        <v>0</v>
      </c>
      <c r="T601">
        <v>65.12</v>
      </c>
      <c r="U601">
        <v>0</v>
      </c>
      <c r="V601">
        <v>65.12</v>
      </c>
      <c r="W601" t="str">
        <f>"$"</f>
        <v>$</v>
      </c>
      <c r="X601">
        <v>0</v>
      </c>
      <c r="Y601">
        <v>0</v>
      </c>
      <c r="Z601">
        <v>0</v>
      </c>
      <c r="AA601" t="str">
        <f>"Y"</f>
        <v>Y</v>
      </c>
      <c r="AB601" t="str">
        <f>"SO22000469"</f>
        <v>SO22000469</v>
      </c>
      <c r="AC601">
        <v>34</v>
      </c>
      <c r="AD601" s="1">
        <v>44915</v>
      </c>
      <c r="AE601" t="str">
        <f>"SH23000647"</f>
        <v>SH23000647</v>
      </c>
      <c r="AF601" t="str">
        <f>"משלוחים ללקוח"</f>
        <v>משלוחים ללקוח</v>
      </c>
      <c r="AG601" s="1">
        <v>45074</v>
      </c>
      <c r="AM601" t="str">
        <f>"10"</f>
        <v>10</v>
      </c>
      <c r="AN601" t="str">
        <f>"500000"</f>
        <v>500000</v>
      </c>
      <c r="AO601" t="str">
        <f>"הכנסות  מלקוחות"</f>
        <v>הכנסות  מלקוחות</v>
      </c>
      <c r="AQ601" t="str">
        <f>"040"</f>
        <v>040</v>
      </c>
      <c r="AR601">
        <v>0</v>
      </c>
      <c r="AS601">
        <v>0</v>
      </c>
      <c r="AT601">
        <v>3.7149999999999999</v>
      </c>
      <c r="AX601" t="str">
        <f>"E000374099"</f>
        <v>E000374099</v>
      </c>
      <c r="BD601" t="str">
        <f>"רחמים זרוק"</f>
        <v>רחמים זרוק</v>
      </c>
    </row>
    <row r="602" spans="1:56" x14ac:dyDescent="0.3">
      <c r="A602" s="1">
        <v>45077</v>
      </c>
      <c r="B602" t="str">
        <f>"SI236000703"</f>
        <v>SI236000703</v>
      </c>
      <c r="C602" t="str">
        <f>"PR22000904"</f>
        <v>PR22000904</v>
      </c>
      <c r="E602" t="str">
        <f>"Y"</f>
        <v>Y</v>
      </c>
      <c r="F602" t="str">
        <f>"חשבוניות מרכזות"</f>
        <v>חשבוניות מרכזות</v>
      </c>
      <c r="G602" t="str">
        <f>"700065"</f>
        <v>700065</v>
      </c>
      <c r="H602" t="str">
        <f>"אלתא מערכות בע""מ"</f>
        <v>אלתא מערכות בע"מ</v>
      </c>
      <c r="I602" t="str">
        <f>"15"</f>
        <v>15</v>
      </c>
      <c r="J602" t="str">
        <f>"OP-AR03492"</f>
        <v>OP-AR03492</v>
      </c>
      <c r="K602" t="str">
        <f>"1036C702-001    HARNESS WE002 - EPU1 - POWER PDU TO OTXU"</f>
        <v>1036C702-001    HARNESS WE002 - EPU1 - POWER PDU TO OTXU</v>
      </c>
      <c r="L602">
        <v>1</v>
      </c>
      <c r="M602" t="str">
        <f>"יח"</f>
        <v>יח</v>
      </c>
      <c r="N602">
        <v>1</v>
      </c>
      <c r="O602" t="str">
        <f>"יח"</f>
        <v>יח</v>
      </c>
      <c r="P602">
        <v>419.72</v>
      </c>
      <c r="Q602" t="str">
        <f>"$"</f>
        <v>$</v>
      </c>
      <c r="R602" t="str">
        <f>"הזמנה"</f>
        <v>הזמנה</v>
      </c>
      <c r="S602">
        <v>0</v>
      </c>
      <c r="T602">
        <v>419.72</v>
      </c>
      <c r="U602">
        <v>0</v>
      </c>
      <c r="V602">
        <v>419.72</v>
      </c>
      <c r="W602" t="str">
        <f>"$"</f>
        <v>$</v>
      </c>
      <c r="X602">
        <v>0</v>
      </c>
      <c r="Y602">
        <v>0</v>
      </c>
      <c r="Z602">
        <v>0</v>
      </c>
      <c r="AA602" t="str">
        <f>"Y"</f>
        <v>Y</v>
      </c>
      <c r="AB602" t="str">
        <f>"SO22000469"</f>
        <v>SO22000469</v>
      </c>
      <c r="AC602">
        <v>36</v>
      </c>
      <c r="AD602" s="1">
        <v>44915</v>
      </c>
      <c r="AE602" t="str">
        <f>"SH23000647"</f>
        <v>SH23000647</v>
      </c>
      <c r="AF602" t="str">
        <f>"משלוחים ללקוח"</f>
        <v>משלוחים ללקוח</v>
      </c>
      <c r="AG602" s="1">
        <v>45074</v>
      </c>
      <c r="AM602" t="str">
        <f>"10"</f>
        <v>10</v>
      </c>
      <c r="AN602" t="str">
        <f>"500000"</f>
        <v>500000</v>
      </c>
      <c r="AO602" t="str">
        <f>"הכנסות  מלקוחות"</f>
        <v>הכנסות  מלקוחות</v>
      </c>
      <c r="AQ602" t="str">
        <f>"040"</f>
        <v>040</v>
      </c>
      <c r="AR602">
        <v>0</v>
      </c>
      <c r="AS602">
        <v>0</v>
      </c>
      <c r="AT602">
        <v>3.7149999999999999</v>
      </c>
      <c r="AX602" t="str">
        <f>"E000374099"</f>
        <v>E000374099</v>
      </c>
      <c r="BD602" t="str">
        <f>"רחמים זרוק"</f>
        <v>רחמים זרוק</v>
      </c>
    </row>
    <row r="603" spans="1:56" x14ac:dyDescent="0.3">
      <c r="A603" s="1">
        <v>45077</v>
      </c>
      <c r="B603" t="str">
        <f>"SI236000703"</f>
        <v>SI236000703</v>
      </c>
      <c r="C603" t="str">
        <f>"PR22000904"</f>
        <v>PR22000904</v>
      </c>
      <c r="E603" t="str">
        <f>"Y"</f>
        <v>Y</v>
      </c>
      <c r="F603" t="str">
        <f>"חשבוניות מרכזות"</f>
        <v>חשבוניות מרכזות</v>
      </c>
      <c r="G603" t="str">
        <f>"700065"</f>
        <v>700065</v>
      </c>
      <c r="H603" t="str">
        <f>"אלתא מערכות בע""מ"</f>
        <v>אלתא מערכות בע"מ</v>
      </c>
      <c r="I603" t="str">
        <f>"15"</f>
        <v>15</v>
      </c>
      <c r="J603" t="str">
        <f>"OP-AR03496"</f>
        <v>OP-AR03496</v>
      </c>
      <c r="K603" t="str">
        <f>"1036C708-001    HARNESS WE008 - EPU1 - POWER PDU TO PSPU"</f>
        <v>1036C708-001    HARNESS WE008 - EPU1 - POWER PDU TO PSPU</v>
      </c>
      <c r="L603">
        <v>1</v>
      </c>
      <c r="M603" t="str">
        <f>"יח"</f>
        <v>יח</v>
      </c>
      <c r="N603">
        <v>1</v>
      </c>
      <c r="O603" t="str">
        <f>"יח"</f>
        <v>יח</v>
      </c>
      <c r="P603">
        <v>633.20000000000005</v>
      </c>
      <c r="Q603" t="str">
        <f>"$"</f>
        <v>$</v>
      </c>
      <c r="R603" t="str">
        <f>"הזמנה"</f>
        <v>הזמנה</v>
      </c>
      <c r="S603">
        <v>0</v>
      </c>
      <c r="T603">
        <v>633.20000000000005</v>
      </c>
      <c r="U603">
        <v>0</v>
      </c>
      <c r="V603">
        <v>633.20000000000005</v>
      </c>
      <c r="W603" t="str">
        <f>"$"</f>
        <v>$</v>
      </c>
      <c r="X603">
        <v>0</v>
      </c>
      <c r="Y603">
        <v>0</v>
      </c>
      <c r="Z603">
        <v>0</v>
      </c>
      <c r="AA603" t="str">
        <f>"Y"</f>
        <v>Y</v>
      </c>
      <c r="AB603" t="str">
        <f>"SO22000469"</f>
        <v>SO22000469</v>
      </c>
      <c r="AC603">
        <v>40</v>
      </c>
      <c r="AD603" s="1">
        <v>44915</v>
      </c>
      <c r="AE603" t="str">
        <f>"SH23000647"</f>
        <v>SH23000647</v>
      </c>
      <c r="AF603" t="str">
        <f>"משלוחים ללקוח"</f>
        <v>משלוחים ללקוח</v>
      </c>
      <c r="AG603" s="1">
        <v>45074</v>
      </c>
      <c r="AM603" t="str">
        <f>"10"</f>
        <v>10</v>
      </c>
      <c r="AN603" t="str">
        <f>"500000"</f>
        <v>500000</v>
      </c>
      <c r="AO603" t="str">
        <f>"הכנסות  מלקוחות"</f>
        <v>הכנסות  מלקוחות</v>
      </c>
      <c r="AQ603" t="str">
        <f>"040"</f>
        <v>040</v>
      </c>
      <c r="AR603">
        <v>0</v>
      </c>
      <c r="AS603">
        <v>0</v>
      </c>
      <c r="AT603">
        <v>3.7149999999999999</v>
      </c>
      <c r="AX603" t="str">
        <f>"E000374099"</f>
        <v>E000374099</v>
      </c>
      <c r="BD603" t="str">
        <f>"רחמים זרוק"</f>
        <v>רחמים זרוק</v>
      </c>
    </row>
    <row r="604" spans="1:56" x14ac:dyDescent="0.3">
      <c r="A604" s="1">
        <v>45077</v>
      </c>
      <c r="B604" t="str">
        <f>"SI236000703"</f>
        <v>SI236000703</v>
      </c>
      <c r="C604" t="str">
        <f>"PR22000904"</f>
        <v>PR22000904</v>
      </c>
      <c r="E604" t="str">
        <f>"Y"</f>
        <v>Y</v>
      </c>
      <c r="F604" t="str">
        <f>"חשבוניות מרכזות"</f>
        <v>חשבוניות מרכזות</v>
      </c>
      <c r="G604" t="str">
        <f>"700065"</f>
        <v>700065</v>
      </c>
      <c r="H604" t="str">
        <f>"אלתא מערכות בע""מ"</f>
        <v>אלתא מערכות בע"מ</v>
      </c>
      <c r="I604" t="str">
        <f>"15"</f>
        <v>15</v>
      </c>
      <c r="J604" t="str">
        <f>"OP-AR03497"</f>
        <v>OP-AR03497</v>
      </c>
      <c r="K604" t="str">
        <f>"1036C710-001    HARNESS WE010 - EPU1 - POWER PDU TO PSPU"</f>
        <v>1036C710-001    HARNESS WE010 - EPU1 - POWER PDU TO PSPU</v>
      </c>
      <c r="L604">
        <v>1</v>
      </c>
      <c r="M604" t="str">
        <f>"יח"</f>
        <v>יח</v>
      </c>
      <c r="N604">
        <v>1</v>
      </c>
      <c r="O604" t="str">
        <f>"יח"</f>
        <v>יח</v>
      </c>
      <c r="P604">
        <v>642.78</v>
      </c>
      <c r="Q604" t="str">
        <f>"$"</f>
        <v>$</v>
      </c>
      <c r="R604" t="str">
        <f>"הזמנה"</f>
        <v>הזמנה</v>
      </c>
      <c r="S604">
        <v>0</v>
      </c>
      <c r="T604">
        <v>642.78</v>
      </c>
      <c r="U604">
        <v>0</v>
      </c>
      <c r="V604">
        <v>642.78</v>
      </c>
      <c r="W604" t="str">
        <f>"$"</f>
        <v>$</v>
      </c>
      <c r="X604">
        <v>0</v>
      </c>
      <c r="Y604">
        <v>0</v>
      </c>
      <c r="Z604">
        <v>0</v>
      </c>
      <c r="AA604" t="str">
        <f>"Y"</f>
        <v>Y</v>
      </c>
      <c r="AB604" t="str">
        <f>"SO22000469"</f>
        <v>SO22000469</v>
      </c>
      <c r="AC604">
        <v>41</v>
      </c>
      <c r="AD604" s="1">
        <v>44915</v>
      </c>
      <c r="AE604" t="str">
        <f>"SH23000647"</f>
        <v>SH23000647</v>
      </c>
      <c r="AF604" t="str">
        <f>"משלוחים ללקוח"</f>
        <v>משלוחים ללקוח</v>
      </c>
      <c r="AG604" s="1">
        <v>45074</v>
      </c>
      <c r="AM604" t="str">
        <f>"10"</f>
        <v>10</v>
      </c>
      <c r="AN604" t="str">
        <f>"500000"</f>
        <v>500000</v>
      </c>
      <c r="AO604" t="str">
        <f>"הכנסות  מלקוחות"</f>
        <v>הכנסות  מלקוחות</v>
      </c>
      <c r="AQ604" t="str">
        <f>"040"</f>
        <v>040</v>
      </c>
      <c r="AR604">
        <v>0</v>
      </c>
      <c r="AS604">
        <v>0</v>
      </c>
      <c r="AT604">
        <v>3.7149999999999999</v>
      </c>
      <c r="AX604" t="str">
        <f>"E000374099"</f>
        <v>E000374099</v>
      </c>
      <c r="BD604" t="str">
        <f>"רחמים זרוק"</f>
        <v>רחמים זרוק</v>
      </c>
    </row>
    <row r="605" spans="1:56" x14ac:dyDescent="0.3">
      <c r="A605" s="1">
        <v>45077</v>
      </c>
      <c r="B605" t="str">
        <f>"SI236000703"</f>
        <v>SI236000703</v>
      </c>
      <c r="C605" t="str">
        <f>"PR22000904"</f>
        <v>PR22000904</v>
      </c>
      <c r="E605" t="str">
        <f>"Y"</f>
        <v>Y</v>
      </c>
      <c r="F605" t="str">
        <f>"חשבוניות מרכזות"</f>
        <v>חשבוניות מרכזות</v>
      </c>
      <c r="G605" t="str">
        <f>"700065"</f>
        <v>700065</v>
      </c>
      <c r="H605" t="str">
        <f>"אלתא מערכות בע""מ"</f>
        <v>אלתא מערכות בע"מ</v>
      </c>
      <c r="I605" t="str">
        <f>"15"</f>
        <v>15</v>
      </c>
      <c r="J605" t="str">
        <f>"OP-AR03498"</f>
        <v>OP-AR03498</v>
      </c>
      <c r="K605" t="str">
        <f>"1036C711-001    HARNESS WE011 - EPU1 - POWER PDU TO PSPU"</f>
        <v>1036C711-001    HARNESS WE011 - EPU1 - POWER PDU TO PSPU</v>
      </c>
      <c r="L605">
        <v>1</v>
      </c>
      <c r="M605" t="str">
        <f>"יח"</f>
        <v>יח</v>
      </c>
      <c r="N605">
        <v>1</v>
      </c>
      <c r="O605" t="str">
        <f>"יח"</f>
        <v>יח</v>
      </c>
      <c r="P605">
        <v>634.78</v>
      </c>
      <c r="Q605" t="str">
        <f>"$"</f>
        <v>$</v>
      </c>
      <c r="R605" t="str">
        <f>"הזמנה"</f>
        <v>הזמנה</v>
      </c>
      <c r="S605">
        <v>0</v>
      </c>
      <c r="T605">
        <v>634.78</v>
      </c>
      <c r="U605">
        <v>0</v>
      </c>
      <c r="V605">
        <v>634.78</v>
      </c>
      <c r="W605" t="str">
        <f>"$"</f>
        <v>$</v>
      </c>
      <c r="X605">
        <v>0</v>
      </c>
      <c r="Y605">
        <v>0</v>
      </c>
      <c r="Z605">
        <v>0</v>
      </c>
      <c r="AA605" t="str">
        <f>"Y"</f>
        <v>Y</v>
      </c>
      <c r="AB605" t="str">
        <f>"SO22000469"</f>
        <v>SO22000469</v>
      </c>
      <c r="AC605">
        <v>42</v>
      </c>
      <c r="AD605" s="1">
        <v>44915</v>
      </c>
      <c r="AE605" t="str">
        <f>"SH23000647"</f>
        <v>SH23000647</v>
      </c>
      <c r="AF605" t="str">
        <f>"משלוחים ללקוח"</f>
        <v>משלוחים ללקוח</v>
      </c>
      <c r="AG605" s="1">
        <v>45074</v>
      </c>
      <c r="AM605" t="str">
        <f>"10"</f>
        <v>10</v>
      </c>
      <c r="AN605" t="str">
        <f>"500000"</f>
        <v>500000</v>
      </c>
      <c r="AO605" t="str">
        <f>"הכנסות  מלקוחות"</f>
        <v>הכנסות  מלקוחות</v>
      </c>
      <c r="AQ605" t="str">
        <f>"040"</f>
        <v>040</v>
      </c>
      <c r="AR605">
        <v>0</v>
      </c>
      <c r="AS605">
        <v>0</v>
      </c>
      <c r="AT605">
        <v>3.7149999999999999</v>
      </c>
      <c r="AX605" t="str">
        <f>"E000374099"</f>
        <v>E000374099</v>
      </c>
      <c r="BD605" t="str">
        <f>"רחמים זרוק"</f>
        <v>רחמים זרוק</v>
      </c>
    </row>
    <row r="606" spans="1:56" x14ac:dyDescent="0.3">
      <c r="A606" s="1">
        <v>45077</v>
      </c>
      <c r="B606" t="str">
        <f>"SI236000703"</f>
        <v>SI236000703</v>
      </c>
      <c r="C606" t="str">
        <f>"PR22000904"</f>
        <v>PR22000904</v>
      </c>
      <c r="E606" t="str">
        <f>"Y"</f>
        <v>Y</v>
      </c>
      <c r="F606" t="str">
        <f>"חשבוניות מרכזות"</f>
        <v>חשבוניות מרכזות</v>
      </c>
      <c r="G606" t="str">
        <f>"700065"</f>
        <v>700065</v>
      </c>
      <c r="H606" t="str">
        <f>"אלתא מערכות בע""מ"</f>
        <v>אלתא מערכות בע"מ</v>
      </c>
      <c r="I606" t="str">
        <f>"15"</f>
        <v>15</v>
      </c>
      <c r="J606" t="str">
        <f>"OP-AR03504"</f>
        <v>OP-AR03504</v>
      </c>
      <c r="K606" t="str">
        <f>"1036C722-001    HARNESS WE022 - EPU1 - ETHERNET ETH TO P"</f>
        <v>1036C722-001    HARNESS WE022 - EPU1 - ETHERNET ETH TO P</v>
      </c>
      <c r="L606">
        <v>1</v>
      </c>
      <c r="M606" t="str">
        <f>"יח"</f>
        <v>יח</v>
      </c>
      <c r="N606">
        <v>1</v>
      </c>
      <c r="O606" t="str">
        <f>"יח"</f>
        <v>יח</v>
      </c>
      <c r="P606">
        <v>461.21</v>
      </c>
      <c r="Q606" t="str">
        <f>"$"</f>
        <v>$</v>
      </c>
      <c r="R606" t="str">
        <f>"הזמנה"</f>
        <v>הזמנה</v>
      </c>
      <c r="S606">
        <v>0</v>
      </c>
      <c r="T606">
        <v>461.21</v>
      </c>
      <c r="U606">
        <v>0</v>
      </c>
      <c r="V606">
        <v>461.21</v>
      </c>
      <c r="W606" t="str">
        <f>"$"</f>
        <v>$</v>
      </c>
      <c r="X606">
        <v>0</v>
      </c>
      <c r="Y606">
        <v>0</v>
      </c>
      <c r="Z606">
        <v>0</v>
      </c>
      <c r="AA606" t="str">
        <f>"Y"</f>
        <v>Y</v>
      </c>
      <c r="AB606" t="str">
        <f>"SO22000469"</f>
        <v>SO22000469</v>
      </c>
      <c r="AC606">
        <v>48</v>
      </c>
      <c r="AD606" s="1">
        <v>44915</v>
      </c>
      <c r="AE606" t="str">
        <f>"SH23000647"</f>
        <v>SH23000647</v>
      </c>
      <c r="AF606" t="str">
        <f>"משלוחים ללקוח"</f>
        <v>משלוחים ללקוח</v>
      </c>
      <c r="AG606" s="1">
        <v>45074</v>
      </c>
      <c r="AM606" t="str">
        <f>"10"</f>
        <v>10</v>
      </c>
      <c r="AN606" t="str">
        <f>"500000"</f>
        <v>500000</v>
      </c>
      <c r="AO606" t="str">
        <f>"הכנסות  מלקוחות"</f>
        <v>הכנסות  מלקוחות</v>
      </c>
      <c r="AQ606" t="str">
        <f>"040"</f>
        <v>040</v>
      </c>
      <c r="AR606">
        <v>0</v>
      </c>
      <c r="AS606">
        <v>0</v>
      </c>
      <c r="AT606">
        <v>3.7149999999999999</v>
      </c>
      <c r="AX606" t="str">
        <f>"E000374099"</f>
        <v>E000374099</v>
      </c>
      <c r="BD606" t="str">
        <f>"רחמים זרוק"</f>
        <v>רחמים זרוק</v>
      </c>
    </row>
    <row r="607" spans="1:56" x14ac:dyDescent="0.3">
      <c r="A607" s="1">
        <v>45077</v>
      </c>
      <c r="B607" t="str">
        <f>"SI236000703"</f>
        <v>SI236000703</v>
      </c>
      <c r="C607" t="str">
        <f>"PR22000904"</f>
        <v>PR22000904</v>
      </c>
      <c r="E607" t="str">
        <f>"Y"</f>
        <v>Y</v>
      </c>
      <c r="F607" t="str">
        <f>"חשבוניות מרכזות"</f>
        <v>חשבוניות מרכזות</v>
      </c>
      <c r="G607" t="str">
        <f>"700065"</f>
        <v>700065</v>
      </c>
      <c r="H607" t="str">
        <f>"אלתא מערכות בע""מ"</f>
        <v>אלתא מערכות בע"מ</v>
      </c>
      <c r="I607" t="str">
        <f>"15"</f>
        <v>15</v>
      </c>
      <c r="J607" t="str">
        <f>"OP-AR03515"</f>
        <v>OP-AR03515</v>
      </c>
      <c r="K607" t="str">
        <f>"1036C766-001    HARNESS WE066 - EPU1 - PSPU/RC"</f>
        <v>1036C766-001    HARNESS WE066 - EPU1 - PSPU/RC</v>
      </c>
      <c r="L607">
        <v>1</v>
      </c>
      <c r="M607" t="str">
        <f>"יח"</f>
        <v>יח</v>
      </c>
      <c r="N607">
        <v>1</v>
      </c>
      <c r="O607" t="str">
        <f>"יח"</f>
        <v>יח</v>
      </c>
      <c r="P607">
        <v>135.68</v>
      </c>
      <c r="Q607" t="str">
        <f>"$"</f>
        <v>$</v>
      </c>
      <c r="R607" t="str">
        <f>"הזמנה"</f>
        <v>הזמנה</v>
      </c>
      <c r="S607">
        <v>0</v>
      </c>
      <c r="T607">
        <v>135.68</v>
      </c>
      <c r="U607">
        <v>0</v>
      </c>
      <c r="V607">
        <v>135.68</v>
      </c>
      <c r="W607" t="str">
        <f>"$"</f>
        <v>$</v>
      </c>
      <c r="X607">
        <v>0</v>
      </c>
      <c r="Y607">
        <v>0</v>
      </c>
      <c r="Z607">
        <v>0</v>
      </c>
      <c r="AA607" t="str">
        <f>"Y"</f>
        <v>Y</v>
      </c>
      <c r="AB607" t="str">
        <f>"SO22000469"</f>
        <v>SO22000469</v>
      </c>
      <c r="AC607">
        <v>59</v>
      </c>
      <c r="AD607" s="1">
        <v>44915</v>
      </c>
      <c r="AE607" t="str">
        <f>"SH23000647"</f>
        <v>SH23000647</v>
      </c>
      <c r="AF607" t="str">
        <f>"משלוחים ללקוח"</f>
        <v>משלוחים ללקוח</v>
      </c>
      <c r="AG607" s="1">
        <v>45074</v>
      </c>
      <c r="AM607" t="str">
        <f>"10"</f>
        <v>10</v>
      </c>
      <c r="AN607" t="str">
        <f>"500000"</f>
        <v>500000</v>
      </c>
      <c r="AO607" t="str">
        <f>"הכנסות  מלקוחות"</f>
        <v>הכנסות  מלקוחות</v>
      </c>
      <c r="AQ607" t="str">
        <f>"040"</f>
        <v>040</v>
      </c>
      <c r="AR607">
        <v>0</v>
      </c>
      <c r="AS607">
        <v>0</v>
      </c>
      <c r="AT607">
        <v>3.7149999999999999</v>
      </c>
      <c r="AX607" t="str">
        <f>"E000374099"</f>
        <v>E000374099</v>
      </c>
      <c r="BD607" t="str">
        <f>"רחמים זרוק"</f>
        <v>רחמים זרוק</v>
      </c>
    </row>
    <row r="608" spans="1:56" x14ac:dyDescent="0.3">
      <c r="A608" s="1">
        <v>45077</v>
      </c>
      <c r="B608" t="str">
        <f>"SI236000703"</f>
        <v>SI236000703</v>
      </c>
      <c r="C608" t="str">
        <f>"PR22000904"</f>
        <v>PR22000904</v>
      </c>
      <c r="E608" t="str">
        <f>"Y"</f>
        <v>Y</v>
      </c>
      <c r="F608" t="str">
        <f>"חשבוניות מרכזות"</f>
        <v>חשבוניות מרכזות</v>
      </c>
      <c r="G608" t="str">
        <f>"700065"</f>
        <v>700065</v>
      </c>
      <c r="H608" t="str">
        <f>"אלתא מערכות בע""מ"</f>
        <v>אלתא מערכות בע"מ</v>
      </c>
      <c r="I608" t="str">
        <f>"15"</f>
        <v>15</v>
      </c>
      <c r="J608" t="str">
        <f>"OP-AR03473"</f>
        <v>OP-AR03473</v>
      </c>
      <c r="K608" t="str">
        <f>"1032F606-001    HARNESS WB606 - LAB - POWER1 TO HVPS RAC"</f>
        <v>1032F606-001    HARNESS WB606 - LAB - POWER1 TO HVPS RAC</v>
      </c>
      <c r="L608">
        <v>2</v>
      </c>
      <c r="M608" t="str">
        <f>"יח"</f>
        <v>יח</v>
      </c>
      <c r="N608">
        <v>2</v>
      </c>
      <c r="O608" t="str">
        <f>"יח"</f>
        <v>יח</v>
      </c>
      <c r="P608">
        <v>628.14</v>
      </c>
      <c r="Q608" t="str">
        <f>"$"</f>
        <v>$</v>
      </c>
      <c r="R608" t="str">
        <f>"הזמנה"</f>
        <v>הזמנה</v>
      </c>
      <c r="S608">
        <v>0</v>
      </c>
      <c r="T608" s="2">
        <v>1256.28</v>
      </c>
      <c r="U608">
        <v>0</v>
      </c>
      <c r="V608" s="2">
        <v>1256.28</v>
      </c>
      <c r="W608" t="str">
        <f>"$"</f>
        <v>$</v>
      </c>
      <c r="X608">
        <v>0</v>
      </c>
      <c r="Y608">
        <v>0</v>
      </c>
      <c r="Z608">
        <v>0</v>
      </c>
      <c r="AA608" t="str">
        <f>"Y"</f>
        <v>Y</v>
      </c>
      <c r="AB608" t="str">
        <f>"SO22000469"</f>
        <v>SO22000469</v>
      </c>
      <c r="AC608">
        <v>63</v>
      </c>
      <c r="AD608" s="1">
        <v>44915</v>
      </c>
      <c r="AE608" t="str">
        <f>"SH23000647"</f>
        <v>SH23000647</v>
      </c>
      <c r="AF608" t="str">
        <f>"משלוחים ללקוח"</f>
        <v>משלוחים ללקוח</v>
      </c>
      <c r="AG608" s="1">
        <v>45074</v>
      </c>
      <c r="AM608" t="str">
        <f>"10"</f>
        <v>10</v>
      </c>
      <c r="AN608" t="str">
        <f>"500000"</f>
        <v>500000</v>
      </c>
      <c r="AO608" t="str">
        <f>"הכנסות  מלקוחות"</f>
        <v>הכנסות  מלקוחות</v>
      </c>
      <c r="AQ608" t="str">
        <f>"040"</f>
        <v>040</v>
      </c>
      <c r="AR608">
        <v>0</v>
      </c>
      <c r="AS608">
        <v>0</v>
      </c>
      <c r="AT608">
        <v>3.7149999999999999</v>
      </c>
      <c r="AX608" t="str">
        <f>"E000374099"</f>
        <v>E000374099</v>
      </c>
      <c r="BD608" t="str">
        <f>"רחמים זרוק"</f>
        <v>רחמים זרוק</v>
      </c>
    </row>
    <row r="609" spans="1:56" x14ac:dyDescent="0.3">
      <c r="A609" s="1">
        <v>45077</v>
      </c>
      <c r="B609" t="str">
        <f>"SI236000702"</f>
        <v>SI236000702</v>
      </c>
      <c r="C609" t="str">
        <f>"PR22000551"</f>
        <v>PR22000551</v>
      </c>
      <c r="D609" t="str">
        <f>"PR22000551"</f>
        <v>PR22000551</v>
      </c>
      <c r="E609" t="str">
        <f>"Y"</f>
        <v>Y</v>
      </c>
      <c r="F609" t="str">
        <f>"חשבוניות מרכזות"</f>
        <v>חשבוניות מרכזות</v>
      </c>
      <c r="G609" t="str">
        <f>"700065"</f>
        <v>700065</v>
      </c>
      <c r="H609" t="str">
        <f>"אלתא מערכות בע""מ"</f>
        <v>אלתא מערכות בע"מ</v>
      </c>
      <c r="I609" t="str">
        <f>"15"</f>
        <v>15</v>
      </c>
      <c r="J609" t="str">
        <f>"OP-AR03244"</f>
        <v>OP-AR03244</v>
      </c>
      <c r="K609" t="str">
        <f>"1031T280-001    CABLE DISCRETE ASSY"</f>
        <v>1031T280-001    CABLE DISCRETE ASSY</v>
      </c>
      <c r="L609">
        <v>6</v>
      </c>
      <c r="M609" t="str">
        <f>"יח"</f>
        <v>יח</v>
      </c>
      <c r="N609">
        <v>6</v>
      </c>
      <c r="O609" t="str">
        <f>"יח"</f>
        <v>יח</v>
      </c>
      <c r="P609">
        <v>373.44</v>
      </c>
      <c r="Q609" t="str">
        <f>"$"</f>
        <v>$</v>
      </c>
      <c r="R609" t="str">
        <f>"הזמנה"</f>
        <v>הזמנה</v>
      </c>
      <c r="S609">
        <v>0</v>
      </c>
      <c r="T609" s="2">
        <v>2240.64</v>
      </c>
      <c r="U609">
        <v>0</v>
      </c>
      <c r="V609" s="2">
        <v>2240.64</v>
      </c>
      <c r="W609" t="str">
        <f>"$"</f>
        <v>$</v>
      </c>
      <c r="X609">
        <v>0</v>
      </c>
      <c r="Y609">
        <v>0</v>
      </c>
      <c r="Z609">
        <v>0</v>
      </c>
      <c r="AA609" t="str">
        <f>"Y"</f>
        <v>Y</v>
      </c>
      <c r="AB609" t="str">
        <f>"SO22000316"</f>
        <v>SO22000316</v>
      </c>
      <c r="AC609">
        <v>1</v>
      </c>
      <c r="AD609" s="1">
        <v>44782</v>
      </c>
      <c r="AE609" t="str">
        <f>"SH23000642"</f>
        <v>SH23000642</v>
      </c>
      <c r="AF609" t="str">
        <f>"משלוחים ללקוח"</f>
        <v>משלוחים ללקוח</v>
      </c>
      <c r="AG609" s="1">
        <v>45074</v>
      </c>
      <c r="AM609" t="str">
        <f>"10"</f>
        <v>10</v>
      </c>
      <c r="AN609" t="str">
        <f>"500000"</f>
        <v>500000</v>
      </c>
      <c r="AO609" t="str">
        <f>"הכנסות  מלקוחות"</f>
        <v>הכנסות  מלקוחות</v>
      </c>
      <c r="AQ609" t="str">
        <f>"040"</f>
        <v>040</v>
      </c>
      <c r="AR609">
        <v>0</v>
      </c>
      <c r="AS609">
        <v>0</v>
      </c>
      <c r="AT609">
        <v>3.7149999999999999</v>
      </c>
      <c r="AX609" t="str">
        <f>"E000369246"</f>
        <v>E000369246</v>
      </c>
      <c r="BD609" t="str">
        <f>"רחמים זרוק"</f>
        <v>רחמים זרוק</v>
      </c>
    </row>
    <row r="610" spans="1:56" x14ac:dyDescent="0.3">
      <c r="A610" s="1">
        <v>45077</v>
      </c>
      <c r="B610" t="str">
        <f>"SI236000702"</f>
        <v>SI236000702</v>
      </c>
      <c r="C610" t="str">
        <f>"PR22000551"</f>
        <v>PR22000551</v>
      </c>
      <c r="D610" t="str">
        <f>"PR22000551"</f>
        <v>PR22000551</v>
      </c>
      <c r="E610" t="str">
        <f>"Y"</f>
        <v>Y</v>
      </c>
      <c r="F610" t="str">
        <f>"חשבוניות מרכזות"</f>
        <v>חשבוניות מרכזות</v>
      </c>
      <c r="G610" t="str">
        <f>"700065"</f>
        <v>700065</v>
      </c>
      <c r="H610" t="str">
        <f>"אלתא מערכות בע""מ"</f>
        <v>אלתא מערכות בע"מ</v>
      </c>
      <c r="I610" t="str">
        <f>"15"</f>
        <v>15</v>
      </c>
      <c r="J610" t="str">
        <f>"OP-AR01823"</f>
        <v>OP-AR01823</v>
      </c>
      <c r="K610" t="str">
        <f>"1036H251-001 HARNESS WC251 - ETHERNET CABLE"</f>
        <v>1036H251-001 HARNESS WC251 - ETHERNET CABLE</v>
      </c>
      <c r="L610">
        <v>2</v>
      </c>
      <c r="M610" t="str">
        <f>"יח"</f>
        <v>יח</v>
      </c>
      <c r="N610">
        <v>2</v>
      </c>
      <c r="O610" t="str">
        <f>"יח"</f>
        <v>יח</v>
      </c>
      <c r="P610">
        <v>202.61</v>
      </c>
      <c r="Q610" t="str">
        <f>"$"</f>
        <v>$</v>
      </c>
      <c r="R610" t="str">
        <f>"הזמנה"</f>
        <v>הזמנה</v>
      </c>
      <c r="S610">
        <v>0</v>
      </c>
      <c r="T610">
        <v>405.22</v>
      </c>
      <c r="U610">
        <v>0</v>
      </c>
      <c r="V610">
        <v>405.22</v>
      </c>
      <c r="W610" t="str">
        <f>"$"</f>
        <v>$</v>
      </c>
      <c r="X610">
        <v>0</v>
      </c>
      <c r="Y610">
        <v>0</v>
      </c>
      <c r="Z610">
        <v>0</v>
      </c>
      <c r="AA610" t="str">
        <f>"Y"</f>
        <v>Y</v>
      </c>
      <c r="AB610" t="str">
        <f>"SO22000316"</f>
        <v>SO22000316</v>
      </c>
      <c r="AC610">
        <v>3</v>
      </c>
      <c r="AD610" s="1">
        <v>44782</v>
      </c>
      <c r="AE610" t="str">
        <f>"SH23000642"</f>
        <v>SH23000642</v>
      </c>
      <c r="AF610" t="str">
        <f>"משלוחים ללקוח"</f>
        <v>משלוחים ללקוח</v>
      </c>
      <c r="AG610" s="1">
        <v>45074</v>
      </c>
      <c r="AM610" t="str">
        <f>"10"</f>
        <v>10</v>
      </c>
      <c r="AN610" t="str">
        <f>"500000"</f>
        <v>500000</v>
      </c>
      <c r="AO610" t="str">
        <f>"הכנסות  מלקוחות"</f>
        <v>הכנסות  מלקוחות</v>
      </c>
      <c r="AQ610" t="str">
        <f>"040"</f>
        <v>040</v>
      </c>
      <c r="AR610">
        <v>0</v>
      </c>
      <c r="AS610">
        <v>0</v>
      </c>
      <c r="AT610">
        <v>3.7149999999999999</v>
      </c>
      <c r="AX610" t="str">
        <f>"E000369246"</f>
        <v>E000369246</v>
      </c>
      <c r="BD610" t="str">
        <f>"רחמים זרוק"</f>
        <v>רחמים זרוק</v>
      </c>
    </row>
    <row r="611" spans="1:56" x14ac:dyDescent="0.3">
      <c r="A611" s="1">
        <v>45077</v>
      </c>
      <c r="B611" t="str">
        <f>"SI236000702"</f>
        <v>SI236000702</v>
      </c>
      <c r="C611" t="str">
        <f>"PR22000551"</f>
        <v>PR22000551</v>
      </c>
      <c r="D611" t="str">
        <f>"PR22000551"</f>
        <v>PR22000551</v>
      </c>
      <c r="E611" t="str">
        <f>"Y"</f>
        <v>Y</v>
      </c>
      <c r="F611" t="str">
        <f>"חשבוניות מרכזות"</f>
        <v>חשבוניות מרכזות</v>
      </c>
      <c r="G611" t="str">
        <f>"700065"</f>
        <v>700065</v>
      </c>
      <c r="H611" t="str">
        <f>"אלתא מערכות בע""מ"</f>
        <v>אלתא מערכות בע"מ</v>
      </c>
      <c r="I611" t="str">
        <f>"15"</f>
        <v>15</v>
      </c>
      <c r="J611" t="str">
        <f>"OP-AR03253"</f>
        <v>OP-AR03253</v>
      </c>
      <c r="K611" t="str">
        <f>"1036H284-001    HARNESS WC284 - MB TO PS1"</f>
        <v>1036H284-001    HARNESS WC284 - MB TO PS1</v>
      </c>
      <c r="L611">
        <v>3</v>
      </c>
      <c r="M611" t="str">
        <f>"יח"</f>
        <v>יח</v>
      </c>
      <c r="N611">
        <v>3</v>
      </c>
      <c r="O611" t="str">
        <f>"יח"</f>
        <v>יח</v>
      </c>
      <c r="P611">
        <v>319.44</v>
      </c>
      <c r="Q611" t="str">
        <f>"$"</f>
        <v>$</v>
      </c>
      <c r="R611" t="str">
        <f>"הזמנה"</f>
        <v>הזמנה</v>
      </c>
      <c r="S611">
        <v>0</v>
      </c>
      <c r="T611">
        <v>958.32</v>
      </c>
      <c r="U611">
        <v>0</v>
      </c>
      <c r="V611">
        <v>958.32</v>
      </c>
      <c r="W611" t="str">
        <f>"$"</f>
        <v>$</v>
      </c>
      <c r="X611">
        <v>0</v>
      </c>
      <c r="Y611">
        <v>0</v>
      </c>
      <c r="Z611">
        <v>0</v>
      </c>
      <c r="AA611" t="str">
        <f>"Y"</f>
        <v>Y</v>
      </c>
      <c r="AB611" t="str">
        <f>"SO22000316"</f>
        <v>SO22000316</v>
      </c>
      <c r="AC611">
        <v>8</v>
      </c>
      <c r="AD611" s="1">
        <v>44782</v>
      </c>
      <c r="AE611" t="str">
        <f>"SH23000642"</f>
        <v>SH23000642</v>
      </c>
      <c r="AF611" t="str">
        <f>"משלוחים ללקוח"</f>
        <v>משלוחים ללקוח</v>
      </c>
      <c r="AG611" s="1">
        <v>45074</v>
      </c>
      <c r="AM611" t="str">
        <f>"10"</f>
        <v>10</v>
      </c>
      <c r="AN611" t="str">
        <f>"500000"</f>
        <v>500000</v>
      </c>
      <c r="AO611" t="str">
        <f>"הכנסות  מלקוחות"</f>
        <v>הכנסות  מלקוחות</v>
      </c>
      <c r="AQ611" t="str">
        <f>"040"</f>
        <v>040</v>
      </c>
      <c r="AR611">
        <v>0</v>
      </c>
      <c r="AS611">
        <v>0</v>
      </c>
      <c r="AT611">
        <v>3.7149999999999999</v>
      </c>
      <c r="AX611" t="str">
        <f>"E000369246"</f>
        <v>E000369246</v>
      </c>
      <c r="BD611" t="str">
        <f>"רחמים זרוק"</f>
        <v>רחמים זרוק</v>
      </c>
    </row>
    <row r="612" spans="1:56" x14ac:dyDescent="0.3">
      <c r="A612" s="1">
        <v>45077</v>
      </c>
      <c r="B612" t="str">
        <f>"SI236000702"</f>
        <v>SI236000702</v>
      </c>
      <c r="C612" t="str">
        <f>"PR22000551"</f>
        <v>PR22000551</v>
      </c>
      <c r="D612" t="str">
        <f>"PR22000551"</f>
        <v>PR22000551</v>
      </c>
      <c r="E612" t="str">
        <f>"Y"</f>
        <v>Y</v>
      </c>
      <c r="F612" t="str">
        <f>"חשבוניות מרכזות"</f>
        <v>חשבוניות מרכזות</v>
      </c>
      <c r="G612" t="str">
        <f>"700065"</f>
        <v>700065</v>
      </c>
      <c r="H612" t="str">
        <f>"אלתא מערכות בע""מ"</f>
        <v>אלתא מערכות בע"מ</v>
      </c>
      <c r="I612" t="str">
        <f>"15"</f>
        <v>15</v>
      </c>
      <c r="J612" t="str">
        <f>"OP-AR03254"</f>
        <v>OP-AR03254</v>
      </c>
      <c r="K612" t="str">
        <f>"1036H285-001    HARNESS WC285 - MB TO PS2"</f>
        <v>1036H285-001    HARNESS WC285 - MB TO PS2</v>
      </c>
      <c r="L612">
        <v>1</v>
      </c>
      <c r="M612" t="str">
        <f>"יח"</f>
        <v>יח</v>
      </c>
      <c r="N612">
        <v>1</v>
      </c>
      <c r="O612" t="str">
        <f>"יח"</f>
        <v>יח</v>
      </c>
      <c r="P612">
        <v>185.71</v>
      </c>
      <c r="Q612" t="str">
        <f>"$"</f>
        <v>$</v>
      </c>
      <c r="R612" t="str">
        <f>"הזמנה"</f>
        <v>הזמנה</v>
      </c>
      <c r="S612">
        <v>0</v>
      </c>
      <c r="T612">
        <v>185.71</v>
      </c>
      <c r="U612">
        <v>0</v>
      </c>
      <c r="V612">
        <v>185.71</v>
      </c>
      <c r="W612" t="str">
        <f>"$"</f>
        <v>$</v>
      </c>
      <c r="X612">
        <v>0</v>
      </c>
      <c r="Y612">
        <v>0</v>
      </c>
      <c r="Z612">
        <v>0</v>
      </c>
      <c r="AA612" t="str">
        <f>"Y"</f>
        <v>Y</v>
      </c>
      <c r="AB612" t="str">
        <f>"SO22000316"</f>
        <v>SO22000316</v>
      </c>
      <c r="AC612">
        <v>9</v>
      </c>
      <c r="AD612" s="1">
        <v>44782</v>
      </c>
      <c r="AE612" t="str">
        <f>"SH23000642"</f>
        <v>SH23000642</v>
      </c>
      <c r="AF612" t="str">
        <f>"משלוחים ללקוח"</f>
        <v>משלוחים ללקוח</v>
      </c>
      <c r="AG612" s="1">
        <v>45074</v>
      </c>
      <c r="AM612" t="str">
        <f>"10"</f>
        <v>10</v>
      </c>
      <c r="AN612" t="str">
        <f>"500000"</f>
        <v>500000</v>
      </c>
      <c r="AO612" t="str">
        <f>"הכנסות  מלקוחות"</f>
        <v>הכנסות  מלקוחות</v>
      </c>
      <c r="AQ612" t="str">
        <f>"040"</f>
        <v>040</v>
      </c>
      <c r="AR612">
        <v>0</v>
      </c>
      <c r="AS612">
        <v>0</v>
      </c>
      <c r="AT612">
        <v>3.7149999999999999</v>
      </c>
      <c r="AX612" t="str">
        <f>"E000369246"</f>
        <v>E000369246</v>
      </c>
      <c r="BD612" t="str">
        <f>"רחמים זרוק"</f>
        <v>רחמים זרוק</v>
      </c>
    </row>
    <row r="613" spans="1:56" x14ac:dyDescent="0.3">
      <c r="A613" s="1">
        <v>45077</v>
      </c>
      <c r="B613" t="str">
        <f>"SI236000701"</f>
        <v>SI236000701</v>
      </c>
      <c r="C613" t="str">
        <f>"PR22000671"</f>
        <v>PR22000671</v>
      </c>
      <c r="E613" t="str">
        <f>"Y"</f>
        <v>Y</v>
      </c>
      <c r="F613" t="str">
        <f>"חשבוניות מרכזות"</f>
        <v>חשבוניות מרכזות</v>
      </c>
      <c r="G613" t="str">
        <f>"700065"</f>
        <v>700065</v>
      </c>
      <c r="H613" t="str">
        <f>"אלתא מערכות בע""מ"</f>
        <v>אלתא מערכות בע"מ</v>
      </c>
      <c r="I613" t="str">
        <f>"15"</f>
        <v>15</v>
      </c>
      <c r="J613" t="str">
        <f>"OP-AR03360"</f>
        <v>OP-AR03360</v>
      </c>
      <c r="K613" t="str">
        <f>"1094U185-001    JTAG CABLE FOR ANTENNA"</f>
        <v>1094U185-001    JTAG CABLE FOR ANTENNA</v>
      </c>
      <c r="L613">
        <v>2</v>
      </c>
      <c r="M613" t="str">
        <f>"יח"</f>
        <v>יח</v>
      </c>
      <c r="N613">
        <v>2</v>
      </c>
      <c r="O613" t="str">
        <f>"יח"</f>
        <v>יח</v>
      </c>
      <c r="P613">
        <v>560.55999999999995</v>
      </c>
      <c r="Q613" t="str">
        <f>"$"</f>
        <v>$</v>
      </c>
      <c r="R613" t="str">
        <f>"הזמנה"</f>
        <v>הזמנה</v>
      </c>
      <c r="S613">
        <v>0</v>
      </c>
      <c r="T613" s="2">
        <v>1121.1199999999999</v>
      </c>
      <c r="U613">
        <v>0</v>
      </c>
      <c r="V613" s="2">
        <v>1121.1199999999999</v>
      </c>
      <c r="W613" t="str">
        <f>"$"</f>
        <v>$</v>
      </c>
      <c r="X613">
        <v>0</v>
      </c>
      <c r="Y613">
        <v>0</v>
      </c>
      <c r="Z613">
        <v>0</v>
      </c>
      <c r="AA613" t="str">
        <f>"Y"</f>
        <v>Y</v>
      </c>
      <c r="AB613" t="str">
        <f>"SO22000385"</f>
        <v>SO22000385</v>
      </c>
      <c r="AC613">
        <v>1</v>
      </c>
      <c r="AD613" s="1">
        <v>44860</v>
      </c>
      <c r="AE613" t="str">
        <f>"SH23000641"</f>
        <v>SH23000641</v>
      </c>
      <c r="AF613" t="str">
        <f>"משלוחים ללקוח"</f>
        <v>משלוחים ללקוח</v>
      </c>
      <c r="AG613" s="1">
        <v>45074</v>
      </c>
      <c r="AM613" t="str">
        <f>"10"</f>
        <v>10</v>
      </c>
      <c r="AN613" t="str">
        <f>"500000"</f>
        <v>500000</v>
      </c>
      <c r="AO613" t="str">
        <f>"הכנסות  מלקוחות"</f>
        <v>הכנסות  מלקוחות</v>
      </c>
      <c r="AQ613" t="str">
        <f>"040"</f>
        <v>040</v>
      </c>
      <c r="AR613">
        <v>0</v>
      </c>
      <c r="AS613">
        <v>0</v>
      </c>
      <c r="AT613">
        <v>3.7149999999999999</v>
      </c>
      <c r="AX613" t="str">
        <f>"E000374617"</f>
        <v>E000374617</v>
      </c>
      <c r="BD613" t="str">
        <f>"רחמים זרוק"</f>
        <v>רחמים זרוק</v>
      </c>
    </row>
    <row r="614" spans="1:56" x14ac:dyDescent="0.3">
      <c r="A614" s="1">
        <v>45077</v>
      </c>
      <c r="B614" t="str">
        <f>"SI236000701"</f>
        <v>SI236000701</v>
      </c>
      <c r="C614" t="str">
        <f>"PR22000671"</f>
        <v>PR22000671</v>
      </c>
      <c r="E614" t="str">
        <f>"Y"</f>
        <v>Y</v>
      </c>
      <c r="F614" t="str">
        <f>"חשבוניות מרכזות"</f>
        <v>חשבוניות מרכזות</v>
      </c>
      <c r="G614" t="str">
        <f>"700065"</f>
        <v>700065</v>
      </c>
      <c r="H614" t="str">
        <f>"אלתא מערכות בע""מ"</f>
        <v>אלתא מערכות בע"מ</v>
      </c>
      <c r="I614" t="str">
        <f>"15"</f>
        <v>15</v>
      </c>
      <c r="J614" t="str">
        <f>"OP-AR03363"</f>
        <v>OP-AR03363</v>
      </c>
      <c r="K614" t="str">
        <f>"2135B066-002    CABLE ASSY MRW103"</f>
        <v>2135B066-002    CABLE ASSY MRW103</v>
      </c>
      <c r="L614">
        <v>1</v>
      </c>
      <c r="M614" t="str">
        <f>"יח"</f>
        <v>יח</v>
      </c>
      <c r="N614">
        <v>1</v>
      </c>
      <c r="O614" t="str">
        <f>"יח"</f>
        <v>יח</v>
      </c>
      <c r="P614">
        <v>381.8</v>
      </c>
      <c r="Q614" t="str">
        <f>"$"</f>
        <v>$</v>
      </c>
      <c r="R614" t="str">
        <f>"הזמנה"</f>
        <v>הזמנה</v>
      </c>
      <c r="S614">
        <v>0</v>
      </c>
      <c r="T614">
        <v>381.8</v>
      </c>
      <c r="U614">
        <v>0</v>
      </c>
      <c r="V614">
        <v>381.8</v>
      </c>
      <c r="W614" t="str">
        <f>"$"</f>
        <v>$</v>
      </c>
      <c r="X614">
        <v>0</v>
      </c>
      <c r="Y614">
        <v>0</v>
      </c>
      <c r="Z614">
        <v>0</v>
      </c>
      <c r="AA614" t="str">
        <f>"Y"</f>
        <v>Y</v>
      </c>
      <c r="AB614" t="str">
        <f>"SO22000385"</f>
        <v>SO22000385</v>
      </c>
      <c r="AC614">
        <v>5</v>
      </c>
      <c r="AD614" s="1">
        <v>44860</v>
      </c>
      <c r="AE614" t="str">
        <f>"SH23000641"</f>
        <v>SH23000641</v>
      </c>
      <c r="AF614" t="str">
        <f>"משלוחים ללקוח"</f>
        <v>משלוחים ללקוח</v>
      </c>
      <c r="AG614" s="1">
        <v>45074</v>
      </c>
      <c r="AM614" t="str">
        <f>"10"</f>
        <v>10</v>
      </c>
      <c r="AN614" t="str">
        <f>"500000"</f>
        <v>500000</v>
      </c>
      <c r="AO614" t="str">
        <f>"הכנסות  מלקוחות"</f>
        <v>הכנסות  מלקוחות</v>
      </c>
      <c r="AQ614" t="str">
        <f>"040"</f>
        <v>040</v>
      </c>
      <c r="AR614">
        <v>0</v>
      </c>
      <c r="AS614">
        <v>0</v>
      </c>
      <c r="AT614">
        <v>3.7149999999999999</v>
      </c>
      <c r="AX614" t="str">
        <f>"E000374617"</f>
        <v>E000374617</v>
      </c>
      <c r="BD614" t="str">
        <f>"רחמים זרוק"</f>
        <v>רחמים זרוק</v>
      </c>
    </row>
    <row r="615" spans="1:56" x14ac:dyDescent="0.3">
      <c r="A615" s="1">
        <v>45077</v>
      </c>
      <c r="B615" t="str">
        <f>"SI236000700"</f>
        <v>SI236000700</v>
      </c>
      <c r="C615" t="str">
        <f>"PR22000813"</f>
        <v>PR22000813</v>
      </c>
      <c r="E615" t="str">
        <f>"Y"</f>
        <v>Y</v>
      </c>
      <c r="F615" t="str">
        <f>"חשבוניות מרכזות"</f>
        <v>חשבוניות מרכזות</v>
      </c>
      <c r="G615" t="str">
        <f>"700065"</f>
        <v>700065</v>
      </c>
      <c r="H615" t="str">
        <f>"אלתא מערכות בע""מ"</f>
        <v>אלתא מערכות בע"מ</v>
      </c>
      <c r="I615" t="str">
        <f>"15"</f>
        <v>15</v>
      </c>
      <c r="J615" t="str">
        <f>"OP-AR03390"</f>
        <v>OP-AR03390</v>
      </c>
      <c r="K615" t="str">
        <f>"6930C813-001    WX813 Rack1,Rack2 to Arsys,CU,Con box"</f>
        <v>6930C813-001    WX813 Rack1,Rack2 to Arsys,CU,Con box</v>
      </c>
      <c r="L615">
        <v>1</v>
      </c>
      <c r="M615" t="str">
        <f>"יח"</f>
        <v>יח</v>
      </c>
      <c r="N615">
        <v>1</v>
      </c>
      <c r="O615" t="str">
        <f>"יח"</f>
        <v>יח</v>
      </c>
      <c r="P615" s="2">
        <v>2457.73</v>
      </c>
      <c r="Q615" t="str">
        <f>"$"</f>
        <v>$</v>
      </c>
      <c r="R615" t="str">
        <f>"הזמנה"</f>
        <v>הזמנה</v>
      </c>
      <c r="S615">
        <v>0</v>
      </c>
      <c r="T615" s="2">
        <v>2457.73</v>
      </c>
      <c r="U615">
        <v>0</v>
      </c>
      <c r="V615" s="2">
        <v>2457.73</v>
      </c>
      <c r="W615" t="str">
        <f>"$"</f>
        <v>$</v>
      </c>
      <c r="X615">
        <v>0</v>
      </c>
      <c r="Y615">
        <v>0</v>
      </c>
      <c r="Z615">
        <v>0</v>
      </c>
      <c r="AA615" t="str">
        <f>"Y"</f>
        <v>Y</v>
      </c>
      <c r="AB615" t="str">
        <f>"SO22000426"</f>
        <v>SO22000426</v>
      </c>
      <c r="AC615">
        <v>1</v>
      </c>
      <c r="AD615" s="1">
        <v>44892</v>
      </c>
      <c r="AE615" t="str">
        <f>"SH23000640"</f>
        <v>SH23000640</v>
      </c>
      <c r="AF615" t="str">
        <f>"משלוחים ללקוח"</f>
        <v>משלוחים ללקוח</v>
      </c>
      <c r="AG615" s="1">
        <v>45074</v>
      </c>
      <c r="AM615" t="str">
        <f>"10"</f>
        <v>10</v>
      </c>
      <c r="AN615" t="str">
        <f>"500000"</f>
        <v>500000</v>
      </c>
      <c r="AO615" t="str">
        <f>"הכנסות  מלקוחות"</f>
        <v>הכנסות  מלקוחות</v>
      </c>
      <c r="AQ615" t="str">
        <f>"040"</f>
        <v>040</v>
      </c>
      <c r="AR615">
        <v>0</v>
      </c>
      <c r="AS615">
        <v>0</v>
      </c>
      <c r="AT615">
        <v>3.7149999999999999</v>
      </c>
      <c r="AX615" t="str">
        <f>"E000378275"</f>
        <v>E000378275</v>
      </c>
      <c r="BD615" t="str">
        <f>"רחמים זרוק"</f>
        <v>רחמים זרוק</v>
      </c>
    </row>
    <row r="616" spans="1:56" x14ac:dyDescent="0.3">
      <c r="A616" s="1">
        <v>45077</v>
      </c>
      <c r="B616" t="str">
        <f>"SI236000699"</f>
        <v>SI236000699</v>
      </c>
      <c r="C616" t="str">
        <f>"PR22000914"</f>
        <v>PR22000914</v>
      </c>
      <c r="E616" t="str">
        <f>"Y"</f>
        <v>Y</v>
      </c>
      <c r="F616" t="str">
        <f>"חשבוניות מרכזות"</f>
        <v>חשבוניות מרכזות</v>
      </c>
      <c r="G616" t="str">
        <f>"700065"</f>
        <v>700065</v>
      </c>
      <c r="H616" t="str">
        <f>"אלתא מערכות בע""מ"</f>
        <v>אלתא מערכות בע"מ</v>
      </c>
      <c r="I616" t="str">
        <f>"10"</f>
        <v>10</v>
      </c>
      <c r="J616" t="str">
        <f>"OP-AR03531"</f>
        <v>OP-AR03531</v>
      </c>
      <c r="K616" t="str">
        <f>"1040P165-001    CABLE ASSY W571 BATTERY BOX"</f>
        <v>1040P165-001    CABLE ASSY W571 BATTERY BOX</v>
      </c>
      <c r="L616">
        <v>3</v>
      </c>
      <c r="M616" t="str">
        <f>"יח"</f>
        <v>יח</v>
      </c>
      <c r="N616">
        <v>3</v>
      </c>
      <c r="O616" t="str">
        <f>"יח"</f>
        <v>יח</v>
      </c>
      <c r="P616">
        <v>510.23</v>
      </c>
      <c r="Q616" t="str">
        <f>"$"</f>
        <v>$</v>
      </c>
      <c r="R616" t="str">
        <f>"הזמנה"</f>
        <v>הזמנה</v>
      </c>
      <c r="S616">
        <v>0</v>
      </c>
      <c r="T616" s="2">
        <v>1530.69</v>
      </c>
      <c r="U616">
        <v>0</v>
      </c>
      <c r="V616" s="2">
        <v>1530.69</v>
      </c>
      <c r="W616" t="str">
        <f>"$"</f>
        <v>$</v>
      </c>
      <c r="X616">
        <v>0</v>
      </c>
      <c r="Y616">
        <v>0</v>
      </c>
      <c r="Z616">
        <v>0</v>
      </c>
      <c r="AA616" t="str">
        <f>"Y"</f>
        <v>Y</v>
      </c>
      <c r="AB616" t="str">
        <f>"SO22000473"</f>
        <v>SO22000473</v>
      </c>
      <c r="AC616">
        <v>2</v>
      </c>
      <c r="AD616" s="1">
        <v>44917</v>
      </c>
      <c r="AE616" t="str">
        <f>"SH23000639"</f>
        <v>SH23000639</v>
      </c>
      <c r="AF616" t="str">
        <f>"משלוחים ללקוח"</f>
        <v>משלוחים ללקוח</v>
      </c>
      <c r="AG616" s="1">
        <v>45074</v>
      </c>
      <c r="AM616" t="str">
        <f>"10"</f>
        <v>10</v>
      </c>
      <c r="AN616" t="str">
        <f>"500000"</f>
        <v>500000</v>
      </c>
      <c r="AO616" t="str">
        <f>"הכנסות  מלקוחות"</f>
        <v>הכנסות  מלקוחות</v>
      </c>
      <c r="AQ616" t="str">
        <f>"040"</f>
        <v>040</v>
      </c>
      <c r="AR616">
        <v>0</v>
      </c>
      <c r="AS616">
        <v>0</v>
      </c>
      <c r="AT616">
        <v>3.7149999999999999</v>
      </c>
      <c r="AX616" t="str">
        <f>"E000381186"</f>
        <v>E000381186</v>
      </c>
      <c r="BD616" t="str">
        <f>"רחמים זרוק"</f>
        <v>רחמים זרוק</v>
      </c>
    </row>
    <row r="617" spans="1:56" x14ac:dyDescent="0.3">
      <c r="A617" s="1">
        <v>45077</v>
      </c>
      <c r="B617" t="str">
        <f>"SI236000698"</f>
        <v>SI236000698</v>
      </c>
      <c r="C617" t="str">
        <f>"PR22000829"</f>
        <v>PR22000829</v>
      </c>
      <c r="E617" t="str">
        <f>"Y"</f>
        <v>Y</v>
      </c>
      <c r="F617" t="str">
        <f>"חשבוניות מרכזות"</f>
        <v>חשבוניות מרכזות</v>
      </c>
      <c r="G617" t="str">
        <f>"700065"</f>
        <v>700065</v>
      </c>
      <c r="H617" t="str">
        <f>"אלתא מערכות בע""מ"</f>
        <v>אלתא מערכות בע"מ</v>
      </c>
      <c r="I617" t="str">
        <f>"15"</f>
        <v>15</v>
      </c>
      <c r="J617" t="str">
        <f>"OP-AR03404"</f>
        <v>OP-AR03404</v>
      </c>
      <c r="K617" t="str">
        <f>"6605R231-001    W231 - ADAPTER BUNDLE FOR VELODYNE UP"</f>
        <v>6605R231-001    W231 - ADAPTER BUNDLE FOR VELODYNE UP</v>
      </c>
      <c r="L617">
        <v>1</v>
      </c>
      <c r="M617" t="str">
        <f>"יח"</f>
        <v>יח</v>
      </c>
      <c r="N617">
        <v>1</v>
      </c>
      <c r="O617" t="str">
        <f>"יח"</f>
        <v>יח</v>
      </c>
      <c r="P617">
        <v>392.05</v>
      </c>
      <c r="Q617" t="str">
        <f>"$"</f>
        <v>$</v>
      </c>
      <c r="R617" t="str">
        <f>"הזמנה"</f>
        <v>הזמנה</v>
      </c>
      <c r="S617">
        <v>0</v>
      </c>
      <c r="T617">
        <v>392.05</v>
      </c>
      <c r="U617">
        <v>0</v>
      </c>
      <c r="V617">
        <v>392.05</v>
      </c>
      <c r="W617" t="str">
        <f>"$"</f>
        <v>$</v>
      </c>
      <c r="X617">
        <v>0</v>
      </c>
      <c r="Y617">
        <v>0</v>
      </c>
      <c r="Z617">
        <v>0</v>
      </c>
      <c r="AA617" t="str">
        <f>"Y"</f>
        <v>Y</v>
      </c>
      <c r="AB617" t="str">
        <f>"SO22000423"</f>
        <v>SO22000423</v>
      </c>
      <c r="AC617">
        <v>3</v>
      </c>
      <c r="AD617" s="1">
        <v>44892</v>
      </c>
      <c r="AE617" t="str">
        <f>"SH23000638"</f>
        <v>SH23000638</v>
      </c>
      <c r="AF617" t="str">
        <f>"משלוחים ללקוח"</f>
        <v>משלוחים ללקוח</v>
      </c>
      <c r="AG617" s="1">
        <v>45074</v>
      </c>
      <c r="AM617" t="str">
        <f>"10"</f>
        <v>10</v>
      </c>
      <c r="AN617" t="str">
        <f>"500000"</f>
        <v>500000</v>
      </c>
      <c r="AO617" t="str">
        <f>"הכנסות  מלקוחות"</f>
        <v>הכנסות  מלקוחות</v>
      </c>
      <c r="AQ617" t="str">
        <f>"040"</f>
        <v>040</v>
      </c>
      <c r="AR617">
        <v>0</v>
      </c>
      <c r="AS617">
        <v>0</v>
      </c>
      <c r="AT617">
        <v>3.7149999999999999</v>
      </c>
      <c r="AX617" t="str">
        <f>"E000378271"</f>
        <v>E000378271</v>
      </c>
      <c r="BD617" t="str">
        <f>"רחמים זרוק"</f>
        <v>רחמים זרוק</v>
      </c>
    </row>
    <row r="618" spans="1:56" x14ac:dyDescent="0.3">
      <c r="A618" s="1">
        <v>45077</v>
      </c>
      <c r="B618" t="str">
        <f>"SI236000698"</f>
        <v>SI236000698</v>
      </c>
      <c r="C618" t="str">
        <f>"PR22000829"</f>
        <v>PR22000829</v>
      </c>
      <c r="E618" t="str">
        <f>"Y"</f>
        <v>Y</v>
      </c>
      <c r="F618" t="str">
        <f>"חשבוניות מרכזות"</f>
        <v>חשבוניות מרכזות</v>
      </c>
      <c r="G618" t="str">
        <f>"700065"</f>
        <v>700065</v>
      </c>
      <c r="H618" t="str">
        <f>"אלתא מערכות בע""מ"</f>
        <v>אלתא מערכות בע"מ</v>
      </c>
      <c r="I618" t="str">
        <f>"15"</f>
        <v>15</v>
      </c>
      <c r="J618" t="str">
        <f>"OP-AR03411"</f>
        <v>OP-AR03411</v>
      </c>
      <c r="K618" t="str">
        <f>"6660R261-001    W261 - MASTER ADSU - MASTER MSH EXTEDER"</f>
        <v>6660R261-001    W261 - MASTER ADSU - MASTER MSH EXTEDER</v>
      </c>
      <c r="L618">
        <v>4</v>
      </c>
      <c r="M618" t="str">
        <f>"יח"</f>
        <v>יח</v>
      </c>
      <c r="N618">
        <v>4</v>
      </c>
      <c r="O618" t="str">
        <f>"יח"</f>
        <v>יח</v>
      </c>
      <c r="P618">
        <v>636.37</v>
      </c>
      <c r="Q618" t="str">
        <f>"$"</f>
        <v>$</v>
      </c>
      <c r="R618" t="str">
        <f>"הזמנה"</f>
        <v>הזמנה</v>
      </c>
      <c r="S618">
        <v>0</v>
      </c>
      <c r="T618" s="2">
        <v>2545.48</v>
      </c>
      <c r="U618">
        <v>0</v>
      </c>
      <c r="V618" s="2">
        <v>2545.48</v>
      </c>
      <c r="W618" t="str">
        <f>"$"</f>
        <v>$</v>
      </c>
      <c r="X618">
        <v>0</v>
      </c>
      <c r="Y618">
        <v>0</v>
      </c>
      <c r="Z618">
        <v>0</v>
      </c>
      <c r="AA618" t="str">
        <f>"Y"</f>
        <v>Y</v>
      </c>
      <c r="AB618" t="str">
        <f>"SO22000423"</f>
        <v>SO22000423</v>
      </c>
      <c r="AC618">
        <v>10</v>
      </c>
      <c r="AD618" s="1">
        <v>44892</v>
      </c>
      <c r="AE618" t="str">
        <f>"SH23000638"</f>
        <v>SH23000638</v>
      </c>
      <c r="AF618" t="str">
        <f>"משלוחים ללקוח"</f>
        <v>משלוחים ללקוח</v>
      </c>
      <c r="AG618" s="1">
        <v>45074</v>
      </c>
      <c r="AM618" t="str">
        <f>"10"</f>
        <v>10</v>
      </c>
      <c r="AN618" t="str">
        <f>"500000"</f>
        <v>500000</v>
      </c>
      <c r="AO618" t="str">
        <f>"הכנסות  מלקוחות"</f>
        <v>הכנסות  מלקוחות</v>
      </c>
      <c r="AQ618" t="str">
        <f>"040"</f>
        <v>040</v>
      </c>
      <c r="AR618">
        <v>0</v>
      </c>
      <c r="AS618">
        <v>0</v>
      </c>
      <c r="AT618">
        <v>3.7149999999999999</v>
      </c>
      <c r="AX618" t="str">
        <f>"E000378271"</f>
        <v>E000378271</v>
      </c>
      <c r="BD618" t="str">
        <f>"רחמים זרוק"</f>
        <v>רחמים זרוק</v>
      </c>
    </row>
    <row r="619" spans="1:56" x14ac:dyDescent="0.3">
      <c r="A619" s="1">
        <v>45077</v>
      </c>
      <c r="B619" t="str">
        <f>"SI236000697"</f>
        <v>SI236000697</v>
      </c>
      <c r="C619" t="str">
        <f>"PR22000828"</f>
        <v>PR22000828</v>
      </c>
      <c r="E619" t="str">
        <f>"Y"</f>
        <v>Y</v>
      </c>
      <c r="F619" t="str">
        <f>"חשבוניות מרכזות"</f>
        <v>חשבוניות מרכזות</v>
      </c>
      <c r="G619" t="str">
        <f>"700065"</f>
        <v>700065</v>
      </c>
      <c r="H619" t="str">
        <f>"אלתא מערכות בע""מ"</f>
        <v>אלתא מערכות בע"מ</v>
      </c>
      <c r="I619" t="str">
        <f>"15"</f>
        <v>15</v>
      </c>
      <c r="J619" t="str">
        <f>"OP-AR03415"</f>
        <v>OP-AR03415</v>
      </c>
      <c r="K619" t="str">
        <f>"2219B552-001    AURA ELECTRONIC LOAD CABLE"</f>
        <v>2219B552-001    AURA ELECTRONIC LOAD CABLE</v>
      </c>
      <c r="L619">
        <v>1</v>
      </c>
      <c r="M619" t="str">
        <f>"יח"</f>
        <v>יח</v>
      </c>
      <c r="N619">
        <v>1</v>
      </c>
      <c r="O619" t="str">
        <f>"יח"</f>
        <v>יח</v>
      </c>
      <c r="P619">
        <v>315.70999999999998</v>
      </c>
      <c r="Q619" t="str">
        <f>"$"</f>
        <v>$</v>
      </c>
      <c r="R619" t="str">
        <f>"הזמנה"</f>
        <v>הזמנה</v>
      </c>
      <c r="S619">
        <v>0</v>
      </c>
      <c r="T619">
        <v>315.70999999999998</v>
      </c>
      <c r="U619">
        <v>0</v>
      </c>
      <c r="V619">
        <v>315.70999999999998</v>
      </c>
      <c r="W619" t="str">
        <f>"$"</f>
        <v>$</v>
      </c>
      <c r="X619">
        <v>0</v>
      </c>
      <c r="Y619">
        <v>0</v>
      </c>
      <c r="Z619">
        <v>0</v>
      </c>
      <c r="AA619" t="str">
        <f>"Y"</f>
        <v>Y</v>
      </c>
      <c r="AB619" t="str">
        <f>"SO22000421"</f>
        <v>SO22000421</v>
      </c>
      <c r="AC619">
        <v>2</v>
      </c>
      <c r="AD619" s="1">
        <v>44892</v>
      </c>
      <c r="AE619" t="str">
        <f>"SH23000636"</f>
        <v>SH23000636</v>
      </c>
      <c r="AF619" t="str">
        <f>"משלוחים ללקוח"</f>
        <v>משלוחים ללקוח</v>
      </c>
      <c r="AG619" s="1">
        <v>45074</v>
      </c>
      <c r="AM619" t="str">
        <f>"10"</f>
        <v>10</v>
      </c>
      <c r="AN619" t="str">
        <f>"500000"</f>
        <v>500000</v>
      </c>
      <c r="AO619" t="str">
        <f>"הכנסות  מלקוחות"</f>
        <v>הכנסות  מלקוחות</v>
      </c>
      <c r="AQ619" t="str">
        <f>"040"</f>
        <v>040</v>
      </c>
      <c r="AR619">
        <v>0</v>
      </c>
      <c r="AS619">
        <v>0</v>
      </c>
      <c r="AT619">
        <v>3.7149999999999999</v>
      </c>
      <c r="AX619" t="str">
        <f>"E000378946"</f>
        <v>E000378946</v>
      </c>
      <c r="BD619" t="str">
        <f>"רחמים זרוק"</f>
        <v>רחמים זרוק</v>
      </c>
    </row>
    <row r="620" spans="1:56" x14ac:dyDescent="0.3">
      <c r="A620" s="1">
        <v>45077</v>
      </c>
      <c r="B620" t="str">
        <f>"SI236000696"</f>
        <v>SI236000696</v>
      </c>
      <c r="C620" t="str">
        <f>"PR22000577"</f>
        <v>PR22000577</v>
      </c>
      <c r="E620" t="str">
        <f>"Y"</f>
        <v>Y</v>
      </c>
      <c r="F620" t="str">
        <f>"חשבוניות מרכזות"</f>
        <v>חשבוניות מרכזות</v>
      </c>
      <c r="G620" t="str">
        <f>"700065"</f>
        <v>700065</v>
      </c>
      <c r="H620" t="str">
        <f>"אלתא מערכות בע""מ"</f>
        <v>אלתא מערכות בע"מ</v>
      </c>
      <c r="I620" t="str">
        <f>"15"</f>
        <v>15</v>
      </c>
      <c r="J620" t="str">
        <f>"OP-AR03269"</f>
        <v>OP-AR03269</v>
      </c>
      <c r="K620" t="str">
        <f>"1035C111-001   HARNESS 1W011 - POWER and STATUS FROM FI"</f>
        <v>1035C111-001   HARNESS 1W011 - POWER and STATUS FROM FI</v>
      </c>
      <c r="L620">
        <v>2</v>
      </c>
      <c r="M620" t="str">
        <f>"יח"</f>
        <v>יח</v>
      </c>
      <c r="N620">
        <v>2</v>
      </c>
      <c r="O620" t="str">
        <f>"יח"</f>
        <v>יח</v>
      </c>
      <c r="P620" s="2">
        <v>1240.32</v>
      </c>
      <c r="Q620" t="str">
        <f>"$"</f>
        <v>$</v>
      </c>
      <c r="R620" t="str">
        <f>"הזמנה"</f>
        <v>הזמנה</v>
      </c>
      <c r="S620">
        <v>0</v>
      </c>
      <c r="T620" s="2">
        <v>2480.64</v>
      </c>
      <c r="U620">
        <v>0</v>
      </c>
      <c r="V620" s="2">
        <v>2480.64</v>
      </c>
      <c r="W620" t="str">
        <f>"$"</f>
        <v>$</v>
      </c>
      <c r="X620">
        <v>0</v>
      </c>
      <c r="Y620">
        <v>0</v>
      </c>
      <c r="Z620">
        <v>0</v>
      </c>
      <c r="AA620" t="str">
        <f>"Y"</f>
        <v>Y</v>
      </c>
      <c r="AB620" t="str">
        <f>"SO22000333"</f>
        <v>SO22000333</v>
      </c>
      <c r="AC620">
        <v>3</v>
      </c>
      <c r="AD620" s="1">
        <v>44789</v>
      </c>
      <c r="AE620" t="str">
        <f>"SH23000635"</f>
        <v>SH23000635</v>
      </c>
      <c r="AF620" t="str">
        <f>"משלוחים ללקוח"</f>
        <v>משלוחים ללקוח</v>
      </c>
      <c r="AG620" s="1">
        <v>45074</v>
      </c>
      <c r="AM620" t="str">
        <f>"10"</f>
        <v>10</v>
      </c>
      <c r="AN620" t="str">
        <f>"500000"</f>
        <v>500000</v>
      </c>
      <c r="AO620" t="str">
        <f>"הכנסות  מלקוחות"</f>
        <v>הכנסות  מלקוחות</v>
      </c>
      <c r="AQ620" t="str">
        <f>"040"</f>
        <v>040</v>
      </c>
      <c r="AR620">
        <v>0</v>
      </c>
      <c r="AS620">
        <v>0</v>
      </c>
      <c r="AT620">
        <v>3.7149999999999999</v>
      </c>
      <c r="AX620" t="str">
        <f>"E000372158"</f>
        <v>E000372158</v>
      </c>
      <c r="BD620" t="str">
        <f>"רחמים זרוק"</f>
        <v>רחמים זרוק</v>
      </c>
    </row>
    <row r="621" spans="1:56" x14ac:dyDescent="0.3">
      <c r="A621" s="1">
        <v>45077</v>
      </c>
      <c r="B621" t="str">
        <f>"SI236000695"</f>
        <v>SI236000695</v>
      </c>
      <c r="C621" t="str">
        <f>"PR22000881"</f>
        <v>PR22000881</v>
      </c>
      <c r="D621" t="str">
        <f>"PR22000881"</f>
        <v>PR22000881</v>
      </c>
      <c r="E621" t="str">
        <f>"Y"</f>
        <v>Y</v>
      </c>
      <c r="F621" t="str">
        <f>"חשבוניות מרכזות"</f>
        <v>חשבוניות מרכזות</v>
      </c>
      <c r="G621" t="str">
        <f>"700065"</f>
        <v>700065</v>
      </c>
      <c r="H621" t="str">
        <f>"אלתא מערכות בע""מ"</f>
        <v>אלתא מערכות בע"מ</v>
      </c>
      <c r="I621" t="str">
        <f>"10"</f>
        <v>10</v>
      </c>
      <c r="J621" t="str">
        <f>"OP-AR00467"</f>
        <v>OP-AR00467</v>
      </c>
      <c r="K621" t="str">
        <f>"AC PCU CONTROL BOX"</f>
        <v>AC PCU CONTROL BOX</v>
      </c>
      <c r="L621">
        <v>2</v>
      </c>
      <c r="M621" t="str">
        <f>"יח"</f>
        <v>יח</v>
      </c>
      <c r="N621">
        <v>2</v>
      </c>
      <c r="O621" t="str">
        <f>"יח"</f>
        <v>יח</v>
      </c>
      <c r="P621" s="2">
        <v>4250</v>
      </c>
      <c r="Q621" t="str">
        <f>"$"</f>
        <v>$</v>
      </c>
      <c r="R621" t="str">
        <f>"הזמנה"</f>
        <v>הזמנה</v>
      </c>
      <c r="S621">
        <v>0</v>
      </c>
      <c r="T621" s="2">
        <v>8500</v>
      </c>
      <c r="U621">
        <v>0</v>
      </c>
      <c r="V621" s="2">
        <v>8500</v>
      </c>
      <c r="W621" t="str">
        <f>"$"</f>
        <v>$</v>
      </c>
      <c r="X621">
        <v>0</v>
      </c>
      <c r="Y621">
        <v>0</v>
      </c>
      <c r="Z621">
        <v>0</v>
      </c>
      <c r="AA621" t="str">
        <f>"Y"</f>
        <v>Y</v>
      </c>
      <c r="AB621" t="str">
        <f>"SO22000491"</f>
        <v>SO22000491</v>
      </c>
      <c r="AC621">
        <v>1</v>
      </c>
      <c r="AD621" s="1">
        <v>44922</v>
      </c>
      <c r="AE621" t="str">
        <f>"SH23000605"</f>
        <v>SH23000605</v>
      </c>
      <c r="AF621" t="str">
        <f>"משלוחים ללקוח"</f>
        <v>משלוחים ללקוח</v>
      </c>
      <c r="AG621" s="1">
        <v>45068</v>
      </c>
      <c r="AM621" t="str">
        <f>"10"</f>
        <v>10</v>
      </c>
      <c r="AN621" t="str">
        <f>"500000"</f>
        <v>500000</v>
      </c>
      <c r="AO621" t="str">
        <f>"הכנסות  מלקוחות"</f>
        <v>הכנסות  מלקוחות</v>
      </c>
      <c r="AQ621" t="str">
        <f>"007"</f>
        <v>007</v>
      </c>
      <c r="AR621">
        <v>0</v>
      </c>
      <c r="AS621">
        <v>0</v>
      </c>
      <c r="AT621">
        <v>3.7149999999999999</v>
      </c>
      <c r="AX621" t="str">
        <f>"E000381300"</f>
        <v>E000381300</v>
      </c>
      <c r="BD621" t="str">
        <f>"רוני דידי"</f>
        <v>רוני דידי</v>
      </c>
    </row>
    <row r="622" spans="1:56" x14ac:dyDescent="0.3">
      <c r="A622" s="1">
        <v>45077</v>
      </c>
      <c r="B622" t="str">
        <f>"SI236000694"</f>
        <v>SI236000694</v>
      </c>
      <c r="C622" t="str">
        <f>"PR22000881"</f>
        <v>PR22000881</v>
      </c>
      <c r="E622" t="str">
        <f>"Y"</f>
        <v>Y</v>
      </c>
      <c r="F622" t="str">
        <f>"חשבוניות מרכזות"</f>
        <v>חשבוניות מרכזות</v>
      </c>
      <c r="G622" t="str">
        <f>"700065"</f>
        <v>700065</v>
      </c>
      <c r="H622" t="str">
        <f>"אלתא מערכות בע""מ"</f>
        <v>אלתא מערכות בע"מ</v>
      </c>
      <c r="I622" t="str">
        <f>"10"</f>
        <v>10</v>
      </c>
      <c r="J622" t="str">
        <f>"OP-AR00467"</f>
        <v>OP-AR00467</v>
      </c>
      <c r="K622" t="str">
        <f>"AC PCU CONTROL BOX"</f>
        <v>AC PCU CONTROL BOX</v>
      </c>
      <c r="L622">
        <v>2</v>
      </c>
      <c r="M622" t="str">
        <f>"יח"</f>
        <v>יח</v>
      </c>
      <c r="N622">
        <v>2</v>
      </c>
      <c r="O622" t="str">
        <f>"יח"</f>
        <v>יח</v>
      </c>
      <c r="P622" s="2">
        <v>4250</v>
      </c>
      <c r="Q622" t="str">
        <f>"$"</f>
        <v>$</v>
      </c>
      <c r="R622" t="str">
        <f>"הזמנה"</f>
        <v>הזמנה</v>
      </c>
      <c r="S622">
        <v>0</v>
      </c>
      <c r="T622" s="2">
        <v>8500</v>
      </c>
      <c r="U622">
        <v>0</v>
      </c>
      <c r="V622" s="2">
        <v>8500</v>
      </c>
      <c r="W622" t="str">
        <f>"$"</f>
        <v>$</v>
      </c>
      <c r="X622">
        <v>0</v>
      </c>
      <c r="Y622">
        <v>0</v>
      </c>
      <c r="Z622">
        <v>0</v>
      </c>
      <c r="AA622" t="str">
        <f>"Y"</f>
        <v>Y</v>
      </c>
      <c r="AB622" t="str">
        <f>"SO22000448"</f>
        <v>SO22000448</v>
      </c>
      <c r="AC622">
        <v>1</v>
      </c>
      <c r="AD622" s="1">
        <v>44901</v>
      </c>
      <c r="AE622" t="str">
        <f>"SH23000604"</f>
        <v>SH23000604</v>
      </c>
      <c r="AF622" t="str">
        <f>"משלוחים ללקוח"</f>
        <v>משלוחים ללקוח</v>
      </c>
      <c r="AG622" s="1">
        <v>45068</v>
      </c>
      <c r="AM622" t="str">
        <f>"10"</f>
        <v>10</v>
      </c>
      <c r="AN622" t="str">
        <f>"500000"</f>
        <v>500000</v>
      </c>
      <c r="AO622" t="str">
        <f>"הכנסות  מלקוחות"</f>
        <v>הכנסות  מלקוחות</v>
      </c>
      <c r="AQ622" t="str">
        <f>"007"</f>
        <v>007</v>
      </c>
      <c r="AR622">
        <v>0</v>
      </c>
      <c r="AS622">
        <v>0</v>
      </c>
      <c r="AT622">
        <v>3.7149999999999999</v>
      </c>
      <c r="AX622" t="str">
        <f>"E000378345"</f>
        <v>E000378345</v>
      </c>
      <c r="BD622" t="str">
        <f>"רוני דידי"</f>
        <v>רוני דידי</v>
      </c>
    </row>
    <row r="623" spans="1:56" x14ac:dyDescent="0.3">
      <c r="A623" s="1">
        <v>45077</v>
      </c>
      <c r="B623" t="str">
        <f>"CR237000052"</f>
        <v>CR237000052</v>
      </c>
      <c r="E623" t="str">
        <f>"Y"</f>
        <v>Y</v>
      </c>
      <c r="F623" t="str">
        <f>"חשבוניות זיכוי"</f>
        <v>חשבוניות זיכוי</v>
      </c>
      <c r="G623" t="str">
        <f>"700065"</f>
        <v>700065</v>
      </c>
      <c r="H623" t="str">
        <f>"אלתא מערכות בע""מ"</f>
        <v>אלתא מערכות בע"מ</v>
      </c>
      <c r="I623" t="str">
        <f>"10"</f>
        <v>10</v>
      </c>
      <c r="J623" t="str">
        <f>"000"</f>
        <v>000</v>
      </c>
      <c r="K623" t="str">
        <f>"יכוי לחשבונית אלתא מס  SI226001187"</f>
        <v>יכוי לחשבונית אלתא מס  SI226001187</v>
      </c>
      <c r="L623">
        <v>1</v>
      </c>
      <c r="M623" t="str">
        <f>"יח"</f>
        <v>יח</v>
      </c>
      <c r="N623">
        <v>1</v>
      </c>
      <c r="O623" t="str">
        <f>"יח"</f>
        <v>יח</v>
      </c>
      <c r="P623">
        <v>586.73</v>
      </c>
      <c r="Q623" t="str">
        <f>"$"</f>
        <v>$</v>
      </c>
      <c r="R623" t="str">
        <f>"ידני"</f>
        <v>ידני</v>
      </c>
      <c r="S623">
        <v>0</v>
      </c>
      <c r="T623">
        <v>586.73</v>
      </c>
      <c r="U623">
        <v>0</v>
      </c>
      <c r="V623">
        <v>586.73</v>
      </c>
      <c r="W623" t="str">
        <f>"$"</f>
        <v>$</v>
      </c>
      <c r="X623">
        <v>0</v>
      </c>
      <c r="Y623">
        <v>0</v>
      </c>
      <c r="Z623">
        <v>0</v>
      </c>
      <c r="AA623" t="str">
        <f>"Y"</f>
        <v>Y</v>
      </c>
      <c r="AC623">
        <v>0</v>
      </c>
      <c r="AM623" t="str">
        <f>"10"</f>
        <v>10</v>
      </c>
      <c r="AN623" t="str">
        <f>"500000"</f>
        <v>500000</v>
      </c>
      <c r="AO623" t="str">
        <f>"הכנסות  מלקוחות"</f>
        <v>הכנסות  מלקוחות</v>
      </c>
      <c r="AP623" t="str">
        <f>"Y"</f>
        <v>Y</v>
      </c>
      <c r="AQ623" t="str">
        <f>"034"</f>
        <v>034</v>
      </c>
      <c r="AR623">
        <v>0</v>
      </c>
      <c r="AS623">
        <v>0</v>
      </c>
      <c r="AT623">
        <v>3.4350000000000001</v>
      </c>
      <c r="BD623" t="str">
        <f>"ערן שלו"</f>
        <v>ערן שלו</v>
      </c>
    </row>
    <row r="624" spans="1:56" x14ac:dyDescent="0.3">
      <c r="A624" s="1">
        <v>45077</v>
      </c>
      <c r="B624" t="str">
        <f>"CR237000049"</f>
        <v>CR237000049</v>
      </c>
      <c r="E624" t="str">
        <f>"Y"</f>
        <v>Y</v>
      </c>
      <c r="F624" t="str">
        <f>"חשבוניות זיכוי"</f>
        <v>חשבוניות זיכוי</v>
      </c>
      <c r="G624" t="str">
        <f>"700065"</f>
        <v>700065</v>
      </c>
      <c r="H624" t="str">
        <f>"אלתא מערכות בע""מ"</f>
        <v>אלתא מערכות בע"מ</v>
      </c>
      <c r="I624" t="str">
        <f>"10"</f>
        <v>10</v>
      </c>
      <c r="J624" t="str">
        <f>"000"</f>
        <v>000</v>
      </c>
      <c r="K624" t="str">
        <f>"זיכוי לחשבונית SI236000476"</f>
        <v>זיכוי לחשבונית SI236000476</v>
      </c>
      <c r="L624">
        <v>1</v>
      </c>
      <c r="M624" t="str">
        <f>"יח"</f>
        <v>יח</v>
      </c>
      <c r="N624">
        <v>1</v>
      </c>
      <c r="O624" t="str">
        <f>"יח"</f>
        <v>יח</v>
      </c>
      <c r="P624">
        <v>375.28</v>
      </c>
      <c r="Q624" t="str">
        <f>"$"</f>
        <v>$</v>
      </c>
      <c r="R624" t="str">
        <f>"ידני"</f>
        <v>ידני</v>
      </c>
      <c r="S624">
        <v>0</v>
      </c>
      <c r="T624">
        <v>375.28</v>
      </c>
      <c r="U624">
        <v>0</v>
      </c>
      <c r="V624">
        <v>375.28</v>
      </c>
      <c r="W624" t="str">
        <f>"$"</f>
        <v>$</v>
      </c>
      <c r="X624">
        <v>0</v>
      </c>
      <c r="Y624">
        <v>0</v>
      </c>
      <c r="Z624">
        <v>0</v>
      </c>
      <c r="AA624" t="str">
        <f>"Y"</f>
        <v>Y</v>
      </c>
      <c r="AC624">
        <v>0</v>
      </c>
      <c r="AM624" t="str">
        <f>"10"</f>
        <v>10</v>
      </c>
      <c r="AN624" t="str">
        <f>"500000"</f>
        <v>500000</v>
      </c>
      <c r="AO624" t="str">
        <f>"הכנסות  מלקוחות"</f>
        <v>הכנסות  מלקוחות</v>
      </c>
      <c r="AP624" t="str">
        <f>"Y"</f>
        <v>Y</v>
      </c>
      <c r="AQ624" t="str">
        <f>"034"</f>
        <v>034</v>
      </c>
      <c r="AR624">
        <v>0</v>
      </c>
      <c r="AS624">
        <v>0</v>
      </c>
      <c r="AT624">
        <v>3.7149999999999999</v>
      </c>
      <c r="BD624" t="str">
        <f>"ערן שלו"</f>
        <v>ערן שלו</v>
      </c>
    </row>
    <row r="625" spans="1:56" x14ac:dyDescent="0.3">
      <c r="A625" s="1">
        <v>45075</v>
      </c>
      <c r="B625" t="str">
        <f>"SI236000679"</f>
        <v>SI236000679</v>
      </c>
      <c r="E625" t="str">
        <f>"Y"</f>
        <v>Y</v>
      </c>
      <c r="F625" t="str">
        <f>"חשבוניות מרכזות"</f>
        <v>חשבוניות מרכזות</v>
      </c>
      <c r="G625" t="str">
        <f>"700065"</f>
        <v>700065</v>
      </c>
      <c r="H625" t="str">
        <f>"אלתא מערכות בע""מ"</f>
        <v>אלתא מערכות בע"מ</v>
      </c>
      <c r="I625" t="str">
        <f>"10"</f>
        <v>10</v>
      </c>
      <c r="J625" t="str">
        <f>"000"</f>
        <v>000</v>
      </c>
      <c r="K625" t="str">
        <f>"NRE להזמנה E000312785"</f>
        <v>NRE להזמנה E000312785</v>
      </c>
      <c r="L625">
        <v>1</v>
      </c>
      <c r="M625" t="str">
        <f>"יח"</f>
        <v>יח</v>
      </c>
      <c r="N625">
        <v>1</v>
      </c>
      <c r="O625" t="str">
        <f>"יח"</f>
        <v>יח</v>
      </c>
      <c r="P625" s="2">
        <v>15000</v>
      </c>
      <c r="Q625" t="str">
        <f>"$"</f>
        <v>$</v>
      </c>
      <c r="R625" t="str">
        <f>"הזמנה"</f>
        <v>הזמנה</v>
      </c>
      <c r="S625">
        <v>0</v>
      </c>
      <c r="T625" s="2">
        <v>15000</v>
      </c>
      <c r="U625">
        <v>0</v>
      </c>
      <c r="V625" s="2">
        <v>15000</v>
      </c>
      <c r="W625" t="str">
        <f>"$"</f>
        <v>$</v>
      </c>
      <c r="X625">
        <v>0</v>
      </c>
      <c r="Y625">
        <v>0</v>
      </c>
      <c r="Z625">
        <v>0</v>
      </c>
      <c r="AA625" t="str">
        <f>"Y"</f>
        <v>Y</v>
      </c>
      <c r="AB625" t="str">
        <f>"SO21000055"</f>
        <v>SO21000055</v>
      </c>
      <c r="AC625">
        <v>1</v>
      </c>
      <c r="AD625" s="1">
        <v>44228</v>
      </c>
      <c r="AM625" t="str">
        <f>"10"</f>
        <v>10</v>
      </c>
      <c r="AN625" t="str">
        <f>"500000"</f>
        <v>500000</v>
      </c>
      <c r="AO625" t="str">
        <f>"הכנסות  מלקוחות"</f>
        <v>הכנסות  מלקוחות</v>
      </c>
      <c r="AQ625" t="str">
        <f>"034"</f>
        <v>034</v>
      </c>
      <c r="AR625">
        <v>0</v>
      </c>
      <c r="AS625">
        <v>0</v>
      </c>
      <c r="AT625">
        <v>3.73</v>
      </c>
      <c r="AX625" t="str">
        <f>"E000331489"</f>
        <v>E000331489</v>
      </c>
      <c r="BD625" t="str">
        <f>"ערן שלו"</f>
        <v>ערן שלו</v>
      </c>
    </row>
    <row r="626" spans="1:56" x14ac:dyDescent="0.3">
      <c r="A626" s="1">
        <v>45075</v>
      </c>
      <c r="B626" t="str">
        <f>"SI236000679"</f>
        <v>SI236000679</v>
      </c>
      <c r="E626" t="str">
        <f>"Y"</f>
        <v>Y</v>
      </c>
      <c r="F626" t="str">
        <f>"חשבוניות מרכזות"</f>
        <v>חשבוניות מרכזות</v>
      </c>
      <c r="G626" t="str">
        <f>"700065"</f>
        <v>700065</v>
      </c>
      <c r="H626" t="str">
        <f>"אלתא מערכות בע""מ"</f>
        <v>אלתא מערכות בע"מ</v>
      </c>
      <c r="I626" t="str">
        <f>"10"</f>
        <v>10</v>
      </c>
      <c r="J626" t="str">
        <f>"000"</f>
        <v>000</v>
      </c>
      <c r="K626" t="str">
        <f>"תוספות לRPU עבור הזמנה E000312785 משאבה"</f>
        <v>תוספות לRPU עבור הזמנה E000312785 משאבה</v>
      </c>
      <c r="L626">
        <v>1</v>
      </c>
      <c r="M626" t="str">
        <f>"יח"</f>
        <v>יח</v>
      </c>
      <c r="N626">
        <v>1</v>
      </c>
      <c r="O626" t="str">
        <f>"יח"</f>
        <v>יח</v>
      </c>
      <c r="P626" s="2">
        <v>2530</v>
      </c>
      <c r="Q626" t="str">
        <f>"$"</f>
        <v>$</v>
      </c>
      <c r="R626" t="str">
        <f>"הזמנה"</f>
        <v>הזמנה</v>
      </c>
      <c r="S626">
        <v>0</v>
      </c>
      <c r="T626" s="2">
        <v>2530</v>
      </c>
      <c r="U626">
        <v>0</v>
      </c>
      <c r="V626" s="2">
        <v>2530</v>
      </c>
      <c r="W626" t="str">
        <f>"$"</f>
        <v>$</v>
      </c>
      <c r="X626">
        <v>0</v>
      </c>
      <c r="Y626">
        <v>0</v>
      </c>
      <c r="Z626">
        <v>0</v>
      </c>
      <c r="AA626" t="str">
        <f>"Y"</f>
        <v>Y</v>
      </c>
      <c r="AB626" t="str">
        <f>"SO21000055"</f>
        <v>SO21000055</v>
      </c>
      <c r="AC626">
        <v>16</v>
      </c>
      <c r="AD626" s="1">
        <v>44228</v>
      </c>
      <c r="AM626" t="str">
        <f>"10"</f>
        <v>10</v>
      </c>
      <c r="AN626" t="str">
        <f>"500000"</f>
        <v>500000</v>
      </c>
      <c r="AO626" t="str">
        <f>"הכנסות  מלקוחות"</f>
        <v>הכנסות  מלקוחות</v>
      </c>
      <c r="AQ626" t="str">
        <f>"034"</f>
        <v>034</v>
      </c>
      <c r="AR626">
        <v>0</v>
      </c>
      <c r="AS626">
        <v>0</v>
      </c>
      <c r="AT626">
        <v>3.73</v>
      </c>
      <c r="AX626" t="str">
        <f>"E000331489"</f>
        <v>E000331489</v>
      </c>
      <c r="BD626" t="str">
        <f>"ערן שלו"</f>
        <v>ערן שלו</v>
      </c>
    </row>
    <row r="627" spans="1:56" x14ac:dyDescent="0.3">
      <c r="A627" s="1">
        <v>45075</v>
      </c>
      <c r="B627" t="str">
        <f>"SI236000678"</f>
        <v>SI236000678</v>
      </c>
      <c r="E627" t="str">
        <f>"Y"</f>
        <v>Y</v>
      </c>
      <c r="F627" t="str">
        <f>"חשבוניות מרכזות"</f>
        <v>חשבוניות מרכזות</v>
      </c>
      <c r="G627" t="str">
        <f>"700065"</f>
        <v>700065</v>
      </c>
      <c r="H627" t="str">
        <f>"אלתא מערכות בע""מ"</f>
        <v>אלתא מערכות בע"מ</v>
      </c>
      <c r="I627" t="str">
        <f>"10"</f>
        <v>10</v>
      </c>
      <c r="J627" t="str">
        <f>"000"</f>
        <v>000</v>
      </c>
      <c r="K627" t="str">
        <f>"תוספות לRPU עבור הזמנה E000312785 בקרה"</f>
        <v>תוספות לRPU עבור הזמנה E000312785 בקרה</v>
      </c>
      <c r="L627">
        <v>-1</v>
      </c>
      <c r="M627" t="str">
        <f>"יח"</f>
        <v>יח</v>
      </c>
      <c r="N627">
        <v>-1</v>
      </c>
      <c r="O627" t="str">
        <f>"יח"</f>
        <v>יח</v>
      </c>
      <c r="P627" s="2">
        <v>32780</v>
      </c>
      <c r="Q627" t="str">
        <f>"$"</f>
        <v>$</v>
      </c>
      <c r="R627" t="str">
        <f>"הזמנה"</f>
        <v>הזמנה</v>
      </c>
      <c r="S627">
        <v>0</v>
      </c>
      <c r="T627" s="2">
        <v>-32780</v>
      </c>
      <c r="U627">
        <v>0</v>
      </c>
      <c r="V627" s="2">
        <v>-32780</v>
      </c>
      <c r="W627" t="str">
        <f>"$"</f>
        <v>$</v>
      </c>
      <c r="X627">
        <v>0</v>
      </c>
      <c r="Y627">
        <v>0</v>
      </c>
      <c r="Z627">
        <v>0</v>
      </c>
      <c r="AA627" t="str">
        <f>"Y"</f>
        <v>Y</v>
      </c>
      <c r="AC627">
        <v>0</v>
      </c>
      <c r="AM627" t="str">
        <f>"10"</f>
        <v>10</v>
      </c>
      <c r="AN627" t="str">
        <f>"500000"</f>
        <v>500000</v>
      </c>
      <c r="AO627" t="str">
        <f>"הכנסות  מלקוחות"</f>
        <v>הכנסות  מלקוחות</v>
      </c>
      <c r="AQ627" t="str">
        <f>"034"</f>
        <v>034</v>
      </c>
      <c r="AR627">
        <v>0</v>
      </c>
      <c r="AS627">
        <v>0</v>
      </c>
      <c r="AT627">
        <v>3.556</v>
      </c>
      <c r="BB627" t="str">
        <f>"Y"</f>
        <v>Y</v>
      </c>
      <c r="BD627" t="str">
        <f>"ערן שלו"</f>
        <v>ערן שלו</v>
      </c>
    </row>
    <row r="628" spans="1:56" x14ac:dyDescent="0.3">
      <c r="A628" s="1">
        <v>45075</v>
      </c>
      <c r="B628" t="str">
        <f>"SI236000678"</f>
        <v>SI236000678</v>
      </c>
      <c r="E628" t="str">
        <f>"Y"</f>
        <v>Y</v>
      </c>
      <c r="F628" t="str">
        <f>"חשבוניות מרכזות"</f>
        <v>חשבוניות מרכזות</v>
      </c>
      <c r="G628" t="str">
        <f>"700065"</f>
        <v>700065</v>
      </c>
      <c r="H628" t="str">
        <f>"אלתא מערכות בע""מ"</f>
        <v>אלתא מערכות בע"מ</v>
      </c>
      <c r="I628" t="str">
        <f>"10"</f>
        <v>10</v>
      </c>
      <c r="J628" t="str">
        <f>"000"</f>
        <v>000</v>
      </c>
      <c r="K628" t="str">
        <f>"תוספות לRPU עבור הזמנה E000312785 משאבה"</f>
        <v>תוספות לRPU עבור הזמנה E000312785 משאבה</v>
      </c>
      <c r="L628">
        <v>-1</v>
      </c>
      <c r="M628" t="str">
        <f>"יח"</f>
        <v>יח</v>
      </c>
      <c r="N628">
        <v>-1</v>
      </c>
      <c r="O628" t="str">
        <f>"יח"</f>
        <v>יח</v>
      </c>
      <c r="P628" s="2">
        <v>2530</v>
      </c>
      <c r="Q628" t="str">
        <f>"$"</f>
        <v>$</v>
      </c>
      <c r="R628" t="str">
        <f>"הזמנה"</f>
        <v>הזמנה</v>
      </c>
      <c r="S628">
        <v>0</v>
      </c>
      <c r="T628" s="2">
        <v>-2530</v>
      </c>
      <c r="U628">
        <v>0</v>
      </c>
      <c r="V628" s="2">
        <v>-2530</v>
      </c>
      <c r="W628" t="str">
        <f>"$"</f>
        <v>$</v>
      </c>
      <c r="X628">
        <v>0</v>
      </c>
      <c r="Y628">
        <v>0</v>
      </c>
      <c r="Z628">
        <v>0</v>
      </c>
      <c r="AA628" t="str">
        <f>"Y"</f>
        <v>Y</v>
      </c>
      <c r="AC628">
        <v>0</v>
      </c>
      <c r="AM628" t="str">
        <f>"10"</f>
        <v>10</v>
      </c>
      <c r="AN628" t="str">
        <f>"500000"</f>
        <v>500000</v>
      </c>
      <c r="AO628" t="str">
        <f>"הכנסות  מלקוחות"</f>
        <v>הכנסות  מלקוחות</v>
      </c>
      <c r="AQ628" t="str">
        <f>"034"</f>
        <v>034</v>
      </c>
      <c r="AR628">
        <v>0</v>
      </c>
      <c r="AS628">
        <v>0</v>
      </c>
      <c r="AT628">
        <v>3.556</v>
      </c>
      <c r="BB628" t="str">
        <f>"Y"</f>
        <v>Y</v>
      </c>
      <c r="BD628" t="str">
        <f>"ערן שלו"</f>
        <v>ערן שלו</v>
      </c>
    </row>
    <row r="629" spans="1:56" x14ac:dyDescent="0.3">
      <c r="A629" s="1">
        <v>45074</v>
      </c>
      <c r="B629" t="str">
        <f>"SI236000669"</f>
        <v>SI236000669</v>
      </c>
      <c r="C629" t="str">
        <f>"PR22000361"</f>
        <v>PR22000361</v>
      </c>
      <c r="E629" t="str">
        <f>"Y"</f>
        <v>Y</v>
      </c>
      <c r="F629" t="str">
        <f>"חשבוניות מרכזות"</f>
        <v>חשבוניות מרכזות</v>
      </c>
      <c r="G629" t="str">
        <f>"700065"</f>
        <v>700065</v>
      </c>
      <c r="H629" t="str">
        <f>"אלתא מערכות בע""מ"</f>
        <v>אלתא מערכות בע"מ</v>
      </c>
      <c r="I629" t="str">
        <f>"10"</f>
        <v>10</v>
      </c>
      <c r="J629" t="str">
        <f>"OP-ML00217"</f>
        <v>OP-ML00217</v>
      </c>
      <c r="K629" t="str">
        <f>"1042A920-001 COMPUTER RACK"</f>
        <v>1042A920-001 COMPUTER RACK</v>
      </c>
      <c r="L629">
        <v>1</v>
      </c>
      <c r="M629" t="str">
        <f>"יח"</f>
        <v>יח</v>
      </c>
      <c r="N629">
        <v>1</v>
      </c>
      <c r="O629" t="str">
        <f>"יח"</f>
        <v>יח</v>
      </c>
      <c r="P629" s="2">
        <v>36500</v>
      </c>
      <c r="Q629" t="str">
        <f>"$"</f>
        <v>$</v>
      </c>
      <c r="R629" t="str">
        <f>"הזמנה"</f>
        <v>הזמנה</v>
      </c>
      <c r="S629">
        <v>0</v>
      </c>
      <c r="T629" s="2">
        <v>36500</v>
      </c>
      <c r="U629">
        <v>0</v>
      </c>
      <c r="V629" s="2">
        <v>36500</v>
      </c>
      <c r="W629" t="str">
        <f>"$"</f>
        <v>$</v>
      </c>
      <c r="X629">
        <v>0</v>
      </c>
      <c r="Y629">
        <v>0</v>
      </c>
      <c r="Z629">
        <v>0</v>
      </c>
      <c r="AA629" t="str">
        <f>"Y"</f>
        <v>Y</v>
      </c>
      <c r="AB629" t="str">
        <f>"SO22000181"</f>
        <v>SO22000181</v>
      </c>
      <c r="AC629">
        <v>1</v>
      </c>
      <c r="AD629" s="1">
        <v>44696</v>
      </c>
      <c r="AE629" t="str">
        <f>"SH23000658"</f>
        <v>SH23000658</v>
      </c>
      <c r="AF629" t="str">
        <f>"משלוחים ללקוח"</f>
        <v>משלוחים ללקוח</v>
      </c>
      <c r="AG629" s="1">
        <v>45074</v>
      </c>
      <c r="AM629" t="str">
        <f>"10"</f>
        <v>10</v>
      </c>
      <c r="AN629" t="str">
        <f>"500000"</f>
        <v>500000</v>
      </c>
      <c r="AO629" t="str">
        <f>"הכנסות  מלקוחות"</f>
        <v>הכנסות  מלקוחות</v>
      </c>
      <c r="AQ629" t="str">
        <f>"034"</f>
        <v>034</v>
      </c>
      <c r="AR629">
        <v>0</v>
      </c>
      <c r="AS629">
        <v>0</v>
      </c>
      <c r="AT629">
        <v>3.73</v>
      </c>
      <c r="AX629" t="str">
        <f>"E000362815"</f>
        <v>E000362815</v>
      </c>
      <c r="BD629" t="str">
        <f>"ערן שלו"</f>
        <v>ערן שלו</v>
      </c>
    </row>
    <row r="630" spans="1:56" x14ac:dyDescent="0.3">
      <c r="A630" s="1">
        <v>45063</v>
      </c>
      <c r="B630" t="str">
        <f>"SI236000640"</f>
        <v>SI236000640</v>
      </c>
      <c r="C630" t="str">
        <f>"PR22000694"</f>
        <v>PR22000694</v>
      </c>
      <c r="E630" t="str">
        <f>"Y"</f>
        <v>Y</v>
      </c>
      <c r="F630" t="str">
        <f>"חשבוניות מרכזות"</f>
        <v>חשבוניות מרכזות</v>
      </c>
      <c r="G630" t="str">
        <f>"700065"</f>
        <v>700065</v>
      </c>
      <c r="H630" t="str">
        <f>"אלתא מערכות בע""מ"</f>
        <v>אלתא מערכות בע"מ</v>
      </c>
      <c r="I630" t="str">
        <f>"10"</f>
        <v>10</v>
      </c>
      <c r="J630" t="str">
        <f>"999"</f>
        <v>999</v>
      </c>
      <c r="K630" t="str">
        <f>"קיט שדרוג RPU רצועות + חבק לתורן"</f>
        <v>קיט שדרוג RPU רצועות + חבק לתורן</v>
      </c>
      <c r="L630">
        <v>0.125</v>
      </c>
      <c r="M630" t="str">
        <f>"חל"</f>
        <v>חל</v>
      </c>
      <c r="N630">
        <v>0.125</v>
      </c>
      <c r="O630" t="str">
        <f>"חל"</f>
        <v>חל</v>
      </c>
      <c r="P630" s="2">
        <v>5432</v>
      </c>
      <c r="Q630" t="str">
        <f>"$"</f>
        <v>$</v>
      </c>
      <c r="R630" t="str">
        <f>"הזמנה"</f>
        <v>הזמנה</v>
      </c>
      <c r="S630">
        <v>0</v>
      </c>
      <c r="T630">
        <v>679</v>
      </c>
      <c r="U630">
        <v>0</v>
      </c>
      <c r="V630">
        <v>679</v>
      </c>
      <c r="W630" t="str">
        <f>"$"</f>
        <v>$</v>
      </c>
      <c r="X630">
        <v>0</v>
      </c>
      <c r="Y630">
        <v>0</v>
      </c>
      <c r="Z630">
        <v>0</v>
      </c>
      <c r="AA630" t="str">
        <f>"Y"</f>
        <v>Y</v>
      </c>
      <c r="AB630" t="str">
        <f>"SO22000441"</f>
        <v>SO22000441</v>
      </c>
      <c r="AC630">
        <v>3</v>
      </c>
      <c r="AD630" s="1">
        <v>44900</v>
      </c>
      <c r="AE630" t="str">
        <f>"SH23000555"</f>
        <v>SH23000555</v>
      </c>
      <c r="AF630" t="str">
        <f>"משלוחים ללקוח"</f>
        <v>משלוחים ללקוח</v>
      </c>
      <c r="AG630" s="1">
        <v>45053</v>
      </c>
      <c r="AM630" t="str">
        <f>"10"</f>
        <v>10</v>
      </c>
      <c r="AN630" t="str">
        <f>"500000"</f>
        <v>500000</v>
      </c>
      <c r="AO630" t="str">
        <f>"הכנסות  מלקוחות"</f>
        <v>הכנסות  מלקוחות</v>
      </c>
      <c r="AQ630" t="str">
        <f>"034"</f>
        <v>034</v>
      </c>
      <c r="AR630">
        <v>0</v>
      </c>
      <c r="AS630">
        <v>0</v>
      </c>
      <c r="AT630">
        <v>3.6469999999999998</v>
      </c>
      <c r="AX630" t="str">
        <f>"E000377788"</f>
        <v>E000377788</v>
      </c>
      <c r="BD630" t="str">
        <f>"ערן שלו"</f>
        <v>ערן שלו</v>
      </c>
    </row>
    <row r="631" spans="1:56" x14ac:dyDescent="0.3">
      <c r="A631" s="1">
        <v>45063</v>
      </c>
      <c r="B631" t="str">
        <f>"SI236000640"</f>
        <v>SI236000640</v>
      </c>
      <c r="C631" t="str">
        <f>"PR22000694"</f>
        <v>PR22000694</v>
      </c>
      <c r="E631" t="str">
        <f>"Y"</f>
        <v>Y</v>
      </c>
      <c r="F631" t="str">
        <f>"חשבוניות מרכזות"</f>
        <v>חשבוניות מרכזות</v>
      </c>
      <c r="G631" t="str">
        <f>"700065"</f>
        <v>700065</v>
      </c>
      <c r="H631" t="str">
        <f>"אלתא מערכות בע""מ"</f>
        <v>אלתא מערכות בע"מ</v>
      </c>
      <c r="I631" t="str">
        <f>"10"</f>
        <v>10</v>
      </c>
      <c r="J631" t="str">
        <f>"999"</f>
        <v>999</v>
      </c>
      <c r="K631" t="str">
        <f>"סט פיני מטוס RPU - ייצור והתק"</f>
        <v>סט פיני מטוס RPU - ייצור והתק</v>
      </c>
      <c r="L631">
        <v>0.125</v>
      </c>
      <c r="M631" t="str">
        <f>"חל"</f>
        <v>חל</v>
      </c>
      <c r="N631">
        <v>0.125</v>
      </c>
      <c r="O631" t="str">
        <f>"חל"</f>
        <v>חל</v>
      </c>
      <c r="P631" s="2">
        <v>11640</v>
      </c>
      <c r="Q631" t="str">
        <f>"$"</f>
        <v>$</v>
      </c>
      <c r="R631" t="str">
        <f>"הזמנה"</f>
        <v>הזמנה</v>
      </c>
      <c r="S631">
        <v>0</v>
      </c>
      <c r="T631" s="2">
        <v>1455</v>
      </c>
      <c r="U631">
        <v>0</v>
      </c>
      <c r="V631" s="2">
        <v>1455</v>
      </c>
      <c r="W631" t="str">
        <f>"$"</f>
        <v>$</v>
      </c>
      <c r="X631">
        <v>0</v>
      </c>
      <c r="Y631">
        <v>0</v>
      </c>
      <c r="Z631">
        <v>0</v>
      </c>
      <c r="AA631" t="str">
        <f>"Y"</f>
        <v>Y</v>
      </c>
      <c r="AB631" t="str">
        <f>"SO22000441"</f>
        <v>SO22000441</v>
      </c>
      <c r="AC631">
        <v>10</v>
      </c>
      <c r="AD631" s="1">
        <v>44900</v>
      </c>
      <c r="AE631" t="str">
        <f>"SH23000555"</f>
        <v>SH23000555</v>
      </c>
      <c r="AF631" t="str">
        <f>"משלוחים ללקוח"</f>
        <v>משלוחים ללקוח</v>
      </c>
      <c r="AG631" s="1">
        <v>45053</v>
      </c>
      <c r="AM631" t="str">
        <f>"10"</f>
        <v>10</v>
      </c>
      <c r="AN631" t="str">
        <f>"500000"</f>
        <v>500000</v>
      </c>
      <c r="AO631" t="str">
        <f>"הכנסות  מלקוחות"</f>
        <v>הכנסות  מלקוחות</v>
      </c>
      <c r="AQ631" t="str">
        <f>"034"</f>
        <v>034</v>
      </c>
      <c r="AR631">
        <v>0</v>
      </c>
      <c r="AS631">
        <v>0</v>
      </c>
      <c r="AT631">
        <v>3.6469999999999998</v>
      </c>
      <c r="AX631" t="str">
        <f>"E000377788"</f>
        <v>E000377788</v>
      </c>
      <c r="BD631" t="str">
        <f>"ערן שלו"</f>
        <v>ערן שלו</v>
      </c>
    </row>
    <row r="632" spans="1:56" x14ac:dyDescent="0.3">
      <c r="A632" s="1">
        <v>45063</v>
      </c>
      <c r="B632" t="str">
        <f>"SI236000640"</f>
        <v>SI236000640</v>
      </c>
      <c r="C632" t="str">
        <f>"PR22000694"</f>
        <v>PR22000694</v>
      </c>
      <c r="E632" t="str">
        <f>"Y"</f>
        <v>Y</v>
      </c>
      <c r="F632" t="str">
        <f>"חשבוניות מרכזות"</f>
        <v>חשבוניות מרכזות</v>
      </c>
      <c r="G632" t="str">
        <f>"700065"</f>
        <v>700065</v>
      </c>
      <c r="H632" t="str">
        <f>"אלתא מערכות בע""מ"</f>
        <v>אלתא מערכות בע"מ</v>
      </c>
      <c r="I632" t="str">
        <f>"10"</f>
        <v>10</v>
      </c>
      <c r="J632" t="str">
        <f>"000"</f>
        <v>000</v>
      </c>
      <c r="K632" t="str">
        <f>"תכן לתהקנת פיני מטוס"</f>
        <v>תכן לתהקנת פיני מטוס</v>
      </c>
      <c r="L632">
        <v>1</v>
      </c>
      <c r="M632" t="str">
        <f>"יח"</f>
        <v>יח</v>
      </c>
      <c r="N632">
        <v>1</v>
      </c>
      <c r="O632" t="str">
        <f>"יח"</f>
        <v>יח</v>
      </c>
      <c r="P632" s="2">
        <v>1164</v>
      </c>
      <c r="Q632" t="str">
        <f>"$"</f>
        <v>$</v>
      </c>
      <c r="R632" t="str">
        <f>"הזמנה"</f>
        <v>הזמנה</v>
      </c>
      <c r="S632">
        <v>0</v>
      </c>
      <c r="T632" s="2">
        <v>1164</v>
      </c>
      <c r="U632">
        <v>0</v>
      </c>
      <c r="V632" s="2">
        <v>1164</v>
      </c>
      <c r="W632" t="str">
        <f>"$"</f>
        <v>$</v>
      </c>
      <c r="X632">
        <v>0</v>
      </c>
      <c r="Y632">
        <v>0</v>
      </c>
      <c r="Z632">
        <v>0</v>
      </c>
      <c r="AA632" t="str">
        <f>"Y"</f>
        <v>Y</v>
      </c>
      <c r="AB632" t="str">
        <f>"SO22000441"</f>
        <v>SO22000441</v>
      </c>
      <c r="AC632">
        <v>11</v>
      </c>
      <c r="AD632" s="1">
        <v>44900</v>
      </c>
      <c r="AE632" t="str">
        <f>"SH23000555"</f>
        <v>SH23000555</v>
      </c>
      <c r="AF632" t="str">
        <f>"משלוחים ללקוח"</f>
        <v>משלוחים ללקוח</v>
      </c>
      <c r="AG632" s="1">
        <v>45053</v>
      </c>
      <c r="AM632" t="str">
        <f>"10"</f>
        <v>10</v>
      </c>
      <c r="AN632" t="str">
        <f>"500000"</f>
        <v>500000</v>
      </c>
      <c r="AO632" t="str">
        <f>"הכנסות  מלקוחות"</f>
        <v>הכנסות  מלקוחות</v>
      </c>
      <c r="AQ632" t="str">
        <f>"034"</f>
        <v>034</v>
      </c>
      <c r="AR632">
        <v>0</v>
      </c>
      <c r="AS632">
        <v>0</v>
      </c>
      <c r="AT632">
        <v>3.6469999999999998</v>
      </c>
      <c r="AX632" t="str">
        <f>"E000377788"</f>
        <v>E000377788</v>
      </c>
      <c r="BD632" t="str">
        <f>"ערן שלו"</f>
        <v>ערן שלו</v>
      </c>
    </row>
    <row r="633" spans="1:56" x14ac:dyDescent="0.3">
      <c r="A633" s="1">
        <v>45063</v>
      </c>
      <c r="B633" t="str">
        <f>"SI236000640"</f>
        <v>SI236000640</v>
      </c>
      <c r="C633" t="str">
        <f>"PR22000694"</f>
        <v>PR22000694</v>
      </c>
      <c r="E633" t="str">
        <f>"Y"</f>
        <v>Y</v>
      </c>
      <c r="F633" t="str">
        <f>"חשבוניות מרכזות"</f>
        <v>חשבוניות מרכזות</v>
      </c>
      <c r="G633" t="str">
        <f>"700065"</f>
        <v>700065</v>
      </c>
      <c r="H633" t="str">
        <f>"אלתא מערכות בע""מ"</f>
        <v>אלתא מערכות בע"מ</v>
      </c>
      <c r="I633" t="str">
        <f>"10"</f>
        <v>10</v>
      </c>
      <c r="J633" t="str">
        <f>"999"</f>
        <v>999</v>
      </c>
      <c r="K633" t="str">
        <f>"BRACKET FOR TOOF CABLE"</f>
        <v>BRACKET FOR TOOF CABLE</v>
      </c>
      <c r="L633">
        <v>0.25</v>
      </c>
      <c r="M633" t="str">
        <f>"חל"</f>
        <v>חל</v>
      </c>
      <c r="N633">
        <v>0.25</v>
      </c>
      <c r="O633" t="str">
        <f>"חל"</f>
        <v>חל</v>
      </c>
      <c r="P633" s="2">
        <v>7760</v>
      </c>
      <c r="Q633" t="str">
        <f>"$"</f>
        <v>$</v>
      </c>
      <c r="R633" t="str">
        <f>"הזמנה"</f>
        <v>הזמנה</v>
      </c>
      <c r="S633">
        <v>0</v>
      </c>
      <c r="T633" s="2">
        <v>1940</v>
      </c>
      <c r="U633">
        <v>0</v>
      </c>
      <c r="V633" s="2">
        <v>1940</v>
      </c>
      <c r="W633" t="str">
        <f>"$"</f>
        <v>$</v>
      </c>
      <c r="X633">
        <v>0</v>
      </c>
      <c r="Y633">
        <v>0</v>
      </c>
      <c r="Z633">
        <v>0</v>
      </c>
      <c r="AA633" t="str">
        <f>"Y"</f>
        <v>Y</v>
      </c>
      <c r="AB633" t="str">
        <f>"SO22000441"</f>
        <v>SO22000441</v>
      </c>
      <c r="AC633">
        <v>13</v>
      </c>
      <c r="AD633" s="1">
        <v>44900</v>
      </c>
      <c r="AE633" t="str">
        <f>"SH23000555"</f>
        <v>SH23000555</v>
      </c>
      <c r="AF633" t="str">
        <f>"משלוחים ללקוח"</f>
        <v>משלוחים ללקוח</v>
      </c>
      <c r="AG633" s="1">
        <v>45053</v>
      </c>
      <c r="AM633" t="str">
        <f>"10"</f>
        <v>10</v>
      </c>
      <c r="AN633" t="str">
        <f>"500000"</f>
        <v>500000</v>
      </c>
      <c r="AO633" t="str">
        <f>"הכנסות  מלקוחות"</f>
        <v>הכנסות  מלקוחות</v>
      </c>
      <c r="AQ633" t="str">
        <f>"034"</f>
        <v>034</v>
      </c>
      <c r="AR633">
        <v>0</v>
      </c>
      <c r="AS633">
        <v>0</v>
      </c>
      <c r="AT633">
        <v>3.6469999999999998</v>
      </c>
      <c r="AX633" t="str">
        <f>"E000377788"</f>
        <v>E000377788</v>
      </c>
      <c r="BD633" t="str">
        <f>"ערן שלו"</f>
        <v>ערן שלו</v>
      </c>
    </row>
    <row r="634" spans="1:56" x14ac:dyDescent="0.3">
      <c r="A634" s="1">
        <v>45063</v>
      </c>
      <c r="B634" t="str">
        <f>"SI236000640"</f>
        <v>SI236000640</v>
      </c>
      <c r="C634" t="str">
        <f>"PR22000694"</f>
        <v>PR22000694</v>
      </c>
      <c r="E634" t="str">
        <f>"Y"</f>
        <v>Y</v>
      </c>
      <c r="F634" t="str">
        <f>"חשבוניות מרכזות"</f>
        <v>חשבוניות מרכזות</v>
      </c>
      <c r="G634" t="str">
        <f>"700065"</f>
        <v>700065</v>
      </c>
      <c r="H634" t="str">
        <f>"אלתא מערכות בע""מ"</f>
        <v>אלתא מערכות בע"מ</v>
      </c>
      <c r="I634" t="str">
        <f>"10"</f>
        <v>10</v>
      </c>
      <c r="J634" t="str">
        <f>"999"</f>
        <v>999</v>
      </c>
      <c r="K634" t="str">
        <f>"חבק נוסף לתורן מד רוח"</f>
        <v>חבק נוסף לתורן מד רוח</v>
      </c>
      <c r="L634">
        <v>0.25</v>
      </c>
      <c r="M634" t="str">
        <f>"חל"</f>
        <v>חל</v>
      </c>
      <c r="N634">
        <v>0.25</v>
      </c>
      <c r="O634" t="str">
        <f>"חל"</f>
        <v>חל</v>
      </c>
      <c r="P634" s="2">
        <v>2720</v>
      </c>
      <c r="Q634" t="str">
        <f>"$"</f>
        <v>$</v>
      </c>
      <c r="R634" t="str">
        <f>"הזמנה"</f>
        <v>הזמנה</v>
      </c>
      <c r="S634">
        <v>0</v>
      </c>
      <c r="T634">
        <v>680</v>
      </c>
      <c r="U634">
        <v>0</v>
      </c>
      <c r="V634">
        <v>680</v>
      </c>
      <c r="W634" t="str">
        <f>"$"</f>
        <v>$</v>
      </c>
      <c r="X634">
        <v>0</v>
      </c>
      <c r="Y634">
        <v>0</v>
      </c>
      <c r="Z634">
        <v>0</v>
      </c>
      <c r="AA634" t="str">
        <f>"Y"</f>
        <v>Y</v>
      </c>
      <c r="AB634" t="str">
        <f>"SO22000441"</f>
        <v>SO22000441</v>
      </c>
      <c r="AC634">
        <v>16</v>
      </c>
      <c r="AD634" s="1">
        <v>44900</v>
      </c>
      <c r="AE634" t="str">
        <f>"SH23000555"</f>
        <v>SH23000555</v>
      </c>
      <c r="AF634" t="str">
        <f>"משלוחים ללקוח"</f>
        <v>משלוחים ללקוח</v>
      </c>
      <c r="AG634" s="1">
        <v>45053</v>
      </c>
      <c r="AM634" t="str">
        <f>"10"</f>
        <v>10</v>
      </c>
      <c r="AN634" t="str">
        <f>"500000"</f>
        <v>500000</v>
      </c>
      <c r="AO634" t="str">
        <f>"הכנסות  מלקוחות"</f>
        <v>הכנסות  מלקוחות</v>
      </c>
      <c r="AQ634" t="str">
        <f>"034"</f>
        <v>034</v>
      </c>
      <c r="AR634">
        <v>0</v>
      </c>
      <c r="AS634">
        <v>0</v>
      </c>
      <c r="AT634">
        <v>3.6469999999999998</v>
      </c>
      <c r="AX634" t="str">
        <f>"E000377788"</f>
        <v>E000377788</v>
      </c>
      <c r="BD634" t="str">
        <f>"ערן שלו"</f>
        <v>ערן שלו</v>
      </c>
    </row>
    <row r="635" spans="1:56" x14ac:dyDescent="0.3">
      <c r="A635" s="1">
        <v>45062</v>
      </c>
      <c r="B635" t="str">
        <f>"SI236000657"</f>
        <v>SI236000657</v>
      </c>
      <c r="C635" t="str">
        <f>"PR22000904"</f>
        <v>PR22000904</v>
      </c>
      <c r="E635" t="str">
        <f>"Y"</f>
        <v>Y</v>
      </c>
      <c r="F635" t="str">
        <f>"חשבוניות מרכזות"</f>
        <v>חשבוניות מרכזות</v>
      </c>
      <c r="G635" t="str">
        <f>"700065"</f>
        <v>700065</v>
      </c>
      <c r="H635" t="str">
        <f>"אלתא מערכות בע""מ"</f>
        <v>אלתא מערכות בע"מ</v>
      </c>
      <c r="I635" t="str">
        <f>"15"</f>
        <v>15</v>
      </c>
      <c r="J635" t="str">
        <f>"OP-AR03464"</f>
        <v>OP-AR03464</v>
      </c>
      <c r="K635" t="str">
        <f>"1021M628-002    HARNESS W05 - HVPS3 TO TB2"</f>
        <v>1021M628-002    HARNESS W05 - HVPS3 TO TB2</v>
      </c>
      <c r="L635">
        <v>1</v>
      </c>
      <c r="M635" t="str">
        <f>"יח"</f>
        <v>יח</v>
      </c>
      <c r="N635">
        <v>1</v>
      </c>
      <c r="O635" t="str">
        <f>"יח"</f>
        <v>יח</v>
      </c>
      <c r="P635">
        <v>464.75</v>
      </c>
      <c r="Q635" t="str">
        <f>"$"</f>
        <v>$</v>
      </c>
      <c r="R635" t="str">
        <f>"הזמנה"</f>
        <v>הזמנה</v>
      </c>
      <c r="S635">
        <v>0</v>
      </c>
      <c r="T635">
        <v>464.75</v>
      </c>
      <c r="U635">
        <v>0</v>
      </c>
      <c r="V635">
        <v>464.75</v>
      </c>
      <c r="W635" t="str">
        <f>"$"</f>
        <v>$</v>
      </c>
      <c r="X635">
        <v>0</v>
      </c>
      <c r="Y635">
        <v>0</v>
      </c>
      <c r="Z635">
        <v>0</v>
      </c>
      <c r="AA635" t="str">
        <f>"Y"</f>
        <v>Y</v>
      </c>
      <c r="AB635" t="str">
        <f>"SO22000469"</f>
        <v>SO22000469</v>
      </c>
      <c r="AC635">
        <v>3</v>
      </c>
      <c r="AD635" s="1">
        <v>44915</v>
      </c>
      <c r="AE635" t="str">
        <f>"SH23000594"</f>
        <v>SH23000594</v>
      </c>
      <c r="AF635" t="str">
        <f>"משלוחים ללקוח"</f>
        <v>משלוחים ללקוח</v>
      </c>
      <c r="AG635" s="1">
        <v>45062</v>
      </c>
      <c r="AM635" t="str">
        <f>"10"</f>
        <v>10</v>
      </c>
      <c r="AN635" t="str">
        <f>"500000"</f>
        <v>500000</v>
      </c>
      <c r="AO635" t="str">
        <f>"הכנסות  מלקוחות"</f>
        <v>הכנסות  מלקוחות</v>
      </c>
      <c r="AQ635" t="str">
        <f>"040"</f>
        <v>040</v>
      </c>
      <c r="AR635">
        <v>0</v>
      </c>
      <c r="AS635">
        <v>0</v>
      </c>
      <c r="AT635">
        <v>3.661</v>
      </c>
      <c r="AX635" t="str">
        <f>"E000374099"</f>
        <v>E000374099</v>
      </c>
      <c r="BD635" t="str">
        <f>"רחמים זרוק"</f>
        <v>רחמים זרוק</v>
      </c>
    </row>
    <row r="636" spans="1:56" x14ac:dyDescent="0.3">
      <c r="A636" s="1">
        <v>45062</v>
      </c>
      <c r="B636" t="str">
        <f>"SI236000657"</f>
        <v>SI236000657</v>
      </c>
      <c r="C636" t="str">
        <f>"PR22000904"</f>
        <v>PR22000904</v>
      </c>
      <c r="E636" t="str">
        <f>"Y"</f>
        <v>Y</v>
      </c>
      <c r="F636" t="str">
        <f>"חשבוניות מרכזות"</f>
        <v>חשבוניות מרכזות</v>
      </c>
      <c r="G636" t="str">
        <f>"700065"</f>
        <v>700065</v>
      </c>
      <c r="H636" t="str">
        <f>"אלתא מערכות בע""מ"</f>
        <v>אלתא מערכות בע"מ</v>
      </c>
      <c r="I636" t="str">
        <f>"15"</f>
        <v>15</v>
      </c>
      <c r="J636" t="str">
        <f>"OP-AR03465"</f>
        <v>OP-AR03465</v>
      </c>
      <c r="K636" t="str">
        <f>"1021M629-002    HARNESS W06 - HVPS4 TO TB2"</f>
        <v>1021M629-002    HARNESS W06 - HVPS4 TO TB2</v>
      </c>
      <c r="L636">
        <v>1</v>
      </c>
      <c r="M636" t="str">
        <f>"יח"</f>
        <v>יח</v>
      </c>
      <c r="N636">
        <v>1</v>
      </c>
      <c r="O636" t="str">
        <f>"יח"</f>
        <v>יח</v>
      </c>
      <c r="P636">
        <v>495.66</v>
      </c>
      <c r="Q636" t="str">
        <f>"$"</f>
        <v>$</v>
      </c>
      <c r="R636" t="str">
        <f>"הזמנה"</f>
        <v>הזמנה</v>
      </c>
      <c r="S636">
        <v>0</v>
      </c>
      <c r="T636">
        <v>495.66</v>
      </c>
      <c r="U636">
        <v>0</v>
      </c>
      <c r="V636">
        <v>495.66</v>
      </c>
      <c r="W636" t="str">
        <f>"$"</f>
        <v>$</v>
      </c>
      <c r="X636">
        <v>0</v>
      </c>
      <c r="Y636">
        <v>0</v>
      </c>
      <c r="Z636">
        <v>0</v>
      </c>
      <c r="AA636" t="str">
        <f>"Y"</f>
        <v>Y</v>
      </c>
      <c r="AB636" t="str">
        <f>"SO22000469"</f>
        <v>SO22000469</v>
      </c>
      <c r="AC636">
        <v>4</v>
      </c>
      <c r="AD636" s="1">
        <v>44915</v>
      </c>
      <c r="AE636" t="str">
        <f>"SH23000594"</f>
        <v>SH23000594</v>
      </c>
      <c r="AF636" t="str">
        <f>"משלוחים ללקוח"</f>
        <v>משלוחים ללקוח</v>
      </c>
      <c r="AG636" s="1">
        <v>45062</v>
      </c>
      <c r="AM636" t="str">
        <f>"10"</f>
        <v>10</v>
      </c>
      <c r="AN636" t="str">
        <f>"500000"</f>
        <v>500000</v>
      </c>
      <c r="AO636" t="str">
        <f>"הכנסות  מלקוחות"</f>
        <v>הכנסות  מלקוחות</v>
      </c>
      <c r="AQ636" t="str">
        <f>"040"</f>
        <v>040</v>
      </c>
      <c r="AR636">
        <v>0</v>
      </c>
      <c r="AS636">
        <v>0</v>
      </c>
      <c r="AT636">
        <v>3.661</v>
      </c>
      <c r="AX636" t="str">
        <f>"E000374099"</f>
        <v>E000374099</v>
      </c>
      <c r="BD636" t="str">
        <f>"רחמים זרוק"</f>
        <v>רחמים זרוק</v>
      </c>
    </row>
    <row r="637" spans="1:56" x14ac:dyDescent="0.3">
      <c r="A637" s="1">
        <v>45062</v>
      </c>
      <c r="B637" t="str">
        <f>"SI236000657"</f>
        <v>SI236000657</v>
      </c>
      <c r="C637" t="str">
        <f>"PR22000904"</f>
        <v>PR22000904</v>
      </c>
      <c r="E637" t="str">
        <f>"Y"</f>
        <v>Y</v>
      </c>
      <c r="F637" t="str">
        <f>"חשבוניות מרכזות"</f>
        <v>חשבוניות מרכזות</v>
      </c>
      <c r="G637" t="str">
        <f>"700065"</f>
        <v>700065</v>
      </c>
      <c r="H637" t="str">
        <f>"אלתא מערכות בע""מ"</f>
        <v>אלתא מערכות בע"מ</v>
      </c>
      <c r="I637" t="str">
        <f>"15"</f>
        <v>15</v>
      </c>
      <c r="J637" t="str">
        <f>"OP-AR03466"</f>
        <v>OP-AR03466</v>
      </c>
      <c r="K637" t="str">
        <f>"1021M630-002    HARNESS W07 - HVPS5 TO TB2"</f>
        <v>1021M630-002    HARNESS W07 - HVPS5 TO TB2</v>
      </c>
      <c r="L637">
        <v>1</v>
      </c>
      <c r="M637" t="str">
        <f>"יח"</f>
        <v>יח</v>
      </c>
      <c r="N637">
        <v>1</v>
      </c>
      <c r="O637" t="str">
        <f>"יח"</f>
        <v>יח</v>
      </c>
      <c r="P637">
        <v>483.81</v>
      </c>
      <c r="Q637" t="str">
        <f>"$"</f>
        <v>$</v>
      </c>
      <c r="R637" t="str">
        <f>"הזמנה"</f>
        <v>הזמנה</v>
      </c>
      <c r="S637">
        <v>0</v>
      </c>
      <c r="T637">
        <v>483.81</v>
      </c>
      <c r="U637">
        <v>0</v>
      </c>
      <c r="V637">
        <v>483.81</v>
      </c>
      <c r="W637" t="str">
        <f>"$"</f>
        <v>$</v>
      </c>
      <c r="X637">
        <v>0</v>
      </c>
      <c r="Y637">
        <v>0</v>
      </c>
      <c r="Z637">
        <v>0</v>
      </c>
      <c r="AA637" t="str">
        <f>"Y"</f>
        <v>Y</v>
      </c>
      <c r="AB637" t="str">
        <f>"SO22000469"</f>
        <v>SO22000469</v>
      </c>
      <c r="AC637">
        <v>5</v>
      </c>
      <c r="AD637" s="1">
        <v>44915</v>
      </c>
      <c r="AE637" t="str">
        <f>"SH23000594"</f>
        <v>SH23000594</v>
      </c>
      <c r="AF637" t="str">
        <f>"משלוחים ללקוח"</f>
        <v>משלוחים ללקוח</v>
      </c>
      <c r="AG637" s="1">
        <v>45062</v>
      </c>
      <c r="AM637" t="str">
        <f>"10"</f>
        <v>10</v>
      </c>
      <c r="AN637" t="str">
        <f>"500000"</f>
        <v>500000</v>
      </c>
      <c r="AO637" t="str">
        <f>"הכנסות  מלקוחות"</f>
        <v>הכנסות  מלקוחות</v>
      </c>
      <c r="AQ637" t="str">
        <f>"040"</f>
        <v>040</v>
      </c>
      <c r="AR637">
        <v>0</v>
      </c>
      <c r="AS637">
        <v>0</v>
      </c>
      <c r="AT637">
        <v>3.661</v>
      </c>
      <c r="AX637" t="str">
        <f>"E000374099"</f>
        <v>E000374099</v>
      </c>
      <c r="BD637" t="str">
        <f>"רחמים זרוק"</f>
        <v>רחמים זרוק</v>
      </c>
    </row>
    <row r="638" spans="1:56" x14ac:dyDescent="0.3">
      <c r="A638" s="1">
        <v>45062</v>
      </c>
      <c r="B638" t="str">
        <f>"SI236000657"</f>
        <v>SI236000657</v>
      </c>
      <c r="C638" t="str">
        <f>"PR22000904"</f>
        <v>PR22000904</v>
      </c>
      <c r="E638" t="str">
        <f>"Y"</f>
        <v>Y</v>
      </c>
      <c r="F638" t="str">
        <f>"חשבוניות מרכזות"</f>
        <v>חשבוניות מרכזות</v>
      </c>
      <c r="G638" t="str">
        <f>"700065"</f>
        <v>700065</v>
      </c>
      <c r="H638" t="str">
        <f>"אלתא מערכות בע""מ"</f>
        <v>אלתא מערכות בע"מ</v>
      </c>
      <c r="I638" t="str">
        <f>"15"</f>
        <v>15</v>
      </c>
      <c r="J638" t="str">
        <f>"OP-AR03517"</f>
        <v>OP-AR03517</v>
      </c>
      <c r="K638" t="str">
        <f>"1032F135-001    HARNESS WL135 - BEL EPU1 TO LPX ACR FUL"</f>
        <v>1032F135-001    HARNESS WL135 - BEL EPU1 TO LPX ACR FUL</v>
      </c>
      <c r="L638">
        <v>1</v>
      </c>
      <c r="M638" t="str">
        <f>"יח"</f>
        <v>יח</v>
      </c>
      <c r="N638">
        <v>1</v>
      </c>
      <c r="O638" t="str">
        <f>"יח"</f>
        <v>יח</v>
      </c>
      <c r="P638">
        <v>324.12</v>
      </c>
      <c r="Q638" t="str">
        <f>"$"</f>
        <v>$</v>
      </c>
      <c r="R638" t="str">
        <f>"הזמנה"</f>
        <v>הזמנה</v>
      </c>
      <c r="S638">
        <v>0</v>
      </c>
      <c r="T638">
        <v>324.12</v>
      </c>
      <c r="U638">
        <v>0</v>
      </c>
      <c r="V638">
        <v>324.12</v>
      </c>
      <c r="W638" t="str">
        <f>"$"</f>
        <v>$</v>
      </c>
      <c r="X638">
        <v>0</v>
      </c>
      <c r="Y638">
        <v>0</v>
      </c>
      <c r="Z638">
        <v>0</v>
      </c>
      <c r="AA638" t="str">
        <f>"Y"</f>
        <v>Y</v>
      </c>
      <c r="AB638" t="str">
        <f>"SO22000469"</f>
        <v>SO22000469</v>
      </c>
      <c r="AC638">
        <v>14</v>
      </c>
      <c r="AD638" s="1">
        <v>44915</v>
      </c>
      <c r="AE638" t="str">
        <f>"SH23000594"</f>
        <v>SH23000594</v>
      </c>
      <c r="AF638" t="str">
        <f>"משלוחים ללקוח"</f>
        <v>משלוחים ללקוח</v>
      </c>
      <c r="AG638" s="1">
        <v>45062</v>
      </c>
      <c r="AM638" t="str">
        <f>"10"</f>
        <v>10</v>
      </c>
      <c r="AN638" t="str">
        <f>"500000"</f>
        <v>500000</v>
      </c>
      <c r="AO638" t="str">
        <f>"הכנסות  מלקוחות"</f>
        <v>הכנסות  מלקוחות</v>
      </c>
      <c r="AQ638" t="str">
        <f>"040"</f>
        <v>040</v>
      </c>
      <c r="AR638">
        <v>0</v>
      </c>
      <c r="AS638">
        <v>0</v>
      </c>
      <c r="AT638">
        <v>3.661</v>
      </c>
      <c r="AX638" t="str">
        <f>"E000374099"</f>
        <v>E000374099</v>
      </c>
      <c r="BD638" t="str">
        <f>"רחמים זרוק"</f>
        <v>רחמים זרוק</v>
      </c>
    </row>
    <row r="639" spans="1:56" x14ac:dyDescent="0.3">
      <c r="A639" s="1">
        <v>45062</v>
      </c>
      <c r="B639" t="str">
        <f>"SI236000657"</f>
        <v>SI236000657</v>
      </c>
      <c r="C639" t="str">
        <f>"PR22000904"</f>
        <v>PR22000904</v>
      </c>
      <c r="E639" t="str">
        <f>"Y"</f>
        <v>Y</v>
      </c>
      <c r="F639" t="str">
        <f>"חשבוניות מרכזות"</f>
        <v>חשבוניות מרכזות</v>
      </c>
      <c r="G639" t="str">
        <f>"700065"</f>
        <v>700065</v>
      </c>
      <c r="H639" t="str">
        <f>"אלתא מערכות בע""מ"</f>
        <v>אלתא מערכות בע"מ</v>
      </c>
      <c r="I639" t="str">
        <f>"15"</f>
        <v>15</v>
      </c>
      <c r="J639" t="str">
        <f>"OP-AR03517"</f>
        <v>OP-AR03517</v>
      </c>
      <c r="K639" t="str">
        <f>"1032F135-001    HARNESS WL135 - BEL EPU1 TO LPX ACR FUL"</f>
        <v>1032F135-001    HARNESS WL135 - BEL EPU1 TO LPX ACR FUL</v>
      </c>
      <c r="L639">
        <v>1</v>
      </c>
      <c r="M639" t="str">
        <f>"יח"</f>
        <v>יח</v>
      </c>
      <c r="N639">
        <v>1</v>
      </c>
      <c r="O639" t="str">
        <f>"יח"</f>
        <v>יח</v>
      </c>
      <c r="P639">
        <v>324.12</v>
      </c>
      <c r="Q639" t="str">
        <f>"$"</f>
        <v>$</v>
      </c>
      <c r="R639" t="str">
        <f>"הזמנה"</f>
        <v>הזמנה</v>
      </c>
      <c r="S639">
        <v>0</v>
      </c>
      <c r="T639">
        <v>324.12</v>
      </c>
      <c r="U639">
        <v>0</v>
      </c>
      <c r="V639">
        <v>324.12</v>
      </c>
      <c r="W639" t="str">
        <f>"$"</f>
        <v>$</v>
      </c>
      <c r="X639">
        <v>0</v>
      </c>
      <c r="Y639">
        <v>0</v>
      </c>
      <c r="Z639">
        <v>0</v>
      </c>
      <c r="AA639" t="str">
        <f>"Y"</f>
        <v>Y</v>
      </c>
      <c r="AB639" t="str">
        <f>"SO22000469"</f>
        <v>SO22000469</v>
      </c>
      <c r="AC639">
        <v>15</v>
      </c>
      <c r="AD639" s="1">
        <v>44915</v>
      </c>
      <c r="AE639" t="str">
        <f>"SH23000594"</f>
        <v>SH23000594</v>
      </c>
      <c r="AF639" t="str">
        <f>"משלוחים ללקוח"</f>
        <v>משלוחים ללקוח</v>
      </c>
      <c r="AG639" s="1">
        <v>45062</v>
      </c>
      <c r="AM639" t="str">
        <f>"10"</f>
        <v>10</v>
      </c>
      <c r="AN639" t="str">
        <f>"500000"</f>
        <v>500000</v>
      </c>
      <c r="AO639" t="str">
        <f>"הכנסות  מלקוחות"</f>
        <v>הכנסות  מלקוחות</v>
      </c>
      <c r="AQ639" t="str">
        <f>"040"</f>
        <v>040</v>
      </c>
      <c r="AR639">
        <v>0</v>
      </c>
      <c r="AS639">
        <v>0</v>
      </c>
      <c r="AT639">
        <v>3.661</v>
      </c>
      <c r="AX639" t="str">
        <f>"E000374099"</f>
        <v>E000374099</v>
      </c>
      <c r="BD639" t="str">
        <f>"רחמים זרוק"</f>
        <v>רחמים זרוק</v>
      </c>
    </row>
    <row r="640" spans="1:56" x14ac:dyDescent="0.3">
      <c r="A640" s="1">
        <v>45062</v>
      </c>
      <c r="B640" t="str">
        <f>"SI236000657"</f>
        <v>SI236000657</v>
      </c>
      <c r="C640" t="str">
        <f>"PR22000904"</f>
        <v>PR22000904</v>
      </c>
      <c r="E640" t="str">
        <f>"Y"</f>
        <v>Y</v>
      </c>
      <c r="F640" t="str">
        <f>"חשבוניות מרכזות"</f>
        <v>חשבוניות מרכזות</v>
      </c>
      <c r="G640" t="str">
        <f>"700065"</f>
        <v>700065</v>
      </c>
      <c r="H640" t="str">
        <f>"אלתא מערכות בע""מ"</f>
        <v>אלתא מערכות בע"מ</v>
      </c>
      <c r="I640" t="str">
        <f>"15"</f>
        <v>15</v>
      </c>
      <c r="J640" t="str">
        <f>"OP-AR03475"</f>
        <v>OP-AR03475</v>
      </c>
      <c r="K640" t="str">
        <f>"1032F609-001    HARNESS WB609 - LAB - POWER TO EPU2 - 38"</f>
        <v>1032F609-001    HARNESS WB609 - LAB - POWER TO EPU2 - 38</v>
      </c>
      <c r="L640">
        <v>1</v>
      </c>
      <c r="M640" t="str">
        <f>"יח"</f>
        <v>יח</v>
      </c>
      <c r="N640">
        <v>1</v>
      </c>
      <c r="O640" t="str">
        <f>"יח"</f>
        <v>יח</v>
      </c>
      <c r="P640">
        <v>684.3</v>
      </c>
      <c r="Q640" t="str">
        <f>"$"</f>
        <v>$</v>
      </c>
      <c r="R640" t="str">
        <f>"הזמנה"</f>
        <v>הזמנה</v>
      </c>
      <c r="S640">
        <v>0</v>
      </c>
      <c r="T640">
        <v>684.3</v>
      </c>
      <c r="U640">
        <v>0</v>
      </c>
      <c r="V640">
        <v>684.3</v>
      </c>
      <c r="W640" t="str">
        <f>"$"</f>
        <v>$</v>
      </c>
      <c r="X640">
        <v>0</v>
      </c>
      <c r="Y640">
        <v>0</v>
      </c>
      <c r="Z640">
        <v>0</v>
      </c>
      <c r="AA640" t="str">
        <f>"Y"</f>
        <v>Y</v>
      </c>
      <c r="AB640" t="str">
        <f>"SO22000469"</f>
        <v>SO22000469</v>
      </c>
      <c r="AC640">
        <v>17</v>
      </c>
      <c r="AD640" s="1">
        <v>44915</v>
      </c>
      <c r="AE640" t="str">
        <f>"SH23000594"</f>
        <v>SH23000594</v>
      </c>
      <c r="AF640" t="str">
        <f>"משלוחים ללקוח"</f>
        <v>משלוחים ללקוח</v>
      </c>
      <c r="AG640" s="1">
        <v>45062</v>
      </c>
      <c r="AM640" t="str">
        <f>"10"</f>
        <v>10</v>
      </c>
      <c r="AN640" t="str">
        <f>"500000"</f>
        <v>500000</v>
      </c>
      <c r="AO640" t="str">
        <f>"הכנסות  מלקוחות"</f>
        <v>הכנסות  מלקוחות</v>
      </c>
      <c r="AQ640" t="str">
        <f>"040"</f>
        <v>040</v>
      </c>
      <c r="AR640">
        <v>0</v>
      </c>
      <c r="AS640">
        <v>0</v>
      </c>
      <c r="AT640">
        <v>3.661</v>
      </c>
      <c r="AX640" t="str">
        <f>"E000374099"</f>
        <v>E000374099</v>
      </c>
      <c r="BD640" t="str">
        <f>"רחמים זרוק"</f>
        <v>רחמים זרוק</v>
      </c>
    </row>
    <row r="641" spans="1:56" x14ac:dyDescent="0.3">
      <c r="A641" s="1">
        <v>45062</v>
      </c>
      <c r="B641" t="str">
        <f>"SI236000657"</f>
        <v>SI236000657</v>
      </c>
      <c r="C641" t="str">
        <f>"PR22000904"</f>
        <v>PR22000904</v>
      </c>
      <c r="E641" t="str">
        <f>"Y"</f>
        <v>Y</v>
      </c>
      <c r="F641" t="str">
        <f>"חשבוניות מרכזות"</f>
        <v>חשבוניות מרכזות</v>
      </c>
      <c r="G641" t="str">
        <f>"700065"</f>
        <v>700065</v>
      </c>
      <c r="H641" t="str">
        <f>"אלתא מערכות בע""מ"</f>
        <v>אלתא מערכות בע"מ</v>
      </c>
      <c r="I641" t="str">
        <f>"15"</f>
        <v>15</v>
      </c>
      <c r="J641" t="str">
        <f>"OP-AR03478"</f>
        <v>OP-AR03478</v>
      </c>
      <c r="K641" t="str">
        <f>"1032F620-001    HARNESS WB620 - LAB - SHELTER PANEL B TO"</f>
        <v>1032F620-001    HARNESS WB620 - LAB - SHELTER PANEL B TO</v>
      </c>
      <c r="L641">
        <v>1</v>
      </c>
      <c r="M641" t="str">
        <f>"יח"</f>
        <v>יח</v>
      </c>
      <c r="N641">
        <v>1</v>
      </c>
      <c r="O641" t="str">
        <f>"יח"</f>
        <v>יח</v>
      </c>
      <c r="P641" s="2">
        <v>1753.81</v>
      </c>
      <c r="Q641" t="str">
        <f>"$"</f>
        <v>$</v>
      </c>
      <c r="R641" t="str">
        <f>"הזמנה"</f>
        <v>הזמנה</v>
      </c>
      <c r="S641">
        <v>0</v>
      </c>
      <c r="T641" s="2">
        <v>1753.81</v>
      </c>
      <c r="U641">
        <v>0</v>
      </c>
      <c r="V641" s="2">
        <v>1753.81</v>
      </c>
      <c r="W641" t="str">
        <f>"$"</f>
        <v>$</v>
      </c>
      <c r="X641">
        <v>0</v>
      </c>
      <c r="Y641">
        <v>0</v>
      </c>
      <c r="Z641">
        <v>0</v>
      </c>
      <c r="AA641" t="str">
        <f>"Y"</f>
        <v>Y</v>
      </c>
      <c r="AB641" t="str">
        <f>"SO22000469"</f>
        <v>SO22000469</v>
      </c>
      <c r="AC641">
        <v>20</v>
      </c>
      <c r="AD641" s="1">
        <v>44915</v>
      </c>
      <c r="AE641" t="str">
        <f>"SH23000594"</f>
        <v>SH23000594</v>
      </c>
      <c r="AF641" t="str">
        <f>"משלוחים ללקוח"</f>
        <v>משלוחים ללקוח</v>
      </c>
      <c r="AG641" s="1">
        <v>45062</v>
      </c>
      <c r="AM641" t="str">
        <f>"10"</f>
        <v>10</v>
      </c>
      <c r="AN641" t="str">
        <f>"500000"</f>
        <v>500000</v>
      </c>
      <c r="AO641" t="str">
        <f>"הכנסות  מלקוחות"</f>
        <v>הכנסות  מלקוחות</v>
      </c>
      <c r="AQ641" t="str">
        <f>"040"</f>
        <v>040</v>
      </c>
      <c r="AR641">
        <v>0</v>
      </c>
      <c r="AS641">
        <v>0</v>
      </c>
      <c r="AT641">
        <v>3.661</v>
      </c>
      <c r="AX641" t="str">
        <f>"E000374099"</f>
        <v>E000374099</v>
      </c>
      <c r="BD641" t="str">
        <f>"רחמים זרוק"</f>
        <v>רחמים זרוק</v>
      </c>
    </row>
    <row r="642" spans="1:56" x14ac:dyDescent="0.3">
      <c r="A642" s="1">
        <v>45062</v>
      </c>
      <c r="B642" t="str">
        <f>"SI236000657"</f>
        <v>SI236000657</v>
      </c>
      <c r="C642" t="str">
        <f>"PR22000904"</f>
        <v>PR22000904</v>
      </c>
      <c r="E642" t="str">
        <f>"Y"</f>
        <v>Y</v>
      </c>
      <c r="F642" t="str">
        <f>"חשבוניות מרכזות"</f>
        <v>חשבוניות מרכזות</v>
      </c>
      <c r="G642" t="str">
        <f>"700065"</f>
        <v>700065</v>
      </c>
      <c r="H642" t="str">
        <f>"אלתא מערכות בע""מ"</f>
        <v>אלתא מערכות בע"מ</v>
      </c>
      <c r="I642" t="str">
        <f>"15"</f>
        <v>15</v>
      </c>
      <c r="J642" t="str">
        <f>"OP-AR01883"</f>
        <v>OP-AR01883</v>
      </c>
      <c r="K642" t="str">
        <f>"1032F652-001 - HARNESS WB652 - LAB - EPU1 TO INS"</f>
        <v>1032F652-001 - HARNESS WB652 - LAB - EPU1 TO INS</v>
      </c>
      <c r="L642">
        <v>1</v>
      </c>
      <c r="M642" t="str">
        <f>"יח"</f>
        <v>יח</v>
      </c>
      <c r="N642">
        <v>1</v>
      </c>
      <c r="O642" t="str">
        <f>"יח"</f>
        <v>יח</v>
      </c>
      <c r="P642">
        <v>462.24</v>
      </c>
      <c r="Q642" t="str">
        <f>"$"</f>
        <v>$</v>
      </c>
      <c r="R642" t="str">
        <f>"הזמנה"</f>
        <v>הזמנה</v>
      </c>
      <c r="S642">
        <v>0</v>
      </c>
      <c r="T642">
        <v>462.24</v>
      </c>
      <c r="U642">
        <v>0</v>
      </c>
      <c r="V642">
        <v>462.24</v>
      </c>
      <c r="W642" t="str">
        <f>"$"</f>
        <v>$</v>
      </c>
      <c r="X642">
        <v>0</v>
      </c>
      <c r="Y642">
        <v>0</v>
      </c>
      <c r="Z642">
        <v>0</v>
      </c>
      <c r="AA642" t="str">
        <f>"Y"</f>
        <v>Y</v>
      </c>
      <c r="AB642" t="str">
        <f>"SO22000469"</f>
        <v>SO22000469</v>
      </c>
      <c r="AC642">
        <v>23</v>
      </c>
      <c r="AD642" s="1">
        <v>44915</v>
      </c>
      <c r="AE642" t="str">
        <f>"SH23000594"</f>
        <v>SH23000594</v>
      </c>
      <c r="AF642" t="str">
        <f>"משלוחים ללקוח"</f>
        <v>משלוחים ללקוח</v>
      </c>
      <c r="AG642" s="1">
        <v>45062</v>
      </c>
      <c r="AM642" t="str">
        <f>"10"</f>
        <v>10</v>
      </c>
      <c r="AN642" t="str">
        <f>"500000"</f>
        <v>500000</v>
      </c>
      <c r="AO642" t="str">
        <f>"הכנסות  מלקוחות"</f>
        <v>הכנסות  מלקוחות</v>
      </c>
      <c r="AQ642" t="str">
        <f>"040"</f>
        <v>040</v>
      </c>
      <c r="AR642">
        <v>0</v>
      </c>
      <c r="AS642">
        <v>0</v>
      </c>
      <c r="AT642">
        <v>3.661</v>
      </c>
      <c r="AX642" t="str">
        <f>"E000374099"</f>
        <v>E000374099</v>
      </c>
      <c r="BD642" t="str">
        <f>"רחמים זרוק"</f>
        <v>רחמים זרוק</v>
      </c>
    </row>
    <row r="643" spans="1:56" x14ac:dyDescent="0.3">
      <c r="A643" s="1">
        <v>45062</v>
      </c>
      <c r="B643" t="str">
        <f>"SI236000657"</f>
        <v>SI236000657</v>
      </c>
      <c r="C643" t="str">
        <f>"PR22000904"</f>
        <v>PR22000904</v>
      </c>
      <c r="E643" t="str">
        <f>"Y"</f>
        <v>Y</v>
      </c>
      <c r="F643" t="str">
        <f>"חשבוניות מרכזות"</f>
        <v>חשבוניות מרכזות</v>
      </c>
      <c r="G643" t="str">
        <f>"700065"</f>
        <v>700065</v>
      </c>
      <c r="H643" t="str">
        <f>"אלתא מערכות בע""מ"</f>
        <v>אלתא מערכות בע"מ</v>
      </c>
      <c r="I643" t="str">
        <f>"15"</f>
        <v>15</v>
      </c>
      <c r="J643" t="str">
        <f>"OP-AR03481"</f>
        <v>OP-AR03481</v>
      </c>
      <c r="K643" t="str">
        <f>"1032F655-001    HARNESS WB655 - LAB - EPU1 TO OC - CONTR"</f>
        <v>1032F655-001    HARNESS WB655 - LAB - EPU1 TO OC - CONTR</v>
      </c>
      <c r="L643">
        <v>1</v>
      </c>
      <c r="M643" t="str">
        <f>"יח"</f>
        <v>יח</v>
      </c>
      <c r="N643">
        <v>1</v>
      </c>
      <c r="O643" t="str">
        <f>"יח"</f>
        <v>יח</v>
      </c>
      <c r="P643">
        <v>576.41999999999996</v>
      </c>
      <c r="Q643" t="str">
        <f>"$"</f>
        <v>$</v>
      </c>
      <c r="R643" t="str">
        <f>"הזמנה"</f>
        <v>הזמנה</v>
      </c>
      <c r="S643">
        <v>0</v>
      </c>
      <c r="T643">
        <v>576.41999999999996</v>
      </c>
      <c r="U643">
        <v>0</v>
      </c>
      <c r="V643">
        <v>576.41999999999996</v>
      </c>
      <c r="W643" t="str">
        <f>"$"</f>
        <v>$</v>
      </c>
      <c r="X643">
        <v>0</v>
      </c>
      <c r="Y643">
        <v>0</v>
      </c>
      <c r="Z643">
        <v>0</v>
      </c>
      <c r="AA643" t="str">
        <f>"Y"</f>
        <v>Y</v>
      </c>
      <c r="AB643" t="str">
        <f>"SO22000469"</f>
        <v>SO22000469</v>
      </c>
      <c r="AC643">
        <v>25</v>
      </c>
      <c r="AD643" s="1">
        <v>44915</v>
      </c>
      <c r="AE643" t="str">
        <f>"SH23000594"</f>
        <v>SH23000594</v>
      </c>
      <c r="AF643" t="str">
        <f>"משלוחים ללקוח"</f>
        <v>משלוחים ללקוח</v>
      </c>
      <c r="AG643" s="1">
        <v>45062</v>
      </c>
      <c r="AM643" t="str">
        <f>"10"</f>
        <v>10</v>
      </c>
      <c r="AN643" t="str">
        <f>"500000"</f>
        <v>500000</v>
      </c>
      <c r="AO643" t="str">
        <f>"הכנסות  מלקוחות"</f>
        <v>הכנסות  מלקוחות</v>
      </c>
      <c r="AQ643" t="str">
        <f>"040"</f>
        <v>040</v>
      </c>
      <c r="AR643">
        <v>0</v>
      </c>
      <c r="AS643">
        <v>0</v>
      </c>
      <c r="AT643">
        <v>3.661</v>
      </c>
      <c r="AX643" t="str">
        <f>"E000374099"</f>
        <v>E000374099</v>
      </c>
      <c r="BD643" t="str">
        <f>"רחמים זרוק"</f>
        <v>רחמים זרוק</v>
      </c>
    </row>
    <row r="644" spans="1:56" x14ac:dyDescent="0.3">
      <c r="A644" s="1">
        <v>45062</v>
      </c>
      <c r="B644" t="str">
        <f>"SI236000657"</f>
        <v>SI236000657</v>
      </c>
      <c r="C644" t="str">
        <f>"PR22000904"</f>
        <v>PR22000904</v>
      </c>
      <c r="E644" t="str">
        <f>"Y"</f>
        <v>Y</v>
      </c>
      <c r="F644" t="str">
        <f>"חשבוניות מרכזות"</f>
        <v>חשבוניות מרכזות</v>
      </c>
      <c r="G644" t="str">
        <f>"700065"</f>
        <v>700065</v>
      </c>
      <c r="H644" t="str">
        <f>"אלתא מערכות בע""מ"</f>
        <v>אלתא מערכות בע"מ</v>
      </c>
      <c r="I644" t="str">
        <f>"15"</f>
        <v>15</v>
      </c>
      <c r="J644" t="str">
        <f>"OP-AR03483"</f>
        <v>OP-AR03483</v>
      </c>
      <c r="K644" t="str">
        <f>"1032F665-001    HARNESS WB665 - LAB - EPU1 TO EPU2 (HVP"</f>
        <v>1032F665-001    HARNESS WB665 - LAB - EPU1 TO EPU2 (HVP</v>
      </c>
      <c r="L644">
        <v>1</v>
      </c>
      <c r="M644" t="str">
        <f>"יח"</f>
        <v>יח</v>
      </c>
      <c r="N644">
        <v>1</v>
      </c>
      <c r="O644" t="str">
        <f>"יח"</f>
        <v>יח</v>
      </c>
      <c r="P644">
        <v>552.02</v>
      </c>
      <c r="Q644" t="str">
        <f>"$"</f>
        <v>$</v>
      </c>
      <c r="R644" t="str">
        <f>"הזמנה"</f>
        <v>הזמנה</v>
      </c>
      <c r="S644">
        <v>0</v>
      </c>
      <c r="T644">
        <v>552.02</v>
      </c>
      <c r="U644">
        <v>0</v>
      </c>
      <c r="V644">
        <v>552.02</v>
      </c>
      <c r="W644" t="str">
        <f>"$"</f>
        <v>$</v>
      </c>
      <c r="X644">
        <v>0</v>
      </c>
      <c r="Y644">
        <v>0</v>
      </c>
      <c r="Z644">
        <v>0</v>
      </c>
      <c r="AA644" t="str">
        <f>"Y"</f>
        <v>Y</v>
      </c>
      <c r="AB644" t="str">
        <f>"SO22000469"</f>
        <v>SO22000469</v>
      </c>
      <c r="AC644">
        <v>27</v>
      </c>
      <c r="AD644" s="1">
        <v>44915</v>
      </c>
      <c r="AE644" t="str">
        <f>"SH23000594"</f>
        <v>SH23000594</v>
      </c>
      <c r="AF644" t="str">
        <f>"משלוחים ללקוח"</f>
        <v>משלוחים ללקוח</v>
      </c>
      <c r="AG644" s="1">
        <v>45062</v>
      </c>
      <c r="AM644" t="str">
        <f>"10"</f>
        <v>10</v>
      </c>
      <c r="AN644" t="str">
        <f>"500000"</f>
        <v>500000</v>
      </c>
      <c r="AO644" t="str">
        <f>"הכנסות  מלקוחות"</f>
        <v>הכנסות  מלקוחות</v>
      </c>
      <c r="AQ644" t="str">
        <f>"040"</f>
        <v>040</v>
      </c>
      <c r="AR644">
        <v>0</v>
      </c>
      <c r="AS644">
        <v>0</v>
      </c>
      <c r="AT644">
        <v>3.661</v>
      </c>
      <c r="AX644" t="str">
        <f>"E000374099"</f>
        <v>E000374099</v>
      </c>
      <c r="BD644" t="str">
        <f>"רחמים זרוק"</f>
        <v>רחמים זרוק</v>
      </c>
    </row>
    <row r="645" spans="1:56" x14ac:dyDescent="0.3">
      <c r="A645" s="1">
        <v>45062</v>
      </c>
      <c r="B645" t="str">
        <f>"SI236000656"</f>
        <v>SI236000656</v>
      </c>
      <c r="C645" t="str">
        <f>"PR23000324"</f>
        <v>PR23000324</v>
      </c>
      <c r="E645" t="str">
        <f>"Y"</f>
        <v>Y</v>
      </c>
      <c r="F645" t="str">
        <f>"חשבוניות מרכזות"</f>
        <v>חשבוניות מרכזות</v>
      </c>
      <c r="G645" t="str">
        <f>"700065"</f>
        <v>700065</v>
      </c>
      <c r="H645" t="str">
        <f>"אלתא מערכות בע""מ"</f>
        <v>אלתא מערכות בע"מ</v>
      </c>
      <c r="I645" t="str">
        <f>"10"</f>
        <v>10</v>
      </c>
      <c r="J645" t="str">
        <f>"PD9900453"</f>
        <v>PD9900453</v>
      </c>
      <c r="K645" t="str">
        <f>"משגוח בידוד ABB CM-IWS.1S"</f>
        <v>משגוח בידוד ABB CM-IWS.1S</v>
      </c>
      <c r="L645">
        <v>1</v>
      </c>
      <c r="M645" t="str">
        <f>"יח"</f>
        <v>יח</v>
      </c>
      <c r="N645">
        <v>1</v>
      </c>
      <c r="O645" t="str">
        <f>"יח"</f>
        <v>יח</v>
      </c>
      <c r="P645">
        <v>610</v>
      </c>
      <c r="Q645" t="str">
        <f>"$"</f>
        <v>$</v>
      </c>
      <c r="R645" t="str">
        <f>"הזמנה"</f>
        <v>הזמנה</v>
      </c>
      <c r="S645">
        <v>0</v>
      </c>
      <c r="T645">
        <v>610</v>
      </c>
      <c r="U645">
        <v>0</v>
      </c>
      <c r="V645">
        <v>610</v>
      </c>
      <c r="W645" t="str">
        <f>"$"</f>
        <v>$</v>
      </c>
      <c r="X645">
        <v>0</v>
      </c>
      <c r="Y645">
        <v>0</v>
      </c>
      <c r="Z645">
        <v>0</v>
      </c>
      <c r="AA645" t="str">
        <f>"Y"</f>
        <v>Y</v>
      </c>
      <c r="AB645" t="str">
        <f>"SO22000463"</f>
        <v>SO22000463</v>
      </c>
      <c r="AC645">
        <v>4</v>
      </c>
      <c r="AD645" s="1">
        <v>44913</v>
      </c>
      <c r="AE645" t="str">
        <f>"SH23000591"</f>
        <v>SH23000591</v>
      </c>
      <c r="AF645" t="str">
        <f>"משלוחים ללקוח"</f>
        <v>משלוחים ללקוח</v>
      </c>
      <c r="AG645" s="1">
        <v>45062</v>
      </c>
      <c r="AM645" t="str">
        <f>"10"</f>
        <v>10</v>
      </c>
      <c r="AN645" t="str">
        <f>"500000"</f>
        <v>500000</v>
      </c>
      <c r="AO645" t="str">
        <f>"הכנסות  מלקוחות"</f>
        <v>הכנסות  מלקוחות</v>
      </c>
      <c r="AQ645" t="str">
        <f>"040"</f>
        <v>040</v>
      </c>
      <c r="AR645">
        <v>0</v>
      </c>
      <c r="AS645">
        <v>0</v>
      </c>
      <c r="AT645">
        <v>3.661</v>
      </c>
      <c r="AX645" t="str">
        <f>"E000381458"</f>
        <v>E000381458</v>
      </c>
      <c r="BD645" t="str">
        <f>"רחמים זרוק"</f>
        <v>רחמים זרוק</v>
      </c>
    </row>
    <row r="646" spans="1:56" x14ac:dyDescent="0.3">
      <c r="A646" s="1">
        <v>45062</v>
      </c>
      <c r="B646" t="str">
        <f>"SI236000656"</f>
        <v>SI236000656</v>
      </c>
      <c r="C646" t="str">
        <f>"PR23000324"</f>
        <v>PR23000324</v>
      </c>
      <c r="E646" t="str">
        <f>"Y"</f>
        <v>Y</v>
      </c>
      <c r="F646" t="str">
        <f>"חשבוניות מרכזות"</f>
        <v>חשבוניות מרכזות</v>
      </c>
      <c r="G646" t="str">
        <f>"700065"</f>
        <v>700065</v>
      </c>
      <c r="H646" t="str">
        <f>"אלתא מערכות בע""מ"</f>
        <v>אלתא מערכות בע"מ</v>
      </c>
      <c r="I646" t="str">
        <f>"10"</f>
        <v>10</v>
      </c>
      <c r="J646" t="str">
        <f>"PD9900453"</f>
        <v>PD9900453</v>
      </c>
      <c r="K646" t="str">
        <f>"משגוח בידוד ABB CM-IWS.1S"</f>
        <v>משגוח בידוד ABB CM-IWS.1S</v>
      </c>
      <c r="L646">
        <v>1</v>
      </c>
      <c r="M646" t="str">
        <f>"יח"</f>
        <v>יח</v>
      </c>
      <c r="N646">
        <v>1</v>
      </c>
      <c r="O646" t="str">
        <f>"יח"</f>
        <v>יח</v>
      </c>
      <c r="P646">
        <v>610</v>
      </c>
      <c r="Q646" t="str">
        <f>"$"</f>
        <v>$</v>
      </c>
      <c r="R646" t="str">
        <f>"הזמנה"</f>
        <v>הזמנה</v>
      </c>
      <c r="S646">
        <v>0</v>
      </c>
      <c r="T646">
        <v>610</v>
      </c>
      <c r="U646">
        <v>0</v>
      </c>
      <c r="V646">
        <v>610</v>
      </c>
      <c r="W646" t="str">
        <f>"$"</f>
        <v>$</v>
      </c>
      <c r="X646">
        <v>0</v>
      </c>
      <c r="Y646">
        <v>0</v>
      </c>
      <c r="Z646">
        <v>0</v>
      </c>
      <c r="AA646" t="str">
        <f>"Y"</f>
        <v>Y</v>
      </c>
      <c r="AB646" t="str">
        <f>"SO22000463"</f>
        <v>SO22000463</v>
      </c>
      <c r="AC646">
        <v>5</v>
      </c>
      <c r="AD646" s="1">
        <v>44913</v>
      </c>
      <c r="AE646" t="str">
        <f>"SH23000591"</f>
        <v>SH23000591</v>
      </c>
      <c r="AF646" t="str">
        <f>"משלוחים ללקוח"</f>
        <v>משלוחים ללקוח</v>
      </c>
      <c r="AG646" s="1">
        <v>45062</v>
      </c>
      <c r="AM646" t="str">
        <f>"10"</f>
        <v>10</v>
      </c>
      <c r="AN646" t="str">
        <f>"500000"</f>
        <v>500000</v>
      </c>
      <c r="AO646" t="str">
        <f>"הכנסות  מלקוחות"</f>
        <v>הכנסות  מלקוחות</v>
      </c>
      <c r="AQ646" t="str">
        <f>"040"</f>
        <v>040</v>
      </c>
      <c r="AR646">
        <v>0</v>
      </c>
      <c r="AS646">
        <v>0</v>
      </c>
      <c r="AT646">
        <v>3.661</v>
      </c>
      <c r="AX646" t="str">
        <f>"E000381458"</f>
        <v>E000381458</v>
      </c>
      <c r="BD646" t="str">
        <f>"רחמים זרוק"</f>
        <v>רחמים זרוק</v>
      </c>
    </row>
    <row r="647" spans="1:56" x14ac:dyDescent="0.3">
      <c r="A647" s="1">
        <v>45062</v>
      </c>
      <c r="B647" t="str">
        <f>"SI236000642"</f>
        <v>SI236000642</v>
      </c>
      <c r="C647" t="str">
        <f>"PR23000276"</f>
        <v>PR23000276</v>
      </c>
      <c r="D647" t="str">
        <f>"PR23000276"</f>
        <v>PR23000276</v>
      </c>
      <c r="E647" t="str">
        <f>"Y"</f>
        <v>Y</v>
      </c>
      <c r="F647" t="str">
        <f>"חשבוניות מרכזות"</f>
        <v>חשבוניות מרכזות</v>
      </c>
      <c r="G647" t="str">
        <f>"700065"</f>
        <v>700065</v>
      </c>
      <c r="H647" t="str">
        <f>"אלתא מערכות בע""מ"</f>
        <v>אלתא מערכות בע"מ</v>
      </c>
      <c r="I647" t="str">
        <f>"15"</f>
        <v>15</v>
      </c>
      <c r="J647" t="str">
        <f>"OP-AR01981"</f>
        <v>OP-AR01981</v>
      </c>
      <c r="K647" t="str">
        <f>"כבל הזנהRPU TO PDB1 1#"</f>
        <v>כבל הזנהRPU TO PDB1 1#</v>
      </c>
      <c r="L647">
        <v>1</v>
      </c>
      <c r="M647" t="str">
        <f>"יח"</f>
        <v>יח</v>
      </c>
      <c r="N647">
        <v>1</v>
      </c>
      <c r="O647" t="str">
        <f>"יח"</f>
        <v>יח</v>
      </c>
      <c r="P647" s="2">
        <v>7440</v>
      </c>
      <c r="Q647" t="str">
        <f>"$"</f>
        <v>$</v>
      </c>
      <c r="R647" t="str">
        <f>"הזמנה"</f>
        <v>הזמנה</v>
      </c>
      <c r="S647">
        <v>0</v>
      </c>
      <c r="T647" s="2">
        <v>7440</v>
      </c>
      <c r="U647">
        <v>0</v>
      </c>
      <c r="V647" s="2">
        <v>7440</v>
      </c>
      <c r="W647" t="str">
        <f>"$"</f>
        <v>$</v>
      </c>
      <c r="X647">
        <v>0</v>
      </c>
      <c r="Y647">
        <v>0</v>
      </c>
      <c r="Z647">
        <v>0</v>
      </c>
      <c r="AA647" t="str">
        <f>"Y"</f>
        <v>Y</v>
      </c>
      <c r="AB647" t="str">
        <f>"SO23000188"</f>
        <v>SO23000188</v>
      </c>
      <c r="AC647">
        <v>1</v>
      </c>
      <c r="AD647" s="1">
        <v>45035</v>
      </c>
      <c r="AE647" t="str">
        <f>"SH23000569"</f>
        <v>SH23000569</v>
      </c>
      <c r="AF647" t="str">
        <f>"משלוחים ללקוח"</f>
        <v>משלוחים ללקוח</v>
      </c>
      <c r="AG647" s="1">
        <v>45057</v>
      </c>
      <c r="AM647" t="str">
        <f>"10"</f>
        <v>10</v>
      </c>
      <c r="AN647" t="str">
        <f>"500000"</f>
        <v>500000</v>
      </c>
      <c r="AO647" t="str">
        <f>"הכנסות  מלקוחות"</f>
        <v>הכנסות  מלקוחות</v>
      </c>
      <c r="AQ647" t="str">
        <f>"034"</f>
        <v>034</v>
      </c>
      <c r="AR647">
        <v>0</v>
      </c>
      <c r="AS647">
        <v>0</v>
      </c>
      <c r="AT647">
        <v>3.661</v>
      </c>
      <c r="AX647" t="str">
        <f>"E000392214"</f>
        <v>E000392214</v>
      </c>
      <c r="BD647" t="str">
        <f>"ערן שלו"</f>
        <v>ערן שלו</v>
      </c>
    </row>
    <row r="648" spans="1:56" x14ac:dyDescent="0.3">
      <c r="A648" s="1">
        <v>45062</v>
      </c>
      <c r="B648" t="str">
        <f>"SI236000642"</f>
        <v>SI236000642</v>
      </c>
      <c r="C648" t="str">
        <f>"PR23000276"</f>
        <v>PR23000276</v>
      </c>
      <c r="D648" t="str">
        <f>"PR23000276"</f>
        <v>PR23000276</v>
      </c>
      <c r="E648" t="str">
        <f>"Y"</f>
        <v>Y</v>
      </c>
      <c r="F648" t="str">
        <f>"חשבוניות מרכזות"</f>
        <v>חשבוניות מרכזות</v>
      </c>
      <c r="G648" t="str">
        <f>"700065"</f>
        <v>700065</v>
      </c>
      <c r="H648" t="str">
        <f>"אלתא מערכות בע""מ"</f>
        <v>אלתא מערכות בע"מ</v>
      </c>
      <c r="I648" t="str">
        <f>"15"</f>
        <v>15</v>
      </c>
      <c r="J648" t="str">
        <f>"OP-AR02209"</f>
        <v>OP-AR02209</v>
      </c>
      <c r="K648" t="str">
        <f>"כבל הזנהRPU TO PDB1 2#"</f>
        <v>כבל הזנהRPU TO PDB1 2#</v>
      </c>
      <c r="L648">
        <v>1</v>
      </c>
      <c r="M648" t="str">
        <f>"יח"</f>
        <v>יח</v>
      </c>
      <c r="N648">
        <v>1</v>
      </c>
      <c r="O648" t="str">
        <f>"יח"</f>
        <v>יח</v>
      </c>
      <c r="P648" s="2">
        <v>7440</v>
      </c>
      <c r="Q648" t="str">
        <f>"$"</f>
        <v>$</v>
      </c>
      <c r="R648" t="str">
        <f>"הזמנה"</f>
        <v>הזמנה</v>
      </c>
      <c r="S648">
        <v>0</v>
      </c>
      <c r="T648" s="2">
        <v>7440</v>
      </c>
      <c r="U648">
        <v>0</v>
      </c>
      <c r="V648" s="2">
        <v>7440</v>
      </c>
      <c r="W648" t="str">
        <f>"$"</f>
        <v>$</v>
      </c>
      <c r="X648">
        <v>0</v>
      </c>
      <c r="Y648">
        <v>0</v>
      </c>
      <c r="Z648">
        <v>0</v>
      </c>
      <c r="AA648" t="str">
        <f>"Y"</f>
        <v>Y</v>
      </c>
      <c r="AB648" t="str">
        <f>"SO23000188"</f>
        <v>SO23000188</v>
      </c>
      <c r="AC648">
        <v>2</v>
      </c>
      <c r="AD648" s="1">
        <v>45035</v>
      </c>
      <c r="AE648" t="str">
        <f>"SH23000569"</f>
        <v>SH23000569</v>
      </c>
      <c r="AF648" t="str">
        <f>"משלוחים ללקוח"</f>
        <v>משלוחים ללקוח</v>
      </c>
      <c r="AG648" s="1">
        <v>45057</v>
      </c>
      <c r="AM648" t="str">
        <f>"10"</f>
        <v>10</v>
      </c>
      <c r="AN648" t="str">
        <f>"500000"</f>
        <v>500000</v>
      </c>
      <c r="AO648" t="str">
        <f>"הכנסות  מלקוחות"</f>
        <v>הכנסות  מלקוחות</v>
      </c>
      <c r="AQ648" t="str">
        <f>"034"</f>
        <v>034</v>
      </c>
      <c r="AR648">
        <v>0</v>
      </c>
      <c r="AS648">
        <v>0</v>
      </c>
      <c r="AT648">
        <v>3.661</v>
      </c>
      <c r="AX648" t="str">
        <f>"E000392214"</f>
        <v>E000392214</v>
      </c>
      <c r="BD648" t="str">
        <f>"ערן שלו"</f>
        <v>ערן שלו</v>
      </c>
    </row>
    <row r="649" spans="1:56" x14ac:dyDescent="0.3">
      <c r="A649" s="1">
        <v>45062</v>
      </c>
      <c r="B649" t="str">
        <f>"SI236000642"</f>
        <v>SI236000642</v>
      </c>
      <c r="C649" t="str">
        <f>"PR23000276"</f>
        <v>PR23000276</v>
      </c>
      <c r="D649" t="str">
        <f>"PR23000276"</f>
        <v>PR23000276</v>
      </c>
      <c r="E649" t="str">
        <f>"Y"</f>
        <v>Y</v>
      </c>
      <c r="F649" t="str">
        <f>"חשבוניות מרכזות"</f>
        <v>חשבוניות מרכזות</v>
      </c>
      <c r="G649" t="str">
        <f>"700065"</f>
        <v>700065</v>
      </c>
      <c r="H649" t="str">
        <f>"אלתא מערכות בע""מ"</f>
        <v>אלתא מערכות בע"מ</v>
      </c>
      <c r="I649" t="str">
        <f>"15"</f>
        <v>15</v>
      </c>
      <c r="J649" t="str">
        <f>"PA11TA2023"</f>
        <v>PA11TA2023</v>
      </c>
      <c r="K649" t="str">
        <f>"פלג תעופתי CIR070-40A-5S-GM-F80T12"</f>
        <v>פלג תעופתי CIR070-40A-5S-GM-F80T12</v>
      </c>
      <c r="L649">
        <v>1</v>
      </c>
      <c r="M649" t="str">
        <f>"יח"</f>
        <v>יח</v>
      </c>
      <c r="N649">
        <v>1</v>
      </c>
      <c r="O649" t="str">
        <f>"יח"</f>
        <v>יח</v>
      </c>
      <c r="P649">
        <v>400</v>
      </c>
      <c r="Q649" t="str">
        <f>"$"</f>
        <v>$</v>
      </c>
      <c r="R649" t="str">
        <f>"הזמנה"</f>
        <v>הזמנה</v>
      </c>
      <c r="S649">
        <v>0</v>
      </c>
      <c r="T649">
        <v>400</v>
      </c>
      <c r="U649">
        <v>0</v>
      </c>
      <c r="V649">
        <v>400</v>
      </c>
      <c r="W649" t="str">
        <f>"$"</f>
        <v>$</v>
      </c>
      <c r="X649">
        <v>0</v>
      </c>
      <c r="Y649">
        <v>0</v>
      </c>
      <c r="Z649">
        <v>0</v>
      </c>
      <c r="AA649" t="str">
        <f>"Y"</f>
        <v>Y</v>
      </c>
      <c r="AB649" t="str">
        <f>"SO23000188"</f>
        <v>SO23000188</v>
      </c>
      <c r="AC649">
        <v>4</v>
      </c>
      <c r="AD649" s="1">
        <v>45035</v>
      </c>
      <c r="AE649" t="str">
        <f>"SH23000569"</f>
        <v>SH23000569</v>
      </c>
      <c r="AF649" t="str">
        <f>"משלוחים ללקוח"</f>
        <v>משלוחים ללקוח</v>
      </c>
      <c r="AG649" s="1">
        <v>45057</v>
      </c>
      <c r="AM649" t="str">
        <f>"10"</f>
        <v>10</v>
      </c>
      <c r="AN649" t="str">
        <f>"500000"</f>
        <v>500000</v>
      </c>
      <c r="AO649" t="str">
        <f>"הכנסות  מלקוחות"</f>
        <v>הכנסות  מלקוחות</v>
      </c>
      <c r="AQ649" t="str">
        <f>"034"</f>
        <v>034</v>
      </c>
      <c r="AR649">
        <v>0</v>
      </c>
      <c r="AS649">
        <v>0</v>
      </c>
      <c r="AT649">
        <v>3.661</v>
      </c>
      <c r="AX649" t="str">
        <f>"E000392214"</f>
        <v>E000392214</v>
      </c>
      <c r="BD649" t="str">
        <f>"ערן שלו"</f>
        <v>ערן שלו</v>
      </c>
    </row>
    <row r="650" spans="1:56" x14ac:dyDescent="0.3">
      <c r="A650" s="1">
        <v>45062</v>
      </c>
      <c r="B650" t="str">
        <f>"SI236000642"</f>
        <v>SI236000642</v>
      </c>
      <c r="C650" t="str">
        <f>"PR23000276"</f>
        <v>PR23000276</v>
      </c>
      <c r="D650" t="str">
        <f>"PR23000276"</f>
        <v>PR23000276</v>
      </c>
      <c r="E650" t="str">
        <f>"Y"</f>
        <v>Y</v>
      </c>
      <c r="F650" t="str">
        <f>"חשבוניות מרכזות"</f>
        <v>חשבוניות מרכזות</v>
      </c>
      <c r="G650" t="str">
        <f>"700065"</f>
        <v>700065</v>
      </c>
      <c r="H650" t="str">
        <f>"אלתא מערכות בע""מ"</f>
        <v>אלתא מערכות בע"מ</v>
      </c>
      <c r="I650" t="str">
        <f>"15"</f>
        <v>15</v>
      </c>
      <c r="J650" t="str">
        <f>"PA11TA2023"</f>
        <v>PA11TA2023</v>
      </c>
      <c r="K650" t="str">
        <f>"פלג תעופתי CIR070-40A-5S-GM-F80T12"</f>
        <v>פלג תעופתי CIR070-40A-5S-GM-F80T12</v>
      </c>
      <c r="L650">
        <v>1</v>
      </c>
      <c r="M650" t="str">
        <f>"יח"</f>
        <v>יח</v>
      </c>
      <c r="N650">
        <v>1</v>
      </c>
      <c r="O650" t="str">
        <f>"יח"</f>
        <v>יח</v>
      </c>
      <c r="P650">
        <v>400</v>
      </c>
      <c r="Q650" t="str">
        <f>"$"</f>
        <v>$</v>
      </c>
      <c r="R650" t="str">
        <f>"הזמנה"</f>
        <v>הזמנה</v>
      </c>
      <c r="S650">
        <v>0</v>
      </c>
      <c r="T650">
        <v>400</v>
      </c>
      <c r="U650">
        <v>0</v>
      </c>
      <c r="V650">
        <v>400</v>
      </c>
      <c r="W650" t="str">
        <f>"$"</f>
        <v>$</v>
      </c>
      <c r="X650">
        <v>0</v>
      </c>
      <c r="Y650">
        <v>0</v>
      </c>
      <c r="Z650">
        <v>0</v>
      </c>
      <c r="AA650" t="str">
        <f>"Y"</f>
        <v>Y</v>
      </c>
      <c r="AB650" t="str">
        <f>"SO23000188"</f>
        <v>SO23000188</v>
      </c>
      <c r="AC650">
        <v>5</v>
      </c>
      <c r="AD650" s="1">
        <v>45035</v>
      </c>
      <c r="AE650" t="str">
        <f>"SH23000569"</f>
        <v>SH23000569</v>
      </c>
      <c r="AF650" t="str">
        <f>"משלוחים ללקוח"</f>
        <v>משלוחים ללקוח</v>
      </c>
      <c r="AG650" s="1">
        <v>45057</v>
      </c>
      <c r="AM650" t="str">
        <f>"10"</f>
        <v>10</v>
      </c>
      <c r="AN650" t="str">
        <f>"500000"</f>
        <v>500000</v>
      </c>
      <c r="AO650" t="str">
        <f>"הכנסות  מלקוחות"</f>
        <v>הכנסות  מלקוחות</v>
      </c>
      <c r="AQ650" t="str">
        <f>"034"</f>
        <v>034</v>
      </c>
      <c r="AR650">
        <v>0</v>
      </c>
      <c r="AS650">
        <v>0</v>
      </c>
      <c r="AT650">
        <v>3.661</v>
      </c>
      <c r="AX650" t="str">
        <f>"E000392214"</f>
        <v>E000392214</v>
      </c>
      <c r="BD650" t="str">
        <f>"ערן שלו"</f>
        <v>ערן שלו</v>
      </c>
    </row>
    <row r="651" spans="1:56" x14ac:dyDescent="0.3">
      <c r="A651" s="1">
        <v>45061</v>
      </c>
      <c r="B651" t="str">
        <f>"SI236000765"</f>
        <v>SI236000765</v>
      </c>
      <c r="C651" t="str">
        <f>"PR22000829"</f>
        <v>PR22000829</v>
      </c>
      <c r="E651" t="str">
        <f>"Y"</f>
        <v>Y</v>
      </c>
      <c r="F651" t="str">
        <f>"חשבוניות מרכזות"</f>
        <v>חשבוניות מרכזות</v>
      </c>
      <c r="G651" t="str">
        <f>"700065"</f>
        <v>700065</v>
      </c>
      <c r="H651" t="str">
        <f>"אלתא מערכות בע""מ"</f>
        <v>אלתא מערכות בע"מ</v>
      </c>
      <c r="I651" t="str">
        <f>"15"</f>
        <v>15</v>
      </c>
      <c r="J651" t="str">
        <f>"OP-AR03402"</f>
        <v>OP-AR03402</v>
      </c>
      <c r="K651" t="str">
        <f>"6605R216-001    W216 - RSU SYSTEM BUNDLE - VELODYNE"</f>
        <v>6605R216-001    W216 - RSU SYSTEM BUNDLE - VELODYNE</v>
      </c>
      <c r="L651">
        <v>-1</v>
      </c>
      <c r="M651" t="str">
        <f>"יח"</f>
        <v>יח</v>
      </c>
      <c r="N651">
        <v>-1</v>
      </c>
      <c r="O651" t="str">
        <f>"יח"</f>
        <v>יח</v>
      </c>
      <c r="P651">
        <v>492.32</v>
      </c>
      <c r="Q651" t="str">
        <f>"$"</f>
        <v>$</v>
      </c>
      <c r="R651" t="str">
        <f>"הזמנה"</f>
        <v>הזמנה</v>
      </c>
      <c r="S651">
        <v>0</v>
      </c>
      <c r="T651">
        <v>-492.32</v>
      </c>
      <c r="U651">
        <v>0</v>
      </c>
      <c r="V651">
        <v>-492.32</v>
      </c>
      <c r="W651" t="str">
        <f>"$"</f>
        <v>$</v>
      </c>
      <c r="X651">
        <v>0</v>
      </c>
      <c r="Y651">
        <v>0</v>
      </c>
      <c r="Z651">
        <v>0</v>
      </c>
      <c r="AA651" t="str">
        <f>"Y"</f>
        <v>Y</v>
      </c>
      <c r="AC651">
        <v>0</v>
      </c>
      <c r="AM651" t="str">
        <f>"10"</f>
        <v>10</v>
      </c>
      <c r="AN651" t="str">
        <f>"500000"</f>
        <v>500000</v>
      </c>
      <c r="AO651" t="str">
        <f>"הכנסות  מלקוחות"</f>
        <v>הכנסות  מלקוחות</v>
      </c>
      <c r="AQ651" t="str">
        <f>"040"</f>
        <v>040</v>
      </c>
      <c r="AR651">
        <v>0</v>
      </c>
      <c r="AS651">
        <v>0</v>
      </c>
      <c r="AT651">
        <v>3.6480000000000001</v>
      </c>
      <c r="BB651" t="str">
        <f>"Y"</f>
        <v>Y</v>
      </c>
      <c r="BD651" t="str">
        <f>"רחמים זרוק"</f>
        <v>רחמים זרוק</v>
      </c>
    </row>
    <row r="652" spans="1:56" x14ac:dyDescent="0.3">
      <c r="A652" s="1">
        <v>45061</v>
      </c>
      <c r="B652" t="str">
        <f>"SI236000765"</f>
        <v>SI236000765</v>
      </c>
      <c r="C652" t="str">
        <f>"PR22000829"</f>
        <v>PR22000829</v>
      </c>
      <c r="E652" t="str">
        <f>"Y"</f>
        <v>Y</v>
      </c>
      <c r="F652" t="str">
        <f>"חשבוניות מרכזות"</f>
        <v>חשבוניות מרכזות</v>
      </c>
      <c r="G652" t="str">
        <f>"700065"</f>
        <v>700065</v>
      </c>
      <c r="H652" t="str">
        <f>"אלתא מערכות בע""מ"</f>
        <v>אלתא מערכות בע"מ</v>
      </c>
      <c r="I652" t="str">
        <f>"15"</f>
        <v>15</v>
      </c>
      <c r="J652" t="str">
        <f>"OP-AR03412"</f>
        <v>OP-AR03412</v>
      </c>
      <c r="K652" t="str">
        <f>"6660R269-001    W269 - MASTER ADSU - SHORTER"</f>
        <v>6660R269-001    W269 - MASTER ADSU - SHORTER</v>
      </c>
      <c r="L652">
        <v>-5</v>
      </c>
      <c r="M652" t="str">
        <f>"יח"</f>
        <v>יח</v>
      </c>
      <c r="N652">
        <v>-5</v>
      </c>
      <c r="O652" t="str">
        <f>"יח"</f>
        <v>יח</v>
      </c>
      <c r="P652">
        <v>111.14</v>
      </c>
      <c r="Q652" t="str">
        <f>"$"</f>
        <v>$</v>
      </c>
      <c r="R652" t="str">
        <f>"הזמנה"</f>
        <v>הזמנה</v>
      </c>
      <c r="S652">
        <v>0</v>
      </c>
      <c r="T652">
        <v>-555.70000000000005</v>
      </c>
      <c r="U652">
        <v>0</v>
      </c>
      <c r="V652">
        <v>-555.70000000000005</v>
      </c>
      <c r="W652" t="str">
        <f>"$"</f>
        <v>$</v>
      </c>
      <c r="X652">
        <v>0</v>
      </c>
      <c r="Y652">
        <v>0</v>
      </c>
      <c r="Z652">
        <v>0</v>
      </c>
      <c r="AA652" t="str">
        <f>"Y"</f>
        <v>Y</v>
      </c>
      <c r="AC652">
        <v>0</v>
      </c>
      <c r="AM652" t="str">
        <f>"10"</f>
        <v>10</v>
      </c>
      <c r="AN652" t="str">
        <f>"500000"</f>
        <v>500000</v>
      </c>
      <c r="AO652" t="str">
        <f>"הכנסות  מלקוחות"</f>
        <v>הכנסות  מלקוחות</v>
      </c>
      <c r="AQ652" t="str">
        <f>"040"</f>
        <v>040</v>
      </c>
      <c r="AR652">
        <v>0</v>
      </c>
      <c r="AS652">
        <v>0</v>
      </c>
      <c r="AT652">
        <v>3.6480000000000001</v>
      </c>
      <c r="BB652" t="str">
        <f>"Y"</f>
        <v>Y</v>
      </c>
      <c r="BD652" t="str">
        <f>"רחמים זרוק"</f>
        <v>רחמים זרוק</v>
      </c>
    </row>
    <row r="653" spans="1:56" x14ac:dyDescent="0.3">
      <c r="A653" s="1">
        <v>45061</v>
      </c>
      <c r="B653" t="str">
        <f>"SI236000654"</f>
        <v>SI236000654</v>
      </c>
      <c r="C653" t="str">
        <f>"PR22000606"</f>
        <v>PR22000606</v>
      </c>
      <c r="D653" t="str">
        <f>"PR22000606"</f>
        <v>PR22000606</v>
      </c>
      <c r="E653" t="str">
        <f>"Y"</f>
        <v>Y</v>
      </c>
      <c r="F653" t="str">
        <f>"חשבוניות מרכזות"</f>
        <v>חשבוניות מרכזות</v>
      </c>
      <c r="G653" t="str">
        <f>"700065"</f>
        <v>700065</v>
      </c>
      <c r="H653" t="str">
        <f>"אלתא מערכות בע""מ"</f>
        <v>אלתא מערכות בע"מ</v>
      </c>
      <c r="I653" t="str">
        <f>"15"</f>
        <v>15</v>
      </c>
      <c r="J653" t="str">
        <f>"OP-AR03330"</f>
        <v>OP-AR03330</v>
      </c>
      <c r="K653" t="str">
        <f>"1036F690-001    BFC POWER CABLE"</f>
        <v>1036F690-001    BFC POWER CABLE</v>
      </c>
      <c r="L653">
        <v>1</v>
      </c>
      <c r="M653" t="str">
        <f>"יח"</f>
        <v>יח</v>
      </c>
      <c r="N653">
        <v>1</v>
      </c>
      <c r="O653" t="str">
        <f>"יח"</f>
        <v>יח</v>
      </c>
      <c r="P653">
        <v>359.2</v>
      </c>
      <c r="Q653" t="str">
        <f>"$"</f>
        <v>$</v>
      </c>
      <c r="R653" t="str">
        <f>"הזמנה"</f>
        <v>הזמנה</v>
      </c>
      <c r="S653">
        <v>0</v>
      </c>
      <c r="T653">
        <v>359.2</v>
      </c>
      <c r="U653">
        <v>0</v>
      </c>
      <c r="V653">
        <v>359.2</v>
      </c>
      <c r="W653" t="str">
        <f>"$"</f>
        <v>$</v>
      </c>
      <c r="X653">
        <v>0</v>
      </c>
      <c r="Y653">
        <v>0</v>
      </c>
      <c r="Z653">
        <v>0</v>
      </c>
      <c r="AA653" t="str">
        <f>"Y"</f>
        <v>Y</v>
      </c>
      <c r="AB653" t="str">
        <f>"SO22000355"</f>
        <v>SO22000355</v>
      </c>
      <c r="AC653">
        <v>1</v>
      </c>
      <c r="AD653" s="1">
        <v>44816</v>
      </c>
      <c r="AE653" t="str">
        <f>"SH23000585"</f>
        <v>SH23000585</v>
      </c>
      <c r="AF653" t="str">
        <f>"משלוחים ללקוח"</f>
        <v>משלוחים ללקוח</v>
      </c>
      <c r="AG653" s="1">
        <v>45061</v>
      </c>
      <c r="AM653" t="str">
        <f>"10"</f>
        <v>10</v>
      </c>
      <c r="AN653" t="str">
        <f>"500000"</f>
        <v>500000</v>
      </c>
      <c r="AO653" t="str">
        <f>"הכנסות  מלקוחות"</f>
        <v>הכנסות  מלקוחות</v>
      </c>
      <c r="AQ653" t="str">
        <f>"040"</f>
        <v>040</v>
      </c>
      <c r="AR653">
        <v>0</v>
      </c>
      <c r="AS653">
        <v>0</v>
      </c>
      <c r="AT653">
        <v>3.6480000000000001</v>
      </c>
      <c r="AX653" t="str">
        <f>"E000374107"</f>
        <v>E000374107</v>
      </c>
      <c r="BD653" t="str">
        <f>"רחמים זרוק"</f>
        <v>רחמים זרוק</v>
      </c>
    </row>
    <row r="654" spans="1:56" x14ac:dyDescent="0.3">
      <c r="A654" s="1">
        <v>45061</v>
      </c>
      <c r="B654" t="str">
        <f>"SI236000654"</f>
        <v>SI236000654</v>
      </c>
      <c r="C654" t="str">
        <f>"PR22000606"</f>
        <v>PR22000606</v>
      </c>
      <c r="D654" t="str">
        <f>"PR22000606"</f>
        <v>PR22000606</v>
      </c>
      <c r="E654" t="str">
        <f>"Y"</f>
        <v>Y</v>
      </c>
      <c r="F654" t="str">
        <f>"חשבוניות מרכזות"</f>
        <v>חשבוניות מרכזות</v>
      </c>
      <c r="G654" t="str">
        <f>"700065"</f>
        <v>700065</v>
      </c>
      <c r="H654" t="str">
        <f>"אלתא מערכות בע""מ"</f>
        <v>אלתא מערכות בע"מ</v>
      </c>
      <c r="I654" t="str">
        <f>"15"</f>
        <v>15</v>
      </c>
      <c r="J654" t="str">
        <f>"OP-AR03330"</f>
        <v>OP-AR03330</v>
      </c>
      <c r="K654" t="str">
        <f>"1036F690-001    BFC POWER CABLE"</f>
        <v>1036F690-001    BFC POWER CABLE</v>
      </c>
      <c r="L654">
        <v>1</v>
      </c>
      <c r="M654" t="str">
        <f>"יח"</f>
        <v>יח</v>
      </c>
      <c r="N654">
        <v>1</v>
      </c>
      <c r="O654" t="str">
        <f>"יח"</f>
        <v>יח</v>
      </c>
      <c r="P654">
        <v>359.2</v>
      </c>
      <c r="Q654" t="str">
        <f>"$"</f>
        <v>$</v>
      </c>
      <c r="R654" t="str">
        <f>"הזמנה"</f>
        <v>הזמנה</v>
      </c>
      <c r="S654">
        <v>0</v>
      </c>
      <c r="T654">
        <v>359.2</v>
      </c>
      <c r="U654">
        <v>0</v>
      </c>
      <c r="V654">
        <v>359.2</v>
      </c>
      <c r="W654" t="str">
        <f>"$"</f>
        <v>$</v>
      </c>
      <c r="X654">
        <v>0</v>
      </c>
      <c r="Y654">
        <v>0</v>
      </c>
      <c r="Z654">
        <v>0</v>
      </c>
      <c r="AA654" t="str">
        <f>"Y"</f>
        <v>Y</v>
      </c>
      <c r="AB654" t="str">
        <f>"SO22000355"</f>
        <v>SO22000355</v>
      </c>
      <c r="AC654">
        <v>2</v>
      </c>
      <c r="AD654" s="1">
        <v>44816</v>
      </c>
      <c r="AE654" t="str">
        <f>"SH23000585"</f>
        <v>SH23000585</v>
      </c>
      <c r="AF654" t="str">
        <f>"משלוחים ללקוח"</f>
        <v>משלוחים ללקוח</v>
      </c>
      <c r="AG654" s="1">
        <v>45061</v>
      </c>
      <c r="AM654" t="str">
        <f>"10"</f>
        <v>10</v>
      </c>
      <c r="AN654" t="str">
        <f>"500000"</f>
        <v>500000</v>
      </c>
      <c r="AO654" t="str">
        <f>"הכנסות  מלקוחות"</f>
        <v>הכנסות  מלקוחות</v>
      </c>
      <c r="AQ654" t="str">
        <f>"040"</f>
        <v>040</v>
      </c>
      <c r="AR654">
        <v>0</v>
      </c>
      <c r="AS654">
        <v>0</v>
      </c>
      <c r="AT654">
        <v>3.6480000000000001</v>
      </c>
      <c r="AX654" t="str">
        <f>"E000374107"</f>
        <v>E000374107</v>
      </c>
      <c r="BD654" t="str">
        <f>"רחמים זרוק"</f>
        <v>רחמים זרוק</v>
      </c>
    </row>
    <row r="655" spans="1:56" x14ac:dyDescent="0.3">
      <c r="A655" s="1">
        <v>45061</v>
      </c>
      <c r="B655" t="str">
        <f>"SI236000653"</f>
        <v>SI236000653</v>
      </c>
      <c r="C655" t="str">
        <f>"PR23000075"</f>
        <v>PR23000075</v>
      </c>
      <c r="D655" t="str">
        <f>"PR23000075"</f>
        <v>PR23000075</v>
      </c>
      <c r="E655" t="str">
        <f>"Y"</f>
        <v>Y</v>
      </c>
      <c r="F655" t="str">
        <f>"חשבוניות מרכזות"</f>
        <v>חשבוניות מרכזות</v>
      </c>
      <c r="G655" t="str">
        <f>"700065"</f>
        <v>700065</v>
      </c>
      <c r="H655" t="str">
        <f>"אלתא מערכות בע""מ"</f>
        <v>אלתא מערכות בע"מ</v>
      </c>
      <c r="I655" t="str">
        <f>"15"</f>
        <v>15</v>
      </c>
      <c r="J655" t="str">
        <f>"OP-AR03016"</f>
        <v>OP-AR03016</v>
      </c>
      <c r="K655" t="str">
        <f>"2203B860-001   POWER TO UUT CABLE ASSY"</f>
        <v>2203B860-001   POWER TO UUT CABLE ASSY</v>
      </c>
      <c r="L655">
        <v>1</v>
      </c>
      <c r="M655" t="str">
        <f>"יח"</f>
        <v>יח</v>
      </c>
      <c r="N655">
        <v>1</v>
      </c>
      <c r="O655" t="str">
        <f>"יח"</f>
        <v>יח</v>
      </c>
      <c r="P655">
        <v>861.4</v>
      </c>
      <c r="Q655" t="str">
        <f>"$"</f>
        <v>$</v>
      </c>
      <c r="R655" t="str">
        <f>"הזמנה"</f>
        <v>הזמנה</v>
      </c>
      <c r="S655">
        <v>0</v>
      </c>
      <c r="T655">
        <v>861.4</v>
      </c>
      <c r="U655">
        <v>0</v>
      </c>
      <c r="V655">
        <v>861.4</v>
      </c>
      <c r="W655" t="str">
        <f>"$"</f>
        <v>$</v>
      </c>
      <c r="X655">
        <v>0</v>
      </c>
      <c r="Y655">
        <v>0</v>
      </c>
      <c r="Z655">
        <v>0</v>
      </c>
      <c r="AA655" t="str">
        <f>"Y"</f>
        <v>Y</v>
      </c>
      <c r="AB655" t="str">
        <f>"SO23000047"</f>
        <v>SO23000047</v>
      </c>
      <c r="AC655">
        <v>1</v>
      </c>
      <c r="AD655" s="1">
        <v>44944</v>
      </c>
      <c r="AE655" t="str">
        <f>"SH23000584"</f>
        <v>SH23000584</v>
      </c>
      <c r="AF655" t="str">
        <f>"משלוחים ללקוח"</f>
        <v>משלוחים ללקוח</v>
      </c>
      <c r="AG655" s="1">
        <v>45061</v>
      </c>
      <c r="AM655" t="str">
        <f>"10"</f>
        <v>10</v>
      </c>
      <c r="AN655" t="str">
        <f>"500000"</f>
        <v>500000</v>
      </c>
      <c r="AO655" t="str">
        <f>"הכנסות  מלקוחות"</f>
        <v>הכנסות  מלקוחות</v>
      </c>
      <c r="AQ655" t="str">
        <f>"040"</f>
        <v>040</v>
      </c>
      <c r="AR655">
        <v>0</v>
      </c>
      <c r="AS655">
        <v>0</v>
      </c>
      <c r="AT655">
        <v>3.6480000000000001</v>
      </c>
      <c r="AX655" t="str">
        <f>"E000383787"</f>
        <v>E000383787</v>
      </c>
      <c r="BD655" t="str">
        <f>"רחמים זרוק"</f>
        <v>רחמים זרוק</v>
      </c>
    </row>
    <row r="656" spans="1:56" x14ac:dyDescent="0.3">
      <c r="A656" s="1">
        <v>45061</v>
      </c>
      <c r="B656" t="str">
        <f>"SI236000652"</f>
        <v>SI236000652</v>
      </c>
      <c r="C656" t="str">
        <f>"PR22000622"</f>
        <v>PR22000622</v>
      </c>
      <c r="D656" t="str">
        <f>"PR22000622"</f>
        <v>PR22000622</v>
      </c>
      <c r="E656" t="str">
        <f>"Y"</f>
        <v>Y</v>
      </c>
      <c r="F656" t="str">
        <f>"חשבוניות מרכזות"</f>
        <v>חשבוניות מרכזות</v>
      </c>
      <c r="G656" t="str">
        <f>"700065"</f>
        <v>700065</v>
      </c>
      <c r="H656" t="str">
        <f>"אלתא מערכות בע""מ"</f>
        <v>אלתא מערכות בע"מ</v>
      </c>
      <c r="I656" t="str">
        <f>"15"</f>
        <v>15</v>
      </c>
      <c r="J656" t="str">
        <f>"OP-AR03332"</f>
        <v>OP-AR03332</v>
      </c>
      <c r="K656" t="str">
        <f>"1001U504-002    CABLE ASSY 1W112"</f>
        <v>1001U504-002    CABLE ASSY 1W112</v>
      </c>
      <c r="L656">
        <v>1</v>
      </c>
      <c r="M656" t="str">
        <f>"יח"</f>
        <v>יח</v>
      </c>
      <c r="N656">
        <v>1</v>
      </c>
      <c r="O656" t="str">
        <f>"יח"</f>
        <v>יח</v>
      </c>
      <c r="P656">
        <v>857.23</v>
      </c>
      <c r="Q656" t="str">
        <f>"$"</f>
        <v>$</v>
      </c>
      <c r="R656" t="str">
        <f>"הזמנה"</f>
        <v>הזמנה</v>
      </c>
      <c r="S656">
        <v>0</v>
      </c>
      <c r="T656">
        <v>857.23</v>
      </c>
      <c r="U656">
        <v>0</v>
      </c>
      <c r="V656">
        <v>857.23</v>
      </c>
      <c r="W656" t="str">
        <f>"$"</f>
        <v>$</v>
      </c>
      <c r="X656">
        <v>0</v>
      </c>
      <c r="Y656">
        <v>0</v>
      </c>
      <c r="Z656">
        <v>0</v>
      </c>
      <c r="AA656" t="str">
        <f>"Y"</f>
        <v>Y</v>
      </c>
      <c r="AB656" t="str">
        <f>"SO22000364"</f>
        <v>SO22000364</v>
      </c>
      <c r="AC656">
        <v>1</v>
      </c>
      <c r="AD656" s="1">
        <v>44817</v>
      </c>
      <c r="AE656" t="str">
        <f>"SH23000583"</f>
        <v>SH23000583</v>
      </c>
      <c r="AF656" t="str">
        <f>"משלוחים ללקוח"</f>
        <v>משלוחים ללקוח</v>
      </c>
      <c r="AG656" s="1">
        <v>45061</v>
      </c>
      <c r="AM656" t="str">
        <f>"10"</f>
        <v>10</v>
      </c>
      <c r="AN656" t="str">
        <f>"500000"</f>
        <v>500000</v>
      </c>
      <c r="AO656" t="str">
        <f>"הכנסות  מלקוחות"</f>
        <v>הכנסות  מלקוחות</v>
      </c>
      <c r="AQ656" t="str">
        <f>"040"</f>
        <v>040</v>
      </c>
      <c r="AR656">
        <v>0</v>
      </c>
      <c r="AS656">
        <v>0</v>
      </c>
      <c r="AT656">
        <v>3.6480000000000001</v>
      </c>
      <c r="AX656" t="str">
        <f>"E000374628"</f>
        <v>E000374628</v>
      </c>
      <c r="BD656" t="str">
        <f>"רחמים זרוק"</f>
        <v>רחמים זרוק</v>
      </c>
    </row>
    <row r="657" spans="1:56" x14ac:dyDescent="0.3">
      <c r="A657" s="1">
        <v>45061</v>
      </c>
      <c r="B657" t="str">
        <f>"SI236000651"</f>
        <v>SI236000651</v>
      </c>
      <c r="C657" t="str">
        <f>"PR22000579"</f>
        <v>PR22000579</v>
      </c>
      <c r="E657" t="str">
        <f>"Y"</f>
        <v>Y</v>
      </c>
      <c r="F657" t="str">
        <f>"חשבוניות מרכזות"</f>
        <v>חשבוניות מרכזות</v>
      </c>
      <c r="G657" t="str">
        <f>"700065"</f>
        <v>700065</v>
      </c>
      <c r="H657" t="str">
        <f>"אלתא מערכות בע""מ"</f>
        <v>אלתא מערכות בע"מ</v>
      </c>
      <c r="I657" t="str">
        <f>"15"</f>
        <v>15</v>
      </c>
      <c r="J657" t="str">
        <f>"OP-AR01667"</f>
        <v>OP-AR01667</v>
      </c>
      <c r="K657" t="str">
        <f>"6660J719-003 W719"</f>
        <v>6660J719-003 W719</v>
      </c>
      <c r="L657">
        <v>2</v>
      </c>
      <c r="M657" t="str">
        <f>"יח"</f>
        <v>יח</v>
      </c>
      <c r="N657">
        <v>2</v>
      </c>
      <c r="O657" t="str">
        <f>"יח"</f>
        <v>יח</v>
      </c>
      <c r="P657">
        <v>782.11</v>
      </c>
      <c r="Q657" t="str">
        <f>"$"</f>
        <v>$</v>
      </c>
      <c r="R657" t="str">
        <f>"הזמנה"</f>
        <v>הזמנה</v>
      </c>
      <c r="S657">
        <v>0</v>
      </c>
      <c r="T657" s="2">
        <v>1564.22</v>
      </c>
      <c r="U657">
        <v>0</v>
      </c>
      <c r="V657" s="2">
        <v>1564.22</v>
      </c>
      <c r="W657" t="str">
        <f>"$"</f>
        <v>$</v>
      </c>
      <c r="X657">
        <v>0</v>
      </c>
      <c r="Y657">
        <v>0</v>
      </c>
      <c r="Z657">
        <v>0</v>
      </c>
      <c r="AA657" t="str">
        <f>"Y"</f>
        <v>Y</v>
      </c>
      <c r="AB657" t="str">
        <f>"SO22000331"</f>
        <v>SO22000331</v>
      </c>
      <c r="AC657">
        <v>6</v>
      </c>
      <c r="AD657" s="1">
        <v>44788</v>
      </c>
      <c r="AE657" t="str">
        <f>"SH23000582"</f>
        <v>SH23000582</v>
      </c>
      <c r="AF657" t="str">
        <f>"משלוחים ללקוח"</f>
        <v>משלוחים ללקוח</v>
      </c>
      <c r="AG657" s="1">
        <v>45061</v>
      </c>
      <c r="AM657" t="str">
        <f>"10"</f>
        <v>10</v>
      </c>
      <c r="AN657" t="str">
        <f>"500000"</f>
        <v>500000</v>
      </c>
      <c r="AO657" t="str">
        <f>"הכנסות  מלקוחות"</f>
        <v>הכנסות  מלקוחות</v>
      </c>
      <c r="AQ657" t="str">
        <f>"040"</f>
        <v>040</v>
      </c>
      <c r="AR657">
        <v>0</v>
      </c>
      <c r="AS657">
        <v>0</v>
      </c>
      <c r="AT657">
        <v>3.6480000000000001</v>
      </c>
      <c r="AX657" t="str">
        <f>"E000372142"</f>
        <v>E000372142</v>
      </c>
      <c r="BD657" t="str">
        <f>"רחמים זרוק"</f>
        <v>רחמים זרוק</v>
      </c>
    </row>
    <row r="658" spans="1:56" x14ac:dyDescent="0.3">
      <c r="A658" s="1">
        <v>45061</v>
      </c>
      <c r="B658" t="str">
        <f>"SI236000650"</f>
        <v>SI236000650</v>
      </c>
      <c r="C658" t="str">
        <f>"PR22000682"</f>
        <v>PR22000682</v>
      </c>
      <c r="E658" t="str">
        <f>"Y"</f>
        <v>Y</v>
      </c>
      <c r="F658" t="str">
        <f>"חשבוניות מרכזות"</f>
        <v>חשבוניות מרכזות</v>
      </c>
      <c r="G658" t="str">
        <f>"700065"</f>
        <v>700065</v>
      </c>
      <c r="H658" t="str">
        <f>"אלתא מערכות בע""מ"</f>
        <v>אלתא מערכות בע"מ</v>
      </c>
      <c r="I658" t="str">
        <f>"15"</f>
        <v>15</v>
      </c>
      <c r="J658" t="str">
        <f>"OP-AR03383"</f>
        <v>OP-AR03383</v>
      </c>
      <c r="K658" t="str">
        <f>"2227B348-001    BFN CONTROL CABLE ASSY"</f>
        <v>2227B348-001    BFN CONTROL CABLE ASSY</v>
      </c>
      <c r="L658">
        <v>3</v>
      </c>
      <c r="M658" t="str">
        <f>"יח"</f>
        <v>יח</v>
      </c>
      <c r="N658">
        <v>3</v>
      </c>
      <c r="O658" t="str">
        <f>"יח"</f>
        <v>יח</v>
      </c>
      <c r="P658">
        <v>532.11</v>
      </c>
      <c r="Q658" t="str">
        <f>"$"</f>
        <v>$</v>
      </c>
      <c r="R658" t="str">
        <f>"הזמנה"</f>
        <v>הזמנה</v>
      </c>
      <c r="S658">
        <v>0</v>
      </c>
      <c r="T658" s="2">
        <v>1596.33</v>
      </c>
      <c r="U658">
        <v>0</v>
      </c>
      <c r="V658" s="2">
        <v>1596.33</v>
      </c>
      <c r="W658" t="str">
        <f>"$"</f>
        <v>$</v>
      </c>
      <c r="X658">
        <v>0</v>
      </c>
      <c r="Y658">
        <v>0</v>
      </c>
      <c r="Z658">
        <v>0</v>
      </c>
      <c r="AA658" t="str">
        <f>"Y"</f>
        <v>Y</v>
      </c>
      <c r="AB658" t="str">
        <f>"SO22000392"</f>
        <v>SO22000392</v>
      </c>
      <c r="AC658">
        <v>2</v>
      </c>
      <c r="AD658" s="1">
        <v>44865</v>
      </c>
      <c r="AE658" t="str">
        <f>"SH23000581"</f>
        <v>SH23000581</v>
      </c>
      <c r="AF658" t="str">
        <f>"משלוחים ללקוח"</f>
        <v>משלוחים ללקוח</v>
      </c>
      <c r="AG658" s="1">
        <v>45061</v>
      </c>
      <c r="AM658" t="str">
        <f>"10"</f>
        <v>10</v>
      </c>
      <c r="AN658" t="str">
        <f>"500000"</f>
        <v>500000</v>
      </c>
      <c r="AO658" t="str">
        <f>"הכנסות  מלקוחות"</f>
        <v>הכנסות  מלקוחות</v>
      </c>
      <c r="AQ658" t="str">
        <f>"040"</f>
        <v>040</v>
      </c>
      <c r="AR658">
        <v>0</v>
      </c>
      <c r="AS658">
        <v>0</v>
      </c>
      <c r="AT658">
        <v>3.6480000000000001</v>
      </c>
      <c r="AX658" t="str">
        <f>"E000377208"</f>
        <v>E000377208</v>
      </c>
      <c r="BD658" t="str">
        <f>"רחמים זרוק"</f>
        <v>רחמים זרוק</v>
      </c>
    </row>
    <row r="659" spans="1:56" x14ac:dyDescent="0.3">
      <c r="A659" s="1">
        <v>45061</v>
      </c>
      <c r="B659" t="str">
        <f>"SI236000649"</f>
        <v>SI236000649</v>
      </c>
      <c r="C659" t="str">
        <f>"PR22000829"</f>
        <v>PR22000829</v>
      </c>
      <c r="E659" t="str">
        <f>"Y"</f>
        <v>Y</v>
      </c>
      <c r="F659" t="str">
        <f>"חשבוניות מרכזות"</f>
        <v>חשבוניות מרכזות</v>
      </c>
      <c r="G659" t="str">
        <f>"700065"</f>
        <v>700065</v>
      </c>
      <c r="H659" t="str">
        <f>"אלתא מערכות בע""מ"</f>
        <v>אלתא מערכות בע"מ</v>
      </c>
      <c r="I659" t="str">
        <f>"15"</f>
        <v>15</v>
      </c>
      <c r="J659" t="str">
        <f>"OP-AR03402"</f>
        <v>OP-AR03402</v>
      </c>
      <c r="K659" t="str">
        <f>"6605R216-001    W216 - RSU SYSTEM BUNDLE - VELODYNE"</f>
        <v>6605R216-001    W216 - RSU SYSTEM BUNDLE - VELODYNE</v>
      </c>
      <c r="L659">
        <v>1</v>
      </c>
      <c r="M659" t="str">
        <f>"יח"</f>
        <v>יח</v>
      </c>
      <c r="N659">
        <v>1</v>
      </c>
      <c r="O659" t="str">
        <f>"יח"</f>
        <v>יח</v>
      </c>
      <c r="P659">
        <v>492.32</v>
      </c>
      <c r="Q659" t="str">
        <f>"$"</f>
        <v>$</v>
      </c>
      <c r="R659" t="str">
        <f>"הזמנה"</f>
        <v>הזמנה</v>
      </c>
      <c r="S659">
        <v>0</v>
      </c>
      <c r="T659">
        <v>492.32</v>
      </c>
      <c r="U659">
        <v>0</v>
      </c>
      <c r="V659">
        <v>492.32</v>
      </c>
      <c r="W659" t="str">
        <f>"$"</f>
        <v>$</v>
      </c>
      <c r="X659">
        <v>0</v>
      </c>
      <c r="Y659">
        <v>0</v>
      </c>
      <c r="Z659">
        <v>0</v>
      </c>
      <c r="AA659" t="str">
        <f>"Y"</f>
        <v>Y</v>
      </c>
      <c r="AC659">
        <v>0</v>
      </c>
      <c r="AM659" t="str">
        <f>"10"</f>
        <v>10</v>
      </c>
      <c r="AN659" t="str">
        <f>"500000"</f>
        <v>500000</v>
      </c>
      <c r="AO659" t="str">
        <f>"הכנסות  מלקוחות"</f>
        <v>הכנסות  מלקוחות</v>
      </c>
      <c r="AQ659" t="str">
        <f>"040"</f>
        <v>040</v>
      </c>
      <c r="AR659">
        <v>0</v>
      </c>
      <c r="AS659">
        <v>0</v>
      </c>
      <c r="AT659">
        <v>3.6480000000000001</v>
      </c>
      <c r="BB659" t="str">
        <f>"Y"</f>
        <v>Y</v>
      </c>
      <c r="BD659" t="str">
        <f>"רחמים זרוק"</f>
        <v>רחמים זרוק</v>
      </c>
    </row>
    <row r="660" spans="1:56" x14ac:dyDescent="0.3">
      <c r="A660" s="1">
        <v>45061</v>
      </c>
      <c r="B660" t="str">
        <f>"SI236000649"</f>
        <v>SI236000649</v>
      </c>
      <c r="C660" t="str">
        <f>"PR22000829"</f>
        <v>PR22000829</v>
      </c>
      <c r="E660" t="str">
        <f>"Y"</f>
        <v>Y</v>
      </c>
      <c r="F660" t="str">
        <f>"חשבוניות מרכזות"</f>
        <v>חשבוניות מרכזות</v>
      </c>
      <c r="G660" t="str">
        <f>"700065"</f>
        <v>700065</v>
      </c>
      <c r="H660" t="str">
        <f>"אלתא מערכות בע""מ"</f>
        <v>אלתא מערכות בע"מ</v>
      </c>
      <c r="I660" t="str">
        <f>"15"</f>
        <v>15</v>
      </c>
      <c r="J660" t="str">
        <f>"OP-AR03412"</f>
        <v>OP-AR03412</v>
      </c>
      <c r="K660" t="str">
        <f>"6660R269-001    W269 - MASTER ADSU - SHORTER"</f>
        <v>6660R269-001    W269 - MASTER ADSU - SHORTER</v>
      </c>
      <c r="L660">
        <v>5</v>
      </c>
      <c r="M660" t="str">
        <f>"יח"</f>
        <v>יח</v>
      </c>
      <c r="N660">
        <v>5</v>
      </c>
      <c r="O660" t="str">
        <f>"יח"</f>
        <v>יח</v>
      </c>
      <c r="P660">
        <v>111.14</v>
      </c>
      <c r="Q660" t="str">
        <f>"$"</f>
        <v>$</v>
      </c>
      <c r="R660" t="str">
        <f>"הזמנה"</f>
        <v>הזמנה</v>
      </c>
      <c r="S660">
        <v>0</v>
      </c>
      <c r="T660">
        <v>555.70000000000005</v>
      </c>
      <c r="U660">
        <v>0</v>
      </c>
      <c r="V660">
        <v>555.70000000000005</v>
      </c>
      <c r="W660" t="str">
        <f>"$"</f>
        <v>$</v>
      </c>
      <c r="X660">
        <v>0</v>
      </c>
      <c r="Y660">
        <v>0</v>
      </c>
      <c r="Z660">
        <v>0</v>
      </c>
      <c r="AA660" t="str">
        <f>"Y"</f>
        <v>Y</v>
      </c>
      <c r="AC660">
        <v>0</v>
      </c>
      <c r="AM660" t="str">
        <f>"10"</f>
        <v>10</v>
      </c>
      <c r="AN660" t="str">
        <f>"500000"</f>
        <v>500000</v>
      </c>
      <c r="AO660" t="str">
        <f>"הכנסות  מלקוחות"</f>
        <v>הכנסות  מלקוחות</v>
      </c>
      <c r="AQ660" t="str">
        <f>"040"</f>
        <v>040</v>
      </c>
      <c r="AR660">
        <v>0</v>
      </c>
      <c r="AS660">
        <v>0</v>
      </c>
      <c r="AT660">
        <v>3.6480000000000001</v>
      </c>
      <c r="BB660" t="str">
        <f>"Y"</f>
        <v>Y</v>
      </c>
      <c r="BD660" t="str">
        <f>"רחמים זרוק"</f>
        <v>רחמים זרוק</v>
      </c>
    </row>
    <row r="661" spans="1:56" x14ac:dyDescent="0.3">
      <c r="A661" s="1">
        <v>45061</v>
      </c>
      <c r="B661" t="str">
        <f>"SI236000648"</f>
        <v>SI236000648</v>
      </c>
      <c r="C661" t="str">
        <f>"PR22000823"</f>
        <v>PR22000823</v>
      </c>
      <c r="E661" t="str">
        <f>"Y"</f>
        <v>Y</v>
      </c>
      <c r="F661" t="str">
        <f>"חשבוניות מרכזות"</f>
        <v>חשבוניות מרכזות</v>
      </c>
      <c r="G661" t="str">
        <f>"700065"</f>
        <v>700065</v>
      </c>
      <c r="H661" t="str">
        <f>"אלתא מערכות בע""מ"</f>
        <v>אלתא מערכות בע"מ</v>
      </c>
      <c r="I661" t="str">
        <f>"15"</f>
        <v>15</v>
      </c>
      <c r="J661" t="str">
        <f>"OP-AR03399"</f>
        <v>OP-AR03399</v>
      </c>
      <c r="K661" t="str">
        <f>"1035C193-001    HARNESS 1W093-GND RU"</f>
        <v>1035C193-001    HARNESS 1W093-GND RU</v>
      </c>
      <c r="L661">
        <v>2</v>
      </c>
      <c r="M661" t="str">
        <f>"יח"</f>
        <v>יח</v>
      </c>
      <c r="N661">
        <v>2</v>
      </c>
      <c r="O661" t="str">
        <f>"יח"</f>
        <v>יח</v>
      </c>
      <c r="P661">
        <v>121.36</v>
      </c>
      <c r="Q661" t="str">
        <f>"$"</f>
        <v>$</v>
      </c>
      <c r="R661" t="str">
        <f>"הזמנה"</f>
        <v>הזמנה</v>
      </c>
      <c r="S661">
        <v>0</v>
      </c>
      <c r="T661">
        <v>242.72</v>
      </c>
      <c r="U661">
        <v>0</v>
      </c>
      <c r="V661">
        <v>242.72</v>
      </c>
      <c r="W661" t="str">
        <f>"$"</f>
        <v>$</v>
      </c>
      <c r="X661">
        <v>0</v>
      </c>
      <c r="Y661">
        <v>0</v>
      </c>
      <c r="Z661">
        <v>0</v>
      </c>
      <c r="AA661" t="str">
        <f>"Y"</f>
        <v>Y</v>
      </c>
      <c r="AB661" t="str">
        <f>"SO22000425"</f>
        <v>SO22000425</v>
      </c>
      <c r="AC661">
        <v>2</v>
      </c>
      <c r="AD661" s="1">
        <v>44892</v>
      </c>
      <c r="AE661" t="str">
        <f>"SH23000579"</f>
        <v>SH23000579</v>
      </c>
      <c r="AF661" t="str">
        <f>"משלוחים ללקוח"</f>
        <v>משלוחים ללקוח</v>
      </c>
      <c r="AG661" s="1">
        <v>45061</v>
      </c>
      <c r="AM661" t="str">
        <f>"10"</f>
        <v>10</v>
      </c>
      <c r="AN661" t="str">
        <f>"500000"</f>
        <v>500000</v>
      </c>
      <c r="AO661" t="str">
        <f>"הכנסות  מלקוחות"</f>
        <v>הכנסות  מלקוחות</v>
      </c>
      <c r="AQ661" t="str">
        <f>"040"</f>
        <v>040</v>
      </c>
      <c r="AR661">
        <v>0</v>
      </c>
      <c r="AS661">
        <v>0</v>
      </c>
      <c r="AT661">
        <v>3.6480000000000001</v>
      </c>
      <c r="AX661" t="str">
        <f>"E000375293"</f>
        <v>E000375293</v>
      </c>
      <c r="BD661" t="str">
        <f>"רחמים זרוק"</f>
        <v>רחמים זרוק</v>
      </c>
    </row>
    <row r="662" spans="1:56" x14ac:dyDescent="0.3">
      <c r="A662" s="1">
        <v>45061</v>
      </c>
      <c r="B662" t="str">
        <f>"SI236000647"</f>
        <v>SI236000647</v>
      </c>
      <c r="C662" t="str">
        <f>"PR22000636"</f>
        <v>PR22000636</v>
      </c>
      <c r="E662" t="str">
        <f>"Y"</f>
        <v>Y</v>
      </c>
      <c r="F662" t="str">
        <f>"חשבוניות מרכזות"</f>
        <v>חשבוניות מרכזות</v>
      </c>
      <c r="G662" t="str">
        <f>"700065"</f>
        <v>700065</v>
      </c>
      <c r="H662" t="str">
        <f>"אלתא מערכות בע""מ"</f>
        <v>אלתא מערכות בע"מ</v>
      </c>
      <c r="I662" t="str">
        <f>"15"</f>
        <v>15</v>
      </c>
      <c r="J662" t="str">
        <f>"OP-AR03357"</f>
        <v>OP-AR03357</v>
      </c>
      <c r="K662" t="str">
        <f>"2120B058-001    CABLE ASSY WTRM-S"</f>
        <v>2120B058-001    CABLE ASSY WTRM-S</v>
      </c>
      <c r="L662">
        <v>2</v>
      </c>
      <c r="M662" t="str">
        <f>"יח"</f>
        <v>יח</v>
      </c>
      <c r="N662">
        <v>2</v>
      </c>
      <c r="O662" t="str">
        <f>"יח"</f>
        <v>יח</v>
      </c>
      <c r="P662">
        <v>575.33000000000004</v>
      </c>
      <c r="Q662" t="str">
        <f>"$"</f>
        <v>$</v>
      </c>
      <c r="R662" t="str">
        <f>"הזמנה"</f>
        <v>הזמנה</v>
      </c>
      <c r="S662">
        <v>0</v>
      </c>
      <c r="T662" s="2">
        <v>1150.6600000000001</v>
      </c>
      <c r="U662">
        <v>0</v>
      </c>
      <c r="V662" s="2">
        <v>1150.6600000000001</v>
      </c>
      <c r="W662" t="str">
        <f>"$"</f>
        <v>$</v>
      </c>
      <c r="X662">
        <v>0</v>
      </c>
      <c r="Y662">
        <v>0</v>
      </c>
      <c r="Z662">
        <v>0</v>
      </c>
      <c r="AA662" t="str">
        <f>"Y"</f>
        <v>Y</v>
      </c>
      <c r="AB662" t="str">
        <f>"SO22000376"</f>
        <v>SO22000376</v>
      </c>
      <c r="AC662">
        <v>3</v>
      </c>
      <c r="AD662" s="1">
        <v>44847</v>
      </c>
      <c r="AE662" t="str">
        <f>"SH23000578"</f>
        <v>SH23000578</v>
      </c>
      <c r="AF662" t="str">
        <f>"משלוחים ללקוח"</f>
        <v>משלוחים ללקוח</v>
      </c>
      <c r="AG662" s="1">
        <v>45061</v>
      </c>
      <c r="AM662" t="str">
        <f>"10"</f>
        <v>10</v>
      </c>
      <c r="AN662" t="str">
        <f>"500000"</f>
        <v>500000</v>
      </c>
      <c r="AO662" t="str">
        <f>"הכנסות  מלקוחות"</f>
        <v>הכנסות  מלקוחות</v>
      </c>
      <c r="AQ662" t="str">
        <f>"040"</f>
        <v>040</v>
      </c>
      <c r="AR662">
        <v>0</v>
      </c>
      <c r="AS662">
        <v>0</v>
      </c>
      <c r="AT662">
        <v>3.6480000000000001</v>
      </c>
      <c r="AX662" t="str">
        <f>"E000375229"</f>
        <v>E000375229</v>
      </c>
      <c r="BD662" t="str">
        <f>"רחמים זרוק"</f>
        <v>רחמים זרוק</v>
      </c>
    </row>
    <row r="663" spans="1:56" x14ac:dyDescent="0.3">
      <c r="A663" s="1">
        <v>45061</v>
      </c>
      <c r="B663" t="str">
        <f>"SI236000647"</f>
        <v>SI236000647</v>
      </c>
      <c r="C663" t="str">
        <f>"PR22000636"</f>
        <v>PR22000636</v>
      </c>
      <c r="E663" t="str">
        <f>"Y"</f>
        <v>Y</v>
      </c>
      <c r="F663" t="str">
        <f>"חשבוניות מרכזות"</f>
        <v>חשבוניות מרכזות</v>
      </c>
      <c r="G663" t="str">
        <f>"700065"</f>
        <v>700065</v>
      </c>
      <c r="H663" t="str">
        <f>"אלתא מערכות בע""מ"</f>
        <v>אלתא מערכות בע"מ</v>
      </c>
      <c r="I663" t="str">
        <f>"15"</f>
        <v>15</v>
      </c>
      <c r="J663" t="str">
        <f>"OP-AR03358"</f>
        <v>OP-AR03358</v>
      </c>
      <c r="K663" t="str">
        <f>"2120B068-001    CABLE ASSY WDTRM-L"</f>
        <v>2120B068-001    CABLE ASSY WDTRM-L</v>
      </c>
      <c r="L663">
        <v>2</v>
      </c>
      <c r="M663" t="str">
        <f>"יח"</f>
        <v>יח</v>
      </c>
      <c r="N663">
        <v>2</v>
      </c>
      <c r="O663" t="str">
        <f>"יח"</f>
        <v>יח</v>
      </c>
      <c r="P663">
        <v>575.33000000000004</v>
      </c>
      <c r="Q663" t="str">
        <f>"$"</f>
        <v>$</v>
      </c>
      <c r="R663" t="str">
        <f>"הזמנה"</f>
        <v>הזמנה</v>
      </c>
      <c r="S663">
        <v>0</v>
      </c>
      <c r="T663" s="2">
        <v>1150.6600000000001</v>
      </c>
      <c r="U663">
        <v>0</v>
      </c>
      <c r="V663" s="2">
        <v>1150.6600000000001</v>
      </c>
      <c r="W663" t="str">
        <f>"$"</f>
        <v>$</v>
      </c>
      <c r="X663">
        <v>0</v>
      </c>
      <c r="Y663">
        <v>0</v>
      </c>
      <c r="Z663">
        <v>0</v>
      </c>
      <c r="AA663" t="str">
        <f>"Y"</f>
        <v>Y</v>
      </c>
      <c r="AB663" t="str">
        <f>"SO22000376"</f>
        <v>SO22000376</v>
      </c>
      <c r="AC663">
        <v>4</v>
      </c>
      <c r="AD663" s="1">
        <v>44847</v>
      </c>
      <c r="AE663" t="str">
        <f>"SH23000578"</f>
        <v>SH23000578</v>
      </c>
      <c r="AF663" t="str">
        <f>"משלוחים ללקוח"</f>
        <v>משלוחים ללקוח</v>
      </c>
      <c r="AG663" s="1">
        <v>45061</v>
      </c>
      <c r="AM663" t="str">
        <f>"10"</f>
        <v>10</v>
      </c>
      <c r="AN663" t="str">
        <f>"500000"</f>
        <v>500000</v>
      </c>
      <c r="AO663" t="str">
        <f>"הכנסות  מלקוחות"</f>
        <v>הכנסות  מלקוחות</v>
      </c>
      <c r="AQ663" t="str">
        <f>"040"</f>
        <v>040</v>
      </c>
      <c r="AR663">
        <v>0</v>
      </c>
      <c r="AS663">
        <v>0</v>
      </c>
      <c r="AT663">
        <v>3.6480000000000001</v>
      </c>
      <c r="AX663" t="str">
        <f>"E000375229"</f>
        <v>E000375229</v>
      </c>
      <c r="BD663" t="str">
        <f>"רחמים זרוק"</f>
        <v>רחמים זרוק</v>
      </c>
    </row>
    <row r="664" spans="1:56" x14ac:dyDescent="0.3">
      <c r="A664" s="1">
        <v>45061</v>
      </c>
      <c r="B664" t="str">
        <f>"SI236000647"</f>
        <v>SI236000647</v>
      </c>
      <c r="C664" t="str">
        <f>"PR22000636"</f>
        <v>PR22000636</v>
      </c>
      <c r="E664" t="str">
        <f>"Y"</f>
        <v>Y</v>
      </c>
      <c r="F664" t="str">
        <f>"חשבוניות מרכזות"</f>
        <v>חשבוניות מרכזות</v>
      </c>
      <c r="G664" t="str">
        <f>"700065"</f>
        <v>700065</v>
      </c>
      <c r="H664" t="str">
        <f>"אלתא מערכות בע""מ"</f>
        <v>אלתא מערכות בע"מ</v>
      </c>
      <c r="I664" t="str">
        <f>"15"</f>
        <v>15</v>
      </c>
      <c r="J664" t="str">
        <f>"OP-AR03359"</f>
        <v>OP-AR03359</v>
      </c>
      <c r="K664" t="str">
        <f>"2120B090-001    CABLE ASSY FSA-S"</f>
        <v>2120B090-001    CABLE ASSY FSA-S</v>
      </c>
      <c r="L664">
        <v>2</v>
      </c>
      <c r="M664" t="str">
        <f>"יח"</f>
        <v>יח</v>
      </c>
      <c r="N664">
        <v>2</v>
      </c>
      <c r="O664" t="str">
        <f>"יח"</f>
        <v>יח</v>
      </c>
      <c r="P664">
        <v>575.33000000000004</v>
      </c>
      <c r="Q664" t="str">
        <f>"$"</f>
        <v>$</v>
      </c>
      <c r="R664" t="str">
        <f>"הזמנה"</f>
        <v>הזמנה</v>
      </c>
      <c r="S664">
        <v>0</v>
      </c>
      <c r="T664" s="2">
        <v>1150.6600000000001</v>
      </c>
      <c r="U664">
        <v>0</v>
      </c>
      <c r="V664" s="2">
        <v>1150.6600000000001</v>
      </c>
      <c r="W664" t="str">
        <f>"$"</f>
        <v>$</v>
      </c>
      <c r="X664">
        <v>0</v>
      </c>
      <c r="Y664">
        <v>0</v>
      </c>
      <c r="Z664">
        <v>0</v>
      </c>
      <c r="AA664" t="str">
        <f>"Y"</f>
        <v>Y</v>
      </c>
      <c r="AB664" t="str">
        <f>"SO22000376"</f>
        <v>SO22000376</v>
      </c>
      <c r="AC664">
        <v>5</v>
      </c>
      <c r="AD664" s="1">
        <v>44847</v>
      </c>
      <c r="AE664" t="str">
        <f>"SH23000578"</f>
        <v>SH23000578</v>
      </c>
      <c r="AF664" t="str">
        <f>"משלוחים ללקוח"</f>
        <v>משלוחים ללקוח</v>
      </c>
      <c r="AG664" s="1">
        <v>45061</v>
      </c>
      <c r="AM664" t="str">
        <f>"10"</f>
        <v>10</v>
      </c>
      <c r="AN664" t="str">
        <f>"500000"</f>
        <v>500000</v>
      </c>
      <c r="AO664" t="str">
        <f>"הכנסות  מלקוחות"</f>
        <v>הכנסות  מלקוחות</v>
      </c>
      <c r="AQ664" t="str">
        <f>"040"</f>
        <v>040</v>
      </c>
      <c r="AR664">
        <v>0</v>
      </c>
      <c r="AS664">
        <v>0</v>
      </c>
      <c r="AT664">
        <v>3.6480000000000001</v>
      </c>
      <c r="AX664" t="str">
        <f>"E000375229"</f>
        <v>E000375229</v>
      </c>
      <c r="BD664" t="str">
        <f>"רחמים זרוק"</f>
        <v>רחמים זרוק</v>
      </c>
    </row>
    <row r="665" spans="1:56" x14ac:dyDescent="0.3">
      <c r="A665" s="1">
        <v>45061</v>
      </c>
      <c r="B665" t="str">
        <f>"SI236000646"</f>
        <v>SI236000646</v>
      </c>
      <c r="C665" t="str">
        <f>"PR22000671"</f>
        <v>PR22000671</v>
      </c>
      <c r="E665" t="str">
        <f>"Y"</f>
        <v>Y</v>
      </c>
      <c r="F665" t="str">
        <f>"חשבוניות מרכזות"</f>
        <v>חשבוניות מרכזות</v>
      </c>
      <c r="G665" t="str">
        <f>"700065"</f>
        <v>700065</v>
      </c>
      <c r="H665" t="str">
        <f>"אלתא מערכות בע""מ"</f>
        <v>אלתא מערכות בע"מ</v>
      </c>
      <c r="I665" t="str">
        <f>"15"</f>
        <v>15</v>
      </c>
      <c r="J665" t="str">
        <f>"OP-AR03366"</f>
        <v>OP-AR03366</v>
      </c>
      <c r="K665" t="str">
        <f>"2210B800-001    HARNESS WS103 - RIG CONTROL"</f>
        <v>2210B800-001    HARNESS WS103 - RIG CONTROL</v>
      </c>
      <c r="L665">
        <v>1</v>
      </c>
      <c r="M665" t="str">
        <f>"יח"</f>
        <v>יח</v>
      </c>
      <c r="N665">
        <v>1</v>
      </c>
      <c r="O665" t="str">
        <f>"יח"</f>
        <v>יח</v>
      </c>
      <c r="P665" s="2">
        <v>1060.02</v>
      </c>
      <c r="Q665" t="str">
        <f>"$"</f>
        <v>$</v>
      </c>
      <c r="R665" t="str">
        <f>"הזמנה"</f>
        <v>הזמנה</v>
      </c>
      <c r="S665">
        <v>0</v>
      </c>
      <c r="T665" s="2">
        <v>1060.02</v>
      </c>
      <c r="U665">
        <v>0</v>
      </c>
      <c r="V665" s="2">
        <v>1060.02</v>
      </c>
      <c r="W665" t="str">
        <f>"$"</f>
        <v>$</v>
      </c>
      <c r="X665">
        <v>0</v>
      </c>
      <c r="Y665">
        <v>0</v>
      </c>
      <c r="Z665">
        <v>0</v>
      </c>
      <c r="AA665" t="str">
        <f>"Y"</f>
        <v>Y</v>
      </c>
      <c r="AB665" t="str">
        <f>"SO22000385"</f>
        <v>SO22000385</v>
      </c>
      <c r="AC665">
        <v>8</v>
      </c>
      <c r="AD665" s="1">
        <v>44860</v>
      </c>
      <c r="AE665" t="str">
        <f>"SH23000577"</f>
        <v>SH23000577</v>
      </c>
      <c r="AF665" t="str">
        <f>"משלוחים ללקוח"</f>
        <v>משלוחים ללקוח</v>
      </c>
      <c r="AG665" s="1">
        <v>45061</v>
      </c>
      <c r="AM665" t="str">
        <f>"10"</f>
        <v>10</v>
      </c>
      <c r="AN665" t="str">
        <f>"500000"</f>
        <v>500000</v>
      </c>
      <c r="AO665" t="str">
        <f>"הכנסות  מלקוחות"</f>
        <v>הכנסות  מלקוחות</v>
      </c>
      <c r="AQ665" t="str">
        <f>"040"</f>
        <v>040</v>
      </c>
      <c r="AR665">
        <v>0</v>
      </c>
      <c r="AS665">
        <v>0</v>
      </c>
      <c r="AT665">
        <v>3.6480000000000001</v>
      </c>
      <c r="AX665" t="str">
        <f>"E000374617"</f>
        <v>E000374617</v>
      </c>
      <c r="BD665" t="str">
        <f>"רחמים זרוק"</f>
        <v>רחמים זרוק</v>
      </c>
    </row>
    <row r="666" spans="1:56" x14ac:dyDescent="0.3">
      <c r="A666" s="1">
        <v>45061</v>
      </c>
      <c r="B666" t="str">
        <f>"SI236000646"</f>
        <v>SI236000646</v>
      </c>
      <c r="C666" t="str">
        <f>"PR22000671"</f>
        <v>PR22000671</v>
      </c>
      <c r="E666" t="str">
        <f>"Y"</f>
        <v>Y</v>
      </c>
      <c r="F666" t="str">
        <f>"חשבוניות מרכזות"</f>
        <v>חשבוניות מרכזות</v>
      </c>
      <c r="G666" t="str">
        <f>"700065"</f>
        <v>700065</v>
      </c>
      <c r="H666" t="str">
        <f>"אלתא מערכות בע""מ"</f>
        <v>אלתא מערכות בע"מ</v>
      </c>
      <c r="I666" t="str">
        <f>"15"</f>
        <v>15</v>
      </c>
      <c r="J666" t="str">
        <f>"OP-AR03371"</f>
        <v>OP-AR03371</v>
      </c>
      <c r="K666" t="str">
        <f>"2216B184-001    LVCS W28 CABLE ASSY"</f>
        <v>2216B184-001    LVCS W28 CABLE ASSY</v>
      </c>
      <c r="L666">
        <v>2</v>
      </c>
      <c r="M666" t="str">
        <f>"יח"</f>
        <v>יח</v>
      </c>
      <c r="N666">
        <v>2</v>
      </c>
      <c r="O666" t="str">
        <f>"יח"</f>
        <v>יח</v>
      </c>
      <c r="P666">
        <v>392.97</v>
      </c>
      <c r="Q666" t="str">
        <f>"$"</f>
        <v>$</v>
      </c>
      <c r="R666" t="str">
        <f>"הזמנה"</f>
        <v>הזמנה</v>
      </c>
      <c r="S666">
        <v>0</v>
      </c>
      <c r="T666">
        <v>785.94</v>
      </c>
      <c r="U666">
        <v>0</v>
      </c>
      <c r="V666">
        <v>785.94</v>
      </c>
      <c r="W666" t="str">
        <f>"$"</f>
        <v>$</v>
      </c>
      <c r="X666">
        <v>0</v>
      </c>
      <c r="Y666">
        <v>0</v>
      </c>
      <c r="Z666">
        <v>0</v>
      </c>
      <c r="AA666" t="str">
        <f>"Y"</f>
        <v>Y</v>
      </c>
      <c r="AB666" t="str">
        <f>"SO22000385"</f>
        <v>SO22000385</v>
      </c>
      <c r="AC666">
        <v>13</v>
      </c>
      <c r="AD666" s="1">
        <v>44860</v>
      </c>
      <c r="AE666" t="str">
        <f>"SH23000577"</f>
        <v>SH23000577</v>
      </c>
      <c r="AF666" t="str">
        <f>"משלוחים ללקוח"</f>
        <v>משלוחים ללקוח</v>
      </c>
      <c r="AG666" s="1">
        <v>45061</v>
      </c>
      <c r="AM666" t="str">
        <f>"10"</f>
        <v>10</v>
      </c>
      <c r="AN666" t="str">
        <f>"500000"</f>
        <v>500000</v>
      </c>
      <c r="AO666" t="str">
        <f>"הכנסות  מלקוחות"</f>
        <v>הכנסות  מלקוחות</v>
      </c>
      <c r="AQ666" t="str">
        <f>"040"</f>
        <v>040</v>
      </c>
      <c r="AR666">
        <v>0</v>
      </c>
      <c r="AS666">
        <v>0</v>
      </c>
      <c r="AT666">
        <v>3.6480000000000001</v>
      </c>
      <c r="AX666" t="str">
        <f>"E000374617"</f>
        <v>E000374617</v>
      </c>
      <c r="BD666" t="str">
        <f>"רחמים זרוק"</f>
        <v>רחמים זרוק</v>
      </c>
    </row>
    <row r="667" spans="1:56" x14ac:dyDescent="0.3">
      <c r="A667" s="1">
        <v>45061</v>
      </c>
      <c r="B667" t="str">
        <f>"SI236000646"</f>
        <v>SI236000646</v>
      </c>
      <c r="C667" t="str">
        <f>"PR22000671"</f>
        <v>PR22000671</v>
      </c>
      <c r="E667" t="str">
        <f>"Y"</f>
        <v>Y</v>
      </c>
      <c r="F667" t="str">
        <f>"חשבוניות מרכזות"</f>
        <v>חשבוניות מרכזות</v>
      </c>
      <c r="G667" t="str">
        <f>"700065"</f>
        <v>700065</v>
      </c>
      <c r="H667" t="str">
        <f>"אלתא מערכות בע""מ"</f>
        <v>אלתא מערכות בע"מ</v>
      </c>
      <c r="I667" t="str">
        <f>"15"</f>
        <v>15</v>
      </c>
      <c r="J667" t="str">
        <f>"OP-AR03372"</f>
        <v>OP-AR03372</v>
      </c>
      <c r="K667" t="str">
        <f>"2216B242-001    ANT CABLE ASSY"</f>
        <v>2216B242-001    ANT CABLE ASSY</v>
      </c>
      <c r="L667">
        <v>2</v>
      </c>
      <c r="M667" t="str">
        <f>"יח"</f>
        <v>יח</v>
      </c>
      <c r="N667">
        <v>2</v>
      </c>
      <c r="O667" t="str">
        <f>"יח"</f>
        <v>יח</v>
      </c>
      <c r="P667">
        <v>290.89999999999998</v>
      </c>
      <c r="Q667" t="str">
        <f>"$"</f>
        <v>$</v>
      </c>
      <c r="R667" t="str">
        <f>"הזמנה"</f>
        <v>הזמנה</v>
      </c>
      <c r="S667">
        <v>0</v>
      </c>
      <c r="T667">
        <v>581.79999999999995</v>
      </c>
      <c r="U667">
        <v>0</v>
      </c>
      <c r="V667">
        <v>581.79999999999995</v>
      </c>
      <c r="W667" t="str">
        <f>"$"</f>
        <v>$</v>
      </c>
      <c r="X667">
        <v>0</v>
      </c>
      <c r="Y667">
        <v>0</v>
      </c>
      <c r="Z667">
        <v>0</v>
      </c>
      <c r="AA667" t="str">
        <f>"Y"</f>
        <v>Y</v>
      </c>
      <c r="AB667" t="str">
        <f>"SO22000385"</f>
        <v>SO22000385</v>
      </c>
      <c r="AC667">
        <v>14</v>
      </c>
      <c r="AD667" s="1">
        <v>44860</v>
      </c>
      <c r="AE667" t="str">
        <f>"SH23000577"</f>
        <v>SH23000577</v>
      </c>
      <c r="AF667" t="str">
        <f>"משלוחים ללקוח"</f>
        <v>משלוחים ללקוח</v>
      </c>
      <c r="AG667" s="1">
        <v>45061</v>
      </c>
      <c r="AM667" t="str">
        <f>"10"</f>
        <v>10</v>
      </c>
      <c r="AN667" t="str">
        <f>"500000"</f>
        <v>500000</v>
      </c>
      <c r="AO667" t="str">
        <f>"הכנסות  מלקוחות"</f>
        <v>הכנסות  מלקוחות</v>
      </c>
      <c r="AQ667" t="str">
        <f>"040"</f>
        <v>040</v>
      </c>
      <c r="AR667">
        <v>0</v>
      </c>
      <c r="AS667">
        <v>0</v>
      </c>
      <c r="AT667">
        <v>3.6480000000000001</v>
      </c>
      <c r="AX667" t="str">
        <f>"E000374617"</f>
        <v>E000374617</v>
      </c>
      <c r="BD667" t="str">
        <f>"רחמים זרוק"</f>
        <v>רחמים זרוק</v>
      </c>
    </row>
    <row r="668" spans="1:56" x14ac:dyDescent="0.3">
      <c r="A668" s="1">
        <v>45061</v>
      </c>
      <c r="B668" t="str">
        <f>"SI236000645"</f>
        <v>SI236000645</v>
      </c>
      <c r="C668" t="str">
        <f>"PR22000581"</f>
        <v>PR22000581</v>
      </c>
      <c r="E668" t="str">
        <f>"Y"</f>
        <v>Y</v>
      </c>
      <c r="F668" t="str">
        <f>"חשבוניות מרכזות"</f>
        <v>חשבוניות מרכזות</v>
      </c>
      <c r="G668" t="str">
        <f>"700065"</f>
        <v>700065</v>
      </c>
      <c r="H668" t="str">
        <f>"אלתא מערכות בע""מ"</f>
        <v>אלתא מערכות בע"מ</v>
      </c>
      <c r="I668" t="str">
        <f>"15"</f>
        <v>15</v>
      </c>
      <c r="J668" t="str">
        <f>"OP-AR03265"</f>
        <v>OP-AR03265</v>
      </c>
      <c r="K668" t="str">
        <f>"6930B167-001   INTEGRATION CABLE IFF CTRL"</f>
        <v>6930B167-001   INTEGRATION CABLE IFF CTRL</v>
      </c>
      <c r="L668">
        <v>1</v>
      </c>
      <c r="M668" t="str">
        <f>"יח"</f>
        <v>יח</v>
      </c>
      <c r="N668">
        <v>1</v>
      </c>
      <c r="O668" t="str">
        <f>"יח"</f>
        <v>יח</v>
      </c>
      <c r="P668">
        <v>402.81</v>
      </c>
      <c r="Q668" t="str">
        <f>"$"</f>
        <v>$</v>
      </c>
      <c r="R668" t="str">
        <f>"הזמנה"</f>
        <v>הזמנה</v>
      </c>
      <c r="S668">
        <v>0</v>
      </c>
      <c r="T668">
        <v>402.81</v>
      </c>
      <c r="U668">
        <v>0</v>
      </c>
      <c r="V668">
        <v>402.81</v>
      </c>
      <c r="W668" t="str">
        <f>"$"</f>
        <v>$</v>
      </c>
      <c r="X668">
        <v>0</v>
      </c>
      <c r="Y668">
        <v>0</v>
      </c>
      <c r="Z668">
        <v>0</v>
      </c>
      <c r="AA668" t="str">
        <f>"Y"</f>
        <v>Y</v>
      </c>
      <c r="AB668" t="str">
        <f>"SO22000332"</f>
        <v>SO22000332</v>
      </c>
      <c r="AC668">
        <v>3</v>
      </c>
      <c r="AD668" s="1">
        <v>44788</v>
      </c>
      <c r="AE668" t="str">
        <f>"SH23000576"</f>
        <v>SH23000576</v>
      </c>
      <c r="AF668" t="str">
        <f>"משלוחים ללקוח"</f>
        <v>משלוחים ללקוח</v>
      </c>
      <c r="AG668" s="1">
        <v>45061</v>
      </c>
      <c r="AM668" t="str">
        <f>"10"</f>
        <v>10</v>
      </c>
      <c r="AN668" t="str">
        <f>"500000"</f>
        <v>500000</v>
      </c>
      <c r="AO668" t="str">
        <f>"הכנסות  מלקוחות"</f>
        <v>הכנסות  מלקוחות</v>
      </c>
      <c r="AQ668" t="str">
        <f>"040"</f>
        <v>040</v>
      </c>
      <c r="AR668">
        <v>0</v>
      </c>
      <c r="AS668">
        <v>0</v>
      </c>
      <c r="AT668">
        <v>3.6480000000000001</v>
      </c>
      <c r="AX668" t="str">
        <f>"E000372167"</f>
        <v>E000372167</v>
      </c>
      <c r="BD668" t="str">
        <f>"רחמים זרוק"</f>
        <v>רחמים זרוק</v>
      </c>
    </row>
    <row r="669" spans="1:56" x14ac:dyDescent="0.3">
      <c r="A669" s="1">
        <v>45061</v>
      </c>
      <c r="B669" t="str">
        <f>"SI236000645"</f>
        <v>SI236000645</v>
      </c>
      <c r="C669" t="str">
        <f>"PR22000581"</f>
        <v>PR22000581</v>
      </c>
      <c r="E669" t="str">
        <f>"Y"</f>
        <v>Y</v>
      </c>
      <c r="F669" t="str">
        <f>"חשבוניות מרכזות"</f>
        <v>חשבוניות מרכזות</v>
      </c>
      <c r="G669" t="str">
        <f>"700065"</f>
        <v>700065</v>
      </c>
      <c r="H669" t="str">
        <f>"אלתא מערכות בע""מ"</f>
        <v>אלתא מערכות בע"מ</v>
      </c>
      <c r="I669" t="str">
        <f>"15"</f>
        <v>15</v>
      </c>
      <c r="J669" t="str">
        <f>"OP-AR03265"</f>
        <v>OP-AR03265</v>
      </c>
      <c r="K669" t="str">
        <f>"6930B167-001   INTEGRATION CABLE IFF CTRL"</f>
        <v>6930B167-001   INTEGRATION CABLE IFF CTRL</v>
      </c>
      <c r="L669">
        <v>2</v>
      </c>
      <c r="M669" t="str">
        <f>"יח"</f>
        <v>יח</v>
      </c>
      <c r="N669">
        <v>2</v>
      </c>
      <c r="O669" t="str">
        <f>"יח"</f>
        <v>יח</v>
      </c>
      <c r="P669">
        <v>402.81</v>
      </c>
      <c r="Q669" t="str">
        <f>"$"</f>
        <v>$</v>
      </c>
      <c r="R669" t="str">
        <f>"הזמנה"</f>
        <v>הזמנה</v>
      </c>
      <c r="S669">
        <v>0</v>
      </c>
      <c r="T669">
        <v>805.62</v>
      </c>
      <c r="U669">
        <v>0</v>
      </c>
      <c r="V669">
        <v>805.62</v>
      </c>
      <c r="W669" t="str">
        <f>"$"</f>
        <v>$</v>
      </c>
      <c r="X669">
        <v>0</v>
      </c>
      <c r="Y669">
        <v>0</v>
      </c>
      <c r="Z669">
        <v>0</v>
      </c>
      <c r="AA669" t="str">
        <f>"Y"</f>
        <v>Y</v>
      </c>
      <c r="AB669" t="str">
        <f>"SO22000332"</f>
        <v>SO22000332</v>
      </c>
      <c r="AC669">
        <v>4</v>
      </c>
      <c r="AD669" s="1">
        <v>44788</v>
      </c>
      <c r="AE669" t="str">
        <f>"SH23000576"</f>
        <v>SH23000576</v>
      </c>
      <c r="AF669" t="str">
        <f>"משלוחים ללקוח"</f>
        <v>משלוחים ללקוח</v>
      </c>
      <c r="AG669" s="1">
        <v>45061</v>
      </c>
      <c r="AM669" t="str">
        <f>"10"</f>
        <v>10</v>
      </c>
      <c r="AN669" t="str">
        <f>"500000"</f>
        <v>500000</v>
      </c>
      <c r="AO669" t="str">
        <f>"הכנסות  מלקוחות"</f>
        <v>הכנסות  מלקוחות</v>
      </c>
      <c r="AQ669" t="str">
        <f>"040"</f>
        <v>040</v>
      </c>
      <c r="AR669">
        <v>0</v>
      </c>
      <c r="AS669">
        <v>0</v>
      </c>
      <c r="AT669">
        <v>3.6480000000000001</v>
      </c>
      <c r="AX669" t="str">
        <f>"E000372167"</f>
        <v>E000372167</v>
      </c>
      <c r="BD669" t="str">
        <f>"רחמים זרוק"</f>
        <v>רחמים זרוק</v>
      </c>
    </row>
    <row r="670" spans="1:56" x14ac:dyDescent="0.3">
      <c r="A670" s="1">
        <v>45061</v>
      </c>
      <c r="B670" t="str">
        <f>"SI236000644"</f>
        <v>SI236000644</v>
      </c>
      <c r="C670" t="str">
        <f>"PR22000592"</f>
        <v>PR22000592</v>
      </c>
      <c r="E670" t="str">
        <f>"Y"</f>
        <v>Y</v>
      </c>
      <c r="F670" t="str">
        <f>"חשבוניות מרכזות"</f>
        <v>חשבוניות מרכזות</v>
      </c>
      <c r="G670" t="str">
        <f>"700065"</f>
        <v>700065</v>
      </c>
      <c r="H670" t="str">
        <f>"אלתא מערכות בע""מ"</f>
        <v>אלתא מערכות בע"מ</v>
      </c>
      <c r="I670" t="str">
        <f>"15"</f>
        <v>15</v>
      </c>
      <c r="J670" t="str">
        <f>"OP-AR03290"</f>
        <v>OP-AR03290</v>
      </c>
      <c r="K670" t="str">
        <f>"1035C314-001    HARNESS 3W014 - 440VAC/60HZ FROM PSU TO"</f>
        <v>1035C314-001    HARNESS 3W014 - 440VAC/60HZ FROM PSU TO</v>
      </c>
      <c r="L670">
        <v>2</v>
      </c>
      <c r="M670" t="str">
        <f>"יח"</f>
        <v>יח</v>
      </c>
      <c r="N670">
        <v>2</v>
      </c>
      <c r="O670" t="str">
        <f>"יח"</f>
        <v>יח</v>
      </c>
      <c r="P670">
        <v>450.69</v>
      </c>
      <c r="Q670" t="str">
        <f>"$"</f>
        <v>$</v>
      </c>
      <c r="R670" t="str">
        <f>"הזמנה"</f>
        <v>הזמנה</v>
      </c>
      <c r="S670">
        <v>0</v>
      </c>
      <c r="T670">
        <v>901.38</v>
      </c>
      <c r="U670">
        <v>0</v>
      </c>
      <c r="V670">
        <v>901.38</v>
      </c>
      <c r="W670" t="str">
        <f>"$"</f>
        <v>$</v>
      </c>
      <c r="X670">
        <v>0</v>
      </c>
      <c r="Y670">
        <v>0</v>
      </c>
      <c r="Z670">
        <v>0</v>
      </c>
      <c r="AA670" t="str">
        <f>"Y"</f>
        <v>Y</v>
      </c>
      <c r="AB670" t="str">
        <f>"SO22000346"</f>
        <v>SO22000346</v>
      </c>
      <c r="AC670">
        <v>14</v>
      </c>
      <c r="AD670" s="1">
        <v>44802</v>
      </c>
      <c r="AE670" t="str">
        <f>"SH23000575"</f>
        <v>SH23000575</v>
      </c>
      <c r="AF670" t="str">
        <f>"משלוחים ללקוח"</f>
        <v>משלוחים ללקוח</v>
      </c>
      <c r="AG670" s="1">
        <v>45061</v>
      </c>
      <c r="AM670" t="str">
        <f>"10"</f>
        <v>10</v>
      </c>
      <c r="AN670" t="str">
        <f>"500000"</f>
        <v>500000</v>
      </c>
      <c r="AO670" t="str">
        <f>"הכנסות  מלקוחות"</f>
        <v>הכנסות  מלקוחות</v>
      </c>
      <c r="AQ670" t="str">
        <f>"040"</f>
        <v>040</v>
      </c>
      <c r="AR670">
        <v>0</v>
      </c>
      <c r="AS670">
        <v>0</v>
      </c>
      <c r="AT670">
        <v>3.6480000000000001</v>
      </c>
      <c r="AX670" t="str">
        <f>"E000372162"</f>
        <v>E000372162</v>
      </c>
      <c r="BD670" t="str">
        <f>"רחמים זרוק"</f>
        <v>רחמים זרוק</v>
      </c>
    </row>
    <row r="671" spans="1:56" x14ac:dyDescent="0.3">
      <c r="A671" s="1">
        <v>45061</v>
      </c>
      <c r="B671" t="str">
        <f>"SI236000633"</f>
        <v>SI236000633</v>
      </c>
      <c r="C671" t="str">
        <f>"PR23000308"</f>
        <v>PR23000308</v>
      </c>
      <c r="D671" t="str">
        <f>"PR23000308"</f>
        <v>PR23000308</v>
      </c>
      <c r="E671" t="str">
        <f>"Y"</f>
        <v>Y</v>
      </c>
      <c r="F671" t="str">
        <f>"חשבוניות מרכזות"</f>
        <v>חשבוניות מרכזות</v>
      </c>
      <c r="G671" t="str">
        <f>"700065"</f>
        <v>700065</v>
      </c>
      <c r="H671" t="str">
        <f>"אלתא מערכות בע""מ"</f>
        <v>אלתא מערכות בע"מ</v>
      </c>
      <c r="I671" t="str">
        <f>"10"</f>
        <v>10</v>
      </c>
      <c r="J671" t="str">
        <f>"000"</f>
        <v>000</v>
      </c>
      <c r="K671" t="str">
        <f>"תיקון אוקסלירי בעטרות סידורי"</f>
        <v>תיקון אוקסלירי בעטרות סידורי</v>
      </c>
      <c r="L671">
        <v>1</v>
      </c>
      <c r="M671" t="str">
        <f>"יח"</f>
        <v>יח</v>
      </c>
      <c r="N671">
        <v>1</v>
      </c>
      <c r="O671" t="str">
        <f>"יח"</f>
        <v>יח</v>
      </c>
      <c r="P671" s="2">
        <v>2400</v>
      </c>
      <c r="Q671" t="str">
        <f>"$"</f>
        <v>$</v>
      </c>
      <c r="R671" t="str">
        <f>"הזמנה"</f>
        <v>הזמנה</v>
      </c>
      <c r="S671">
        <v>0</v>
      </c>
      <c r="T671" s="2">
        <v>2400</v>
      </c>
      <c r="U671">
        <v>0</v>
      </c>
      <c r="V671" s="2">
        <v>2400</v>
      </c>
      <c r="W671" t="str">
        <f>"$"</f>
        <v>$</v>
      </c>
      <c r="X671">
        <v>0</v>
      </c>
      <c r="Y671">
        <v>0</v>
      </c>
      <c r="Z671">
        <v>0</v>
      </c>
      <c r="AA671" t="str">
        <f>"Y"</f>
        <v>Y</v>
      </c>
      <c r="AB671" t="str">
        <f>"SO23000231"</f>
        <v>SO23000231</v>
      </c>
      <c r="AC671">
        <v>1</v>
      </c>
      <c r="AD671" s="1">
        <v>45061</v>
      </c>
      <c r="AM671" t="str">
        <f>"10"</f>
        <v>10</v>
      </c>
      <c r="AN671" t="str">
        <f>"500000"</f>
        <v>500000</v>
      </c>
      <c r="AO671" t="str">
        <f>"הכנסות  מלקוחות"</f>
        <v>הכנסות  מלקוחות</v>
      </c>
      <c r="AQ671" t="str">
        <f>"007"</f>
        <v>007</v>
      </c>
      <c r="AR671">
        <v>0</v>
      </c>
      <c r="AS671">
        <v>0</v>
      </c>
      <c r="AT671">
        <v>3.6419999999999999</v>
      </c>
      <c r="AX671" t="str">
        <f>"E000394578"</f>
        <v>E000394578</v>
      </c>
      <c r="BD671" t="str">
        <f>"רוני דידי"</f>
        <v>רוני דידי</v>
      </c>
    </row>
    <row r="672" spans="1:56" x14ac:dyDescent="0.3">
      <c r="A672" s="1">
        <v>45060</v>
      </c>
      <c r="B672" t="str">
        <f>"SI236000629"</f>
        <v>SI236000629</v>
      </c>
      <c r="E672" t="str">
        <f>"Y"</f>
        <v>Y</v>
      </c>
      <c r="F672" t="str">
        <f>"חשבוניות מרכזות"</f>
        <v>חשבוניות מרכזות</v>
      </c>
      <c r="G672" t="str">
        <f>"700065"</f>
        <v>700065</v>
      </c>
      <c r="H672" t="str">
        <f>"אלתא מערכות בע""מ"</f>
        <v>אלתא מערכות בע"מ</v>
      </c>
      <c r="I672" t="str">
        <f>"05"</f>
        <v>05</v>
      </c>
      <c r="J672" t="str">
        <f>"OP-PD02880"</f>
        <v>OP-PD02880</v>
      </c>
      <c r="K672" t="str">
        <f>"POWER DISTRIBUTION BOARD 06/07-SOCD"</f>
        <v>POWER DISTRIBUTION BOARD 06/07-SOCD</v>
      </c>
      <c r="L672">
        <v>1</v>
      </c>
      <c r="M672" t="str">
        <f>"יח"</f>
        <v>יח</v>
      </c>
      <c r="N672">
        <v>1</v>
      </c>
      <c r="O672" t="str">
        <f>"יח"</f>
        <v>יח</v>
      </c>
      <c r="P672" s="2">
        <v>47244</v>
      </c>
      <c r="Q672" t="str">
        <f>"$"</f>
        <v>$</v>
      </c>
      <c r="R672" t="str">
        <f>"הזמנה"</f>
        <v>הזמנה</v>
      </c>
      <c r="S672">
        <v>0</v>
      </c>
      <c r="T672" s="2">
        <v>47244</v>
      </c>
      <c r="U672">
        <v>0</v>
      </c>
      <c r="V672" s="2">
        <v>47244</v>
      </c>
      <c r="W672" t="str">
        <f>"$"</f>
        <v>$</v>
      </c>
      <c r="X672">
        <v>0</v>
      </c>
      <c r="Y672">
        <v>0</v>
      </c>
      <c r="Z672">
        <v>0</v>
      </c>
      <c r="AA672" t="str">
        <f>"Y"</f>
        <v>Y</v>
      </c>
      <c r="AB672" t="str">
        <f>"SO21000184"</f>
        <v>SO21000184</v>
      </c>
      <c r="AC672">
        <v>22</v>
      </c>
      <c r="AD672" s="1">
        <v>44307</v>
      </c>
      <c r="AE672" t="str">
        <f>"SH23000987"</f>
        <v>SH23000987</v>
      </c>
      <c r="AF672" t="str">
        <f>"משלוחים ללקוח"</f>
        <v>משלוחים ללקוח</v>
      </c>
      <c r="AG672" s="1">
        <v>45139</v>
      </c>
      <c r="AM672" t="str">
        <f>"10"</f>
        <v>10</v>
      </c>
      <c r="AN672" t="str">
        <f>"500000"</f>
        <v>500000</v>
      </c>
      <c r="AO672" t="str">
        <f>"הכנסות  מלקוחות"</f>
        <v>הכנסות  מלקוחות</v>
      </c>
      <c r="AQ672" t="str">
        <f>"034"</f>
        <v>034</v>
      </c>
      <c r="AR672">
        <v>0</v>
      </c>
      <c r="AS672">
        <v>0</v>
      </c>
      <c r="AT672">
        <v>3.6419999999999999</v>
      </c>
      <c r="AX672" t="str">
        <f>"E000336430"</f>
        <v>E000336430</v>
      </c>
      <c r="BD672" t="str">
        <f>"ערן שלו"</f>
        <v>ערן שלו</v>
      </c>
    </row>
    <row r="673" spans="1:56" x14ac:dyDescent="0.3">
      <c r="A673" s="1">
        <v>45060</v>
      </c>
      <c r="B673" t="str">
        <f>"SI236000628"</f>
        <v>SI236000628</v>
      </c>
      <c r="E673" t="str">
        <f>"Y"</f>
        <v>Y</v>
      </c>
      <c r="F673" t="str">
        <f>"חשבוניות מרכזות"</f>
        <v>חשבוניות מרכזות</v>
      </c>
      <c r="G673" t="str">
        <f>"700065"</f>
        <v>700065</v>
      </c>
      <c r="H673" t="str">
        <f>"אלתא מערכות בע""מ"</f>
        <v>אלתא מערכות בע"מ</v>
      </c>
      <c r="I673" t="str">
        <f>"05"</f>
        <v>05</v>
      </c>
      <c r="J673" t="str">
        <f>"OP-PD02880"</f>
        <v>OP-PD02880</v>
      </c>
      <c r="K673" t="str">
        <f>"POWER DISTRIBUTION BOARD 06/07-SOCD"</f>
        <v>POWER DISTRIBUTION BOARD 06/07-SOCD</v>
      </c>
      <c r="L673">
        <v>1</v>
      </c>
      <c r="M673" t="str">
        <f>"יח"</f>
        <v>יח</v>
      </c>
      <c r="N673">
        <v>1</v>
      </c>
      <c r="O673" t="str">
        <f>"יח"</f>
        <v>יח</v>
      </c>
      <c r="P673" s="2">
        <v>47244</v>
      </c>
      <c r="Q673" t="str">
        <f>"$"</f>
        <v>$</v>
      </c>
      <c r="R673" t="str">
        <f>"הזמנה"</f>
        <v>הזמנה</v>
      </c>
      <c r="S673">
        <v>0</v>
      </c>
      <c r="T673" s="2">
        <v>47244</v>
      </c>
      <c r="U673">
        <v>0</v>
      </c>
      <c r="V673" s="2">
        <v>47244</v>
      </c>
      <c r="W673" t="str">
        <f>"$"</f>
        <v>$</v>
      </c>
      <c r="X673">
        <v>0</v>
      </c>
      <c r="Y673">
        <v>0</v>
      </c>
      <c r="Z673">
        <v>0</v>
      </c>
      <c r="AA673" t="str">
        <f>"Y"</f>
        <v>Y</v>
      </c>
      <c r="AB673" t="str">
        <f>"SO21000184"</f>
        <v>SO21000184</v>
      </c>
      <c r="AC673">
        <v>22</v>
      </c>
      <c r="AD673" s="1">
        <v>44307</v>
      </c>
      <c r="AE673" t="str">
        <f>"SH23000987"</f>
        <v>SH23000987</v>
      </c>
      <c r="AF673" t="str">
        <f>"משלוחים ללקוח"</f>
        <v>משלוחים ללקוח</v>
      </c>
      <c r="AG673" s="1">
        <v>45139</v>
      </c>
      <c r="AM673" t="str">
        <f>"10"</f>
        <v>10</v>
      </c>
      <c r="AN673" t="str">
        <f>"500000"</f>
        <v>500000</v>
      </c>
      <c r="AO673" t="str">
        <f>"הכנסות  מלקוחות"</f>
        <v>הכנסות  מלקוחות</v>
      </c>
      <c r="AQ673" t="str">
        <f>"034"</f>
        <v>034</v>
      </c>
      <c r="AR673">
        <v>0</v>
      </c>
      <c r="AS673">
        <v>0</v>
      </c>
      <c r="AT673">
        <v>3.6419999999999999</v>
      </c>
      <c r="AX673" t="str">
        <f>"E000336430"</f>
        <v>E000336430</v>
      </c>
      <c r="BD673" t="str">
        <f>"ערן שלו"</f>
        <v>ערן שלו</v>
      </c>
    </row>
    <row r="674" spans="1:56" x14ac:dyDescent="0.3">
      <c r="A674" s="1">
        <v>45060</v>
      </c>
      <c r="B674" t="str">
        <f>"SI236000627"</f>
        <v>SI236000627</v>
      </c>
      <c r="E674" t="str">
        <f>"Y"</f>
        <v>Y</v>
      </c>
      <c r="F674" t="str">
        <f>"חשבוניות מרכזות"</f>
        <v>חשבוניות מרכזות</v>
      </c>
      <c r="G674" t="str">
        <f>"700065"</f>
        <v>700065</v>
      </c>
      <c r="H674" t="str">
        <f>"אלתא מערכות בע""מ"</f>
        <v>אלתא מערכות בע"מ</v>
      </c>
      <c r="I674" t="str">
        <f>"05"</f>
        <v>05</v>
      </c>
      <c r="J674" t="str">
        <f>"OP-PD02881"</f>
        <v>OP-PD02881</v>
      </c>
      <c r="K674" t="str">
        <f>"POWER DISTRIBUTION BOARD 09-SOCD"</f>
        <v>POWER DISTRIBUTION BOARD 09-SOCD</v>
      </c>
      <c r="L674">
        <v>1</v>
      </c>
      <c r="M674" t="str">
        <f>"יח"</f>
        <v>יח</v>
      </c>
      <c r="N674">
        <v>1</v>
      </c>
      <c r="O674" t="str">
        <f>"יח"</f>
        <v>יח</v>
      </c>
      <c r="P674" s="2">
        <v>39999.300000000003</v>
      </c>
      <c r="Q674" t="str">
        <f>"$"</f>
        <v>$</v>
      </c>
      <c r="R674" t="str">
        <f>"הזמנה"</f>
        <v>הזמנה</v>
      </c>
      <c r="S674">
        <v>0</v>
      </c>
      <c r="T674" s="2">
        <v>39999.300000000003</v>
      </c>
      <c r="U674">
        <v>0</v>
      </c>
      <c r="V674" s="2">
        <v>39999.300000000003</v>
      </c>
      <c r="W674" t="str">
        <f>"$"</f>
        <v>$</v>
      </c>
      <c r="X674">
        <v>0</v>
      </c>
      <c r="Y674">
        <v>0</v>
      </c>
      <c r="Z674">
        <v>0</v>
      </c>
      <c r="AA674" t="str">
        <f>"Y"</f>
        <v>Y</v>
      </c>
      <c r="AB674" t="str">
        <f>"SO21000184"</f>
        <v>SO21000184</v>
      </c>
      <c r="AC674">
        <v>14</v>
      </c>
      <c r="AD674" s="1">
        <v>44307</v>
      </c>
      <c r="AM674" t="str">
        <f>"10"</f>
        <v>10</v>
      </c>
      <c r="AN674" t="str">
        <f>"500000"</f>
        <v>500000</v>
      </c>
      <c r="AO674" t="str">
        <f>"הכנסות  מלקוחות"</f>
        <v>הכנסות  מלקוחות</v>
      </c>
      <c r="AQ674" t="str">
        <f>"034"</f>
        <v>034</v>
      </c>
      <c r="AR674">
        <v>0</v>
      </c>
      <c r="AS674">
        <v>0</v>
      </c>
      <c r="AT674">
        <v>3.6419999999999999</v>
      </c>
      <c r="AX674" t="str">
        <f>"E000336430"</f>
        <v>E000336430</v>
      </c>
      <c r="BD674" t="str">
        <f>"ערן שלו"</f>
        <v>ערן שלו</v>
      </c>
    </row>
    <row r="675" spans="1:56" x14ac:dyDescent="0.3">
      <c r="A675" s="1">
        <v>45060</v>
      </c>
      <c r="B675" t="str">
        <f>"SI236000626"</f>
        <v>SI236000626</v>
      </c>
      <c r="E675" t="str">
        <f>"Y"</f>
        <v>Y</v>
      </c>
      <c r="F675" t="str">
        <f>"חשבוניות מרכזות"</f>
        <v>חשבוניות מרכזות</v>
      </c>
      <c r="G675" t="str">
        <f>"700065"</f>
        <v>700065</v>
      </c>
      <c r="H675" t="str">
        <f>"אלתא מערכות בע""מ"</f>
        <v>אלתא מערכות בע"מ</v>
      </c>
      <c r="I675" t="str">
        <f>"05"</f>
        <v>05</v>
      </c>
      <c r="J675" t="str">
        <f>"OP-PD02881"</f>
        <v>OP-PD02881</v>
      </c>
      <c r="K675" t="str">
        <f>"POWER DISTRIBUTION BOARD 09-SOCD"</f>
        <v>POWER DISTRIBUTION BOARD 09-SOCD</v>
      </c>
      <c r="L675">
        <v>1</v>
      </c>
      <c r="M675" t="str">
        <f>"יח"</f>
        <v>יח</v>
      </c>
      <c r="N675">
        <v>1</v>
      </c>
      <c r="O675" t="str">
        <f>"יח"</f>
        <v>יח</v>
      </c>
      <c r="P675" s="2">
        <v>39999.300000000003</v>
      </c>
      <c r="Q675" t="str">
        <f>"$"</f>
        <v>$</v>
      </c>
      <c r="R675" t="str">
        <f>"הזמנה"</f>
        <v>הזמנה</v>
      </c>
      <c r="S675">
        <v>0</v>
      </c>
      <c r="T675" s="2">
        <v>39999.300000000003</v>
      </c>
      <c r="U675">
        <v>0</v>
      </c>
      <c r="V675" s="2">
        <v>39999.300000000003</v>
      </c>
      <c r="W675" t="str">
        <f>"$"</f>
        <v>$</v>
      </c>
      <c r="X675">
        <v>0</v>
      </c>
      <c r="Y675">
        <v>0</v>
      </c>
      <c r="Z675">
        <v>0</v>
      </c>
      <c r="AA675" t="str">
        <f>"Y"</f>
        <v>Y</v>
      </c>
      <c r="AB675" t="str">
        <f>"SO21000184"</f>
        <v>SO21000184</v>
      </c>
      <c r="AC675">
        <v>14</v>
      </c>
      <c r="AD675" s="1">
        <v>44307</v>
      </c>
      <c r="AE675" t="str">
        <f>"SH23000988"</f>
        <v>SH23000988</v>
      </c>
      <c r="AF675" t="str">
        <f>"משלוחים ללקוח"</f>
        <v>משלוחים ללקוח</v>
      </c>
      <c r="AG675" s="1">
        <v>45139</v>
      </c>
      <c r="AM675" t="str">
        <f>"10"</f>
        <v>10</v>
      </c>
      <c r="AN675" t="str">
        <f>"500000"</f>
        <v>500000</v>
      </c>
      <c r="AO675" t="str">
        <f>"הכנסות  מלקוחות"</f>
        <v>הכנסות  מלקוחות</v>
      </c>
      <c r="AQ675" t="str">
        <f>"034"</f>
        <v>034</v>
      </c>
      <c r="AR675">
        <v>0</v>
      </c>
      <c r="AS675">
        <v>0</v>
      </c>
      <c r="AT675">
        <v>3.6419999999999999</v>
      </c>
      <c r="AX675" t="str">
        <f>"E000336430"</f>
        <v>E000336430</v>
      </c>
      <c r="BD675" t="str">
        <f>"ערן שלו"</f>
        <v>ערן שלו</v>
      </c>
    </row>
    <row r="676" spans="1:56" x14ac:dyDescent="0.3">
      <c r="A676" s="1">
        <v>45057</v>
      </c>
      <c r="B676" t="str">
        <f>"SI236000643"</f>
        <v>SI236000643</v>
      </c>
      <c r="C676" t="str">
        <f>"PR22000400"</f>
        <v>PR22000400</v>
      </c>
      <c r="E676" t="str">
        <f>"Y"</f>
        <v>Y</v>
      </c>
      <c r="F676" t="str">
        <f>"חשבוניות מרכזות"</f>
        <v>חשבוניות מרכזות</v>
      </c>
      <c r="G676" t="str">
        <f>"700065"</f>
        <v>700065</v>
      </c>
      <c r="H676" t="str">
        <f>"אלתא מערכות בע""מ"</f>
        <v>אלתא מערכות בע"מ</v>
      </c>
      <c r="I676" t="str">
        <f>"10"</f>
        <v>10</v>
      </c>
      <c r="J676" t="str">
        <f>"OP-ML00218"</f>
        <v>OP-ML00218</v>
      </c>
      <c r="K676" t="str">
        <f>"1042A900-001 RECTIFIER RACK"</f>
        <v>1042A900-001 RECTIFIER RACK</v>
      </c>
      <c r="L676">
        <v>1</v>
      </c>
      <c r="M676" t="str">
        <f>"יח"</f>
        <v>יח</v>
      </c>
      <c r="N676">
        <v>1</v>
      </c>
      <c r="O676" t="str">
        <f>"יח"</f>
        <v>יח</v>
      </c>
      <c r="P676" s="2">
        <v>42500</v>
      </c>
      <c r="Q676" t="str">
        <f>"$"</f>
        <v>$</v>
      </c>
      <c r="R676" t="str">
        <f>"הזמנה"</f>
        <v>הזמנה</v>
      </c>
      <c r="S676">
        <v>0</v>
      </c>
      <c r="T676" s="2">
        <v>42500</v>
      </c>
      <c r="U676">
        <v>0</v>
      </c>
      <c r="V676" s="2">
        <v>42500</v>
      </c>
      <c r="W676" t="str">
        <f>"$"</f>
        <v>$</v>
      </c>
      <c r="X676">
        <v>0</v>
      </c>
      <c r="Y676">
        <v>0</v>
      </c>
      <c r="Z676">
        <v>0</v>
      </c>
      <c r="AA676" t="str">
        <f>"Y"</f>
        <v>Y</v>
      </c>
      <c r="AB676" t="str">
        <f>"SO22000181"</f>
        <v>SO22000181</v>
      </c>
      <c r="AC676">
        <v>6</v>
      </c>
      <c r="AD676" s="1">
        <v>44696</v>
      </c>
      <c r="AE676" t="str">
        <f>"SH23000570"</f>
        <v>SH23000570</v>
      </c>
      <c r="AF676" t="str">
        <f>"משלוחים ללקוח"</f>
        <v>משלוחים ללקוח</v>
      </c>
      <c r="AG676" s="1">
        <v>45057</v>
      </c>
      <c r="AM676" t="str">
        <f>"10"</f>
        <v>10</v>
      </c>
      <c r="AN676" t="str">
        <f>"500000"</f>
        <v>500000</v>
      </c>
      <c r="AO676" t="str">
        <f>"הכנסות  מלקוחות"</f>
        <v>הכנסות  מלקוחות</v>
      </c>
      <c r="AQ676" t="str">
        <f>"034"</f>
        <v>034</v>
      </c>
      <c r="AR676">
        <v>0</v>
      </c>
      <c r="AS676">
        <v>0</v>
      </c>
      <c r="AT676">
        <v>3.6429999999999998</v>
      </c>
      <c r="AX676" t="str">
        <f>"E000362815"</f>
        <v>E000362815</v>
      </c>
      <c r="BD676" t="str">
        <f>"ערן שלו"</f>
        <v>ערן שלו</v>
      </c>
    </row>
    <row r="677" spans="1:56" x14ac:dyDescent="0.3">
      <c r="A677" s="1">
        <v>45053</v>
      </c>
      <c r="B677" t="str">
        <f>"SI236000612"</f>
        <v>SI236000612</v>
      </c>
      <c r="E677" t="str">
        <f>"Y"</f>
        <v>Y</v>
      </c>
      <c r="F677" t="str">
        <f>"חשבוניות מרכזות"</f>
        <v>חשבוניות מרכזות</v>
      </c>
      <c r="G677" t="str">
        <f>"700065"</f>
        <v>700065</v>
      </c>
      <c r="H677" t="str">
        <f>"אלתא מערכות בע""מ"</f>
        <v>אלתא מערכות בע"מ</v>
      </c>
      <c r="I677" t="str">
        <f>"10"</f>
        <v>10</v>
      </c>
      <c r="J677" t="str">
        <f>"000"</f>
        <v>000</v>
      </c>
      <c r="K677" t="str">
        <f>"מארז מחשוב PDB1+UPS מערכת 7"</f>
        <v>מארז מחשוב PDB1+UPS מערכת 7</v>
      </c>
      <c r="L677">
        <v>1</v>
      </c>
      <c r="M677" t="str">
        <f>"יח"</f>
        <v>יח</v>
      </c>
      <c r="N677">
        <v>1</v>
      </c>
      <c r="O677" t="str">
        <f>"יח"</f>
        <v>יח</v>
      </c>
      <c r="P677" s="2">
        <v>2950</v>
      </c>
      <c r="Q677" t="str">
        <f>"$"</f>
        <v>$</v>
      </c>
      <c r="R677" t="str">
        <f>"הזמנה"</f>
        <v>הזמנה</v>
      </c>
      <c r="S677">
        <v>0</v>
      </c>
      <c r="T677" s="2">
        <v>2950</v>
      </c>
      <c r="U677">
        <v>0</v>
      </c>
      <c r="V677" s="2">
        <v>2950</v>
      </c>
      <c r="W677" t="str">
        <f>"$"</f>
        <v>$</v>
      </c>
      <c r="X677">
        <v>0</v>
      </c>
      <c r="Y677">
        <v>0</v>
      </c>
      <c r="Z677">
        <v>0</v>
      </c>
      <c r="AA677" t="str">
        <f>"Y"</f>
        <v>Y</v>
      </c>
      <c r="AB677" t="str">
        <f>"SO22000489"</f>
        <v>SO22000489</v>
      </c>
      <c r="AC677">
        <v>8</v>
      </c>
      <c r="AD677" s="1">
        <v>44922</v>
      </c>
      <c r="AM677" t="str">
        <f>"10"</f>
        <v>10</v>
      </c>
      <c r="AN677" t="str">
        <f>"500000"</f>
        <v>500000</v>
      </c>
      <c r="AO677" t="str">
        <f>"הכנסות  מלקוחות"</f>
        <v>הכנסות  מלקוחות</v>
      </c>
      <c r="AQ677" t="str">
        <f>"040"</f>
        <v>040</v>
      </c>
      <c r="AR677">
        <v>0</v>
      </c>
      <c r="AS677">
        <v>0</v>
      </c>
      <c r="AT677">
        <v>3.6469999999999998</v>
      </c>
      <c r="AX677" t="str">
        <f>"E000382417"</f>
        <v>E000382417</v>
      </c>
      <c r="BD677" t="str">
        <f>"רחמים זרוק"</f>
        <v>רחמים זרוק</v>
      </c>
    </row>
    <row r="678" spans="1:56" x14ac:dyDescent="0.3">
      <c r="A678" s="1">
        <v>45053</v>
      </c>
      <c r="B678" t="str">
        <f>"SI236000611"</f>
        <v>SI236000611</v>
      </c>
      <c r="E678" t="str">
        <f>"Y"</f>
        <v>Y</v>
      </c>
      <c r="F678" t="str">
        <f>"חשבוניות מרכזות"</f>
        <v>חשבוניות מרכזות</v>
      </c>
      <c r="G678" t="str">
        <f>"700065"</f>
        <v>700065</v>
      </c>
      <c r="H678" t="str">
        <f>"אלתא מערכות בע""מ"</f>
        <v>אלתא מערכות בע"מ</v>
      </c>
      <c r="I678" t="str">
        <f>"10"</f>
        <v>10</v>
      </c>
      <c r="J678" t="str">
        <f>"000"</f>
        <v>000</v>
      </c>
      <c r="K678" t="str">
        <f>"שדרוג מגירת הספקים+UPS מארז מ"</f>
        <v>שדרוג מגירת הספקים+UPS מארז מ</v>
      </c>
      <c r="L678">
        <v>-1</v>
      </c>
      <c r="M678" t="str">
        <f>"יח"</f>
        <v>יח</v>
      </c>
      <c r="N678">
        <v>-1</v>
      </c>
      <c r="O678" t="str">
        <f>"יח"</f>
        <v>יח</v>
      </c>
      <c r="P678" s="2">
        <v>2400</v>
      </c>
      <c r="Q678" t="str">
        <f>"$"</f>
        <v>$</v>
      </c>
      <c r="R678" t="str">
        <f>"הזמנה"</f>
        <v>הזמנה</v>
      </c>
      <c r="S678">
        <v>0</v>
      </c>
      <c r="T678" s="2">
        <v>-2400</v>
      </c>
      <c r="U678">
        <v>0</v>
      </c>
      <c r="V678" s="2">
        <v>-2400</v>
      </c>
      <c r="W678" t="str">
        <f>"$"</f>
        <v>$</v>
      </c>
      <c r="X678">
        <v>0</v>
      </c>
      <c r="Y678">
        <v>0</v>
      </c>
      <c r="Z678">
        <v>0</v>
      </c>
      <c r="AA678" t="str">
        <f>"Y"</f>
        <v>Y</v>
      </c>
      <c r="AC678">
        <v>0</v>
      </c>
      <c r="AM678" t="str">
        <f>"10"</f>
        <v>10</v>
      </c>
      <c r="AN678" t="str">
        <f>"500000"</f>
        <v>500000</v>
      </c>
      <c r="AO678" t="str">
        <f>"הכנסות  מלקוחות"</f>
        <v>הכנסות  מלקוחות</v>
      </c>
      <c r="AQ678" t="str">
        <f>"040"</f>
        <v>040</v>
      </c>
      <c r="AR678">
        <v>0</v>
      </c>
      <c r="AS678">
        <v>0</v>
      </c>
      <c r="AT678">
        <v>3.6469999999999998</v>
      </c>
      <c r="BB678" t="str">
        <f>"Y"</f>
        <v>Y</v>
      </c>
      <c r="BD678" t="str">
        <f>"רחמים זרוק"</f>
        <v>רחמים זרוק</v>
      </c>
    </row>
    <row r="679" spans="1:56" x14ac:dyDescent="0.3">
      <c r="A679" s="1">
        <v>45053</v>
      </c>
      <c r="B679" t="str">
        <f>"SI236000611"</f>
        <v>SI236000611</v>
      </c>
      <c r="E679" t="str">
        <f>"Y"</f>
        <v>Y</v>
      </c>
      <c r="F679" t="str">
        <f>"חשבוניות מרכזות"</f>
        <v>חשבוניות מרכזות</v>
      </c>
      <c r="G679" t="str">
        <f>"700065"</f>
        <v>700065</v>
      </c>
      <c r="H679" t="str">
        <f>"אלתא מערכות בע""מ"</f>
        <v>אלתא מערכות בע"מ</v>
      </c>
      <c r="I679" t="str">
        <f>"10"</f>
        <v>10</v>
      </c>
      <c r="J679" t="str">
        <f>"000"</f>
        <v>000</v>
      </c>
      <c r="K679" t="str">
        <f>"מארז מחשוב PDB1+UPS מערכת 7"</f>
        <v>מארז מחשוב PDB1+UPS מערכת 7</v>
      </c>
      <c r="L679">
        <v>-1</v>
      </c>
      <c r="M679" t="str">
        <f>"יח"</f>
        <v>יח</v>
      </c>
      <c r="N679">
        <v>-1</v>
      </c>
      <c r="O679" t="str">
        <f>"יח"</f>
        <v>יח</v>
      </c>
      <c r="P679" s="2">
        <v>2950</v>
      </c>
      <c r="Q679" t="str">
        <f>"$"</f>
        <v>$</v>
      </c>
      <c r="R679" t="str">
        <f>"הזמנה"</f>
        <v>הזמנה</v>
      </c>
      <c r="S679">
        <v>0</v>
      </c>
      <c r="T679" s="2">
        <v>-2950</v>
      </c>
      <c r="U679">
        <v>0</v>
      </c>
      <c r="V679" s="2">
        <v>-2950</v>
      </c>
      <c r="W679" t="str">
        <f>"$"</f>
        <v>$</v>
      </c>
      <c r="X679">
        <v>0</v>
      </c>
      <c r="Y679">
        <v>0</v>
      </c>
      <c r="Z679">
        <v>0</v>
      </c>
      <c r="AA679" t="str">
        <f>"Y"</f>
        <v>Y</v>
      </c>
      <c r="AC679">
        <v>0</v>
      </c>
      <c r="AM679" t="str">
        <f>"10"</f>
        <v>10</v>
      </c>
      <c r="AN679" t="str">
        <f>"500000"</f>
        <v>500000</v>
      </c>
      <c r="AO679" t="str">
        <f>"הכנסות  מלקוחות"</f>
        <v>הכנסות  מלקוחות</v>
      </c>
      <c r="AQ679" t="str">
        <f>"040"</f>
        <v>040</v>
      </c>
      <c r="AR679">
        <v>0</v>
      </c>
      <c r="AS679">
        <v>0</v>
      </c>
      <c r="AT679">
        <v>3.6469999999999998</v>
      </c>
      <c r="BB679" t="str">
        <f>"Y"</f>
        <v>Y</v>
      </c>
      <c r="BD679" t="str">
        <f>"רחמים זרוק"</f>
        <v>רחמים זרוק</v>
      </c>
    </row>
    <row r="680" spans="1:56" x14ac:dyDescent="0.3">
      <c r="A680" s="1">
        <v>45053</v>
      </c>
      <c r="B680" t="str">
        <f>"SI236000611"</f>
        <v>SI236000611</v>
      </c>
      <c r="E680" t="str">
        <f>"Y"</f>
        <v>Y</v>
      </c>
      <c r="F680" t="str">
        <f>"חשבוניות מרכזות"</f>
        <v>חשבוניות מרכזות</v>
      </c>
      <c r="G680" t="str">
        <f>"700065"</f>
        <v>700065</v>
      </c>
      <c r="H680" t="str">
        <f>"אלתא מערכות בע""מ"</f>
        <v>אלתא מערכות בע"מ</v>
      </c>
      <c r="I680" t="str">
        <f>"10"</f>
        <v>10</v>
      </c>
      <c r="J680" t="str">
        <f>"000"</f>
        <v>000</v>
      </c>
      <c r="K680" t="str">
        <f>"מארז מחשוב PDB1+UPS מערכת 8"</f>
        <v>מארז מחשוב PDB1+UPS מערכת 8</v>
      </c>
      <c r="L680">
        <v>-1</v>
      </c>
      <c r="M680" t="str">
        <f>"יח"</f>
        <v>יח</v>
      </c>
      <c r="N680">
        <v>-1</v>
      </c>
      <c r="O680" t="str">
        <f>"יח"</f>
        <v>יח</v>
      </c>
      <c r="P680" s="2">
        <v>2950</v>
      </c>
      <c r="Q680" t="str">
        <f>"$"</f>
        <v>$</v>
      </c>
      <c r="R680" t="str">
        <f>"הזמנה"</f>
        <v>הזמנה</v>
      </c>
      <c r="S680">
        <v>0</v>
      </c>
      <c r="T680" s="2">
        <v>-2950</v>
      </c>
      <c r="U680">
        <v>0</v>
      </c>
      <c r="V680" s="2">
        <v>-2950</v>
      </c>
      <c r="W680" t="str">
        <f>"$"</f>
        <v>$</v>
      </c>
      <c r="X680">
        <v>0</v>
      </c>
      <c r="Y680">
        <v>0</v>
      </c>
      <c r="Z680">
        <v>0</v>
      </c>
      <c r="AA680" t="str">
        <f>"Y"</f>
        <v>Y</v>
      </c>
      <c r="AC680">
        <v>0</v>
      </c>
      <c r="AM680" t="str">
        <f>"10"</f>
        <v>10</v>
      </c>
      <c r="AN680" t="str">
        <f>"500000"</f>
        <v>500000</v>
      </c>
      <c r="AO680" t="str">
        <f>"הכנסות  מלקוחות"</f>
        <v>הכנסות  מלקוחות</v>
      </c>
      <c r="AQ680" t="str">
        <f>"040"</f>
        <v>040</v>
      </c>
      <c r="AR680">
        <v>0</v>
      </c>
      <c r="AS680">
        <v>0</v>
      </c>
      <c r="AT680">
        <v>3.6469999999999998</v>
      </c>
      <c r="BB680" t="str">
        <f>"Y"</f>
        <v>Y</v>
      </c>
      <c r="BD680" t="str">
        <f>"רחמים זרוק"</f>
        <v>רחמים זרוק</v>
      </c>
    </row>
    <row r="681" spans="1:56" x14ac:dyDescent="0.3">
      <c r="A681" s="1">
        <v>45053</v>
      </c>
      <c r="B681" t="str">
        <f>"SI236000610"</f>
        <v>SI236000610</v>
      </c>
      <c r="E681" t="str">
        <f>"Y"</f>
        <v>Y</v>
      </c>
      <c r="F681" t="str">
        <f>"חשבוניות מרכזות"</f>
        <v>חשבוניות מרכזות</v>
      </c>
      <c r="G681" t="str">
        <f>"700065"</f>
        <v>700065</v>
      </c>
      <c r="H681" t="str">
        <f>"אלתא מערכות בע""מ"</f>
        <v>אלתא מערכות בע"מ</v>
      </c>
      <c r="I681" t="str">
        <f>"10"</f>
        <v>10</v>
      </c>
      <c r="J681" t="str">
        <f>"000"</f>
        <v>000</v>
      </c>
      <c r="K681" t="str">
        <f>"שדרוג מגירת הספקים+UPS מארז מ"</f>
        <v>שדרוג מגירת הספקים+UPS מארז מ</v>
      </c>
      <c r="L681">
        <v>1</v>
      </c>
      <c r="M681" t="str">
        <f>"יח"</f>
        <v>יח</v>
      </c>
      <c r="N681">
        <v>1</v>
      </c>
      <c r="O681" t="str">
        <f>"יח"</f>
        <v>יח</v>
      </c>
      <c r="P681" s="2">
        <v>2400</v>
      </c>
      <c r="Q681" t="str">
        <f>"$"</f>
        <v>$</v>
      </c>
      <c r="R681" t="str">
        <f>"הזמנה"</f>
        <v>הזמנה</v>
      </c>
      <c r="S681">
        <v>0</v>
      </c>
      <c r="T681" s="2">
        <v>2400</v>
      </c>
      <c r="U681">
        <v>0</v>
      </c>
      <c r="V681" s="2">
        <v>2400</v>
      </c>
      <c r="W681" t="str">
        <f>"$"</f>
        <v>$</v>
      </c>
      <c r="X681">
        <v>0</v>
      </c>
      <c r="Y681">
        <v>0</v>
      </c>
      <c r="Z681">
        <v>0</v>
      </c>
      <c r="AA681" t="str">
        <f>"Y"</f>
        <v>Y</v>
      </c>
      <c r="AC681">
        <v>0</v>
      </c>
      <c r="AM681" t="str">
        <f>"10"</f>
        <v>10</v>
      </c>
      <c r="AN681" t="str">
        <f>"500000"</f>
        <v>500000</v>
      </c>
      <c r="AO681" t="str">
        <f>"הכנסות  מלקוחות"</f>
        <v>הכנסות  מלקוחות</v>
      </c>
      <c r="AQ681" t="str">
        <f>"040"</f>
        <v>040</v>
      </c>
      <c r="AR681">
        <v>0</v>
      </c>
      <c r="AS681">
        <v>0</v>
      </c>
      <c r="AT681">
        <v>3.6469999999999998</v>
      </c>
      <c r="BB681" t="str">
        <f>"Y"</f>
        <v>Y</v>
      </c>
      <c r="BD681" t="str">
        <f>"רחמים זרוק"</f>
        <v>רחמים זרוק</v>
      </c>
    </row>
    <row r="682" spans="1:56" x14ac:dyDescent="0.3">
      <c r="A682" s="1">
        <v>45053</v>
      </c>
      <c r="B682" t="str">
        <f>"SI236000610"</f>
        <v>SI236000610</v>
      </c>
      <c r="E682" t="str">
        <f>"Y"</f>
        <v>Y</v>
      </c>
      <c r="F682" t="str">
        <f>"חשבוניות מרכזות"</f>
        <v>חשבוניות מרכזות</v>
      </c>
      <c r="G682" t="str">
        <f>"700065"</f>
        <v>700065</v>
      </c>
      <c r="H682" t="str">
        <f>"אלתא מערכות בע""מ"</f>
        <v>אלתא מערכות בע"מ</v>
      </c>
      <c r="I682" t="str">
        <f>"10"</f>
        <v>10</v>
      </c>
      <c r="J682" t="str">
        <f>"000"</f>
        <v>000</v>
      </c>
      <c r="K682" t="str">
        <f>"מארז מחשוב PDB1+UPS מערכת 7"</f>
        <v>מארז מחשוב PDB1+UPS מערכת 7</v>
      </c>
      <c r="L682">
        <v>1</v>
      </c>
      <c r="M682" t="str">
        <f>"יח"</f>
        <v>יח</v>
      </c>
      <c r="N682">
        <v>1</v>
      </c>
      <c r="O682" t="str">
        <f>"יח"</f>
        <v>יח</v>
      </c>
      <c r="P682" s="2">
        <v>2950</v>
      </c>
      <c r="Q682" t="str">
        <f>"$"</f>
        <v>$</v>
      </c>
      <c r="R682" t="str">
        <f>"הזמנה"</f>
        <v>הזמנה</v>
      </c>
      <c r="S682">
        <v>0</v>
      </c>
      <c r="T682" s="2">
        <v>2950</v>
      </c>
      <c r="U682">
        <v>0</v>
      </c>
      <c r="V682" s="2">
        <v>2950</v>
      </c>
      <c r="W682" t="str">
        <f>"$"</f>
        <v>$</v>
      </c>
      <c r="X682">
        <v>0</v>
      </c>
      <c r="Y682">
        <v>0</v>
      </c>
      <c r="Z682">
        <v>0</v>
      </c>
      <c r="AA682" t="str">
        <f>"Y"</f>
        <v>Y</v>
      </c>
      <c r="AC682">
        <v>0</v>
      </c>
      <c r="AM682" t="str">
        <f>"10"</f>
        <v>10</v>
      </c>
      <c r="AN682" t="str">
        <f>"500000"</f>
        <v>500000</v>
      </c>
      <c r="AO682" t="str">
        <f>"הכנסות  מלקוחות"</f>
        <v>הכנסות  מלקוחות</v>
      </c>
      <c r="AQ682" t="str">
        <f>"040"</f>
        <v>040</v>
      </c>
      <c r="AR682">
        <v>0</v>
      </c>
      <c r="AS682">
        <v>0</v>
      </c>
      <c r="AT682">
        <v>3.6469999999999998</v>
      </c>
      <c r="BB682" t="str">
        <f>"Y"</f>
        <v>Y</v>
      </c>
      <c r="BD682" t="str">
        <f>"רחמים זרוק"</f>
        <v>רחמים זרוק</v>
      </c>
    </row>
    <row r="683" spans="1:56" x14ac:dyDescent="0.3">
      <c r="A683" s="1">
        <v>45053</v>
      </c>
      <c r="B683" t="str">
        <f>"SI236000610"</f>
        <v>SI236000610</v>
      </c>
      <c r="E683" t="str">
        <f>"Y"</f>
        <v>Y</v>
      </c>
      <c r="F683" t="str">
        <f>"חשבוניות מרכזות"</f>
        <v>חשבוניות מרכזות</v>
      </c>
      <c r="G683" t="str">
        <f>"700065"</f>
        <v>700065</v>
      </c>
      <c r="H683" t="str">
        <f>"אלתא מערכות בע""מ"</f>
        <v>אלתא מערכות בע"מ</v>
      </c>
      <c r="I683" t="str">
        <f>"10"</f>
        <v>10</v>
      </c>
      <c r="J683" t="str">
        <f>"000"</f>
        <v>000</v>
      </c>
      <c r="K683" t="str">
        <f>"מארז מחשוב PDB1+UPS מערכת 8"</f>
        <v>מארז מחשוב PDB1+UPS מערכת 8</v>
      </c>
      <c r="L683">
        <v>1</v>
      </c>
      <c r="M683" t="str">
        <f>"יח"</f>
        <v>יח</v>
      </c>
      <c r="N683">
        <v>1</v>
      </c>
      <c r="O683" t="str">
        <f>"יח"</f>
        <v>יח</v>
      </c>
      <c r="P683" s="2">
        <v>2950</v>
      </c>
      <c r="Q683" t="str">
        <f>"$"</f>
        <v>$</v>
      </c>
      <c r="R683" t="str">
        <f>"הזמנה"</f>
        <v>הזמנה</v>
      </c>
      <c r="S683">
        <v>0</v>
      </c>
      <c r="T683" s="2">
        <v>2950</v>
      </c>
      <c r="U683">
        <v>0</v>
      </c>
      <c r="V683" s="2">
        <v>2950</v>
      </c>
      <c r="W683" t="str">
        <f>"$"</f>
        <v>$</v>
      </c>
      <c r="X683">
        <v>0</v>
      </c>
      <c r="Y683">
        <v>0</v>
      </c>
      <c r="Z683">
        <v>0</v>
      </c>
      <c r="AA683" t="str">
        <f>"Y"</f>
        <v>Y</v>
      </c>
      <c r="AC683">
        <v>0</v>
      </c>
      <c r="AM683" t="str">
        <f>"10"</f>
        <v>10</v>
      </c>
      <c r="AN683" t="str">
        <f>"500000"</f>
        <v>500000</v>
      </c>
      <c r="AO683" t="str">
        <f>"הכנסות  מלקוחות"</f>
        <v>הכנסות  מלקוחות</v>
      </c>
      <c r="AQ683" t="str">
        <f>"040"</f>
        <v>040</v>
      </c>
      <c r="AR683">
        <v>0</v>
      </c>
      <c r="AS683">
        <v>0</v>
      </c>
      <c r="AT683">
        <v>3.6469999999999998</v>
      </c>
      <c r="BB683" t="str">
        <f>"Y"</f>
        <v>Y</v>
      </c>
      <c r="BD683" t="str">
        <f>"רחמים זרוק"</f>
        <v>רחמים זרוק</v>
      </c>
    </row>
    <row r="684" spans="1:56" x14ac:dyDescent="0.3">
      <c r="A684" s="1">
        <v>45050</v>
      </c>
      <c r="B684" t="str">
        <f>"SI236000623"</f>
        <v>SI236000623</v>
      </c>
      <c r="C684" t="str">
        <f>"PR22000356"</f>
        <v>PR22000356</v>
      </c>
      <c r="E684" t="str">
        <f>"Y"</f>
        <v>Y</v>
      </c>
      <c r="F684" t="str">
        <f>"חשבוניות מרכזות"</f>
        <v>חשבוניות מרכזות</v>
      </c>
      <c r="G684" t="str">
        <f>"700065"</f>
        <v>700065</v>
      </c>
      <c r="H684" t="str">
        <f>"אלתא מערכות בע""מ"</f>
        <v>אלתא מערכות בע"מ</v>
      </c>
      <c r="I684" t="str">
        <f>"10"</f>
        <v>10</v>
      </c>
      <c r="J684" t="str">
        <f>"cust001510"</f>
        <v>cust001510</v>
      </c>
      <c r="K684" t="str">
        <f>"ELTA 4043B120-001   HARNESS W120"</f>
        <v>ELTA 4043B120-001   HARNESS W120</v>
      </c>
      <c r="L684">
        <v>3</v>
      </c>
      <c r="M684" t="str">
        <f>"יח"</f>
        <v>יח</v>
      </c>
      <c r="N684">
        <v>3</v>
      </c>
      <c r="O684" t="str">
        <f>"יח"</f>
        <v>יח</v>
      </c>
      <c r="P684">
        <v>97</v>
      </c>
      <c r="Q684" t="str">
        <f>"$"</f>
        <v>$</v>
      </c>
      <c r="R684" t="str">
        <f>"הזמנה"</f>
        <v>הזמנה</v>
      </c>
      <c r="S684">
        <v>0</v>
      </c>
      <c r="T684">
        <v>291</v>
      </c>
      <c r="U684">
        <v>0</v>
      </c>
      <c r="V684">
        <v>291</v>
      </c>
      <c r="W684" t="str">
        <f>"$"</f>
        <v>$</v>
      </c>
      <c r="X684">
        <v>0</v>
      </c>
      <c r="Y684">
        <v>0</v>
      </c>
      <c r="Z684">
        <v>0</v>
      </c>
      <c r="AA684" t="str">
        <f>"Y"</f>
        <v>Y</v>
      </c>
      <c r="AB684" t="str">
        <f>"SO23000126"</f>
        <v>SO23000126</v>
      </c>
      <c r="AC684">
        <v>1</v>
      </c>
      <c r="AD684" s="1">
        <v>44987</v>
      </c>
      <c r="AE684" t="str">
        <f>"SH23000548"</f>
        <v>SH23000548</v>
      </c>
      <c r="AF684" t="str">
        <f>"משלוחים ללקוח"</f>
        <v>משלוחים ללקוח</v>
      </c>
      <c r="AG684" s="1">
        <v>45050</v>
      </c>
      <c r="AM684" t="str">
        <f>"10"</f>
        <v>10</v>
      </c>
      <c r="AN684" t="str">
        <f>"500000"</f>
        <v>500000</v>
      </c>
      <c r="AO684" t="str">
        <f>"הכנסות  מלקוחות"</f>
        <v>הכנסות  מלקוחות</v>
      </c>
      <c r="AQ684" t="str">
        <f>"040"</f>
        <v>040</v>
      </c>
      <c r="AR684">
        <v>0</v>
      </c>
      <c r="AS684">
        <v>0</v>
      </c>
      <c r="AT684">
        <v>3.6360000000000001</v>
      </c>
      <c r="AX684" t="str">
        <f>"E000386802"</f>
        <v>E000386802</v>
      </c>
      <c r="BD684" t="str">
        <f>"רחמים זרוק"</f>
        <v>רחמים זרוק</v>
      </c>
    </row>
    <row r="685" spans="1:56" x14ac:dyDescent="0.3">
      <c r="A685" s="1">
        <v>45050</v>
      </c>
      <c r="B685" t="str">
        <f>"SI236000605"</f>
        <v>SI236000605</v>
      </c>
      <c r="E685" t="str">
        <f>"Y"</f>
        <v>Y</v>
      </c>
      <c r="F685" t="str">
        <f>"חשבוניות מרכזות"</f>
        <v>חשבוניות מרכזות</v>
      </c>
      <c r="G685" t="str">
        <f>"700065"</f>
        <v>700065</v>
      </c>
      <c r="H685" t="str">
        <f>"אלתא מערכות בע""מ"</f>
        <v>אלתא מערכות בע"מ</v>
      </c>
      <c r="I685" t="str">
        <f>"10"</f>
        <v>10</v>
      </c>
      <c r="J685" t="str">
        <f>"OP-AR02918"</f>
        <v>OP-AR02918</v>
      </c>
      <c r="K685" t="str">
        <f>"HU PDB1 1033H520-001"</f>
        <v>HU PDB1 1033H520-001</v>
      </c>
      <c r="L685">
        <v>1</v>
      </c>
      <c r="M685" t="str">
        <f>"יח"</f>
        <v>יח</v>
      </c>
      <c r="N685">
        <v>1</v>
      </c>
      <c r="O685" t="str">
        <f>"יח"</f>
        <v>יח</v>
      </c>
      <c r="P685" s="2">
        <v>41000</v>
      </c>
      <c r="Q685" t="str">
        <f>"$"</f>
        <v>$</v>
      </c>
      <c r="R685" t="str">
        <f>"הזמנה"</f>
        <v>הזמנה</v>
      </c>
      <c r="S685">
        <v>0</v>
      </c>
      <c r="T685" s="2">
        <v>41000</v>
      </c>
      <c r="U685">
        <v>0</v>
      </c>
      <c r="V685" s="2">
        <v>41000</v>
      </c>
      <c r="W685" t="str">
        <f>"$"</f>
        <v>$</v>
      </c>
      <c r="X685">
        <v>0</v>
      </c>
      <c r="Y685">
        <v>0</v>
      </c>
      <c r="Z685">
        <v>0</v>
      </c>
      <c r="AA685" t="str">
        <f>"Y"</f>
        <v>Y</v>
      </c>
      <c r="AB685" t="str">
        <f>"SO22000016"</f>
        <v>SO22000016</v>
      </c>
      <c r="AC685">
        <v>13</v>
      </c>
      <c r="AD685" s="1">
        <v>44574</v>
      </c>
      <c r="AE685" t="str">
        <f>"SH23000817"</f>
        <v>SH23000817</v>
      </c>
      <c r="AF685" t="str">
        <f>"משלוחים ללקוח"</f>
        <v>משלוחים ללקוח</v>
      </c>
      <c r="AG685" s="1">
        <v>45104</v>
      </c>
      <c r="AM685" t="str">
        <f>"10"</f>
        <v>10</v>
      </c>
      <c r="AN685" t="str">
        <f>"500000"</f>
        <v>500000</v>
      </c>
      <c r="AO685" t="str">
        <f>"הכנסות  מלקוחות"</f>
        <v>הכנסות  מלקוחות</v>
      </c>
      <c r="AQ685" t="str">
        <f>"007"</f>
        <v>007</v>
      </c>
      <c r="AR685">
        <v>0</v>
      </c>
      <c r="AS685">
        <v>0</v>
      </c>
      <c r="AT685">
        <v>3.637</v>
      </c>
      <c r="AX685" t="str">
        <f>"E000355064"</f>
        <v>E000355064</v>
      </c>
      <c r="BD685" t="str">
        <f>"רוני דידי"</f>
        <v>רוני דידי</v>
      </c>
    </row>
    <row r="686" spans="1:56" x14ac:dyDescent="0.3">
      <c r="A686" s="1">
        <v>45050</v>
      </c>
      <c r="B686" t="str">
        <f>"SI236000604"</f>
        <v>SI236000604</v>
      </c>
      <c r="E686" t="str">
        <f>"Y"</f>
        <v>Y</v>
      </c>
      <c r="F686" t="str">
        <f>"חשבוניות מרכזות"</f>
        <v>חשבוניות מרכזות</v>
      </c>
      <c r="G686" t="str">
        <f>"700065"</f>
        <v>700065</v>
      </c>
      <c r="H686" t="str">
        <f>"אלתא מערכות בע""מ"</f>
        <v>אלתא מערכות בע"מ</v>
      </c>
      <c r="I686" t="str">
        <f>"10"</f>
        <v>10</v>
      </c>
      <c r="J686" t="str">
        <f>"OP-AR02041"</f>
        <v>OP-AR02041</v>
      </c>
      <c r="K686" t="str">
        <f>"PDB1 1038C860-001"</f>
        <v>PDB1 1038C860-001</v>
      </c>
      <c r="L686">
        <v>1</v>
      </c>
      <c r="M686" t="str">
        <f>"יח"</f>
        <v>יח</v>
      </c>
      <c r="N686">
        <v>1</v>
      </c>
      <c r="O686" t="str">
        <f>"יח"</f>
        <v>יח</v>
      </c>
      <c r="P686" s="2">
        <v>41000</v>
      </c>
      <c r="Q686" t="str">
        <f>"$"</f>
        <v>$</v>
      </c>
      <c r="R686" t="str">
        <f>"הזמנה"</f>
        <v>הזמנה</v>
      </c>
      <c r="S686">
        <v>0</v>
      </c>
      <c r="T686" s="2">
        <v>41000</v>
      </c>
      <c r="U686">
        <v>0</v>
      </c>
      <c r="V686" s="2">
        <v>41000</v>
      </c>
      <c r="W686" t="str">
        <f>"$"</f>
        <v>$</v>
      </c>
      <c r="X686">
        <v>0</v>
      </c>
      <c r="Y686">
        <v>0</v>
      </c>
      <c r="Z686">
        <v>0</v>
      </c>
      <c r="AA686" t="str">
        <f>"Y"</f>
        <v>Y</v>
      </c>
      <c r="AB686" t="str">
        <f>"SO22000016"</f>
        <v>SO22000016</v>
      </c>
      <c r="AC686">
        <v>11</v>
      </c>
      <c r="AD686" s="1">
        <v>44574</v>
      </c>
      <c r="AM686" t="str">
        <f>"10"</f>
        <v>10</v>
      </c>
      <c r="AN686" t="str">
        <f>"500000"</f>
        <v>500000</v>
      </c>
      <c r="AO686" t="str">
        <f>"הכנסות  מלקוחות"</f>
        <v>הכנסות  מלקוחות</v>
      </c>
      <c r="AQ686" t="str">
        <f>"007"</f>
        <v>007</v>
      </c>
      <c r="AR686">
        <v>0</v>
      </c>
      <c r="AS686">
        <v>0</v>
      </c>
      <c r="AT686">
        <v>3.637</v>
      </c>
      <c r="AX686" t="str">
        <f>"E000355064"</f>
        <v>E000355064</v>
      </c>
      <c r="BD686" t="str">
        <f>"רוני דידי"</f>
        <v>רוני דידי</v>
      </c>
    </row>
    <row r="687" spans="1:56" x14ac:dyDescent="0.3">
      <c r="A687" s="1">
        <v>45050</v>
      </c>
      <c r="B687" t="str">
        <f>"SI236000603"</f>
        <v>SI236000603</v>
      </c>
      <c r="E687" t="str">
        <f>"Y"</f>
        <v>Y</v>
      </c>
      <c r="F687" t="str">
        <f>"חשבוניות מרכזות"</f>
        <v>חשבוניות מרכזות</v>
      </c>
      <c r="G687" t="str">
        <f>"700065"</f>
        <v>700065</v>
      </c>
      <c r="H687" t="str">
        <f>"אלתא מערכות בע""מ"</f>
        <v>אלתא מערכות בע"מ</v>
      </c>
      <c r="I687" t="str">
        <f>"10"</f>
        <v>10</v>
      </c>
      <c r="J687" t="str">
        <f>"OP-AR02041"</f>
        <v>OP-AR02041</v>
      </c>
      <c r="K687" t="str">
        <f>"PDB1 1038C860-001"</f>
        <v>PDB1 1038C860-001</v>
      </c>
      <c r="L687">
        <v>1</v>
      </c>
      <c r="M687" t="str">
        <f>"יח"</f>
        <v>יח</v>
      </c>
      <c r="N687">
        <v>1</v>
      </c>
      <c r="O687" t="str">
        <f>"יח"</f>
        <v>יח</v>
      </c>
      <c r="P687" s="2">
        <v>41000</v>
      </c>
      <c r="Q687" t="str">
        <f>"$"</f>
        <v>$</v>
      </c>
      <c r="R687" t="str">
        <f>"הזמנה"</f>
        <v>הזמנה</v>
      </c>
      <c r="S687">
        <v>0</v>
      </c>
      <c r="T687" s="2">
        <v>41000</v>
      </c>
      <c r="U687">
        <v>0</v>
      </c>
      <c r="V687" s="2">
        <v>41000</v>
      </c>
      <c r="W687" t="str">
        <f>"$"</f>
        <v>$</v>
      </c>
      <c r="X687">
        <v>0</v>
      </c>
      <c r="Y687">
        <v>0</v>
      </c>
      <c r="Z687">
        <v>0</v>
      </c>
      <c r="AA687" t="str">
        <f>"Y"</f>
        <v>Y</v>
      </c>
      <c r="AB687" t="str">
        <f>"SO22000016"</f>
        <v>SO22000016</v>
      </c>
      <c r="AC687">
        <v>10</v>
      </c>
      <c r="AD687" s="1">
        <v>44574</v>
      </c>
      <c r="AM687" t="str">
        <f>"10"</f>
        <v>10</v>
      </c>
      <c r="AN687" t="str">
        <f>"500000"</f>
        <v>500000</v>
      </c>
      <c r="AO687" t="str">
        <f>"הכנסות  מלקוחות"</f>
        <v>הכנסות  מלקוחות</v>
      </c>
      <c r="AQ687" t="str">
        <f>"007"</f>
        <v>007</v>
      </c>
      <c r="AR687">
        <v>0</v>
      </c>
      <c r="AS687">
        <v>0</v>
      </c>
      <c r="AT687">
        <v>3.637</v>
      </c>
      <c r="AX687" t="str">
        <f>"E000355064"</f>
        <v>E000355064</v>
      </c>
      <c r="BD687" t="str">
        <f>"רוני דידי"</f>
        <v>רוני דידי</v>
      </c>
    </row>
    <row r="688" spans="1:56" x14ac:dyDescent="0.3">
      <c r="A688" s="1">
        <v>45050</v>
      </c>
      <c r="B688" t="str">
        <f>"SI236000601"</f>
        <v>SI236000601</v>
      </c>
      <c r="E688" t="str">
        <f>"Y"</f>
        <v>Y</v>
      </c>
      <c r="F688" t="str">
        <f>"חשבוניות מרכזות"</f>
        <v>חשבוניות מרכזות</v>
      </c>
      <c r="G688" t="str">
        <f>"700065"</f>
        <v>700065</v>
      </c>
      <c r="H688" t="str">
        <f>"אלתא מערכות בע""מ"</f>
        <v>אלתא מערכות בע"מ</v>
      </c>
      <c r="I688" t="str">
        <f>"10"</f>
        <v>10</v>
      </c>
      <c r="J688" t="str">
        <f>"OP-AR02918"</f>
        <v>OP-AR02918</v>
      </c>
      <c r="K688" t="str">
        <f>"HU PDB1 1033H520-001"</f>
        <v>HU PDB1 1033H520-001</v>
      </c>
      <c r="L688">
        <v>-1</v>
      </c>
      <c r="M688" t="str">
        <f>"יח"</f>
        <v>יח</v>
      </c>
      <c r="N688">
        <v>-1</v>
      </c>
      <c r="O688" t="str">
        <f>"יח"</f>
        <v>יח</v>
      </c>
      <c r="P688" s="2">
        <v>41000</v>
      </c>
      <c r="Q688" t="str">
        <f>"$"</f>
        <v>$</v>
      </c>
      <c r="R688" t="str">
        <f>"הזמנה"</f>
        <v>הזמנה</v>
      </c>
      <c r="S688">
        <v>0</v>
      </c>
      <c r="T688" s="2">
        <v>-41000</v>
      </c>
      <c r="U688">
        <v>0</v>
      </c>
      <c r="V688" s="2">
        <v>-41000</v>
      </c>
      <c r="W688" t="str">
        <f>"$"</f>
        <v>$</v>
      </c>
      <c r="X688">
        <v>0</v>
      </c>
      <c r="Y688">
        <v>0</v>
      </c>
      <c r="Z688">
        <v>0</v>
      </c>
      <c r="AA688" t="str">
        <f>"Y"</f>
        <v>Y</v>
      </c>
      <c r="AC688">
        <v>0</v>
      </c>
      <c r="AM688" t="str">
        <f>"10"</f>
        <v>10</v>
      </c>
      <c r="AN688" t="str">
        <f>"500000"</f>
        <v>500000</v>
      </c>
      <c r="AO688" t="str">
        <f>"הכנסות  מלקוחות"</f>
        <v>הכנסות  מלקוחות</v>
      </c>
      <c r="AQ688" t="str">
        <f>"007"</f>
        <v>007</v>
      </c>
      <c r="AR688">
        <v>0</v>
      </c>
      <c r="AS688">
        <v>0</v>
      </c>
      <c r="AT688">
        <v>3.5470000000000002</v>
      </c>
      <c r="BB688" t="str">
        <f>"Y"</f>
        <v>Y</v>
      </c>
      <c r="BD688" t="str">
        <f>"רוני דידי"</f>
        <v>רוני דידי</v>
      </c>
    </row>
    <row r="689" spans="1:56" x14ac:dyDescent="0.3">
      <c r="A689" s="1">
        <v>45050</v>
      </c>
      <c r="B689" t="str">
        <f>"SI236000600"</f>
        <v>SI236000600</v>
      </c>
      <c r="E689" t="str">
        <f>"Y"</f>
        <v>Y</v>
      </c>
      <c r="F689" t="str">
        <f>"חשבוניות מרכזות"</f>
        <v>חשבוניות מרכזות</v>
      </c>
      <c r="G689" t="str">
        <f>"700065"</f>
        <v>700065</v>
      </c>
      <c r="H689" t="str">
        <f>"אלתא מערכות בע""מ"</f>
        <v>אלתא מערכות בע"מ</v>
      </c>
      <c r="I689" t="str">
        <f>"10"</f>
        <v>10</v>
      </c>
      <c r="J689" t="str">
        <f>"OP-AR02041"</f>
        <v>OP-AR02041</v>
      </c>
      <c r="K689" t="str">
        <f>"PDB1 1038C860-001"</f>
        <v>PDB1 1038C860-001</v>
      </c>
      <c r="L689">
        <v>-1</v>
      </c>
      <c r="M689" t="str">
        <f>"יח"</f>
        <v>יח</v>
      </c>
      <c r="N689">
        <v>-1</v>
      </c>
      <c r="O689" t="str">
        <f>"יח"</f>
        <v>יח</v>
      </c>
      <c r="P689" s="2">
        <v>41000</v>
      </c>
      <c r="Q689" t="str">
        <f>"$"</f>
        <v>$</v>
      </c>
      <c r="R689" t="str">
        <f>"הזמנה"</f>
        <v>הזמנה</v>
      </c>
      <c r="S689">
        <v>0</v>
      </c>
      <c r="T689" s="2">
        <v>-41000</v>
      </c>
      <c r="U689">
        <v>0</v>
      </c>
      <c r="V689" s="2">
        <v>-41000</v>
      </c>
      <c r="W689" t="str">
        <f>"$"</f>
        <v>$</v>
      </c>
      <c r="X689">
        <v>0</v>
      </c>
      <c r="Y689">
        <v>0</v>
      </c>
      <c r="Z689">
        <v>0</v>
      </c>
      <c r="AA689" t="str">
        <f>"Y"</f>
        <v>Y</v>
      </c>
      <c r="AC689">
        <v>0</v>
      </c>
      <c r="AM689" t="str">
        <f>"10"</f>
        <v>10</v>
      </c>
      <c r="AN689" t="str">
        <f>"500000"</f>
        <v>500000</v>
      </c>
      <c r="AO689" t="str">
        <f>"הכנסות  מלקוחות"</f>
        <v>הכנסות  מלקוחות</v>
      </c>
      <c r="AQ689" t="str">
        <f>"007"</f>
        <v>007</v>
      </c>
      <c r="AR689">
        <v>0</v>
      </c>
      <c r="AS689">
        <v>0</v>
      </c>
      <c r="AT689">
        <v>3.5470000000000002</v>
      </c>
      <c r="BB689" t="str">
        <f>"Y"</f>
        <v>Y</v>
      </c>
      <c r="BD689" t="str">
        <f>"רוני דידי"</f>
        <v>רוני דידי</v>
      </c>
    </row>
    <row r="690" spans="1:56" x14ac:dyDescent="0.3">
      <c r="A690" s="1">
        <v>45050</v>
      </c>
      <c r="B690" t="str">
        <f>"SI236000599"</f>
        <v>SI236000599</v>
      </c>
      <c r="E690" t="str">
        <f>"Y"</f>
        <v>Y</v>
      </c>
      <c r="F690" t="str">
        <f>"חשבוניות מרכזות"</f>
        <v>חשבוניות מרכזות</v>
      </c>
      <c r="G690" t="str">
        <f>"700065"</f>
        <v>700065</v>
      </c>
      <c r="H690" t="str">
        <f>"אלתא מערכות בע""מ"</f>
        <v>אלתא מערכות בע"מ</v>
      </c>
      <c r="I690" t="str">
        <f>"10"</f>
        <v>10</v>
      </c>
      <c r="J690" t="str">
        <f>"OP-AR02041"</f>
        <v>OP-AR02041</v>
      </c>
      <c r="K690" t="str">
        <f>"PDB1 1038C860-001"</f>
        <v>PDB1 1038C860-001</v>
      </c>
      <c r="L690">
        <v>-1</v>
      </c>
      <c r="M690" t="str">
        <f>"יח"</f>
        <v>יח</v>
      </c>
      <c r="N690">
        <v>-1</v>
      </c>
      <c r="O690" t="str">
        <f>"יח"</f>
        <v>יח</v>
      </c>
      <c r="P690" s="2">
        <v>41000</v>
      </c>
      <c r="Q690" t="str">
        <f>"$"</f>
        <v>$</v>
      </c>
      <c r="R690" t="str">
        <f>"הזמנה"</f>
        <v>הזמנה</v>
      </c>
      <c r="S690">
        <v>0</v>
      </c>
      <c r="T690" s="2">
        <v>-41000</v>
      </c>
      <c r="U690">
        <v>0</v>
      </c>
      <c r="V690" s="2">
        <v>-41000</v>
      </c>
      <c r="W690" t="str">
        <f>"$"</f>
        <v>$</v>
      </c>
      <c r="X690">
        <v>0</v>
      </c>
      <c r="Y690">
        <v>0</v>
      </c>
      <c r="Z690">
        <v>0</v>
      </c>
      <c r="AA690" t="str">
        <f>"Y"</f>
        <v>Y</v>
      </c>
      <c r="AC690">
        <v>0</v>
      </c>
      <c r="AM690" t="str">
        <f>"10"</f>
        <v>10</v>
      </c>
      <c r="AN690" t="str">
        <f>"500000"</f>
        <v>500000</v>
      </c>
      <c r="AO690" t="str">
        <f>"הכנסות  מלקוחות"</f>
        <v>הכנסות  מלקוחות</v>
      </c>
      <c r="AQ690" t="str">
        <f>"007"</f>
        <v>007</v>
      </c>
      <c r="AR690">
        <v>0</v>
      </c>
      <c r="AS690">
        <v>0</v>
      </c>
      <c r="AT690">
        <v>3.5470000000000002</v>
      </c>
      <c r="BB690" t="str">
        <f>"Y"</f>
        <v>Y</v>
      </c>
      <c r="BD690" t="str">
        <f>"רוני דידי"</f>
        <v>רוני דידי</v>
      </c>
    </row>
    <row r="691" spans="1:56" x14ac:dyDescent="0.3">
      <c r="A691" s="1">
        <v>45048</v>
      </c>
      <c r="B691" t="str">
        <f>"CR237000047"</f>
        <v>CR237000047</v>
      </c>
      <c r="E691" t="str">
        <f>"Y"</f>
        <v>Y</v>
      </c>
      <c r="F691" t="str">
        <f>"חשבוניות זיכוי"</f>
        <v>חשבוניות זיכוי</v>
      </c>
      <c r="G691" t="str">
        <f>"700065"</f>
        <v>700065</v>
      </c>
      <c r="H691" t="str">
        <f>"אלתא מערכות בע""מ"</f>
        <v>אלתא מערכות בע"מ</v>
      </c>
      <c r="I691" t="str">
        <f>"10"</f>
        <v>10</v>
      </c>
      <c r="J691" t="str">
        <f>"000"</f>
        <v>000</v>
      </c>
      <c r="K691" t="str">
        <f>"פריט כללי זיכוי לחשבונית אלתא מס מסמך     51133145622023"</f>
        <v>פריט כללי זיכוי לחשבונית אלתא מס מסמך     51133145622023</v>
      </c>
      <c r="L691">
        <v>1</v>
      </c>
      <c r="M691" t="str">
        <f>"יח"</f>
        <v>יח</v>
      </c>
      <c r="N691">
        <v>1</v>
      </c>
      <c r="O691" t="str">
        <f>"יח"</f>
        <v>יח</v>
      </c>
      <c r="P691">
        <v>109.9402</v>
      </c>
      <c r="Q691" t="str">
        <f>"$"</f>
        <v>$</v>
      </c>
      <c r="R691" t="str">
        <f>"ידני"</f>
        <v>ידני</v>
      </c>
      <c r="S691">
        <v>0</v>
      </c>
      <c r="T691">
        <v>109.94</v>
      </c>
      <c r="U691">
        <v>0</v>
      </c>
      <c r="V691">
        <v>109.94</v>
      </c>
      <c r="W691" t="str">
        <f>"$"</f>
        <v>$</v>
      </c>
      <c r="X691">
        <v>0</v>
      </c>
      <c r="Y691">
        <v>0</v>
      </c>
      <c r="Z691">
        <v>0</v>
      </c>
      <c r="AA691" t="str">
        <f>"Y"</f>
        <v>Y</v>
      </c>
      <c r="AC691">
        <v>0</v>
      </c>
      <c r="AM691" t="str">
        <f>"10"</f>
        <v>10</v>
      </c>
      <c r="AN691" t="str">
        <f>"500000"</f>
        <v>500000</v>
      </c>
      <c r="AO691" t="str">
        <f>"הכנסות  מלקוחות"</f>
        <v>הכנסות  מלקוחות</v>
      </c>
      <c r="AP691" t="str">
        <f>"Y"</f>
        <v>Y</v>
      </c>
      <c r="AQ691" t="str">
        <f>"034"</f>
        <v>034</v>
      </c>
      <c r="AR691">
        <v>0</v>
      </c>
      <c r="AS691">
        <v>0</v>
      </c>
      <c r="AT691">
        <v>3.62</v>
      </c>
      <c r="BD691" t="str">
        <f>"ערן שלו"</f>
        <v>ערן שלו</v>
      </c>
    </row>
    <row r="692" spans="1:56" x14ac:dyDescent="0.3">
      <c r="A692" s="1">
        <v>45048</v>
      </c>
      <c r="B692" t="str">
        <f>"CR237000046"</f>
        <v>CR237000046</v>
      </c>
      <c r="E692" t="str">
        <f>"Y"</f>
        <v>Y</v>
      </c>
      <c r="F692" t="str">
        <f>"חשבוניות זיכוי"</f>
        <v>חשבוניות זיכוי</v>
      </c>
      <c r="G692" t="str">
        <f>"700065"</f>
        <v>700065</v>
      </c>
      <c r="H692" t="str">
        <f>"אלתא מערכות בע""מ"</f>
        <v>אלתא מערכות בע"מ</v>
      </c>
      <c r="I692" t="str">
        <f>"10"</f>
        <v>10</v>
      </c>
      <c r="J692" t="str">
        <f>"000"</f>
        <v>000</v>
      </c>
      <c r="K692" t="str">
        <f>"זיכוי לחשבונית אלתא מס  51133365792023"</f>
        <v>זיכוי לחשבונית אלתא מס  51133365792023</v>
      </c>
      <c r="L692">
        <v>1</v>
      </c>
      <c r="M692" t="str">
        <f>"יח"</f>
        <v>יח</v>
      </c>
      <c r="N692">
        <v>1</v>
      </c>
      <c r="O692" t="str">
        <f>"יח"</f>
        <v>יח</v>
      </c>
      <c r="P692" s="2">
        <v>1681.1623999999999</v>
      </c>
      <c r="Q692" t="str">
        <f>"$"</f>
        <v>$</v>
      </c>
      <c r="R692" t="str">
        <f>"ידני"</f>
        <v>ידני</v>
      </c>
      <c r="S692">
        <v>0</v>
      </c>
      <c r="T692" s="2">
        <v>1681.16</v>
      </c>
      <c r="U692">
        <v>0</v>
      </c>
      <c r="V692" s="2">
        <v>1681.16</v>
      </c>
      <c r="W692" t="str">
        <f>"$"</f>
        <v>$</v>
      </c>
      <c r="X692">
        <v>0</v>
      </c>
      <c r="Y692">
        <v>0</v>
      </c>
      <c r="Z692">
        <v>0</v>
      </c>
      <c r="AA692" t="str">
        <f>"Y"</f>
        <v>Y</v>
      </c>
      <c r="AC692">
        <v>0</v>
      </c>
      <c r="AM692" t="str">
        <f>"10"</f>
        <v>10</v>
      </c>
      <c r="AN692" t="str">
        <f>"500000"</f>
        <v>500000</v>
      </c>
      <c r="AO692" t="str">
        <f>"הכנסות  מלקוחות"</f>
        <v>הכנסות  מלקוחות</v>
      </c>
      <c r="AP692" t="str">
        <f>"Y"</f>
        <v>Y</v>
      </c>
      <c r="AQ692" t="str">
        <f>"034"</f>
        <v>034</v>
      </c>
      <c r="AR692">
        <v>0</v>
      </c>
      <c r="AS692">
        <v>0</v>
      </c>
      <c r="AT692">
        <v>3.62</v>
      </c>
      <c r="BD692" t="str">
        <f>"ערן שלו"</f>
        <v>ערן שלו</v>
      </c>
    </row>
    <row r="693" spans="1:56" x14ac:dyDescent="0.3">
      <c r="A693" s="1">
        <v>45048</v>
      </c>
      <c r="B693" t="str">
        <f>"CR237000045"</f>
        <v>CR237000045</v>
      </c>
      <c r="E693" t="str">
        <f>"Y"</f>
        <v>Y</v>
      </c>
      <c r="F693" t="str">
        <f>"חשבוניות זיכוי"</f>
        <v>חשבוניות זיכוי</v>
      </c>
      <c r="G693" t="str">
        <f>"700065"</f>
        <v>700065</v>
      </c>
      <c r="H693" t="str">
        <f>"אלתא מערכות בע""מ"</f>
        <v>אלתא מערכות בע"מ</v>
      </c>
      <c r="I693" t="str">
        <f>"10"</f>
        <v>10</v>
      </c>
      <c r="J693" t="str">
        <f>"000"</f>
        <v>000</v>
      </c>
      <c r="K693" t="str">
        <f>"זיכוי לחשבונית אלתא מס מסמך  51133825772023"</f>
        <v>זיכוי לחשבונית אלתא מס מסמך  51133825772023</v>
      </c>
      <c r="L693">
        <v>1</v>
      </c>
      <c r="M693" t="str">
        <f>"יח"</f>
        <v>יח</v>
      </c>
      <c r="N693">
        <v>1</v>
      </c>
      <c r="O693" t="str">
        <f>"יח"</f>
        <v>יח</v>
      </c>
      <c r="P693">
        <v>755.55560000000003</v>
      </c>
      <c r="Q693" t="str">
        <f>"$"</f>
        <v>$</v>
      </c>
      <c r="R693" t="str">
        <f>"ידני"</f>
        <v>ידני</v>
      </c>
      <c r="S693">
        <v>0</v>
      </c>
      <c r="T693">
        <v>755.56</v>
      </c>
      <c r="U693">
        <v>0</v>
      </c>
      <c r="V693">
        <v>755.56</v>
      </c>
      <c r="W693" t="str">
        <f>"$"</f>
        <v>$</v>
      </c>
      <c r="X693">
        <v>0</v>
      </c>
      <c r="Y693">
        <v>0</v>
      </c>
      <c r="Z693">
        <v>0</v>
      </c>
      <c r="AA693" t="str">
        <f>"Y"</f>
        <v>Y</v>
      </c>
      <c r="AC693">
        <v>0</v>
      </c>
      <c r="AM693" t="str">
        <f>"10"</f>
        <v>10</v>
      </c>
      <c r="AN693" t="str">
        <f>"500000"</f>
        <v>500000</v>
      </c>
      <c r="AO693" t="str">
        <f>"הכנסות  מלקוחות"</f>
        <v>הכנסות  מלקוחות</v>
      </c>
      <c r="AP693" t="str">
        <f>"Y"</f>
        <v>Y</v>
      </c>
      <c r="AQ693" t="str">
        <f>"034"</f>
        <v>034</v>
      </c>
      <c r="AR693">
        <v>0</v>
      </c>
      <c r="AS693">
        <v>0</v>
      </c>
      <c r="AT693">
        <v>3.62</v>
      </c>
      <c r="BD693" t="str">
        <f>"ערן שלו"</f>
        <v>ערן שלו</v>
      </c>
    </row>
    <row r="694" spans="1:56" x14ac:dyDescent="0.3">
      <c r="A694" s="1">
        <v>45047</v>
      </c>
      <c r="B694" t="str">
        <f>"SI236000760"</f>
        <v>SI236000760</v>
      </c>
      <c r="E694" t="str">
        <f>"Y"</f>
        <v>Y</v>
      </c>
      <c r="F694" t="str">
        <f>"חשבוניות מרכזות"</f>
        <v>חשבוניות מרכזות</v>
      </c>
      <c r="G694" t="str">
        <f>"700065"</f>
        <v>700065</v>
      </c>
      <c r="H694" t="str">
        <f>"אלתא מערכות בע""מ"</f>
        <v>אלתא מערכות בע"מ</v>
      </c>
      <c r="I694" t="str">
        <f>"10"</f>
        <v>10</v>
      </c>
      <c r="J694" t="str">
        <f>"000"</f>
        <v>000</v>
      </c>
      <c r="K694" t="str">
        <f>"NRE FOR 1038C906-001"</f>
        <v>NRE FOR 1038C906-001</v>
      </c>
      <c r="L694">
        <v>1</v>
      </c>
      <c r="M694" t="str">
        <f>"יח"</f>
        <v>יח</v>
      </c>
      <c r="N694">
        <v>1</v>
      </c>
      <c r="O694" t="str">
        <f>"יח"</f>
        <v>יח</v>
      </c>
      <c r="P694" s="2">
        <v>16252.5</v>
      </c>
      <c r="Q694" t="str">
        <f>"$"</f>
        <v>$</v>
      </c>
      <c r="R694" t="str">
        <f>"הזמנה"</f>
        <v>הזמנה</v>
      </c>
      <c r="S694">
        <v>0</v>
      </c>
      <c r="T694" s="2">
        <v>16252.5</v>
      </c>
      <c r="U694">
        <v>0</v>
      </c>
      <c r="V694" s="2">
        <v>16252.5</v>
      </c>
      <c r="W694" t="str">
        <f>"$"</f>
        <v>$</v>
      </c>
      <c r="X694">
        <v>0</v>
      </c>
      <c r="Y694">
        <v>0</v>
      </c>
      <c r="Z694">
        <v>0</v>
      </c>
      <c r="AA694" t="str">
        <f>"Y"</f>
        <v>Y</v>
      </c>
      <c r="AB694" t="str">
        <f>"SO20000218"</f>
        <v>SO20000218</v>
      </c>
      <c r="AC694">
        <v>26</v>
      </c>
      <c r="AD694" s="1">
        <v>43982</v>
      </c>
      <c r="AM694" t="str">
        <f>"10"</f>
        <v>10</v>
      </c>
      <c r="AN694" t="str">
        <f>"500000"</f>
        <v>500000</v>
      </c>
      <c r="AO694" t="str">
        <f>"הכנסות  מלקוחות"</f>
        <v>הכנסות  מלקוחות</v>
      </c>
      <c r="AQ694" t="str">
        <f>"034"</f>
        <v>034</v>
      </c>
      <c r="AR694">
        <v>0</v>
      </c>
      <c r="AS694">
        <v>0</v>
      </c>
      <c r="AT694">
        <v>3.6190000000000002</v>
      </c>
      <c r="AX694" t="str">
        <f>"E000312785"</f>
        <v>E000312785</v>
      </c>
      <c r="BD694" t="str">
        <f>"ערן שלו"</f>
        <v>ערן שלו</v>
      </c>
    </row>
    <row r="695" spans="1:56" x14ac:dyDescent="0.3">
      <c r="A695" s="1">
        <v>45047</v>
      </c>
      <c r="B695" t="str">
        <f>"SI236000759"</f>
        <v>SI236000759</v>
      </c>
      <c r="E695" t="str">
        <f>"Y"</f>
        <v>Y</v>
      </c>
      <c r="F695" t="str">
        <f>"חשבוניות מרכזות"</f>
        <v>חשבוניות מרכזות</v>
      </c>
      <c r="G695" t="str">
        <f>"700065"</f>
        <v>700065</v>
      </c>
      <c r="H695" t="str">
        <f>"אלתא מערכות בע""מ"</f>
        <v>אלתא מערכות בע"מ</v>
      </c>
      <c r="I695" t="str">
        <f>"10"</f>
        <v>10</v>
      </c>
      <c r="J695" t="str">
        <f>"000"</f>
        <v>000</v>
      </c>
      <c r="K695" t="str">
        <f>"NRE FOR 1038C906-001"</f>
        <v>NRE FOR 1038C906-001</v>
      </c>
      <c r="L695">
        <v>-1</v>
      </c>
      <c r="M695" t="str">
        <f>"יח"</f>
        <v>יח</v>
      </c>
      <c r="N695">
        <v>-1</v>
      </c>
      <c r="O695" t="str">
        <f>"יח"</f>
        <v>יח</v>
      </c>
      <c r="P695" s="2">
        <v>16252.5</v>
      </c>
      <c r="Q695" t="str">
        <f>"$"</f>
        <v>$</v>
      </c>
      <c r="R695" t="str">
        <f>"ידני"</f>
        <v>ידני</v>
      </c>
      <c r="S695">
        <v>0</v>
      </c>
      <c r="T695" s="2">
        <v>-16252.5</v>
      </c>
      <c r="U695">
        <v>0</v>
      </c>
      <c r="V695" s="2">
        <v>-16252.5</v>
      </c>
      <c r="W695" t="str">
        <f>"$"</f>
        <v>$</v>
      </c>
      <c r="X695">
        <v>0</v>
      </c>
      <c r="Y695">
        <v>0</v>
      </c>
      <c r="Z695">
        <v>0</v>
      </c>
      <c r="AA695" t="str">
        <f>"Y"</f>
        <v>Y</v>
      </c>
      <c r="AC695">
        <v>0</v>
      </c>
      <c r="AM695" t="str">
        <f>"10"</f>
        <v>10</v>
      </c>
      <c r="AN695" t="str">
        <f>"500000"</f>
        <v>500000</v>
      </c>
      <c r="AO695" t="str">
        <f>"הכנסות  מלקוחות"</f>
        <v>הכנסות  מלקוחות</v>
      </c>
      <c r="AQ695" t="str">
        <f>"034"</f>
        <v>034</v>
      </c>
      <c r="AR695">
        <v>0</v>
      </c>
      <c r="AS695">
        <v>0</v>
      </c>
      <c r="AT695">
        <v>3.3860000000000001</v>
      </c>
      <c r="BB695" t="str">
        <f>"Y"</f>
        <v>Y</v>
      </c>
      <c r="BD695" t="str">
        <f>"ערן שלו"</f>
        <v>ערן שלו</v>
      </c>
    </row>
    <row r="696" spans="1:56" x14ac:dyDescent="0.3">
      <c r="A696" s="1">
        <v>45047</v>
      </c>
      <c r="B696" t="str">
        <f>"SI236000668"</f>
        <v>SI236000668</v>
      </c>
      <c r="E696" t="str">
        <f>"Y"</f>
        <v>Y</v>
      </c>
      <c r="F696" t="str">
        <f>"חשבוניות מרכזות"</f>
        <v>חשבוניות מרכזות</v>
      </c>
      <c r="G696" t="str">
        <f>"700065"</f>
        <v>700065</v>
      </c>
      <c r="H696" t="str">
        <f>"אלתא מערכות בע""מ"</f>
        <v>אלתא מערכות בע"מ</v>
      </c>
      <c r="I696" t="str">
        <f>"10"</f>
        <v>10</v>
      </c>
      <c r="J696" t="str">
        <f>"OP-ML00217"</f>
        <v>OP-ML00217</v>
      </c>
      <c r="K696" t="str">
        <f>"1042A920-001 COMPUTER RACK"</f>
        <v>1042A920-001 COMPUTER RACK</v>
      </c>
      <c r="L696">
        <v>-1</v>
      </c>
      <c r="M696" t="str">
        <f>"יח"</f>
        <v>יח</v>
      </c>
      <c r="N696">
        <v>-1</v>
      </c>
      <c r="O696" t="str">
        <f>"יח"</f>
        <v>יח</v>
      </c>
      <c r="P696" s="2">
        <v>36500</v>
      </c>
      <c r="Q696" t="str">
        <f>"$"</f>
        <v>$</v>
      </c>
      <c r="R696" t="str">
        <f>"הזמנה"</f>
        <v>הזמנה</v>
      </c>
      <c r="S696">
        <v>0</v>
      </c>
      <c r="T696" s="2">
        <v>-36500</v>
      </c>
      <c r="U696">
        <v>0</v>
      </c>
      <c r="V696" s="2">
        <v>-36500</v>
      </c>
      <c r="W696" t="str">
        <f>"$"</f>
        <v>$</v>
      </c>
      <c r="X696">
        <v>0</v>
      </c>
      <c r="Y696">
        <v>0</v>
      </c>
      <c r="Z696">
        <v>0</v>
      </c>
      <c r="AA696" t="str">
        <f>"Y"</f>
        <v>Y</v>
      </c>
      <c r="AC696">
        <v>0</v>
      </c>
      <c r="AM696" t="str">
        <f>"10"</f>
        <v>10</v>
      </c>
      <c r="AN696" t="str">
        <f>"500000"</f>
        <v>500000</v>
      </c>
      <c r="AO696" t="str">
        <f>"הכנסות  מלקוחות"</f>
        <v>הכנסות  מלקוחות</v>
      </c>
      <c r="AQ696" t="str">
        <f>"034"</f>
        <v>034</v>
      </c>
      <c r="AR696">
        <v>0</v>
      </c>
      <c r="AS696">
        <v>0</v>
      </c>
      <c r="AT696">
        <v>3.641</v>
      </c>
      <c r="BB696" t="str">
        <f>"Y"</f>
        <v>Y</v>
      </c>
      <c r="BD696" t="str">
        <f>"ערן שלו"</f>
        <v>ערן שלו</v>
      </c>
    </row>
    <row r="697" spans="1:56" x14ac:dyDescent="0.3">
      <c r="A697" s="1">
        <v>45047</v>
      </c>
      <c r="B697" t="str">
        <f>"SI236000589"</f>
        <v>SI236000589</v>
      </c>
      <c r="E697" t="str">
        <f>"Y"</f>
        <v>Y</v>
      </c>
      <c r="F697" t="str">
        <f>"חשבוניות מרכזות"</f>
        <v>חשבוניות מרכזות</v>
      </c>
      <c r="G697" t="str">
        <f>"700065"</f>
        <v>700065</v>
      </c>
      <c r="H697" t="str">
        <f>"אלתא מערכות בע""מ"</f>
        <v>אלתא מערכות בע"מ</v>
      </c>
      <c r="I697" t="str">
        <f>"10"</f>
        <v>10</v>
      </c>
      <c r="J697" t="str">
        <f>"OP-AR09107-1"</f>
        <v>OP-AR09107-1</v>
      </c>
      <c r="K697" t="str">
        <f>"לוח AUX BOX מק""ט לקוח 1036V320 001"</f>
        <v>לוח AUX BOX מק"ט לקוח 1036V320 001</v>
      </c>
      <c r="L697">
        <v>1</v>
      </c>
      <c r="M697" t="str">
        <f>"יח"</f>
        <v>יח</v>
      </c>
      <c r="N697">
        <v>1</v>
      </c>
      <c r="O697" t="str">
        <f>"יח"</f>
        <v>יח</v>
      </c>
      <c r="P697" s="2">
        <v>33526.78</v>
      </c>
      <c r="Q697" t="str">
        <f>"$"</f>
        <v>$</v>
      </c>
      <c r="R697" t="str">
        <f>"הזמנה"</f>
        <v>הזמנה</v>
      </c>
      <c r="S697">
        <v>0</v>
      </c>
      <c r="T697" s="2">
        <v>33526.78</v>
      </c>
      <c r="U697">
        <v>0</v>
      </c>
      <c r="V697" s="2">
        <v>33526.78</v>
      </c>
      <c r="W697" t="str">
        <f>"$"</f>
        <v>$</v>
      </c>
      <c r="X697">
        <v>0</v>
      </c>
      <c r="Y697">
        <v>0</v>
      </c>
      <c r="Z697">
        <v>0</v>
      </c>
      <c r="AA697" t="str">
        <f>"Y"</f>
        <v>Y</v>
      </c>
      <c r="AB697" t="str">
        <f>"SO22000486"</f>
        <v>SO22000486</v>
      </c>
      <c r="AC697">
        <v>2</v>
      </c>
      <c r="AD697" s="1">
        <v>44921</v>
      </c>
      <c r="AM697" t="str">
        <f>"10"</f>
        <v>10</v>
      </c>
      <c r="AN697" t="str">
        <f>"500000"</f>
        <v>500000</v>
      </c>
      <c r="AO697" t="str">
        <f>"הכנסות  מלקוחות"</f>
        <v>הכנסות  מלקוחות</v>
      </c>
      <c r="AQ697" t="str">
        <f>"007"</f>
        <v>007</v>
      </c>
      <c r="AR697">
        <v>0</v>
      </c>
      <c r="AS697">
        <v>0</v>
      </c>
      <c r="AT697">
        <v>3.641</v>
      </c>
      <c r="AX697" t="str">
        <f>"E000378773"</f>
        <v>E000378773</v>
      </c>
      <c r="BD697" t="str">
        <f>"רוני דידי"</f>
        <v>רוני דידי</v>
      </c>
    </row>
    <row r="698" spans="1:56" x14ac:dyDescent="0.3">
      <c r="A698" s="1">
        <v>45047</v>
      </c>
      <c r="B698" t="str">
        <f>"SI236000588"</f>
        <v>SI236000588</v>
      </c>
      <c r="E698" t="str">
        <f>"Y"</f>
        <v>Y</v>
      </c>
      <c r="F698" t="str">
        <f>"חשבוניות מרכזות"</f>
        <v>חשבוניות מרכזות</v>
      </c>
      <c r="G698" t="str">
        <f>"700065"</f>
        <v>700065</v>
      </c>
      <c r="H698" t="str">
        <f>"אלתא מערכות בע""מ"</f>
        <v>אלתא מערכות בע"מ</v>
      </c>
      <c r="I698" t="str">
        <f>"10"</f>
        <v>10</v>
      </c>
      <c r="J698" t="str">
        <f>"OP-AR09105-1"</f>
        <v>OP-AR09105-1</v>
      </c>
      <c r="K698" t="str">
        <f>"לוח ARMY מק""ט לקוח 1036V310-001"</f>
        <v>לוח ARMY מק"ט לקוח 1036V310-001</v>
      </c>
      <c r="L698">
        <v>1</v>
      </c>
      <c r="M698" t="str">
        <f>"יח"</f>
        <v>יח</v>
      </c>
      <c r="N698">
        <v>1</v>
      </c>
      <c r="O698" t="str">
        <f>"יח"</f>
        <v>יח</v>
      </c>
      <c r="P698" s="2">
        <v>51213.82</v>
      </c>
      <c r="Q698" t="str">
        <f>"$"</f>
        <v>$</v>
      </c>
      <c r="R698" t="str">
        <f>"הזמנה"</f>
        <v>הזמנה</v>
      </c>
      <c r="S698">
        <v>0</v>
      </c>
      <c r="T698" s="2">
        <v>51213.82</v>
      </c>
      <c r="U698">
        <v>0</v>
      </c>
      <c r="V698" s="2">
        <v>51213.82</v>
      </c>
      <c r="W698" t="str">
        <f>"$"</f>
        <v>$</v>
      </c>
      <c r="X698">
        <v>0</v>
      </c>
      <c r="Y698">
        <v>0</v>
      </c>
      <c r="Z698">
        <v>0</v>
      </c>
      <c r="AA698" t="str">
        <f>"Y"</f>
        <v>Y</v>
      </c>
      <c r="AB698" t="str">
        <f>"SO22000486"</f>
        <v>SO22000486</v>
      </c>
      <c r="AC698">
        <v>1</v>
      </c>
      <c r="AD698" s="1">
        <v>44921</v>
      </c>
      <c r="AM698" t="str">
        <f>"10"</f>
        <v>10</v>
      </c>
      <c r="AN698" t="str">
        <f>"500000"</f>
        <v>500000</v>
      </c>
      <c r="AO698" t="str">
        <f>"הכנסות  מלקוחות"</f>
        <v>הכנסות  מלקוחות</v>
      </c>
      <c r="AQ698" t="str">
        <f>"007"</f>
        <v>007</v>
      </c>
      <c r="AR698">
        <v>0</v>
      </c>
      <c r="AS698">
        <v>0</v>
      </c>
      <c r="AT698">
        <v>3.641</v>
      </c>
      <c r="AX698" t="str">
        <f>"E000378773"</f>
        <v>E000378773</v>
      </c>
      <c r="BD698" t="str">
        <f>"רוני דידי"</f>
        <v>רוני דידי</v>
      </c>
    </row>
    <row r="699" spans="1:56" x14ac:dyDescent="0.3">
      <c r="A699" s="1">
        <v>45047</v>
      </c>
      <c r="B699" t="str">
        <f>"SI236000587"</f>
        <v>SI236000587</v>
      </c>
      <c r="E699" t="str">
        <f>"Y"</f>
        <v>Y</v>
      </c>
      <c r="F699" t="str">
        <f>"חשבוניות מרכזות"</f>
        <v>חשבוניות מרכזות</v>
      </c>
      <c r="G699" t="str">
        <f>"700065"</f>
        <v>700065</v>
      </c>
      <c r="H699" t="str">
        <f>"אלתא מערכות בע""מ"</f>
        <v>אלתא מערכות בע"מ</v>
      </c>
      <c r="I699" t="str">
        <f>"10"</f>
        <v>10</v>
      </c>
      <c r="J699" t="str">
        <f>"OP-AR09105-1"</f>
        <v>OP-AR09105-1</v>
      </c>
      <c r="K699" t="str">
        <f>"לוח ARMY מק""ט לקוח 1036V310-001"</f>
        <v>לוח ARMY מק"ט לקוח 1036V310-001</v>
      </c>
      <c r="L699">
        <v>-1</v>
      </c>
      <c r="M699" t="str">
        <f>"יח"</f>
        <v>יח</v>
      </c>
      <c r="N699">
        <v>-1</v>
      </c>
      <c r="O699" t="str">
        <f>"יח"</f>
        <v>יח</v>
      </c>
      <c r="P699" s="2">
        <v>51213.82</v>
      </c>
      <c r="Q699" t="str">
        <f>"$"</f>
        <v>$</v>
      </c>
      <c r="R699" t="str">
        <f>"הזמנה"</f>
        <v>הזמנה</v>
      </c>
      <c r="S699">
        <v>0</v>
      </c>
      <c r="T699" s="2">
        <v>-51213.82</v>
      </c>
      <c r="U699">
        <v>0</v>
      </c>
      <c r="V699" s="2">
        <v>-51213.82</v>
      </c>
      <c r="W699" t="str">
        <f>"$"</f>
        <v>$</v>
      </c>
      <c r="X699">
        <v>0</v>
      </c>
      <c r="Y699">
        <v>0</v>
      </c>
      <c r="Z699">
        <v>0</v>
      </c>
      <c r="AA699" t="str">
        <f>"Y"</f>
        <v>Y</v>
      </c>
      <c r="AC699">
        <v>0</v>
      </c>
      <c r="AM699" t="str">
        <f>"10"</f>
        <v>10</v>
      </c>
      <c r="AN699" t="str">
        <f>"500000"</f>
        <v>500000</v>
      </c>
      <c r="AO699" t="str">
        <f>"הכנסות  מלקוחות"</f>
        <v>הכנסות  מלקוחות</v>
      </c>
      <c r="AQ699" t="str">
        <f>"007"</f>
        <v>007</v>
      </c>
      <c r="AR699">
        <v>0</v>
      </c>
      <c r="AS699">
        <v>0</v>
      </c>
      <c r="AT699">
        <v>3.641</v>
      </c>
      <c r="BB699" t="str">
        <f>"Y"</f>
        <v>Y</v>
      </c>
      <c r="BD699" t="str">
        <f>"רוני דידי"</f>
        <v>רוני דידי</v>
      </c>
    </row>
    <row r="700" spans="1:56" x14ac:dyDescent="0.3">
      <c r="A700" s="1">
        <v>45047</v>
      </c>
      <c r="B700" t="str">
        <f>"SI236000587"</f>
        <v>SI236000587</v>
      </c>
      <c r="E700" t="str">
        <f>"Y"</f>
        <v>Y</v>
      </c>
      <c r="F700" t="str">
        <f>"חשבוניות מרכזות"</f>
        <v>חשבוניות מרכזות</v>
      </c>
      <c r="G700" t="str">
        <f>"700065"</f>
        <v>700065</v>
      </c>
      <c r="H700" t="str">
        <f>"אלתא מערכות בע""מ"</f>
        <v>אלתא מערכות בע"מ</v>
      </c>
      <c r="I700" t="str">
        <f>"10"</f>
        <v>10</v>
      </c>
      <c r="J700" t="str">
        <f>"OP-AR09107-1"</f>
        <v>OP-AR09107-1</v>
      </c>
      <c r="K700" t="str">
        <f>"לוח AUX BOX מק""ט לקוח 1036V320 001"</f>
        <v>לוח AUX BOX מק"ט לקוח 1036V320 001</v>
      </c>
      <c r="L700">
        <v>-1</v>
      </c>
      <c r="M700" t="str">
        <f>"יח"</f>
        <v>יח</v>
      </c>
      <c r="N700">
        <v>-1</v>
      </c>
      <c r="O700" t="str">
        <f>"יח"</f>
        <v>יח</v>
      </c>
      <c r="P700" s="2">
        <v>33526.78</v>
      </c>
      <c r="Q700" t="str">
        <f>"$"</f>
        <v>$</v>
      </c>
      <c r="R700" t="str">
        <f>"הזמנה"</f>
        <v>הזמנה</v>
      </c>
      <c r="S700">
        <v>0</v>
      </c>
      <c r="T700" s="2">
        <v>-33526.78</v>
      </c>
      <c r="U700">
        <v>0</v>
      </c>
      <c r="V700" s="2">
        <v>-33526.78</v>
      </c>
      <c r="W700" t="str">
        <f>"$"</f>
        <v>$</v>
      </c>
      <c r="X700">
        <v>0</v>
      </c>
      <c r="Y700">
        <v>0</v>
      </c>
      <c r="Z700">
        <v>0</v>
      </c>
      <c r="AA700" t="str">
        <f>"Y"</f>
        <v>Y</v>
      </c>
      <c r="AC700">
        <v>0</v>
      </c>
      <c r="AM700" t="str">
        <f>"10"</f>
        <v>10</v>
      </c>
      <c r="AN700" t="str">
        <f>"500000"</f>
        <v>500000</v>
      </c>
      <c r="AO700" t="str">
        <f>"הכנסות  מלקוחות"</f>
        <v>הכנסות  מלקוחות</v>
      </c>
      <c r="AQ700" t="str">
        <f>"007"</f>
        <v>007</v>
      </c>
      <c r="AR700">
        <v>0</v>
      </c>
      <c r="AS700">
        <v>0</v>
      </c>
      <c r="AT700">
        <v>3.641</v>
      </c>
      <c r="BB700" t="str">
        <f>"Y"</f>
        <v>Y</v>
      </c>
      <c r="BD700" t="str">
        <f>"רוני דידי"</f>
        <v>רוני דידי</v>
      </c>
    </row>
    <row r="701" spans="1:56" x14ac:dyDescent="0.3">
      <c r="A701" s="1">
        <v>45047</v>
      </c>
      <c r="B701" t="str">
        <f>"SI236000581"</f>
        <v>SI236000581</v>
      </c>
      <c r="E701" t="str">
        <f>"Y"</f>
        <v>Y</v>
      </c>
      <c r="F701" t="str">
        <f>"חשבוניות מרכזות"</f>
        <v>חשבוניות מרכזות</v>
      </c>
      <c r="G701" t="str">
        <f>"700065"</f>
        <v>700065</v>
      </c>
      <c r="H701" t="str">
        <f>"אלתא מערכות בע""מ"</f>
        <v>אלתא מערכות בע"מ</v>
      </c>
      <c r="I701" t="str">
        <f>"10"</f>
        <v>10</v>
      </c>
      <c r="J701" t="str">
        <f>"OP-ML00217"</f>
        <v>OP-ML00217</v>
      </c>
      <c r="K701" t="str">
        <f>"1042A920-001 COMPUTER RACK"</f>
        <v>1042A920-001 COMPUTER RACK</v>
      </c>
      <c r="L701">
        <v>1</v>
      </c>
      <c r="M701" t="str">
        <f>"יח"</f>
        <v>יח</v>
      </c>
      <c r="N701">
        <v>1</v>
      </c>
      <c r="O701" t="str">
        <f>"יח"</f>
        <v>יח</v>
      </c>
      <c r="P701" s="2">
        <v>36500</v>
      </c>
      <c r="Q701" t="str">
        <f>"$"</f>
        <v>$</v>
      </c>
      <c r="R701" t="str">
        <f>"הזמנה"</f>
        <v>הזמנה</v>
      </c>
      <c r="S701">
        <v>0</v>
      </c>
      <c r="T701" s="2">
        <v>36500</v>
      </c>
      <c r="U701">
        <v>0</v>
      </c>
      <c r="V701" s="2">
        <v>36500</v>
      </c>
      <c r="W701" t="str">
        <f>"$"</f>
        <v>$</v>
      </c>
      <c r="X701">
        <v>0</v>
      </c>
      <c r="Y701">
        <v>0</v>
      </c>
      <c r="Z701">
        <v>0</v>
      </c>
      <c r="AA701" t="str">
        <f>"Y"</f>
        <v>Y</v>
      </c>
      <c r="AC701">
        <v>0</v>
      </c>
      <c r="AM701" t="str">
        <f>"10"</f>
        <v>10</v>
      </c>
      <c r="AN701" t="str">
        <f>"500000"</f>
        <v>500000</v>
      </c>
      <c r="AO701" t="str">
        <f>"הכנסות  מלקוחות"</f>
        <v>הכנסות  מלקוחות</v>
      </c>
      <c r="AQ701" t="str">
        <f>"034"</f>
        <v>034</v>
      </c>
      <c r="AR701">
        <v>0</v>
      </c>
      <c r="AS701">
        <v>0</v>
      </c>
      <c r="AT701">
        <v>3.641</v>
      </c>
      <c r="BB701" t="str">
        <f>"Y"</f>
        <v>Y</v>
      </c>
      <c r="BD701" t="str">
        <f>"ערן שלו"</f>
        <v>ערן שלו</v>
      </c>
    </row>
    <row r="702" spans="1:56" x14ac:dyDescent="0.3">
      <c r="A702" s="1">
        <v>45047</v>
      </c>
      <c r="B702" t="str">
        <f>"SI236000580"</f>
        <v>SI236000580</v>
      </c>
      <c r="E702" t="str">
        <f>"Y"</f>
        <v>Y</v>
      </c>
      <c r="F702" t="str">
        <f>"חשבוניות מרכזות"</f>
        <v>חשבוניות מרכזות</v>
      </c>
      <c r="G702" t="str">
        <f>"700065"</f>
        <v>700065</v>
      </c>
      <c r="H702" t="str">
        <f>"אלתא מערכות בע""מ"</f>
        <v>אלתא מערכות בע"מ</v>
      </c>
      <c r="I702" t="str">
        <f>"10"</f>
        <v>10</v>
      </c>
      <c r="J702" t="str">
        <f>"OP-AR09105-1"</f>
        <v>OP-AR09105-1</v>
      </c>
      <c r="K702" t="str">
        <f>"לוח ARMY מק""ט לקוח 1036V310-001"</f>
        <v>לוח ARMY מק"ט לקוח 1036V310-001</v>
      </c>
      <c r="L702">
        <v>1</v>
      </c>
      <c r="M702" t="str">
        <f>"יח"</f>
        <v>יח</v>
      </c>
      <c r="N702">
        <v>1</v>
      </c>
      <c r="O702" t="str">
        <f>"יח"</f>
        <v>יח</v>
      </c>
      <c r="P702" s="2">
        <v>51213.82</v>
      </c>
      <c r="Q702" t="str">
        <f>"$"</f>
        <v>$</v>
      </c>
      <c r="R702" t="str">
        <f>"הזמנה"</f>
        <v>הזמנה</v>
      </c>
      <c r="S702">
        <v>0</v>
      </c>
      <c r="T702" s="2">
        <v>51213.82</v>
      </c>
      <c r="U702">
        <v>0</v>
      </c>
      <c r="V702" s="2">
        <v>51213.82</v>
      </c>
      <c r="W702" t="str">
        <f>"$"</f>
        <v>$</v>
      </c>
      <c r="X702">
        <v>0</v>
      </c>
      <c r="Y702">
        <v>0</v>
      </c>
      <c r="Z702">
        <v>0</v>
      </c>
      <c r="AA702" t="str">
        <f>"Y"</f>
        <v>Y</v>
      </c>
      <c r="AC702">
        <v>0</v>
      </c>
      <c r="AM702" t="str">
        <f>"10"</f>
        <v>10</v>
      </c>
      <c r="AN702" t="str">
        <f>"500000"</f>
        <v>500000</v>
      </c>
      <c r="AO702" t="str">
        <f>"הכנסות  מלקוחות"</f>
        <v>הכנסות  מלקוחות</v>
      </c>
      <c r="AQ702" t="str">
        <f>"007"</f>
        <v>007</v>
      </c>
      <c r="AR702">
        <v>0</v>
      </c>
      <c r="AS702">
        <v>0</v>
      </c>
      <c r="AT702">
        <v>3.641</v>
      </c>
      <c r="BB702" t="str">
        <f>"Y"</f>
        <v>Y</v>
      </c>
      <c r="BD702" t="str">
        <f>"רוני דידי"</f>
        <v>רוני דידי</v>
      </c>
    </row>
    <row r="703" spans="1:56" x14ac:dyDescent="0.3">
      <c r="A703" s="1">
        <v>45047</v>
      </c>
      <c r="B703" t="str">
        <f>"SI236000580"</f>
        <v>SI236000580</v>
      </c>
      <c r="E703" t="str">
        <f>"Y"</f>
        <v>Y</v>
      </c>
      <c r="F703" t="str">
        <f>"חשבוניות מרכזות"</f>
        <v>חשבוניות מרכזות</v>
      </c>
      <c r="G703" t="str">
        <f>"700065"</f>
        <v>700065</v>
      </c>
      <c r="H703" t="str">
        <f>"אלתא מערכות בע""מ"</f>
        <v>אלתא מערכות בע"מ</v>
      </c>
      <c r="I703" t="str">
        <f>"10"</f>
        <v>10</v>
      </c>
      <c r="J703" t="str">
        <f>"OP-AR09107-1"</f>
        <v>OP-AR09107-1</v>
      </c>
      <c r="K703" t="str">
        <f>"לוח AUX BOX מק""ט לקוח 1036V320 001"</f>
        <v>לוח AUX BOX מק"ט לקוח 1036V320 001</v>
      </c>
      <c r="L703">
        <v>1</v>
      </c>
      <c r="M703" t="str">
        <f>"יח"</f>
        <v>יח</v>
      </c>
      <c r="N703">
        <v>1</v>
      </c>
      <c r="O703" t="str">
        <f>"יח"</f>
        <v>יח</v>
      </c>
      <c r="P703" s="2">
        <v>33526.78</v>
      </c>
      <c r="Q703" t="str">
        <f>"$"</f>
        <v>$</v>
      </c>
      <c r="R703" t="str">
        <f>"הזמנה"</f>
        <v>הזמנה</v>
      </c>
      <c r="S703">
        <v>0</v>
      </c>
      <c r="T703" s="2">
        <v>33526.78</v>
      </c>
      <c r="U703">
        <v>0</v>
      </c>
      <c r="V703" s="2">
        <v>33526.78</v>
      </c>
      <c r="W703" t="str">
        <f>"$"</f>
        <v>$</v>
      </c>
      <c r="X703">
        <v>0</v>
      </c>
      <c r="Y703">
        <v>0</v>
      </c>
      <c r="Z703">
        <v>0</v>
      </c>
      <c r="AA703" t="str">
        <f>"Y"</f>
        <v>Y</v>
      </c>
      <c r="AC703">
        <v>0</v>
      </c>
      <c r="AM703" t="str">
        <f>"10"</f>
        <v>10</v>
      </c>
      <c r="AN703" t="str">
        <f>"500000"</f>
        <v>500000</v>
      </c>
      <c r="AO703" t="str">
        <f>"הכנסות  מלקוחות"</f>
        <v>הכנסות  מלקוחות</v>
      </c>
      <c r="AQ703" t="str">
        <f>"007"</f>
        <v>007</v>
      </c>
      <c r="AR703">
        <v>0</v>
      </c>
      <c r="AS703">
        <v>0</v>
      </c>
      <c r="AT703">
        <v>3.641</v>
      </c>
      <c r="BB703" t="str">
        <f>"Y"</f>
        <v>Y</v>
      </c>
      <c r="BD703" t="str">
        <f>"רוני דידי"</f>
        <v>רוני דידי</v>
      </c>
    </row>
    <row r="704" spans="1:56" x14ac:dyDescent="0.3">
      <c r="A704" s="1">
        <v>45047</v>
      </c>
      <c r="B704" t="str">
        <f>"CR237000051"</f>
        <v>CR237000051</v>
      </c>
      <c r="E704" t="str">
        <f>"Y"</f>
        <v>Y</v>
      </c>
      <c r="F704" t="str">
        <f>"חשבוניות זיכוי"</f>
        <v>חשבוניות זיכוי</v>
      </c>
      <c r="G704" t="str">
        <f>"700065"</f>
        <v>700065</v>
      </c>
      <c r="H704" t="str">
        <f>"אלתא מערכות בע""מ"</f>
        <v>אלתא מערכות בע"מ</v>
      </c>
      <c r="I704" t="str">
        <f>"10"</f>
        <v>10</v>
      </c>
      <c r="J704" t="str">
        <f>"000"</f>
        <v>000</v>
      </c>
      <c r="K704" t="str">
        <f>"זיכוי לחשבונית  SI226001124"</f>
        <v>זיכוי לחשבונית  SI226001124</v>
      </c>
      <c r="L704">
        <v>1</v>
      </c>
      <c r="M704" t="str">
        <f>"יח"</f>
        <v>יח</v>
      </c>
      <c r="N704">
        <v>1</v>
      </c>
      <c r="O704" t="str">
        <f>"יח"</f>
        <v>יח</v>
      </c>
      <c r="P704" s="2">
        <v>6765</v>
      </c>
      <c r="Q704" t="str">
        <f>"$"</f>
        <v>$</v>
      </c>
      <c r="R704" t="str">
        <f>"ידני"</f>
        <v>ידני</v>
      </c>
      <c r="S704">
        <v>0</v>
      </c>
      <c r="T704" s="2">
        <v>6765</v>
      </c>
      <c r="U704">
        <v>0</v>
      </c>
      <c r="V704" s="2">
        <v>6765</v>
      </c>
      <c r="W704" t="str">
        <f>"$"</f>
        <v>$</v>
      </c>
      <c r="X704">
        <v>0</v>
      </c>
      <c r="Y704">
        <v>0</v>
      </c>
      <c r="Z704">
        <v>0</v>
      </c>
      <c r="AA704" t="str">
        <f>"Y"</f>
        <v>Y</v>
      </c>
      <c r="AC704">
        <v>0</v>
      </c>
      <c r="AM704" t="str">
        <f>"10"</f>
        <v>10</v>
      </c>
      <c r="AN704" t="str">
        <f>"500000"</f>
        <v>500000</v>
      </c>
      <c r="AO704" t="str">
        <f>"הכנסות  מלקוחות"</f>
        <v>הכנסות  מלקוחות</v>
      </c>
      <c r="AP704" t="str">
        <f>"Y"</f>
        <v>Y</v>
      </c>
      <c r="AQ704" t="str">
        <f>"034"</f>
        <v>034</v>
      </c>
      <c r="AR704">
        <v>0</v>
      </c>
      <c r="AS704">
        <v>0</v>
      </c>
      <c r="AT704">
        <v>3.387</v>
      </c>
      <c r="BD704" t="str">
        <f>"ערן שלו"</f>
        <v>ערן שלו</v>
      </c>
    </row>
    <row r="705" spans="1:56" x14ac:dyDescent="0.3">
      <c r="A705" s="1">
        <v>45047</v>
      </c>
      <c r="B705" t="str">
        <f>"CR237000048"</f>
        <v>CR237000048</v>
      </c>
      <c r="E705" t="str">
        <f>"Y"</f>
        <v>Y</v>
      </c>
      <c r="F705" t="str">
        <f>"חשבוניות זיכוי"</f>
        <v>חשבוניות זיכוי</v>
      </c>
      <c r="G705" t="str">
        <f>"700065"</f>
        <v>700065</v>
      </c>
      <c r="H705" t="str">
        <f>"אלתא מערכות בע""מ"</f>
        <v>אלתא מערכות בע"מ</v>
      </c>
      <c r="I705" t="str">
        <f>"10"</f>
        <v>10</v>
      </c>
      <c r="J705" t="str">
        <f>"000"</f>
        <v>000</v>
      </c>
      <c r="K705" t="str">
        <f>"זיכוי לחשבונית מס  SI236000081"</f>
        <v>זיכוי לחשבונית מס  SI236000081</v>
      </c>
      <c r="L705">
        <v>1</v>
      </c>
      <c r="M705" t="str">
        <f>"יח"</f>
        <v>יח</v>
      </c>
      <c r="N705">
        <v>1</v>
      </c>
      <c r="O705" t="str">
        <f>"יח"</f>
        <v>יח</v>
      </c>
      <c r="P705">
        <v>320.73500000000001</v>
      </c>
      <c r="Q705" t="str">
        <f>"$"</f>
        <v>$</v>
      </c>
      <c r="R705" t="str">
        <f>"ידני"</f>
        <v>ידני</v>
      </c>
      <c r="S705">
        <v>0</v>
      </c>
      <c r="T705">
        <v>320.74</v>
      </c>
      <c r="U705">
        <v>0</v>
      </c>
      <c r="V705">
        <v>320.74</v>
      </c>
      <c r="W705" t="str">
        <f>"$"</f>
        <v>$</v>
      </c>
      <c r="X705">
        <v>0</v>
      </c>
      <c r="Y705">
        <v>0</v>
      </c>
      <c r="Z705">
        <v>0</v>
      </c>
      <c r="AA705" t="str">
        <f>"Y"</f>
        <v>Y</v>
      </c>
      <c r="AC705">
        <v>0</v>
      </c>
      <c r="AM705" t="str">
        <f>"10"</f>
        <v>10</v>
      </c>
      <c r="AN705" t="str">
        <f>"500000"</f>
        <v>500000</v>
      </c>
      <c r="AO705" t="str">
        <f>"הכנסות  מלקוחות"</f>
        <v>הכנסות  מלקוחות</v>
      </c>
      <c r="AP705" t="str">
        <f>"Y"</f>
        <v>Y</v>
      </c>
      <c r="AQ705" t="str">
        <f>"034"</f>
        <v>034</v>
      </c>
      <c r="AR705">
        <v>0</v>
      </c>
      <c r="AS705">
        <v>0</v>
      </c>
      <c r="AT705">
        <v>3.6469999999999998</v>
      </c>
      <c r="BD705" t="str">
        <f>"ערן שלו"</f>
        <v>ערן שלו</v>
      </c>
    </row>
    <row r="706" spans="1:56" x14ac:dyDescent="0.3">
      <c r="A706" s="1">
        <v>45046</v>
      </c>
      <c r="B706" t="str">
        <f>"SI236000606"</f>
        <v>SI236000606</v>
      </c>
      <c r="C706" t="str">
        <f>"PR22000199"</f>
        <v>PR22000199</v>
      </c>
      <c r="E706" t="str">
        <f>"Y"</f>
        <v>Y</v>
      </c>
      <c r="F706" t="str">
        <f>"חשבוניות מרכזות"</f>
        <v>חשבוניות מרכזות</v>
      </c>
      <c r="G706" t="str">
        <f>"700065"</f>
        <v>700065</v>
      </c>
      <c r="H706" t="str">
        <f>"אלתא מערכות בע""מ"</f>
        <v>אלתא מערכות בע"מ</v>
      </c>
      <c r="I706" t="str">
        <f>"05"</f>
        <v>05</v>
      </c>
      <c r="J706" t="str">
        <f>"OP-AR03243"</f>
        <v>OP-AR03243</v>
      </c>
      <c r="K706" t="str">
        <f>"320VDC 96KW SYSTEM"</f>
        <v>320VDC 96KW SYSTEM</v>
      </c>
      <c r="L706">
        <v>1</v>
      </c>
      <c r="M706" t="str">
        <f>"יח"</f>
        <v>יח</v>
      </c>
      <c r="N706">
        <v>1</v>
      </c>
      <c r="O706" t="str">
        <f>"יח"</f>
        <v>יח</v>
      </c>
      <c r="P706" s="2">
        <v>37528</v>
      </c>
      <c r="Q706" t="str">
        <f>"$"</f>
        <v>$</v>
      </c>
      <c r="R706" t="str">
        <f>"הזמנה"</f>
        <v>הזמנה</v>
      </c>
      <c r="S706">
        <v>0</v>
      </c>
      <c r="T706" s="2">
        <v>37528</v>
      </c>
      <c r="U706">
        <v>0</v>
      </c>
      <c r="V706" s="2">
        <v>37528</v>
      </c>
      <c r="W706" t="str">
        <f>"$"</f>
        <v>$</v>
      </c>
      <c r="X706">
        <v>0</v>
      </c>
      <c r="Y706">
        <v>0</v>
      </c>
      <c r="Z706">
        <v>0</v>
      </c>
      <c r="AA706" t="str">
        <f>"Y"</f>
        <v>Y</v>
      </c>
      <c r="AB706" t="str">
        <f>"SO22000082"</f>
        <v>SO22000082</v>
      </c>
      <c r="AC706">
        <v>3</v>
      </c>
      <c r="AD706" s="1">
        <v>44622</v>
      </c>
      <c r="AE706" t="str">
        <f>"SH23000515"</f>
        <v>SH23000515</v>
      </c>
      <c r="AF706" t="str">
        <f>"משלוחים ללקוח"</f>
        <v>משלוחים ללקוח</v>
      </c>
      <c r="AG706" s="1">
        <v>45043</v>
      </c>
      <c r="AM706" t="str">
        <f>"10"</f>
        <v>10</v>
      </c>
      <c r="AN706" t="str">
        <f>"500000"</f>
        <v>500000</v>
      </c>
      <c r="AO706" t="str">
        <f>"הכנסות  מלקוחות"</f>
        <v>הכנסות  מלקוחות</v>
      </c>
      <c r="AQ706" t="str">
        <f>"034"</f>
        <v>034</v>
      </c>
      <c r="AR706">
        <v>0</v>
      </c>
      <c r="AS706">
        <v>0</v>
      </c>
      <c r="AT706">
        <v>3.641</v>
      </c>
      <c r="AX706" t="str">
        <f>"E000358717"</f>
        <v>E000358717</v>
      </c>
      <c r="BD706" t="str">
        <f>"ערן שלו"</f>
        <v>ערן שלו</v>
      </c>
    </row>
    <row r="707" spans="1:56" x14ac:dyDescent="0.3">
      <c r="A707" s="1">
        <v>45046</v>
      </c>
      <c r="B707" t="str">
        <f>"SI236000586"</f>
        <v>SI236000586</v>
      </c>
      <c r="C707" t="str">
        <f>"PR22000671"</f>
        <v>PR22000671</v>
      </c>
      <c r="E707" t="str">
        <f>"Y"</f>
        <v>Y</v>
      </c>
      <c r="F707" t="str">
        <f>"חשבוניות מרכזות"</f>
        <v>חשבוניות מרכזות</v>
      </c>
      <c r="G707" t="str">
        <f>"700065"</f>
        <v>700065</v>
      </c>
      <c r="H707" t="str">
        <f>"אלתא מערכות בע""מ"</f>
        <v>אלתא מערכות בע"מ</v>
      </c>
      <c r="I707" t="str">
        <f>"15"</f>
        <v>15</v>
      </c>
      <c r="J707" t="str">
        <f>"OP-AR03361"</f>
        <v>OP-AR03361</v>
      </c>
      <c r="K707" t="str">
        <f>"1097A822-001    ANTENNA TO NC2I TESTER CABLE"</f>
        <v>1097A822-001    ANTENNA TO NC2I TESTER CABLE</v>
      </c>
      <c r="L707">
        <v>3</v>
      </c>
      <c r="M707" t="str">
        <f>"יח"</f>
        <v>יח</v>
      </c>
      <c r="N707">
        <v>3</v>
      </c>
      <c r="O707" t="str">
        <f>"יח"</f>
        <v>יח</v>
      </c>
      <c r="P707">
        <v>303.10000000000002</v>
      </c>
      <c r="Q707" t="str">
        <f>"$"</f>
        <v>$</v>
      </c>
      <c r="R707" t="str">
        <f>"הזמנה"</f>
        <v>הזמנה</v>
      </c>
      <c r="S707">
        <v>0</v>
      </c>
      <c r="T707">
        <v>909.3</v>
      </c>
      <c r="U707">
        <v>0</v>
      </c>
      <c r="V707">
        <v>909.3</v>
      </c>
      <c r="W707" t="str">
        <f>"$"</f>
        <v>$</v>
      </c>
      <c r="X707">
        <v>0</v>
      </c>
      <c r="Y707">
        <v>0</v>
      </c>
      <c r="Z707">
        <v>0</v>
      </c>
      <c r="AA707" t="str">
        <f>"Y"</f>
        <v>Y</v>
      </c>
      <c r="AB707" t="str">
        <f>"SO22000385"</f>
        <v>SO22000385</v>
      </c>
      <c r="AC707">
        <v>2</v>
      </c>
      <c r="AD707" s="1">
        <v>44860</v>
      </c>
      <c r="AE707" t="str">
        <f>"SH23000512"</f>
        <v>SH23000512</v>
      </c>
      <c r="AF707" t="str">
        <f>"משלוחים ללקוח"</f>
        <v>משלוחים ללקוח</v>
      </c>
      <c r="AG707" s="1">
        <v>45041</v>
      </c>
      <c r="AM707" t="str">
        <f>"10"</f>
        <v>10</v>
      </c>
      <c r="AN707" t="str">
        <f>"500000"</f>
        <v>500000</v>
      </c>
      <c r="AO707" t="str">
        <f>"הכנסות  מלקוחות"</f>
        <v>הכנסות  מלקוחות</v>
      </c>
      <c r="AQ707" t="str">
        <f>"040"</f>
        <v>040</v>
      </c>
      <c r="AR707">
        <v>0</v>
      </c>
      <c r="AS707">
        <v>0</v>
      </c>
      <c r="AT707">
        <v>3.641</v>
      </c>
      <c r="AX707" t="str">
        <f>"E000374617"</f>
        <v>E000374617</v>
      </c>
      <c r="BD707" t="str">
        <f>"רחמים זרוק"</f>
        <v>רחמים זרוק</v>
      </c>
    </row>
    <row r="708" spans="1:56" x14ac:dyDescent="0.3">
      <c r="A708" s="1">
        <v>45046</v>
      </c>
      <c r="B708" t="str">
        <f>"SI236000586"</f>
        <v>SI236000586</v>
      </c>
      <c r="C708" t="str">
        <f>"PR22000671"</f>
        <v>PR22000671</v>
      </c>
      <c r="E708" t="str">
        <f>"Y"</f>
        <v>Y</v>
      </c>
      <c r="F708" t="str">
        <f>"חשבוניות מרכזות"</f>
        <v>חשבוניות מרכזות</v>
      </c>
      <c r="G708" t="str">
        <f>"700065"</f>
        <v>700065</v>
      </c>
      <c r="H708" t="str">
        <f>"אלתא מערכות בע""מ"</f>
        <v>אלתא מערכות בע"מ</v>
      </c>
      <c r="I708" t="str">
        <f>"15"</f>
        <v>15</v>
      </c>
      <c r="J708" t="str">
        <f>"OP-AR03361"</f>
        <v>OP-AR03361</v>
      </c>
      <c r="K708" t="str">
        <f>"1097A822-001    ANTENNA TO NC2I TESTER CABLE"</f>
        <v>1097A822-001    ANTENNA TO NC2I TESTER CABLE</v>
      </c>
      <c r="L708">
        <v>1</v>
      </c>
      <c r="M708" t="str">
        <f>"יח"</f>
        <v>יח</v>
      </c>
      <c r="N708">
        <v>1</v>
      </c>
      <c r="O708" t="str">
        <f>"יח"</f>
        <v>יח</v>
      </c>
      <c r="P708">
        <v>303.10000000000002</v>
      </c>
      <c r="Q708" t="str">
        <f>"$"</f>
        <v>$</v>
      </c>
      <c r="R708" t="str">
        <f>"הזמנה"</f>
        <v>הזמנה</v>
      </c>
      <c r="S708">
        <v>0</v>
      </c>
      <c r="T708">
        <v>303.10000000000002</v>
      </c>
      <c r="U708">
        <v>0</v>
      </c>
      <c r="V708">
        <v>303.10000000000002</v>
      </c>
      <c r="W708" t="str">
        <f>"$"</f>
        <v>$</v>
      </c>
      <c r="X708">
        <v>0</v>
      </c>
      <c r="Y708">
        <v>0</v>
      </c>
      <c r="Z708">
        <v>0</v>
      </c>
      <c r="AA708" t="str">
        <f>"Y"</f>
        <v>Y</v>
      </c>
      <c r="AB708" t="str">
        <f>"SO22000385"</f>
        <v>SO22000385</v>
      </c>
      <c r="AC708">
        <v>3</v>
      </c>
      <c r="AD708" s="1">
        <v>44860</v>
      </c>
      <c r="AE708" t="str">
        <f>"SH23000512"</f>
        <v>SH23000512</v>
      </c>
      <c r="AF708" t="str">
        <f>"משלוחים ללקוח"</f>
        <v>משלוחים ללקוח</v>
      </c>
      <c r="AG708" s="1">
        <v>45041</v>
      </c>
      <c r="AM708" t="str">
        <f>"10"</f>
        <v>10</v>
      </c>
      <c r="AN708" t="str">
        <f>"500000"</f>
        <v>500000</v>
      </c>
      <c r="AO708" t="str">
        <f>"הכנסות  מלקוחות"</f>
        <v>הכנסות  מלקוחות</v>
      </c>
      <c r="AQ708" t="str">
        <f>"040"</f>
        <v>040</v>
      </c>
      <c r="AR708">
        <v>0</v>
      </c>
      <c r="AS708">
        <v>0</v>
      </c>
      <c r="AT708">
        <v>3.641</v>
      </c>
      <c r="AX708" t="str">
        <f>"E000374617"</f>
        <v>E000374617</v>
      </c>
      <c r="BD708" t="str">
        <f>"רחמים זרוק"</f>
        <v>רחמים זרוק</v>
      </c>
    </row>
    <row r="709" spans="1:56" x14ac:dyDescent="0.3">
      <c r="A709" s="1">
        <v>45046</v>
      </c>
      <c r="B709" t="str">
        <f>"SI236000585"</f>
        <v>SI236000585</v>
      </c>
      <c r="C709" t="str">
        <f>"PR22000577"</f>
        <v>PR22000577</v>
      </c>
      <c r="E709" t="str">
        <f>"Y"</f>
        <v>Y</v>
      </c>
      <c r="F709" t="str">
        <f>"חשבוניות מרכזות"</f>
        <v>חשבוניות מרכזות</v>
      </c>
      <c r="G709" t="str">
        <f>"700065"</f>
        <v>700065</v>
      </c>
      <c r="H709" t="str">
        <f>"אלתא מערכות בע""מ"</f>
        <v>אלתא מערכות בע"מ</v>
      </c>
      <c r="I709" t="str">
        <f>"15"</f>
        <v>15</v>
      </c>
      <c r="J709" t="str">
        <f>"OP-AR03267"</f>
        <v>OP-AR03267</v>
      </c>
      <c r="K709" t="str">
        <f>"1035C107-001   HARNESS 1W007 - POWER and STATUS FROM FI"</f>
        <v>1035C107-001   HARNESS 1W007 - POWER and STATUS FROM FI</v>
      </c>
      <c r="L709">
        <v>2</v>
      </c>
      <c r="M709" t="str">
        <f>"יח"</f>
        <v>יח</v>
      </c>
      <c r="N709">
        <v>2</v>
      </c>
      <c r="O709" t="str">
        <f>"יח"</f>
        <v>יח</v>
      </c>
      <c r="P709" s="2">
        <v>1240.32</v>
      </c>
      <c r="Q709" t="str">
        <f>"$"</f>
        <v>$</v>
      </c>
      <c r="R709" t="str">
        <f>"הזמנה"</f>
        <v>הזמנה</v>
      </c>
      <c r="S709">
        <v>0</v>
      </c>
      <c r="T709" s="2">
        <v>2480.64</v>
      </c>
      <c r="U709">
        <v>0</v>
      </c>
      <c r="V709" s="2">
        <v>2480.64</v>
      </c>
      <c r="W709" t="str">
        <f>"$"</f>
        <v>$</v>
      </c>
      <c r="X709">
        <v>0</v>
      </c>
      <c r="Y709">
        <v>0</v>
      </c>
      <c r="Z709">
        <v>0</v>
      </c>
      <c r="AA709" t="str">
        <f>"Y"</f>
        <v>Y</v>
      </c>
      <c r="AB709" t="str">
        <f>"SO22000333"</f>
        <v>SO22000333</v>
      </c>
      <c r="AC709">
        <v>1</v>
      </c>
      <c r="AD709" s="1">
        <v>44789</v>
      </c>
      <c r="AE709" t="str">
        <f>"SH23000511"</f>
        <v>SH23000511</v>
      </c>
      <c r="AF709" t="str">
        <f>"משלוחים ללקוח"</f>
        <v>משלוחים ללקוח</v>
      </c>
      <c r="AG709" s="1">
        <v>45041</v>
      </c>
      <c r="AM709" t="str">
        <f>"10"</f>
        <v>10</v>
      </c>
      <c r="AN709" t="str">
        <f>"500000"</f>
        <v>500000</v>
      </c>
      <c r="AO709" t="str">
        <f>"הכנסות  מלקוחות"</f>
        <v>הכנסות  מלקוחות</v>
      </c>
      <c r="AQ709" t="str">
        <f>"040"</f>
        <v>040</v>
      </c>
      <c r="AR709">
        <v>0</v>
      </c>
      <c r="AS709">
        <v>0</v>
      </c>
      <c r="AT709">
        <v>3.641</v>
      </c>
      <c r="AX709" t="str">
        <f>"E000372158"</f>
        <v>E000372158</v>
      </c>
      <c r="BD709" t="str">
        <f>"רחמים זרוק"</f>
        <v>רחמים זרוק</v>
      </c>
    </row>
    <row r="710" spans="1:56" x14ac:dyDescent="0.3">
      <c r="A710" s="1">
        <v>45046</v>
      </c>
      <c r="B710" t="str">
        <f>"SI236000585"</f>
        <v>SI236000585</v>
      </c>
      <c r="C710" t="str">
        <f>"PR22000577"</f>
        <v>PR22000577</v>
      </c>
      <c r="E710" t="str">
        <f>"Y"</f>
        <v>Y</v>
      </c>
      <c r="F710" t="str">
        <f>"חשבוניות מרכזות"</f>
        <v>חשבוניות מרכזות</v>
      </c>
      <c r="G710" t="str">
        <f>"700065"</f>
        <v>700065</v>
      </c>
      <c r="H710" t="str">
        <f>"אלתא מערכות בע""מ"</f>
        <v>אלתא מערכות בע"מ</v>
      </c>
      <c r="I710" t="str">
        <f>"15"</f>
        <v>15</v>
      </c>
      <c r="J710" t="str">
        <f>"OP-AR03268"</f>
        <v>OP-AR03268</v>
      </c>
      <c r="K710" t="str">
        <f>"1035C109-001   HARNESS 1W009 - POWER and STATUS FROM FI"</f>
        <v>1035C109-001   HARNESS 1W009 - POWER and STATUS FROM FI</v>
      </c>
      <c r="L710">
        <v>2</v>
      </c>
      <c r="M710" t="str">
        <f>"יח"</f>
        <v>יח</v>
      </c>
      <c r="N710">
        <v>2</v>
      </c>
      <c r="O710" t="str">
        <f>"יח"</f>
        <v>יח</v>
      </c>
      <c r="P710" s="2">
        <v>1240.32</v>
      </c>
      <c r="Q710" t="str">
        <f>"$"</f>
        <v>$</v>
      </c>
      <c r="R710" t="str">
        <f>"הזמנה"</f>
        <v>הזמנה</v>
      </c>
      <c r="S710">
        <v>0</v>
      </c>
      <c r="T710" s="2">
        <v>2480.64</v>
      </c>
      <c r="U710">
        <v>0</v>
      </c>
      <c r="V710" s="2">
        <v>2480.64</v>
      </c>
      <c r="W710" t="str">
        <f>"$"</f>
        <v>$</v>
      </c>
      <c r="X710">
        <v>0</v>
      </c>
      <c r="Y710">
        <v>0</v>
      </c>
      <c r="Z710">
        <v>0</v>
      </c>
      <c r="AA710" t="str">
        <f>"Y"</f>
        <v>Y</v>
      </c>
      <c r="AB710" t="str">
        <f>"SO22000333"</f>
        <v>SO22000333</v>
      </c>
      <c r="AC710">
        <v>2</v>
      </c>
      <c r="AD710" s="1">
        <v>44789</v>
      </c>
      <c r="AE710" t="str">
        <f>"SH23000511"</f>
        <v>SH23000511</v>
      </c>
      <c r="AF710" t="str">
        <f>"משלוחים ללקוח"</f>
        <v>משלוחים ללקוח</v>
      </c>
      <c r="AG710" s="1">
        <v>45041</v>
      </c>
      <c r="AM710" t="str">
        <f>"10"</f>
        <v>10</v>
      </c>
      <c r="AN710" t="str">
        <f>"500000"</f>
        <v>500000</v>
      </c>
      <c r="AO710" t="str">
        <f>"הכנסות  מלקוחות"</f>
        <v>הכנסות  מלקוחות</v>
      </c>
      <c r="AQ710" t="str">
        <f>"040"</f>
        <v>040</v>
      </c>
      <c r="AR710">
        <v>0</v>
      </c>
      <c r="AS710">
        <v>0</v>
      </c>
      <c r="AT710">
        <v>3.641</v>
      </c>
      <c r="AX710" t="str">
        <f>"E000372158"</f>
        <v>E000372158</v>
      </c>
      <c r="BD710" t="str">
        <f>"רחמים זרוק"</f>
        <v>רחמים זרוק</v>
      </c>
    </row>
    <row r="711" spans="1:56" x14ac:dyDescent="0.3">
      <c r="A711" s="1">
        <v>45046</v>
      </c>
      <c r="B711" t="str">
        <f>"SI236000585"</f>
        <v>SI236000585</v>
      </c>
      <c r="C711" t="str">
        <f>"PR22000577"</f>
        <v>PR22000577</v>
      </c>
      <c r="E711" t="str">
        <f>"Y"</f>
        <v>Y</v>
      </c>
      <c r="F711" t="str">
        <f>"חשבוניות מרכזות"</f>
        <v>חשבוניות מרכזות</v>
      </c>
      <c r="G711" t="str">
        <f>"700065"</f>
        <v>700065</v>
      </c>
      <c r="H711" t="str">
        <f>"אלתא מערכות בע""מ"</f>
        <v>אלתא מערכות בע"מ</v>
      </c>
      <c r="I711" t="str">
        <f>"15"</f>
        <v>15</v>
      </c>
      <c r="J711" t="str">
        <f>"OP-AR03270"</f>
        <v>OP-AR03270</v>
      </c>
      <c r="K711" t="str">
        <f>"1035C113-001   HARNESS 1W013 - POWER and STATUS FROM FI"</f>
        <v>1035C113-001   HARNESS 1W013 - POWER and STATUS FROM FI</v>
      </c>
      <c r="L711">
        <v>2</v>
      </c>
      <c r="M711" t="str">
        <f>"יח"</f>
        <v>יח</v>
      </c>
      <c r="N711">
        <v>2</v>
      </c>
      <c r="O711" t="str">
        <f>"יח"</f>
        <v>יח</v>
      </c>
      <c r="P711" s="2">
        <v>1240.32</v>
      </c>
      <c r="Q711" t="str">
        <f>"$"</f>
        <v>$</v>
      </c>
      <c r="R711" t="str">
        <f>"הזמנה"</f>
        <v>הזמנה</v>
      </c>
      <c r="S711">
        <v>0</v>
      </c>
      <c r="T711" s="2">
        <v>2480.64</v>
      </c>
      <c r="U711">
        <v>0</v>
      </c>
      <c r="V711" s="2">
        <v>2480.64</v>
      </c>
      <c r="W711" t="str">
        <f>"$"</f>
        <v>$</v>
      </c>
      <c r="X711">
        <v>0</v>
      </c>
      <c r="Y711">
        <v>0</v>
      </c>
      <c r="Z711">
        <v>0</v>
      </c>
      <c r="AA711" t="str">
        <f>"Y"</f>
        <v>Y</v>
      </c>
      <c r="AB711" t="str">
        <f>"SO22000333"</f>
        <v>SO22000333</v>
      </c>
      <c r="AC711">
        <v>4</v>
      </c>
      <c r="AD711" s="1">
        <v>44789</v>
      </c>
      <c r="AE711" t="str">
        <f>"SH23000511"</f>
        <v>SH23000511</v>
      </c>
      <c r="AF711" t="str">
        <f>"משלוחים ללקוח"</f>
        <v>משלוחים ללקוח</v>
      </c>
      <c r="AG711" s="1">
        <v>45041</v>
      </c>
      <c r="AM711" t="str">
        <f>"10"</f>
        <v>10</v>
      </c>
      <c r="AN711" t="str">
        <f>"500000"</f>
        <v>500000</v>
      </c>
      <c r="AO711" t="str">
        <f>"הכנסות  מלקוחות"</f>
        <v>הכנסות  מלקוחות</v>
      </c>
      <c r="AQ711" t="str">
        <f>"040"</f>
        <v>040</v>
      </c>
      <c r="AR711">
        <v>0</v>
      </c>
      <c r="AS711">
        <v>0</v>
      </c>
      <c r="AT711">
        <v>3.641</v>
      </c>
      <c r="AX711" t="str">
        <f>"E000372158"</f>
        <v>E000372158</v>
      </c>
      <c r="BD711" t="str">
        <f>"רחמים זרוק"</f>
        <v>רחמים זרוק</v>
      </c>
    </row>
    <row r="712" spans="1:56" x14ac:dyDescent="0.3">
      <c r="A712" s="1">
        <v>45046</v>
      </c>
      <c r="B712" t="str">
        <f>"SI236000585"</f>
        <v>SI236000585</v>
      </c>
      <c r="C712" t="str">
        <f>"PR22000577"</f>
        <v>PR22000577</v>
      </c>
      <c r="E712" t="str">
        <f>"Y"</f>
        <v>Y</v>
      </c>
      <c r="F712" t="str">
        <f>"חשבוניות מרכזות"</f>
        <v>חשבוניות מרכזות</v>
      </c>
      <c r="G712" t="str">
        <f>"700065"</f>
        <v>700065</v>
      </c>
      <c r="H712" t="str">
        <f>"אלתא מערכות בע""מ"</f>
        <v>אלתא מערכות בע"מ</v>
      </c>
      <c r="I712" t="str">
        <f>"15"</f>
        <v>15</v>
      </c>
      <c r="J712" t="str">
        <f>"OP-AR03271"</f>
        <v>OP-AR03271</v>
      </c>
      <c r="K712" t="str">
        <f>"1035C108-001   HARNESS 1W008 - POWER and STATUS FROM FI"</f>
        <v>1035C108-001   HARNESS 1W008 - POWER and STATUS FROM FI</v>
      </c>
      <c r="L712">
        <v>2</v>
      </c>
      <c r="M712" t="str">
        <f>"יח"</f>
        <v>יח</v>
      </c>
      <c r="N712">
        <v>2</v>
      </c>
      <c r="O712" t="str">
        <f>"יח"</f>
        <v>יח</v>
      </c>
      <c r="P712" s="2">
        <v>1240.32</v>
      </c>
      <c r="Q712" t="str">
        <f>"$"</f>
        <v>$</v>
      </c>
      <c r="R712" t="str">
        <f>"הזמנה"</f>
        <v>הזמנה</v>
      </c>
      <c r="S712">
        <v>0</v>
      </c>
      <c r="T712" s="2">
        <v>2480.64</v>
      </c>
      <c r="U712">
        <v>0</v>
      </c>
      <c r="V712" s="2">
        <v>2480.64</v>
      </c>
      <c r="W712" t="str">
        <f>"$"</f>
        <v>$</v>
      </c>
      <c r="X712">
        <v>0</v>
      </c>
      <c r="Y712">
        <v>0</v>
      </c>
      <c r="Z712">
        <v>0</v>
      </c>
      <c r="AA712" t="str">
        <f>"Y"</f>
        <v>Y</v>
      </c>
      <c r="AB712" t="str">
        <f>"SO22000333"</f>
        <v>SO22000333</v>
      </c>
      <c r="AC712">
        <v>5</v>
      </c>
      <c r="AD712" s="1">
        <v>44789</v>
      </c>
      <c r="AE712" t="str">
        <f>"SH23000511"</f>
        <v>SH23000511</v>
      </c>
      <c r="AF712" t="str">
        <f>"משלוחים ללקוח"</f>
        <v>משלוחים ללקוח</v>
      </c>
      <c r="AG712" s="1">
        <v>45041</v>
      </c>
      <c r="AM712" t="str">
        <f>"10"</f>
        <v>10</v>
      </c>
      <c r="AN712" t="str">
        <f>"500000"</f>
        <v>500000</v>
      </c>
      <c r="AO712" t="str">
        <f>"הכנסות  מלקוחות"</f>
        <v>הכנסות  מלקוחות</v>
      </c>
      <c r="AQ712" t="str">
        <f>"040"</f>
        <v>040</v>
      </c>
      <c r="AR712">
        <v>0</v>
      </c>
      <c r="AS712">
        <v>0</v>
      </c>
      <c r="AT712">
        <v>3.641</v>
      </c>
      <c r="AX712" t="str">
        <f>"E000372158"</f>
        <v>E000372158</v>
      </c>
      <c r="BD712" t="str">
        <f>"רחמים זרוק"</f>
        <v>רחמים זרוק</v>
      </c>
    </row>
    <row r="713" spans="1:56" x14ac:dyDescent="0.3">
      <c r="A713" s="1">
        <v>45046</v>
      </c>
      <c r="B713" t="str">
        <f>"SI236000585"</f>
        <v>SI236000585</v>
      </c>
      <c r="C713" t="str">
        <f>"PR22000577"</f>
        <v>PR22000577</v>
      </c>
      <c r="E713" t="str">
        <f>"Y"</f>
        <v>Y</v>
      </c>
      <c r="F713" t="str">
        <f>"חשבוניות מרכזות"</f>
        <v>חשבוניות מרכזות</v>
      </c>
      <c r="G713" t="str">
        <f>"700065"</f>
        <v>700065</v>
      </c>
      <c r="H713" t="str">
        <f>"אלתא מערכות בע""מ"</f>
        <v>אלתא מערכות בע"מ</v>
      </c>
      <c r="I713" t="str">
        <f>"15"</f>
        <v>15</v>
      </c>
      <c r="J713" t="str">
        <f>"OP-AR03272"</f>
        <v>OP-AR03272</v>
      </c>
      <c r="K713" t="str">
        <f>"1035C112-001   HARNESS 1W012 - POWER and STATUS FROM FI"</f>
        <v>1035C112-001   HARNESS 1W012 - POWER and STATUS FROM FI</v>
      </c>
      <c r="L713">
        <v>2</v>
      </c>
      <c r="M713" t="str">
        <f>"יח"</f>
        <v>יח</v>
      </c>
      <c r="N713">
        <v>2</v>
      </c>
      <c r="O713" t="str">
        <f>"יח"</f>
        <v>יח</v>
      </c>
      <c r="P713" s="2">
        <v>1240.32</v>
      </c>
      <c r="Q713" t="str">
        <f>"$"</f>
        <v>$</v>
      </c>
      <c r="R713" t="str">
        <f>"הזמנה"</f>
        <v>הזמנה</v>
      </c>
      <c r="S713">
        <v>0</v>
      </c>
      <c r="T713" s="2">
        <v>2480.64</v>
      </c>
      <c r="U713">
        <v>0</v>
      </c>
      <c r="V713" s="2">
        <v>2480.64</v>
      </c>
      <c r="W713" t="str">
        <f>"$"</f>
        <v>$</v>
      </c>
      <c r="X713">
        <v>0</v>
      </c>
      <c r="Y713">
        <v>0</v>
      </c>
      <c r="Z713">
        <v>0</v>
      </c>
      <c r="AA713" t="str">
        <f>"Y"</f>
        <v>Y</v>
      </c>
      <c r="AB713" t="str">
        <f>"SO22000333"</f>
        <v>SO22000333</v>
      </c>
      <c r="AC713">
        <v>6</v>
      </c>
      <c r="AD713" s="1">
        <v>44789</v>
      </c>
      <c r="AE713" t="str">
        <f>"SH23000511"</f>
        <v>SH23000511</v>
      </c>
      <c r="AF713" t="str">
        <f>"משלוחים ללקוח"</f>
        <v>משלוחים ללקוח</v>
      </c>
      <c r="AG713" s="1">
        <v>45041</v>
      </c>
      <c r="AM713" t="str">
        <f>"10"</f>
        <v>10</v>
      </c>
      <c r="AN713" t="str">
        <f>"500000"</f>
        <v>500000</v>
      </c>
      <c r="AO713" t="str">
        <f>"הכנסות  מלקוחות"</f>
        <v>הכנסות  מלקוחות</v>
      </c>
      <c r="AQ713" t="str">
        <f>"040"</f>
        <v>040</v>
      </c>
      <c r="AR713">
        <v>0</v>
      </c>
      <c r="AS713">
        <v>0</v>
      </c>
      <c r="AT713">
        <v>3.641</v>
      </c>
      <c r="AX713" t="str">
        <f>"E000372158"</f>
        <v>E000372158</v>
      </c>
      <c r="BD713" t="str">
        <f>"רחמים זרוק"</f>
        <v>רחמים זרוק</v>
      </c>
    </row>
    <row r="714" spans="1:56" x14ac:dyDescent="0.3">
      <c r="A714" s="1">
        <v>45046</v>
      </c>
      <c r="B714" t="str">
        <f>"SI236000585"</f>
        <v>SI236000585</v>
      </c>
      <c r="C714" t="str">
        <f>"PR22000577"</f>
        <v>PR22000577</v>
      </c>
      <c r="E714" t="str">
        <f>"Y"</f>
        <v>Y</v>
      </c>
      <c r="F714" t="str">
        <f>"חשבוניות מרכזות"</f>
        <v>חשבוניות מרכזות</v>
      </c>
      <c r="G714" t="str">
        <f>"700065"</f>
        <v>700065</v>
      </c>
      <c r="H714" t="str">
        <f>"אלתא מערכות בע""מ"</f>
        <v>אלתא מערכות בע"מ</v>
      </c>
      <c r="I714" t="str">
        <f>"15"</f>
        <v>15</v>
      </c>
      <c r="J714" t="str">
        <f>"OP-AR03273"</f>
        <v>OP-AR03273</v>
      </c>
      <c r="K714" t="str">
        <f>"1035C110-001   HARNESS 1W010 - POWER and STATUS FROM FI"</f>
        <v>1035C110-001   HARNESS 1W010 - POWER and STATUS FROM FI</v>
      </c>
      <c r="L714">
        <v>1</v>
      </c>
      <c r="M714" t="str">
        <f>"יח"</f>
        <v>יח</v>
      </c>
      <c r="N714">
        <v>1</v>
      </c>
      <c r="O714" t="str">
        <f>"יח"</f>
        <v>יח</v>
      </c>
      <c r="P714" s="2">
        <v>1240.32</v>
      </c>
      <c r="Q714" t="str">
        <f>"$"</f>
        <v>$</v>
      </c>
      <c r="R714" t="str">
        <f>"הזמנה"</f>
        <v>הזמנה</v>
      </c>
      <c r="S714">
        <v>0</v>
      </c>
      <c r="T714" s="2">
        <v>1240.32</v>
      </c>
      <c r="U714">
        <v>0</v>
      </c>
      <c r="V714" s="2">
        <v>1240.32</v>
      </c>
      <c r="W714" t="str">
        <f>"$"</f>
        <v>$</v>
      </c>
      <c r="X714">
        <v>0</v>
      </c>
      <c r="Y714">
        <v>0</v>
      </c>
      <c r="Z714">
        <v>0</v>
      </c>
      <c r="AA714" t="str">
        <f>"Y"</f>
        <v>Y</v>
      </c>
      <c r="AB714" t="str">
        <f>"SO22000333"</f>
        <v>SO22000333</v>
      </c>
      <c r="AC714">
        <v>7</v>
      </c>
      <c r="AD714" s="1">
        <v>44789</v>
      </c>
      <c r="AE714" t="str">
        <f>"SH23000511"</f>
        <v>SH23000511</v>
      </c>
      <c r="AF714" t="str">
        <f>"משלוחים ללקוח"</f>
        <v>משלוחים ללקוח</v>
      </c>
      <c r="AG714" s="1">
        <v>45041</v>
      </c>
      <c r="AM714" t="str">
        <f>"10"</f>
        <v>10</v>
      </c>
      <c r="AN714" t="str">
        <f>"500000"</f>
        <v>500000</v>
      </c>
      <c r="AO714" t="str">
        <f>"הכנסות  מלקוחות"</f>
        <v>הכנסות  מלקוחות</v>
      </c>
      <c r="AQ714" t="str">
        <f>"040"</f>
        <v>040</v>
      </c>
      <c r="AR714">
        <v>0</v>
      </c>
      <c r="AS714">
        <v>0</v>
      </c>
      <c r="AT714">
        <v>3.641</v>
      </c>
      <c r="AX714" t="str">
        <f>"E000372158"</f>
        <v>E000372158</v>
      </c>
      <c r="BD714" t="str">
        <f>"רחמים זרוק"</f>
        <v>רחמים זרוק</v>
      </c>
    </row>
    <row r="715" spans="1:56" x14ac:dyDescent="0.3">
      <c r="A715" s="1">
        <v>45046</v>
      </c>
      <c r="B715" t="str">
        <f>"SI236000585"</f>
        <v>SI236000585</v>
      </c>
      <c r="C715" t="str">
        <f>"PR22000577"</f>
        <v>PR22000577</v>
      </c>
      <c r="E715" t="str">
        <f>"Y"</f>
        <v>Y</v>
      </c>
      <c r="F715" t="str">
        <f>"חשבוניות מרכזות"</f>
        <v>חשבוניות מרכזות</v>
      </c>
      <c r="G715" t="str">
        <f>"700065"</f>
        <v>700065</v>
      </c>
      <c r="H715" t="str">
        <f>"אלתא מערכות בע""מ"</f>
        <v>אלתא מערכות בע"מ</v>
      </c>
      <c r="I715" t="str">
        <f>"15"</f>
        <v>15</v>
      </c>
      <c r="J715" t="str">
        <f>"OP-AR03274"</f>
        <v>OP-AR03274</v>
      </c>
      <c r="K715" t="str">
        <f>"1035C114-001   HARNESS 1W014 - POWER and STATUS FROM FI"</f>
        <v>1035C114-001   HARNESS 1W014 - POWER and STATUS FROM FI</v>
      </c>
      <c r="L715">
        <v>1</v>
      </c>
      <c r="M715" t="str">
        <f>"יח"</f>
        <v>יח</v>
      </c>
      <c r="N715">
        <v>1</v>
      </c>
      <c r="O715" t="str">
        <f>"יח"</f>
        <v>יח</v>
      </c>
      <c r="P715" s="2">
        <v>1240.32</v>
      </c>
      <c r="Q715" t="str">
        <f>"$"</f>
        <v>$</v>
      </c>
      <c r="R715" t="str">
        <f>"הזמנה"</f>
        <v>הזמנה</v>
      </c>
      <c r="S715">
        <v>0</v>
      </c>
      <c r="T715" s="2">
        <v>1240.32</v>
      </c>
      <c r="U715">
        <v>0</v>
      </c>
      <c r="V715" s="2">
        <v>1240.32</v>
      </c>
      <c r="W715" t="str">
        <f>"$"</f>
        <v>$</v>
      </c>
      <c r="X715">
        <v>0</v>
      </c>
      <c r="Y715">
        <v>0</v>
      </c>
      <c r="Z715">
        <v>0</v>
      </c>
      <c r="AA715" t="str">
        <f>"Y"</f>
        <v>Y</v>
      </c>
      <c r="AB715" t="str">
        <f>"SO22000333"</f>
        <v>SO22000333</v>
      </c>
      <c r="AC715">
        <v>8</v>
      </c>
      <c r="AD715" s="1">
        <v>44789</v>
      </c>
      <c r="AE715" t="str">
        <f>"SH23000511"</f>
        <v>SH23000511</v>
      </c>
      <c r="AF715" t="str">
        <f>"משלוחים ללקוח"</f>
        <v>משלוחים ללקוח</v>
      </c>
      <c r="AG715" s="1">
        <v>45041</v>
      </c>
      <c r="AM715" t="str">
        <f>"10"</f>
        <v>10</v>
      </c>
      <c r="AN715" t="str">
        <f>"500000"</f>
        <v>500000</v>
      </c>
      <c r="AO715" t="str">
        <f>"הכנסות  מלקוחות"</f>
        <v>הכנסות  מלקוחות</v>
      </c>
      <c r="AQ715" t="str">
        <f>"040"</f>
        <v>040</v>
      </c>
      <c r="AR715">
        <v>0</v>
      </c>
      <c r="AS715">
        <v>0</v>
      </c>
      <c r="AT715">
        <v>3.641</v>
      </c>
      <c r="AX715" t="str">
        <f>"E000372158"</f>
        <v>E000372158</v>
      </c>
      <c r="BD715" t="str">
        <f>"רחמים זרוק"</f>
        <v>רחמים זרוק</v>
      </c>
    </row>
    <row r="716" spans="1:56" x14ac:dyDescent="0.3">
      <c r="A716" s="1">
        <v>45046</v>
      </c>
      <c r="B716" t="str">
        <f>"SI236000584"</f>
        <v>SI236000584</v>
      </c>
      <c r="C716" t="str">
        <f>"PR20000834"</f>
        <v>PR20000834</v>
      </c>
      <c r="D716" t="str">
        <f>"PR20000834"</f>
        <v>PR20000834</v>
      </c>
      <c r="E716" t="str">
        <f>"Y"</f>
        <v>Y</v>
      </c>
      <c r="F716" t="str">
        <f>"חשבוניות מרכזות"</f>
        <v>חשבוניות מרכזות</v>
      </c>
      <c r="G716" t="str">
        <f>"700065"</f>
        <v>700065</v>
      </c>
      <c r="H716" t="str">
        <f>"אלתא מערכות בע""מ"</f>
        <v>אלתא מערכות בע"מ</v>
      </c>
      <c r="I716" t="str">
        <f>"10"</f>
        <v>10</v>
      </c>
      <c r="J716" t="str">
        <f>"OP-AR02102"</f>
        <v>OP-AR02102</v>
      </c>
      <c r="K716" t="str">
        <f>"1032F920-001/-   ETHERNET CABLE MFR-W920 - FILTE"</f>
        <v>1032F920-001/-   ETHERNET CABLE MFR-W920 - FILTE</v>
      </c>
      <c r="L716">
        <v>4</v>
      </c>
      <c r="M716" t="str">
        <f>"יח"</f>
        <v>יח</v>
      </c>
      <c r="N716">
        <v>4</v>
      </c>
      <c r="O716" t="str">
        <f>"יח"</f>
        <v>יח</v>
      </c>
      <c r="P716">
        <v>174</v>
      </c>
      <c r="Q716" t="str">
        <f>"$"</f>
        <v>$</v>
      </c>
      <c r="R716" t="str">
        <f>"הזמנה"</f>
        <v>הזמנה</v>
      </c>
      <c r="S716">
        <v>0</v>
      </c>
      <c r="T716">
        <v>696</v>
      </c>
      <c r="U716">
        <v>0</v>
      </c>
      <c r="V716">
        <v>696</v>
      </c>
      <c r="W716" t="str">
        <f>"$"</f>
        <v>$</v>
      </c>
      <c r="X716">
        <v>0</v>
      </c>
      <c r="Y716">
        <v>0</v>
      </c>
      <c r="Z716">
        <v>0</v>
      </c>
      <c r="AA716" t="str">
        <f>"Y"</f>
        <v>Y</v>
      </c>
      <c r="AB716" t="str">
        <f>"SO20000532"</f>
        <v>SO20000532</v>
      </c>
      <c r="AC716">
        <v>5</v>
      </c>
      <c r="AD716" s="1">
        <v>44155</v>
      </c>
      <c r="AE716" t="str">
        <f>"SH23000510"</f>
        <v>SH23000510</v>
      </c>
      <c r="AF716" t="str">
        <f>"משלוחים ללקוח"</f>
        <v>משלוחים ללקוח</v>
      </c>
      <c r="AG716" s="1">
        <v>45041</v>
      </c>
      <c r="AM716" t="str">
        <f>"10"</f>
        <v>10</v>
      </c>
      <c r="AN716" t="str">
        <f>"500000"</f>
        <v>500000</v>
      </c>
      <c r="AO716" t="str">
        <f>"הכנסות  מלקוחות"</f>
        <v>הכנסות  מלקוחות</v>
      </c>
      <c r="AQ716" t="str">
        <f>"034"</f>
        <v>034</v>
      </c>
      <c r="AR716">
        <v>0</v>
      </c>
      <c r="AS716">
        <v>0</v>
      </c>
      <c r="AT716">
        <v>3.641</v>
      </c>
      <c r="AX716" t="str">
        <f>"E000321177"</f>
        <v>E000321177</v>
      </c>
      <c r="BD716" t="str">
        <f>"ערן שלו"</f>
        <v>ערן שלו</v>
      </c>
    </row>
    <row r="717" spans="1:56" x14ac:dyDescent="0.3">
      <c r="A717" s="1">
        <v>45046</v>
      </c>
      <c r="B717" t="str">
        <f>"SI236000584"</f>
        <v>SI236000584</v>
      </c>
      <c r="C717" t="str">
        <f>"PR20000834"</f>
        <v>PR20000834</v>
      </c>
      <c r="D717" t="str">
        <f>"PR20000834"</f>
        <v>PR20000834</v>
      </c>
      <c r="E717" t="str">
        <f>"Y"</f>
        <v>Y</v>
      </c>
      <c r="F717" t="str">
        <f>"חשבוניות מרכזות"</f>
        <v>חשבוניות מרכזות</v>
      </c>
      <c r="G717" t="str">
        <f>"700065"</f>
        <v>700065</v>
      </c>
      <c r="H717" t="str">
        <f>"אלתא מערכות בע""מ"</f>
        <v>אלתא מערכות בע"מ</v>
      </c>
      <c r="I717" t="str">
        <f>"10"</f>
        <v>10</v>
      </c>
      <c r="J717" t="str">
        <f>"OP-AR02112"</f>
        <v>OP-AR02112</v>
      </c>
      <c r="K717" t="str">
        <f>"1032F929-001/-   ETHERNET CABLE MFR-W929 - FILTE"</f>
        <v>1032F929-001/-   ETHERNET CABLE MFR-W929 - FILTE</v>
      </c>
      <c r="L717">
        <v>4</v>
      </c>
      <c r="M717" t="str">
        <f>"יח"</f>
        <v>יח</v>
      </c>
      <c r="N717">
        <v>4</v>
      </c>
      <c r="O717" t="str">
        <f>"יח"</f>
        <v>יח</v>
      </c>
      <c r="P717">
        <v>176.77</v>
      </c>
      <c r="Q717" t="str">
        <f>"$"</f>
        <v>$</v>
      </c>
      <c r="R717" t="str">
        <f>"הזמנה"</f>
        <v>הזמנה</v>
      </c>
      <c r="S717">
        <v>0</v>
      </c>
      <c r="T717">
        <v>707.08</v>
      </c>
      <c r="U717">
        <v>0</v>
      </c>
      <c r="V717">
        <v>707.08</v>
      </c>
      <c r="W717" t="str">
        <f>"$"</f>
        <v>$</v>
      </c>
      <c r="X717">
        <v>0</v>
      </c>
      <c r="Y717">
        <v>0</v>
      </c>
      <c r="Z717">
        <v>0</v>
      </c>
      <c r="AA717" t="str">
        <f>"Y"</f>
        <v>Y</v>
      </c>
      <c r="AB717" t="str">
        <f>"SO20000532"</f>
        <v>SO20000532</v>
      </c>
      <c r="AC717">
        <v>57</v>
      </c>
      <c r="AD717" s="1">
        <v>44155</v>
      </c>
      <c r="AE717" t="str">
        <f>"SH23000510"</f>
        <v>SH23000510</v>
      </c>
      <c r="AF717" t="str">
        <f>"משלוחים ללקוח"</f>
        <v>משלוחים ללקוח</v>
      </c>
      <c r="AG717" s="1">
        <v>45041</v>
      </c>
      <c r="AM717" t="str">
        <f>"10"</f>
        <v>10</v>
      </c>
      <c r="AN717" t="str">
        <f>"500000"</f>
        <v>500000</v>
      </c>
      <c r="AO717" t="str">
        <f>"הכנסות  מלקוחות"</f>
        <v>הכנסות  מלקוחות</v>
      </c>
      <c r="AQ717" t="str">
        <f>"034"</f>
        <v>034</v>
      </c>
      <c r="AR717">
        <v>0</v>
      </c>
      <c r="AS717">
        <v>0</v>
      </c>
      <c r="AT717">
        <v>3.641</v>
      </c>
      <c r="AX717" t="str">
        <f>"E000321177"</f>
        <v>E000321177</v>
      </c>
      <c r="BD717" t="str">
        <f>"ערן שלו"</f>
        <v>ערן שלו</v>
      </c>
    </row>
    <row r="718" spans="1:56" x14ac:dyDescent="0.3">
      <c r="A718" s="1">
        <v>45046</v>
      </c>
      <c r="B718" t="str">
        <f>"SI236000584"</f>
        <v>SI236000584</v>
      </c>
      <c r="C718" t="str">
        <f>"PR20000834"</f>
        <v>PR20000834</v>
      </c>
      <c r="D718" t="str">
        <f>"PR20000834"</f>
        <v>PR20000834</v>
      </c>
      <c r="E718" t="str">
        <f>"Y"</f>
        <v>Y</v>
      </c>
      <c r="F718" t="str">
        <f>"חשבוניות מרכזות"</f>
        <v>חשבוניות מרכזות</v>
      </c>
      <c r="G718" t="str">
        <f>"700065"</f>
        <v>700065</v>
      </c>
      <c r="H718" t="str">
        <f>"אלתא מערכות בע""מ"</f>
        <v>אלתא מערכות בע"מ</v>
      </c>
      <c r="I718" t="str">
        <f>"10"</f>
        <v>10</v>
      </c>
      <c r="J718" t="str">
        <f>"OP-AR02112"</f>
        <v>OP-AR02112</v>
      </c>
      <c r="K718" t="str">
        <f>"1032F929-001/-   ETHERNET CABLE MFR-W929 - FILTE"</f>
        <v>1032F929-001/-   ETHERNET CABLE MFR-W929 - FILTE</v>
      </c>
      <c r="L718">
        <v>4</v>
      </c>
      <c r="M718" t="str">
        <f>"יח"</f>
        <v>יח</v>
      </c>
      <c r="N718">
        <v>4</v>
      </c>
      <c r="O718" t="str">
        <f>"יח"</f>
        <v>יח</v>
      </c>
      <c r="P718">
        <v>176.77</v>
      </c>
      <c r="Q718" t="str">
        <f>"$"</f>
        <v>$</v>
      </c>
      <c r="R718" t="str">
        <f>"הזמנה"</f>
        <v>הזמנה</v>
      </c>
      <c r="S718">
        <v>0</v>
      </c>
      <c r="T718">
        <v>707.08</v>
      </c>
      <c r="U718">
        <v>0</v>
      </c>
      <c r="V718">
        <v>707.08</v>
      </c>
      <c r="W718" t="str">
        <f>"$"</f>
        <v>$</v>
      </c>
      <c r="X718">
        <v>0</v>
      </c>
      <c r="Y718">
        <v>0</v>
      </c>
      <c r="Z718">
        <v>0</v>
      </c>
      <c r="AA718" t="str">
        <f>"Y"</f>
        <v>Y</v>
      </c>
      <c r="AB718" t="str">
        <f>"SO20000532"</f>
        <v>SO20000532</v>
      </c>
      <c r="AC718">
        <v>58</v>
      </c>
      <c r="AD718" s="1">
        <v>44155</v>
      </c>
      <c r="AE718" t="str">
        <f>"SH23000510"</f>
        <v>SH23000510</v>
      </c>
      <c r="AF718" t="str">
        <f>"משלוחים ללקוח"</f>
        <v>משלוחים ללקוח</v>
      </c>
      <c r="AG718" s="1">
        <v>45041</v>
      </c>
      <c r="AM718" t="str">
        <f>"10"</f>
        <v>10</v>
      </c>
      <c r="AN718" t="str">
        <f>"500000"</f>
        <v>500000</v>
      </c>
      <c r="AO718" t="str">
        <f>"הכנסות  מלקוחות"</f>
        <v>הכנסות  מלקוחות</v>
      </c>
      <c r="AQ718" t="str">
        <f>"034"</f>
        <v>034</v>
      </c>
      <c r="AR718">
        <v>0</v>
      </c>
      <c r="AS718">
        <v>0</v>
      </c>
      <c r="AT718">
        <v>3.641</v>
      </c>
      <c r="AX718" t="str">
        <f>"E000321177"</f>
        <v>E000321177</v>
      </c>
      <c r="BD718" t="str">
        <f>"ערן שלו"</f>
        <v>ערן שלו</v>
      </c>
    </row>
    <row r="719" spans="1:56" x14ac:dyDescent="0.3">
      <c r="A719" s="1">
        <v>45046</v>
      </c>
      <c r="B719" t="str">
        <f>"SI236000584"</f>
        <v>SI236000584</v>
      </c>
      <c r="C719" t="str">
        <f>"PR20000834"</f>
        <v>PR20000834</v>
      </c>
      <c r="D719" t="str">
        <f>"PR20000834"</f>
        <v>PR20000834</v>
      </c>
      <c r="E719" t="str">
        <f>"Y"</f>
        <v>Y</v>
      </c>
      <c r="F719" t="str">
        <f>"חשבוניות מרכזות"</f>
        <v>חשבוניות מרכזות</v>
      </c>
      <c r="G719" t="str">
        <f>"700065"</f>
        <v>700065</v>
      </c>
      <c r="H719" t="str">
        <f>"אלתא מערכות בע""מ"</f>
        <v>אלתא מערכות בע"מ</v>
      </c>
      <c r="I719" t="str">
        <f>"10"</f>
        <v>10</v>
      </c>
      <c r="J719" t="str">
        <f>"OP-AR02114"</f>
        <v>OP-AR02114</v>
      </c>
      <c r="K719" t="str">
        <f>"1032F931-001/-   ETHERNET CABLE MFR-W931 - FILTE"</f>
        <v>1032F931-001/-   ETHERNET CABLE MFR-W931 - FILTE</v>
      </c>
      <c r="L719">
        <v>4</v>
      </c>
      <c r="M719" t="str">
        <f>"יח"</f>
        <v>יח</v>
      </c>
      <c r="N719">
        <v>4</v>
      </c>
      <c r="O719" t="str">
        <f>"יח"</f>
        <v>יח</v>
      </c>
      <c r="P719">
        <v>176.77</v>
      </c>
      <c r="Q719" t="str">
        <f>"$"</f>
        <v>$</v>
      </c>
      <c r="R719" t="str">
        <f>"הזמנה"</f>
        <v>הזמנה</v>
      </c>
      <c r="S719">
        <v>0</v>
      </c>
      <c r="T719">
        <v>707.08</v>
      </c>
      <c r="U719">
        <v>0</v>
      </c>
      <c r="V719">
        <v>707.08</v>
      </c>
      <c r="W719" t="str">
        <f>"$"</f>
        <v>$</v>
      </c>
      <c r="X719">
        <v>0</v>
      </c>
      <c r="Y719">
        <v>0</v>
      </c>
      <c r="Z719">
        <v>0</v>
      </c>
      <c r="AA719" t="str">
        <f>"Y"</f>
        <v>Y</v>
      </c>
      <c r="AB719" t="str">
        <f>"SO20000532"</f>
        <v>SO20000532</v>
      </c>
      <c r="AC719">
        <v>69</v>
      </c>
      <c r="AD719" s="1">
        <v>44155</v>
      </c>
      <c r="AE719" t="str">
        <f>"SH23000510"</f>
        <v>SH23000510</v>
      </c>
      <c r="AF719" t="str">
        <f>"משלוחים ללקוח"</f>
        <v>משלוחים ללקוח</v>
      </c>
      <c r="AG719" s="1">
        <v>45041</v>
      </c>
      <c r="AM719" t="str">
        <f>"10"</f>
        <v>10</v>
      </c>
      <c r="AN719" t="str">
        <f>"500000"</f>
        <v>500000</v>
      </c>
      <c r="AO719" t="str">
        <f>"הכנסות  מלקוחות"</f>
        <v>הכנסות  מלקוחות</v>
      </c>
      <c r="AQ719" t="str">
        <f>"034"</f>
        <v>034</v>
      </c>
      <c r="AR719">
        <v>0</v>
      </c>
      <c r="AS719">
        <v>0</v>
      </c>
      <c r="AT719">
        <v>3.641</v>
      </c>
      <c r="AX719" t="str">
        <f>"E000321177"</f>
        <v>E000321177</v>
      </c>
      <c r="BD719" t="str">
        <f>"ערן שלו"</f>
        <v>ערן שלו</v>
      </c>
    </row>
    <row r="720" spans="1:56" x14ac:dyDescent="0.3">
      <c r="A720" s="1">
        <v>45046</v>
      </c>
      <c r="B720" t="str">
        <f>"SI236000584"</f>
        <v>SI236000584</v>
      </c>
      <c r="C720" t="str">
        <f>"PR20000834"</f>
        <v>PR20000834</v>
      </c>
      <c r="D720" t="str">
        <f>"PR20000834"</f>
        <v>PR20000834</v>
      </c>
      <c r="E720" t="str">
        <f>"Y"</f>
        <v>Y</v>
      </c>
      <c r="F720" t="str">
        <f>"חשבוניות מרכזות"</f>
        <v>חשבוניות מרכזות</v>
      </c>
      <c r="G720" t="str">
        <f>"700065"</f>
        <v>700065</v>
      </c>
      <c r="H720" t="str">
        <f>"אלתא מערכות בע""מ"</f>
        <v>אלתא מערכות בע"מ</v>
      </c>
      <c r="I720" t="str">
        <f>"10"</f>
        <v>10</v>
      </c>
      <c r="J720" t="str">
        <f>"OP-AR02114"</f>
        <v>OP-AR02114</v>
      </c>
      <c r="K720" t="str">
        <f>"1032F931-001/-   ETHERNET CABLE MFR-W931 - FILTE"</f>
        <v>1032F931-001/-   ETHERNET CABLE MFR-W931 - FILTE</v>
      </c>
      <c r="L720">
        <v>4</v>
      </c>
      <c r="M720" t="str">
        <f>"יח"</f>
        <v>יח</v>
      </c>
      <c r="N720">
        <v>4</v>
      </c>
      <c r="O720" t="str">
        <f>"יח"</f>
        <v>יח</v>
      </c>
      <c r="P720">
        <v>176.77</v>
      </c>
      <c r="Q720" t="str">
        <f>"$"</f>
        <v>$</v>
      </c>
      <c r="R720" t="str">
        <f>"הזמנה"</f>
        <v>הזמנה</v>
      </c>
      <c r="S720">
        <v>0</v>
      </c>
      <c r="T720">
        <v>707.08</v>
      </c>
      <c r="U720">
        <v>0</v>
      </c>
      <c r="V720">
        <v>707.08</v>
      </c>
      <c r="W720" t="str">
        <f>"$"</f>
        <v>$</v>
      </c>
      <c r="X720">
        <v>0</v>
      </c>
      <c r="Y720">
        <v>0</v>
      </c>
      <c r="Z720">
        <v>0</v>
      </c>
      <c r="AA720" t="str">
        <f>"Y"</f>
        <v>Y</v>
      </c>
      <c r="AB720" t="str">
        <f>"SO20000532"</f>
        <v>SO20000532</v>
      </c>
      <c r="AC720">
        <v>70</v>
      </c>
      <c r="AD720" s="1">
        <v>44155</v>
      </c>
      <c r="AE720" t="str">
        <f>"SH23000510"</f>
        <v>SH23000510</v>
      </c>
      <c r="AF720" t="str">
        <f>"משלוחים ללקוח"</f>
        <v>משלוחים ללקוח</v>
      </c>
      <c r="AG720" s="1">
        <v>45041</v>
      </c>
      <c r="AM720" t="str">
        <f>"10"</f>
        <v>10</v>
      </c>
      <c r="AN720" t="str">
        <f>"500000"</f>
        <v>500000</v>
      </c>
      <c r="AO720" t="str">
        <f>"הכנסות  מלקוחות"</f>
        <v>הכנסות  מלקוחות</v>
      </c>
      <c r="AQ720" t="str">
        <f>"034"</f>
        <v>034</v>
      </c>
      <c r="AR720">
        <v>0</v>
      </c>
      <c r="AS720">
        <v>0</v>
      </c>
      <c r="AT720">
        <v>3.641</v>
      </c>
      <c r="AX720" t="str">
        <f>"E000321177"</f>
        <v>E000321177</v>
      </c>
      <c r="BD720" t="str">
        <f>"ערן שלו"</f>
        <v>ערן שלו</v>
      </c>
    </row>
    <row r="721" spans="1:56" x14ac:dyDescent="0.3">
      <c r="A721" s="1">
        <v>45046</v>
      </c>
      <c r="B721" t="str">
        <f>"SI236000584"</f>
        <v>SI236000584</v>
      </c>
      <c r="C721" t="str">
        <f>"PR20000834"</f>
        <v>PR20000834</v>
      </c>
      <c r="D721" t="str">
        <f>"PR20000834"</f>
        <v>PR20000834</v>
      </c>
      <c r="E721" t="str">
        <f>"Y"</f>
        <v>Y</v>
      </c>
      <c r="F721" t="str">
        <f>"חשבוניות מרכזות"</f>
        <v>חשבוניות מרכזות</v>
      </c>
      <c r="G721" t="str">
        <f>"700065"</f>
        <v>700065</v>
      </c>
      <c r="H721" t="str">
        <f>"אלתא מערכות בע""מ"</f>
        <v>אלתא מערכות בע"מ</v>
      </c>
      <c r="I721" t="str">
        <f>"10"</f>
        <v>10</v>
      </c>
      <c r="J721" t="str">
        <f>"OP-AR02115"</f>
        <v>OP-AR02115</v>
      </c>
      <c r="K721" t="str">
        <f>"1032F932-001/-   ETHERNET CABLE MFR-W932 - FILTE"</f>
        <v>1032F932-001/-   ETHERNET CABLE MFR-W932 - FILTE</v>
      </c>
      <c r="L721">
        <v>4</v>
      </c>
      <c r="M721" t="str">
        <f>"יח"</f>
        <v>יח</v>
      </c>
      <c r="N721">
        <v>4</v>
      </c>
      <c r="O721" t="str">
        <f>"יח"</f>
        <v>יח</v>
      </c>
      <c r="P721">
        <v>176.77</v>
      </c>
      <c r="Q721" t="str">
        <f>"$"</f>
        <v>$</v>
      </c>
      <c r="R721" t="str">
        <f>"הזמנה"</f>
        <v>הזמנה</v>
      </c>
      <c r="S721">
        <v>0</v>
      </c>
      <c r="T721">
        <v>707.08</v>
      </c>
      <c r="U721">
        <v>0</v>
      </c>
      <c r="V721">
        <v>707.08</v>
      </c>
      <c r="W721" t="str">
        <f>"$"</f>
        <v>$</v>
      </c>
      <c r="X721">
        <v>0</v>
      </c>
      <c r="Y721">
        <v>0</v>
      </c>
      <c r="Z721">
        <v>0</v>
      </c>
      <c r="AA721" t="str">
        <f>"Y"</f>
        <v>Y</v>
      </c>
      <c r="AB721" t="str">
        <f>"SO20000532"</f>
        <v>SO20000532</v>
      </c>
      <c r="AC721">
        <v>75</v>
      </c>
      <c r="AD721" s="1">
        <v>44155</v>
      </c>
      <c r="AE721" t="str">
        <f>"SH23000510"</f>
        <v>SH23000510</v>
      </c>
      <c r="AF721" t="str">
        <f>"משלוחים ללקוח"</f>
        <v>משלוחים ללקוח</v>
      </c>
      <c r="AG721" s="1">
        <v>45041</v>
      </c>
      <c r="AM721" t="str">
        <f>"10"</f>
        <v>10</v>
      </c>
      <c r="AN721" t="str">
        <f>"500000"</f>
        <v>500000</v>
      </c>
      <c r="AO721" t="str">
        <f>"הכנסות  מלקוחות"</f>
        <v>הכנסות  מלקוחות</v>
      </c>
      <c r="AQ721" t="str">
        <f>"034"</f>
        <v>034</v>
      </c>
      <c r="AR721">
        <v>0</v>
      </c>
      <c r="AS721">
        <v>0</v>
      </c>
      <c r="AT721">
        <v>3.641</v>
      </c>
      <c r="AX721" t="str">
        <f>"E000321177"</f>
        <v>E000321177</v>
      </c>
      <c r="BD721" t="str">
        <f>"ערן שלו"</f>
        <v>ערן שלו</v>
      </c>
    </row>
    <row r="722" spans="1:56" x14ac:dyDescent="0.3">
      <c r="A722" s="1">
        <v>45046</v>
      </c>
      <c r="B722" t="str">
        <f>"SI236000584"</f>
        <v>SI236000584</v>
      </c>
      <c r="C722" t="str">
        <f>"PR20000834"</f>
        <v>PR20000834</v>
      </c>
      <c r="D722" t="str">
        <f>"PR20000834"</f>
        <v>PR20000834</v>
      </c>
      <c r="E722" t="str">
        <f>"Y"</f>
        <v>Y</v>
      </c>
      <c r="F722" t="str">
        <f>"חשבוניות מרכזות"</f>
        <v>חשבוניות מרכזות</v>
      </c>
      <c r="G722" t="str">
        <f>"700065"</f>
        <v>700065</v>
      </c>
      <c r="H722" t="str">
        <f>"אלתא מערכות בע""מ"</f>
        <v>אלתא מערכות בע"מ</v>
      </c>
      <c r="I722" t="str">
        <f>"10"</f>
        <v>10</v>
      </c>
      <c r="J722" t="str">
        <f>"OP-AR02115"</f>
        <v>OP-AR02115</v>
      </c>
      <c r="K722" t="str">
        <f>"1032F932-001/-   ETHERNET CABLE MFR-W932 - FILTE"</f>
        <v>1032F932-001/-   ETHERNET CABLE MFR-W932 - FILTE</v>
      </c>
      <c r="L722">
        <v>4</v>
      </c>
      <c r="M722" t="str">
        <f>"יח"</f>
        <v>יח</v>
      </c>
      <c r="N722">
        <v>4</v>
      </c>
      <c r="O722" t="str">
        <f>"יח"</f>
        <v>יח</v>
      </c>
      <c r="P722">
        <v>176.77</v>
      </c>
      <c r="Q722" t="str">
        <f>"$"</f>
        <v>$</v>
      </c>
      <c r="R722" t="str">
        <f>"הזמנה"</f>
        <v>הזמנה</v>
      </c>
      <c r="S722">
        <v>0</v>
      </c>
      <c r="T722">
        <v>707.08</v>
      </c>
      <c r="U722">
        <v>0</v>
      </c>
      <c r="V722">
        <v>707.08</v>
      </c>
      <c r="W722" t="str">
        <f>"$"</f>
        <v>$</v>
      </c>
      <c r="X722">
        <v>0</v>
      </c>
      <c r="Y722">
        <v>0</v>
      </c>
      <c r="Z722">
        <v>0</v>
      </c>
      <c r="AA722" t="str">
        <f>"Y"</f>
        <v>Y</v>
      </c>
      <c r="AB722" t="str">
        <f>"SO20000532"</f>
        <v>SO20000532</v>
      </c>
      <c r="AC722">
        <v>76</v>
      </c>
      <c r="AD722" s="1">
        <v>44155</v>
      </c>
      <c r="AE722" t="str">
        <f>"SH23000510"</f>
        <v>SH23000510</v>
      </c>
      <c r="AF722" t="str">
        <f>"משלוחים ללקוח"</f>
        <v>משלוחים ללקוח</v>
      </c>
      <c r="AG722" s="1">
        <v>45041</v>
      </c>
      <c r="AM722" t="str">
        <f>"10"</f>
        <v>10</v>
      </c>
      <c r="AN722" t="str">
        <f>"500000"</f>
        <v>500000</v>
      </c>
      <c r="AO722" t="str">
        <f>"הכנסות  מלקוחות"</f>
        <v>הכנסות  מלקוחות</v>
      </c>
      <c r="AQ722" t="str">
        <f>"034"</f>
        <v>034</v>
      </c>
      <c r="AR722">
        <v>0</v>
      </c>
      <c r="AS722">
        <v>0</v>
      </c>
      <c r="AT722">
        <v>3.641</v>
      </c>
      <c r="AX722" t="str">
        <f>"E000321177"</f>
        <v>E000321177</v>
      </c>
      <c r="BD722" t="str">
        <f>"ערן שלו"</f>
        <v>ערן שלו</v>
      </c>
    </row>
    <row r="723" spans="1:56" x14ac:dyDescent="0.3">
      <c r="A723" s="1">
        <v>45046</v>
      </c>
      <c r="B723" t="str">
        <f>"SI236000584"</f>
        <v>SI236000584</v>
      </c>
      <c r="C723" t="str">
        <f>"PR20000834"</f>
        <v>PR20000834</v>
      </c>
      <c r="D723" t="str">
        <f>"PR20000834"</f>
        <v>PR20000834</v>
      </c>
      <c r="E723" t="str">
        <f>"Y"</f>
        <v>Y</v>
      </c>
      <c r="F723" t="str">
        <f>"חשבוניות מרכזות"</f>
        <v>חשבוניות מרכזות</v>
      </c>
      <c r="G723" t="str">
        <f>"700065"</f>
        <v>700065</v>
      </c>
      <c r="H723" t="str">
        <f>"אלתא מערכות בע""מ"</f>
        <v>אלתא מערכות בע"מ</v>
      </c>
      <c r="I723" t="str">
        <f>"10"</f>
        <v>10</v>
      </c>
      <c r="J723" t="str">
        <f>"OP-AR02117"</f>
        <v>OP-AR02117</v>
      </c>
      <c r="K723" t="str">
        <f>"1032F933-001/-   ETHERNET CABLE MFR-W933 - FILTE"</f>
        <v>1032F933-001/-   ETHERNET CABLE MFR-W933 - FILTE</v>
      </c>
      <c r="L723">
        <v>4</v>
      </c>
      <c r="M723" t="str">
        <f>"יח"</f>
        <v>יח</v>
      </c>
      <c r="N723">
        <v>4</v>
      </c>
      <c r="O723" t="str">
        <f>"יח"</f>
        <v>יח</v>
      </c>
      <c r="P723">
        <v>176.77</v>
      </c>
      <c r="Q723" t="str">
        <f>"$"</f>
        <v>$</v>
      </c>
      <c r="R723" t="str">
        <f>"הזמנה"</f>
        <v>הזמנה</v>
      </c>
      <c r="S723">
        <v>0</v>
      </c>
      <c r="T723">
        <v>707.08</v>
      </c>
      <c r="U723">
        <v>0</v>
      </c>
      <c r="V723">
        <v>707.08</v>
      </c>
      <c r="W723" t="str">
        <f>"$"</f>
        <v>$</v>
      </c>
      <c r="X723">
        <v>0</v>
      </c>
      <c r="Y723">
        <v>0</v>
      </c>
      <c r="Z723">
        <v>0</v>
      </c>
      <c r="AA723" t="str">
        <f>"Y"</f>
        <v>Y</v>
      </c>
      <c r="AB723" t="str">
        <f>"SO20000532"</f>
        <v>SO20000532</v>
      </c>
      <c r="AC723">
        <v>81</v>
      </c>
      <c r="AD723" s="1">
        <v>44155</v>
      </c>
      <c r="AE723" t="str">
        <f>"SH23000510"</f>
        <v>SH23000510</v>
      </c>
      <c r="AF723" t="str">
        <f>"משלוחים ללקוח"</f>
        <v>משלוחים ללקוח</v>
      </c>
      <c r="AG723" s="1">
        <v>45041</v>
      </c>
      <c r="AM723" t="str">
        <f>"10"</f>
        <v>10</v>
      </c>
      <c r="AN723" t="str">
        <f>"500000"</f>
        <v>500000</v>
      </c>
      <c r="AO723" t="str">
        <f>"הכנסות  מלקוחות"</f>
        <v>הכנסות  מלקוחות</v>
      </c>
      <c r="AQ723" t="str">
        <f>"034"</f>
        <v>034</v>
      </c>
      <c r="AR723">
        <v>0</v>
      </c>
      <c r="AS723">
        <v>0</v>
      </c>
      <c r="AT723">
        <v>3.641</v>
      </c>
      <c r="AX723" t="str">
        <f>"E000321177"</f>
        <v>E000321177</v>
      </c>
      <c r="BD723" t="str">
        <f>"ערן שלו"</f>
        <v>ערן שלו</v>
      </c>
    </row>
    <row r="724" spans="1:56" x14ac:dyDescent="0.3">
      <c r="A724" s="1">
        <v>45046</v>
      </c>
      <c r="B724" t="str">
        <f>"SI236000584"</f>
        <v>SI236000584</v>
      </c>
      <c r="C724" t="str">
        <f>"PR20000834"</f>
        <v>PR20000834</v>
      </c>
      <c r="D724" t="str">
        <f>"PR20000834"</f>
        <v>PR20000834</v>
      </c>
      <c r="E724" t="str">
        <f>"Y"</f>
        <v>Y</v>
      </c>
      <c r="F724" t="str">
        <f>"חשבוניות מרכזות"</f>
        <v>חשבוניות מרכזות</v>
      </c>
      <c r="G724" t="str">
        <f>"700065"</f>
        <v>700065</v>
      </c>
      <c r="H724" t="str">
        <f>"אלתא מערכות בע""מ"</f>
        <v>אלתא מערכות בע"מ</v>
      </c>
      <c r="I724" t="str">
        <f>"10"</f>
        <v>10</v>
      </c>
      <c r="J724" t="str">
        <f>"OP-AR02117"</f>
        <v>OP-AR02117</v>
      </c>
      <c r="K724" t="str">
        <f>"1032F933-001/-   ETHERNET CABLE MFR-W933 - FILTE"</f>
        <v>1032F933-001/-   ETHERNET CABLE MFR-W933 - FILTE</v>
      </c>
      <c r="L724">
        <v>4</v>
      </c>
      <c r="M724" t="str">
        <f>"יח"</f>
        <v>יח</v>
      </c>
      <c r="N724">
        <v>4</v>
      </c>
      <c r="O724" t="str">
        <f>"יח"</f>
        <v>יח</v>
      </c>
      <c r="P724">
        <v>176.77</v>
      </c>
      <c r="Q724" t="str">
        <f>"$"</f>
        <v>$</v>
      </c>
      <c r="R724" t="str">
        <f>"הזמנה"</f>
        <v>הזמנה</v>
      </c>
      <c r="S724">
        <v>0</v>
      </c>
      <c r="T724">
        <v>707.08</v>
      </c>
      <c r="U724">
        <v>0</v>
      </c>
      <c r="V724">
        <v>707.08</v>
      </c>
      <c r="W724" t="str">
        <f>"$"</f>
        <v>$</v>
      </c>
      <c r="X724">
        <v>0</v>
      </c>
      <c r="Y724">
        <v>0</v>
      </c>
      <c r="Z724">
        <v>0</v>
      </c>
      <c r="AA724" t="str">
        <f>"Y"</f>
        <v>Y</v>
      </c>
      <c r="AB724" t="str">
        <f>"SO20000532"</f>
        <v>SO20000532</v>
      </c>
      <c r="AC724">
        <v>82</v>
      </c>
      <c r="AD724" s="1">
        <v>44155</v>
      </c>
      <c r="AE724" t="str">
        <f>"SH23000510"</f>
        <v>SH23000510</v>
      </c>
      <c r="AF724" t="str">
        <f>"משלוחים ללקוח"</f>
        <v>משלוחים ללקוח</v>
      </c>
      <c r="AG724" s="1">
        <v>45041</v>
      </c>
      <c r="AM724" t="str">
        <f>"10"</f>
        <v>10</v>
      </c>
      <c r="AN724" t="str">
        <f>"500000"</f>
        <v>500000</v>
      </c>
      <c r="AO724" t="str">
        <f>"הכנסות  מלקוחות"</f>
        <v>הכנסות  מלקוחות</v>
      </c>
      <c r="AQ724" t="str">
        <f>"034"</f>
        <v>034</v>
      </c>
      <c r="AR724">
        <v>0</v>
      </c>
      <c r="AS724">
        <v>0</v>
      </c>
      <c r="AT724">
        <v>3.641</v>
      </c>
      <c r="AX724" t="str">
        <f>"E000321177"</f>
        <v>E000321177</v>
      </c>
      <c r="BD724" t="str">
        <f>"ערן שלו"</f>
        <v>ערן שלו</v>
      </c>
    </row>
    <row r="725" spans="1:56" x14ac:dyDescent="0.3">
      <c r="A725" s="1">
        <v>45046</v>
      </c>
      <c r="B725" t="str">
        <f>"SI236000584"</f>
        <v>SI236000584</v>
      </c>
      <c r="C725" t="str">
        <f>"PR20000834"</f>
        <v>PR20000834</v>
      </c>
      <c r="D725" t="str">
        <f>"PR20000834"</f>
        <v>PR20000834</v>
      </c>
      <c r="E725" t="str">
        <f>"Y"</f>
        <v>Y</v>
      </c>
      <c r="F725" t="str">
        <f>"חשבוניות מרכזות"</f>
        <v>חשבוניות מרכזות</v>
      </c>
      <c r="G725" t="str">
        <f>"700065"</f>
        <v>700065</v>
      </c>
      <c r="H725" t="str">
        <f>"אלתא מערכות בע""מ"</f>
        <v>אלתא מערכות בע"מ</v>
      </c>
      <c r="I725" t="str">
        <f>"10"</f>
        <v>10</v>
      </c>
      <c r="J725" t="str">
        <f>"OP-AR02118"</f>
        <v>OP-AR02118</v>
      </c>
      <c r="K725" t="str">
        <f>"1032F934-001/-   ETHERNET CABLE MFR-W934 - FILTE"</f>
        <v>1032F934-001/-   ETHERNET CABLE MFR-W934 - FILTE</v>
      </c>
      <c r="L725">
        <v>4</v>
      </c>
      <c r="M725" t="str">
        <f>"יח"</f>
        <v>יח</v>
      </c>
      <c r="N725">
        <v>4</v>
      </c>
      <c r="O725" t="str">
        <f>"יח"</f>
        <v>יח</v>
      </c>
      <c r="P725">
        <v>176.77</v>
      </c>
      <c r="Q725" t="str">
        <f>"$"</f>
        <v>$</v>
      </c>
      <c r="R725" t="str">
        <f>"הזמנה"</f>
        <v>הזמנה</v>
      </c>
      <c r="S725">
        <v>0</v>
      </c>
      <c r="T725">
        <v>707.08</v>
      </c>
      <c r="U725">
        <v>0</v>
      </c>
      <c r="V725">
        <v>707.08</v>
      </c>
      <c r="W725" t="str">
        <f>"$"</f>
        <v>$</v>
      </c>
      <c r="X725">
        <v>0</v>
      </c>
      <c r="Y725">
        <v>0</v>
      </c>
      <c r="Z725">
        <v>0</v>
      </c>
      <c r="AA725" t="str">
        <f>"Y"</f>
        <v>Y</v>
      </c>
      <c r="AB725" t="str">
        <f>"SO20000532"</f>
        <v>SO20000532</v>
      </c>
      <c r="AC725">
        <v>87</v>
      </c>
      <c r="AD725" s="1">
        <v>44155</v>
      </c>
      <c r="AE725" t="str">
        <f>"SH23000510"</f>
        <v>SH23000510</v>
      </c>
      <c r="AF725" t="str">
        <f>"משלוחים ללקוח"</f>
        <v>משלוחים ללקוח</v>
      </c>
      <c r="AG725" s="1">
        <v>45041</v>
      </c>
      <c r="AM725" t="str">
        <f>"10"</f>
        <v>10</v>
      </c>
      <c r="AN725" t="str">
        <f>"500000"</f>
        <v>500000</v>
      </c>
      <c r="AO725" t="str">
        <f>"הכנסות  מלקוחות"</f>
        <v>הכנסות  מלקוחות</v>
      </c>
      <c r="AQ725" t="str">
        <f>"034"</f>
        <v>034</v>
      </c>
      <c r="AR725">
        <v>0</v>
      </c>
      <c r="AS725">
        <v>0</v>
      </c>
      <c r="AT725">
        <v>3.641</v>
      </c>
      <c r="AX725" t="str">
        <f>"E000321177"</f>
        <v>E000321177</v>
      </c>
      <c r="BD725" t="str">
        <f>"ערן שלו"</f>
        <v>ערן שלו</v>
      </c>
    </row>
    <row r="726" spans="1:56" x14ac:dyDescent="0.3">
      <c r="A726" s="1">
        <v>45046</v>
      </c>
      <c r="B726" t="str">
        <f>"SI236000584"</f>
        <v>SI236000584</v>
      </c>
      <c r="C726" t="str">
        <f>"PR20000834"</f>
        <v>PR20000834</v>
      </c>
      <c r="D726" t="str">
        <f>"PR20000834"</f>
        <v>PR20000834</v>
      </c>
      <c r="E726" t="str">
        <f>"Y"</f>
        <v>Y</v>
      </c>
      <c r="F726" t="str">
        <f>"חשבוניות מרכזות"</f>
        <v>חשבוניות מרכזות</v>
      </c>
      <c r="G726" t="str">
        <f>"700065"</f>
        <v>700065</v>
      </c>
      <c r="H726" t="str">
        <f>"אלתא מערכות בע""מ"</f>
        <v>אלתא מערכות בע"מ</v>
      </c>
      <c r="I726" t="str">
        <f>"10"</f>
        <v>10</v>
      </c>
      <c r="J726" t="str">
        <f>"OP-AR02118"</f>
        <v>OP-AR02118</v>
      </c>
      <c r="K726" t="str">
        <f>"1032F934-001/-   ETHERNET CABLE MFR-W934 - FILTE"</f>
        <v>1032F934-001/-   ETHERNET CABLE MFR-W934 - FILTE</v>
      </c>
      <c r="L726">
        <v>4</v>
      </c>
      <c r="M726" t="str">
        <f>"יח"</f>
        <v>יח</v>
      </c>
      <c r="N726">
        <v>4</v>
      </c>
      <c r="O726" t="str">
        <f>"יח"</f>
        <v>יח</v>
      </c>
      <c r="P726">
        <v>176.77</v>
      </c>
      <c r="Q726" t="str">
        <f>"$"</f>
        <v>$</v>
      </c>
      <c r="R726" t="str">
        <f>"הזמנה"</f>
        <v>הזמנה</v>
      </c>
      <c r="S726">
        <v>0</v>
      </c>
      <c r="T726">
        <v>707.08</v>
      </c>
      <c r="U726">
        <v>0</v>
      </c>
      <c r="V726">
        <v>707.08</v>
      </c>
      <c r="W726" t="str">
        <f>"$"</f>
        <v>$</v>
      </c>
      <c r="X726">
        <v>0</v>
      </c>
      <c r="Y726">
        <v>0</v>
      </c>
      <c r="Z726">
        <v>0</v>
      </c>
      <c r="AA726" t="str">
        <f>"Y"</f>
        <v>Y</v>
      </c>
      <c r="AB726" t="str">
        <f>"SO20000532"</f>
        <v>SO20000532</v>
      </c>
      <c r="AC726">
        <v>88</v>
      </c>
      <c r="AD726" s="1">
        <v>44155</v>
      </c>
      <c r="AE726" t="str">
        <f>"SH23000510"</f>
        <v>SH23000510</v>
      </c>
      <c r="AF726" t="str">
        <f>"משלוחים ללקוח"</f>
        <v>משלוחים ללקוח</v>
      </c>
      <c r="AG726" s="1">
        <v>45041</v>
      </c>
      <c r="AM726" t="str">
        <f>"10"</f>
        <v>10</v>
      </c>
      <c r="AN726" t="str">
        <f>"500000"</f>
        <v>500000</v>
      </c>
      <c r="AO726" t="str">
        <f>"הכנסות  מלקוחות"</f>
        <v>הכנסות  מלקוחות</v>
      </c>
      <c r="AQ726" t="str">
        <f>"034"</f>
        <v>034</v>
      </c>
      <c r="AR726">
        <v>0</v>
      </c>
      <c r="AS726">
        <v>0</v>
      </c>
      <c r="AT726">
        <v>3.641</v>
      </c>
      <c r="AX726" t="str">
        <f>"E000321177"</f>
        <v>E000321177</v>
      </c>
      <c r="BD726" t="str">
        <f>"ערן שלו"</f>
        <v>ערן שלו</v>
      </c>
    </row>
    <row r="727" spans="1:56" x14ac:dyDescent="0.3">
      <c r="A727" s="1">
        <v>45046</v>
      </c>
      <c r="B727" t="str">
        <f>"SI236000584"</f>
        <v>SI236000584</v>
      </c>
      <c r="C727" t="str">
        <f>"PR20000834"</f>
        <v>PR20000834</v>
      </c>
      <c r="D727" t="str">
        <f>"PR20000834"</f>
        <v>PR20000834</v>
      </c>
      <c r="E727" t="str">
        <f>"Y"</f>
        <v>Y</v>
      </c>
      <c r="F727" t="str">
        <f>"חשבוניות מרכזות"</f>
        <v>חשבוניות מרכזות</v>
      </c>
      <c r="G727" t="str">
        <f>"700065"</f>
        <v>700065</v>
      </c>
      <c r="H727" t="str">
        <f>"אלתא מערכות בע""מ"</f>
        <v>אלתא מערכות בע"מ</v>
      </c>
      <c r="I727" t="str">
        <f>"10"</f>
        <v>10</v>
      </c>
      <c r="J727" t="str">
        <f>"OP-AR02120"</f>
        <v>OP-AR02120</v>
      </c>
      <c r="K727" t="str">
        <f>"1032F936-001/-   ETHERNET CABLE MFR-W936 - FILTE"</f>
        <v>1032F936-001/-   ETHERNET CABLE MFR-W936 - FILTE</v>
      </c>
      <c r="L727">
        <v>4</v>
      </c>
      <c r="M727" t="str">
        <f>"יח"</f>
        <v>יח</v>
      </c>
      <c r="N727">
        <v>4</v>
      </c>
      <c r="O727" t="str">
        <f>"יח"</f>
        <v>יח</v>
      </c>
      <c r="P727">
        <v>176.77</v>
      </c>
      <c r="Q727" t="str">
        <f>"$"</f>
        <v>$</v>
      </c>
      <c r="R727" t="str">
        <f>"הזמנה"</f>
        <v>הזמנה</v>
      </c>
      <c r="S727">
        <v>0</v>
      </c>
      <c r="T727">
        <v>707.08</v>
      </c>
      <c r="U727">
        <v>0</v>
      </c>
      <c r="V727">
        <v>707.08</v>
      </c>
      <c r="W727" t="str">
        <f>"$"</f>
        <v>$</v>
      </c>
      <c r="X727">
        <v>0</v>
      </c>
      <c r="Y727">
        <v>0</v>
      </c>
      <c r="Z727">
        <v>0</v>
      </c>
      <c r="AA727" t="str">
        <f>"Y"</f>
        <v>Y</v>
      </c>
      <c r="AB727" t="str">
        <f>"SO20000532"</f>
        <v>SO20000532</v>
      </c>
      <c r="AC727">
        <v>99</v>
      </c>
      <c r="AD727" s="1">
        <v>44155</v>
      </c>
      <c r="AE727" t="str">
        <f>"SH23000510"</f>
        <v>SH23000510</v>
      </c>
      <c r="AF727" t="str">
        <f>"משלוחים ללקוח"</f>
        <v>משלוחים ללקוח</v>
      </c>
      <c r="AG727" s="1">
        <v>45041</v>
      </c>
      <c r="AM727" t="str">
        <f>"10"</f>
        <v>10</v>
      </c>
      <c r="AN727" t="str">
        <f>"500000"</f>
        <v>500000</v>
      </c>
      <c r="AO727" t="str">
        <f>"הכנסות  מלקוחות"</f>
        <v>הכנסות  מלקוחות</v>
      </c>
      <c r="AQ727" t="str">
        <f>"034"</f>
        <v>034</v>
      </c>
      <c r="AR727">
        <v>0</v>
      </c>
      <c r="AS727">
        <v>0</v>
      </c>
      <c r="AT727">
        <v>3.641</v>
      </c>
      <c r="AX727" t="str">
        <f>"E000321177"</f>
        <v>E000321177</v>
      </c>
      <c r="BD727" t="str">
        <f>"ערן שלו"</f>
        <v>ערן שלו</v>
      </c>
    </row>
    <row r="728" spans="1:56" x14ac:dyDescent="0.3">
      <c r="A728" s="1">
        <v>45046</v>
      </c>
      <c r="B728" t="str">
        <f>"SI236000584"</f>
        <v>SI236000584</v>
      </c>
      <c r="C728" t="str">
        <f>"PR20000834"</f>
        <v>PR20000834</v>
      </c>
      <c r="D728" t="str">
        <f>"PR20000834"</f>
        <v>PR20000834</v>
      </c>
      <c r="E728" t="str">
        <f>"Y"</f>
        <v>Y</v>
      </c>
      <c r="F728" t="str">
        <f>"חשבוניות מרכזות"</f>
        <v>חשבוניות מרכזות</v>
      </c>
      <c r="G728" t="str">
        <f>"700065"</f>
        <v>700065</v>
      </c>
      <c r="H728" t="str">
        <f>"אלתא מערכות בע""מ"</f>
        <v>אלתא מערכות בע"מ</v>
      </c>
      <c r="I728" t="str">
        <f>"10"</f>
        <v>10</v>
      </c>
      <c r="J728" t="str">
        <f>"OP-AR02120"</f>
        <v>OP-AR02120</v>
      </c>
      <c r="K728" t="str">
        <f>"1032F936-001/-   ETHERNET CABLE MFR-W936 - FILTE"</f>
        <v>1032F936-001/-   ETHERNET CABLE MFR-W936 - FILTE</v>
      </c>
      <c r="L728">
        <v>4</v>
      </c>
      <c r="M728" t="str">
        <f>"יח"</f>
        <v>יח</v>
      </c>
      <c r="N728">
        <v>4</v>
      </c>
      <c r="O728" t="str">
        <f>"יח"</f>
        <v>יח</v>
      </c>
      <c r="P728">
        <v>176.77</v>
      </c>
      <c r="Q728" t="str">
        <f>"$"</f>
        <v>$</v>
      </c>
      <c r="R728" t="str">
        <f>"הזמנה"</f>
        <v>הזמנה</v>
      </c>
      <c r="S728">
        <v>0</v>
      </c>
      <c r="T728">
        <v>707.08</v>
      </c>
      <c r="U728">
        <v>0</v>
      </c>
      <c r="V728">
        <v>707.08</v>
      </c>
      <c r="W728" t="str">
        <f>"$"</f>
        <v>$</v>
      </c>
      <c r="X728">
        <v>0</v>
      </c>
      <c r="Y728">
        <v>0</v>
      </c>
      <c r="Z728">
        <v>0</v>
      </c>
      <c r="AA728" t="str">
        <f>"Y"</f>
        <v>Y</v>
      </c>
      <c r="AB728" t="str">
        <f>"SO20000532"</f>
        <v>SO20000532</v>
      </c>
      <c r="AC728">
        <v>100</v>
      </c>
      <c r="AD728" s="1">
        <v>44155</v>
      </c>
      <c r="AE728" t="str">
        <f>"SH23000510"</f>
        <v>SH23000510</v>
      </c>
      <c r="AF728" t="str">
        <f>"משלוחים ללקוח"</f>
        <v>משלוחים ללקוח</v>
      </c>
      <c r="AG728" s="1">
        <v>45041</v>
      </c>
      <c r="AM728" t="str">
        <f>"10"</f>
        <v>10</v>
      </c>
      <c r="AN728" t="str">
        <f>"500000"</f>
        <v>500000</v>
      </c>
      <c r="AO728" t="str">
        <f>"הכנסות  מלקוחות"</f>
        <v>הכנסות  מלקוחות</v>
      </c>
      <c r="AQ728" t="str">
        <f>"034"</f>
        <v>034</v>
      </c>
      <c r="AR728">
        <v>0</v>
      </c>
      <c r="AS728">
        <v>0</v>
      </c>
      <c r="AT728">
        <v>3.641</v>
      </c>
      <c r="AX728" t="str">
        <f>"E000321177"</f>
        <v>E000321177</v>
      </c>
      <c r="BD728" t="str">
        <f>"ערן שלו"</f>
        <v>ערן שלו</v>
      </c>
    </row>
    <row r="729" spans="1:56" x14ac:dyDescent="0.3">
      <c r="A729" s="1">
        <v>45046</v>
      </c>
      <c r="B729" t="str">
        <f>"SI236000584"</f>
        <v>SI236000584</v>
      </c>
      <c r="C729" t="str">
        <f>"PR20000834"</f>
        <v>PR20000834</v>
      </c>
      <c r="D729" t="str">
        <f>"PR20000834"</f>
        <v>PR20000834</v>
      </c>
      <c r="E729" t="str">
        <f>"Y"</f>
        <v>Y</v>
      </c>
      <c r="F729" t="str">
        <f>"חשבוניות מרכזות"</f>
        <v>חשבוניות מרכזות</v>
      </c>
      <c r="G729" t="str">
        <f>"700065"</f>
        <v>700065</v>
      </c>
      <c r="H729" t="str">
        <f>"אלתא מערכות בע""מ"</f>
        <v>אלתא מערכות בע"מ</v>
      </c>
      <c r="I729" t="str">
        <f>"10"</f>
        <v>10</v>
      </c>
      <c r="J729" t="str">
        <f>"OP-AR02129"</f>
        <v>OP-AR02129</v>
      </c>
      <c r="K729" t="str">
        <f>"1032F945-001/-   ETHERNET CABLE MFR-W945 - FILTE"</f>
        <v>1032F945-001/-   ETHERNET CABLE MFR-W945 - FILTE</v>
      </c>
      <c r="L729">
        <v>4</v>
      </c>
      <c r="M729" t="str">
        <f>"יח"</f>
        <v>יח</v>
      </c>
      <c r="N729">
        <v>4</v>
      </c>
      <c r="O729" t="str">
        <f>"יח"</f>
        <v>יח</v>
      </c>
      <c r="P729">
        <v>176.77</v>
      </c>
      <c r="Q729" t="str">
        <f>"$"</f>
        <v>$</v>
      </c>
      <c r="R729" t="str">
        <f>"הזמנה"</f>
        <v>הזמנה</v>
      </c>
      <c r="S729">
        <v>0</v>
      </c>
      <c r="T729">
        <v>707.08</v>
      </c>
      <c r="U729">
        <v>0</v>
      </c>
      <c r="V729">
        <v>707.08</v>
      </c>
      <c r="W729" t="str">
        <f>"$"</f>
        <v>$</v>
      </c>
      <c r="X729">
        <v>0</v>
      </c>
      <c r="Y729">
        <v>0</v>
      </c>
      <c r="Z729">
        <v>0</v>
      </c>
      <c r="AA729" t="str">
        <f>"Y"</f>
        <v>Y</v>
      </c>
      <c r="AB729" t="str">
        <f>"SO20000532"</f>
        <v>SO20000532</v>
      </c>
      <c r="AC729">
        <v>153</v>
      </c>
      <c r="AD729" s="1">
        <v>44155</v>
      </c>
      <c r="AE729" t="str">
        <f>"SH23000510"</f>
        <v>SH23000510</v>
      </c>
      <c r="AF729" t="str">
        <f>"משלוחים ללקוח"</f>
        <v>משלוחים ללקוח</v>
      </c>
      <c r="AG729" s="1">
        <v>45041</v>
      </c>
      <c r="AM729" t="str">
        <f>"10"</f>
        <v>10</v>
      </c>
      <c r="AN729" t="str">
        <f>"500000"</f>
        <v>500000</v>
      </c>
      <c r="AO729" t="str">
        <f>"הכנסות  מלקוחות"</f>
        <v>הכנסות  מלקוחות</v>
      </c>
      <c r="AQ729" t="str">
        <f>"034"</f>
        <v>034</v>
      </c>
      <c r="AR729">
        <v>0</v>
      </c>
      <c r="AS729">
        <v>0</v>
      </c>
      <c r="AT729">
        <v>3.641</v>
      </c>
      <c r="AX729" t="str">
        <f>"E000321177"</f>
        <v>E000321177</v>
      </c>
      <c r="BD729" t="str">
        <f>"ערן שלו"</f>
        <v>ערן שלו</v>
      </c>
    </row>
    <row r="730" spans="1:56" x14ac:dyDescent="0.3">
      <c r="A730" s="1">
        <v>45046</v>
      </c>
      <c r="B730" t="str">
        <f>"SI236000584"</f>
        <v>SI236000584</v>
      </c>
      <c r="C730" t="str">
        <f>"PR20000834"</f>
        <v>PR20000834</v>
      </c>
      <c r="D730" t="str">
        <f>"PR20000834"</f>
        <v>PR20000834</v>
      </c>
      <c r="E730" t="str">
        <f>"Y"</f>
        <v>Y</v>
      </c>
      <c r="F730" t="str">
        <f>"חשבוניות מרכזות"</f>
        <v>חשבוניות מרכזות</v>
      </c>
      <c r="G730" t="str">
        <f>"700065"</f>
        <v>700065</v>
      </c>
      <c r="H730" t="str">
        <f>"אלתא מערכות בע""מ"</f>
        <v>אלתא מערכות בע"מ</v>
      </c>
      <c r="I730" t="str">
        <f>"10"</f>
        <v>10</v>
      </c>
      <c r="J730" t="str">
        <f>"OP-AR02129"</f>
        <v>OP-AR02129</v>
      </c>
      <c r="K730" t="str">
        <f>"1032F945-001/-   ETHERNET CABLE MFR-W945 - FILTE"</f>
        <v>1032F945-001/-   ETHERNET CABLE MFR-W945 - FILTE</v>
      </c>
      <c r="L730">
        <v>4</v>
      </c>
      <c r="M730" t="str">
        <f>"יח"</f>
        <v>יח</v>
      </c>
      <c r="N730">
        <v>4</v>
      </c>
      <c r="O730" t="str">
        <f>"יח"</f>
        <v>יח</v>
      </c>
      <c r="P730">
        <v>176.77</v>
      </c>
      <c r="Q730" t="str">
        <f>"$"</f>
        <v>$</v>
      </c>
      <c r="R730" t="str">
        <f>"הזמנה"</f>
        <v>הזמנה</v>
      </c>
      <c r="S730">
        <v>0</v>
      </c>
      <c r="T730">
        <v>707.08</v>
      </c>
      <c r="U730">
        <v>0</v>
      </c>
      <c r="V730">
        <v>707.08</v>
      </c>
      <c r="W730" t="str">
        <f>"$"</f>
        <v>$</v>
      </c>
      <c r="X730">
        <v>0</v>
      </c>
      <c r="Y730">
        <v>0</v>
      </c>
      <c r="Z730">
        <v>0</v>
      </c>
      <c r="AA730" t="str">
        <f>"Y"</f>
        <v>Y</v>
      </c>
      <c r="AB730" t="str">
        <f>"SO20000532"</f>
        <v>SO20000532</v>
      </c>
      <c r="AC730">
        <v>154</v>
      </c>
      <c r="AD730" s="1">
        <v>44155</v>
      </c>
      <c r="AE730" t="str">
        <f>"SH23000510"</f>
        <v>SH23000510</v>
      </c>
      <c r="AF730" t="str">
        <f>"משלוחים ללקוח"</f>
        <v>משלוחים ללקוח</v>
      </c>
      <c r="AG730" s="1">
        <v>45041</v>
      </c>
      <c r="AM730" t="str">
        <f>"10"</f>
        <v>10</v>
      </c>
      <c r="AN730" t="str">
        <f>"500000"</f>
        <v>500000</v>
      </c>
      <c r="AO730" t="str">
        <f>"הכנסות  מלקוחות"</f>
        <v>הכנסות  מלקוחות</v>
      </c>
      <c r="AQ730" t="str">
        <f>"034"</f>
        <v>034</v>
      </c>
      <c r="AR730">
        <v>0</v>
      </c>
      <c r="AS730">
        <v>0</v>
      </c>
      <c r="AT730">
        <v>3.641</v>
      </c>
      <c r="AX730" t="str">
        <f>"E000321177"</f>
        <v>E000321177</v>
      </c>
      <c r="BD730" t="str">
        <f>"ערן שלו"</f>
        <v>ערן שלו</v>
      </c>
    </row>
    <row r="731" spans="1:56" x14ac:dyDescent="0.3">
      <c r="A731" s="1">
        <v>45046</v>
      </c>
      <c r="B731" t="str">
        <f>"SI236000583"</f>
        <v>SI236000583</v>
      </c>
      <c r="C731" t="str">
        <f>"PR22000898"</f>
        <v>PR22000898</v>
      </c>
      <c r="E731" t="str">
        <f>"Y"</f>
        <v>Y</v>
      </c>
      <c r="F731" t="str">
        <f>"חשבוניות מרכזות"</f>
        <v>חשבוניות מרכזות</v>
      </c>
      <c r="G731" t="str">
        <f>"700065"</f>
        <v>700065</v>
      </c>
      <c r="H731" t="str">
        <f>"אלתא מערכות בע""מ"</f>
        <v>אלתא מערכות בע"מ</v>
      </c>
      <c r="I731" t="str">
        <f>"10"</f>
        <v>10</v>
      </c>
      <c r="J731" t="str">
        <f>"OP-AR03458"</f>
        <v>OP-AR03458</v>
      </c>
      <c r="K731" t="str">
        <f>"1040L231-001    TRU PS POWER CONTROL CABLE W12"</f>
        <v>1040L231-001    TRU PS POWER CONTROL CABLE W12</v>
      </c>
      <c r="L731">
        <v>1</v>
      </c>
      <c r="M731" t="str">
        <f>"יח"</f>
        <v>יח</v>
      </c>
      <c r="N731">
        <v>1</v>
      </c>
      <c r="O731" t="str">
        <f>"יח"</f>
        <v>יח</v>
      </c>
      <c r="P731" s="2">
        <v>1325.78</v>
      </c>
      <c r="Q731" t="str">
        <f>"$"</f>
        <v>$</v>
      </c>
      <c r="R731" t="str">
        <f>"הזמנה"</f>
        <v>הזמנה</v>
      </c>
      <c r="S731">
        <v>0</v>
      </c>
      <c r="T731" s="2">
        <v>1325.78</v>
      </c>
      <c r="U731">
        <v>0</v>
      </c>
      <c r="V731" s="2">
        <v>1325.78</v>
      </c>
      <c r="W731" t="str">
        <f>"$"</f>
        <v>$</v>
      </c>
      <c r="X731">
        <v>0</v>
      </c>
      <c r="Y731">
        <v>0</v>
      </c>
      <c r="Z731">
        <v>0</v>
      </c>
      <c r="AA731" t="str">
        <f>"Y"</f>
        <v>Y</v>
      </c>
      <c r="AB731" t="str">
        <f>"SO22000457"</f>
        <v>SO22000457</v>
      </c>
      <c r="AC731">
        <v>7</v>
      </c>
      <c r="AD731" s="1">
        <v>44907</v>
      </c>
      <c r="AE731" t="str">
        <f>"SH23000509"</f>
        <v>SH23000509</v>
      </c>
      <c r="AF731" t="str">
        <f>"משלוחים ללקוח"</f>
        <v>משלוחים ללקוח</v>
      </c>
      <c r="AG731" s="1">
        <v>45041</v>
      </c>
      <c r="AM731" t="str">
        <f>"10"</f>
        <v>10</v>
      </c>
      <c r="AN731" t="str">
        <f>"500000"</f>
        <v>500000</v>
      </c>
      <c r="AO731" t="str">
        <f>"הכנסות  מלקוחות"</f>
        <v>הכנסות  מלקוחות</v>
      </c>
      <c r="AQ731" t="str">
        <f>"040"</f>
        <v>040</v>
      </c>
      <c r="AR731">
        <v>0</v>
      </c>
      <c r="AS731">
        <v>0</v>
      </c>
      <c r="AT731">
        <v>3.641</v>
      </c>
      <c r="AX731" t="str">
        <f>"E000379161"</f>
        <v>E000379161</v>
      </c>
      <c r="BD731" t="str">
        <f>"רחמים זרוק"</f>
        <v>רחמים זרוק</v>
      </c>
    </row>
    <row r="732" spans="1:56" x14ac:dyDescent="0.3">
      <c r="A732" s="1">
        <v>45046</v>
      </c>
      <c r="B732" t="str">
        <f>"SI236000583"</f>
        <v>SI236000583</v>
      </c>
      <c r="C732" t="str">
        <f>"PR22000898"</f>
        <v>PR22000898</v>
      </c>
      <c r="E732" t="str">
        <f>"Y"</f>
        <v>Y</v>
      </c>
      <c r="F732" t="str">
        <f>"חשבוניות מרכזות"</f>
        <v>חשבוניות מרכזות</v>
      </c>
      <c r="G732" t="str">
        <f>"700065"</f>
        <v>700065</v>
      </c>
      <c r="H732" t="str">
        <f>"אלתא מערכות בע""מ"</f>
        <v>אלתא מערכות בע"מ</v>
      </c>
      <c r="I732" t="str">
        <f>"10"</f>
        <v>10</v>
      </c>
      <c r="J732" t="str">
        <f>"OP-AR03460"</f>
        <v>OP-AR03460</v>
      </c>
      <c r="K732" t="str">
        <f>"1040L234-001    SDU DC SUPPLY 48VDC CABLE W14"</f>
        <v>1040L234-001    SDU DC SUPPLY 48VDC CABLE W14</v>
      </c>
      <c r="L732">
        <v>1</v>
      </c>
      <c r="M732" t="str">
        <f>"יח"</f>
        <v>יח</v>
      </c>
      <c r="N732">
        <v>1</v>
      </c>
      <c r="O732" t="str">
        <f>"יח"</f>
        <v>יח</v>
      </c>
      <c r="P732">
        <v>169.57</v>
      </c>
      <c r="Q732" t="str">
        <f>"$"</f>
        <v>$</v>
      </c>
      <c r="R732" t="str">
        <f>"הזמנה"</f>
        <v>הזמנה</v>
      </c>
      <c r="S732">
        <v>0</v>
      </c>
      <c r="T732">
        <v>169.57</v>
      </c>
      <c r="U732">
        <v>0</v>
      </c>
      <c r="V732">
        <v>169.57</v>
      </c>
      <c r="W732" t="str">
        <f>"$"</f>
        <v>$</v>
      </c>
      <c r="X732">
        <v>0</v>
      </c>
      <c r="Y732">
        <v>0</v>
      </c>
      <c r="Z732">
        <v>0</v>
      </c>
      <c r="AA732" t="str">
        <f>"Y"</f>
        <v>Y</v>
      </c>
      <c r="AB732" t="str">
        <f>"SO22000457"</f>
        <v>SO22000457</v>
      </c>
      <c r="AC732">
        <v>9</v>
      </c>
      <c r="AD732" s="1">
        <v>44907</v>
      </c>
      <c r="AE732" t="str">
        <f>"SH23000509"</f>
        <v>SH23000509</v>
      </c>
      <c r="AF732" t="str">
        <f>"משלוחים ללקוח"</f>
        <v>משלוחים ללקוח</v>
      </c>
      <c r="AG732" s="1">
        <v>45041</v>
      </c>
      <c r="AM732" t="str">
        <f>"10"</f>
        <v>10</v>
      </c>
      <c r="AN732" t="str">
        <f>"500000"</f>
        <v>500000</v>
      </c>
      <c r="AO732" t="str">
        <f>"הכנסות  מלקוחות"</f>
        <v>הכנסות  מלקוחות</v>
      </c>
      <c r="AQ732" t="str">
        <f>"040"</f>
        <v>040</v>
      </c>
      <c r="AR732">
        <v>0</v>
      </c>
      <c r="AS732">
        <v>0</v>
      </c>
      <c r="AT732">
        <v>3.641</v>
      </c>
      <c r="AX732" t="str">
        <f>"E000379161"</f>
        <v>E000379161</v>
      </c>
      <c r="BD732" t="str">
        <f>"רחמים זרוק"</f>
        <v>רחמים זרוק</v>
      </c>
    </row>
    <row r="733" spans="1:56" x14ac:dyDescent="0.3">
      <c r="A733" s="1">
        <v>45046</v>
      </c>
      <c r="B733" t="str">
        <f>"SI236000582"</f>
        <v>SI236000582</v>
      </c>
      <c r="C733" t="str">
        <f>"PR22000677"</f>
        <v>PR22000677</v>
      </c>
      <c r="E733" t="str">
        <f>"Y"</f>
        <v>Y</v>
      </c>
      <c r="F733" t="str">
        <f>"חשבוניות מרכזות"</f>
        <v>חשבוניות מרכזות</v>
      </c>
      <c r="G733" t="str">
        <f>"700065"</f>
        <v>700065</v>
      </c>
      <c r="H733" t="str">
        <f>"אלתא מערכות בע""מ"</f>
        <v>אלתא מערכות בע"מ</v>
      </c>
      <c r="I733" t="str">
        <f>"15"</f>
        <v>15</v>
      </c>
      <c r="J733" t="str">
        <f>"OP-AR03379"</f>
        <v>OP-AR03379</v>
      </c>
      <c r="K733" t="str">
        <f>"1031B122-001    HARNESS W0122 - CLUSTER 19 DSC TO MDU 18"</f>
        <v>1031B122-001    HARNESS W0122 - CLUSTER 19 DSC TO MDU 18</v>
      </c>
      <c r="L733">
        <v>1</v>
      </c>
      <c r="M733" t="str">
        <f>"יח"</f>
        <v>יח</v>
      </c>
      <c r="N733">
        <v>1</v>
      </c>
      <c r="O733" t="str">
        <f>"יח"</f>
        <v>יח</v>
      </c>
      <c r="P733" s="2">
        <v>2785.94</v>
      </c>
      <c r="Q733" t="str">
        <f>"$"</f>
        <v>$</v>
      </c>
      <c r="R733" t="str">
        <f>"הזמנה"</f>
        <v>הזמנה</v>
      </c>
      <c r="S733">
        <v>0</v>
      </c>
      <c r="T733" s="2">
        <v>2785.94</v>
      </c>
      <c r="U733">
        <v>0</v>
      </c>
      <c r="V733" s="2">
        <v>2785.94</v>
      </c>
      <c r="W733" t="str">
        <f>"$"</f>
        <v>$</v>
      </c>
      <c r="X733">
        <v>0</v>
      </c>
      <c r="Y733">
        <v>0</v>
      </c>
      <c r="Z733">
        <v>0</v>
      </c>
      <c r="AA733" t="str">
        <f>"Y"</f>
        <v>Y</v>
      </c>
      <c r="AB733" t="str">
        <f>"SO22000390"</f>
        <v>SO22000390</v>
      </c>
      <c r="AC733">
        <v>3</v>
      </c>
      <c r="AD733" s="1">
        <v>44864</v>
      </c>
      <c r="AE733" t="str">
        <f>"SH23000508"</f>
        <v>SH23000508</v>
      </c>
      <c r="AF733" t="str">
        <f>"משלוחים ללקוח"</f>
        <v>משלוחים ללקוח</v>
      </c>
      <c r="AG733" s="1">
        <v>45041</v>
      </c>
      <c r="AM733" t="str">
        <f>"10"</f>
        <v>10</v>
      </c>
      <c r="AN733" t="str">
        <f>"500000"</f>
        <v>500000</v>
      </c>
      <c r="AO733" t="str">
        <f>"הכנסות  מלקוחות"</f>
        <v>הכנסות  מלקוחות</v>
      </c>
      <c r="AQ733" t="str">
        <f>"040"</f>
        <v>040</v>
      </c>
      <c r="AR733">
        <v>0</v>
      </c>
      <c r="AS733">
        <v>0</v>
      </c>
      <c r="AT733">
        <v>3.641</v>
      </c>
      <c r="AX733" t="str">
        <f>"E000377209"</f>
        <v>E000377209</v>
      </c>
      <c r="BD733" t="str">
        <f>"רחמים זרוק"</f>
        <v>רחמים זרוק</v>
      </c>
    </row>
    <row r="734" spans="1:56" x14ac:dyDescent="0.3">
      <c r="A734" s="1">
        <v>45046</v>
      </c>
      <c r="B734" t="str">
        <f>"SI236000579"</f>
        <v>SI236000579</v>
      </c>
      <c r="C734" t="str">
        <f>"PR22000829"</f>
        <v>PR22000829</v>
      </c>
      <c r="E734" t="str">
        <f>"Y"</f>
        <v>Y</v>
      </c>
      <c r="F734" t="str">
        <f>"חשבוניות מרכזות"</f>
        <v>חשבוניות מרכזות</v>
      </c>
      <c r="G734" t="str">
        <f>"700065"</f>
        <v>700065</v>
      </c>
      <c r="H734" t="str">
        <f>"אלתא מערכות בע""מ"</f>
        <v>אלתא מערכות בע"מ</v>
      </c>
      <c r="I734" t="str">
        <f>"15"</f>
        <v>15</v>
      </c>
      <c r="J734" t="str">
        <f>"OP-AR03403"</f>
        <v>OP-AR03403</v>
      </c>
      <c r="K734" t="str">
        <f>"6605R217-001    W217 - RSU SYSTEM BUNDLE - LLC/CNT"</f>
        <v>6605R217-001    W217 - RSU SYSTEM BUNDLE - LLC/CNT</v>
      </c>
      <c r="L734">
        <v>1</v>
      </c>
      <c r="M734" t="str">
        <f>"יח"</f>
        <v>יח</v>
      </c>
      <c r="N734">
        <v>1</v>
      </c>
      <c r="O734" t="str">
        <f>"יח"</f>
        <v>יח</v>
      </c>
      <c r="P734" s="2">
        <v>1063.77</v>
      </c>
      <c r="Q734" t="str">
        <f>"$"</f>
        <v>$</v>
      </c>
      <c r="R734" t="str">
        <f>"הזמנה"</f>
        <v>הזמנה</v>
      </c>
      <c r="S734">
        <v>0</v>
      </c>
      <c r="T734" s="2">
        <v>1063.77</v>
      </c>
      <c r="U734">
        <v>0</v>
      </c>
      <c r="V734" s="2">
        <v>1063.77</v>
      </c>
      <c r="W734" t="str">
        <f>"$"</f>
        <v>$</v>
      </c>
      <c r="X734">
        <v>0</v>
      </c>
      <c r="Y734">
        <v>0</v>
      </c>
      <c r="Z734">
        <v>0</v>
      </c>
      <c r="AA734" t="str">
        <f>"Y"</f>
        <v>Y</v>
      </c>
      <c r="AB734" t="str">
        <f>"SO22000423"</f>
        <v>SO22000423</v>
      </c>
      <c r="AC734">
        <v>2</v>
      </c>
      <c r="AD734" s="1">
        <v>44892</v>
      </c>
      <c r="AE734" t="str">
        <f>"SH23000506"</f>
        <v>SH23000506</v>
      </c>
      <c r="AF734" t="str">
        <f>"משלוחים ללקוח"</f>
        <v>משלוחים ללקוח</v>
      </c>
      <c r="AG734" s="1">
        <v>45041</v>
      </c>
      <c r="AM734" t="str">
        <f>"10"</f>
        <v>10</v>
      </c>
      <c r="AN734" t="str">
        <f>"500000"</f>
        <v>500000</v>
      </c>
      <c r="AO734" t="str">
        <f>"הכנסות  מלקוחות"</f>
        <v>הכנסות  מלקוחות</v>
      </c>
      <c r="AQ734" t="str">
        <f>"040"</f>
        <v>040</v>
      </c>
      <c r="AR734">
        <v>0</v>
      </c>
      <c r="AS734">
        <v>0</v>
      </c>
      <c r="AT734">
        <v>3.641</v>
      </c>
      <c r="AX734" t="str">
        <f>"E000378271"</f>
        <v>E000378271</v>
      </c>
      <c r="BD734" t="str">
        <f>"רחמים זרוק"</f>
        <v>רחמים זרוק</v>
      </c>
    </row>
    <row r="735" spans="1:56" x14ac:dyDescent="0.3">
      <c r="A735" s="1">
        <v>45046</v>
      </c>
      <c r="B735" t="str">
        <f>"SI236000579"</f>
        <v>SI236000579</v>
      </c>
      <c r="C735" t="str">
        <f>"PR22000829"</f>
        <v>PR22000829</v>
      </c>
      <c r="E735" t="str">
        <f>"Y"</f>
        <v>Y</v>
      </c>
      <c r="F735" t="str">
        <f>"חשבוניות מרכזות"</f>
        <v>חשבוניות מרכזות</v>
      </c>
      <c r="G735" t="str">
        <f>"700065"</f>
        <v>700065</v>
      </c>
      <c r="H735" t="str">
        <f>"אלתא מערכות בע""מ"</f>
        <v>אלתא מערכות בע"מ</v>
      </c>
      <c r="I735" t="str">
        <f>"15"</f>
        <v>15</v>
      </c>
      <c r="J735" t="str">
        <f>"OP-AR03410"</f>
        <v>OP-AR03410</v>
      </c>
      <c r="K735" t="str">
        <f>"6660R260-001    W260 - MASTER ADSU - COMM BOX SPLITTER A"</f>
        <v>6660R260-001    W260 - MASTER ADSU - COMM BOX SPLITTER A</v>
      </c>
      <c r="L735">
        <v>1</v>
      </c>
      <c r="M735" t="str">
        <f>"יח"</f>
        <v>יח</v>
      </c>
      <c r="N735">
        <v>1</v>
      </c>
      <c r="O735" t="str">
        <f>"יח"</f>
        <v>יח</v>
      </c>
      <c r="P735">
        <v>691.25</v>
      </c>
      <c r="Q735" t="str">
        <f>"$"</f>
        <v>$</v>
      </c>
      <c r="R735" t="str">
        <f>"הזמנה"</f>
        <v>הזמנה</v>
      </c>
      <c r="S735">
        <v>0</v>
      </c>
      <c r="T735">
        <v>691.25</v>
      </c>
      <c r="U735">
        <v>0</v>
      </c>
      <c r="V735">
        <v>691.25</v>
      </c>
      <c r="W735" t="str">
        <f>"$"</f>
        <v>$</v>
      </c>
      <c r="X735">
        <v>0</v>
      </c>
      <c r="Y735">
        <v>0</v>
      </c>
      <c r="Z735">
        <v>0</v>
      </c>
      <c r="AA735" t="str">
        <f>"Y"</f>
        <v>Y</v>
      </c>
      <c r="AB735" t="str">
        <f>"SO22000423"</f>
        <v>SO22000423</v>
      </c>
      <c r="AC735">
        <v>9</v>
      </c>
      <c r="AD735" s="1">
        <v>44892</v>
      </c>
      <c r="AE735" t="str">
        <f>"SH23000506"</f>
        <v>SH23000506</v>
      </c>
      <c r="AF735" t="str">
        <f>"משלוחים ללקוח"</f>
        <v>משלוחים ללקוח</v>
      </c>
      <c r="AG735" s="1">
        <v>45041</v>
      </c>
      <c r="AM735" t="str">
        <f>"10"</f>
        <v>10</v>
      </c>
      <c r="AN735" t="str">
        <f>"500000"</f>
        <v>500000</v>
      </c>
      <c r="AO735" t="str">
        <f>"הכנסות  מלקוחות"</f>
        <v>הכנסות  מלקוחות</v>
      </c>
      <c r="AQ735" t="str">
        <f>"040"</f>
        <v>040</v>
      </c>
      <c r="AR735">
        <v>0</v>
      </c>
      <c r="AS735">
        <v>0</v>
      </c>
      <c r="AT735">
        <v>3.641</v>
      </c>
      <c r="AX735" t="str">
        <f>"E000378271"</f>
        <v>E000378271</v>
      </c>
      <c r="BD735" t="str">
        <f>"רחמים זרוק"</f>
        <v>רחמים זרוק</v>
      </c>
    </row>
    <row r="736" spans="1:56" x14ac:dyDescent="0.3">
      <c r="A736" s="1">
        <v>45046</v>
      </c>
      <c r="B736" t="str">
        <f>"SI236000569"</f>
        <v>SI236000569</v>
      </c>
      <c r="C736" t="str">
        <f>"PR23000289"</f>
        <v>PR23000289</v>
      </c>
      <c r="D736" t="str">
        <f>"PR23000289"</f>
        <v>PR23000289</v>
      </c>
      <c r="E736" t="str">
        <f>"Y"</f>
        <v>Y</v>
      </c>
      <c r="F736" t="str">
        <f>"חשבוניות מרכזות"</f>
        <v>חשבוניות מרכזות</v>
      </c>
      <c r="G736" t="str">
        <f>"700065"</f>
        <v>700065</v>
      </c>
      <c r="H736" t="str">
        <f>"אלתא מערכות בע""מ"</f>
        <v>אלתא מערכות בע"מ</v>
      </c>
      <c r="I736" t="str">
        <f>"10"</f>
        <v>10</v>
      </c>
      <c r="J736" t="str">
        <f>"000"</f>
        <v>000</v>
      </c>
      <c r="K736" t="str">
        <f>"עלויות נלוות- מסדים"</f>
        <v>עלויות נלוות- מסדים</v>
      </c>
      <c r="L736">
        <v>1</v>
      </c>
      <c r="M736" t="str">
        <f>"יח"</f>
        <v>יח</v>
      </c>
      <c r="N736">
        <v>1</v>
      </c>
      <c r="O736" t="str">
        <f>"יח"</f>
        <v>יח</v>
      </c>
      <c r="P736" s="2">
        <v>8750</v>
      </c>
      <c r="Q736" t="str">
        <f>"$"</f>
        <v>$</v>
      </c>
      <c r="R736" t="str">
        <f>"הזמנה"</f>
        <v>הזמנה</v>
      </c>
      <c r="S736">
        <v>0</v>
      </c>
      <c r="T736" s="2">
        <v>8750</v>
      </c>
      <c r="U736">
        <v>0</v>
      </c>
      <c r="V736" s="2">
        <v>8750</v>
      </c>
      <c r="W736" t="str">
        <f>"$"</f>
        <v>$</v>
      </c>
      <c r="X736">
        <v>0</v>
      </c>
      <c r="Y736">
        <v>0</v>
      </c>
      <c r="Z736">
        <v>0</v>
      </c>
      <c r="AA736" t="str">
        <f>"Y"</f>
        <v>Y</v>
      </c>
      <c r="AB736" t="str">
        <f>"SO23000201"</f>
        <v>SO23000201</v>
      </c>
      <c r="AC736">
        <v>1</v>
      </c>
      <c r="AD736" s="1">
        <v>45041</v>
      </c>
      <c r="AM736" t="str">
        <f>"10"</f>
        <v>10</v>
      </c>
      <c r="AN736" t="str">
        <f>"500000"</f>
        <v>500000</v>
      </c>
      <c r="AO736" t="str">
        <f>"הכנסות  מלקוחות"</f>
        <v>הכנסות  מלקוחות</v>
      </c>
      <c r="AQ736" t="str">
        <f>"007"</f>
        <v>007</v>
      </c>
      <c r="AR736">
        <v>0</v>
      </c>
      <c r="AS736">
        <v>0</v>
      </c>
      <c r="AT736">
        <v>3.641</v>
      </c>
      <c r="AX736" t="str">
        <f>"E000392592"</f>
        <v>E000392592</v>
      </c>
      <c r="BD736" t="str">
        <f>"רוני דידי"</f>
        <v>רוני דידי</v>
      </c>
    </row>
    <row r="737" spans="1:56" x14ac:dyDescent="0.3">
      <c r="A737" s="1">
        <v>45046</v>
      </c>
      <c r="B737" t="str">
        <f>"SI236000569"</f>
        <v>SI236000569</v>
      </c>
      <c r="C737" t="str">
        <f>"PR23000289"</f>
        <v>PR23000289</v>
      </c>
      <c r="D737" t="str">
        <f>"PR23000289"</f>
        <v>PR23000289</v>
      </c>
      <c r="E737" t="str">
        <f>"Y"</f>
        <v>Y</v>
      </c>
      <c r="F737" t="str">
        <f>"חשבוניות מרכזות"</f>
        <v>חשבוניות מרכזות</v>
      </c>
      <c r="G737" t="str">
        <f>"700065"</f>
        <v>700065</v>
      </c>
      <c r="H737" t="str">
        <f>"אלתא מערכות בע""מ"</f>
        <v>אלתא מערכות בע"מ</v>
      </c>
      <c r="I737" t="str">
        <f>"10"</f>
        <v>10</v>
      </c>
      <c r="J737" t="str">
        <f>"000"</f>
        <v>000</v>
      </c>
      <c r="K737" t="str">
        <f>"ביצוע ניסוי טמפרטורה"</f>
        <v>ביצוע ניסוי טמפרטורה</v>
      </c>
      <c r="L737">
        <v>1</v>
      </c>
      <c r="M737" t="str">
        <f>"יח"</f>
        <v>יח</v>
      </c>
      <c r="N737">
        <v>1</v>
      </c>
      <c r="O737" t="str">
        <f>"יח"</f>
        <v>יח</v>
      </c>
      <c r="P737" s="2">
        <v>8400</v>
      </c>
      <c r="Q737" t="str">
        <f>"$"</f>
        <v>$</v>
      </c>
      <c r="R737" t="str">
        <f>"הזמנה"</f>
        <v>הזמנה</v>
      </c>
      <c r="S737">
        <v>0</v>
      </c>
      <c r="T737" s="2">
        <v>8400</v>
      </c>
      <c r="U737">
        <v>0</v>
      </c>
      <c r="V737" s="2">
        <v>8400</v>
      </c>
      <c r="W737" t="str">
        <f>"$"</f>
        <v>$</v>
      </c>
      <c r="X737">
        <v>0</v>
      </c>
      <c r="Y737">
        <v>0</v>
      </c>
      <c r="Z737">
        <v>0</v>
      </c>
      <c r="AA737" t="str">
        <f>"Y"</f>
        <v>Y</v>
      </c>
      <c r="AB737" t="str">
        <f>"SO23000201"</f>
        <v>SO23000201</v>
      </c>
      <c r="AC737">
        <v>2</v>
      </c>
      <c r="AD737" s="1">
        <v>45041</v>
      </c>
      <c r="AM737" t="str">
        <f>"10"</f>
        <v>10</v>
      </c>
      <c r="AN737" t="str">
        <f>"500000"</f>
        <v>500000</v>
      </c>
      <c r="AO737" t="str">
        <f>"הכנסות  מלקוחות"</f>
        <v>הכנסות  מלקוחות</v>
      </c>
      <c r="AQ737" t="str">
        <f>"007"</f>
        <v>007</v>
      </c>
      <c r="AR737">
        <v>0</v>
      </c>
      <c r="AS737">
        <v>0</v>
      </c>
      <c r="AT737">
        <v>3.641</v>
      </c>
      <c r="AX737" t="str">
        <f>"E000392592"</f>
        <v>E000392592</v>
      </c>
      <c r="BD737" t="str">
        <f>"רוני דידי"</f>
        <v>רוני דידי</v>
      </c>
    </row>
    <row r="738" spans="1:56" x14ac:dyDescent="0.3">
      <c r="A738" s="1">
        <v>45041</v>
      </c>
      <c r="B738" t="str">
        <f>"SI236000553"</f>
        <v>SI236000553</v>
      </c>
      <c r="E738" t="str">
        <f>"Y"</f>
        <v>Y</v>
      </c>
      <c r="F738" t="str">
        <f>"חשבוניות מרכזות"</f>
        <v>חשבוניות מרכזות</v>
      </c>
      <c r="G738" t="str">
        <f>"700065"</f>
        <v>700065</v>
      </c>
      <c r="H738" t="str">
        <f>"אלתא מערכות בע""מ"</f>
        <v>אלתא מערכות בע"מ</v>
      </c>
      <c r="I738" t="str">
        <f>"10"</f>
        <v>10</v>
      </c>
      <c r="J738" t="str">
        <f>"OP-ML00218"</f>
        <v>OP-ML00218</v>
      </c>
      <c r="K738" t="str">
        <f>"1042A900-001 RECTIFIER RACK"</f>
        <v>1042A900-001 RECTIFIER RACK</v>
      </c>
      <c r="L738">
        <v>1</v>
      </c>
      <c r="M738" t="str">
        <f>"יח"</f>
        <v>יח</v>
      </c>
      <c r="N738">
        <v>1</v>
      </c>
      <c r="O738" t="str">
        <f>"יח"</f>
        <v>יח</v>
      </c>
      <c r="P738" s="2">
        <v>42500</v>
      </c>
      <c r="Q738" t="str">
        <f>"$"</f>
        <v>$</v>
      </c>
      <c r="R738" t="str">
        <f>"הזמנה"</f>
        <v>הזמנה</v>
      </c>
      <c r="S738">
        <v>0</v>
      </c>
      <c r="T738" s="2">
        <v>42500</v>
      </c>
      <c r="U738">
        <v>0</v>
      </c>
      <c r="V738" s="2">
        <v>42500</v>
      </c>
      <c r="W738" t="str">
        <f>"$"</f>
        <v>$</v>
      </c>
      <c r="X738">
        <v>0</v>
      </c>
      <c r="Y738">
        <v>0</v>
      </c>
      <c r="Z738">
        <v>0</v>
      </c>
      <c r="AA738" t="str">
        <f>"Y"</f>
        <v>Y</v>
      </c>
      <c r="AB738" t="str">
        <f>"SO22000181"</f>
        <v>SO22000181</v>
      </c>
      <c r="AC738">
        <v>6</v>
      </c>
      <c r="AD738" s="1">
        <v>44696</v>
      </c>
      <c r="AM738" t="str">
        <f>"10"</f>
        <v>10</v>
      </c>
      <c r="AN738" t="str">
        <f>"500000"</f>
        <v>500000</v>
      </c>
      <c r="AO738" t="str">
        <f>"הכנסות  מלקוחות"</f>
        <v>הכנסות  מלקוחות</v>
      </c>
      <c r="AQ738" t="str">
        <f>"034"</f>
        <v>034</v>
      </c>
      <c r="AR738">
        <v>0</v>
      </c>
      <c r="AS738">
        <v>0</v>
      </c>
      <c r="AT738">
        <v>3.661</v>
      </c>
      <c r="AX738" t="str">
        <f>"E000362815"</f>
        <v>E000362815</v>
      </c>
      <c r="BD738" t="str">
        <f>"ערן שלו"</f>
        <v>ערן שלו</v>
      </c>
    </row>
    <row r="739" spans="1:56" x14ac:dyDescent="0.3">
      <c r="A739" s="1">
        <v>45040</v>
      </c>
      <c r="B739" t="str">
        <f>"SI236000573"</f>
        <v>SI236000573</v>
      </c>
      <c r="C739" t="str">
        <f>"PR22000629"</f>
        <v>PR22000629</v>
      </c>
      <c r="D739" t="str">
        <f>"PR22000629"</f>
        <v>PR22000629</v>
      </c>
      <c r="E739" t="str">
        <f>"Y"</f>
        <v>Y</v>
      </c>
      <c r="F739" t="str">
        <f>"חשבוניות מרכזות"</f>
        <v>חשבוניות מרכזות</v>
      </c>
      <c r="G739" t="str">
        <f>"700065"</f>
        <v>700065</v>
      </c>
      <c r="H739" t="str">
        <f>"אלתא מערכות בע""מ"</f>
        <v>אלתא מערכות בע"מ</v>
      </c>
      <c r="I739" t="str">
        <f>"15"</f>
        <v>15</v>
      </c>
      <c r="J739" t="str">
        <f>"OP-AR03336"</f>
        <v>OP-AR03336</v>
      </c>
      <c r="K739" t="str">
        <f>"1041G803-001    CONTROL CABLE WC064a"</f>
        <v>1041G803-001    CONTROL CABLE WC064a</v>
      </c>
      <c r="L739">
        <v>2</v>
      </c>
      <c r="M739" t="str">
        <f>"יח"</f>
        <v>יח</v>
      </c>
      <c r="N739">
        <v>2</v>
      </c>
      <c r="O739" t="str">
        <f>"יח"</f>
        <v>יח</v>
      </c>
      <c r="P739">
        <v>634.75</v>
      </c>
      <c r="Q739" t="str">
        <f>"$"</f>
        <v>$</v>
      </c>
      <c r="R739" t="str">
        <f>"הזמנה"</f>
        <v>הזמנה</v>
      </c>
      <c r="S739">
        <v>0</v>
      </c>
      <c r="T739" s="2">
        <v>1269.5</v>
      </c>
      <c r="U739">
        <v>0</v>
      </c>
      <c r="V739" s="2">
        <v>1269.5</v>
      </c>
      <c r="W739" t="str">
        <f>"$"</f>
        <v>$</v>
      </c>
      <c r="X739">
        <v>0</v>
      </c>
      <c r="Y739">
        <v>0</v>
      </c>
      <c r="Z739">
        <v>0</v>
      </c>
      <c r="AA739" t="str">
        <f>"Y"</f>
        <v>Y</v>
      </c>
      <c r="AB739" t="str">
        <f>"SO22000378"</f>
        <v>SO22000378</v>
      </c>
      <c r="AC739">
        <v>3</v>
      </c>
      <c r="AD739" s="1">
        <v>44847</v>
      </c>
      <c r="AE739" t="str">
        <f>"SH23000501"</f>
        <v>SH23000501</v>
      </c>
      <c r="AF739" t="str">
        <f>"משלוחים ללקוח"</f>
        <v>משלוחים ללקוח</v>
      </c>
      <c r="AG739" s="1">
        <v>45040</v>
      </c>
      <c r="AM739" t="str">
        <f>"10"</f>
        <v>10</v>
      </c>
      <c r="AN739" t="str">
        <f>"500000"</f>
        <v>500000</v>
      </c>
      <c r="AO739" t="str">
        <f>"הכנסות  מלקוחות"</f>
        <v>הכנסות  מלקוחות</v>
      </c>
      <c r="AQ739" t="str">
        <f>"040"</f>
        <v>040</v>
      </c>
      <c r="AR739">
        <v>0</v>
      </c>
      <c r="AS739">
        <v>0</v>
      </c>
      <c r="AT739">
        <v>3.661</v>
      </c>
      <c r="AX739" t="str">
        <f>"E000374542"</f>
        <v>E000374542</v>
      </c>
      <c r="BD739" t="str">
        <f>"רחמים זרוק"</f>
        <v>רחמים זרוק</v>
      </c>
    </row>
    <row r="740" spans="1:56" x14ac:dyDescent="0.3">
      <c r="A740" s="1">
        <v>45040</v>
      </c>
      <c r="B740" t="str">
        <f>"SI236000573"</f>
        <v>SI236000573</v>
      </c>
      <c r="C740" t="str">
        <f>"PR22000629"</f>
        <v>PR22000629</v>
      </c>
      <c r="D740" t="str">
        <f>"PR22000629"</f>
        <v>PR22000629</v>
      </c>
      <c r="E740" t="str">
        <f>"Y"</f>
        <v>Y</v>
      </c>
      <c r="F740" t="str">
        <f>"חשבוניות מרכזות"</f>
        <v>חשבוניות מרכזות</v>
      </c>
      <c r="G740" t="str">
        <f>"700065"</f>
        <v>700065</v>
      </c>
      <c r="H740" t="str">
        <f>"אלתא מערכות בע""מ"</f>
        <v>אלתא מערכות בע"מ</v>
      </c>
      <c r="I740" t="str">
        <f>"15"</f>
        <v>15</v>
      </c>
      <c r="J740" t="str">
        <f>"OP-AR03338"</f>
        <v>OP-AR03338</v>
      </c>
      <c r="K740" t="str">
        <f>"1041G805-001   CONTROL CABLE WC064b"</f>
        <v>1041G805-001   CONTROL CABLE WC064b</v>
      </c>
      <c r="L740">
        <v>3</v>
      </c>
      <c r="M740" t="str">
        <f>"יח"</f>
        <v>יח</v>
      </c>
      <c r="N740">
        <v>3</v>
      </c>
      <c r="O740" t="str">
        <f>"יח"</f>
        <v>יח</v>
      </c>
      <c r="P740">
        <v>606.66</v>
      </c>
      <c r="Q740" t="str">
        <f>"$"</f>
        <v>$</v>
      </c>
      <c r="R740" t="str">
        <f>"הזמנה"</f>
        <v>הזמנה</v>
      </c>
      <c r="S740">
        <v>0</v>
      </c>
      <c r="T740" s="2">
        <v>1819.98</v>
      </c>
      <c r="U740">
        <v>0</v>
      </c>
      <c r="V740" s="2">
        <v>1819.98</v>
      </c>
      <c r="W740" t="str">
        <f>"$"</f>
        <v>$</v>
      </c>
      <c r="X740">
        <v>0</v>
      </c>
      <c r="Y740">
        <v>0</v>
      </c>
      <c r="Z740">
        <v>0</v>
      </c>
      <c r="AA740" t="str">
        <f>"Y"</f>
        <v>Y</v>
      </c>
      <c r="AB740" t="str">
        <f>"SO22000378"</f>
        <v>SO22000378</v>
      </c>
      <c r="AC740">
        <v>5</v>
      </c>
      <c r="AD740" s="1">
        <v>44847</v>
      </c>
      <c r="AE740" t="str">
        <f>"SH23000501"</f>
        <v>SH23000501</v>
      </c>
      <c r="AF740" t="str">
        <f>"משלוחים ללקוח"</f>
        <v>משלוחים ללקוח</v>
      </c>
      <c r="AG740" s="1">
        <v>45040</v>
      </c>
      <c r="AM740" t="str">
        <f>"10"</f>
        <v>10</v>
      </c>
      <c r="AN740" t="str">
        <f>"500000"</f>
        <v>500000</v>
      </c>
      <c r="AO740" t="str">
        <f>"הכנסות  מלקוחות"</f>
        <v>הכנסות  מלקוחות</v>
      </c>
      <c r="AQ740" t="str">
        <f>"040"</f>
        <v>040</v>
      </c>
      <c r="AR740">
        <v>0</v>
      </c>
      <c r="AS740">
        <v>0</v>
      </c>
      <c r="AT740">
        <v>3.661</v>
      </c>
      <c r="AX740" t="str">
        <f>"E000374542"</f>
        <v>E000374542</v>
      </c>
      <c r="BD740" t="str">
        <f>"רחמים זרוק"</f>
        <v>רחמים זרוק</v>
      </c>
    </row>
    <row r="741" spans="1:56" x14ac:dyDescent="0.3">
      <c r="A741" s="1">
        <v>45036</v>
      </c>
      <c r="B741" t="str">
        <f>"SI236000572"</f>
        <v>SI236000572</v>
      </c>
      <c r="C741" t="str">
        <f>"PR21000068"</f>
        <v>PR21000068</v>
      </c>
      <c r="E741" t="str">
        <f>"Y"</f>
        <v>Y</v>
      </c>
      <c r="F741" t="str">
        <f>"חשבוניות מרכזות"</f>
        <v>חשבוניות מרכזות</v>
      </c>
      <c r="G741" t="str">
        <f>"700065"</f>
        <v>700065</v>
      </c>
      <c r="H741" t="str">
        <f>"אלתא מערכות בע""מ"</f>
        <v>אלתא מערכות בע"מ</v>
      </c>
      <c r="I741" t="str">
        <f>"10"</f>
        <v>10</v>
      </c>
      <c r="J741" t="str">
        <f>"OP-AR02042"</f>
        <v>OP-AR02042</v>
      </c>
      <c r="K741" t="str">
        <f>"PDB2  1038C870-001"</f>
        <v>PDB2  1038C870-001</v>
      </c>
      <c r="L741">
        <v>1</v>
      </c>
      <c r="M741" t="str">
        <f>"יח"</f>
        <v>יח</v>
      </c>
      <c r="N741">
        <v>1</v>
      </c>
      <c r="O741" t="str">
        <f>"יח"</f>
        <v>יח</v>
      </c>
      <c r="P741" s="2">
        <v>26985</v>
      </c>
      <c r="Q741" t="str">
        <f>"$"</f>
        <v>$</v>
      </c>
      <c r="R741" t="str">
        <f>"הזמנה"</f>
        <v>הזמנה</v>
      </c>
      <c r="S741">
        <v>0</v>
      </c>
      <c r="T741" s="2">
        <v>26985</v>
      </c>
      <c r="U741">
        <v>0</v>
      </c>
      <c r="V741" s="2">
        <v>26985</v>
      </c>
      <c r="W741" t="str">
        <f>"$"</f>
        <v>$</v>
      </c>
      <c r="X741">
        <v>0</v>
      </c>
      <c r="Y741">
        <v>0</v>
      </c>
      <c r="Z741">
        <v>0</v>
      </c>
      <c r="AA741" t="str">
        <f>"Y"</f>
        <v>Y</v>
      </c>
      <c r="AB741" t="str">
        <f>"SO22000192"</f>
        <v>SO22000192</v>
      </c>
      <c r="AC741">
        <v>2</v>
      </c>
      <c r="AD741" s="1">
        <v>44698</v>
      </c>
      <c r="AE741" t="str">
        <f>"SH23000496"</f>
        <v>SH23000496</v>
      </c>
      <c r="AF741" t="str">
        <f>"משלוחים ללקוח"</f>
        <v>משלוחים ללקוח</v>
      </c>
      <c r="AG741" s="1">
        <v>45036</v>
      </c>
      <c r="AM741" t="str">
        <f>"10"</f>
        <v>10</v>
      </c>
      <c r="AN741" t="str">
        <f>"500000"</f>
        <v>500000</v>
      </c>
      <c r="AO741" t="str">
        <f>"הכנסות  מלקוחות"</f>
        <v>הכנסות  מלקוחות</v>
      </c>
      <c r="AQ741" t="str">
        <f>"034"</f>
        <v>034</v>
      </c>
      <c r="AR741">
        <v>0</v>
      </c>
      <c r="AS741">
        <v>0</v>
      </c>
      <c r="AT741">
        <v>3.6539999999999999</v>
      </c>
      <c r="AX741" t="str">
        <f>"E000361337"</f>
        <v>E000361337</v>
      </c>
      <c r="BD741" t="str">
        <f>"ערן שלו"</f>
        <v>ערן שלו</v>
      </c>
    </row>
    <row r="742" spans="1:56" x14ac:dyDescent="0.3">
      <c r="A742" s="1">
        <v>45036</v>
      </c>
      <c r="B742" t="str">
        <f>"SI236000570"</f>
        <v>SI236000570</v>
      </c>
      <c r="C742" t="str">
        <f>"PR23000205"</f>
        <v>PR23000205</v>
      </c>
      <c r="E742" t="str">
        <f>"Y"</f>
        <v>Y</v>
      </c>
      <c r="F742" t="str">
        <f>"חשבוניות מרכזות"</f>
        <v>חשבוניות מרכזות</v>
      </c>
      <c r="G742" t="str">
        <f>"700065"</f>
        <v>700065</v>
      </c>
      <c r="H742" t="str">
        <f>"אלתא מערכות בע""מ"</f>
        <v>אלתא מערכות בע"מ</v>
      </c>
      <c r="I742" t="str">
        <f>"10"</f>
        <v>10</v>
      </c>
      <c r="J742" t="str">
        <f>"OP-AR03588"</f>
        <v>OP-AR03588</v>
      </c>
      <c r="K742" t="str">
        <f>"תיקון 1026L310"</f>
        <v>תיקון 1026L310</v>
      </c>
      <c r="L742">
        <v>1</v>
      </c>
      <c r="M742" t="str">
        <f>"יח"</f>
        <v>יח</v>
      </c>
      <c r="N742">
        <v>1</v>
      </c>
      <c r="O742" t="str">
        <f>"יח"</f>
        <v>יח</v>
      </c>
      <c r="P742" s="2">
        <v>2450</v>
      </c>
      <c r="Q742" t="str">
        <f>"$"</f>
        <v>$</v>
      </c>
      <c r="R742" t="str">
        <f>"הזמנה"</f>
        <v>הזמנה</v>
      </c>
      <c r="S742">
        <v>0</v>
      </c>
      <c r="T742" s="2">
        <v>2450</v>
      </c>
      <c r="U742">
        <v>0</v>
      </c>
      <c r="V742" s="2">
        <v>2450</v>
      </c>
      <c r="W742" t="str">
        <f>"$"</f>
        <v>$</v>
      </c>
      <c r="X742">
        <v>0</v>
      </c>
      <c r="Y742">
        <v>0</v>
      </c>
      <c r="Z742">
        <v>0</v>
      </c>
      <c r="AA742" t="str">
        <f>"Y"</f>
        <v>Y</v>
      </c>
      <c r="AB742" t="str">
        <f>"SO23000142"</f>
        <v>SO23000142</v>
      </c>
      <c r="AC742">
        <v>1</v>
      </c>
      <c r="AD742" s="1">
        <v>44993</v>
      </c>
      <c r="AE742" t="str">
        <f>"SH23000491"</f>
        <v>SH23000491</v>
      </c>
      <c r="AF742" t="str">
        <f>"משלוחים ללקוח"</f>
        <v>משלוחים ללקוח</v>
      </c>
      <c r="AG742" s="1">
        <v>45036</v>
      </c>
      <c r="AM742" t="str">
        <f>"10"</f>
        <v>10</v>
      </c>
      <c r="AN742" t="str">
        <f>"500000"</f>
        <v>500000</v>
      </c>
      <c r="AO742" t="str">
        <f>"הכנסות  מלקוחות"</f>
        <v>הכנסות  מלקוחות</v>
      </c>
      <c r="AQ742" t="str">
        <f>"007"</f>
        <v>007</v>
      </c>
      <c r="AR742">
        <v>0</v>
      </c>
      <c r="AS742">
        <v>0</v>
      </c>
      <c r="AT742">
        <v>3.6539999999999999</v>
      </c>
      <c r="AX742" t="str">
        <f>"E000389230"</f>
        <v>E000389230</v>
      </c>
      <c r="BD742" t="str">
        <f>"רוני דידי"</f>
        <v>רוני דידי</v>
      </c>
    </row>
    <row r="743" spans="1:56" x14ac:dyDescent="0.3">
      <c r="A743" s="1">
        <v>45036</v>
      </c>
      <c r="B743" t="str">
        <f>"SI236000526"</f>
        <v>SI236000526</v>
      </c>
      <c r="E743" t="str">
        <f>"Y"</f>
        <v>Y</v>
      </c>
      <c r="F743" t="str">
        <f>"חשבוניות מרכזות"</f>
        <v>חשבוניות מרכזות</v>
      </c>
      <c r="G743" t="str">
        <f>"700065"</f>
        <v>700065</v>
      </c>
      <c r="H743" t="str">
        <f>"אלתא מערכות בע""מ"</f>
        <v>אלתא מערכות בע"מ</v>
      </c>
      <c r="I743" t="str">
        <f>"10"</f>
        <v>10</v>
      </c>
      <c r="J743" t="str">
        <f>"000"</f>
        <v>000</v>
      </c>
      <c r="K743" t="str">
        <f>"עבור שינוי מהדורות"</f>
        <v>עבור שינוי מהדורות</v>
      </c>
      <c r="L743">
        <v>1</v>
      </c>
      <c r="M743" t="str">
        <f>"יח"</f>
        <v>יח</v>
      </c>
      <c r="N743">
        <v>1</v>
      </c>
      <c r="O743" t="str">
        <f>"יח"</f>
        <v>יח</v>
      </c>
      <c r="P743">
        <v>728</v>
      </c>
      <c r="Q743" t="str">
        <f>"$"</f>
        <v>$</v>
      </c>
      <c r="R743" t="str">
        <f>"הזמנה"</f>
        <v>הזמנה</v>
      </c>
      <c r="S743">
        <v>0</v>
      </c>
      <c r="T743">
        <v>728</v>
      </c>
      <c r="U743">
        <v>0</v>
      </c>
      <c r="V743">
        <v>728</v>
      </c>
      <c r="W743" t="str">
        <f>"$"</f>
        <v>$</v>
      </c>
      <c r="X743">
        <v>0</v>
      </c>
      <c r="Y743">
        <v>0</v>
      </c>
      <c r="Z743">
        <v>0</v>
      </c>
      <c r="AA743" t="str">
        <f>"Y"</f>
        <v>Y</v>
      </c>
      <c r="AB743" t="str">
        <f>"SO21000095"</f>
        <v>SO21000095</v>
      </c>
      <c r="AC743">
        <v>2</v>
      </c>
      <c r="AD743" s="1">
        <v>44258</v>
      </c>
      <c r="AM743" t="str">
        <f>"10"</f>
        <v>10</v>
      </c>
      <c r="AN743" t="str">
        <f>"500000"</f>
        <v>500000</v>
      </c>
      <c r="AO743" t="str">
        <f>"הכנסות  מלקוחות"</f>
        <v>הכנסות  מלקוחות</v>
      </c>
      <c r="AQ743" t="str">
        <f>"040"</f>
        <v>040</v>
      </c>
      <c r="AR743">
        <v>0</v>
      </c>
      <c r="AS743">
        <v>0</v>
      </c>
      <c r="AT743">
        <v>3.6589999999999998</v>
      </c>
      <c r="AX743" t="str">
        <f>"E000334007"</f>
        <v>E000334007</v>
      </c>
      <c r="BD743" t="str">
        <f>"רחמים זרוק"</f>
        <v>רחמים זרוק</v>
      </c>
    </row>
    <row r="744" spans="1:56" x14ac:dyDescent="0.3">
      <c r="A744" s="1">
        <v>45034</v>
      </c>
      <c r="B744" t="str">
        <f>"SI236000535"</f>
        <v>SI236000535</v>
      </c>
      <c r="C744" t="str">
        <f>"PR22000671"</f>
        <v>PR22000671</v>
      </c>
      <c r="E744" t="str">
        <f>"Y"</f>
        <v>Y</v>
      </c>
      <c r="F744" t="str">
        <f>"חשבוניות מרכזות"</f>
        <v>חשבוניות מרכזות</v>
      </c>
      <c r="G744" t="str">
        <f>"700065"</f>
        <v>700065</v>
      </c>
      <c r="H744" t="str">
        <f>"אלתא מערכות בע""מ"</f>
        <v>אלתא מערכות בע"מ</v>
      </c>
      <c r="I744" t="str">
        <f>"15"</f>
        <v>15</v>
      </c>
      <c r="J744" t="str">
        <f>"OP-AR03362"</f>
        <v>OP-AR03362</v>
      </c>
      <c r="K744" t="str">
        <f>"2081B122-001    CABLE ASSY W42-8 (RP POWER)"</f>
        <v>2081B122-001    CABLE ASSY W42-8 (RP POWER)</v>
      </c>
      <c r="L744">
        <v>1</v>
      </c>
      <c r="M744" t="str">
        <f>"יח"</f>
        <v>יח</v>
      </c>
      <c r="N744">
        <v>1</v>
      </c>
      <c r="O744" t="str">
        <f>"יח"</f>
        <v>יח</v>
      </c>
      <c r="P744">
        <v>571.5</v>
      </c>
      <c r="Q744" t="str">
        <f>"$"</f>
        <v>$</v>
      </c>
      <c r="R744" t="str">
        <f>"הזמנה"</f>
        <v>הזמנה</v>
      </c>
      <c r="S744">
        <v>0</v>
      </c>
      <c r="T744">
        <v>571.5</v>
      </c>
      <c r="U744">
        <v>0</v>
      </c>
      <c r="V744">
        <v>571.5</v>
      </c>
      <c r="W744" t="str">
        <f>"$"</f>
        <v>$</v>
      </c>
      <c r="X744">
        <v>0</v>
      </c>
      <c r="Y744">
        <v>0</v>
      </c>
      <c r="Z744">
        <v>0</v>
      </c>
      <c r="AA744" t="str">
        <f>"Y"</f>
        <v>Y</v>
      </c>
      <c r="AB744" t="str">
        <f>"SO22000385"</f>
        <v>SO22000385</v>
      </c>
      <c r="AC744">
        <v>4</v>
      </c>
      <c r="AD744" s="1">
        <v>44860</v>
      </c>
      <c r="AE744" t="str">
        <f>"SH23000480"</f>
        <v>SH23000480</v>
      </c>
      <c r="AF744" t="str">
        <f>"משלוחים ללקוח"</f>
        <v>משלוחים ללקוח</v>
      </c>
      <c r="AG744" s="1">
        <v>45032</v>
      </c>
      <c r="AM744" t="str">
        <f>"10"</f>
        <v>10</v>
      </c>
      <c r="AN744" t="str">
        <f>"500000"</f>
        <v>500000</v>
      </c>
      <c r="AO744" t="str">
        <f>"הכנסות  מלקוחות"</f>
        <v>הכנסות  מלקוחות</v>
      </c>
      <c r="AQ744" t="str">
        <f>"040"</f>
        <v>040</v>
      </c>
      <c r="AR744">
        <v>0</v>
      </c>
      <c r="AS744">
        <v>0</v>
      </c>
      <c r="AT744">
        <v>3.6469999999999998</v>
      </c>
      <c r="AX744" t="str">
        <f>"E000374617"</f>
        <v>E000374617</v>
      </c>
      <c r="BD744" t="str">
        <f>"רחמים זרוק"</f>
        <v>רחמים זרוק</v>
      </c>
    </row>
    <row r="745" spans="1:56" x14ac:dyDescent="0.3">
      <c r="A745" s="1">
        <v>45034</v>
      </c>
      <c r="B745" t="str">
        <f>"SI236000535"</f>
        <v>SI236000535</v>
      </c>
      <c r="C745" t="str">
        <f>"PR22000671"</f>
        <v>PR22000671</v>
      </c>
      <c r="E745" t="str">
        <f>"Y"</f>
        <v>Y</v>
      </c>
      <c r="F745" t="str">
        <f>"חשבוניות מרכזות"</f>
        <v>חשבוניות מרכזות</v>
      </c>
      <c r="G745" t="str">
        <f>"700065"</f>
        <v>700065</v>
      </c>
      <c r="H745" t="str">
        <f>"אלתא מערכות בע""מ"</f>
        <v>אלתא מערכות בע"מ</v>
      </c>
      <c r="I745" t="str">
        <f>"15"</f>
        <v>15</v>
      </c>
      <c r="J745" t="str">
        <f>"OP-AR03365"</f>
        <v>OP-AR03365</v>
      </c>
      <c r="K745" t="str">
        <f>"2210B776-001    CABLE ASSY W44 (BFU PWR)"</f>
        <v>2210B776-001    CABLE ASSY W44 (BFU PWR)</v>
      </c>
      <c r="L745">
        <v>1</v>
      </c>
      <c r="M745" t="str">
        <f>"יח"</f>
        <v>יח</v>
      </c>
      <c r="N745">
        <v>1</v>
      </c>
      <c r="O745" t="str">
        <f>"יח"</f>
        <v>יח</v>
      </c>
      <c r="P745">
        <v>253.61</v>
      </c>
      <c r="Q745" t="str">
        <f>"$"</f>
        <v>$</v>
      </c>
      <c r="R745" t="str">
        <f>"הזמנה"</f>
        <v>הזמנה</v>
      </c>
      <c r="S745">
        <v>0</v>
      </c>
      <c r="T745">
        <v>253.61</v>
      </c>
      <c r="U745">
        <v>0</v>
      </c>
      <c r="V745">
        <v>253.61</v>
      </c>
      <c r="W745" t="str">
        <f>"$"</f>
        <v>$</v>
      </c>
      <c r="X745">
        <v>0</v>
      </c>
      <c r="Y745">
        <v>0</v>
      </c>
      <c r="Z745">
        <v>0</v>
      </c>
      <c r="AA745" t="str">
        <f>"Y"</f>
        <v>Y</v>
      </c>
      <c r="AB745" t="str">
        <f>"SO22000385"</f>
        <v>SO22000385</v>
      </c>
      <c r="AC745">
        <v>7</v>
      </c>
      <c r="AD745" s="1">
        <v>44860</v>
      </c>
      <c r="AE745" t="str">
        <f>"SH23000480"</f>
        <v>SH23000480</v>
      </c>
      <c r="AF745" t="str">
        <f>"משלוחים ללקוח"</f>
        <v>משלוחים ללקוח</v>
      </c>
      <c r="AG745" s="1">
        <v>45032</v>
      </c>
      <c r="AM745" t="str">
        <f>"10"</f>
        <v>10</v>
      </c>
      <c r="AN745" t="str">
        <f>"500000"</f>
        <v>500000</v>
      </c>
      <c r="AO745" t="str">
        <f>"הכנסות  מלקוחות"</f>
        <v>הכנסות  מלקוחות</v>
      </c>
      <c r="AQ745" t="str">
        <f>"040"</f>
        <v>040</v>
      </c>
      <c r="AR745">
        <v>0</v>
      </c>
      <c r="AS745">
        <v>0</v>
      </c>
      <c r="AT745">
        <v>3.6469999999999998</v>
      </c>
      <c r="AX745" t="str">
        <f>"E000374617"</f>
        <v>E000374617</v>
      </c>
      <c r="BD745" t="str">
        <f>"רחמים זרוק"</f>
        <v>רחמים זרוק</v>
      </c>
    </row>
    <row r="746" spans="1:56" x14ac:dyDescent="0.3">
      <c r="A746" s="1">
        <v>45034</v>
      </c>
      <c r="B746" t="str">
        <f>"SI236000534"</f>
        <v>SI236000534</v>
      </c>
      <c r="C746" t="str">
        <f>"PR22000829"</f>
        <v>PR22000829</v>
      </c>
      <c r="E746" t="str">
        <f>"Y"</f>
        <v>Y</v>
      </c>
      <c r="F746" t="str">
        <f>"חשבוניות מרכזות"</f>
        <v>חשבוניות מרכזות</v>
      </c>
      <c r="G746" t="str">
        <f>"700065"</f>
        <v>700065</v>
      </c>
      <c r="H746" t="str">
        <f>"אלתא מערכות בע""מ"</f>
        <v>אלתא מערכות בע"מ</v>
      </c>
      <c r="I746" t="str">
        <f>"15"</f>
        <v>15</v>
      </c>
      <c r="J746" t="str">
        <f>"OP-AR03405"</f>
        <v>OP-AR03405</v>
      </c>
      <c r="K746" t="str">
        <f>"6660R251-001    W251 - ADSU 1 - MSH TO COMM BOX"</f>
        <v>6660R251-001    W251 - ADSU 1 - MSH TO COMM BOX</v>
      </c>
      <c r="L746">
        <v>1</v>
      </c>
      <c r="M746" t="str">
        <f>"יח"</f>
        <v>יח</v>
      </c>
      <c r="N746">
        <v>1</v>
      </c>
      <c r="O746" t="str">
        <f>"יח"</f>
        <v>יח</v>
      </c>
      <c r="P746">
        <v>590.58000000000004</v>
      </c>
      <c r="Q746" t="str">
        <f>"$"</f>
        <v>$</v>
      </c>
      <c r="R746" t="str">
        <f>"הזמנה"</f>
        <v>הזמנה</v>
      </c>
      <c r="S746">
        <v>0</v>
      </c>
      <c r="T746">
        <v>590.58000000000004</v>
      </c>
      <c r="U746">
        <v>0</v>
      </c>
      <c r="V746">
        <v>590.58000000000004</v>
      </c>
      <c r="W746" t="str">
        <f>"$"</f>
        <v>$</v>
      </c>
      <c r="X746">
        <v>0</v>
      </c>
      <c r="Y746">
        <v>0</v>
      </c>
      <c r="Z746">
        <v>0</v>
      </c>
      <c r="AA746" t="str">
        <f>"Y"</f>
        <v>Y</v>
      </c>
      <c r="AB746" t="str">
        <f>"SO22000423"</f>
        <v>SO22000423</v>
      </c>
      <c r="AC746">
        <v>4</v>
      </c>
      <c r="AD746" s="1">
        <v>44892</v>
      </c>
      <c r="AE746" t="str">
        <f>"SH23000481"</f>
        <v>SH23000481</v>
      </c>
      <c r="AF746" t="str">
        <f>"משלוחים ללקוח"</f>
        <v>משלוחים ללקוח</v>
      </c>
      <c r="AG746" s="1">
        <v>45032</v>
      </c>
      <c r="AM746" t="str">
        <f>"10"</f>
        <v>10</v>
      </c>
      <c r="AN746" t="str">
        <f>"500000"</f>
        <v>500000</v>
      </c>
      <c r="AO746" t="str">
        <f>"הכנסות  מלקוחות"</f>
        <v>הכנסות  מלקוחות</v>
      </c>
      <c r="AQ746" t="str">
        <f>"040"</f>
        <v>040</v>
      </c>
      <c r="AR746">
        <v>0</v>
      </c>
      <c r="AS746">
        <v>0</v>
      </c>
      <c r="AT746">
        <v>3.6469999999999998</v>
      </c>
      <c r="AX746" t="str">
        <f>"E000378271"</f>
        <v>E000378271</v>
      </c>
      <c r="BD746" t="str">
        <f>"רחמים זרוק"</f>
        <v>רחמים זרוק</v>
      </c>
    </row>
    <row r="747" spans="1:56" x14ac:dyDescent="0.3">
      <c r="A747" s="1">
        <v>45034</v>
      </c>
      <c r="B747" t="str">
        <f>"SI236000534"</f>
        <v>SI236000534</v>
      </c>
      <c r="C747" t="str">
        <f>"PR22000829"</f>
        <v>PR22000829</v>
      </c>
      <c r="E747" t="str">
        <f>"Y"</f>
        <v>Y</v>
      </c>
      <c r="F747" t="str">
        <f>"חשבוניות מרכזות"</f>
        <v>חשבוניות מרכזות</v>
      </c>
      <c r="G747" t="str">
        <f>"700065"</f>
        <v>700065</v>
      </c>
      <c r="H747" t="str">
        <f>"אלתא מערכות בע""מ"</f>
        <v>אלתא מערכות בע"מ</v>
      </c>
      <c r="I747" t="str">
        <f>"15"</f>
        <v>15</v>
      </c>
      <c r="J747" t="str">
        <f>"OP-AR03406"</f>
        <v>OP-AR03406</v>
      </c>
      <c r="K747" t="str">
        <f>"6660R252-001    W252 - ADSU 2 - MSH TO COMM BOX"</f>
        <v>6660R252-001    W252 - ADSU 2 - MSH TO COMM BOX</v>
      </c>
      <c r="L747">
        <v>1</v>
      </c>
      <c r="M747" t="str">
        <f>"יח"</f>
        <v>יח</v>
      </c>
      <c r="N747">
        <v>1</v>
      </c>
      <c r="O747" t="str">
        <f>"יח"</f>
        <v>יח</v>
      </c>
      <c r="P747">
        <v>590.58000000000004</v>
      </c>
      <c r="Q747" t="str">
        <f>"$"</f>
        <v>$</v>
      </c>
      <c r="R747" t="str">
        <f>"הזמנה"</f>
        <v>הזמנה</v>
      </c>
      <c r="S747">
        <v>0</v>
      </c>
      <c r="T747">
        <v>590.58000000000004</v>
      </c>
      <c r="U747">
        <v>0</v>
      </c>
      <c r="V747">
        <v>590.58000000000004</v>
      </c>
      <c r="W747" t="str">
        <f>"$"</f>
        <v>$</v>
      </c>
      <c r="X747">
        <v>0</v>
      </c>
      <c r="Y747">
        <v>0</v>
      </c>
      <c r="Z747">
        <v>0</v>
      </c>
      <c r="AA747" t="str">
        <f>"Y"</f>
        <v>Y</v>
      </c>
      <c r="AB747" t="str">
        <f>"SO22000423"</f>
        <v>SO22000423</v>
      </c>
      <c r="AC747">
        <v>5</v>
      </c>
      <c r="AD747" s="1">
        <v>44892</v>
      </c>
      <c r="AE747" t="str">
        <f>"SH23000481"</f>
        <v>SH23000481</v>
      </c>
      <c r="AF747" t="str">
        <f>"משלוחים ללקוח"</f>
        <v>משלוחים ללקוח</v>
      </c>
      <c r="AG747" s="1">
        <v>45032</v>
      </c>
      <c r="AM747" t="str">
        <f>"10"</f>
        <v>10</v>
      </c>
      <c r="AN747" t="str">
        <f>"500000"</f>
        <v>500000</v>
      </c>
      <c r="AO747" t="str">
        <f>"הכנסות  מלקוחות"</f>
        <v>הכנסות  מלקוחות</v>
      </c>
      <c r="AQ747" t="str">
        <f>"040"</f>
        <v>040</v>
      </c>
      <c r="AR747">
        <v>0</v>
      </c>
      <c r="AS747">
        <v>0</v>
      </c>
      <c r="AT747">
        <v>3.6469999999999998</v>
      </c>
      <c r="AX747" t="str">
        <f>"E000378271"</f>
        <v>E000378271</v>
      </c>
      <c r="BD747" t="str">
        <f>"רחמים זרוק"</f>
        <v>רחמים זרוק</v>
      </c>
    </row>
    <row r="748" spans="1:56" x14ac:dyDescent="0.3">
      <c r="A748" s="1">
        <v>45034</v>
      </c>
      <c r="B748" t="str">
        <f>"SI236000533"</f>
        <v>SI236000533</v>
      </c>
      <c r="C748" t="str">
        <f>"PR22000829"</f>
        <v>PR22000829</v>
      </c>
      <c r="E748" t="str">
        <f>"Y"</f>
        <v>Y</v>
      </c>
      <c r="F748" t="str">
        <f>"חשבוניות מרכזות"</f>
        <v>חשבוניות מרכזות</v>
      </c>
      <c r="G748" t="str">
        <f>"700065"</f>
        <v>700065</v>
      </c>
      <c r="H748" t="str">
        <f>"אלתא מערכות בע""מ"</f>
        <v>אלתא מערכות בע"מ</v>
      </c>
      <c r="I748" t="str">
        <f>"15"</f>
        <v>15</v>
      </c>
      <c r="J748" t="str">
        <f>"OP-AR03407"</f>
        <v>OP-AR03407</v>
      </c>
      <c r="K748" t="str">
        <f>"6660R253-001    W253 - ADSU 3 - MSH TO COMM BOX"</f>
        <v>6660R253-001    W253 - ADSU 3 - MSH TO COMM BOX</v>
      </c>
      <c r="L748">
        <v>1</v>
      </c>
      <c r="M748" t="str">
        <f>"יח"</f>
        <v>יח</v>
      </c>
      <c r="N748">
        <v>1</v>
      </c>
      <c r="O748" t="str">
        <f>"יח"</f>
        <v>יח</v>
      </c>
      <c r="P748">
        <v>590.58000000000004</v>
      </c>
      <c r="Q748" t="str">
        <f>"$"</f>
        <v>$</v>
      </c>
      <c r="R748" t="str">
        <f>"הזמנה"</f>
        <v>הזמנה</v>
      </c>
      <c r="S748">
        <v>0</v>
      </c>
      <c r="T748">
        <v>590.58000000000004</v>
      </c>
      <c r="U748">
        <v>0</v>
      </c>
      <c r="V748">
        <v>590.58000000000004</v>
      </c>
      <c r="W748" t="str">
        <f>"$"</f>
        <v>$</v>
      </c>
      <c r="X748">
        <v>0</v>
      </c>
      <c r="Y748">
        <v>0</v>
      </c>
      <c r="Z748">
        <v>0</v>
      </c>
      <c r="AA748" t="str">
        <f>"Y"</f>
        <v>Y</v>
      </c>
      <c r="AB748" t="str">
        <f>"SO22000423"</f>
        <v>SO22000423</v>
      </c>
      <c r="AC748">
        <v>6</v>
      </c>
      <c r="AD748" s="1">
        <v>44892</v>
      </c>
      <c r="AE748" t="str">
        <f>"SH23000474"</f>
        <v>SH23000474</v>
      </c>
      <c r="AF748" t="str">
        <f>"משלוחים ללקוח"</f>
        <v>משלוחים ללקוח</v>
      </c>
      <c r="AG748" s="1">
        <v>45032</v>
      </c>
      <c r="AM748" t="str">
        <f>"10"</f>
        <v>10</v>
      </c>
      <c r="AN748" t="str">
        <f>"500000"</f>
        <v>500000</v>
      </c>
      <c r="AO748" t="str">
        <f>"הכנסות  מלקוחות"</f>
        <v>הכנסות  מלקוחות</v>
      </c>
      <c r="AQ748" t="str">
        <f>"040"</f>
        <v>040</v>
      </c>
      <c r="AR748">
        <v>0</v>
      </c>
      <c r="AS748">
        <v>0</v>
      </c>
      <c r="AT748">
        <v>3.6469999999999998</v>
      </c>
      <c r="AX748" t="str">
        <f>"E000378271"</f>
        <v>E000378271</v>
      </c>
      <c r="BD748" t="str">
        <f>"רחמים זרוק"</f>
        <v>רחמים זרוק</v>
      </c>
    </row>
    <row r="749" spans="1:56" x14ac:dyDescent="0.3">
      <c r="A749" s="1">
        <v>45034</v>
      </c>
      <c r="B749" t="str">
        <f>"SI236000533"</f>
        <v>SI236000533</v>
      </c>
      <c r="C749" t="str">
        <f>"PR22000829"</f>
        <v>PR22000829</v>
      </c>
      <c r="E749" t="str">
        <f>"Y"</f>
        <v>Y</v>
      </c>
      <c r="F749" t="str">
        <f>"חשבוניות מרכזות"</f>
        <v>חשבוניות מרכזות</v>
      </c>
      <c r="G749" t="str">
        <f>"700065"</f>
        <v>700065</v>
      </c>
      <c r="H749" t="str">
        <f>"אלתא מערכות בע""מ"</f>
        <v>אלתא מערכות בע"מ</v>
      </c>
      <c r="I749" t="str">
        <f>"15"</f>
        <v>15</v>
      </c>
      <c r="J749" t="str">
        <f>"OP-AR03408"</f>
        <v>OP-AR03408</v>
      </c>
      <c r="K749" t="str">
        <f>"6660R254-001    W254 - ADSU 4 - MSH TO COMM BOX"</f>
        <v>6660R254-001    W254 - ADSU 4 - MSH TO COMM BOX</v>
      </c>
      <c r="L749">
        <v>1</v>
      </c>
      <c r="M749" t="str">
        <f>"יח"</f>
        <v>יח</v>
      </c>
      <c r="N749">
        <v>1</v>
      </c>
      <c r="O749" t="str">
        <f>"יח"</f>
        <v>יח</v>
      </c>
      <c r="P749">
        <v>590.58000000000004</v>
      </c>
      <c r="Q749" t="str">
        <f>"$"</f>
        <v>$</v>
      </c>
      <c r="R749" t="str">
        <f>"הזמנה"</f>
        <v>הזמנה</v>
      </c>
      <c r="S749">
        <v>0</v>
      </c>
      <c r="T749">
        <v>590.58000000000004</v>
      </c>
      <c r="U749">
        <v>0</v>
      </c>
      <c r="V749">
        <v>590.58000000000004</v>
      </c>
      <c r="W749" t="str">
        <f>"$"</f>
        <v>$</v>
      </c>
      <c r="X749">
        <v>0</v>
      </c>
      <c r="Y749">
        <v>0</v>
      </c>
      <c r="Z749">
        <v>0</v>
      </c>
      <c r="AA749" t="str">
        <f>"Y"</f>
        <v>Y</v>
      </c>
      <c r="AB749" t="str">
        <f>"SO22000423"</f>
        <v>SO22000423</v>
      </c>
      <c r="AC749">
        <v>7</v>
      </c>
      <c r="AD749" s="1">
        <v>44892</v>
      </c>
      <c r="AE749" t="str">
        <f>"SH23000474"</f>
        <v>SH23000474</v>
      </c>
      <c r="AF749" t="str">
        <f>"משלוחים ללקוח"</f>
        <v>משלוחים ללקוח</v>
      </c>
      <c r="AG749" s="1">
        <v>45032</v>
      </c>
      <c r="AM749" t="str">
        <f>"10"</f>
        <v>10</v>
      </c>
      <c r="AN749" t="str">
        <f>"500000"</f>
        <v>500000</v>
      </c>
      <c r="AO749" t="str">
        <f>"הכנסות  מלקוחות"</f>
        <v>הכנסות  מלקוחות</v>
      </c>
      <c r="AQ749" t="str">
        <f>"040"</f>
        <v>040</v>
      </c>
      <c r="AR749">
        <v>0</v>
      </c>
      <c r="AS749">
        <v>0</v>
      </c>
      <c r="AT749">
        <v>3.6469999999999998</v>
      </c>
      <c r="AX749" t="str">
        <f>"E000378271"</f>
        <v>E000378271</v>
      </c>
      <c r="BD749" t="str">
        <f>"רחמים זרוק"</f>
        <v>רחמים זרוק</v>
      </c>
    </row>
    <row r="750" spans="1:56" x14ac:dyDescent="0.3">
      <c r="A750" s="1">
        <v>45034</v>
      </c>
      <c r="B750" t="str">
        <f>"SI236000533"</f>
        <v>SI236000533</v>
      </c>
      <c r="C750" t="str">
        <f>"PR22000829"</f>
        <v>PR22000829</v>
      </c>
      <c r="E750" t="str">
        <f>"Y"</f>
        <v>Y</v>
      </c>
      <c r="F750" t="str">
        <f>"חשבוניות מרכזות"</f>
        <v>חשבוניות מרכזות</v>
      </c>
      <c r="G750" t="str">
        <f>"700065"</f>
        <v>700065</v>
      </c>
      <c r="H750" t="str">
        <f>"אלתא מערכות בע""מ"</f>
        <v>אלתא מערכות בע"מ</v>
      </c>
      <c r="I750" t="str">
        <f>"15"</f>
        <v>15</v>
      </c>
      <c r="J750" t="str">
        <f>"OP-AR03409"</f>
        <v>OP-AR03409</v>
      </c>
      <c r="K750" t="str">
        <f>"6660R255-001    W255 - ADSU 5 - MSH TO COMM BOX"</f>
        <v>6660R255-001    W255 - ADSU 5 - MSH TO COMM BOX</v>
      </c>
      <c r="L750">
        <v>1</v>
      </c>
      <c r="M750" t="str">
        <f>"יח"</f>
        <v>יח</v>
      </c>
      <c r="N750">
        <v>1</v>
      </c>
      <c r="O750" t="str">
        <f>"יח"</f>
        <v>יח</v>
      </c>
      <c r="P750">
        <v>590.58000000000004</v>
      </c>
      <c r="Q750" t="str">
        <f>"$"</f>
        <v>$</v>
      </c>
      <c r="R750" t="str">
        <f>"הזמנה"</f>
        <v>הזמנה</v>
      </c>
      <c r="S750">
        <v>0</v>
      </c>
      <c r="T750">
        <v>590.58000000000004</v>
      </c>
      <c r="U750">
        <v>0</v>
      </c>
      <c r="V750">
        <v>590.58000000000004</v>
      </c>
      <c r="W750" t="str">
        <f>"$"</f>
        <v>$</v>
      </c>
      <c r="X750">
        <v>0</v>
      </c>
      <c r="Y750">
        <v>0</v>
      </c>
      <c r="Z750">
        <v>0</v>
      </c>
      <c r="AA750" t="str">
        <f>"Y"</f>
        <v>Y</v>
      </c>
      <c r="AB750" t="str">
        <f>"SO22000423"</f>
        <v>SO22000423</v>
      </c>
      <c r="AC750">
        <v>8</v>
      </c>
      <c r="AD750" s="1">
        <v>44892</v>
      </c>
      <c r="AE750" t="str">
        <f>"SH23000474"</f>
        <v>SH23000474</v>
      </c>
      <c r="AF750" t="str">
        <f>"משלוחים ללקוח"</f>
        <v>משלוחים ללקוח</v>
      </c>
      <c r="AG750" s="1">
        <v>45032</v>
      </c>
      <c r="AM750" t="str">
        <f>"10"</f>
        <v>10</v>
      </c>
      <c r="AN750" t="str">
        <f>"500000"</f>
        <v>500000</v>
      </c>
      <c r="AO750" t="str">
        <f>"הכנסות  מלקוחות"</f>
        <v>הכנסות  מלקוחות</v>
      </c>
      <c r="AQ750" t="str">
        <f>"040"</f>
        <v>040</v>
      </c>
      <c r="AR750">
        <v>0</v>
      </c>
      <c r="AS750">
        <v>0</v>
      </c>
      <c r="AT750">
        <v>3.6469999999999998</v>
      </c>
      <c r="AX750" t="str">
        <f>"E000378271"</f>
        <v>E000378271</v>
      </c>
      <c r="BD750" t="str">
        <f>"רחמים זרוק"</f>
        <v>רחמים זרוק</v>
      </c>
    </row>
    <row r="751" spans="1:56" x14ac:dyDescent="0.3">
      <c r="A751" s="1">
        <v>45034</v>
      </c>
      <c r="B751" t="str">
        <f>"SI236000533"</f>
        <v>SI236000533</v>
      </c>
      <c r="C751" t="str">
        <f>"PR22000829"</f>
        <v>PR22000829</v>
      </c>
      <c r="E751" t="str">
        <f>"Y"</f>
        <v>Y</v>
      </c>
      <c r="F751" t="str">
        <f>"חשבוניות מרכזות"</f>
        <v>חשבוניות מרכזות</v>
      </c>
      <c r="G751" t="str">
        <f>"700065"</f>
        <v>700065</v>
      </c>
      <c r="H751" t="str">
        <f>"אלתא מערכות בע""מ"</f>
        <v>אלתא מערכות בע"מ</v>
      </c>
      <c r="I751" t="str">
        <f>"15"</f>
        <v>15</v>
      </c>
      <c r="J751" t="str">
        <f>"OP-AR03411"</f>
        <v>OP-AR03411</v>
      </c>
      <c r="K751" t="str">
        <f>"6660R261-001    W261 - MASTER ADSU - MASTER MSH EXTEDER"</f>
        <v>6660R261-001    W261 - MASTER ADSU - MASTER MSH EXTEDER</v>
      </c>
      <c r="L751">
        <v>1</v>
      </c>
      <c r="M751" t="str">
        <f>"יח"</f>
        <v>יח</v>
      </c>
      <c r="N751">
        <v>1</v>
      </c>
      <c r="O751" t="str">
        <f>"יח"</f>
        <v>יח</v>
      </c>
      <c r="P751">
        <v>636.37</v>
      </c>
      <c r="Q751" t="str">
        <f>"$"</f>
        <v>$</v>
      </c>
      <c r="R751" t="str">
        <f>"הזמנה"</f>
        <v>הזמנה</v>
      </c>
      <c r="S751">
        <v>0</v>
      </c>
      <c r="T751">
        <v>636.37</v>
      </c>
      <c r="U751">
        <v>0</v>
      </c>
      <c r="V751">
        <v>636.37</v>
      </c>
      <c r="W751" t="str">
        <f>"$"</f>
        <v>$</v>
      </c>
      <c r="X751">
        <v>0</v>
      </c>
      <c r="Y751">
        <v>0</v>
      </c>
      <c r="Z751">
        <v>0</v>
      </c>
      <c r="AA751" t="str">
        <f>"Y"</f>
        <v>Y</v>
      </c>
      <c r="AB751" t="str">
        <f>"SO22000423"</f>
        <v>SO22000423</v>
      </c>
      <c r="AC751">
        <v>10</v>
      </c>
      <c r="AD751" s="1">
        <v>44892</v>
      </c>
      <c r="AE751" t="str">
        <f>"SH23000474"</f>
        <v>SH23000474</v>
      </c>
      <c r="AF751" t="str">
        <f>"משלוחים ללקוח"</f>
        <v>משלוחים ללקוח</v>
      </c>
      <c r="AG751" s="1">
        <v>45032</v>
      </c>
      <c r="AM751" t="str">
        <f>"10"</f>
        <v>10</v>
      </c>
      <c r="AN751" t="str">
        <f>"500000"</f>
        <v>500000</v>
      </c>
      <c r="AO751" t="str">
        <f>"הכנסות  מלקוחות"</f>
        <v>הכנסות  מלקוחות</v>
      </c>
      <c r="AQ751" t="str">
        <f>"040"</f>
        <v>040</v>
      </c>
      <c r="AR751">
        <v>0</v>
      </c>
      <c r="AS751">
        <v>0</v>
      </c>
      <c r="AT751">
        <v>3.6469999999999998</v>
      </c>
      <c r="AX751" t="str">
        <f>"E000378271"</f>
        <v>E000378271</v>
      </c>
      <c r="BD751" t="str">
        <f>"רחמים זרוק"</f>
        <v>רחמים זרוק</v>
      </c>
    </row>
    <row r="752" spans="1:56" x14ac:dyDescent="0.3">
      <c r="A752" s="1">
        <v>45034</v>
      </c>
      <c r="B752" t="str">
        <f>"SI236000532"</f>
        <v>SI236000532</v>
      </c>
      <c r="C752" t="str">
        <f>"PR22000812"</f>
        <v>PR22000812</v>
      </c>
      <c r="E752" t="str">
        <f>"Y"</f>
        <v>Y</v>
      </c>
      <c r="F752" t="str">
        <f>"חשבוניות מרכזות"</f>
        <v>חשבוניות מרכזות</v>
      </c>
      <c r="G752" t="str">
        <f>"700065"</f>
        <v>700065</v>
      </c>
      <c r="H752" t="str">
        <f>"אלתא מערכות בע""מ"</f>
        <v>אלתא מערכות בע"מ</v>
      </c>
      <c r="I752" t="str">
        <f>"15"</f>
        <v>15</v>
      </c>
      <c r="J752" t="str">
        <f>"OP-AR03387"</f>
        <v>OP-AR03387</v>
      </c>
      <c r="K752" t="str">
        <f>"1023B353-001    CABLE ASSY 3W40 SENSOR BOX CONTROL"</f>
        <v>1023B353-001    CABLE ASSY 3W40 SENSOR BOX CONTROL</v>
      </c>
      <c r="L752">
        <v>1</v>
      </c>
      <c r="M752" t="str">
        <f>"יח"</f>
        <v>יח</v>
      </c>
      <c r="N752">
        <v>1</v>
      </c>
      <c r="O752" t="str">
        <f>"יח"</f>
        <v>יח</v>
      </c>
      <c r="P752">
        <v>873.22</v>
      </c>
      <c r="Q752" t="str">
        <f>"$"</f>
        <v>$</v>
      </c>
      <c r="R752" t="str">
        <f>"הזמנה"</f>
        <v>הזמנה</v>
      </c>
      <c r="S752">
        <v>0</v>
      </c>
      <c r="T752">
        <v>873.22</v>
      </c>
      <c r="U752">
        <v>0</v>
      </c>
      <c r="V752">
        <v>873.22</v>
      </c>
      <c r="W752" t="str">
        <f>"$"</f>
        <v>$</v>
      </c>
      <c r="X752">
        <v>0</v>
      </c>
      <c r="Y752">
        <v>0</v>
      </c>
      <c r="Z752">
        <v>0</v>
      </c>
      <c r="AA752" t="str">
        <f>"Y"</f>
        <v>Y</v>
      </c>
      <c r="AB752" t="str">
        <f>"SO22000427"</f>
        <v>SO22000427</v>
      </c>
      <c r="AC752">
        <v>1</v>
      </c>
      <c r="AD752" s="1">
        <v>44892</v>
      </c>
      <c r="AE752" t="str">
        <f>"SH23000478"</f>
        <v>SH23000478</v>
      </c>
      <c r="AF752" t="str">
        <f>"משלוחים ללקוח"</f>
        <v>משלוחים ללקוח</v>
      </c>
      <c r="AG752" s="1">
        <v>45032</v>
      </c>
      <c r="AM752" t="str">
        <f>"10"</f>
        <v>10</v>
      </c>
      <c r="AN752" t="str">
        <f>"500000"</f>
        <v>500000</v>
      </c>
      <c r="AO752" t="str">
        <f>"הכנסות  מלקוחות"</f>
        <v>הכנסות  מלקוחות</v>
      </c>
      <c r="AQ752" t="str">
        <f>"040"</f>
        <v>040</v>
      </c>
      <c r="AR752">
        <v>0</v>
      </c>
      <c r="AS752">
        <v>0</v>
      </c>
      <c r="AT752">
        <v>3.6469999999999998</v>
      </c>
      <c r="AX752" t="str">
        <f>"E000378382"</f>
        <v>E000378382</v>
      </c>
      <c r="BD752" t="str">
        <f>"רחמים זרוק"</f>
        <v>רחמים זרוק</v>
      </c>
    </row>
    <row r="753" spans="1:56" x14ac:dyDescent="0.3">
      <c r="A753" s="1">
        <v>45034</v>
      </c>
      <c r="B753" t="str">
        <f>"SI236000532"</f>
        <v>SI236000532</v>
      </c>
      <c r="C753" t="str">
        <f>"PR22000812"</f>
        <v>PR22000812</v>
      </c>
      <c r="E753" t="str">
        <f>"Y"</f>
        <v>Y</v>
      </c>
      <c r="F753" t="str">
        <f>"חשבוניות מרכזות"</f>
        <v>חשבוניות מרכזות</v>
      </c>
      <c r="G753" t="str">
        <f>"700065"</f>
        <v>700065</v>
      </c>
      <c r="H753" t="str">
        <f>"אלתא מערכות בע""מ"</f>
        <v>אלתא מערכות בע"מ</v>
      </c>
      <c r="I753" t="str">
        <f>"15"</f>
        <v>15</v>
      </c>
      <c r="J753" t="str">
        <f>"OP-AR03388"</f>
        <v>OP-AR03388</v>
      </c>
      <c r="K753" t="str">
        <f>"1031Y384-001    W0381 - P.S. 67 HIGH VOLTAGE TO TRU 131"</f>
        <v>1031Y384-001    W0381 - P.S. 67 HIGH VOLTAGE TO TRU 131</v>
      </c>
      <c r="L753">
        <v>1</v>
      </c>
      <c r="M753" t="str">
        <f>"יח"</f>
        <v>יח</v>
      </c>
      <c r="N753">
        <v>1</v>
      </c>
      <c r="O753" t="str">
        <f>"יח"</f>
        <v>יח</v>
      </c>
      <c r="P753">
        <v>434.82</v>
      </c>
      <c r="Q753" t="str">
        <f>"$"</f>
        <v>$</v>
      </c>
      <c r="R753" t="str">
        <f>"הזמנה"</f>
        <v>הזמנה</v>
      </c>
      <c r="S753">
        <v>0</v>
      </c>
      <c r="T753">
        <v>434.82</v>
      </c>
      <c r="U753">
        <v>0</v>
      </c>
      <c r="V753">
        <v>434.82</v>
      </c>
      <c r="W753" t="str">
        <f>"$"</f>
        <v>$</v>
      </c>
      <c r="X753">
        <v>0</v>
      </c>
      <c r="Y753">
        <v>0</v>
      </c>
      <c r="Z753">
        <v>0</v>
      </c>
      <c r="AA753" t="str">
        <f>"Y"</f>
        <v>Y</v>
      </c>
      <c r="AB753" t="str">
        <f>"SO22000427"</f>
        <v>SO22000427</v>
      </c>
      <c r="AC753">
        <v>2</v>
      </c>
      <c r="AD753" s="1">
        <v>44892</v>
      </c>
      <c r="AE753" t="str">
        <f>"SH23000478"</f>
        <v>SH23000478</v>
      </c>
      <c r="AF753" t="str">
        <f>"משלוחים ללקוח"</f>
        <v>משלוחים ללקוח</v>
      </c>
      <c r="AG753" s="1">
        <v>45032</v>
      </c>
      <c r="AM753" t="str">
        <f>"10"</f>
        <v>10</v>
      </c>
      <c r="AN753" t="str">
        <f>"500000"</f>
        <v>500000</v>
      </c>
      <c r="AO753" t="str">
        <f>"הכנסות  מלקוחות"</f>
        <v>הכנסות  מלקוחות</v>
      </c>
      <c r="AQ753" t="str">
        <f>"040"</f>
        <v>040</v>
      </c>
      <c r="AR753">
        <v>0</v>
      </c>
      <c r="AS753">
        <v>0</v>
      </c>
      <c r="AT753">
        <v>3.6469999999999998</v>
      </c>
      <c r="AX753" t="str">
        <f>"E000378382"</f>
        <v>E000378382</v>
      </c>
      <c r="BD753" t="str">
        <f>"רחמים זרוק"</f>
        <v>רחמים זרוק</v>
      </c>
    </row>
    <row r="754" spans="1:56" x14ac:dyDescent="0.3">
      <c r="A754" s="1">
        <v>45034</v>
      </c>
      <c r="B754" t="str">
        <f>"SI236000531"</f>
        <v>SI236000531</v>
      </c>
      <c r="C754" t="str">
        <f>"PR22000898"</f>
        <v>PR22000898</v>
      </c>
      <c r="E754" t="str">
        <f>"Y"</f>
        <v>Y</v>
      </c>
      <c r="F754" t="str">
        <f>"חשבוניות מרכזות"</f>
        <v>חשבוניות מרכזות</v>
      </c>
      <c r="G754" t="str">
        <f>"700065"</f>
        <v>700065</v>
      </c>
      <c r="H754" t="str">
        <f>"אלתא מערכות בע""מ"</f>
        <v>אלתא מערכות בע"מ</v>
      </c>
      <c r="I754" t="str">
        <f>"10"</f>
        <v>10</v>
      </c>
      <c r="J754" t="str">
        <f>"OP-AR03455"</f>
        <v>OP-AR03455</v>
      </c>
      <c r="K754" t="str">
        <f>"1040L228-001    TRU D/C TO EXT P.S CABLE W8"</f>
        <v>1040L228-001    TRU D/C TO EXT P.S CABLE W8</v>
      </c>
      <c r="L754">
        <v>2</v>
      </c>
      <c r="M754" t="str">
        <f>"יח"</f>
        <v>יח</v>
      </c>
      <c r="N754">
        <v>2</v>
      </c>
      <c r="O754" t="str">
        <f>"יח"</f>
        <v>יח</v>
      </c>
      <c r="P754">
        <v>596.03</v>
      </c>
      <c r="Q754" t="str">
        <f>"$"</f>
        <v>$</v>
      </c>
      <c r="R754" t="str">
        <f>"ידני"</f>
        <v>ידני</v>
      </c>
      <c r="S754">
        <v>0</v>
      </c>
      <c r="T754" s="2">
        <v>1192.06</v>
      </c>
      <c r="U754">
        <v>0</v>
      </c>
      <c r="V754" s="2">
        <v>1192.06</v>
      </c>
      <c r="W754" t="str">
        <f>"$"</f>
        <v>$</v>
      </c>
      <c r="X754">
        <v>0</v>
      </c>
      <c r="Y754">
        <v>0</v>
      </c>
      <c r="Z754">
        <v>0</v>
      </c>
      <c r="AA754" t="str">
        <f>"Y"</f>
        <v>Y</v>
      </c>
      <c r="AB754" t="str">
        <f>"SO22000457"</f>
        <v>SO22000457</v>
      </c>
      <c r="AC754">
        <v>4</v>
      </c>
      <c r="AD754" s="1">
        <v>44907</v>
      </c>
      <c r="AE754" t="str">
        <f>"SH23000479"</f>
        <v>SH23000479</v>
      </c>
      <c r="AF754" t="str">
        <f>"משלוחים ללקוח"</f>
        <v>משלוחים ללקוח</v>
      </c>
      <c r="AG754" s="1">
        <v>45032</v>
      </c>
      <c r="AM754" t="str">
        <f>"10"</f>
        <v>10</v>
      </c>
      <c r="AN754" t="str">
        <f>"500000"</f>
        <v>500000</v>
      </c>
      <c r="AO754" t="str">
        <f>"הכנסות  מלקוחות"</f>
        <v>הכנסות  מלקוחות</v>
      </c>
      <c r="AQ754" t="str">
        <f>"040"</f>
        <v>040</v>
      </c>
      <c r="AR754">
        <v>0</v>
      </c>
      <c r="AS754">
        <v>0</v>
      </c>
      <c r="AT754">
        <v>3.6469999999999998</v>
      </c>
      <c r="AX754" t="str">
        <f>"E000379161"</f>
        <v>E000379161</v>
      </c>
      <c r="BD754" t="str">
        <f>"רחמים זרוק"</f>
        <v>רחמים זרוק</v>
      </c>
    </row>
    <row r="755" spans="1:56" x14ac:dyDescent="0.3">
      <c r="A755" s="1">
        <v>45034</v>
      </c>
      <c r="B755" t="str">
        <f>"SI236000530"</f>
        <v>SI236000530</v>
      </c>
      <c r="C755" t="str">
        <f>"PR22000551"</f>
        <v>PR22000551</v>
      </c>
      <c r="D755" t="str">
        <f>"PR22000551"</f>
        <v>PR22000551</v>
      </c>
      <c r="E755" t="str">
        <f>"Y"</f>
        <v>Y</v>
      </c>
      <c r="F755" t="str">
        <f>"חשבוניות מרכזות"</f>
        <v>חשבוניות מרכזות</v>
      </c>
      <c r="G755" t="str">
        <f>"700065"</f>
        <v>700065</v>
      </c>
      <c r="H755" t="str">
        <f>"אלתא מערכות בע""מ"</f>
        <v>אלתא מערכות בע"מ</v>
      </c>
      <c r="I755" t="str">
        <f>"15"</f>
        <v>15</v>
      </c>
      <c r="J755" t="str">
        <f>"OP-AR03245"</f>
        <v>OP-AR03245</v>
      </c>
      <c r="K755" t="str">
        <f>"1031T284-001    CABLE TEST ASSY"</f>
        <v>1031T284-001    CABLE TEST ASSY</v>
      </c>
      <c r="L755">
        <v>6</v>
      </c>
      <c r="M755" t="str">
        <f>"יח"</f>
        <v>יח</v>
      </c>
      <c r="N755">
        <v>6</v>
      </c>
      <c r="O755" t="str">
        <f>"יח"</f>
        <v>יח</v>
      </c>
      <c r="P755">
        <v>391.65</v>
      </c>
      <c r="Q755" t="str">
        <f>"$"</f>
        <v>$</v>
      </c>
      <c r="R755" t="str">
        <f>"הזמנה"</f>
        <v>הזמנה</v>
      </c>
      <c r="S755">
        <v>0</v>
      </c>
      <c r="T755" s="2">
        <v>2349.9</v>
      </c>
      <c r="U755">
        <v>0</v>
      </c>
      <c r="V755" s="2">
        <v>2349.9</v>
      </c>
      <c r="W755" t="str">
        <f>"$"</f>
        <v>$</v>
      </c>
      <c r="X755">
        <v>0</v>
      </c>
      <c r="Y755">
        <v>0</v>
      </c>
      <c r="Z755">
        <v>0</v>
      </c>
      <c r="AA755" t="str">
        <f>"Y"</f>
        <v>Y</v>
      </c>
      <c r="AB755" t="str">
        <f>"SO22000316"</f>
        <v>SO22000316</v>
      </c>
      <c r="AC755">
        <v>2</v>
      </c>
      <c r="AD755" s="1">
        <v>44782</v>
      </c>
      <c r="AE755" t="str">
        <f>"SH23000477"</f>
        <v>SH23000477</v>
      </c>
      <c r="AF755" t="str">
        <f>"משלוחים ללקוח"</f>
        <v>משלוחים ללקוח</v>
      </c>
      <c r="AG755" s="1">
        <v>45032</v>
      </c>
      <c r="AM755" t="str">
        <f>"10"</f>
        <v>10</v>
      </c>
      <c r="AN755" t="str">
        <f>"500000"</f>
        <v>500000</v>
      </c>
      <c r="AO755" t="str">
        <f>"הכנסות  מלקוחות"</f>
        <v>הכנסות  מלקוחות</v>
      </c>
      <c r="AQ755" t="str">
        <f>"040"</f>
        <v>040</v>
      </c>
      <c r="AR755">
        <v>0</v>
      </c>
      <c r="AS755">
        <v>0</v>
      </c>
      <c r="AT755">
        <v>3.6469999999999998</v>
      </c>
      <c r="AX755" t="str">
        <f>"E000369246"</f>
        <v>E000369246</v>
      </c>
      <c r="BD755" t="str">
        <f>"רחמים זרוק"</f>
        <v>רחמים זרוק</v>
      </c>
    </row>
    <row r="756" spans="1:56" x14ac:dyDescent="0.3">
      <c r="A756" s="1">
        <v>45034</v>
      </c>
      <c r="B756" t="str">
        <f>"SI236000529"</f>
        <v>SI236000529</v>
      </c>
      <c r="C756" t="str">
        <f>"PR22000671"</f>
        <v>PR22000671</v>
      </c>
      <c r="E756" t="str">
        <f>"Y"</f>
        <v>Y</v>
      </c>
      <c r="F756" t="str">
        <f>"חשבוניות מרכזות"</f>
        <v>חשבוניות מרכזות</v>
      </c>
      <c r="G756" t="str">
        <f>"700065"</f>
        <v>700065</v>
      </c>
      <c r="H756" t="str">
        <f>"אלתא מערכות בע""מ"</f>
        <v>אלתא מערכות בע"מ</v>
      </c>
      <c r="I756" t="str">
        <f>"15"</f>
        <v>15</v>
      </c>
      <c r="J756" t="str">
        <f>"OP-AR03364"</f>
        <v>OP-AR03364</v>
      </c>
      <c r="K756" t="str">
        <f>"2210B770-001    W43 CABLE ASSY"</f>
        <v>2210B770-001    W43 CABLE ASSY</v>
      </c>
      <c r="L756">
        <v>1</v>
      </c>
      <c r="M756" t="str">
        <f>"יח"</f>
        <v>יח</v>
      </c>
      <c r="N756">
        <v>1</v>
      </c>
      <c r="O756" t="str">
        <f>"יח"</f>
        <v>יח</v>
      </c>
      <c r="P756">
        <v>403.1</v>
      </c>
      <c r="Q756" t="str">
        <f>"$"</f>
        <v>$</v>
      </c>
      <c r="R756" t="str">
        <f>"הזמנה"</f>
        <v>הזמנה</v>
      </c>
      <c r="S756">
        <v>0</v>
      </c>
      <c r="T756">
        <v>403.1</v>
      </c>
      <c r="U756">
        <v>0</v>
      </c>
      <c r="V756">
        <v>403.1</v>
      </c>
      <c r="W756" t="str">
        <f>"$"</f>
        <v>$</v>
      </c>
      <c r="X756">
        <v>0</v>
      </c>
      <c r="Y756">
        <v>0</v>
      </c>
      <c r="Z756">
        <v>0</v>
      </c>
      <c r="AA756" t="str">
        <f>"Y"</f>
        <v>Y</v>
      </c>
      <c r="AB756" t="str">
        <f>"SO22000385"</f>
        <v>SO22000385</v>
      </c>
      <c r="AC756">
        <v>6</v>
      </c>
      <c r="AD756" s="1">
        <v>44860</v>
      </c>
      <c r="AE756" t="str">
        <f>"SH23000476"</f>
        <v>SH23000476</v>
      </c>
      <c r="AF756" t="str">
        <f>"משלוחים ללקוח"</f>
        <v>משלוחים ללקוח</v>
      </c>
      <c r="AG756" s="1">
        <v>45032</v>
      </c>
      <c r="AM756" t="str">
        <f>"10"</f>
        <v>10</v>
      </c>
      <c r="AN756" t="str">
        <f>"500000"</f>
        <v>500000</v>
      </c>
      <c r="AO756" t="str">
        <f>"הכנסות  מלקוחות"</f>
        <v>הכנסות  מלקוחות</v>
      </c>
      <c r="AQ756" t="str">
        <f>"040"</f>
        <v>040</v>
      </c>
      <c r="AR756">
        <v>0</v>
      </c>
      <c r="AS756">
        <v>0</v>
      </c>
      <c r="AT756">
        <v>3.6469999999999998</v>
      </c>
      <c r="AX756" t="str">
        <f>"E000374617"</f>
        <v>E000374617</v>
      </c>
      <c r="BD756" t="str">
        <f>"רחמים זרוק"</f>
        <v>רחמים זרוק</v>
      </c>
    </row>
    <row r="757" spans="1:56" x14ac:dyDescent="0.3">
      <c r="A757" s="1">
        <v>45034</v>
      </c>
      <c r="B757" t="str">
        <f>"SI236000529"</f>
        <v>SI236000529</v>
      </c>
      <c r="C757" t="str">
        <f>"PR22000671"</f>
        <v>PR22000671</v>
      </c>
      <c r="E757" t="str">
        <f>"Y"</f>
        <v>Y</v>
      </c>
      <c r="F757" t="str">
        <f>"חשבוניות מרכזות"</f>
        <v>חשבוניות מרכזות</v>
      </c>
      <c r="G757" t="str">
        <f>"700065"</f>
        <v>700065</v>
      </c>
      <c r="H757" t="str">
        <f>"אלתא מערכות בע""מ"</f>
        <v>אלתא מערכות בע"מ</v>
      </c>
      <c r="I757" t="str">
        <f>"15"</f>
        <v>15</v>
      </c>
      <c r="J757" t="str">
        <f>"OP-AR03367"</f>
        <v>OP-AR03367</v>
      </c>
      <c r="K757" t="str">
        <f>"2210B802-001    HARNESS WS116 - LVCS DC POWER"</f>
        <v>2210B802-001    HARNESS WS116 - LVCS DC POWER</v>
      </c>
      <c r="L757">
        <v>1</v>
      </c>
      <c r="M757" t="str">
        <f>"יח"</f>
        <v>יח</v>
      </c>
      <c r="N757">
        <v>1</v>
      </c>
      <c r="O757" t="str">
        <f>"יח"</f>
        <v>יח</v>
      </c>
      <c r="P757">
        <v>839.71</v>
      </c>
      <c r="Q757" t="str">
        <f>"$"</f>
        <v>$</v>
      </c>
      <c r="R757" t="str">
        <f>"הזמנה"</f>
        <v>הזמנה</v>
      </c>
      <c r="S757">
        <v>0</v>
      </c>
      <c r="T757">
        <v>839.71</v>
      </c>
      <c r="U757">
        <v>0</v>
      </c>
      <c r="V757">
        <v>839.71</v>
      </c>
      <c r="W757" t="str">
        <f>"$"</f>
        <v>$</v>
      </c>
      <c r="X757">
        <v>0</v>
      </c>
      <c r="Y757">
        <v>0</v>
      </c>
      <c r="Z757">
        <v>0</v>
      </c>
      <c r="AA757" t="str">
        <f>"Y"</f>
        <v>Y</v>
      </c>
      <c r="AB757" t="str">
        <f>"SO22000385"</f>
        <v>SO22000385</v>
      </c>
      <c r="AC757">
        <v>9</v>
      </c>
      <c r="AD757" s="1">
        <v>44860</v>
      </c>
      <c r="AE757" t="str">
        <f>"SH23000476"</f>
        <v>SH23000476</v>
      </c>
      <c r="AF757" t="str">
        <f>"משלוחים ללקוח"</f>
        <v>משלוחים ללקוח</v>
      </c>
      <c r="AG757" s="1">
        <v>45032</v>
      </c>
      <c r="AM757" t="str">
        <f>"10"</f>
        <v>10</v>
      </c>
      <c r="AN757" t="str">
        <f>"500000"</f>
        <v>500000</v>
      </c>
      <c r="AO757" t="str">
        <f>"הכנסות  מלקוחות"</f>
        <v>הכנסות  מלקוחות</v>
      </c>
      <c r="AQ757" t="str">
        <f>"040"</f>
        <v>040</v>
      </c>
      <c r="AR757">
        <v>0</v>
      </c>
      <c r="AS757">
        <v>0</v>
      </c>
      <c r="AT757">
        <v>3.6469999999999998</v>
      </c>
      <c r="AX757" t="str">
        <f>"E000374617"</f>
        <v>E000374617</v>
      </c>
      <c r="BD757" t="str">
        <f>"רחמים זרוק"</f>
        <v>רחמים זרוק</v>
      </c>
    </row>
    <row r="758" spans="1:56" x14ac:dyDescent="0.3">
      <c r="A758" s="1">
        <v>45034</v>
      </c>
      <c r="B758" t="str">
        <f>"SI236000529"</f>
        <v>SI236000529</v>
      </c>
      <c r="C758" t="str">
        <f>"PR22000671"</f>
        <v>PR22000671</v>
      </c>
      <c r="E758" t="str">
        <f>"Y"</f>
        <v>Y</v>
      </c>
      <c r="F758" t="str">
        <f>"חשבוניות מרכזות"</f>
        <v>חשבוניות מרכזות</v>
      </c>
      <c r="G758" t="str">
        <f>"700065"</f>
        <v>700065</v>
      </c>
      <c r="H758" t="str">
        <f>"אלתא מערכות בע""מ"</f>
        <v>אלתא מערכות בע"מ</v>
      </c>
      <c r="I758" t="str">
        <f>"15"</f>
        <v>15</v>
      </c>
      <c r="J758" t="str">
        <f>"OP-AR03374"</f>
        <v>OP-AR03374</v>
      </c>
      <c r="K758" t="str">
        <f>"9001B822-001    HARNESS W1822 - LAB COOLING SYS. 115VAC"</f>
        <v>9001B822-001    HARNESS W1822 - LAB COOLING SYS. 115VAC</v>
      </c>
      <c r="L758">
        <v>1</v>
      </c>
      <c r="M758" t="str">
        <f>"יח"</f>
        <v>יח</v>
      </c>
      <c r="N758">
        <v>1</v>
      </c>
      <c r="O758" t="str">
        <f>"יח"</f>
        <v>יח</v>
      </c>
      <c r="P758">
        <v>440.82</v>
      </c>
      <c r="Q758" t="str">
        <f>"$"</f>
        <v>$</v>
      </c>
      <c r="R758" t="str">
        <f>"הזמנה"</f>
        <v>הזמנה</v>
      </c>
      <c r="S758">
        <v>0</v>
      </c>
      <c r="T758">
        <v>440.82</v>
      </c>
      <c r="U758">
        <v>0</v>
      </c>
      <c r="V758">
        <v>440.82</v>
      </c>
      <c r="W758" t="str">
        <f>"$"</f>
        <v>$</v>
      </c>
      <c r="X758">
        <v>0</v>
      </c>
      <c r="Y758">
        <v>0</v>
      </c>
      <c r="Z758">
        <v>0</v>
      </c>
      <c r="AA758" t="str">
        <f>"Y"</f>
        <v>Y</v>
      </c>
      <c r="AB758" t="str">
        <f>"SO22000385"</f>
        <v>SO22000385</v>
      </c>
      <c r="AC758">
        <v>16</v>
      </c>
      <c r="AD758" s="1">
        <v>44860</v>
      </c>
      <c r="AE758" t="str">
        <f>"SH23000476"</f>
        <v>SH23000476</v>
      </c>
      <c r="AF758" t="str">
        <f>"משלוחים ללקוח"</f>
        <v>משלוחים ללקוח</v>
      </c>
      <c r="AG758" s="1">
        <v>45032</v>
      </c>
      <c r="AM758" t="str">
        <f>"10"</f>
        <v>10</v>
      </c>
      <c r="AN758" t="str">
        <f>"500000"</f>
        <v>500000</v>
      </c>
      <c r="AO758" t="str">
        <f>"הכנסות  מלקוחות"</f>
        <v>הכנסות  מלקוחות</v>
      </c>
      <c r="AQ758" t="str">
        <f>"040"</f>
        <v>040</v>
      </c>
      <c r="AR758">
        <v>0</v>
      </c>
      <c r="AS758">
        <v>0</v>
      </c>
      <c r="AT758">
        <v>3.6469999999999998</v>
      </c>
      <c r="AX758" t="str">
        <f>"E000374617"</f>
        <v>E000374617</v>
      </c>
      <c r="BD758" t="str">
        <f>"רחמים זרוק"</f>
        <v>רחמים זרוק</v>
      </c>
    </row>
    <row r="759" spans="1:56" x14ac:dyDescent="0.3">
      <c r="A759" s="1">
        <v>45034</v>
      </c>
      <c r="B759" t="str">
        <f>"SI236000519"</f>
        <v>SI236000519</v>
      </c>
      <c r="E759" t="str">
        <f>"Y"</f>
        <v>Y</v>
      </c>
      <c r="F759" t="str">
        <f>"חשבוניות מרכזות"</f>
        <v>חשבוניות מרכזות</v>
      </c>
      <c r="G759" t="str">
        <f>"700065"</f>
        <v>700065</v>
      </c>
      <c r="H759" t="str">
        <f>"אלתא מערכות בע""מ"</f>
        <v>אלתא מערכות בע"מ</v>
      </c>
      <c r="I759" t="str">
        <f>"10"</f>
        <v>10</v>
      </c>
      <c r="J759" t="str">
        <f>"OP-AR02041-1S"</f>
        <v>OP-AR02041-1S</v>
      </c>
      <c r="K759" t="str">
        <f>"SL PDB  1 1042A860-001"</f>
        <v>SL PDB  1 1042A860-001</v>
      </c>
      <c r="L759">
        <v>1</v>
      </c>
      <c r="M759" t="str">
        <f>"יח"</f>
        <v>יח</v>
      </c>
      <c r="N759">
        <v>1</v>
      </c>
      <c r="O759" t="str">
        <f>"יח"</f>
        <v>יח</v>
      </c>
      <c r="P759" s="2">
        <v>41000</v>
      </c>
      <c r="Q759" t="str">
        <f>"$"</f>
        <v>$</v>
      </c>
      <c r="R759" t="str">
        <f>"הזמנה"</f>
        <v>הזמנה</v>
      </c>
      <c r="S759">
        <v>0</v>
      </c>
      <c r="T759" s="2">
        <v>41000</v>
      </c>
      <c r="U759">
        <v>0</v>
      </c>
      <c r="V759" s="2">
        <v>41000</v>
      </c>
      <c r="W759" t="str">
        <f>"$"</f>
        <v>$</v>
      </c>
      <c r="X759">
        <v>0</v>
      </c>
      <c r="Y759">
        <v>0</v>
      </c>
      <c r="Z759">
        <v>0</v>
      </c>
      <c r="AA759" t="str">
        <f>"Y"</f>
        <v>Y</v>
      </c>
      <c r="AB759" t="str">
        <f>"SO22000016"</f>
        <v>SO22000016</v>
      </c>
      <c r="AC759">
        <v>9</v>
      </c>
      <c r="AD759" s="1">
        <v>44574</v>
      </c>
      <c r="AM759" t="str">
        <f>"10"</f>
        <v>10</v>
      </c>
      <c r="AN759" t="str">
        <f>"500000"</f>
        <v>500000</v>
      </c>
      <c r="AO759" t="str">
        <f>"הכנסות  מלקוחות"</f>
        <v>הכנסות  מלקוחות</v>
      </c>
      <c r="AQ759" t="str">
        <f>"007"</f>
        <v>007</v>
      </c>
      <c r="AR759">
        <v>0</v>
      </c>
      <c r="AS759">
        <v>0</v>
      </c>
      <c r="AT759">
        <v>3.6469999999999998</v>
      </c>
      <c r="AX759" t="str">
        <f>"E000355064"</f>
        <v>E000355064</v>
      </c>
      <c r="BD759" t="str">
        <f>"רוני דידי"</f>
        <v>רוני דידי</v>
      </c>
    </row>
    <row r="760" spans="1:56" x14ac:dyDescent="0.3">
      <c r="A760" s="1">
        <v>45034</v>
      </c>
      <c r="B760" t="str">
        <f>"SI236000518"</f>
        <v>SI236000518</v>
      </c>
      <c r="E760" t="str">
        <f>"Y"</f>
        <v>Y</v>
      </c>
      <c r="F760" t="str">
        <f>"חשבוניות מרכזות"</f>
        <v>חשבוניות מרכזות</v>
      </c>
      <c r="G760" t="str">
        <f>"700065"</f>
        <v>700065</v>
      </c>
      <c r="H760" t="str">
        <f>"אלתא מערכות בע""מ"</f>
        <v>אלתא מערכות בע"מ</v>
      </c>
      <c r="I760" t="str">
        <f>"10"</f>
        <v>10</v>
      </c>
      <c r="J760" t="str">
        <f>"OP-AR02041-1S"</f>
        <v>OP-AR02041-1S</v>
      </c>
      <c r="K760" t="str">
        <f>"SL PDB  1 1042A860-001"</f>
        <v>SL PDB  1 1042A860-001</v>
      </c>
      <c r="L760">
        <v>1</v>
      </c>
      <c r="M760" t="str">
        <f>"יח"</f>
        <v>יח</v>
      </c>
      <c r="N760">
        <v>1</v>
      </c>
      <c r="O760" t="str">
        <f>"יח"</f>
        <v>יח</v>
      </c>
      <c r="P760" s="2">
        <v>41000</v>
      </c>
      <c r="Q760" t="str">
        <f>"$"</f>
        <v>$</v>
      </c>
      <c r="R760" t="str">
        <f>"הזמנה"</f>
        <v>הזמנה</v>
      </c>
      <c r="S760">
        <v>0</v>
      </c>
      <c r="T760" s="2">
        <v>41000</v>
      </c>
      <c r="U760">
        <v>0</v>
      </c>
      <c r="V760" s="2">
        <v>41000</v>
      </c>
      <c r="W760" t="str">
        <f>"$"</f>
        <v>$</v>
      </c>
      <c r="X760">
        <v>0</v>
      </c>
      <c r="Y760">
        <v>0</v>
      </c>
      <c r="Z760">
        <v>0</v>
      </c>
      <c r="AA760" t="str">
        <f>"Y"</f>
        <v>Y</v>
      </c>
      <c r="AB760" t="str">
        <f>"SO22000016"</f>
        <v>SO22000016</v>
      </c>
      <c r="AC760">
        <v>8</v>
      </c>
      <c r="AD760" s="1">
        <v>44574</v>
      </c>
      <c r="AM760" t="str">
        <f>"10"</f>
        <v>10</v>
      </c>
      <c r="AN760" t="str">
        <f>"500000"</f>
        <v>500000</v>
      </c>
      <c r="AO760" t="str">
        <f>"הכנסות  מלקוחות"</f>
        <v>הכנסות  מלקוחות</v>
      </c>
      <c r="AQ760" t="str">
        <f>"007"</f>
        <v>007</v>
      </c>
      <c r="AR760">
        <v>0</v>
      </c>
      <c r="AS760">
        <v>0</v>
      </c>
      <c r="AT760">
        <v>3.6469999999999998</v>
      </c>
      <c r="AX760" t="str">
        <f>"E000355064"</f>
        <v>E000355064</v>
      </c>
      <c r="BD760" t="str">
        <f>"רוני דידי"</f>
        <v>רוני דידי</v>
      </c>
    </row>
    <row r="761" spans="1:56" x14ac:dyDescent="0.3">
      <c r="A761" s="1">
        <v>45033</v>
      </c>
      <c r="B761" t="str">
        <f>"SI236000571"</f>
        <v>SI236000571</v>
      </c>
      <c r="C761" t="str">
        <f>"PR22000607"</f>
        <v>PR22000607</v>
      </c>
      <c r="D761" t="str">
        <f>"PR22000607"</f>
        <v>PR22000607</v>
      </c>
      <c r="E761" t="str">
        <f>"Y"</f>
        <v>Y</v>
      </c>
      <c r="F761" t="str">
        <f>"חשבוניות מרכזות"</f>
        <v>חשבוניות מרכזות</v>
      </c>
      <c r="G761" t="str">
        <f>"700065"</f>
        <v>700065</v>
      </c>
      <c r="H761" t="str">
        <f>"אלתא מערכות בע""מ"</f>
        <v>אלתא מערכות בע"מ</v>
      </c>
      <c r="I761" t="str">
        <f>"15"</f>
        <v>15</v>
      </c>
      <c r="J761" t="str">
        <f>"OP-AR03326"</f>
        <v>OP-AR03326</v>
      </c>
      <c r="K761" t="str">
        <f>"2223B636-001    ELM2054-ATE UUTJ1 TO CHAMBER J4"</f>
        <v>2223B636-001    ELM2054-ATE UUTJ1 TO CHAMBER J4</v>
      </c>
      <c r="L761">
        <v>3</v>
      </c>
      <c r="M761" t="str">
        <f>"יח"</f>
        <v>יח</v>
      </c>
      <c r="N761">
        <v>3</v>
      </c>
      <c r="O761" t="str">
        <f>"יח"</f>
        <v>יח</v>
      </c>
      <c r="P761">
        <v>352.7</v>
      </c>
      <c r="Q761" t="str">
        <f>"$"</f>
        <v>$</v>
      </c>
      <c r="R761" t="str">
        <f>"הזמנה"</f>
        <v>הזמנה</v>
      </c>
      <c r="S761">
        <v>0</v>
      </c>
      <c r="T761" s="2">
        <v>1058.0999999999999</v>
      </c>
      <c r="U761">
        <v>0</v>
      </c>
      <c r="V761" s="2">
        <v>1058.0999999999999</v>
      </c>
      <c r="W761" t="str">
        <f>"$"</f>
        <v>$</v>
      </c>
      <c r="X761">
        <v>0</v>
      </c>
      <c r="Y761">
        <v>0</v>
      </c>
      <c r="Z761">
        <v>0</v>
      </c>
      <c r="AA761" t="str">
        <f>"Y"</f>
        <v>Y</v>
      </c>
      <c r="AB761" t="str">
        <f>"SO22000354"</f>
        <v>SO22000354</v>
      </c>
      <c r="AC761">
        <v>2</v>
      </c>
      <c r="AD761" s="1">
        <v>44816</v>
      </c>
      <c r="AE761" t="str">
        <f>"SH23000485"</f>
        <v>SH23000485</v>
      </c>
      <c r="AF761" t="str">
        <f>"משלוחים ללקוח"</f>
        <v>משלוחים ללקוח</v>
      </c>
      <c r="AG761" s="1">
        <v>45033</v>
      </c>
      <c r="AM761" t="str">
        <f>"10"</f>
        <v>10</v>
      </c>
      <c r="AN761" t="str">
        <f>"500000"</f>
        <v>500000</v>
      </c>
      <c r="AO761" t="str">
        <f>"הכנסות  מלקוחות"</f>
        <v>הכנסות  מלקוחות</v>
      </c>
      <c r="AQ761" t="str">
        <f>"040"</f>
        <v>040</v>
      </c>
      <c r="AR761">
        <v>0</v>
      </c>
      <c r="AS761">
        <v>0</v>
      </c>
      <c r="AT761">
        <v>3.6469999999999998</v>
      </c>
      <c r="AX761" t="str">
        <f>"E000373403"</f>
        <v>E000373403</v>
      </c>
      <c r="BD761" t="str">
        <f>"רחמים זרוק"</f>
        <v>רחמים זרוק</v>
      </c>
    </row>
    <row r="762" spans="1:56" x14ac:dyDescent="0.3">
      <c r="A762" s="1">
        <v>45033</v>
      </c>
      <c r="B762" t="str">
        <f>"SI236000513"</f>
        <v>SI236000513</v>
      </c>
      <c r="E762" t="str">
        <f>"Y"</f>
        <v>Y</v>
      </c>
      <c r="F762" t="str">
        <f>"חשבוניות מרכזות"</f>
        <v>חשבוניות מרכזות</v>
      </c>
      <c r="G762" t="str">
        <f>"700065"</f>
        <v>700065</v>
      </c>
      <c r="H762" t="str">
        <f>"אלתא מערכות בע""מ"</f>
        <v>אלתא מערכות בע"מ</v>
      </c>
      <c r="I762" t="str">
        <f>"10"</f>
        <v>10</v>
      </c>
      <c r="J762" t="str">
        <f>"000"</f>
        <v>000</v>
      </c>
      <c r="K762" t="str">
        <f>"סיוע בבחינת תקלת קצר בפלמחים"</f>
        <v>סיוע בבחינת תקלת קצר בפלמחים</v>
      </c>
      <c r="L762">
        <v>1</v>
      </c>
      <c r="M762" t="str">
        <f>"יח"</f>
        <v>יח</v>
      </c>
      <c r="N762">
        <v>1</v>
      </c>
      <c r="O762" t="str">
        <f>"יח"</f>
        <v>יח</v>
      </c>
      <c r="P762">
        <v>650</v>
      </c>
      <c r="Q762" t="str">
        <f>"$"</f>
        <v>$</v>
      </c>
      <c r="R762" t="str">
        <f>"הזמנה"</f>
        <v>הזמנה</v>
      </c>
      <c r="S762">
        <v>0</v>
      </c>
      <c r="T762">
        <v>650</v>
      </c>
      <c r="U762">
        <v>0</v>
      </c>
      <c r="V762">
        <v>650</v>
      </c>
      <c r="W762" t="str">
        <f>"$"</f>
        <v>$</v>
      </c>
      <c r="X762">
        <v>0</v>
      </c>
      <c r="Y762">
        <v>0</v>
      </c>
      <c r="Z762">
        <v>0</v>
      </c>
      <c r="AA762" t="str">
        <f>"Y"</f>
        <v>Y</v>
      </c>
      <c r="AB762" t="str">
        <f>"SO23000183"</f>
        <v>SO23000183</v>
      </c>
      <c r="AC762">
        <v>1</v>
      </c>
      <c r="AD762" s="1">
        <v>45033</v>
      </c>
      <c r="AM762" t="str">
        <f>"10"</f>
        <v>10</v>
      </c>
      <c r="AN762" t="str">
        <f>"500000"</f>
        <v>500000</v>
      </c>
      <c r="AO762" t="str">
        <f>"הכנסות  מלקוחות"</f>
        <v>הכנסות  מלקוחות</v>
      </c>
      <c r="AQ762" t="str">
        <f>"007"</f>
        <v>007</v>
      </c>
      <c r="AR762">
        <v>0</v>
      </c>
      <c r="AS762">
        <v>0</v>
      </c>
      <c r="AT762">
        <v>3.6469999999999998</v>
      </c>
      <c r="AX762" t="str">
        <f>"E000392052"</f>
        <v>E000392052</v>
      </c>
      <c r="BD762" t="str">
        <f>"רוני דידי"</f>
        <v>רוני דידי</v>
      </c>
    </row>
    <row r="763" spans="1:56" x14ac:dyDescent="0.3">
      <c r="A763" s="1">
        <v>45033</v>
      </c>
      <c r="B763" t="str">
        <f>"SI236000512"</f>
        <v>SI236000512</v>
      </c>
      <c r="E763" t="str">
        <f>"Y"</f>
        <v>Y</v>
      </c>
      <c r="F763" t="str">
        <f>"חשבוניות מרכזות"</f>
        <v>חשבוניות מרכזות</v>
      </c>
      <c r="G763" t="str">
        <f>"700065"</f>
        <v>700065</v>
      </c>
      <c r="H763" t="str">
        <f>"אלתא מערכות בע""מ"</f>
        <v>אלתא מערכות בע"מ</v>
      </c>
      <c r="I763" t="str">
        <f>"10"</f>
        <v>10</v>
      </c>
      <c r="J763" t="str">
        <f>"000"</f>
        <v>000</v>
      </c>
      <c r="K763" t="str">
        <f>"סיוע בבחינת תקלת קצר בפלמחים"</f>
        <v>סיוע בבחינת תקלת קצר בפלמחים</v>
      </c>
      <c r="L763">
        <v>-1</v>
      </c>
      <c r="M763" t="str">
        <f>"יח"</f>
        <v>יח</v>
      </c>
      <c r="N763">
        <v>-1</v>
      </c>
      <c r="O763" t="str">
        <f>"יח"</f>
        <v>יח</v>
      </c>
      <c r="P763">
        <v>650</v>
      </c>
      <c r="Q763" t="str">
        <f>"$"</f>
        <v>$</v>
      </c>
      <c r="R763" t="str">
        <f>"הזמנה"</f>
        <v>הזמנה</v>
      </c>
      <c r="S763">
        <v>0</v>
      </c>
      <c r="T763">
        <v>-650</v>
      </c>
      <c r="U763">
        <v>0</v>
      </c>
      <c r="V763">
        <v>-650</v>
      </c>
      <c r="W763" t="str">
        <f>"$"</f>
        <v>$</v>
      </c>
      <c r="X763">
        <v>0</v>
      </c>
      <c r="Y763">
        <v>0</v>
      </c>
      <c r="Z763">
        <v>0</v>
      </c>
      <c r="AA763" t="str">
        <f>"Y"</f>
        <v>Y</v>
      </c>
      <c r="AC763">
        <v>0</v>
      </c>
      <c r="AM763" t="str">
        <f>"10"</f>
        <v>10</v>
      </c>
      <c r="AN763" t="str">
        <f>"500000"</f>
        <v>500000</v>
      </c>
      <c r="AO763" t="str">
        <f>"הכנסות  מלקוחות"</f>
        <v>הכנסות  מלקוחות</v>
      </c>
      <c r="AQ763" t="str">
        <f>"007"</f>
        <v>007</v>
      </c>
      <c r="AR763">
        <v>0</v>
      </c>
      <c r="AS763">
        <v>0</v>
      </c>
      <c r="AT763">
        <v>3.661</v>
      </c>
      <c r="BB763" t="str">
        <f>"Y"</f>
        <v>Y</v>
      </c>
      <c r="BD763" t="str">
        <f>"רוני דידי"</f>
        <v>רוני דידי</v>
      </c>
    </row>
    <row r="764" spans="1:56" x14ac:dyDescent="0.3">
      <c r="A764" s="1">
        <v>45033</v>
      </c>
      <c r="B764" t="str">
        <f>"SI236000509"</f>
        <v>SI236000509</v>
      </c>
      <c r="E764" t="str">
        <f>"Y"</f>
        <v>Y</v>
      </c>
      <c r="F764" t="str">
        <f>"חשבוניות מרכזות"</f>
        <v>חשבוניות מרכזות</v>
      </c>
      <c r="G764" t="str">
        <f>"700065"</f>
        <v>700065</v>
      </c>
      <c r="H764" t="str">
        <f>"אלתא מערכות בע""מ"</f>
        <v>אלתא מערכות בע"מ</v>
      </c>
      <c r="I764" t="str">
        <f>"10"</f>
        <v>10</v>
      </c>
      <c r="J764" t="str">
        <f>"000"</f>
        <v>000</v>
      </c>
      <c r="K764" t="str">
        <f>"סיוע בבחינת תקלת קצר בפלמחים"</f>
        <v>סיוע בבחינת תקלת קצר בפלמחים</v>
      </c>
      <c r="L764">
        <v>1</v>
      </c>
      <c r="M764" t="str">
        <f>"יח"</f>
        <v>יח</v>
      </c>
      <c r="N764">
        <v>1</v>
      </c>
      <c r="O764" t="str">
        <f>"יח"</f>
        <v>יח</v>
      </c>
      <c r="P764">
        <v>650</v>
      </c>
      <c r="Q764" t="str">
        <f>"$"</f>
        <v>$</v>
      </c>
      <c r="R764" t="str">
        <f>"הזמנה"</f>
        <v>הזמנה</v>
      </c>
      <c r="S764">
        <v>0</v>
      </c>
      <c r="T764">
        <v>650</v>
      </c>
      <c r="U764">
        <v>0</v>
      </c>
      <c r="V764">
        <v>650</v>
      </c>
      <c r="W764" t="str">
        <f>"$"</f>
        <v>$</v>
      </c>
      <c r="X764">
        <v>0</v>
      </c>
      <c r="Y764">
        <v>0</v>
      </c>
      <c r="Z764">
        <v>0</v>
      </c>
      <c r="AA764" t="str">
        <f>"Y"</f>
        <v>Y</v>
      </c>
      <c r="AC764">
        <v>0</v>
      </c>
      <c r="AM764" t="str">
        <f>"10"</f>
        <v>10</v>
      </c>
      <c r="AN764" t="str">
        <f>"500000"</f>
        <v>500000</v>
      </c>
      <c r="AO764" t="str">
        <f>"הכנסות  מלקוחות"</f>
        <v>הכנסות  מלקוחות</v>
      </c>
      <c r="AQ764" t="str">
        <f>"007"</f>
        <v>007</v>
      </c>
      <c r="AR764">
        <v>0</v>
      </c>
      <c r="AS764">
        <v>0</v>
      </c>
      <c r="AT764">
        <v>3.661</v>
      </c>
      <c r="BB764" t="str">
        <f>"Y"</f>
        <v>Y</v>
      </c>
      <c r="BD764" t="str">
        <f>"רוני דידי"</f>
        <v>רוני דידי</v>
      </c>
    </row>
    <row r="765" spans="1:56" x14ac:dyDescent="0.3">
      <c r="A765" s="1">
        <v>45032</v>
      </c>
      <c r="B765" t="str">
        <f>"SI236000528"</f>
        <v>SI236000528</v>
      </c>
      <c r="C765" t="str">
        <f>"PR22000631"</f>
        <v>PR22000631</v>
      </c>
      <c r="D765" t="str">
        <f>"PR22000631"</f>
        <v>PR22000631</v>
      </c>
      <c r="E765" t="str">
        <f>"Y"</f>
        <v>Y</v>
      </c>
      <c r="F765" t="str">
        <f>"חשבוניות מרכזות"</f>
        <v>חשבוניות מרכזות</v>
      </c>
      <c r="G765" t="str">
        <f>"700065"</f>
        <v>700065</v>
      </c>
      <c r="H765" t="str">
        <f>"אלתא מערכות בע""מ"</f>
        <v>אלתא מערכות בע"מ</v>
      </c>
      <c r="I765" t="str">
        <f>"15"</f>
        <v>15</v>
      </c>
      <c r="J765" t="str">
        <f>"OP-AR03347"</f>
        <v>OP-AR03347</v>
      </c>
      <c r="K765" t="str">
        <f>"4047K523-001    HARNESS WK523 - FETX 2"</f>
        <v>4047K523-001    HARNESS WK523 - FETX 2</v>
      </c>
      <c r="L765">
        <v>2</v>
      </c>
      <c r="M765" t="str">
        <f>"יח"</f>
        <v>יח</v>
      </c>
      <c r="N765">
        <v>2</v>
      </c>
      <c r="O765" t="str">
        <f>"יח"</f>
        <v>יח</v>
      </c>
      <c r="P765" s="2">
        <v>1910.88</v>
      </c>
      <c r="Q765" t="str">
        <f>"$"</f>
        <v>$</v>
      </c>
      <c r="R765" t="str">
        <f>"הזמנה"</f>
        <v>הזמנה</v>
      </c>
      <c r="S765">
        <v>0</v>
      </c>
      <c r="T765" s="2">
        <v>3821.76</v>
      </c>
      <c r="U765">
        <v>0</v>
      </c>
      <c r="V765" s="2">
        <v>3821.76</v>
      </c>
      <c r="W765" t="str">
        <f>"$"</f>
        <v>$</v>
      </c>
      <c r="X765">
        <v>0</v>
      </c>
      <c r="Y765">
        <v>0</v>
      </c>
      <c r="Z765">
        <v>0</v>
      </c>
      <c r="AA765" t="str">
        <f>"Y"</f>
        <v>Y</v>
      </c>
      <c r="AB765" t="str">
        <f>"SO22000371"</f>
        <v>SO22000371</v>
      </c>
      <c r="AC765">
        <v>2</v>
      </c>
      <c r="AD765" s="1">
        <v>44833</v>
      </c>
      <c r="AE765" t="str">
        <f>"SH23000482"</f>
        <v>SH23000482</v>
      </c>
      <c r="AF765" t="str">
        <f>"משלוחים ללקוח"</f>
        <v>משלוחים ללקוח</v>
      </c>
      <c r="AG765" s="1">
        <v>45032</v>
      </c>
      <c r="AM765" t="str">
        <f>"10"</f>
        <v>10</v>
      </c>
      <c r="AN765" t="str">
        <f>"500000"</f>
        <v>500000</v>
      </c>
      <c r="AO765" t="str">
        <f>"הכנסות  מלקוחות"</f>
        <v>הכנסות  מלקוחות</v>
      </c>
      <c r="AQ765" t="str">
        <f>"040"</f>
        <v>040</v>
      </c>
      <c r="AR765">
        <v>0</v>
      </c>
      <c r="AS765">
        <v>0</v>
      </c>
      <c r="AT765">
        <v>3.661</v>
      </c>
      <c r="AX765" t="str">
        <f>"E000374751"</f>
        <v>E000374751</v>
      </c>
      <c r="BD765" t="str">
        <f>"רחמים זרוק"</f>
        <v>רחמים זרוק</v>
      </c>
    </row>
    <row r="766" spans="1:56" x14ac:dyDescent="0.3">
      <c r="A766" s="1">
        <v>45032</v>
      </c>
      <c r="B766" t="str">
        <f>"SI236000502"</f>
        <v>SI236000502</v>
      </c>
      <c r="C766" t="str">
        <f>"PR22000552"</f>
        <v>PR22000552</v>
      </c>
      <c r="E766" t="str">
        <f>"Y"</f>
        <v>Y</v>
      </c>
      <c r="F766" t="str">
        <f>"חשבוניות מרכזות"</f>
        <v>חשבוניות מרכזות</v>
      </c>
      <c r="G766" t="str">
        <f>"700065"</f>
        <v>700065</v>
      </c>
      <c r="H766" t="str">
        <f>"אלתא מערכות בע""מ"</f>
        <v>אלתא מערכות בע"מ</v>
      </c>
      <c r="I766" t="str">
        <f>"15"</f>
        <v>15</v>
      </c>
      <c r="J766" t="str">
        <f>"OP-AR03224"</f>
        <v>OP-AR03224</v>
      </c>
      <c r="K766" t="str">
        <f>"6950A161-001    HARNESS WM01 - CU TO ANTENNA RIGHT FWD"</f>
        <v>6950A161-001    HARNESS WM01 - CU TO ANTENNA RIGHT FWD</v>
      </c>
      <c r="L766">
        <v>-1</v>
      </c>
      <c r="M766" t="str">
        <f>"יח"</f>
        <v>יח</v>
      </c>
      <c r="N766">
        <v>-1</v>
      </c>
      <c r="O766" t="str">
        <f>"יח"</f>
        <v>יח</v>
      </c>
      <c r="P766" s="2">
        <v>1291.22</v>
      </c>
      <c r="Q766" t="str">
        <f>"$"</f>
        <v>$</v>
      </c>
      <c r="R766" t="str">
        <f>"הזמנה"</f>
        <v>הזמנה</v>
      </c>
      <c r="S766">
        <v>0</v>
      </c>
      <c r="T766" s="2">
        <v>-1291.22</v>
      </c>
      <c r="U766">
        <v>0</v>
      </c>
      <c r="V766" s="2">
        <v>-1291.22</v>
      </c>
      <c r="W766" t="str">
        <f>"$"</f>
        <v>$</v>
      </c>
      <c r="X766">
        <v>0</v>
      </c>
      <c r="Y766">
        <v>0</v>
      </c>
      <c r="Z766">
        <v>0</v>
      </c>
      <c r="AA766" t="str">
        <f>"Y"</f>
        <v>Y</v>
      </c>
      <c r="AC766">
        <v>0</v>
      </c>
      <c r="AM766" t="str">
        <f>"10"</f>
        <v>10</v>
      </c>
      <c r="AN766" t="str">
        <f>"500000"</f>
        <v>500000</v>
      </c>
      <c r="AO766" t="str">
        <f>"הכנסות  מלקוחות"</f>
        <v>הכנסות  מלקוחות</v>
      </c>
      <c r="AQ766" t="str">
        <f>"040"</f>
        <v>040</v>
      </c>
      <c r="AR766">
        <v>0</v>
      </c>
      <c r="AS766">
        <v>0</v>
      </c>
      <c r="AT766">
        <v>3.661</v>
      </c>
      <c r="BB766" t="str">
        <f>"Y"</f>
        <v>Y</v>
      </c>
      <c r="BD766" t="str">
        <f>"רחמים זרוק"</f>
        <v>רחמים זרוק</v>
      </c>
    </row>
    <row r="767" spans="1:56" x14ac:dyDescent="0.3">
      <c r="A767" s="1">
        <v>45032</v>
      </c>
      <c r="B767" t="str">
        <f>"SI236000502"</f>
        <v>SI236000502</v>
      </c>
      <c r="C767" t="str">
        <f>"PR22000552"</f>
        <v>PR22000552</v>
      </c>
      <c r="E767" t="str">
        <f>"Y"</f>
        <v>Y</v>
      </c>
      <c r="F767" t="str">
        <f>"חשבוניות מרכזות"</f>
        <v>חשבוניות מרכזות</v>
      </c>
      <c r="G767" t="str">
        <f>"700065"</f>
        <v>700065</v>
      </c>
      <c r="H767" t="str">
        <f>"אלתא מערכות בע""מ"</f>
        <v>אלתא מערכות בע"מ</v>
      </c>
      <c r="I767" t="str">
        <f>"15"</f>
        <v>15</v>
      </c>
      <c r="J767" t="str">
        <f>"OP-AR03228"</f>
        <v>OP-AR03228</v>
      </c>
      <c r="K767" t="str">
        <f>"6950A165-001    HARNESS WM05 - CU TO ANTENNA RIGHT FWD ("</f>
        <v>6950A165-001    HARNESS WM05 - CU TO ANTENNA RIGHT FWD (</v>
      </c>
      <c r="L767">
        <v>-1</v>
      </c>
      <c r="M767" t="str">
        <f>"יח"</f>
        <v>יח</v>
      </c>
      <c r="N767">
        <v>-1</v>
      </c>
      <c r="O767" t="str">
        <f>"יח"</f>
        <v>יח</v>
      </c>
      <c r="P767" s="2">
        <v>1737.74</v>
      </c>
      <c r="Q767" t="str">
        <f>"$"</f>
        <v>$</v>
      </c>
      <c r="R767" t="str">
        <f>"הזמנה"</f>
        <v>הזמנה</v>
      </c>
      <c r="S767">
        <v>0</v>
      </c>
      <c r="T767" s="2">
        <v>-1737.74</v>
      </c>
      <c r="U767">
        <v>0</v>
      </c>
      <c r="V767" s="2">
        <v>-1737.74</v>
      </c>
      <c r="W767" t="str">
        <f>"$"</f>
        <v>$</v>
      </c>
      <c r="X767">
        <v>0</v>
      </c>
      <c r="Y767">
        <v>0</v>
      </c>
      <c r="Z767">
        <v>0</v>
      </c>
      <c r="AA767" t="str">
        <f>"Y"</f>
        <v>Y</v>
      </c>
      <c r="AC767">
        <v>0</v>
      </c>
      <c r="AM767" t="str">
        <f>"10"</f>
        <v>10</v>
      </c>
      <c r="AN767" t="str">
        <f>"500000"</f>
        <v>500000</v>
      </c>
      <c r="AO767" t="str">
        <f>"הכנסות  מלקוחות"</f>
        <v>הכנסות  מלקוחות</v>
      </c>
      <c r="AQ767" t="str">
        <f>"040"</f>
        <v>040</v>
      </c>
      <c r="AR767">
        <v>0</v>
      </c>
      <c r="AS767">
        <v>0</v>
      </c>
      <c r="AT767">
        <v>3.661</v>
      </c>
      <c r="BB767" t="str">
        <f>"Y"</f>
        <v>Y</v>
      </c>
      <c r="BD767" t="str">
        <f>"רחמים זרוק"</f>
        <v>רחמים זרוק</v>
      </c>
    </row>
    <row r="768" spans="1:56" x14ac:dyDescent="0.3">
      <c r="A768" s="1">
        <v>45032</v>
      </c>
      <c r="B768" t="str">
        <f>"SI236000502"</f>
        <v>SI236000502</v>
      </c>
      <c r="C768" t="str">
        <f>"PR22000552"</f>
        <v>PR22000552</v>
      </c>
      <c r="E768" t="str">
        <f>"Y"</f>
        <v>Y</v>
      </c>
      <c r="F768" t="str">
        <f>"חשבוניות מרכזות"</f>
        <v>חשבוניות מרכזות</v>
      </c>
      <c r="G768" t="str">
        <f>"700065"</f>
        <v>700065</v>
      </c>
      <c r="H768" t="str">
        <f>"אלתא מערכות בע""מ"</f>
        <v>אלתא מערכות בע"מ</v>
      </c>
      <c r="I768" t="str">
        <f>"15"</f>
        <v>15</v>
      </c>
      <c r="J768" t="str">
        <f>"OP-AR03233"</f>
        <v>OP-AR03233</v>
      </c>
      <c r="K768" t="str">
        <f>"6950A182-001    HARNESS W182 - MCU INTEGRATION"</f>
        <v>6950A182-001    HARNESS W182 - MCU INTEGRATION</v>
      </c>
      <c r="L768">
        <v>-10</v>
      </c>
      <c r="M768" t="str">
        <f>"יח"</f>
        <v>יח</v>
      </c>
      <c r="N768">
        <v>-10</v>
      </c>
      <c r="O768" t="str">
        <f>"יח"</f>
        <v>יח</v>
      </c>
      <c r="P768">
        <v>862.04</v>
      </c>
      <c r="Q768" t="str">
        <f>"$"</f>
        <v>$</v>
      </c>
      <c r="R768" t="str">
        <f>"הזמנה"</f>
        <v>הזמנה</v>
      </c>
      <c r="S768">
        <v>0</v>
      </c>
      <c r="T768" s="2">
        <v>-8620.4</v>
      </c>
      <c r="U768">
        <v>0</v>
      </c>
      <c r="V768" s="2">
        <v>-8620.4</v>
      </c>
      <c r="W768" t="str">
        <f>"$"</f>
        <v>$</v>
      </c>
      <c r="X768">
        <v>0</v>
      </c>
      <c r="Y768">
        <v>0</v>
      </c>
      <c r="Z768">
        <v>0</v>
      </c>
      <c r="AA768" t="str">
        <f>"Y"</f>
        <v>Y</v>
      </c>
      <c r="AC768">
        <v>0</v>
      </c>
      <c r="AM768" t="str">
        <f>"10"</f>
        <v>10</v>
      </c>
      <c r="AN768" t="str">
        <f>"500000"</f>
        <v>500000</v>
      </c>
      <c r="AO768" t="str">
        <f>"הכנסות  מלקוחות"</f>
        <v>הכנסות  מלקוחות</v>
      </c>
      <c r="AQ768" t="str">
        <f>"040"</f>
        <v>040</v>
      </c>
      <c r="AR768">
        <v>0</v>
      </c>
      <c r="AS768">
        <v>0</v>
      </c>
      <c r="AT768">
        <v>3.661</v>
      </c>
      <c r="BB768" t="str">
        <f>"Y"</f>
        <v>Y</v>
      </c>
      <c r="BD768" t="str">
        <f>"רחמים זרוק"</f>
        <v>רחמים זרוק</v>
      </c>
    </row>
    <row r="769" spans="1:56" x14ac:dyDescent="0.3">
      <c r="A769" s="1">
        <v>45032</v>
      </c>
      <c r="B769" t="str">
        <f>"SI236000498"</f>
        <v>SI236000498</v>
      </c>
      <c r="C769" t="str">
        <f>"PR22000552"</f>
        <v>PR22000552</v>
      </c>
      <c r="E769" t="str">
        <f>"Y"</f>
        <v>Y</v>
      </c>
      <c r="F769" t="str">
        <f>"חשבוניות מרכזות"</f>
        <v>חשבוניות מרכזות</v>
      </c>
      <c r="G769" t="str">
        <f>"700065"</f>
        <v>700065</v>
      </c>
      <c r="H769" t="str">
        <f>"אלתא מערכות בע""מ"</f>
        <v>אלתא מערכות בע"מ</v>
      </c>
      <c r="I769" t="str">
        <f>"15"</f>
        <v>15</v>
      </c>
      <c r="J769" t="str">
        <f>"OP-AR03224"</f>
        <v>OP-AR03224</v>
      </c>
      <c r="K769" t="str">
        <f>"6950A161-001    HARNESS WM01 - CU TO ANTENNA RIGHT FWD"</f>
        <v>6950A161-001    HARNESS WM01 - CU TO ANTENNA RIGHT FWD</v>
      </c>
      <c r="L769">
        <v>1</v>
      </c>
      <c r="M769" t="str">
        <f>"יח"</f>
        <v>יח</v>
      </c>
      <c r="N769">
        <v>1</v>
      </c>
      <c r="O769" t="str">
        <f>"יח"</f>
        <v>יח</v>
      </c>
      <c r="P769" s="2">
        <v>1291.22</v>
      </c>
      <c r="Q769" t="str">
        <f>"$"</f>
        <v>$</v>
      </c>
      <c r="R769" t="str">
        <f>"הזמנה"</f>
        <v>הזמנה</v>
      </c>
      <c r="S769">
        <v>0</v>
      </c>
      <c r="T769" s="2">
        <v>1291.22</v>
      </c>
      <c r="U769">
        <v>0</v>
      </c>
      <c r="V769" s="2">
        <v>1291.22</v>
      </c>
      <c r="W769" t="str">
        <f>"$"</f>
        <v>$</v>
      </c>
      <c r="X769">
        <v>0</v>
      </c>
      <c r="Y769">
        <v>0</v>
      </c>
      <c r="Z769">
        <v>0</v>
      </c>
      <c r="AA769" t="str">
        <f>"Y"</f>
        <v>Y</v>
      </c>
      <c r="AC769">
        <v>0</v>
      </c>
      <c r="AM769" t="str">
        <f>"10"</f>
        <v>10</v>
      </c>
      <c r="AN769" t="str">
        <f>"500000"</f>
        <v>500000</v>
      </c>
      <c r="AO769" t="str">
        <f>"הכנסות  מלקוחות"</f>
        <v>הכנסות  מלקוחות</v>
      </c>
      <c r="AQ769" t="str">
        <f>"040"</f>
        <v>040</v>
      </c>
      <c r="AR769">
        <v>0</v>
      </c>
      <c r="AS769">
        <v>0</v>
      </c>
      <c r="AT769">
        <v>3.661</v>
      </c>
      <c r="BB769" t="str">
        <f>"Y"</f>
        <v>Y</v>
      </c>
      <c r="BD769" t="str">
        <f>"רחמים זרוק"</f>
        <v>רחמים זרוק</v>
      </c>
    </row>
    <row r="770" spans="1:56" x14ac:dyDescent="0.3">
      <c r="A770" s="1">
        <v>45032</v>
      </c>
      <c r="B770" t="str">
        <f>"SI236000498"</f>
        <v>SI236000498</v>
      </c>
      <c r="C770" t="str">
        <f>"PR22000552"</f>
        <v>PR22000552</v>
      </c>
      <c r="E770" t="str">
        <f>"Y"</f>
        <v>Y</v>
      </c>
      <c r="F770" t="str">
        <f>"חשבוניות מרכזות"</f>
        <v>חשבוניות מרכזות</v>
      </c>
      <c r="G770" t="str">
        <f>"700065"</f>
        <v>700065</v>
      </c>
      <c r="H770" t="str">
        <f>"אלתא מערכות בע""מ"</f>
        <v>אלתא מערכות בע"מ</v>
      </c>
      <c r="I770" t="str">
        <f>"15"</f>
        <v>15</v>
      </c>
      <c r="J770" t="str">
        <f>"OP-AR03228"</f>
        <v>OP-AR03228</v>
      </c>
      <c r="K770" t="str">
        <f>"6950A165-001    HARNESS WM05 - CU TO ANTENNA RIGHT FWD ("</f>
        <v>6950A165-001    HARNESS WM05 - CU TO ANTENNA RIGHT FWD (</v>
      </c>
      <c r="L770">
        <v>1</v>
      </c>
      <c r="M770" t="str">
        <f>"יח"</f>
        <v>יח</v>
      </c>
      <c r="N770">
        <v>1</v>
      </c>
      <c r="O770" t="str">
        <f>"יח"</f>
        <v>יח</v>
      </c>
      <c r="P770" s="2">
        <v>1737.74</v>
      </c>
      <c r="Q770" t="str">
        <f>"$"</f>
        <v>$</v>
      </c>
      <c r="R770" t="str">
        <f>"הזמנה"</f>
        <v>הזמנה</v>
      </c>
      <c r="S770">
        <v>0</v>
      </c>
      <c r="T770" s="2">
        <v>1737.74</v>
      </c>
      <c r="U770">
        <v>0</v>
      </c>
      <c r="V770" s="2">
        <v>1737.74</v>
      </c>
      <c r="W770" t="str">
        <f>"$"</f>
        <v>$</v>
      </c>
      <c r="X770">
        <v>0</v>
      </c>
      <c r="Y770">
        <v>0</v>
      </c>
      <c r="Z770">
        <v>0</v>
      </c>
      <c r="AA770" t="str">
        <f>"Y"</f>
        <v>Y</v>
      </c>
      <c r="AC770">
        <v>0</v>
      </c>
      <c r="AM770" t="str">
        <f>"10"</f>
        <v>10</v>
      </c>
      <c r="AN770" t="str">
        <f>"500000"</f>
        <v>500000</v>
      </c>
      <c r="AO770" t="str">
        <f>"הכנסות  מלקוחות"</f>
        <v>הכנסות  מלקוחות</v>
      </c>
      <c r="AQ770" t="str">
        <f>"040"</f>
        <v>040</v>
      </c>
      <c r="AR770">
        <v>0</v>
      </c>
      <c r="AS770">
        <v>0</v>
      </c>
      <c r="AT770">
        <v>3.661</v>
      </c>
      <c r="BB770" t="str">
        <f>"Y"</f>
        <v>Y</v>
      </c>
      <c r="BD770" t="str">
        <f>"רחמים זרוק"</f>
        <v>רחמים זרוק</v>
      </c>
    </row>
    <row r="771" spans="1:56" x14ac:dyDescent="0.3">
      <c r="A771" s="1">
        <v>45032</v>
      </c>
      <c r="B771" t="str">
        <f>"SI236000498"</f>
        <v>SI236000498</v>
      </c>
      <c r="C771" t="str">
        <f>"PR22000552"</f>
        <v>PR22000552</v>
      </c>
      <c r="E771" t="str">
        <f>"Y"</f>
        <v>Y</v>
      </c>
      <c r="F771" t="str">
        <f>"חשבוניות מרכזות"</f>
        <v>חשבוניות מרכזות</v>
      </c>
      <c r="G771" t="str">
        <f>"700065"</f>
        <v>700065</v>
      </c>
      <c r="H771" t="str">
        <f>"אלתא מערכות בע""מ"</f>
        <v>אלתא מערכות בע"מ</v>
      </c>
      <c r="I771" t="str">
        <f>"15"</f>
        <v>15</v>
      </c>
      <c r="J771" t="str">
        <f>"OP-AR03233"</f>
        <v>OP-AR03233</v>
      </c>
      <c r="K771" t="str">
        <f>"6950A182-001    HARNESS W182 - MCU INTEGRATION"</f>
        <v>6950A182-001    HARNESS W182 - MCU INTEGRATION</v>
      </c>
      <c r="L771">
        <v>10</v>
      </c>
      <c r="M771" t="str">
        <f>"יח"</f>
        <v>יח</v>
      </c>
      <c r="N771">
        <v>10</v>
      </c>
      <c r="O771" t="str">
        <f>"יח"</f>
        <v>יח</v>
      </c>
      <c r="P771">
        <v>862.04</v>
      </c>
      <c r="Q771" t="str">
        <f>"$"</f>
        <v>$</v>
      </c>
      <c r="R771" t="str">
        <f>"הזמנה"</f>
        <v>הזמנה</v>
      </c>
      <c r="S771">
        <v>0</v>
      </c>
      <c r="T771" s="2">
        <v>8620.4</v>
      </c>
      <c r="U771">
        <v>0</v>
      </c>
      <c r="V771" s="2">
        <v>8620.4</v>
      </c>
      <c r="W771" t="str">
        <f>"$"</f>
        <v>$</v>
      </c>
      <c r="X771">
        <v>0</v>
      </c>
      <c r="Y771">
        <v>0</v>
      </c>
      <c r="Z771">
        <v>0</v>
      </c>
      <c r="AA771" t="str">
        <f>"Y"</f>
        <v>Y</v>
      </c>
      <c r="AC771">
        <v>0</v>
      </c>
      <c r="AM771" t="str">
        <f>"10"</f>
        <v>10</v>
      </c>
      <c r="AN771" t="str">
        <f>"500000"</f>
        <v>500000</v>
      </c>
      <c r="AO771" t="str">
        <f>"הכנסות  מלקוחות"</f>
        <v>הכנסות  מלקוחות</v>
      </c>
      <c r="AQ771" t="str">
        <f>"040"</f>
        <v>040</v>
      </c>
      <c r="AR771">
        <v>0</v>
      </c>
      <c r="AS771">
        <v>0</v>
      </c>
      <c r="AT771">
        <v>3.661</v>
      </c>
      <c r="BB771" t="str">
        <f>"Y"</f>
        <v>Y</v>
      </c>
      <c r="BD771" t="str">
        <f>"רחמים זרוק"</f>
        <v>רחמים זרוק</v>
      </c>
    </row>
    <row r="772" spans="1:56" x14ac:dyDescent="0.3">
      <c r="A772" s="1">
        <v>45032</v>
      </c>
      <c r="B772" t="str">
        <f>"SI236000492"</f>
        <v>SI236000492</v>
      </c>
      <c r="E772" t="str">
        <f>"Y"</f>
        <v>Y</v>
      </c>
      <c r="F772" t="str">
        <f>"חשבוניות מרכזות"</f>
        <v>חשבוניות מרכזות</v>
      </c>
      <c r="G772" t="str">
        <f>"700065"</f>
        <v>700065</v>
      </c>
      <c r="H772" t="str">
        <f>"אלתא מערכות בע""מ"</f>
        <v>אלתא מערכות בע"מ</v>
      </c>
      <c r="I772" t="str">
        <f>"10"</f>
        <v>10</v>
      </c>
      <c r="J772" t="str">
        <f>"OP-AR02041"</f>
        <v>OP-AR02041</v>
      </c>
      <c r="K772" t="str">
        <f>"PDB1 1038C860-001"</f>
        <v>PDB1 1038C860-001</v>
      </c>
      <c r="L772">
        <v>1</v>
      </c>
      <c r="M772" t="str">
        <f>"יח"</f>
        <v>יח</v>
      </c>
      <c r="N772">
        <v>1</v>
      </c>
      <c r="O772" t="str">
        <f>"יח"</f>
        <v>יח</v>
      </c>
      <c r="P772" s="2">
        <v>41000</v>
      </c>
      <c r="Q772" t="str">
        <f>"$"</f>
        <v>$</v>
      </c>
      <c r="R772" t="str">
        <f>"הזמנה"</f>
        <v>הזמנה</v>
      </c>
      <c r="S772">
        <v>0</v>
      </c>
      <c r="T772" s="2">
        <v>41000</v>
      </c>
      <c r="U772">
        <v>0</v>
      </c>
      <c r="V772" s="2">
        <v>41000</v>
      </c>
      <c r="W772" t="str">
        <f>"$"</f>
        <v>$</v>
      </c>
      <c r="X772">
        <v>0</v>
      </c>
      <c r="Y772">
        <v>0</v>
      </c>
      <c r="Z772">
        <v>0</v>
      </c>
      <c r="AA772" t="str">
        <f>"Y"</f>
        <v>Y</v>
      </c>
      <c r="AB772" t="str">
        <f>"SO22000016"</f>
        <v>SO22000016</v>
      </c>
      <c r="AC772">
        <v>7</v>
      </c>
      <c r="AD772" s="1">
        <v>44574</v>
      </c>
      <c r="AM772" t="str">
        <f>"10"</f>
        <v>10</v>
      </c>
      <c r="AN772" t="str">
        <f>"500000"</f>
        <v>500000</v>
      </c>
      <c r="AO772" t="str">
        <f>"הכנסות  מלקוחות"</f>
        <v>הכנסות  מלקוחות</v>
      </c>
      <c r="AQ772" t="str">
        <f>"007"</f>
        <v>007</v>
      </c>
      <c r="AR772">
        <v>0</v>
      </c>
      <c r="AS772">
        <v>0</v>
      </c>
      <c r="AT772">
        <v>3.661</v>
      </c>
      <c r="AX772" t="str">
        <f>"E000355064"</f>
        <v>E000355064</v>
      </c>
      <c r="BD772" t="str">
        <f>"רוני דידי"</f>
        <v>רוני דידי</v>
      </c>
    </row>
    <row r="773" spans="1:56" x14ac:dyDescent="0.3">
      <c r="A773" s="1">
        <v>45032</v>
      </c>
      <c r="B773" t="str">
        <f>"SI236000491"</f>
        <v>SI236000491</v>
      </c>
      <c r="E773" t="str">
        <f>"Y"</f>
        <v>Y</v>
      </c>
      <c r="F773" t="str">
        <f>"חשבוניות מרכזות"</f>
        <v>חשבוניות מרכזות</v>
      </c>
      <c r="G773" t="str">
        <f>"700065"</f>
        <v>700065</v>
      </c>
      <c r="H773" t="str">
        <f>"אלתא מערכות בע""מ"</f>
        <v>אלתא מערכות בע"מ</v>
      </c>
      <c r="I773" t="str">
        <f>"10"</f>
        <v>10</v>
      </c>
      <c r="J773" t="str">
        <f>"OP-AR02041"</f>
        <v>OP-AR02041</v>
      </c>
      <c r="K773" t="str">
        <f>"PDB1 1038C860-001"</f>
        <v>PDB1 1038C860-001</v>
      </c>
      <c r="L773">
        <v>1</v>
      </c>
      <c r="M773" t="str">
        <f>"יח"</f>
        <v>יח</v>
      </c>
      <c r="N773">
        <v>1</v>
      </c>
      <c r="O773" t="str">
        <f>"יח"</f>
        <v>יח</v>
      </c>
      <c r="P773" s="2">
        <v>41000</v>
      </c>
      <c r="Q773" t="str">
        <f>"$"</f>
        <v>$</v>
      </c>
      <c r="R773" t="str">
        <f>"הזמנה"</f>
        <v>הזמנה</v>
      </c>
      <c r="S773">
        <v>0</v>
      </c>
      <c r="T773" s="2">
        <v>41000</v>
      </c>
      <c r="U773">
        <v>0</v>
      </c>
      <c r="V773" s="2">
        <v>41000</v>
      </c>
      <c r="W773" t="str">
        <f>"$"</f>
        <v>$</v>
      </c>
      <c r="X773">
        <v>0</v>
      </c>
      <c r="Y773">
        <v>0</v>
      </c>
      <c r="Z773">
        <v>0</v>
      </c>
      <c r="AA773" t="str">
        <f>"Y"</f>
        <v>Y</v>
      </c>
      <c r="AB773" t="str">
        <f>"SO22000016"</f>
        <v>SO22000016</v>
      </c>
      <c r="AC773">
        <v>6</v>
      </c>
      <c r="AD773" s="1">
        <v>44574</v>
      </c>
      <c r="AM773" t="str">
        <f>"10"</f>
        <v>10</v>
      </c>
      <c r="AN773" t="str">
        <f>"500000"</f>
        <v>500000</v>
      </c>
      <c r="AO773" t="str">
        <f>"הכנסות  מלקוחות"</f>
        <v>הכנסות  מלקוחות</v>
      </c>
      <c r="AQ773" t="str">
        <f>"007"</f>
        <v>007</v>
      </c>
      <c r="AR773">
        <v>0</v>
      </c>
      <c r="AS773">
        <v>0</v>
      </c>
      <c r="AT773">
        <v>3.661</v>
      </c>
      <c r="AX773" t="str">
        <f>"E000355064"</f>
        <v>E000355064</v>
      </c>
      <c r="BD773" t="str">
        <f>"רוני דידי"</f>
        <v>רוני דידי</v>
      </c>
    </row>
    <row r="774" spans="1:56" x14ac:dyDescent="0.3">
      <c r="A774" s="1">
        <v>45032</v>
      </c>
      <c r="B774" t="str">
        <f>"SI236000490"</f>
        <v>SI236000490</v>
      </c>
      <c r="E774" t="str">
        <f>"Y"</f>
        <v>Y</v>
      </c>
      <c r="F774" t="str">
        <f>"חשבוניות מרכזות"</f>
        <v>חשבוניות מרכזות</v>
      </c>
      <c r="G774" t="str">
        <f>"700065"</f>
        <v>700065</v>
      </c>
      <c r="H774" t="str">
        <f>"אלתא מערכות בע""מ"</f>
        <v>אלתא מערכות בע"מ</v>
      </c>
      <c r="I774" t="str">
        <f>"10"</f>
        <v>10</v>
      </c>
      <c r="J774" t="str">
        <f>"OP-AR02041"</f>
        <v>OP-AR02041</v>
      </c>
      <c r="K774" t="str">
        <f>"PDB1 1038C860-001"</f>
        <v>PDB1 1038C860-001</v>
      </c>
      <c r="L774">
        <v>1</v>
      </c>
      <c r="M774" t="str">
        <f>"יח"</f>
        <v>יח</v>
      </c>
      <c r="N774">
        <v>1</v>
      </c>
      <c r="O774" t="str">
        <f>"יח"</f>
        <v>יח</v>
      </c>
      <c r="P774" s="2">
        <v>41000</v>
      </c>
      <c r="Q774" t="str">
        <f>"$"</f>
        <v>$</v>
      </c>
      <c r="R774" t="str">
        <f>"הזמנה"</f>
        <v>הזמנה</v>
      </c>
      <c r="S774">
        <v>0</v>
      </c>
      <c r="T774" s="2">
        <v>41000</v>
      </c>
      <c r="U774">
        <v>0</v>
      </c>
      <c r="V774" s="2">
        <v>41000</v>
      </c>
      <c r="W774" t="str">
        <f>"$"</f>
        <v>$</v>
      </c>
      <c r="X774">
        <v>0</v>
      </c>
      <c r="Y774">
        <v>0</v>
      </c>
      <c r="Z774">
        <v>0</v>
      </c>
      <c r="AA774" t="str">
        <f>"Y"</f>
        <v>Y</v>
      </c>
      <c r="AB774" t="str">
        <f>"SO22000016"</f>
        <v>SO22000016</v>
      </c>
      <c r="AC774">
        <v>5</v>
      </c>
      <c r="AD774" s="1">
        <v>44574</v>
      </c>
      <c r="AM774" t="str">
        <f>"10"</f>
        <v>10</v>
      </c>
      <c r="AN774" t="str">
        <f>"500000"</f>
        <v>500000</v>
      </c>
      <c r="AO774" t="str">
        <f>"הכנסות  מלקוחות"</f>
        <v>הכנסות  מלקוחות</v>
      </c>
      <c r="AQ774" t="str">
        <f>"007"</f>
        <v>007</v>
      </c>
      <c r="AR774">
        <v>0</v>
      </c>
      <c r="AS774">
        <v>0</v>
      </c>
      <c r="AT774">
        <v>3.661</v>
      </c>
      <c r="AX774" t="str">
        <f>"E000355064"</f>
        <v>E000355064</v>
      </c>
      <c r="BD774" t="str">
        <f>"רוני דידי"</f>
        <v>רוני דידי</v>
      </c>
    </row>
    <row r="775" spans="1:56" x14ac:dyDescent="0.3">
      <c r="A775" s="1">
        <v>45032</v>
      </c>
      <c r="B775" t="str">
        <f>"SI236000489"</f>
        <v>SI236000489</v>
      </c>
      <c r="E775" t="str">
        <f>"Y"</f>
        <v>Y</v>
      </c>
      <c r="F775" t="str">
        <f>"חשבוניות מרכזות"</f>
        <v>חשבוניות מרכזות</v>
      </c>
      <c r="G775" t="str">
        <f>"700065"</f>
        <v>700065</v>
      </c>
      <c r="H775" t="str">
        <f>"אלתא מערכות בע""מ"</f>
        <v>אלתא מערכות בע"מ</v>
      </c>
      <c r="I775" t="str">
        <f>"10"</f>
        <v>10</v>
      </c>
      <c r="J775" t="str">
        <f>"OP-AR02041"</f>
        <v>OP-AR02041</v>
      </c>
      <c r="K775" t="str">
        <f>"PDB1 1038C860-001"</f>
        <v>PDB1 1038C860-001</v>
      </c>
      <c r="L775">
        <v>1</v>
      </c>
      <c r="M775" t="str">
        <f>"יח"</f>
        <v>יח</v>
      </c>
      <c r="N775">
        <v>1</v>
      </c>
      <c r="O775" t="str">
        <f>"יח"</f>
        <v>יח</v>
      </c>
      <c r="P775" s="2">
        <v>41000</v>
      </c>
      <c r="Q775" t="str">
        <f>"$"</f>
        <v>$</v>
      </c>
      <c r="R775" t="str">
        <f>"הזמנה"</f>
        <v>הזמנה</v>
      </c>
      <c r="S775">
        <v>0</v>
      </c>
      <c r="T775" s="2">
        <v>41000</v>
      </c>
      <c r="U775">
        <v>0</v>
      </c>
      <c r="V775" s="2">
        <v>41000</v>
      </c>
      <c r="W775" t="str">
        <f>"$"</f>
        <v>$</v>
      </c>
      <c r="X775">
        <v>0</v>
      </c>
      <c r="Y775">
        <v>0</v>
      </c>
      <c r="Z775">
        <v>0</v>
      </c>
      <c r="AA775" t="str">
        <f>"Y"</f>
        <v>Y</v>
      </c>
      <c r="AC775">
        <v>0</v>
      </c>
      <c r="AM775" t="str">
        <f>"10"</f>
        <v>10</v>
      </c>
      <c r="AN775" t="str">
        <f>"500000"</f>
        <v>500000</v>
      </c>
      <c r="AO775" t="str">
        <f>"הכנסות  מלקוחות"</f>
        <v>הכנסות  מלקוחות</v>
      </c>
      <c r="AQ775" t="str">
        <f>"007"</f>
        <v>007</v>
      </c>
      <c r="AR775">
        <v>0</v>
      </c>
      <c r="AS775">
        <v>0</v>
      </c>
      <c r="AT775">
        <v>3.661</v>
      </c>
      <c r="BB775" t="str">
        <f>"Y"</f>
        <v>Y</v>
      </c>
      <c r="BD775" t="str">
        <f>"רוני דידי"</f>
        <v>רוני דידי</v>
      </c>
    </row>
    <row r="776" spans="1:56" x14ac:dyDescent="0.3">
      <c r="A776" s="1">
        <v>45032</v>
      </c>
      <c r="B776" t="str">
        <f>"SI236000488"</f>
        <v>SI236000488</v>
      </c>
      <c r="E776" t="str">
        <f>"Y"</f>
        <v>Y</v>
      </c>
      <c r="F776" t="str">
        <f>"חשבוניות מרכזות"</f>
        <v>חשבוניות מרכזות</v>
      </c>
      <c r="G776" t="str">
        <f>"700065"</f>
        <v>700065</v>
      </c>
      <c r="H776" t="str">
        <f>"אלתא מערכות בע""מ"</f>
        <v>אלתא מערכות בע"מ</v>
      </c>
      <c r="I776" t="str">
        <f>"10"</f>
        <v>10</v>
      </c>
      <c r="J776" t="str">
        <f>"OP-AR02041"</f>
        <v>OP-AR02041</v>
      </c>
      <c r="K776" t="str">
        <f>"PDB1 1038C860-001"</f>
        <v>PDB1 1038C860-001</v>
      </c>
      <c r="L776">
        <v>-1</v>
      </c>
      <c r="M776" t="str">
        <f>"יח"</f>
        <v>יח</v>
      </c>
      <c r="N776">
        <v>-1</v>
      </c>
      <c r="O776" t="str">
        <f>"יח"</f>
        <v>יח</v>
      </c>
      <c r="P776" s="2">
        <v>41000</v>
      </c>
      <c r="Q776" t="str">
        <f>"$"</f>
        <v>$</v>
      </c>
      <c r="R776" t="str">
        <f>"הזמנה"</f>
        <v>הזמנה</v>
      </c>
      <c r="S776">
        <v>0</v>
      </c>
      <c r="T776" s="2">
        <v>-41000</v>
      </c>
      <c r="U776">
        <v>0</v>
      </c>
      <c r="V776" s="2">
        <v>-41000</v>
      </c>
      <c r="W776" t="str">
        <f>"$"</f>
        <v>$</v>
      </c>
      <c r="X776">
        <v>0</v>
      </c>
      <c r="Y776">
        <v>0</v>
      </c>
      <c r="Z776">
        <v>0</v>
      </c>
      <c r="AA776" t="str">
        <f>"Y"</f>
        <v>Y</v>
      </c>
      <c r="AC776">
        <v>0</v>
      </c>
      <c r="AM776" t="str">
        <f>"10"</f>
        <v>10</v>
      </c>
      <c r="AN776" t="str">
        <f>"500000"</f>
        <v>500000</v>
      </c>
      <c r="AO776" t="str">
        <f>"הכנסות  מלקוחות"</f>
        <v>הכנסות  מלקוחות</v>
      </c>
      <c r="AQ776" t="str">
        <f>"007"</f>
        <v>007</v>
      </c>
      <c r="AR776">
        <v>0</v>
      </c>
      <c r="AS776">
        <v>0</v>
      </c>
      <c r="AT776">
        <v>3.661</v>
      </c>
      <c r="BB776" t="str">
        <f>"Y"</f>
        <v>Y</v>
      </c>
      <c r="BD776" t="str">
        <f>"רוני דידי"</f>
        <v>רוני דידי</v>
      </c>
    </row>
    <row r="777" spans="1:56" x14ac:dyDescent="0.3">
      <c r="A777" s="1">
        <v>45032</v>
      </c>
      <c r="B777" t="str">
        <f>"SI236000488"</f>
        <v>SI236000488</v>
      </c>
      <c r="E777" t="str">
        <f>"Y"</f>
        <v>Y</v>
      </c>
      <c r="F777" t="str">
        <f>"חשבוניות מרכזות"</f>
        <v>חשבוניות מרכזות</v>
      </c>
      <c r="G777" t="str">
        <f>"700065"</f>
        <v>700065</v>
      </c>
      <c r="H777" t="str">
        <f>"אלתא מערכות בע""מ"</f>
        <v>אלתא מערכות בע"מ</v>
      </c>
      <c r="I777" t="str">
        <f>"10"</f>
        <v>10</v>
      </c>
      <c r="J777" t="str">
        <f>"OP-AR02041"</f>
        <v>OP-AR02041</v>
      </c>
      <c r="K777" t="str">
        <f>"PDB1 1038C860-001"</f>
        <v>PDB1 1038C860-001</v>
      </c>
      <c r="L777">
        <v>-1</v>
      </c>
      <c r="M777" t="str">
        <f>"יח"</f>
        <v>יח</v>
      </c>
      <c r="N777">
        <v>-1</v>
      </c>
      <c r="O777" t="str">
        <f>"יח"</f>
        <v>יח</v>
      </c>
      <c r="P777" s="2">
        <v>41000</v>
      </c>
      <c r="Q777" t="str">
        <f>"$"</f>
        <v>$</v>
      </c>
      <c r="R777" t="str">
        <f>"הזמנה"</f>
        <v>הזמנה</v>
      </c>
      <c r="S777">
        <v>0</v>
      </c>
      <c r="T777" s="2">
        <v>-41000</v>
      </c>
      <c r="U777">
        <v>0</v>
      </c>
      <c r="V777" s="2">
        <v>-41000</v>
      </c>
      <c r="W777" t="str">
        <f>"$"</f>
        <v>$</v>
      </c>
      <c r="X777">
        <v>0</v>
      </c>
      <c r="Y777">
        <v>0</v>
      </c>
      <c r="Z777">
        <v>0</v>
      </c>
      <c r="AA777" t="str">
        <f>"Y"</f>
        <v>Y</v>
      </c>
      <c r="AC777">
        <v>0</v>
      </c>
      <c r="AM777" t="str">
        <f>"10"</f>
        <v>10</v>
      </c>
      <c r="AN777" t="str">
        <f>"500000"</f>
        <v>500000</v>
      </c>
      <c r="AO777" t="str">
        <f>"הכנסות  מלקוחות"</f>
        <v>הכנסות  מלקוחות</v>
      </c>
      <c r="AQ777" t="str">
        <f>"007"</f>
        <v>007</v>
      </c>
      <c r="AR777">
        <v>0</v>
      </c>
      <c r="AS777">
        <v>0</v>
      </c>
      <c r="AT777">
        <v>3.661</v>
      </c>
      <c r="BB777" t="str">
        <f>"Y"</f>
        <v>Y</v>
      </c>
      <c r="BD777" t="str">
        <f>"רוני דידי"</f>
        <v>רוני דידי</v>
      </c>
    </row>
    <row r="778" spans="1:56" x14ac:dyDescent="0.3">
      <c r="A778" s="1">
        <v>45032</v>
      </c>
      <c r="B778" t="str">
        <f>"SI236000488"</f>
        <v>SI236000488</v>
      </c>
      <c r="E778" t="str">
        <f>"Y"</f>
        <v>Y</v>
      </c>
      <c r="F778" t="str">
        <f>"חשבוניות מרכזות"</f>
        <v>חשבוניות מרכזות</v>
      </c>
      <c r="G778" t="str">
        <f>"700065"</f>
        <v>700065</v>
      </c>
      <c r="H778" t="str">
        <f>"אלתא מערכות בע""מ"</f>
        <v>אלתא מערכות בע"מ</v>
      </c>
      <c r="I778" t="str">
        <f>"10"</f>
        <v>10</v>
      </c>
      <c r="J778" t="str">
        <f>"OP-AR02041"</f>
        <v>OP-AR02041</v>
      </c>
      <c r="K778" t="str">
        <f>"PDB1 1038C860-001"</f>
        <v>PDB1 1038C860-001</v>
      </c>
      <c r="L778">
        <v>-1</v>
      </c>
      <c r="M778" t="str">
        <f>"יח"</f>
        <v>יח</v>
      </c>
      <c r="N778">
        <v>-1</v>
      </c>
      <c r="O778" t="str">
        <f>"יח"</f>
        <v>יח</v>
      </c>
      <c r="P778" s="2">
        <v>41000</v>
      </c>
      <c r="Q778" t="str">
        <f>"$"</f>
        <v>$</v>
      </c>
      <c r="R778" t="str">
        <f>"הזמנה"</f>
        <v>הזמנה</v>
      </c>
      <c r="S778">
        <v>0</v>
      </c>
      <c r="T778" s="2">
        <v>-41000</v>
      </c>
      <c r="U778">
        <v>0</v>
      </c>
      <c r="V778" s="2">
        <v>-41000</v>
      </c>
      <c r="W778" t="str">
        <f>"$"</f>
        <v>$</v>
      </c>
      <c r="X778">
        <v>0</v>
      </c>
      <c r="Y778">
        <v>0</v>
      </c>
      <c r="Z778">
        <v>0</v>
      </c>
      <c r="AA778" t="str">
        <f>"Y"</f>
        <v>Y</v>
      </c>
      <c r="AC778">
        <v>0</v>
      </c>
      <c r="AM778" t="str">
        <f>"10"</f>
        <v>10</v>
      </c>
      <c r="AN778" t="str">
        <f>"500000"</f>
        <v>500000</v>
      </c>
      <c r="AO778" t="str">
        <f>"הכנסות  מלקוחות"</f>
        <v>הכנסות  מלקוחות</v>
      </c>
      <c r="AQ778" t="str">
        <f>"007"</f>
        <v>007</v>
      </c>
      <c r="AR778">
        <v>0</v>
      </c>
      <c r="AS778">
        <v>0</v>
      </c>
      <c r="AT778">
        <v>3.661</v>
      </c>
      <c r="BB778" t="str">
        <f>"Y"</f>
        <v>Y</v>
      </c>
      <c r="BD778" t="str">
        <f>"רוני דידי"</f>
        <v>רוני דידי</v>
      </c>
    </row>
    <row r="779" spans="1:56" x14ac:dyDescent="0.3">
      <c r="A779" s="1">
        <v>45032</v>
      </c>
      <c r="B779" t="str">
        <f>"SI236000488"</f>
        <v>SI236000488</v>
      </c>
      <c r="E779" t="str">
        <f>"Y"</f>
        <v>Y</v>
      </c>
      <c r="F779" t="str">
        <f>"חשבוניות מרכזות"</f>
        <v>חשבוניות מרכזות</v>
      </c>
      <c r="G779" t="str">
        <f>"700065"</f>
        <v>700065</v>
      </c>
      <c r="H779" t="str">
        <f>"אלתא מערכות בע""מ"</f>
        <v>אלתא מערכות בע"מ</v>
      </c>
      <c r="I779" t="str">
        <f>"10"</f>
        <v>10</v>
      </c>
      <c r="J779" t="str">
        <f>"OP-AR02041"</f>
        <v>OP-AR02041</v>
      </c>
      <c r="K779" t="str">
        <f>"PDB1 1038C860-001"</f>
        <v>PDB1 1038C860-001</v>
      </c>
      <c r="L779">
        <v>-1</v>
      </c>
      <c r="M779" t="str">
        <f>"יח"</f>
        <v>יח</v>
      </c>
      <c r="N779">
        <v>-1</v>
      </c>
      <c r="O779" t="str">
        <f>"יח"</f>
        <v>יח</v>
      </c>
      <c r="P779" s="2">
        <v>41000</v>
      </c>
      <c r="Q779" t="str">
        <f>"$"</f>
        <v>$</v>
      </c>
      <c r="R779" t="str">
        <f>"הזמנה"</f>
        <v>הזמנה</v>
      </c>
      <c r="S779">
        <v>0</v>
      </c>
      <c r="T779" s="2">
        <v>-41000</v>
      </c>
      <c r="U779">
        <v>0</v>
      </c>
      <c r="V779" s="2">
        <v>-41000</v>
      </c>
      <c r="W779" t="str">
        <f>"$"</f>
        <v>$</v>
      </c>
      <c r="X779">
        <v>0</v>
      </c>
      <c r="Y779">
        <v>0</v>
      </c>
      <c r="Z779">
        <v>0</v>
      </c>
      <c r="AA779" t="str">
        <f>"Y"</f>
        <v>Y</v>
      </c>
      <c r="AC779">
        <v>0</v>
      </c>
      <c r="AM779" t="str">
        <f>"10"</f>
        <v>10</v>
      </c>
      <c r="AN779" t="str">
        <f>"500000"</f>
        <v>500000</v>
      </c>
      <c r="AO779" t="str">
        <f>"הכנסות  מלקוחות"</f>
        <v>הכנסות  מלקוחות</v>
      </c>
      <c r="AQ779" t="str">
        <f>"007"</f>
        <v>007</v>
      </c>
      <c r="AR779">
        <v>0</v>
      </c>
      <c r="AS779">
        <v>0</v>
      </c>
      <c r="AT779">
        <v>3.661</v>
      </c>
      <c r="BB779" t="str">
        <f>"Y"</f>
        <v>Y</v>
      </c>
      <c r="BD779" t="str">
        <f>"רוני דידי"</f>
        <v>רוני דידי</v>
      </c>
    </row>
    <row r="780" spans="1:56" x14ac:dyDescent="0.3">
      <c r="A780" s="1">
        <v>45032</v>
      </c>
      <c r="B780" t="str">
        <f>"SI236000487"</f>
        <v>SI236000487</v>
      </c>
      <c r="E780" t="str">
        <f>"Y"</f>
        <v>Y</v>
      </c>
      <c r="F780" t="str">
        <f>"חשבוניות מרכזות"</f>
        <v>חשבוניות מרכזות</v>
      </c>
      <c r="G780" t="str">
        <f>"700065"</f>
        <v>700065</v>
      </c>
      <c r="H780" t="str">
        <f>"אלתא מערכות בע""מ"</f>
        <v>אלתא מערכות בע"מ</v>
      </c>
      <c r="I780" t="str">
        <f>"10"</f>
        <v>10</v>
      </c>
      <c r="J780" t="str">
        <f>"OP-AR02041"</f>
        <v>OP-AR02041</v>
      </c>
      <c r="K780" t="str">
        <f>"PDB1 1038C860-001"</f>
        <v>PDB1 1038C860-001</v>
      </c>
      <c r="L780">
        <v>1</v>
      </c>
      <c r="M780" t="str">
        <f>"יח"</f>
        <v>יח</v>
      </c>
      <c r="N780">
        <v>1</v>
      </c>
      <c r="O780" t="str">
        <f>"יח"</f>
        <v>יח</v>
      </c>
      <c r="P780" s="2">
        <v>41000</v>
      </c>
      <c r="Q780" t="str">
        <f>"$"</f>
        <v>$</v>
      </c>
      <c r="R780" t="str">
        <f>"הזמנה"</f>
        <v>הזמנה</v>
      </c>
      <c r="S780">
        <v>0</v>
      </c>
      <c r="T780" s="2">
        <v>41000</v>
      </c>
      <c r="U780">
        <v>0</v>
      </c>
      <c r="V780" s="2">
        <v>41000</v>
      </c>
      <c r="W780" t="str">
        <f>"$"</f>
        <v>$</v>
      </c>
      <c r="X780">
        <v>0</v>
      </c>
      <c r="Y780">
        <v>0</v>
      </c>
      <c r="Z780">
        <v>0</v>
      </c>
      <c r="AA780" t="str">
        <f>"Y"</f>
        <v>Y</v>
      </c>
      <c r="AC780">
        <v>0</v>
      </c>
      <c r="AM780" t="str">
        <f>"10"</f>
        <v>10</v>
      </c>
      <c r="AN780" t="str">
        <f>"500000"</f>
        <v>500000</v>
      </c>
      <c r="AO780" t="str">
        <f>"הכנסות  מלקוחות"</f>
        <v>הכנסות  מלקוחות</v>
      </c>
      <c r="AQ780" t="str">
        <f>"007"</f>
        <v>007</v>
      </c>
      <c r="AR780">
        <v>0</v>
      </c>
      <c r="AS780">
        <v>0</v>
      </c>
      <c r="AT780">
        <v>3.661</v>
      </c>
      <c r="BB780" t="str">
        <f>"Y"</f>
        <v>Y</v>
      </c>
      <c r="BD780" t="str">
        <f>"רוני דידי"</f>
        <v>רוני דידי</v>
      </c>
    </row>
    <row r="781" spans="1:56" x14ac:dyDescent="0.3">
      <c r="A781" s="1">
        <v>45032</v>
      </c>
      <c r="B781" t="str">
        <f>"SI236000487"</f>
        <v>SI236000487</v>
      </c>
      <c r="E781" t="str">
        <f>"Y"</f>
        <v>Y</v>
      </c>
      <c r="F781" t="str">
        <f>"חשבוניות מרכזות"</f>
        <v>חשבוניות מרכזות</v>
      </c>
      <c r="G781" t="str">
        <f>"700065"</f>
        <v>700065</v>
      </c>
      <c r="H781" t="str">
        <f>"אלתא מערכות בע""מ"</f>
        <v>אלתא מערכות בע"מ</v>
      </c>
      <c r="I781" t="str">
        <f>"10"</f>
        <v>10</v>
      </c>
      <c r="J781" t="str">
        <f>"OP-AR02041"</f>
        <v>OP-AR02041</v>
      </c>
      <c r="K781" t="str">
        <f>"PDB1 1038C860-001"</f>
        <v>PDB1 1038C860-001</v>
      </c>
      <c r="L781">
        <v>1</v>
      </c>
      <c r="M781" t="str">
        <f>"יח"</f>
        <v>יח</v>
      </c>
      <c r="N781">
        <v>1</v>
      </c>
      <c r="O781" t="str">
        <f>"יח"</f>
        <v>יח</v>
      </c>
      <c r="P781" s="2">
        <v>41000</v>
      </c>
      <c r="Q781" t="str">
        <f>"$"</f>
        <v>$</v>
      </c>
      <c r="R781" t="str">
        <f>"הזמנה"</f>
        <v>הזמנה</v>
      </c>
      <c r="S781">
        <v>0</v>
      </c>
      <c r="T781" s="2">
        <v>41000</v>
      </c>
      <c r="U781">
        <v>0</v>
      </c>
      <c r="V781" s="2">
        <v>41000</v>
      </c>
      <c r="W781" t="str">
        <f>"$"</f>
        <v>$</v>
      </c>
      <c r="X781">
        <v>0</v>
      </c>
      <c r="Y781">
        <v>0</v>
      </c>
      <c r="Z781">
        <v>0</v>
      </c>
      <c r="AA781" t="str">
        <f>"Y"</f>
        <v>Y</v>
      </c>
      <c r="AC781">
        <v>0</v>
      </c>
      <c r="AM781" t="str">
        <f>"10"</f>
        <v>10</v>
      </c>
      <c r="AN781" t="str">
        <f>"500000"</f>
        <v>500000</v>
      </c>
      <c r="AO781" t="str">
        <f>"הכנסות  מלקוחות"</f>
        <v>הכנסות  מלקוחות</v>
      </c>
      <c r="AQ781" t="str">
        <f>"007"</f>
        <v>007</v>
      </c>
      <c r="AR781">
        <v>0</v>
      </c>
      <c r="AS781">
        <v>0</v>
      </c>
      <c r="AT781">
        <v>3.661</v>
      </c>
      <c r="BB781" t="str">
        <f>"Y"</f>
        <v>Y</v>
      </c>
      <c r="BD781" t="str">
        <f>"רוני דידי"</f>
        <v>רוני דידי</v>
      </c>
    </row>
    <row r="782" spans="1:56" x14ac:dyDescent="0.3">
      <c r="A782" s="1">
        <v>45032</v>
      </c>
      <c r="B782" t="str">
        <f>"SI236000487"</f>
        <v>SI236000487</v>
      </c>
      <c r="E782" t="str">
        <f>"Y"</f>
        <v>Y</v>
      </c>
      <c r="F782" t="str">
        <f>"חשבוניות מרכזות"</f>
        <v>חשבוניות מרכזות</v>
      </c>
      <c r="G782" t="str">
        <f>"700065"</f>
        <v>700065</v>
      </c>
      <c r="H782" t="str">
        <f>"אלתא מערכות בע""מ"</f>
        <v>אלתא מערכות בע"מ</v>
      </c>
      <c r="I782" t="str">
        <f>"10"</f>
        <v>10</v>
      </c>
      <c r="J782" t="str">
        <f>"OP-AR02041"</f>
        <v>OP-AR02041</v>
      </c>
      <c r="K782" t="str">
        <f>"PDB1 1038C860-001"</f>
        <v>PDB1 1038C860-001</v>
      </c>
      <c r="L782">
        <v>1</v>
      </c>
      <c r="M782" t="str">
        <f>"יח"</f>
        <v>יח</v>
      </c>
      <c r="N782">
        <v>1</v>
      </c>
      <c r="O782" t="str">
        <f>"יח"</f>
        <v>יח</v>
      </c>
      <c r="P782" s="2">
        <v>41000</v>
      </c>
      <c r="Q782" t="str">
        <f>"$"</f>
        <v>$</v>
      </c>
      <c r="R782" t="str">
        <f>"הזמנה"</f>
        <v>הזמנה</v>
      </c>
      <c r="S782">
        <v>0</v>
      </c>
      <c r="T782" s="2">
        <v>41000</v>
      </c>
      <c r="U782">
        <v>0</v>
      </c>
      <c r="V782" s="2">
        <v>41000</v>
      </c>
      <c r="W782" t="str">
        <f>"$"</f>
        <v>$</v>
      </c>
      <c r="X782">
        <v>0</v>
      </c>
      <c r="Y782">
        <v>0</v>
      </c>
      <c r="Z782">
        <v>0</v>
      </c>
      <c r="AA782" t="str">
        <f>"Y"</f>
        <v>Y</v>
      </c>
      <c r="AC782">
        <v>0</v>
      </c>
      <c r="AM782" t="str">
        <f>"10"</f>
        <v>10</v>
      </c>
      <c r="AN782" t="str">
        <f>"500000"</f>
        <v>500000</v>
      </c>
      <c r="AO782" t="str">
        <f>"הכנסות  מלקוחות"</f>
        <v>הכנסות  מלקוחות</v>
      </c>
      <c r="AQ782" t="str">
        <f>"007"</f>
        <v>007</v>
      </c>
      <c r="AR782">
        <v>0</v>
      </c>
      <c r="AS782">
        <v>0</v>
      </c>
      <c r="AT782">
        <v>3.661</v>
      </c>
      <c r="BB782" t="str">
        <f>"Y"</f>
        <v>Y</v>
      </c>
      <c r="BD782" t="str">
        <f>"רוני דידי"</f>
        <v>רוני דידי</v>
      </c>
    </row>
    <row r="783" spans="1:56" x14ac:dyDescent="0.3">
      <c r="A783" s="1">
        <v>45032</v>
      </c>
      <c r="B783" t="str">
        <f>"SI236000487"</f>
        <v>SI236000487</v>
      </c>
      <c r="E783" t="str">
        <f>"Y"</f>
        <v>Y</v>
      </c>
      <c r="F783" t="str">
        <f>"חשבוניות מרכזות"</f>
        <v>חשבוניות מרכזות</v>
      </c>
      <c r="G783" t="str">
        <f>"700065"</f>
        <v>700065</v>
      </c>
      <c r="H783" t="str">
        <f>"אלתא מערכות בע""מ"</f>
        <v>אלתא מערכות בע"מ</v>
      </c>
      <c r="I783" t="str">
        <f>"10"</f>
        <v>10</v>
      </c>
      <c r="J783" t="str">
        <f>"OP-AR02041"</f>
        <v>OP-AR02041</v>
      </c>
      <c r="K783" t="str">
        <f>"PDB1 1038C860-001"</f>
        <v>PDB1 1038C860-001</v>
      </c>
      <c r="L783">
        <v>1</v>
      </c>
      <c r="M783" t="str">
        <f>"יח"</f>
        <v>יח</v>
      </c>
      <c r="N783">
        <v>1</v>
      </c>
      <c r="O783" t="str">
        <f>"יח"</f>
        <v>יח</v>
      </c>
      <c r="P783" s="2">
        <v>41000</v>
      </c>
      <c r="Q783" t="str">
        <f>"$"</f>
        <v>$</v>
      </c>
      <c r="R783" t="str">
        <f>"הזמנה"</f>
        <v>הזמנה</v>
      </c>
      <c r="S783">
        <v>0</v>
      </c>
      <c r="T783" s="2">
        <v>41000</v>
      </c>
      <c r="U783">
        <v>0</v>
      </c>
      <c r="V783" s="2">
        <v>41000</v>
      </c>
      <c r="W783" t="str">
        <f>"$"</f>
        <v>$</v>
      </c>
      <c r="X783">
        <v>0</v>
      </c>
      <c r="Y783">
        <v>0</v>
      </c>
      <c r="Z783">
        <v>0</v>
      </c>
      <c r="AA783" t="str">
        <f>"Y"</f>
        <v>Y</v>
      </c>
      <c r="AC783">
        <v>0</v>
      </c>
      <c r="AM783" t="str">
        <f>"10"</f>
        <v>10</v>
      </c>
      <c r="AN783" t="str">
        <f>"500000"</f>
        <v>500000</v>
      </c>
      <c r="AO783" t="str">
        <f>"הכנסות  מלקוחות"</f>
        <v>הכנסות  מלקוחות</v>
      </c>
      <c r="AQ783" t="str">
        <f>"007"</f>
        <v>007</v>
      </c>
      <c r="AR783">
        <v>0</v>
      </c>
      <c r="AS783">
        <v>0</v>
      </c>
      <c r="AT783">
        <v>3.661</v>
      </c>
      <c r="BB783" t="str">
        <f>"Y"</f>
        <v>Y</v>
      </c>
      <c r="BD783" t="str">
        <f>"רוני דידי"</f>
        <v>רוני דידי</v>
      </c>
    </row>
    <row r="784" spans="1:56" x14ac:dyDescent="0.3">
      <c r="A784" s="1">
        <v>45020</v>
      </c>
      <c r="B784" t="str">
        <f>"SI236000508"</f>
        <v>SI236000508</v>
      </c>
      <c r="C784" t="str">
        <f>"PR22000905"</f>
        <v>PR22000905</v>
      </c>
      <c r="E784" t="str">
        <f>"Y"</f>
        <v>Y</v>
      </c>
      <c r="F784" t="str">
        <f>"חשבוניות מרכזות"</f>
        <v>חשבוניות מרכזות</v>
      </c>
      <c r="G784" t="str">
        <f>"700065"</f>
        <v>700065</v>
      </c>
      <c r="H784" t="str">
        <f>"אלתא מערכות בע""מ"</f>
        <v>אלתא מערכות בע"מ</v>
      </c>
      <c r="I784" t="str">
        <f>"10"</f>
        <v>10</v>
      </c>
      <c r="J784" t="str">
        <f>"OP-ML00119"</f>
        <v>OP-ML00119</v>
      </c>
      <c r="K784" t="str">
        <f>"PDU 1U 230VAC 1PH"</f>
        <v>PDU 1U 230VAC 1PH</v>
      </c>
      <c r="L784">
        <v>1</v>
      </c>
      <c r="M784" t="str">
        <f>"יח"</f>
        <v>יח</v>
      </c>
      <c r="N784">
        <v>1</v>
      </c>
      <c r="O784" t="str">
        <f>"יח"</f>
        <v>יח</v>
      </c>
      <c r="P784" s="2">
        <v>2995</v>
      </c>
      <c r="Q784" t="str">
        <f>"$"</f>
        <v>$</v>
      </c>
      <c r="R784" t="str">
        <f>"הזמנה"</f>
        <v>הזמנה</v>
      </c>
      <c r="S784">
        <v>0</v>
      </c>
      <c r="T784" s="2">
        <v>2995</v>
      </c>
      <c r="U784">
        <v>0</v>
      </c>
      <c r="V784" s="2">
        <v>2995</v>
      </c>
      <c r="W784" t="str">
        <f>"$"</f>
        <v>$</v>
      </c>
      <c r="X784">
        <v>0</v>
      </c>
      <c r="Y784">
        <v>0</v>
      </c>
      <c r="Z784">
        <v>0</v>
      </c>
      <c r="AA784" t="str">
        <f>"Y"</f>
        <v>Y</v>
      </c>
      <c r="AB784" t="str">
        <f>"SO22000483"</f>
        <v>SO22000483</v>
      </c>
      <c r="AC784">
        <v>1</v>
      </c>
      <c r="AD784" s="1">
        <v>44921</v>
      </c>
      <c r="AE784" t="str">
        <f>"SH23000463"</f>
        <v>SH23000463</v>
      </c>
      <c r="AF784" t="str">
        <f>"משלוחים ללקוח"</f>
        <v>משלוחים ללקוח</v>
      </c>
      <c r="AG784" s="1">
        <v>45020</v>
      </c>
      <c r="AM784" t="str">
        <f>"10"</f>
        <v>10</v>
      </c>
      <c r="AN784" t="str">
        <f>"500000"</f>
        <v>500000</v>
      </c>
      <c r="AO784" t="str">
        <f>"הכנסות  מלקוחות"</f>
        <v>הכנסות  מלקוחות</v>
      </c>
      <c r="AQ784" t="str">
        <f>"034"</f>
        <v>034</v>
      </c>
      <c r="AR784">
        <v>0</v>
      </c>
      <c r="AS784">
        <v>0</v>
      </c>
      <c r="AT784">
        <v>3.5640000000000001</v>
      </c>
      <c r="AX784" t="str">
        <f>"E000381570"</f>
        <v>E000381570</v>
      </c>
      <c r="BD784" t="str">
        <f>"ערן שלו"</f>
        <v>ערן שלו</v>
      </c>
    </row>
    <row r="785" spans="1:56" x14ac:dyDescent="0.3">
      <c r="A785" s="1">
        <v>45020</v>
      </c>
      <c r="B785" t="str">
        <f>"SI236000507"</f>
        <v>SI236000507</v>
      </c>
      <c r="C785" t="str">
        <f>"PR22000905"</f>
        <v>PR22000905</v>
      </c>
      <c r="E785" t="str">
        <f>"Y"</f>
        <v>Y</v>
      </c>
      <c r="F785" t="str">
        <f>"חשבוניות מרכזות"</f>
        <v>חשבוניות מרכזות</v>
      </c>
      <c r="G785" t="str">
        <f>"700065"</f>
        <v>700065</v>
      </c>
      <c r="H785" t="str">
        <f>"אלתא מערכות בע""מ"</f>
        <v>אלתא מערכות בע"מ</v>
      </c>
      <c r="I785" t="str">
        <f>"10"</f>
        <v>10</v>
      </c>
      <c r="J785" t="str">
        <f>"OP-ML00119"</f>
        <v>OP-ML00119</v>
      </c>
      <c r="K785" t="str">
        <f>"PDU 1U 230VAC 1PH"</f>
        <v>PDU 1U 230VAC 1PH</v>
      </c>
      <c r="L785">
        <v>-1</v>
      </c>
      <c r="M785" t="str">
        <f>"יח"</f>
        <v>יח</v>
      </c>
      <c r="N785">
        <v>-1</v>
      </c>
      <c r="O785" t="str">
        <f>"יח"</f>
        <v>יח</v>
      </c>
      <c r="P785" s="2">
        <v>2995</v>
      </c>
      <c r="Q785" t="str">
        <f>"$"</f>
        <v>$</v>
      </c>
      <c r="R785" t="str">
        <f>"הזמנה"</f>
        <v>הזמנה</v>
      </c>
      <c r="S785">
        <v>0</v>
      </c>
      <c r="T785" s="2">
        <v>-2995</v>
      </c>
      <c r="U785">
        <v>0</v>
      </c>
      <c r="V785" s="2">
        <v>-2995</v>
      </c>
      <c r="W785" t="str">
        <f>"$"</f>
        <v>$</v>
      </c>
      <c r="X785">
        <v>0</v>
      </c>
      <c r="Y785">
        <v>0</v>
      </c>
      <c r="Z785">
        <v>0</v>
      </c>
      <c r="AA785" t="str">
        <f>"Y"</f>
        <v>Y</v>
      </c>
      <c r="AC785">
        <v>0</v>
      </c>
      <c r="AM785" t="str">
        <f>"10"</f>
        <v>10</v>
      </c>
      <c r="AN785" t="str">
        <f>"500000"</f>
        <v>500000</v>
      </c>
      <c r="AO785" t="str">
        <f>"הכנסות  מלקוחות"</f>
        <v>הכנסות  מלקוחות</v>
      </c>
      <c r="AQ785" t="str">
        <f>"034"</f>
        <v>034</v>
      </c>
      <c r="AR785">
        <v>0</v>
      </c>
      <c r="AS785">
        <v>0</v>
      </c>
      <c r="AT785">
        <v>3.661</v>
      </c>
      <c r="BB785" t="str">
        <f>"Y"</f>
        <v>Y</v>
      </c>
      <c r="BD785" t="str">
        <f>"ערן שלו"</f>
        <v>ערן שלו</v>
      </c>
    </row>
    <row r="786" spans="1:56" x14ac:dyDescent="0.3">
      <c r="A786" s="1">
        <v>45020</v>
      </c>
      <c r="B786" t="str">
        <f>"SI236000506"</f>
        <v>SI236000506</v>
      </c>
      <c r="C786" t="str">
        <f>"PR22000905"</f>
        <v>PR22000905</v>
      </c>
      <c r="E786" t="str">
        <f>"Y"</f>
        <v>Y</v>
      </c>
      <c r="F786" t="str">
        <f>"חשבוניות מרכזות"</f>
        <v>חשבוניות מרכזות</v>
      </c>
      <c r="G786" t="str">
        <f>"700065"</f>
        <v>700065</v>
      </c>
      <c r="H786" t="str">
        <f>"אלתא מערכות בע""מ"</f>
        <v>אלתא מערכות בע"מ</v>
      </c>
      <c r="I786" t="str">
        <f>"10"</f>
        <v>10</v>
      </c>
      <c r="J786" t="str">
        <f>"OP-ML00119"</f>
        <v>OP-ML00119</v>
      </c>
      <c r="K786" t="str">
        <f>"PDU 1U 230VAC 1PH"</f>
        <v>PDU 1U 230VAC 1PH</v>
      </c>
      <c r="L786">
        <v>1</v>
      </c>
      <c r="M786" t="str">
        <f>"יח"</f>
        <v>יח</v>
      </c>
      <c r="N786">
        <v>1</v>
      </c>
      <c r="O786" t="str">
        <f>"יח"</f>
        <v>יח</v>
      </c>
      <c r="P786" s="2">
        <v>2995</v>
      </c>
      <c r="Q786" t="str">
        <f>"$"</f>
        <v>$</v>
      </c>
      <c r="R786" t="str">
        <f>"הזמנה"</f>
        <v>הזמנה</v>
      </c>
      <c r="S786">
        <v>0</v>
      </c>
      <c r="T786" s="2">
        <v>2995</v>
      </c>
      <c r="U786">
        <v>0</v>
      </c>
      <c r="V786" s="2">
        <v>2995</v>
      </c>
      <c r="W786" t="str">
        <f>"$"</f>
        <v>$</v>
      </c>
      <c r="X786">
        <v>0</v>
      </c>
      <c r="Y786">
        <v>0</v>
      </c>
      <c r="Z786">
        <v>0</v>
      </c>
      <c r="AA786" t="str">
        <f>"Y"</f>
        <v>Y</v>
      </c>
      <c r="AC786">
        <v>0</v>
      </c>
      <c r="AM786" t="str">
        <f>"10"</f>
        <v>10</v>
      </c>
      <c r="AN786" t="str">
        <f>"500000"</f>
        <v>500000</v>
      </c>
      <c r="AO786" t="str">
        <f>"הכנסות  מלקוחות"</f>
        <v>הכנסות  מלקוחות</v>
      </c>
      <c r="AQ786" t="str">
        <f>"034"</f>
        <v>034</v>
      </c>
      <c r="AR786">
        <v>0</v>
      </c>
      <c r="AS786">
        <v>0</v>
      </c>
      <c r="AT786">
        <v>3.661</v>
      </c>
      <c r="BB786" t="str">
        <f>"Y"</f>
        <v>Y</v>
      </c>
      <c r="BD786" t="str">
        <f>"ערן שלו"</f>
        <v>ערן שלו</v>
      </c>
    </row>
    <row r="787" spans="1:56" x14ac:dyDescent="0.3">
      <c r="A787" s="1">
        <v>45020</v>
      </c>
      <c r="B787" t="str">
        <f>"SI236000496"</f>
        <v>SI236000496</v>
      </c>
      <c r="C787" t="str">
        <f>"PR22000551"</f>
        <v>PR22000551</v>
      </c>
      <c r="D787" t="str">
        <f>"PR22000551"</f>
        <v>PR22000551</v>
      </c>
      <c r="E787" t="str">
        <f>"Y"</f>
        <v>Y</v>
      </c>
      <c r="F787" t="str">
        <f>"חשבוניות מרכזות"</f>
        <v>חשבוניות מרכזות</v>
      </c>
      <c r="G787" t="str">
        <f>"700065"</f>
        <v>700065</v>
      </c>
      <c r="H787" t="str">
        <f>"אלתא מערכות בע""מ"</f>
        <v>אלתא מערכות בע"מ</v>
      </c>
      <c r="I787" t="str">
        <f>"15"</f>
        <v>15</v>
      </c>
      <c r="J787" t="str">
        <f>"OP-AR03248"</f>
        <v>OP-AR03248</v>
      </c>
      <c r="K787" t="str">
        <f>"1036H253-001    HARNESS WC253 - TEST"</f>
        <v>1036H253-001    HARNESS WC253 - TEST</v>
      </c>
      <c r="L787">
        <v>3</v>
      </c>
      <c r="M787" t="str">
        <f>"יח"</f>
        <v>יח</v>
      </c>
      <c r="N787">
        <v>3</v>
      </c>
      <c r="O787" t="str">
        <f>"יח"</f>
        <v>יח</v>
      </c>
      <c r="P787">
        <v>668.64</v>
      </c>
      <c r="Q787" t="str">
        <f>"$"</f>
        <v>$</v>
      </c>
      <c r="R787" t="str">
        <f>"הזמנה"</f>
        <v>הזמנה</v>
      </c>
      <c r="S787">
        <v>0</v>
      </c>
      <c r="T787" s="2">
        <v>2005.92</v>
      </c>
      <c r="U787">
        <v>0</v>
      </c>
      <c r="V787" s="2">
        <v>2005.92</v>
      </c>
      <c r="W787" t="str">
        <f>"$"</f>
        <v>$</v>
      </c>
      <c r="X787">
        <v>0</v>
      </c>
      <c r="Y787">
        <v>0</v>
      </c>
      <c r="Z787">
        <v>0</v>
      </c>
      <c r="AA787" t="str">
        <f>"Y"</f>
        <v>Y</v>
      </c>
      <c r="AB787" t="str">
        <f>"SO22000316"</f>
        <v>SO22000316</v>
      </c>
      <c r="AC787">
        <v>5</v>
      </c>
      <c r="AD787" s="1">
        <v>44782</v>
      </c>
      <c r="AE787" t="str">
        <f>"SH23000427"</f>
        <v>SH23000427</v>
      </c>
      <c r="AF787" t="str">
        <f>"משלוחים ללקוח"</f>
        <v>משלוחים ללקוח</v>
      </c>
      <c r="AG787" s="1">
        <v>45013</v>
      </c>
      <c r="AM787" t="str">
        <f>"10"</f>
        <v>10</v>
      </c>
      <c r="AN787" t="str">
        <f>"500000"</f>
        <v>500000</v>
      </c>
      <c r="AO787" t="str">
        <f>"הכנסות  מלקוחות"</f>
        <v>הכנסות  מלקוחות</v>
      </c>
      <c r="AQ787" t="str">
        <f>"040"</f>
        <v>040</v>
      </c>
      <c r="AR787">
        <v>0</v>
      </c>
      <c r="AS787">
        <v>0</v>
      </c>
      <c r="AT787">
        <v>3.593</v>
      </c>
      <c r="AX787" t="str">
        <f>"E000369246"</f>
        <v>E000369246</v>
      </c>
      <c r="BD787" t="str">
        <f>"רחמים זרוק"</f>
        <v>רחמים זרוק</v>
      </c>
    </row>
    <row r="788" spans="1:56" x14ac:dyDescent="0.3">
      <c r="A788" s="1">
        <v>45020</v>
      </c>
      <c r="B788" t="str">
        <f>"SI236000496"</f>
        <v>SI236000496</v>
      </c>
      <c r="C788" t="str">
        <f>"PR22000551"</f>
        <v>PR22000551</v>
      </c>
      <c r="D788" t="str">
        <f>"PR22000551"</f>
        <v>PR22000551</v>
      </c>
      <c r="E788" t="str">
        <f>"Y"</f>
        <v>Y</v>
      </c>
      <c r="F788" t="str">
        <f>"חשבוניות מרכזות"</f>
        <v>חשבוניות מרכזות</v>
      </c>
      <c r="G788" t="str">
        <f>"700065"</f>
        <v>700065</v>
      </c>
      <c r="H788" t="str">
        <f>"אלתא מערכות בע""מ"</f>
        <v>אלתא מערכות בע"מ</v>
      </c>
      <c r="I788" t="str">
        <f>"15"</f>
        <v>15</v>
      </c>
      <c r="J788" t="str">
        <f>"OP-AR03252"</f>
        <v>OP-AR03252</v>
      </c>
      <c r="K788" t="str">
        <f>"1036H264-001    HARNESS WC264 - AMP POWER"</f>
        <v>1036H264-001    HARNESS WC264 - AMP POWER</v>
      </c>
      <c r="L788">
        <v>3</v>
      </c>
      <c r="M788" t="str">
        <f>"יח"</f>
        <v>יח</v>
      </c>
      <c r="N788">
        <v>3</v>
      </c>
      <c r="O788" t="str">
        <f>"יח"</f>
        <v>יח</v>
      </c>
      <c r="P788">
        <v>137.31</v>
      </c>
      <c r="Q788" t="str">
        <f>"$"</f>
        <v>$</v>
      </c>
      <c r="R788" t="str">
        <f>"הזמנה"</f>
        <v>הזמנה</v>
      </c>
      <c r="S788">
        <v>0</v>
      </c>
      <c r="T788">
        <v>411.93</v>
      </c>
      <c r="U788">
        <v>0</v>
      </c>
      <c r="V788">
        <v>411.93</v>
      </c>
      <c r="W788" t="str">
        <f>"$"</f>
        <v>$</v>
      </c>
      <c r="X788">
        <v>0</v>
      </c>
      <c r="Y788">
        <v>0</v>
      </c>
      <c r="Z788">
        <v>0</v>
      </c>
      <c r="AA788" t="str">
        <f>"Y"</f>
        <v>Y</v>
      </c>
      <c r="AB788" t="str">
        <f>"SO22000316"</f>
        <v>SO22000316</v>
      </c>
      <c r="AC788">
        <v>7</v>
      </c>
      <c r="AD788" s="1">
        <v>44782</v>
      </c>
      <c r="AE788" t="str">
        <f>"SH23000427"</f>
        <v>SH23000427</v>
      </c>
      <c r="AF788" t="str">
        <f>"משלוחים ללקוח"</f>
        <v>משלוחים ללקוח</v>
      </c>
      <c r="AG788" s="1">
        <v>45013</v>
      </c>
      <c r="AM788" t="str">
        <f>"10"</f>
        <v>10</v>
      </c>
      <c r="AN788" t="str">
        <f>"500000"</f>
        <v>500000</v>
      </c>
      <c r="AO788" t="str">
        <f>"הכנסות  מלקוחות"</f>
        <v>הכנסות  מלקוחות</v>
      </c>
      <c r="AQ788" t="str">
        <f>"040"</f>
        <v>040</v>
      </c>
      <c r="AR788">
        <v>0</v>
      </c>
      <c r="AS788">
        <v>0</v>
      </c>
      <c r="AT788">
        <v>3.593</v>
      </c>
      <c r="AX788" t="str">
        <f>"E000369246"</f>
        <v>E000369246</v>
      </c>
      <c r="BD788" t="str">
        <f>"רחמים זרוק"</f>
        <v>רחמים זרוק</v>
      </c>
    </row>
    <row r="789" spans="1:56" x14ac:dyDescent="0.3">
      <c r="A789" s="1">
        <v>45020</v>
      </c>
      <c r="B789" t="str">
        <f>"SI236000496"</f>
        <v>SI236000496</v>
      </c>
      <c r="C789" t="str">
        <f>"PR22000551"</f>
        <v>PR22000551</v>
      </c>
      <c r="D789" t="str">
        <f>"PR22000551"</f>
        <v>PR22000551</v>
      </c>
      <c r="E789" t="str">
        <f>"Y"</f>
        <v>Y</v>
      </c>
      <c r="F789" t="str">
        <f>"חשבוניות מרכזות"</f>
        <v>חשבוניות מרכזות</v>
      </c>
      <c r="G789" t="str">
        <f>"700065"</f>
        <v>700065</v>
      </c>
      <c r="H789" t="str">
        <f>"אלתא מערכות בע""מ"</f>
        <v>אלתא מערכות בע"מ</v>
      </c>
      <c r="I789" t="str">
        <f>"15"</f>
        <v>15</v>
      </c>
      <c r="J789" t="str">
        <f>"OP-AR03254"</f>
        <v>OP-AR03254</v>
      </c>
      <c r="K789" t="str">
        <f>"1036H285-001    HARNESS WC285 - MB TO PS2"</f>
        <v>1036H285-001    HARNESS WC285 - MB TO PS2</v>
      </c>
      <c r="L789">
        <v>2</v>
      </c>
      <c r="M789" t="str">
        <f>"יח"</f>
        <v>יח</v>
      </c>
      <c r="N789">
        <v>2</v>
      </c>
      <c r="O789" t="str">
        <f>"יח"</f>
        <v>יח</v>
      </c>
      <c r="P789">
        <v>185.71</v>
      </c>
      <c r="Q789" t="str">
        <f>"$"</f>
        <v>$</v>
      </c>
      <c r="R789" t="str">
        <f>"הזמנה"</f>
        <v>הזמנה</v>
      </c>
      <c r="S789">
        <v>0</v>
      </c>
      <c r="T789">
        <v>371.42</v>
      </c>
      <c r="U789">
        <v>0</v>
      </c>
      <c r="V789">
        <v>371.42</v>
      </c>
      <c r="W789" t="str">
        <f>"$"</f>
        <v>$</v>
      </c>
      <c r="X789">
        <v>0</v>
      </c>
      <c r="Y789">
        <v>0</v>
      </c>
      <c r="Z789">
        <v>0</v>
      </c>
      <c r="AA789" t="str">
        <f>"Y"</f>
        <v>Y</v>
      </c>
      <c r="AB789" t="str">
        <f>"SO22000316"</f>
        <v>SO22000316</v>
      </c>
      <c r="AC789">
        <v>9</v>
      </c>
      <c r="AD789" s="1">
        <v>44782</v>
      </c>
      <c r="AE789" t="str">
        <f>"SH23000427"</f>
        <v>SH23000427</v>
      </c>
      <c r="AF789" t="str">
        <f>"משלוחים ללקוח"</f>
        <v>משלוחים ללקוח</v>
      </c>
      <c r="AG789" s="1">
        <v>45013</v>
      </c>
      <c r="AM789" t="str">
        <f>"10"</f>
        <v>10</v>
      </c>
      <c r="AN789" t="str">
        <f>"500000"</f>
        <v>500000</v>
      </c>
      <c r="AO789" t="str">
        <f>"הכנסות  מלקוחות"</f>
        <v>הכנסות  מלקוחות</v>
      </c>
      <c r="AQ789" t="str">
        <f>"040"</f>
        <v>040</v>
      </c>
      <c r="AR789">
        <v>0</v>
      </c>
      <c r="AS789">
        <v>0</v>
      </c>
      <c r="AT789">
        <v>3.593</v>
      </c>
      <c r="AX789" t="str">
        <f>"E000369246"</f>
        <v>E000369246</v>
      </c>
      <c r="BD789" t="str">
        <f>"רחמים זרוק"</f>
        <v>רחמים זרוק</v>
      </c>
    </row>
    <row r="790" spans="1:56" x14ac:dyDescent="0.3">
      <c r="A790" s="1">
        <v>45018</v>
      </c>
      <c r="B790" t="str">
        <f>"SI236000459"</f>
        <v>SI236000459</v>
      </c>
      <c r="E790" t="str">
        <f>"Y"</f>
        <v>Y</v>
      </c>
      <c r="F790" t="str">
        <f>"חשבוניות מרכזות"</f>
        <v>חשבוניות מרכזות</v>
      </c>
      <c r="G790" t="str">
        <f>"700065"</f>
        <v>700065</v>
      </c>
      <c r="H790" t="str">
        <f>"אלתא מערכות בע""מ"</f>
        <v>אלתא מערכות בע"מ</v>
      </c>
      <c r="I790" t="str">
        <f>"10"</f>
        <v>10</v>
      </c>
      <c r="J790" t="str">
        <f>"000"</f>
        <v>000</v>
      </c>
      <c r="K790" t="str">
        <f>"NRE"</f>
        <v>NRE</v>
      </c>
      <c r="L790">
        <v>1</v>
      </c>
      <c r="M790" t="str">
        <f>"יח"</f>
        <v>יח</v>
      </c>
      <c r="N790">
        <v>1</v>
      </c>
      <c r="O790" t="str">
        <f>"יח"</f>
        <v>יח</v>
      </c>
      <c r="P790" s="2">
        <v>1875</v>
      </c>
      <c r="Q790" t="str">
        <f>"$"</f>
        <v>$</v>
      </c>
      <c r="R790" t="str">
        <f>"ידני"</f>
        <v>ידני</v>
      </c>
      <c r="S790">
        <v>0</v>
      </c>
      <c r="T790" s="2">
        <v>1875</v>
      </c>
      <c r="U790">
        <v>0</v>
      </c>
      <c r="V790" s="2">
        <v>1875</v>
      </c>
      <c r="W790" t="str">
        <f>"$"</f>
        <v>$</v>
      </c>
      <c r="X790">
        <v>0</v>
      </c>
      <c r="Y790">
        <v>0</v>
      </c>
      <c r="Z790">
        <v>0</v>
      </c>
      <c r="AA790" t="str">
        <f>"Y"</f>
        <v>Y</v>
      </c>
      <c r="AB790" t="str">
        <f>"SO21000090"</f>
        <v>SO21000090</v>
      </c>
      <c r="AC790">
        <v>2</v>
      </c>
      <c r="AD790" s="1">
        <v>44251</v>
      </c>
      <c r="AM790" t="str">
        <f>"10"</f>
        <v>10</v>
      </c>
      <c r="AN790" t="str">
        <f>"500000"</f>
        <v>500000</v>
      </c>
      <c r="AO790" t="str">
        <f>"הכנסות  מלקוחות"</f>
        <v>הכנסות  מלקוחות</v>
      </c>
      <c r="AQ790" t="str">
        <f>"034"</f>
        <v>034</v>
      </c>
      <c r="AR790">
        <v>0</v>
      </c>
      <c r="AS790">
        <v>0</v>
      </c>
      <c r="AT790">
        <v>3.6150000000000002</v>
      </c>
      <c r="AX790" t="str">
        <f>"E000332763"</f>
        <v>E000332763</v>
      </c>
      <c r="BD790" t="str">
        <f>"ערן שלו"</f>
        <v>ערן שלו</v>
      </c>
    </row>
    <row r="791" spans="1:56" x14ac:dyDescent="0.3">
      <c r="A791" s="1">
        <v>45016</v>
      </c>
      <c r="B791" t="str">
        <f>"CR237000037"</f>
        <v>CR237000037</v>
      </c>
      <c r="E791" t="str">
        <f>"Y"</f>
        <v>Y</v>
      </c>
      <c r="F791" t="str">
        <f>"חשבוניות זיכוי"</f>
        <v>חשבוניות זיכוי</v>
      </c>
      <c r="G791" t="str">
        <f>"700065"</f>
        <v>700065</v>
      </c>
      <c r="H791" t="str">
        <f>"אלתא מערכות בע""מ"</f>
        <v>אלתא מערכות בע"מ</v>
      </c>
      <c r="I791" t="str">
        <f>"10"</f>
        <v>10</v>
      </c>
      <c r="J791" t="str">
        <f>"000"</f>
        <v>000</v>
      </c>
      <c r="K791" t="str">
        <f>"לפי זיכוי מס  51129189372022"</f>
        <v>לפי זיכוי מס  51129189372022</v>
      </c>
      <c r="L791">
        <v>1</v>
      </c>
      <c r="M791" t="str">
        <f>"יח"</f>
        <v>יח</v>
      </c>
      <c r="N791">
        <v>1</v>
      </c>
      <c r="O791" t="str">
        <f>"יח"</f>
        <v>יח</v>
      </c>
      <c r="P791" s="2">
        <v>1950</v>
      </c>
      <c r="Q791" t="str">
        <f>"$"</f>
        <v>$</v>
      </c>
      <c r="R791" t="str">
        <f>"ידני"</f>
        <v>ידני</v>
      </c>
      <c r="S791">
        <v>0</v>
      </c>
      <c r="T791" s="2">
        <v>1950</v>
      </c>
      <c r="U791">
        <v>0</v>
      </c>
      <c r="V791" s="2">
        <v>1950</v>
      </c>
      <c r="W791" t="str">
        <f>"$"</f>
        <v>$</v>
      </c>
      <c r="X791">
        <v>0</v>
      </c>
      <c r="Y791">
        <v>0</v>
      </c>
      <c r="Z791">
        <v>0</v>
      </c>
      <c r="AA791" t="str">
        <f>"Y"</f>
        <v>Y</v>
      </c>
      <c r="AC791">
        <v>0</v>
      </c>
      <c r="AM791" t="str">
        <f>"10"</f>
        <v>10</v>
      </c>
      <c r="AN791" t="str">
        <f>"500000"</f>
        <v>500000</v>
      </c>
      <c r="AO791" t="str">
        <f>"הכנסות  מלקוחות"</f>
        <v>הכנסות  מלקוחות</v>
      </c>
      <c r="AQ791" t="str">
        <f>"034"</f>
        <v>034</v>
      </c>
      <c r="AR791">
        <v>0</v>
      </c>
      <c r="AS791">
        <v>0</v>
      </c>
      <c r="AT791">
        <v>3.1929919999999998</v>
      </c>
      <c r="BB791" t="str">
        <f>"Y"</f>
        <v>Y</v>
      </c>
      <c r="BD791" t="str">
        <f>"ערן שלו"</f>
        <v>ערן שלו</v>
      </c>
    </row>
    <row r="792" spans="1:56" x14ac:dyDescent="0.3">
      <c r="A792" s="1">
        <v>45015</v>
      </c>
      <c r="B792" t="str">
        <f>"SI236000511"</f>
        <v>SI236000511</v>
      </c>
      <c r="C792" t="str">
        <f>"PR22000316"</f>
        <v>PR22000316</v>
      </c>
      <c r="E792" t="str">
        <f>"Y"</f>
        <v>Y</v>
      </c>
      <c r="F792" t="str">
        <f>"חשבוניות מרכזות"</f>
        <v>חשבוניות מרכזות</v>
      </c>
      <c r="G792" t="str">
        <f>"700065"</f>
        <v>700065</v>
      </c>
      <c r="H792" t="str">
        <f>"אלתא מערכות בע""מ"</f>
        <v>אלתא מערכות בע"מ</v>
      </c>
      <c r="I792" t="str">
        <f>"15"</f>
        <v>15</v>
      </c>
      <c r="J792" t="str">
        <f>"OP-AR03049"</f>
        <v>OP-AR03049</v>
      </c>
      <c r="K792" t="str">
        <f>"1023M216-002    CABLE ASSY W202"</f>
        <v>1023M216-002    CABLE ASSY W202</v>
      </c>
      <c r="L792">
        <v>7</v>
      </c>
      <c r="M792" t="str">
        <f>"יח"</f>
        <v>יח</v>
      </c>
      <c r="N792">
        <v>7</v>
      </c>
      <c r="O792" t="str">
        <f>"יח"</f>
        <v>יח</v>
      </c>
      <c r="P792" s="2">
        <v>1423.84</v>
      </c>
      <c r="Q792" t="str">
        <f>"$"</f>
        <v>$</v>
      </c>
      <c r="R792" t="str">
        <f>"הזמנה"</f>
        <v>הזמנה</v>
      </c>
      <c r="S792">
        <v>0</v>
      </c>
      <c r="T792" s="2">
        <v>9966.8799999999992</v>
      </c>
      <c r="U792">
        <v>0</v>
      </c>
      <c r="V792" s="2">
        <v>9966.8799999999992</v>
      </c>
      <c r="W792" t="str">
        <f>"$"</f>
        <v>$</v>
      </c>
      <c r="X792">
        <v>0</v>
      </c>
      <c r="Y792">
        <v>0</v>
      </c>
      <c r="Z792">
        <v>0</v>
      </c>
      <c r="AA792" t="str">
        <f>"Y"</f>
        <v>Y</v>
      </c>
      <c r="AB792" t="str">
        <f>"SO22000145"</f>
        <v>SO22000145</v>
      </c>
      <c r="AC792">
        <v>1</v>
      </c>
      <c r="AD792" s="1">
        <v>44675</v>
      </c>
      <c r="AE792" t="str">
        <f>"SH23000426"</f>
        <v>SH23000426</v>
      </c>
      <c r="AF792" t="str">
        <f>"משלוחים ללקוח"</f>
        <v>משלוחים ללקוח</v>
      </c>
      <c r="AG792" s="1">
        <v>45013</v>
      </c>
      <c r="AM792" t="str">
        <f>"10"</f>
        <v>10</v>
      </c>
      <c r="AN792" t="str">
        <f>"500000"</f>
        <v>500000</v>
      </c>
      <c r="AO792" t="str">
        <f>"הכנסות  מלקוחות"</f>
        <v>הכנסות  מלקוחות</v>
      </c>
      <c r="AQ792" t="str">
        <f>"040"</f>
        <v>040</v>
      </c>
      <c r="AR792">
        <v>0</v>
      </c>
      <c r="AS792">
        <v>0</v>
      </c>
      <c r="AT792">
        <v>3.5859999999999999</v>
      </c>
      <c r="AX792" t="str">
        <f>"E000359811"</f>
        <v>E000359811</v>
      </c>
      <c r="BD792" t="str">
        <f>"רחמים זרוק"</f>
        <v>רחמים זרוק</v>
      </c>
    </row>
    <row r="793" spans="1:56" x14ac:dyDescent="0.3">
      <c r="A793" s="1">
        <v>45015</v>
      </c>
      <c r="B793" t="str">
        <f>"SI236000511"</f>
        <v>SI236000511</v>
      </c>
      <c r="C793" t="str">
        <f>"PR22000316"</f>
        <v>PR22000316</v>
      </c>
      <c r="E793" t="str">
        <f>"Y"</f>
        <v>Y</v>
      </c>
      <c r="F793" t="str">
        <f>"חשבוניות מרכזות"</f>
        <v>חשבוניות מרכזות</v>
      </c>
      <c r="G793" t="str">
        <f>"700065"</f>
        <v>700065</v>
      </c>
      <c r="H793" t="str">
        <f>"אלתא מערכות בע""מ"</f>
        <v>אלתא מערכות בע"מ</v>
      </c>
      <c r="I793" t="str">
        <f>"15"</f>
        <v>15</v>
      </c>
      <c r="J793" t="str">
        <f>"OP-AR03049"</f>
        <v>OP-AR03049</v>
      </c>
      <c r="K793" t="str">
        <f>"1023M216-002    CABLE ASSY W202"</f>
        <v>1023M216-002    CABLE ASSY W202</v>
      </c>
      <c r="L793">
        <v>2</v>
      </c>
      <c r="M793" t="str">
        <f>"יח"</f>
        <v>יח</v>
      </c>
      <c r="N793">
        <v>2</v>
      </c>
      <c r="O793" t="str">
        <f>"יח"</f>
        <v>יח</v>
      </c>
      <c r="P793" s="2">
        <v>1423.84</v>
      </c>
      <c r="Q793" t="str">
        <f>"$"</f>
        <v>$</v>
      </c>
      <c r="R793" t="str">
        <f>"הזמנה"</f>
        <v>הזמנה</v>
      </c>
      <c r="S793">
        <v>0</v>
      </c>
      <c r="T793" s="2">
        <v>2847.68</v>
      </c>
      <c r="U793">
        <v>0</v>
      </c>
      <c r="V793" s="2">
        <v>2847.68</v>
      </c>
      <c r="W793" t="str">
        <f>"$"</f>
        <v>$</v>
      </c>
      <c r="X793">
        <v>0</v>
      </c>
      <c r="Y793">
        <v>0</v>
      </c>
      <c r="Z793">
        <v>0</v>
      </c>
      <c r="AA793" t="str">
        <f>"Y"</f>
        <v>Y</v>
      </c>
      <c r="AB793" t="str">
        <f>"SO22000145"</f>
        <v>SO22000145</v>
      </c>
      <c r="AC793">
        <v>2</v>
      </c>
      <c r="AD793" s="1">
        <v>44675</v>
      </c>
      <c r="AE793" t="str">
        <f>"SH23000426"</f>
        <v>SH23000426</v>
      </c>
      <c r="AF793" t="str">
        <f>"משלוחים ללקוח"</f>
        <v>משלוחים ללקוח</v>
      </c>
      <c r="AG793" s="1">
        <v>45013</v>
      </c>
      <c r="AM793" t="str">
        <f>"10"</f>
        <v>10</v>
      </c>
      <c r="AN793" t="str">
        <f>"500000"</f>
        <v>500000</v>
      </c>
      <c r="AO793" t="str">
        <f>"הכנסות  מלקוחות"</f>
        <v>הכנסות  מלקוחות</v>
      </c>
      <c r="AQ793" t="str">
        <f>"040"</f>
        <v>040</v>
      </c>
      <c r="AR793">
        <v>0</v>
      </c>
      <c r="AS793">
        <v>0</v>
      </c>
      <c r="AT793">
        <v>3.5859999999999999</v>
      </c>
      <c r="AX793" t="str">
        <f>"E000359811"</f>
        <v>E000359811</v>
      </c>
      <c r="BD793" t="str">
        <f>"רחמים זרוק"</f>
        <v>רחמים זרוק</v>
      </c>
    </row>
    <row r="794" spans="1:56" x14ac:dyDescent="0.3">
      <c r="A794" s="1">
        <v>45015</v>
      </c>
      <c r="B794" t="str">
        <f>"SI236000505"</f>
        <v>SI236000505</v>
      </c>
      <c r="C794" t="str">
        <f>"PR22000823"</f>
        <v>PR22000823</v>
      </c>
      <c r="E794" t="str">
        <f>"Y"</f>
        <v>Y</v>
      </c>
      <c r="F794" t="str">
        <f>"חשבוניות מרכזות"</f>
        <v>חשבוניות מרכזות</v>
      </c>
      <c r="G794" t="str">
        <f>"700065"</f>
        <v>700065</v>
      </c>
      <c r="H794" t="str">
        <f>"אלתא מערכות בע""מ"</f>
        <v>אלתא מערכות בע"מ</v>
      </c>
      <c r="I794" t="str">
        <f>"15"</f>
        <v>15</v>
      </c>
      <c r="J794" t="str">
        <f>"OP-AR02927"</f>
        <v>OP-AR02927</v>
      </c>
      <c r="K794" t="str">
        <f>"2018E040-001   INS JTAG CABLE"</f>
        <v>2018E040-001   INS JTAG CABLE</v>
      </c>
      <c r="L794">
        <v>1</v>
      </c>
      <c r="M794" t="str">
        <f>"יח"</f>
        <v>יח</v>
      </c>
      <c r="N794">
        <v>1</v>
      </c>
      <c r="O794" t="str">
        <f>"יח"</f>
        <v>יח</v>
      </c>
      <c r="P794">
        <v>215.04</v>
      </c>
      <c r="Q794" t="str">
        <f>"$"</f>
        <v>$</v>
      </c>
      <c r="R794" t="str">
        <f>"הזמנה"</f>
        <v>הזמנה</v>
      </c>
      <c r="S794">
        <v>0</v>
      </c>
      <c r="T794">
        <v>215.04</v>
      </c>
      <c r="U794">
        <v>0</v>
      </c>
      <c r="V794">
        <v>215.04</v>
      </c>
      <c r="W794" t="str">
        <f>"$"</f>
        <v>$</v>
      </c>
      <c r="X794">
        <v>0</v>
      </c>
      <c r="Y794">
        <v>0</v>
      </c>
      <c r="Z794">
        <v>0</v>
      </c>
      <c r="AA794" t="str">
        <f>"Y"</f>
        <v>Y</v>
      </c>
      <c r="AB794" t="str">
        <f>"SO22000425"</f>
        <v>SO22000425</v>
      </c>
      <c r="AC794">
        <v>3</v>
      </c>
      <c r="AD794" s="1">
        <v>44892</v>
      </c>
      <c r="AE794" t="str">
        <f>"SH23000447"</f>
        <v>SH23000447</v>
      </c>
      <c r="AF794" t="str">
        <f>"משלוחים ללקוח"</f>
        <v>משלוחים ללקוח</v>
      </c>
      <c r="AG794" s="1">
        <v>45014</v>
      </c>
      <c r="AM794" t="str">
        <f>"10"</f>
        <v>10</v>
      </c>
      <c r="AN794" t="str">
        <f>"500000"</f>
        <v>500000</v>
      </c>
      <c r="AO794" t="str">
        <f>"הכנסות  מלקוחות"</f>
        <v>הכנסות  מלקוחות</v>
      </c>
      <c r="AQ794" t="str">
        <f>"040"</f>
        <v>040</v>
      </c>
      <c r="AR794">
        <v>0</v>
      </c>
      <c r="AS794">
        <v>0</v>
      </c>
      <c r="AT794">
        <v>3.5859999999999999</v>
      </c>
      <c r="AX794" t="str">
        <f>"E000375293"</f>
        <v>E000375293</v>
      </c>
      <c r="BD794" t="str">
        <f>"רחמים זרוק"</f>
        <v>רחמים זרוק</v>
      </c>
    </row>
    <row r="795" spans="1:56" x14ac:dyDescent="0.3">
      <c r="A795" s="1">
        <v>45015</v>
      </c>
      <c r="B795" t="str">
        <f>"SI236000504"</f>
        <v>SI236000504</v>
      </c>
      <c r="C795" t="str">
        <f>"PR22000551"</f>
        <v>PR22000551</v>
      </c>
      <c r="D795" t="str">
        <f>"PR22000551"</f>
        <v>PR22000551</v>
      </c>
      <c r="E795" t="str">
        <f>"Y"</f>
        <v>Y</v>
      </c>
      <c r="F795" t="str">
        <f>"חשבוניות מרכזות"</f>
        <v>חשבוניות מרכזות</v>
      </c>
      <c r="G795" t="str">
        <f>"700065"</f>
        <v>700065</v>
      </c>
      <c r="H795" t="str">
        <f>"אלתא מערכות בע""מ"</f>
        <v>אלתא מערכות בע"מ</v>
      </c>
      <c r="I795" t="str">
        <f>"15"</f>
        <v>15</v>
      </c>
      <c r="J795" t="str">
        <f>"OP-AR03255"</f>
        <v>OP-AR03255</v>
      </c>
      <c r="K795" t="str">
        <f>"1036H286-001    HARNESS WC286 - POWER TO PS1"</f>
        <v>1036H286-001    HARNESS WC286 - POWER TO PS1</v>
      </c>
      <c r="L795">
        <v>3</v>
      </c>
      <c r="M795" t="str">
        <f>"יח"</f>
        <v>יח</v>
      </c>
      <c r="N795">
        <v>3</v>
      </c>
      <c r="O795" t="str">
        <f>"יח"</f>
        <v>יח</v>
      </c>
      <c r="P795">
        <v>69.430000000000007</v>
      </c>
      <c r="Q795" t="str">
        <f>"$"</f>
        <v>$</v>
      </c>
      <c r="R795" t="str">
        <f>"הזמנה"</f>
        <v>הזמנה</v>
      </c>
      <c r="S795">
        <v>0</v>
      </c>
      <c r="T795">
        <v>208.29</v>
      </c>
      <c r="U795">
        <v>0</v>
      </c>
      <c r="V795">
        <v>208.29</v>
      </c>
      <c r="W795" t="str">
        <f>"$"</f>
        <v>$</v>
      </c>
      <c r="X795">
        <v>0</v>
      </c>
      <c r="Y795">
        <v>0</v>
      </c>
      <c r="Z795">
        <v>0</v>
      </c>
      <c r="AA795" t="str">
        <f>"Y"</f>
        <v>Y</v>
      </c>
      <c r="AB795" t="str">
        <f>"SO22000316"</f>
        <v>SO22000316</v>
      </c>
      <c r="AC795">
        <v>10</v>
      </c>
      <c r="AD795" s="1">
        <v>44782</v>
      </c>
      <c r="AE795" t="str">
        <f>"SH23000442"</f>
        <v>SH23000442</v>
      </c>
      <c r="AF795" t="str">
        <f>"משלוחים ללקוח"</f>
        <v>משלוחים ללקוח</v>
      </c>
      <c r="AG795" s="1">
        <v>45014</v>
      </c>
      <c r="AM795" t="str">
        <f>"10"</f>
        <v>10</v>
      </c>
      <c r="AN795" t="str">
        <f>"500000"</f>
        <v>500000</v>
      </c>
      <c r="AO795" t="str">
        <f>"הכנסות  מלקוחות"</f>
        <v>הכנסות  מלקוחות</v>
      </c>
      <c r="AQ795" t="str">
        <f>"040"</f>
        <v>040</v>
      </c>
      <c r="AR795">
        <v>0</v>
      </c>
      <c r="AS795">
        <v>0</v>
      </c>
      <c r="AT795">
        <v>3.5859999999999999</v>
      </c>
      <c r="AX795" t="str">
        <f>"E000369246"</f>
        <v>E000369246</v>
      </c>
      <c r="BD795" t="str">
        <f>"רחמים זרוק"</f>
        <v>רחמים זרוק</v>
      </c>
    </row>
    <row r="796" spans="1:56" x14ac:dyDescent="0.3">
      <c r="A796" s="1">
        <v>45015</v>
      </c>
      <c r="B796" t="str">
        <f>"SI236000504"</f>
        <v>SI236000504</v>
      </c>
      <c r="C796" t="str">
        <f>"PR22000551"</f>
        <v>PR22000551</v>
      </c>
      <c r="D796" t="str">
        <f>"PR22000551"</f>
        <v>PR22000551</v>
      </c>
      <c r="E796" t="str">
        <f>"Y"</f>
        <v>Y</v>
      </c>
      <c r="F796" t="str">
        <f>"חשבוניות מרכזות"</f>
        <v>חשבוניות מרכזות</v>
      </c>
      <c r="G796" t="str">
        <f>"700065"</f>
        <v>700065</v>
      </c>
      <c r="H796" t="str">
        <f>"אלתא מערכות בע""מ"</f>
        <v>אלתא מערכות בע"מ</v>
      </c>
      <c r="I796" t="str">
        <f>"15"</f>
        <v>15</v>
      </c>
      <c r="J796" t="str">
        <f>"OP-AR03256"</f>
        <v>OP-AR03256</v>
      </c>
      <c r="K796" t="str">
        <f>"1036H287-001    HARNESS WC287 - POWER TO PS2"</f>
        <v>1036H287-001    HARNESS WC287 - POWER TO PS2</v>
      </c>
      <c r="L796">
        <v>3</v>
      </c>
      <c r="M796" t="str">
        <f>"יח"</f>
        <v>יח</v>
      </c>
      <c r="N796">
        <v>3</v>
      </c>
      <c r="O796" t="str">
        <f>"יח"</f>
        <v>יח</v>
      </c>
      <c r="P796">
        <v>69.430000000000007</v>
      </c>
      <c r="Q796" t="str">
        <f>"$"</f>
        <v>$</v>
      </c>
      <c r="R796" t="str">
        <f>"הזמנה"</f>
        <v>הזמנה</v>
      </c>
      <c r="S796">
        <v>0</v>
      </c>
      <c r="T796">
        <v>208.29</v>
      </c>
      <c r="U796">
        <v>0</v>
      </c>
      <c r="V796">
        <v>208.29</v>
      </c>
      <c r="W796" t="str">
        <f>"$"</f>
        <v>$</v>
      </c>
      <c r="X796">
        <v>0</v>
      </c>
      <c r="Y796">
        <v>0</v>
      </c>
      <c r="Z796">
        <v>0</v>
      </c>
      <c r="AA796" t="str">
        <f>"Y"</f>
        <v>Y</v>
      </c>
      <c r="AB796" t="str">
        <f>"SO22000316"</f>
        <v>SO22000316</v>
      </c>
      <c r="AC796">
        <v>11</v>
      </c>
      <c r="AD796" s="1">
        <v>44782</v>
      </c>
      <c r="AE796" t="str">
        <f>"SH23000442"</f>
        <v>SH23000442</v>
      </c>
      <c r="AF796" t="str">
        <f>"משלוחים ללקוח"</f>
        <v>משלוחים ללקוח</v>
      </c>
      <c r="AG796" s="1">
        <v>45014</v>
      </c>
      <c r="AM796" t="str">
        <f>"10"</f>
        <v>10</v>
      </c>
      <c r="AN796" t="str">
        <f>"500000"</f>
        <v>500000</v>
      </c>
      <c r="AO796" t="str">
        <f>"הכנסות  מלקוחות"</f>
        <v>הכנסות  מלקוחות</v>
      </c>
      <c r="AQ796" t="str">
        <f>"040"</f>
        <v>040</v>
      </c>
      <c r="AR796">
        <v>0</v>
      </c>
      <c r="AS796">
        <v>0</v>
      </c>
      <c r="AT796">
        <v>3.5859999999999999</v>
      </c>
      <c r="AX796" t="str">
        <f>"E000369246"</f>
        <v>E000369246</v>
      </c>
      <c r="BD796" t="str">
        <f>"רחמים זרוק"</f>
        <v>רחמים זרוק</v>
      </c>
    </row>
    <row r="797" spans="1:56" x14ac:dyDescent="0.3">
      <c r="A797" s="1">
        <v>45015</v>
      </c>
      <c r="B797" t="str">
        <f>"SI236000503"</f>
        <v>SI236000503</v>
      </c>
      <c r="C797" t="str">
        <f>"PR22000552"</f>
        <v>PR22000552</v>
      </c>
      <c r="D797" t="str">
        <f>"PR22000552"</f>
        <v>PR22000552</v>
      </c>
      <c r="E797" t="str">
        <f>"Y"</f>
        <v>Y</v>
      </c>
      <c r="F797" t="str">
        <f>"חשבוניות מרכזות"</f>
        <v>חשבוניות מרכזות</v>
      </c>
      <c r="G797" t="str">
        <f>"700065"</f>
        <v>700065</v>
      </c>
      <c r="H797" t="str">
        <f>"אלתא מערכות בע""מ"</f>
        <v>אלתא מערכות בע"מ</v>
      </c>
      <c r="I797" t="str">
        <f>"15"</f>
        <v>15</v>
      </c>
      <c r="J797" t="str">
        <f>"OP-AR03224"</f>
        <v>OP-AR03224</v>
      </c>
      <c r="K797" t="str">
        <f>"6950A161-001    HARNESS WM01 - CU TO ANTENNA RIGHT FWD"</f>
        <v>6950A161-001    HARNESS WM01 - CU TO ANTENNA RIGHT FWD</v>
      </c>
      <c r="L797">
        <v>1</v>
      </c>
      <c r="M797" t="str">
        <f>"יח"</f>
        <v>יח</v>
      </c>
      <c r="N797">
        <v>1</v>
      </c>
      <c r="O797" t="str">
        <f>"יח"</f>
        <v>יח</v>
      </c>
      <c r="P797" s="2">
        <v>1291.22</v>
      </c>
      <c r="Q797" t="str">
        <f>"$"</f>
        <v>$</v>
      </c>
      <c r="R797" t="str">
        <f>"הזמנה"</f>
        <v>הזמנה</v>
      </c>
      <c r="S797">
        <v>0</v>
      </c>
      <c r="T797" s="2">
        <v>1291.22</v>
      </c>
      <c r="U797">
        <v>0</v>
      </c>
      <c r="V797" s="2">
        <v>1291.22</v>
      </c>
      <c r="W797" t="str">
        <f>"$"</f>
        <v>$</v>
      </c>
      <c r="X797">
        <v>0</v>
      </c>
      <c r="Y797">
        <v>0</v>
      </c>
      <c r="Z797">
        <v>0</v>
      </c>
      <c r="AA797" t="str">
        <f>"Y"</f>
        <v>Y</v>
      </c>
      <c r="AB797" t="str">
        <f>"SO22000334"</f>
        <v>SO22000334</v>
      </c>
      <c r="AC797">
        <v>2</v>
      </c>
      <c r="AD797" s="1">
        <v>44789</v>
      </c>
      <c r="AE797" t="str">
        <f>"SH23000444"</f>
        <v>SH23000444</v>
      </c>
      <c r="AF797" t="str">
        <f>"משלוחים ללקוח"</f>
        <v>משלוחים ללקוח</v>
      </c>
      <c r="AG797" s="1">
        <v>45014</v>
      </c>
      <c r="AM797" t="str">
        <f>"10"</f>
        <v>10</v>
      </c>
      <c r="AN797" t="str">
        <f>"500000"</f>
        <v>500000</v>
      </c>
      <c r="AO797" t="str">
        <f>"הכנסות  מלקוחות"</f>
        <v>הכנסות  מלקוחות</v>
      </c>
      <c r="AQ797" t="str">
        <f>"040"</f>
        <v>040</v>
      </c>
      <c r="AR797">
        <v>0</v>
      </c>
      <c r="AS797">
        <v>0</v>
      </c>
      <c r="AT797">
        <v>3.5859999999999999</v>
      </c>
      <c r="AX797" t="str">
        <f>"E000369247"</f>
        <v>E000369247</v>
      </c>
      <c r="BD797" t="str">
        <f>"רחמים זרוק"</f>
        <v>רחמים זרוק</v>
      </c>
    </row>
    <row r="798" spans="1:56" x14ac:dyDescent="0.3">
      <c r="A798" s="1">
        <v>45015</v>
      </c>
      <c r="B798" t="str">
        <f>"SI236000503"</f>
        <v>SI236000503</v>
      </c>
      <c r="C798" t="str">
        <f>"PR22000552"</f>
        <v>PR22000552</v>
      </c>
      <c r="D798" t="str">
        <f>"PR22000552"</f>
        <v>PR22000552</v>
      </c>
      <c r="E798" t="str">
        <f>"Y"</f>
        <v>Y</v>
      </c>
      <c r="F798" t="str">
        <f>"חשבוניות מרכזות"</f>
        <v>חשבוניות מרכזות</v>
      </c>
      <c r="G798" t="str">
        <f>"700065"</f>
        <v>700065</v>
      </c>
      <c r="H798" t="str">
        <f>"אלתא מערכות בע""מ"</f>
        <v>אלתא מערכות בע"מ</v>
      </c>
      <c r="I798" t="str">
        <f>"15"</f>
        <v>15</v>
      </c>
      <c r="J798" t="str">
        <f>"OP-AR03228"</f>
        <v>OP-AR03228</v>
      </c>
      <c r="K798" t="str">
        <f>"6950A165-001    HARNESS WM05 - CU TO ANTENNA RIGHT FWD ("</f>
        <v>6950A165-001    HARNESS WM05 - CU TO ANTENNA RIGHT FWD (</v>
      </c>
      <c r="L798">
        <v>1</v>
      </c>
      <c r="M798" t="str">
        <f>"יח"</f>
        <v>יח</v>
      </c>
      <c r="N798">
        <v>1</v>
      </c>
      <c r="O798" t="str">
        <f>"יח"</f>
        <v>יח</v>
      </c>
      <c r="P798" s="2">
        <v>1737.74</v>
      </c>
      <c r="Q798" t="str">
        <f>"$"</f>
        <v>$</v>
      </c>
      <c r="R798" t="str">
        <f>"הזמנה"</f>
        <v>הזמנה</v>
      </c>
      <c r="S798">
        <v>0</v>
      </c>
      <c r="T798" s="2">
        <v>1737.74</v>
      </c>
      <c r="U798">
        <v>0</v>
      </c>
      <c r="V798" s="2">
        <v>1737.74</v>
      </c>
      <c r="W798" t="str">
        <f>"$"</f>
        <v>$</v>
      </c>
      <c r="X798">
        <v>0</v>
      </c>
      <c r="Y798">
        <v>0</v>
      </c>
      <c r="Z798">
        <v>0</v>
      </c>
      <c r="AA798" t="str">
        <f>"Y"</f>
        <v>Y</v>
      </c>
      <c r="AB798" t="str">
        <f>"SO22000334"</f>
        <v>SO22000334</v>
      </c>
      <c r="AC798">
        <v>6</v>
      </c>
      <c r="AD798" s="1">
        <v>44789</v>
      </c>
      <c r="AE798" t="str">
        <f>"SH23000444"</f>
        <v>SH23000444</v>
      </c>
      <c r="AF798" t="str">
        <f>"משלוחים ללקוח"</f>
        <v>משלוחים ללקוח</v>
      </c>
      <c r="AG798" s="1">
        <v>45014</v>
      </c>
      <c r="AM798" t="str">
        <f>"10"</f>
        <v>10</v>
      </c>
      <c r="AN798" t="str">
        <f>"500000"</f>
        <v>500000</v>
      </c>
      <c r="AO798" t="str">
        <f>"הכנסות  מלקוחות"</f>
        <v>הכנסות  מלקוחות</v>
      </c>
      <c r="AQ798" t="str">
        <f>"040"</f>
        <v>040</v>
      </c>
      <c r="AR798">
        <v>0</v>
      </c>
      <c r="AS798">
        <v>0</v>
      </c>
      <c r="AT798">
        <v>3.5859999999999999</v>
      </c>
      <c r="AX798" t="str">
        <f>"E000369247"</f>
        <v>E000369247</v>
      </c>
      <c r="BD798" t="str">
        <f>"רחמים זרוק"</f>
        <v>רחמים זרוק</v>
      </c>
    </row>
    <row r="799" spans="1:56" x14ac:dyDescent="0.3">
      <c r="A799" s="1">
        <v>45015</v>
      </c>
      <c r="B799" t="str">
        <f>"SI236000503"</f>
        <v>SI236000503</v>
      </c>
      <c r="C799" t="str">
        <f>"PR22000552"</f>
        <v>PR22000552</v>
      </c>
      <c r="D799" t="str">
        <f>"PR22000552"</f>
        <v>PR22000552</v>
      </c>
      <c r="E799" t="str">
        <f>"Y"</f>
        <v>Y</v>
      </c>
      <c r="F799" t="str">
        <f>"חשבוניות מרכזות"</f>
        <v>חשבוניות מרכזות</v>
      </c>
      <c r="G799" t="str">
        <f>"700065"</f>
        <v>700065</v>
      </c>
      <c r="H799" t="str">
        <f>"אלתא מערכות בע""מ"</f>
        <v>אלתא מערכות בע"מ</v>
      </c>
      <c r="I799" t="str">
        <f>"15"</f>
        <v>15</v>
      </c>
      <c r="J799" t="str">
        <f>"OP-AR03233"</f>
        <v>OP-AR03233</v>
      </c>
      <c r="K799" t="str">
        <f>"6950A182-001    HARNESS W182 - MCU INTEGRATION"</f>
        <v>6950A182-001    HARNESS W182 - MCU INTEGRATION</v>
      </c>
      <c r="L799">
        <v>10</v>
      </c>
      <c r="M799" t="str">
        <f>"יח"</f>
        <v>יח</v>
      </c>
      <c r="N799">
        <v>10</v>
      </c>
      <c r="O799" t="str">
        <f>"יח"</f>
        <v>יח</v>
      </c>
      <c r="P799">
        <v>862.04</v>
      </c>
      <c r="Q799" t="str">
        <f>"$"</f>
        <v>$</v>
      </c>
      <c r="R799" t="str">
        <f>"הזמנה"</f>
        <v>הזמנה</v>
      </c>
      <c r="S799">
        <v>0</v>
      </c>
      <c r="T799" s="2">
        <v>8620.4</v>
      </c>
      <c r="U799">
        <v>0</v>
      </c>
      <c r="V799" s="2">
        <v>8620.4</v>
      </c>
      <c r="W799" t="str">
        <f>"$"</f>
        <v>$</v>
      </c>
      <c r="X799">
        <v>0</v>
      </c>
      <c r="Y799">
        <v>0</v>
      </c>
      <c r="Z799">
        <v>0</v>
      </c>
      <c r="AA799" t="str">
        <f>"Y"</f>
        <v>Y</v>
      </c>
      <c r="AB799" t="str">
        <f>"SO22000334"</f>
        <v>SO22000334</v>
      </c>
      <c r="AC799">
        <v>11</v>
      </c>
      <c r="AD799" s="1">
        <v>44789</v>
      </c>
      <c r="AE799" t="str">
        <f>"SH23000444"</f>
        <v>SH23000444</v>
      </c>
      <c r="AF799" t="str">
        <f>"משלוחים ללקוח"</f>
        <v>משלוחים ללקוח</v>
      </c>
      <c r="AG799" s="1">
        <v>45014</v>
      </c>
      <c r="AM799" t="str">
        <f>"10"</f>
        <v>10</v>
      </c>
      <c r="AN799" t="str">
        <f>"500000"</f>
        <v>500000</v>
      </c>
      <c r="AO799" t="str">
        <f>"הכנסות  מלקוחות"</f>
        <v>הכנסות  מלקוחות</v>
      </c>
      <c r="AQ799" t="str">
        <f>"040"</f>
        <v>040</v>
      </c>
      <c r="AR799">
        <v>0</v>
      </c>
      <c r="AS799">
        <v>0</v>
      </c>
      <c r="AT799">
        <v>3.5859999999999999</v>
      </c>
      <c r="AX799" t="str">
        <f>"E000369247"</f>
        <v>E000369247</v>
      </c>
      <c r="BD799" t="str">
        <f>"רחמים זרוק"</f>
        <v>רחמים זרוק</v>
      </c>
    </row>
    <row r="800" spans="1:56" x14ac:dyDescent="0.3">
      <c r="A800" s="1">
        <v>45015</v>
      </c>
      <c r="B800" t="str">
        <f>"SI236000477"</f>
        <v>SI236000477</v>
      </c>
      <c r="C800" t="str">
        <f>"PR22000675"</f>
        <v>PR22000675</v>
      </c>
      <c r="E800" t="str">
        <f>"Y"</f>
        <v>Y</v>
      </c>
      <c r="F800" t="str">
        <f>"חשבוניות מרכזות"</f>
        <v>חשבוניות מרכזות</v>
      </c>
      <c r="G800" t="str">
        <f>"700065"</f>
        <v>700065</v>
      </c>
      <c r="H800" t="str">
        <f>"אלתא מערכות בע""מ"</f>
        <v>אלתא מערכות בע"מ</v>
      </c>
      <c r="I800" t="str">
        <f>"15"</f>
        <v>15</v>
      </c>
      <c r="J800" t="str">
        <f>"OP-AR03377"</f>
        <v>OP-AR03377</v>
      </c>
      <c r="K800" t="str">
        <f>"1036F685-001    BFCU TEST AND CONTROL CABLE"</f>
        <v>1036F685-001    BFCU TEST AND CONTROL CABLE</v>
      </c>
      <c r="L800">
        <v>1</v>
      </c>
      <c r="M800" t="str">
        <f>"יח"</f>
        <v>יח</v>
      </c>
      <c r="N800">
        <v>1</v>
      </c>
      <c r="O800" t="str">
        <f>"יח"</f>
        <v>יח</v>
      </c>
      <c r="P800">
        <v>572.11</v>
      </c>
      <c r="Q800" t="str">
        <f>"$"</f>
        <v>$</v>
      </c>
      <c r="R800" t="str">
        <f>"הזמנה"</f>
        <v>הזמנה</v>
      </c>
      <c r="S800">
        <v>0</v>
      </c>
      <c r="T800">
        <v>572.11</v>
      </c>
      <c r="U800">
        <v>0</v>
      </c>
      <c r="V800">
        <v>572.11</v>
      </c>
      <c r="W800" t="str">
        <f>"$"</f>
        <v>$</v>
      </c>
      <c r="X800">
        <v>0</v>
      </c>
      <c r="Y800">
        <v>0</v>
      </c>
      <c r="Z800">
        <v>0</v>
      </c>
      <c r="AA800" t="str">
        <f>"Y"</f>
        <v>Y</v>
      </c>
      <c r="AB800" t="str">
        <f>"SO22000391"</f>
        <v>SO22000391</v>
      </c>
      <c r="AC800">
        <v>1</v>
      </c>
      <c r="AD800" s="1">
        <v>44864</v>
      </c>
      <c r="AE800" t="str">
        <f>"SH23000428"</f>
        <v>SH23000428</v>
      </c>
      <c r="AF800" t="str">
        <f>"משלוחים ללקוח"</f>
        <v>משלוחים ללקוח</v>
      </c>
      <c r="AG800" s="1">
        <v>45013</v>
      </c>
      <c r="AM800" t="str">
        <f>"10"</f>
        <v>10</v>
      </c>
      <c r="AN800" t="str">
        <f>"500000"</f>
        <v>500000</v>
      </c>
      <c r="AO800" t="str">
        <f>"הכנסות  מלקוחות"</f>
        <v>הכנסות  מלקוחות</v>
      </c>
      <c r="AQ800" t="str">
        <f>"040"</f>
        <v>040</v>
      </c>
      <c r="AR800">
        <v>0</v>
      </c>
      <c r="AS800">
        <v>0</v>
      </c>
      <c r="AT800">
        <v>3.5659999999999998</v>
      </c>
      <c r="AX800" t="str">
        <f>"E000377210"</f>
        <v>E000377210</v>
      </c>
      <c r="BD800" t="str">
        <f>"רחמים זרוק"</f>
        <v>רחמים זרוק</v>
      </c>
    </row>
    <row r="801" spans="1:56" x14ac:dyDescent="0.3">
      <c r="A801" s="1">
        <v>45014</v>
      </c>
      <c r="B801" t="str">
        <f>"SI236000501"</f>
        <v>SI236000501</v>
      </c>
      <c r="C801" t="str">
        <f>"PR22000316"</f>
        <v>PR22000316</v>
      </c>
      <c r="E801" t="str">
        <f>"Y"</f>
        <v>Y</v>
      </c>
      <c r="F801" t="str">
        <f>"חשבוניות מרכזות"</f>
        <v>חשבוניות מרכזות</v>
      </c>
      <c r="G801" t="str">
        <f>"700065"</f>
        <v>700065</v>
      </c>
      <c r="H801" t="str">
        <f>"אלתא מערכות בע""מ"</f>
        <v>אלתא מערכות בע"מ</v>
      </c>
      <c r="I801" t="str">
        <f>"15"</f>
        <v>15</v>
      </c>
      <c r="J801" t="str">
        <f>"OP-AR03049"</f>
        <v>OP-AR03049</v>
      </c>
      <c r="K801" t="str">
        <f>"1023M216-002    CABLE ASSY W202"</f>
        <v>1023M216-002    CABLE ASSY W202</v>
      </c>
      <c r="L801">
        <v>11</v>
      </c>
      <c r="M801" t="str">
        <f>"יח"</f>
        <v>יח</v>
      </c>
      <c r="N801">
        <v>11</v>
      </c>
      <c r="O801" t="str">
        <f>"יח"</f>
        <v>יח</v>
      </c>
      <c r="P801" s="2">
        <v>1423.84</v>
      </c>
      <c r="Q801" t="str">
        <f>"$"</f>
        <v>$</v>
      </c>
      <c r="R801" t="str">
        <f>"הזמנה"</f>
        <v>הזמנה</v>
      </c>
      <c r="S801">
        <v>0</v>
      </c>
      <c r="T801" s="2">
        <v>15662.24</v>
      </c>
      <c r="U801">
        <v>0</v>
      </c>
      <c r="V801" s="2">
        <v>15662.24</v>
      </c>
      <c r="W801" t="str">
        <f>"$"</f>
        <v>$</v>
      </c>
      <c r="X801">
        <v>0</v>
      </c>
      <c r="Y801">
        <v>0</v>
      </c>
      <c r="Z801">
        <v>0</v>
      </c>
      <c r="AA801" t="str">
        <f>"Y"</f>
        <v>Y</v>
      </c>
      <c r="AB801" t="str">
        <f>"SO22000145"</f>
        <v>SO22000145</v>
      </c>
      <c r="AC801">
        <v>2</v>
      </c>
      <c r="AD801" s="1">
        <v>44675</v>
      </c>
      <c r="AE801" t="str">
        <f>"SH23000441"</f>
        <v>SH23000441</v>
      </c>
      <c r="AF801" t="str">
        <f>"משלוחים ללקוח"</f>
        <v>משלוחים ללקוח</v>
      </c>
      <c r="AG801" s="1">
        <v>45014</v>
      </c>
      <c r="AM801" t="str">
        <f>"10"</f>
        <v>10</v>
      </c>
      <c r="AN801" t="str">
        <f>"500000"</f>
        <v>500000</v>
      </c>
      <c r="AO801" t="str">
        <f>"הכנסות  מלקוחות"</f>
        <v>הכנסות  מלקוחות</v>
      </c>
      <c r="AQ801" t="str">
        <f>"040"</f>
        <v>040</v>
      </c>
      <c r="AR801">
        <v>0</v>
      </c>
      <c r="AS801">
        <v>0</v>
      </c>
      <c r="AT801">
        <v>3.5659999999999998</v>
      </c>
      <c r="AX801" t="str">
        <f>"E000359811"</f>
        <v>E000359811</v>
      </c>
      <c r="BD801" t="str">
        <f>"רחמים זרוק"</f>
        <v>רחמים זרוק</v>
      </c>
    </row>
    <row r="802" spans="1:56" x14ac:dyDescent="0.3">
      <c r="A802" s="1">
        <v>45014</v>
      </c>
      <c r="B802" t="str">
        <f>"SI236000500"</f>
        <v>SI236000500</v>
      </c>
      <c r="C802" t="str">
        <f>"PR22000604"</f>
        <v>PR22000604</v>
      </c>
      <c r="D802" t="str">
        <f>"PR22000604"</f>
        <v>PR22000604</v>
      </c>
      <c r="E802" t="str">
        <f>"Y"</f>
        <v>Y</v>
      </c>
      <c r="F802" t="str">
        <f>"חשבוניות מרכזות"</f>
        <v>חשבוניות מרכזות</v>
      </c>
      <c r="G802" t="str">
        <f>"700065"</f>
        <v>700065</v>
      </c>
      <c r="H802" t="str">
        <f>"אלתא מערכות בע""מ"</f>
        <v>אלתא מערכות בע"מ</v>
      </c>
      <c r="I802" t="str">
        <f>"15"</f>
        <v>15</v>
      </c>
      <c r="J802" t="str">
        <f>"OP-AR03324"</f>
        <v>OP-AR03324</v>
      </c>
      <c r="K802" t="str">
        <f>"2060B171-002  CABLE ASSY CRW22"</f>
        <v>2060B171-002  CABLE ASSY CRW22</v>
      </c>
      <c r="L802">
        <v>1</v>
      </c>
      <c r="M802" t="str">
        <f>"יח"</f>
        <v>יח</v>
      </c>
      <c r="N802">
        <v>1</v>
      </c>
      <c r="O802" t="str">
        <f>"יח"</f>
        <v>יח</v>
      </c>
      <c r="P802">
        <v>620.36</v>
      </c>
      <c r="Q802" t="str">
        <f>"$"</f>
        <v>$</v>
      </c>
      <c r="R802" t="str">
        <f>"הזמנה"</f>
        <v>הזמנה</v>
      </c>
      <c r="S802">
        <v>0</v>
      </c>
      <c r="T802">
        <v>620.36</v>
      </c>
      <c r="U802">
        <v>0</v>
      </c>
      <c r="V802">
        <v>620.36</v>
      </c>
      <c r="W802" t="str">
        <f>"$"</f>
        <v>$</v>
      </c>
      <c r="X802">
        <v>0</v>
      </c>
      <c r="Y802">
        <v>0</v>
      </c>
      <c r="Z802">
        <v>0</v>
      </c>
      <c r="AA802" t="str">
        <f>"Y"</f>
        <v>Y</v>
      </c>
      <c r="AB802" t="str">
        <f>"SO22000356"</f>
        <v>SO22000356</v>
      </c>
      <c r="AC802">
        <v>2</v>
      </c>
      <c r="AD802" s="1">
        <v>44816</v>
      </c>
      <c r="AE802" t="str">
        <f>"SH23000445"</f>
        <v>SH23000445</v>
      </c>
      <c r="AF802" t="str">
        <f>"משלוחים ללקוח"</f>
        <v>משלוחים ללקוח</v>
      </c>
      <c r="AG802" s="1">
        <v>45014</v>
      </c>
      <c r="AM802" t="str">
        <f>"10"</f>
        <v>10</v>
      </c>
      <c r="AN802" t="str">
        <f>"500000"</f>
        <v>500000</v>
      </c>
      <c r="AO802" t="str">
        <f>"הכנסות  מלקוחות"</f>
        <v>הכנסות  מלקוחות</v>
      </c>
      <c r="AQ802" t="str">
        <f>"040"</f>
        <v>040</v>
      </c>
      <c r="AR802">
        <v>0</v>
      </c>
      <c r="AS802">
        <v>0</v>
      </c>
      <c r="AT802">
        <v>3.5659999999999998</v>
      </c>
      <c r="AX802" t="str">
        <f>"E000373398"</f>
        <v>E000373398</v>
      </c>
      <c r="BD802" t="str">
        <f>"רחמים זרוק"</f>
        <v>רחמים זרוק</v>
      </c>
    </row>
    <row r="803" spans="1:56" x14ac:dyDescent="0.3">
      <c r="A803" s="1">
        <v>45014</v>
      </c>
      <c r="B803" t="str">
        <f>"SI236000500"</f>
        <v>SI236000500</v>
      </c>
      <c r="C803" t="str">
        <f>"PR22000604"</f>
        <v>PR22000604</v>
      </c>
      <c r="D803" t="str">
        <f>"PR22000604"</f>
        <v>PR22000604</v>
      </c>
      <c r="E803" t="str">
        <f>"Y"</f>
        <v>Y</v>
      </c>
      <c r="F803" t="str">
        <f>"חשבוניות מרכזות"</f>
        <v>חשבוניות מרכזות</v>
      </c>
      <c r="G803" t="str">
        <f>"700065"</f>
        <v>700065</v>
      </c>
      <c r="H803" t="str">
        <f>"אלתא מערכות בע""מ"</f>
        <v>אלתא מערכות בע"מ</v>
      </c>
      <c r="I803" t="str">
        <f>"15"</f>
        <v>15</v>
      </c>
      <c r="J803" t="str">
        <f>"OP-AR03322"</f>
        <v>OP-AR03322</v>
      </c>
      <c r="K803" t="str">
        <f>"2227B374-001    SARLA-ESS-RP-J6 CABLE ASSY"</f>
        <v>2227B374-001    SARLA-ESS-RP-J6 CABLE ASSY</v>
      </c>
      <c r="L803">
        <v>1</v>
      </c>
      <c r="M803" t="str">
        <f>"יח"</f>
        <v>יח</v>
      </c>
      <c r="N803">
        <v>1</v>
      </c>
      <c r="O803" t="str">
        <f>"יח"</f>
        <v>יח</v>
      </c>
      <c r="P803">
        <v>418.13</v>
      </c>
      <c r="Q803" t="str">
        <f>"$"</f>
        <v>$</v>
      </c>
      <c r="R803" t="str">
        <f>"הזמנה"</f>
        <v>הזמנה</v>
      </c>
      <c r="S803">
        <v>0</v>
      </c>
      <c r="T803">
        <v>418.13</v>
      </c>
      <c r="U803">
        <v>0</v>
      </c>
      <c r="V803">
        <v>418.13</v>
      </c>
      <c r="W803" t="str">
        <f>"$"</f>
        <v>$</v>
      </c>
      <c r="X803">
        <v>0</v>
      </c>
      <c r="Y803">
        <v>0</v>
      </c>
      <c r="Z803">
        <v>0</v>
      </c>
      <c r="AA803" t="str">
        <f>"Y"</f>
        <v>Y</v>
      </c>
      <c r="AB803" t="str">
        <f>"SO22000356"</f>
        <v>SO22000356</v>
      </c>
      <c r="AC803">
        <v>6</v>
      </c>
      <c r="AD803" s="1">
        <v>44816</v>
      </c>
      <c r="AE803" t="str">
        <f>"SH23000445"</f>
        <v>SH23000445</v>
      </c>
      <c r="AF803" t="str">
        <f>"משלוחים ללקוח"</f>
        <v>משלוחים ללקוח</v>
      </c>
      <c r="AG803" s="1">
        <v>45014</v>
      </c>
      <c r="AM803" t="str">
        <f>"10"</f>
        <v>10</v>
      </c>
      <c r="AN803" t="str">
        <f>"500000"</f>
        <v>500000</v>
      </c>
      <c r="AO803" t="str">
        <f>"הכנסות  מלקוחות"</f>
        <v>הכנסות  מלקוחות</v>
      </c>
      <c r="AQ803" t="str">
        <f>"040"</f>
        <v>040</v>
      </c>
      <c r="AR803">
        <v>0</v>
      </c>
      <c r="AS803">
        <v>0</v>
      </c>
      <c r="AT803">
        <v>3.5659999999999998</v>
      </c>
      <c r="AX803" t="str">
        <f>"E000373398"</f>
        <v>E000373398</v>
      </c>
      <c r="BD803" t="str">
        <f>"רחמים זרוק"</f>
        <v>רחמים זרוק</v>
      </c>
    </row>
    <row r="804" spans="1:56" x14ac:dyDescent="0.3">
      <c r="A804" s="1">
        <v>45014</v>
      </c>
      <c r="B804" t="str">
        <f>"SI236000499"</f>
        <v>SI236000499</v>
      </c>
      <c r="C804" t="str">
        <f>"PR22000636"</f>
        <v>PR22000636</v>
      </c>
      <c r="E804" t="str">
        <f>"Y"</f>
        <v>Y</v>
      </c>
      <c r="F804" t="str">
        <f>"חשבוניות מרכזות"</f>
        <v>חשבוניות מרכזות</v>
      </c>
      <c r="G804" t="str">
        <f>"700065"</f>
        <v>700065</v>
      </c>
      <c r="H804" t="str">
        <f>"אלתא מערכות בע""מ"</f>
        <v>אלתא מערכות בע"מ</v>
      </c>
      <c r="I804" t="str">
        <f>"15"</f>
        <v>15</v>
      </c>
      <c r="J804" t="str">
        <f>"OP-AR03011"</f>
        <v>OP-AR03011</v>
      </c>
      <c r="K804" t="str">
        <f>"2083B310-002   VPW2 CABLE ASSY"</f>
        <v>2083B310-002   VPW2 CABLE ASSY</v>
      </c>
      <c r="L804">
        <v>2</v>
      </c>
      <c r="M804" t="str">
        <f>"יח"</f>
        <v>יח</v>
      </c>
      <c r="N804">
        <v>2</v>
      </c>
      <c r="O804" t="str">
        <f>"יח"</f>
        <v>יח</v>
      </c>
      <c r="P804" s="2">
        <v>1022.92</v>
      </c>
      <c r="Q804" t="str">
        <f>"$"</f>
        <v>$</v>
      </c>
      <c r="R804" t="str">
        <f>"הזמנה"</f>
        <v>הזמנה</v>
      </c>
      <c r="S804">
        <v>0</v>
      </c>
      <c r="T804" s="2">
        <v>2045.84</v>
      </c>
      <c r="U804">
        <v>0</v>
      </c>
      <c r="V804" s="2">
        <v>2045.84</v>
      </c>
      <c r="W804" t="str">
        <f>"$"</f>
        <v>$</v>
      </c>
      <c r="X804">
        <v>0</v>
      </c>
      <c r="Y804">
        <v>0</v>
      </c>
      <c r="Z804">
        <v>0</v>
      </c>
      <c r="AA804" t="str">
        <f>"Y"</f>
        <v>Y</v>
      </c>
      <c r="AB804" t="str">
        <f>"SO22000376"</f>
        <v>SO22000376</v>
      </c>
      <c r="AC804">
        <v>1</v>
      </c>
      <c r="AD804" s="1">
        <v>44847</v>
      </c>
      <c r="AE804" t="str">
        <f>"SH23000446"</f>
        <v>SH23000446</v>
      </c>
      <c r="AF804" t="str">
        <f>"משלוחים ללקוח"</f>
        <v>משלוחים ללקוח</v>
      </c>
      <c r="AG804" s="1">
        <v>45014</v>
      </c>
      <c r="AM804" t="str">
        <f>"10"</f>
        <v>10</v>
      </c>
      <c r="AN804" t="str">
        <f>"500000"</f>
        <v>500000</v>
      </c>
      <c r="AO804" t="str">
        <f>"הכנסות  מלקוחות"</f>
        <v>הכנסות  מלקוחות</v>
      </c>
      <c r="AQ804" t="str">
        <f>"040"</f>
        <v>040</v>
      </c>
      <c r="AR804">
        <v>0</v>
      </c>
      <c r="AS804">
        <v>0</v>
      </c>
      <c r="AT804">
        <v>3.5659999999999998</v>
      </c>
      <c r="AX804" t="str">
        <f>"E000375229"</f>
        <v>E000375229</v>
      </c>
      <c r="BD804" t="str">
        <f>"רחמים זרוק"</f>
        <v>רחמים זרוק</v>
      </c>
    </row>
    <row r="805" spans="1:56" x14ac:dyDescent="0.3">
      <c r="A805" s="1">
        <v>45014</v>
      </c>
      <c r="B805" t="str">
        <f>"SI236000497"</f>
        <v>SI236000497</v>
      </c>
      <c r="C805" t="str">
        <f>"PR22000483"</f>
        <v>PR22000483</v>
      </c>
      <c r="D805" t="str">
        <f>"PR22000483"</f>
        <v>PR22000483</v>
      </c>
      <c r="E805" t="str">
        <f>"Y"</f>
        <v>Y</v>
      </c>
      <c r="F805" t="str">
        <f>"חשבוניות מרכזות"</f>
        <v>חשבוניות מרכזות</v>
      </c>
      <c r="G805" t="str">
        <f>"700065"</f>
        <v>700065</v>
      </c>
      <c r="H805" t="str">
        <f>"אלתא מערכות בע""מ"</f>
        <v>אלתא מערכות בע"מ</v>
      </c>
      <c r="I805" t="str">
        <f>"15"</f>
        <v>15</v>
      </c>
      <c r="J805" t="str">
        <f>"OP-AR03208"</f>
        <v>OP-AR03208</v>
      </c>
      <c r="K805" t="str">
        <f>"1096H331-001     DC HARNESS TRA (W1)"</f>
        <v>1096H331-001     DC HARNESS TRA (W1)</v>
      </c>
      <c r="L805">
        <v>20</v>
      </c>
      <c r="M805" t="str">
        <f>"יח"</f>
        <v>יח</v>
      </c>
      <c r="N805">
        <v>20</v>
      </c>
      <c r="O805" t="str">
        <f>"יח"</f>
        <v>יח</v>
      </c>
      <c r="P805">
        <v>833.5</v>
      </c>
      <c r="Q805" t="str">
        <f>"$"</f>
        <v>$</v>
      </c>
      <c r="R805" t="str">
        <f>"הזמנה"</f>
        <v>הזמנה</v>
      </c>
      <c r="S805">
        <v>0</v>
      </c>
      <c r="T805" s="2">
        <v>16670</v>
      </c>
      <c r="U805">
        <v>0</v>
      </c>
      <c r="V805" s="2">
        <v>16670</v>
      </c>
      <c r="W805" t="str">
        <f>"$"</f>
        <v>$</v>
      </c>
      <c r="X805">
        <v>0</v>
      </c>
      <c r="Y805">
        <v>0</v>
      </c>
      <c r="Z805">
        <v>0</v>
      </c>
      <c r="AA805" t="str">
        <f>"Y"</f>
        <v>Y</v>
      </c>
      <c r="AB805" t="str">
        <f>"SO22000256"</f>
        <v>SO22000256</v>
      </c>
      <c r="AC805">
        <v>1</v>
      </c>
      <c r="AD805" s="1">
        <v>44738</v>
      </c>
      <c r="AE805" t="str">
        <f>"SH23000443"</f>
        <v>SH23000443</v>
      </c>
      <c r="AF805" t="str">
        <f>"משלוחים ללקוח"</f>
        <v>משלוחים ללקוח</v>
      </c>
      <c r="AG805" s="1">
        <v>45014</v>
      </c>
      <c r="AM805" t="str">
        <f>"10"</f>
        <v>10</v>
      </c>
      <c r="AN805" t="str">
        <f>"500000"</f>
        <v>500000</v>
      </c>
      <c r="AO805" t="str">
        <f>"הכנסות  מלקוחות"</f>
        <v>הכנסות  מלקוחות</v>
      </c>
      <c r="AQ805" t="str">
        <f>"040"</f>
        <v>040</v>
      </c>
      <c r="AR805">
        <v>0</v>
      </c>
      <c r="AS805">
        <v>0</v>
      </c>
      <c r="AT805">
        <v>3.5659999999999998</v>
      </c>
      <c r="AX805" t="str">
        <f>"E000367695"</f>
        <v>E000367695</v>
      </c>
      <c r="BD805" t="str">
        <f>"רחמים זרוק"</f>
        <v>רחמים זרוק</v>
      </c>
    </row>
    <row r="806" spans="1:56" x14ac:dyDescent="0.3">
      <c r="A806" s="1">
        <v>45014</v>
      </c>
      <c r="B806" t="str">
        <f>"SI236000452"</f>
        <v>SI236000452</v>
      </c>
      <c r="C806" t="str">
        <f>"PR22000552"</f>
        <v>PR22000552</v>
      </c>
      <c r="D806" t="str">
        <f>"PR22000552"</f>
        <v>PR22000552</v>
      </c>
      <c r="E806" t="str">
        <f>"Y"</f>
        <v>Y</v>
      </c>
      <c r="F806" t="str">
        <f>"חשבוניות מרכזות"</f>
        <v>חשבוניות מרכזות</v>
      </c>
      <c r="G806" t="str">
        <f>"700065"</f>
        <v>700065</v>
      </c>
      <c r="H806" t="str">
        <f>"אלתא מערכות בע""מ"</f>
        <v>אלתא מערכות בע"מ</v>
      </c>
      <c r="I806" t="str">
        <f>"15"</f>
        <v>15</v>
      </c>
      <c r="J806" t="str">
        <f>"OP-AR03233"</f>
        <v>OP-AR03233</v>
      </c>
      <c r="K806" t="str">
        <f>"6950A182-001    HARNESS W182 - MCU INTEGRATION"</f>
        <v>6950A182-001    HARNESS W182 - MCU INTEGRATION</v>
      </c>
      <c r="L806">
        <v>1</v>
      </c>
      <c r="M806" t="str">
        <f>"יח"</f>
        <v>יח</v>
      </c>
      <c r="N806">
        <v>1</v>
      </c>
      <c r="O806" t="str">
        <f>"יח"</f>
        <v>יח</v>
      </c>
      <c r="P806">
        <v>862.04</v>
      </c>
      <c r="Q806" t="str">
        <f>"$"</f>
        <v>$</v>
      </c>
      <c r="R806" t="str">
        <f>"הזמנה"</f>
        <v>הזמנה</v>
      </c>
      <c r="S806">
        <v>0</v>
      </c>
      <c r="T806">
        <v>862.04</v>
      </c>
      <c r="U806">
        <v>0</v>
      </c>
      <c r="V806">
        <v>862.04</v>
      </c>
      <c r="W806" t="str">
        <f>"$"</f>
        <v>$</v>
      </c>
      <c r="X806">
        <v>0</v>
      </c>
      <c r="Y806">
        <v>0</v>
      </c>
      <c r="Z806">
        <v>0</v>
      </c>
      <c r="AA806" t="str">
        <f>"Y"</f>
        <v>Y</v>
      </c>
      <c r="AB806" t="str">
        <f>"SO22000334"</f>
        <v>SO22000334</v>
      </c>
      <c r="AC806">
        <v>11</v>
      </c>
      <c r="AD806" s="1">
        <v>44789</v>
      </c>
      <c r="AE806" t="str">
        <f>"SH23000448"</f>
        <v>SH23000448</v>
      </c>
      <c r="AF806" t="str">
        <f>"משלוחים ללקוח"</f>
        <v>משלוחים ללקוח</v>
      </c>
      <c r="AG806" s="1">
        <v>45014</v>
      </c>
      <c r="AM806" t="str">
        <f>"10"</f>
        <v>10</v>
      </c>
      <c r="AN806" t="str">
        <f>"500000"</f>
        <v>500000</v>
      </c>
      <c r="AO806" t="str">
        <f>"הכנסות  מלקוחות"</f>
        <v>הכנסות  מלקוחות</v>
      </c>
      <c r="AQ806" t="str">
        <f>"040"</f>
        <v>040</v>
      </c>
      <c r="AR806">
        <v>0</v>
      </c>
      <c r="AS806">
        <v>0</v>
      </c>
      <c r="AT806">
        <v>3.5659999999999998</v>
      </c>
      <c r="AX806" t="str">
        <f>"E000369247"</f>
        <v>E000369247</v>
      </c>
      <c r="BD806" t="str">
        <f>"רחמים זרוק"</f>
        <v>רחמים זרוק</v>
      </c>
    </row>
    <row r="807" spans="1:56" x14ac:dyDescent="0.3">
      <c r="A807" s="1">
        <v>45013</v>
      </c>
      <c r="B807" t="str">
        <f>"SI236000542"</f>
        <v>SI236000542</v>
      </c>
      <c r="E807" t="str">
        <f>"Y"</f>
        <v>Y</v>
      </c>
      <c r="F807" t="str">
        <f>"חשבוניות מרכזות"</f>
        <v>חשבוניות מרכזות</v>
      </c>
      <c r="G807" t="str">
        <f>"700065"</f>
        <v>700065</v>
      </c>
      <c r="H807" t="str">
        <f>"אלתא מערכות בע""מ"</f>
        <v>אלתא מערכות בע"מ</v>
      </c>
      <c r="I807" t="str">
        <f>"15"</f>
        <v>15</v>
      </c>
      <c r="J807" t="str">
        <f>"OP-AR03393"</f>
        <v>OP-AR03393</v>
      </c>
      <c r="K807" t="str">
        <f>"2212B620-001    WGNG2 CABLE ASSY"</f>
        <v>2212B620-001    WGNG2 CABLE ASSY</v>
      </c>
      <c r="L807">
        <v>-2</v>
      </c>
      <c r="M807" t="str">
        <f>"יח"</f>
        <v>יח</v>
      </c>
      <c r="N807">
        <v>-2</v>
      </c>
      <c r="O807" t="str">
        <f>"יח"</f>
        <v>יח</v>
      </c>
      <c r="P807" s="2">
        <v>1272.83</v>
      </c>
      <c r="Q807" t="str">
        <f>"$"</f>
        <v>$</v>
      </c>
      <c r="R807" t="str">
        <f>"הזמנה"</f>
        <v>הזמנה</v>
      </c>
      <c r="S807">
        <v>0</v>
      </c>
      <c r="T807" s="2">
        <v>-2545.66</v>
      </c>
      <c r="U807">
        <v>0</v>
      </c>
      <c r="V807" s="2">
        <v>-2545.66</v>
      </c>
      <c r="W807" t="str">
        <f>"$"</f>
        <v>$</v>
      </c>
      <c r="X807">
        <v>0</v>
      </c>
      <c r="Y807">
        <v>0</v>
      </c>
      <c r="Z807">
        <v>0</v>
      </c>
      <c r="AA807" t="str">
        <f>"Y"</f>
        <v>Y</v>
      </c>
      <c r="AC807">
        <v>0</v>
      </c>
      <c r="AM807" t="str">
        <f>"10"</f>
        <v>10</v>
      </c>
      <c r="AN807" t="str">
        <f>"500000"</f>
        <v>500000</v>
      </c>
      <c r="AO807" t="str">
        <f>"הכנסות  מלקוחות"</f>
        <v>הכנסות  מלקוחות</v>
      </c>
      <c r="AQ807" t="str">
        <f>"040"</f>
        <v>040</v>
      </c>
      <c r="AR807">
        <v>0</v>
      </c>
      <c r="AS807">
        <v>0</v>
      </c>
      <c r="AT807">
        <v>3.5569999999999999</v>
      </c>
      <c r="BB807" t="str">
        <f>"Y"</f>
        <v>Y</v>
      </c>
      <c r="BD807" t="str">
        <f>"רחמים זרוק"</f>
        <v>רחמים זרוק</v>
      </c>
    </row>
    <row r="808" spans="1:56" x14ac:dyDescent="0.3">
      <c r="A808" s="1">
        <v>45013</v>
      </c>
      <c r="B808" t="str">
        <f>"SI236000542"</f>
        <v>SI236000542</v>
      </c>
      <c r="E808" t="str">
        <f>"Y"</f>
        <v>Y</v>
      </c>
      <c r="F808" t="str">
        <f>"חשבוניות מרכזות"</f>
        <v>חשבוניות מרכזות</v>
      </c>
      <c r="G808" t="str">
        <f>"700065"</f>
        <v>700065</v>
      </c>
      <c r="H808" t="str">
        <f>"אלתא מערכות בע""מ"</f>
        <v>אלתא מערכות בע"מ</v>
      </c>
      <c r="I808" t="str">
        <f>"15"</f>
        <v>15</v>
      </c>
      <c r="J808" t="str">
        <f>"OP-AR03395"</f>
        <v>OP-AR03395</v>
      </c>
      <c r="K808" t="str">
        <f>"2227B394-001    HARNESS W394 - LVCS TO ANT POWER"</f>
        <v>2227B394-001    HARNESS W394 - LVCS TO ANT POWER</v>
      </c>
      <c r="L808">
        <v>-2</v>
      </c>
      <c r="M808" t="str">
        <f>"יח"</f>
        <v>יח</v>
      </c>
      <c r="N808">
        <v>-2</v>
      </c>
      <c r="O808" t="str">
        <f>"יח"</f>
        <v>יח</v>
      </c>
      <c r="P808">
        <v>673.87</v>
      </c>
      <c r="Q808" t="str">
        <f>"$"</f>
        <v>$</v>
      </c>
      <c r="R808" t="str">
        <f>"הזמנה"</f>
        <v>הזמנה</v>
      </c>
      <c r="S808">
        <v>0</v>
      </c>
      <c r="T808" s="2">
        <v>-1347.74</v>
      </c>
      <c r="U808">
        <v>0</v>
      </c>
      <c r="V808" s="2">
        <v>-1347.74</v>
      </c>
      <c r="W808" t="str">
        <f>"$"</f>
        <v>$</v>
      </c>
      <c r="X808">
        <v>0</v>
      </c>
      <c r="Y808">
        <v>0</v>
      </c>
      <c r="Z808">
        <v>0</v>
      </c>
      <c r="AA808" t="str">
        <f>"Y"</f>
        <v>Y</v>
      </c>
      <c r="AC808">
        <v>0</v>
      </c>
      <c r="AM808" t="str">
        <f>"10"</f>
        <v>10</v>
      </c>
      <c r="AN808" t="str">
        <f>"500000"</f>
        <v>500000</v>
      </c>
      <c r="AO808" t="str">
        <f>"הכנסות  מלקוחות"</f>
        <v>הכנסות  מלקוחות</v>
      </c>
      <c r="AQ808" t="str">
        <f>"040"</f>
        <v>040</v>
      </c>
      <c r="AR808">
        <v>0</v>
      </c>
      <c r="AS808">
        <v>0</v>
      </c>
      <c r="AT808">
        <v>3.5569999999999999</v>
      </c>
      <c r="BB808" t="str">
        <f>"Y"</f>
        <v>Y</v>
      </c>
      <c r="BD808" t="str">
        <f>"רחמים זרוק"</f>
        <v>רחמים זרוק</v>
      </c>
    </row>
    <row r="809" spans="1:56" x14ac:dyDescent="0.3">
      <c r="A809" s="1">
        <v>45013</v>
      </c>
      <c r="B809" t="str">
        <f>"SI236000542"</f>
        <v>SI236000542</v>
      </c>
      <c r="E809" t="str">
        <f>"Y"</f>
        <v>Y</v>
      </c>
      <c r="F809" t="str">
        <f>"חשבוניות מרכזות"</f>
        <v>חשבוניות מרכזות</v>
      </c>
      <c r="G809" t="str">
        <f>"700065"</f>
        <v>700065</v>
      </c>
      <c r="H809" t="str">
        <f>"אלתא מערכות בע""מ"</f>
        <v>אלתא מערכות בע"מ</v>
      </c>
      <c r="I809" t="str">
        <f>"15"</f>
        <v>15</v>
      </c>
      <c r="J809" t="str">
        <f>"OP-AR03397"</f>
        <v>OP-AR03397</v>
      </c>
      <c r="K809" t="str">
        <f>"2227B398-001    HARNESS W398 - LVCS TO ANT POWER"</f>
        <v>2227B398-001    HARNESS W398 - LVCS TO ANT POWER</v>
      </c>
      <c r="L809">
        <v>-2</v>
      </c>
      <c r="M809" t="str">
        <f>"יח"</f>
        <v>יח</v>
      </c>
      <c r="N809">
        <v>-2</v>
      </c>
      <c r="O809" t="str">
        <f>"יח"</f>
        <v>יח</v>
      </c>
      <c r="P809">
        <v>673.87</v>
      </c>
      <c r="Q809" t="str">
        <f>"$"</f>
        <v>$</v>
      </c>
      <c r="R809" t="str">
        <f>"הזמנה"</f>
        <v>הזמנה</v>
      </c>
      <c r="S809">
        <v>0</v>
      </c>
      <c r="T809" s="2">
        <v>-1347.74</v>
      </c>
      <c r="U809">
        <v>0</v>
      </c>
      <c r="V809" s="2">
        <v>-1347.74</v>
      </c>
      <c r="W809" t="str">
        <f>"$"</f>
        <v>$</v>
      </c>
      <c r="X809">
        <v>0</v>
      </c>
      <c r="Y809">
        <v>0</v>
      </c>
      <c r="Z809">
        <v>0</v>
      </c>
      <c r="AA809" t="str">
        <f>"Y"</f>
        <v>Y</v>
      </c>
      <c r="AC809">
        <v>0</v>
      </c>
      <c r="AM809" t="str">
        <f>"10"</f>
        <v>10</v>
      </c>
      <c r="AN809" t="str">
        <f>"500000"</f>
        <v>500000</v>
      </c>
      <c r="AO809" t="str">
        <f>"הכנסות  מלקוחות"</f>
        <v>הכנסות  מלקוחות</v>
      </c>
      <c r="AQ809" t="str">
        <f>"040"</f>
        <v>040</v>
      </c>
      <c r="AR809">
        <v>0</v>
      </c>
      <c r="AS809">
        <v>0</v>
      </c>
      <c r="AT809">
        <v>3.5569999999999999</v>
      </c>
      <c r="BB809" t="str">
        <f>"Y"</f>
        <v>Y</v>
      </c>
      <c r="BD809" t="str">
        <f>"רחמים זרוק"</f>
        <v>רחמים זרוק</v>
      </c>
    </row>
    <row r="810" spans="1:56" x14ac:dyDescent="0.3">
      <c r="A810" s="1">
        <v>45013</v>
      </c>
      <c r="B810" t="str">
        <f>"SI236000495"</f>
        <v>SI236000495</v>
      </c>
      <c r="C810" t="str">
        <f>"PR22000828"</f>
        <v>PR22000828</v>
      </c>
      <c r="E810" t="str">
        <f>"Y"</f>
        <v>Y</v>
      </c>
      <c r="F810" t="str">
        <f>"חשבוניות מרכזות"</f>
        <v>חשבוניות מרכזות</v>
      </c>
      <c r="G810" t="str">
        <f>"700065"</f>
        <v>700065</v>
      </c>
      <c r="H810" t="str">
        <f>"אלתא מערכות בע""מ"</f>
        <v>אלתא מערכות בע"מ</v>
      </c>
      <c r="I810" t="str">
        <f>"15"</f>
        <v>15</v>
      </c>
      <c r="J810" t="str">
        <f>"OP-AR03414"</f>
        <v>OP-AR03414</v>
      </c>
      <c r="K810" t="str">
        <f>"2219B550-001    AURA HP ELECTRONIC LOAD CABLE"</f>
        <v>2219B550-001    AURA HP ELECTRONIC LOAD CABLE</v>
      </c>
      <c r="L810">
        <v>1</v>
      </c>
      <c r="M810" t="str">
        <f>"יח"</f>
        <v>יח</v>
      </c>
      <c r="N810">
        <v>1</v>
      </c>
      <c r="O810" t="str">
        <f>"יח"</f>
        <v>יח</v>
      </c>
      <c r="P810">
        <v>335.7</v>
      </c>
      <c r="Q810" t="str">
        <f>"$"</f>
        <v>$</v>
      </c>
      <c r="R810" t="str">
        <f>"הזמנה"</f>
        <v>הזמנה</v>
      </c>
      <c r="S810">
        <v>0</v>
      </c>
      <c r="T810">
        <v>335.7</v>
      </c>
      <c r="U810">
        <v>0</v>
      </c>
      <c r="V810">
        <v>335.7</v>
      </c>
      <c r="W810" t="str">
        <f>"$"</f>
        <v>$</v>
      </c>
      <c r="X810">
        <v>0</v>
      </c>
      <c r="Y810">
        <v>0</v>
      </c>
      <c r="Z810">
        <v>0</v>
      </c>
      <c r="AA810" t="str">
        <f>"Y"</f>
        <v>Y</v>
      </c>
      <c r="AB810" t="str">
        <f>"SO22000421"</f>
        <v>SO22000421</v>
      </c>
      <c r="AC810">
        <v>1</v>
      </c>
      <c r="AD810" s="1">
        <v>44892</v>
      </c>
      <c r="AE810" t="str">
        <f>"SH23000430"</f>
        <v>SH23000430</v>
      </c>
      <c r="AF810" t="str">
        <f>"משלוחים ללקוח"</f>
        <v>משלוחים ללקוח</v>
      </c>
      <c r="AG810" s="1">
        <v>45013</v>
      </c>
      <c r="AM810" t="str">
        <f>"10"</f>
        <v>10</v>
      </c>
      <c r="AN810" t="str">
        <f>"500000"</f>
        <v>500000</v>
      </c>
      <c r="AO810" t="str">
        <f>"הכנסות  מלקוחות"</f>
        <v>הכנסות  מלקוחות</v>
      </c>
      <c r="AQ810" t="str">
        <f>"040"</f>
        <v>040</v>
      </c>
      <c r="AR810">
        <v>0</v>
      </c>
      <c r="AS810">
        <v>0</v>
      </c>
      <c r="AT810">
        <v>3.5339999999999998</v>
      </c>
      <c r="AX810" t="str">
        <f>"E000378946"</f>
        <v>E000378946</v>
      </c>
      <c r="BD810" t="str">
        <f>"רחמים זרוק"</f>
        <v>רחמים זרוק</v>
      </c>
    </row>
    <row r="811" spans="1:56" x14ac:dyDescent="0.3">
      <c r="A811" s="1">
        <v>45013</v>
      </c>
      <c r="B811" t="str">
        <f>"SI236000494"</f>
        <v>SI236000494</v>
      </c>
      <c r="C811" t="str">
        <f>"PR22000636"</f>
        <v>PR22000636</v>
      </c>
      <c r="E811" t="str">
        <f>"Y"</f>
        <v>Y</v>
      </c>
      <c r="F811" t="str">
        <f>"חשבוניות מרכזות"</f>
        <v>חשבוניות מרכזות</v>
      </c>
      <c r="G811" t="str">
        <f>"700065"</f>
        <v>700065</v>
      </c>
      <c r="H811" t="str">
        <f>"אלתא מערכות בע""מ"</f>
        <v>אלתא מערכות בע"מ</v>
      </c>
      <c r="I811" t="str">
        <f>"15"</f>
        <v>15</v>
      </c>
      <c r="J811" t="str">
        <f>"OP-AR03356"</f>
        <v>OP-AR03356</v>
      </c>
      <c r="K811" t="str">
        <f>"2120B015-001    AMP CONT. CABLE ASSY"</f>
        <v>2120B015-001    AMP CONT. CABLE ASSY</v>
      </c>
      <c r="L811">
        <v>1</v>
      </c>
      <c r="M811" t="str">
        <f>"יח"</f>
        <v>יח</v>
      </c>
      <c r="N811">
        <v>1</v>
      </c>
      <c r="O811" t="str">
        <f>"יח"</f>
        <v>יח</v>
      </c>
      <c r="P811">
        <v>180.23</v>
      </c>
      <c r="Q811" t="str">
        <f>"$"</f>
        <v>$</v>
      </c>
      <c r="R811" t="str">
        <f>"הזמנה"</f>
        <v>הזמנה</v>
      </c>
      <c r="S811">
        <v>0</v>
      </c>
      <c r="T811">
        <v>180.23</v>
      </c>
      <c r="U811">
        <v>0</v>
      </c>
      <c r="V811">
        <v>180.23</v>
      </c>
      <c r="W811" t="str">
        <f>"$"</f>
        <v>$</v>
      </c>
      <c r="X811">
        <v>0</v>
      </c>
      <c r="Y811">
        <v>0</v>
      </c>
      <c r="Z811">
        <v>0</v>
      </c>
      <c r="AA811" t="str">
        <f>"Y"</f>
        <v>Y</v>
      </c>
      <c r="AB811" t="str">
        <f>"SO22000376"</f>
        <v>SO22000376</v>
      </c>
      <c r="AC811">
        <v>2</v>
      </c>
      <c r="AD811" s="1">
        <v>44847</v>
      </c>
      <c r="AE811" t="str">
        <f>"SH23000429"</f>
        <v>SH23000429</v>
      </c>
      <c r="AF811" t="str">
        <f>"משלוחים ללקוח"</f>
        <v>משלוחים ללקוח</v>
      </c>
      <c r="AG811" s="1">
        <v>45013</v>
      </c>
      <c r="AM811" t="str">
        <f>"10"</f>
        <v>10</v>
      </c>
      <c r="AN811" t="str">
        <f>"500000"</f>
        <v>500000</v>
      </c>
      <c r="AO811" t="str">
        <f>"הכנסות  מלקוחות"</f>
        <v>הכנסות  מלקוחות</v>
      </c>
      <c r="AQ811" t="str">
        <f>"040"</f>
        <v>040</v>
      </c>
      <c r="AR811">
        <v>0</v>
      </c>
      <c r="AS811">
        <v>0</v>
      </c>
      <c r="AT811">
        <v>3.5339999999999998</v>
      </c>
      <c r="AX811" t="str">
        <f>"E000375229"</f>
        <v>E000375229</v>
      </c>
      <c r="BD811" t="str">
        <f>"רחמים זרוק"</f>
        <v>רחמים זרוק</v>
      </c>
    </row>
    <row r="812" spans="1:56" x14ac:dyDescent="0.3">
      <c r="A812" s="1">
        <v>45013</v>
      </c>
      <c r="B812" t="str">
        <f>"SI236000476"</f>
        <v>SI236000476</v>
      </c>
      <c r="C812" t="str">
        <f>"PR22000199"</f>
        <v>PR22000199</v>
      </c>
      <c r="E812" t="str">
        <f>"Y"</f>
        <v>Y</v>
      </c>
      <c r="F812" t="str">
        <f>"חשבוניות מרכזות"</f>
        <v>חשבוניות מרכזות</v>
      </c>
      <c r="G812" t="str">
        <f>"700065"</f>
        <v>700065</v>
      </c>
      <c r="H812" t="str">
        <f>"אלתא מערכות בע""מ"</f>
        <v>אלתא מערכות בע"מ</v>
      </c>
      <c r="I812" t="str">
        <f>"05"</f>
        <v>05</v>
      </c>
      <c r="J812" t="str">
        <f>"OP-AR03243"</f>
        <v>OP-AR03243</v>
      </c>
      <c r="K812" t="str">
        <f>"320VDC 96KW SYSTEM"</f>
        <v>320VDC 96KW SYSTEM</v>
      </c>
      <c r="L812">
        <v>1</v>
      </c>
      <c r="M812" t="str">
        <f>"יח"</f>
        <v>יח</v>
      </c>
      <c r="N812">
        <v>1</v>
      </c>
      <c r="O812" t="str">
        <f>"יח"</f>
        <v>יח</v>
      </c>
      <c r="P812" s="2">
        <v>37528</v>
      </c>
      <c r="Q812" t="str">
        <f>"$"</f>
        <v>$</v>
      </c>
      <c r="R812" t="str">
        <f>"הזמנה"</f>
        <v>הזמנה</v>
      </c>
      <c r="S812">
        <v>0</v>
      </c>
      <c r="T812" s="2">
        <v>37528</v>
      </c>
      <c r="U812">
        <v>0</v>
      </c>
      <c r="V812" s="2">
        <v>37528</v>
      </c>
      <c r="W812" t="str">
        <f>"$"</f>
        <v>$</v>
      </c>
      <c r="X812">
        <v>0</v>
      </c>
      <c r="Y812">
        <v>0</v>
      </c>
      <c r="Z812">
        <v>0</v>
      </c>
      <c r="AA812" t="str">
        <f>"Y"</f>
        <v>Y</v>
      </c>
      <c r="AB812" t="str">
        <f>"SO22000082"</f>
        <v>SO22000082</v>
      </c>
      <c r="AC812">
        <v>2</v>
      </c>
      <c r="AD812" s="1">
        <v>44622</v>
      </c>
      <c r="AE812" t="str">
        <f>"SH23000434"</f>
        <v>SH23000434</v>
      </c>
      <c r="AF812" t="str">
        <f>"משלוחים ללקוח"</f>
        <v>משלוחים ללקוח</v>
      </c>
      <c r="AG812" s="1">
        <v>45013</v>
      </c>
      <c r="AM812" t="str">
        <f>"10"</f>
        <v>10</v>
      </c>
      <c r="AN812" t="str">
        <f>"500000"</f>
        <v>500000</v>
      </c>
      <c r="AO812" t="str">
        <f>"הכנסות  מלקוחות"</f>
        <v>הכנסות  מלקוחות</v>
      </c>
      <c r="AQ812" t="str">
        <f>"034"</f>
        <v>034</v>
      </c>
      <c r="AR812">
        <v>0</v>
      </c>
      <c r="AS812">
        <v>0</v>
      </c>
      <c r="AT812">
        <v>3.5339999999999998</v>
      </c>
      <c r="AX812" t="str">
        <f>"E000358717"</f>
        <v>E000358717</v>
      </c>
      <c r="BD812" t="str">
        <f>"ערן שלו"</f>
        <v>ערן שלו</v>
      </c>
    </row>
    <row r="813" spans="1:56" x14ac:dyDescent="0.3">
      <c r="A813" s="1">
        <v>45013</v>
      </c>
      <c r="B813" t="str">
        <f>"SI236000476"</f>
        <v>SI236000476</v>
      </c>
      <c r="C813" t="str">
        <f>"PR22000199"</f>
        <v>PR22000199</v>
      </c>
      <c r="E813" t="str">
        <f>"Y"</f>
        <v>Y</v>
      </c>
      <c r="F813" t="str">
        <f>"חשבוניות מרכזות"</f>
        <v>חשבוניות מרכזות</v>
      </c>
      <c r="G813" t="str">
        <f>"700065"</f>
        <v>700065</v>
      </c>
      <c r="H813" t="str">
        <f>"אלתא מערכות בע""מ"</f>
        <v>אלתא מערכות בע"מ</v>
      </c>
      <c r="I813" t="str">
        <f>"05"</f>
        <v>05</v>
      </c>
      <c r="J813" t="str">
        <f>"OP-AR03243"</f>
        <v>OP-AR03243</v>
      </c>
      <c r="K813" t="str">
        <f>"320VDC 96KW SYSTEM"</f>
        <v>320VDC 96KW SYSTEM</v>
      </c>
      <c r="L813">
        <v>1</v>
      </c>
      <c r="M813" t="str">
        <f>"יח"</f>
        <v>יח</v>
      </c>
      <c r="N813">
        <v>1</v>
      </c>
      <c r="O813" t="str">
        <f>"יח"</f>
        <v>יח</v>
      </c>
      <c r="P813" s="2">
        <v>37528</v>
      </c>
      <c r="Q813" t="str">
        <f>"$"</f>
        <v>$</v>
      </c>
      <c r="R813" t="str">
        <f>"הזמנה"</f>
        <v>הזמנה</v>
      </c>
      <c r="S813">
        <v>0</v>
      </c>
      <c r="T813" s="2">
        <v>37528</v>
      </c>
      <c r="U813">
        <v>0</v>
      </c>
      <c r="V813" s="2">
        <v>37528</v>
      </c>
      <c r="W813" t="str">
        <f>"$"</f>
        <v>$</v>
      </c>
      <c r="X813">
        <v>0</v>
      </c>
      <c r="Y813">
        <v>0</v>
      </c>
      <c r="Z813">
        <v>0</v>
      </c>
      <c r="AA813" t="str">
        <f>"Y"</f>
        <v>Y</v>
      </c>
      <c r="AB813" t="str">
        <f>"SO22000082"</f>
        <v>SO22000082</v>
      </c>
      <c r="AC813">
        <v>4</v>
      </c>
      <c r="AD813" s="1">
        <v>44622</v>
      </c>
      <c r="AE813" t="str">
        <f>"SH23000434"</f>
        <v>SH23000434</v>
      </c>
      <c r="AF813" t="str">
        <f>"משלוחים ללקוח"</f>
        <v>משלוחים ללקוח</v>
      </c>
      <c r="AG813" s="1">
        <v>45013</v>
      </c>
      <c r="AM813" t="str">
        <f>"10"</f>
        <v>10</v>
      </c>
      <c r="AN813" t="str">
        <f>"500000"</f>
        <v>500000</v>
      </c>
      <c r="AO813" t="str">
        <f>"הכנסות  מלקוחות"</f>
        <v>הכנסות  מלקוחות</v>
      </c>
      <c r="AQ813" t="str">
        <f>"034"</f>
        <v>034</v>
      </c>
      <c r="AR813">
        <v>0</v>
      </c>
      <c r="AS813">
        <v>0</v>
      </c>
      <c r="AT813">
        <v>3.5339999999999998</v>
      </c>
      <c r="AX813" t="str">
        <f>"E000358717"</f>
        <v>E000358717</v>
      </c>
      <c r="BD813" t="str">
        <f>"ערן שלו"</f>
        <v>ערן שלו</v>
      </c>
    </row>
    <row r="814" spans="1:56" x14ac:dyDescent="0.3">
      <c r="A814" s="1">
        <v>45013</v>
      </c>
      <c r="B814" t="str">
        <f>"SI236000449"</f>
        <v>SI236000449</v>
      </c>
      <c r="E814" t="str">
        <f>"Y"</f>
        <v>Y</v>
      </c>
      <c r="F814" t="str">
        <f>"חשבוניות מרכזות"</f>
        <v>חשבוניות מרכזות</v>
      </c>
      <c r="G814" t="str">
        <f>"700065"</f>
        <v>700065</v>
      </c>
      <c r="H814" t="str">
        <f>"אלתא מערכות בע""מ"</f>
        <v>אלתא מערכות בע"מ</v>
      </c>
      <c r="I814" t="str">
        <f>"15"</f>
        <v>15</v>
      </c>
      <c r="J814" t="str">
        <f>"OP-AR03393"</f>
        <v>OP-AR03393</v>
      </c>
      <c r="K814" t="str">
        <f>"2212B620-001    WGNG2 CABLE ASSY"</f>
        <v>2212B620-001    WGNG2 CABLE ASSY</v>
      </c>
      <c r="L814">
        <v>2</v>
      </c>
      <c r="M814" t="str">
        <f>"יח"</f>
        <v>יח</v>
      </c>
      <c r="N814">
        <v>2</v>
      </c>
      <c r="O814" t="str">
        <f>"יח"</f>
        <v>יח</v>
      </c>
      <c r="P814" s="2">
        <v>1272.83</v>
      </c>
      <c r="Q814" t="str">
        <f>"$"</f>
        <v>$</v>
      </c>
      <c r="R814" t="str">
        <f>"הזמנה"</f>
        <v>הזמנה</v>
      </c>
      <c r="S814">
        <v>0</v>
      </c>
      <c r="T814" s="2">
        <v>2545.66</v>
      </c>
      <c r="U814">
        <v>0</v>
      </c>
      <c r="V814" s="2">
        <v>2545.66</v>
      </c>
      <c r="W814" t="str">
        <f>"$"</f>
        <v>$</v>
      </c>
      <c r="X814">
        <v>0</v>
      </c>
      <c r="Y814">
        <v>0</v>
      </c>
      <c r="Z814">
        <v>0</v>
      </c>
      <c r="AA814" t="str">
        <f>"Y"</f>
        <v>Y</v>
      </c>
      <c r="AC814">
        <v>0</v>
      </c>
      <c r="AM814" t="str">
        <f>"10"</f>
        <v>10</v>
      </c>
      <c r="AN814" t="str">
        <f>"500000"</f>
        <v>500000</v>
      </c>
      <c r="AO814" t="str">
        <f>"הכנסות  מלקוחות"</f>
        <v>הכנסות  מלקוחות</v>
      </c>
      <c r="AQ814" t="str">
        <f>"040"</f>
        <v>040</v>
      </c>
      <c r="AR814">
        <v>0</v>
      </c>
      <c r="AS814">
        <v>0</v>
      </c>
      <c r="AT814">
        <v>3.5569999999999999</v>
      </c>
      <c r="BB814" t="str">
        <f>"Y"</f>
        <v>Y</v>
      </c>
      <c r="BD814" t="str">
        <f>"רחמים זרוק"</f>
        <v>רחמים זרוק</v>
      </c>
    </row>
    <row r="815" spans="1:56" x14ac:dyDescent="0.3">
      <c r="A815" s="1">
        <v>45013</v>
      </c>
      <c r="B815" t="str">
        <f>"SI236000449"</f>
        <v>SI236000449</v>
      </c>
      <c r="E815" t="str">
        <f>"Y"</f>
        <v>Y</v>
      </c>
      <c r="F815" t="str">
        <f>"חשבוניות מרכזות"</f>
        <v>חשבוניות מרכזות</v>
      </c>
      <c r="G815" t="str">
        <f>"700065"</f>
        <v>700065</v>
      </c>
      <c r="H815" t="str">
        <f>"אלתא מערכות בע""מ"</f>
        <v>אלתא מערכות בע"מ</v>
      </c>
      <c r="I815" t="str">
        <f>"15"</f>
        <v>15</v>
      </c>
      <c r="J815" t="str">
        <f>"OP-AR03395"</f>
        <v>OP-AR03395</v>
      </c>
      <c r="K815" t="str">
        <f>"2227B394-001    HARNESS W394 - LVCS TO ANT POWER"</f>
        <v>2227B394-001    HARNESS W394 - LVCS TO ANT POWER</v>
      </c>
      <c r="L815">
        <v>2</v>
      </c>
      <c r="M815" t="str">
        <f>"יח"</f>
        <v>יח</v>
      </c>
      <c r="N815">
        <v>2</v>
      </c>
      <c r="O815" t="str">
        <f>"יח"</f>
        <v>יח</v>
      </c>
      <c r="P815">
        <v>673.87</v>
      </c>
      <c r="Q815" t="str">
        <f>"$"</f>
        <v>$</v>
      </c>
      <c r="R815" t="str">
        <f>"הזמנה"</f>
        <v>הזמנה</v>
      </c>
      <c r="S815">
        <v>0</v>
      </c>
      <c r="T815" s="2">
        <v>1347.74</v>
      </c>
      <c r="U815">
        <v>0</v>
      </c>
      <c r="V815" s="2">
        <v>1347.74</v>
      </c>
      <c r="W815" t="str">
        <f>"$"</f>
        <v>$</v>
      </c>
      <c r="X815">
        <v>0</v>
      </c>
      <c r="Y815">
        <v>0</v>
      </c>
      <c r="Z815">
        <v>0</v>
      </c>
      <c r="AA815" t="str">
        <f>"Y"</f>
        <v>Y</v>
      </c>
      <c r="AC815">
        <v>0</v>
      </c>
      <c r="AM815" t="str">
        <f>"10"</f>
        <v>10</v>
      </c>
      <c r="AN815" t="str">
        <f>"500000"</f>
        <v>500000</v>
      </c>
      <c r="AO815" t="str">
        <f>"הכנסות  מלקוחות"</f>
        <v>הכנסות  מלקוחות</v>
      </c>
      <c r="AQ815" t="str">
        <f>"040"</f>
        <v>040</v>
      </c>
      <c r="AR815">
        <v>0</v>
      </c>
      <c r="AS815">
        <v>0</v>
      </c>
      <c r="AT815">
        <v>3.5569999999999999</v>
      </c>
      <c r="BB815" t="str">
        <f>"Y"</f>
        <v>Y</v>
      </c>
      <c r="BD815" t="str">
        <f>"רחמים זרוק"</f>
        <v>רחמים זרוק</v>
      </c>
    </row>
    <row r="816" spans="1:56" x14ac:dyDescent="0.3">
      <c r="A816" s="1">
        <v>45013</v>
      </c>
      <c r="B816" t="str">
        <f>"SI236000449"</f>
        <v>SI236000449</v>
      </c>
      <c r="E816" t="str">
        <f>"Y"</f>
        <v>Y</v>
      </c>
      <c r="F816" t="str">
        <f>"חשבוניות מרכזות"</f>
        <v>חשבוניות מרכזות</v>
      </c>
      <c r="G816" t="str">
        <f>"700065"</f>
        <v>700065</v>
      </c>
      <c r="H816" t="str">
        <f>"אלתא מערכות בע""מ"</f>
        <v>אלתא מערכות בע"מ</v>
      </c>
      <c r="I816" t="str">
        <f>"15"</f>
        <v>15</v>
      </c>
      <c r="J816" t="str">
        <f>"OP-AR03397"</f>
        <v>OP-AR03397</v>
      </c>
      <c r="K816" t="str">
        <f>"2227B398-001    HARNESS W398 - LVCS TO ANT POWER"</f>
        <v>2227B398-001    HARNESS W398 - LVCS TO ANT POWER</v>
      </c>
      <c r="L816">
        <v>2</v>
      </c>
      <c r="M816" t="str">
        <f>"יח"</f>
        <v>יח</v>
      </c>
      <c r="N816">
        <v>2</v>
      </c>
      <c r="O816" t="str">
        <f>"יח"</f>
        <v>יח</v>
      </c>
      <c r="P816">
        <v>673.87</v>
      </c>
      <c r="Q816" t="str">
        <f>"$"</f>
        <v>$</v>
      </c>
      <c r="R816" t="str">
        <f>"הזמנה"</f>
        <v>הזמנה</v>
      </c>
      <c r="S816">
        <v>0</v>
      </c>
      <c r="T816" s="2">
        <v>1347.74</v>
      </c>
      <c r="U816">
        <v>0</v>
      </c>
      <c r="V816" s="2">
        <v>1347.74</v>
      </c>
      <c r="W816" t="str">
        <f>"$"</f>
        <v>$</v>
      </c>
      <c r="X816">
        <v>0</v>
      </c>
      <c r="Y816">
        <v>0</v>
      </c>
      <c r="Z816">
        <v>0</v>
      </c>
      <c r="AA816" t="str">
        <f>"Y"</f>
        <v>Y</v>
      </c>
      <c r="AC816">
        <v>0</v>
      </c>
      <c r="AM816" t="str">
        <f>"10"</f>
        <v>10</v>
      </c>
      <c r="AN816" t="str">
        <f>"500000"</f>
        <v>500000</v>
      </c>
      <c r="AO816" t="str">
        <f>"הכנסות  מלקוחות"</f>
        <v>הכנסות  מלקוחות</v>
      </c>
      <c r="AQ816" t="str">
        <f>"040"</f>
        <v>040</v>
      </c>
      <c r="AR816">
        <v>0</v>
      </c>
      <c r="AS816">
        <v>0</v>
      </c>
      <c r="AT816">
        <v>3.5569999999999999</v>
      </c>
      <c r="BB816" t="str">
        <f>"Y"</f>
        <v>Y</v>
      </c>
      <c r="BD816" t="str">
        <f>"רחמים זרוק"</f>
        <v>רחמים זרוק</v>
      </c>
    </row>
    <row r="817" spans="1:56" x14ac:dyDescent="0.3">
      <c r="A817" s="1">
        <v>45012</v>
      </c>
      <c r="B817" t="str">
        <f>"SI236000493"</f>
        <v>SI236000493</v>
      </c>
      <c r="C817" t="str">
        <f>"PR22000694"</f>
        <v>PR22000694</v>
      </c>
      <c r="E817" t="str">
        <f>"Y"</f>
        <v>Y</v>
      </c>
      <c r="F817" t="str">
        <f>"חשבוניות מרכזות"</f>
        <v>חשבוניות מרכזות</v>
      </c>
      <c r="G817" t="str">
        <f>"700065"</f>
        <v>700065</v>
      </c>
      <c r="H817" t="str">
        <f>"אלתא מערכות בע""מ"</f>
        <v>אלתא מערכות בע"מ</v>
      </c>
      <c r="I817" t="str">
        <f>"10"</f>
        <v>10</v>
      </c>
      <c r="J817" t="str">
        <f>"999"</f>
        <v>999</v>
      </c>
      <c r="K817" t="str">
        <f>"יתד הארקה RPU"</f>
        <v>יתד הארקה RPU</v>
      </c>
      <c r="L817">
        <v>0.875</v>
      </c>
      <c r="M817" t="str">
        <f>"חל"</f>
        <v>חל</v>
      </c>
      <c r="N817">
        <v>0.875</v>
      </c>
      <c r="O817" t="str">
        <f>"חל"</f>
        <v>חל</v>
      </c>
      <c r="P817" s="2">
        <v>13968</v>
      </c>
      <c r="Q817" t="str">
        <f>"$"</f>
        <v>$</v>
      </c>
      <c r="R817" t="str">
        <f>"הזמנה"</f>
        <v>הזמנה</v>
      </c>
      <c r="S817">
        <v>0</v>
      </c>
      <c r="T817" s="2">
        <v>12222</v>
      </c>
      <c r="U817">
        <v>0</v>
      </c>
      <c r="V817" s="2">
        <v>12222</v>
      </c>
      <c r="W817" t="str">
        <f>"$"</f>
        <v>$</v>
      </c>
      <c r="X817">
        <v>0</v>
      </c>
      <c r="Y817">
        <v>0</v>
      </c>
      <c r="Z817">
        <v>0</v>
      </c>
      <c r="AA817" t="str">
        <f>"Y"</f>
        <v>Y</v>
      </c>
      <c r="AB817" t="str">
        <f>"SO22000441"</f>
        <v>SO22000441</v>
      </c>
      <c r="AC817">
        <v>7</v>
      </c>
      <c r="AD817" s="1">
        <v>44900</v>
      </c>
      <c r="AE817" t="str">
        <f>"SH23000418"</f>
        <v>SH23000418</v>
      </c>
      <c r="AF817" t="str">
        <f>"משלוחים ללקוח"</f>
        <v>משלוחים ללקוח</v>
      </c>
      <c r="AG817" s="1">
        <v>45012</v>
      </c>
      <c r="AM817" t="str">
        <f>"10"</f>
        <v>10</v>
      </c>
      <c r="AN817" t="str">
        <f>"500000"</f>
        <v>500000</v>
      </c>
      <c r="AO817" t="str">
        <f>"הכנסות  מלקוחות"</f>
        <v>הכנסות  מלקוחות</v>
      </c>
      <c r="AQ817" t="str">
        <f>"034"</f>
        <v>034</v>
      </c>
      <c r="AR817">
        <v>0</v>
      </c>
      <c r="AS817">
        <v>0</v>
      </c>
      <c r="AT817">
        <v>3.5569999999999999</v>
      </c>
      <c r="AX817" t="str">
        <f>"E000377788"</f>
        <v>E000377788</v>
      </c>
      <c r="BD817" t="str">
        <f>"ערן שלו"</f>
        <v>ערן שלו</v>
      </c>
    </row>
    <row r="818" spans="1:56" x14ac:dyDescent="0.3">
      <c r="A818" s="1">
        <v>45012</v>
      </c>
      <c r="B818" t="str">
        <f>"SI236000429"</f>
        <v>SI236000429</v>
      </c>
      <c r="E818" t="str">
        <f>"Y"</f>
        <v>Y</v>
      </c>
      <c r="F818" t="str">
        <f>"חשבוניות מרכזות"</f>
        <v>חשבוניות מרכזות</v>
      </c>
      <c r="G818" t="str">
        <f>"700065"</f>
        <v>700065</v>
      </c>
      <c r="H818" t="str">
        <f>"אלתא מערכות בע""מ"</f>
        <v>אלתא מערכות בע"מ</v>
      </c>
      <c r="I818" t="str">
        <f>"10"</f>
        <v>10</v>
      </c>
      <c r="J818" t="str">
        <f>"000"</f>
        <v>000</v>
      </c>
      <c r="K818" t="str">
        <f>"החלפת UPS 1 באתר הלקוח בצ'כיה"</f>
        <v>החלפת UPS 1 באתר הלקוח בצ'כיה</v>
      </c>
      <c r="L818">
        <v>1</v>
      </c>
      <c r="M818" t="str">
        <f>"יח"</f>
        <v>יח</v>
      </c>
      <c r="N818">
        <v>1</v>
      </c>
      <c r="O818" t="str">
        <f>"יח"</f>
        <v>יח</v>
      </c>
      <c r="P818" s="2">
        <v>14400</v>
      </c>
      <c r="Q818" t="str">
        <f>"$"</f>
        <v>$</v>
      </c>
      <c r="R818" t="str">
        <f>"הזמנה"</f>
        <v>הזמנה</v>
      </c>
      <c r="S818">
        <v>0</v>
      </c>
      <c r="T818" s="2">
        <v>14400</v>
      </c>
      <c r="U818">
        <v>0</v>
      </c>
      <c r="V818" s="2">
        <v>14400</v>
      </c>
      <c r="W818" t="str">
        <f>"$"</f>
        <v>$</v>
      </c>
      <c r="X818">
        <v>0</v>
      </c>
      <c r="Y818">
        <v>0</v>
      </c>
      <c r="Z818">
        <v>0</v>
      </c>
      <c r="AA818" t="str">
        <f>"Y"</f>
        <v>Y</v>
      </c>
      <c r="AB818" t="str">
        <f>"SO22000489"</f>
        <v>SO22000489</v>
      </c>
      <c r="AC818">
        <v>7</v>
      </c>
      <c r="AD818" s="1">
        <v>44922</v>
      </c>
      <c r="AM818" t="str">
        <f>"10"</f>
        <v>10</v>
      </c>
      <c r="AN818" t="str">
        <f>"500000"</f>
        <v>500000</v>
      </c>
      <c r="AO818" t="str">
        <f>"הכנסות  מלקוחות"</f>
        <v>הכנסות  מלקוחות</v>
      </c>
      <c r="AQ818" t="str">
        <f>"040"</f>
        <v>040</v>
      </c>
      <c r="AR818">
        <v>0</v>
      </c>
      <c r="AS818">
        <v>0</v>
      </c>
      <c r="AT818">
        <v>3.6280000000000001</v>
      </c>
      <c r="AX818" t="str">
        <f>"E000382417"</f>
        <v>E000382417</v>
      </c>
      <c r="BD818" t="str">
        <f>"רחמים זרוק"</f>
        <v>רחמים זרוק</v>
      </c>
    </row>
    <row r="819" spans="1:56" x14ac:dyDescent="0.3">
      <c r="A819" s="1">
        <v>45012</v>
      </c>
      <c r="B819" t="str">
        <f>"SI236000428"</f>
        <v>SI236000428</v>
      </c>
      <c r="E819" t="str">
        <f>"Y"</f>
        <v>Y</v>
      </c>
      <c r="F819" t="str">
        <f>"חשבוניות מרכזות"</f>
        <v>חשבוניות מרכזות</v>
      </c>
      <c r="G819" t="str">
        <f>"700065"</f>
        <v>700065</v>
      </c>
      <c r="H819" t="str">
        <f>"אלתא מערכות בע""מ"</f>
        <v>אלתא מערכות בע"מ</v>
      </c>
      <c r="I819" t="str">
        <f>"10"</f>
        <v>10</v>
      </c>
      <c r="J819" t="str">
        <f>"000"</f>
        <v>000</v>
      </c>
      <c r="K819" t="str">
        <f>"וספת עבור מארז מיישרים    11X4,500 +  9,900"</f>
        <v>וספת עבור מארז מיישרים    11X4,500 +  9,900</v>
      </c>
      <c r="L819">
        <v>1</v>
      </c>
      <c r="M819" t="str">
        <f>"יח"</f>
        <v>יח</v>
      </c>
      <c r="N819">
        <v>1</v>
      </c>
      <c r="O819" t="str">
        <f>"יח"</f>
        <v>יח</v>
      </c>
      <c r="P819" s="2">
        <v>59400</v>
      </c>
      <c r="Q819" t="str">
        <f>"$"</f>
        <v>$</v>
      </c>
      <c r="R819" t="str">
        <f>"הזמנה"</f>
        <v>הזמנה</v>
      </c>
      <c r="S819">
        <v>0</v>
      </c>
      <c r="T819" s="2">
        <v>59400</v>
      </c>
      <c r="U819">
        <v>0</v>
      </c>
      <c r="V819" s="2">
        <v>59400</v>
      </c>
      <c r="W819" t="str">
        <f>"$"</f>
        <v>$</v>
      </c>
      <c r="X819">
        <v>0</v>
      </c>
      <c r="Y819">
        <v>0</v>
      </c>
      <c r="Z819">
        <v>0</v>
      </c>
      <c r="AA819" t="str">
        <f>"Y"</f>
        <v>Y</v>
      </c>
      <c r="AB819" t="str">
        <f>"SO23000149"</f>
        <v>SO23000149</v>
      </c>
      <c r="AC819">
        <v>1</v>
      </c>
      <c r="AD819" s="1">
        <v>44998</v>
      </c>
      <c r="AM819" t="str">
        <f>"10"</f>
        <v>10</v>
      </c>
      <c r="AN819" t="str">
        <f>"500000"</f>
        <v>500000</v>
      </c>
      <c r="AO819" t="str">
        <f>"הכנסות  מלקוחות"</f>
        <v>הכנסות  מלקוחות</v>
      </c>
      <c r="AQ819" t="str">
        <f>"007"</f>
        <v>007</v>
      </c>
      <c r="AR819">
        <v>0</v>
      </c>
      <c r="AS819">
        <v>0</v>
      </c>
      <c r="AT819">
        <v>3.6280000000000001</v>
      </c>
      <c r="AX819" t="str">
        <f>"E000389164"</f>
        <v>E000389164</v>
      </c>
      <c r="BD819" t="str">
        <f>"רוני דידי"</f>
        <v>רוני דידי</v>
      </c>
    </row>
    <row r="820" spans="1:56" x14ac:dyDescent="0.3">
      <c r="A820" s="1">
        <v>45012</v>
      </c>
      <c r="B820" t="str">
        <f>"SI236000427"</f>
        <v>SI236000427</v>
      </c>
      <c r="E820" t="str">
        <f>"Y"</f>
        <v>Y</v>
      </c>
      <c r="F820" t="str">
        <f>"חשבוניות מרכזות"</f>
        <v>חשבוניות מרכזות</v>
      </c>
      <c r="G820" t="str">
        <f>"700065"</f>
        <v>700065</v>
      </c>
      <c r="H820" t="str">
        <f>"אלתא מערכות בע""מ"</f>
        <v>אלתא מערכות בע"מ</v>
      </c>
      <c r="I820" t="str">
        <f>"10"</f>
        <v>10</v>
      </c>
      <c r="J820" t="str">
        <f>"000"</f>
        <v>000</v>
      </c>
      <c r="K820" t="str">
        <f>"תת שורה 20  שדרוג מארז"</f>
        <v>תת שורה 20  שדרוג מארז</v>
      </c>
      <c r="L820">
        <v>-1</v>
      </c>
      <c r="M820" t="str">
        <f>"יח"</f>
        <v>יח</v>
      </c>
      <c r="N820">
        <v>-1</v>
      </c>
      <c r="O820" t="str">
        <f>"יח"</f>
        <v>יח</v>
      </c>
      <c r="P820" s="2">
        <v>9900</v>
      </c>
      <c r="Q820" t="str">
        <f>"$"</f>
        <v>$</v>
      </c>
      <c r="R820" t="str">
        <f>"הזמנה"</f>
        <v>הזמנה</v>
      </c>
      <c r="S820">
        <v>0</v>
      </c>
      <c r="T820" s="2">
        <v>-9900</v>
      </c>
      <c r="U820">
        <v>0</v>
      </c>
      <c r="V820" s="2">
        <v>-9900</v>
      </c>
      <c r="W820" t="str">
        <f>"$"</f>
        <v>$</v>
      </c>
      <c r="X820">
        <v>0</v>
      </c>
      <c r="Y820">
        <v>0</v>
      </c>
      <c r="Z820">
        <v>0</v>
      </c>
      <c r="AA820" t="str">
        <f>"Y"</f>
        <v>Y</v>
      </c>
      <c r="AC820">
        <v>0</v>
      </c>
      <c r="AM820" t="str">
        <f>"10"</f>
        <v>10</v>
      </c>
      <c r="AN820" t="str">
        <f>"500000"</f>
        <v>500000</v>
      </c>
      <c r="AO820" t="str">
        <f>"הכנסות  מלקוחות"</f>
        <v>הכנסות  מלקוחות</v>
      </c>
      <c r="AQ820" t="str">
        <f>"007"</f>
        <v>007</v>
      </c>
      <c r="AR820">
        <v>0</v>
      </c>
      <c r="AS820">
        <v>0</v>
      </c>
      <c r="AT820">
        <v>3.6280000000000001</v>
      </c>
      <c r="BB820" t="str">
        <f>"Y"</f>
        <v>Y</v>
      </c>
      <c r="BD820" t="str">
        <f>"רוני דידי"</f>
        <v>רוני דידי</v>
      </c>
    </row>
    <row r="821" spans="1:56" x14ac:dyDescent="0.3">
      <c r="A821" s="1">
        <v>45012</v>
      </c>
      <c r="B821" t="str">
        <f>"SI236000426"</f>
        <v>SI236000426</v>
      </c>
      <c r="E821" t="str">
        <f>"Y"</f>
        <v>Y</v>
      </c>
      <c r="F821" t="str">
        <f>"חשבוניות מרכזות"</f>
        <v>חשבוניות מרכזות</v>
      </c>
      <c r="G821" t="str">
        <f>"700065"</f>
        <v>700065</v>
      </c>
      <c r="H821" t="str">
        <f>"אלתא מערכות בע""מ"</f>
        <v>אלתא מערכות בע"מ</v>
      </c>
      <c r="I821" t="str">
        <f>"10"</f>
        <v>10</v>
      </c>
      <c r="J821" t="str">
        <f>"000"</f>
        <v>000</v>
      </c>
      <c r="K821" t="str">
        <f>"תת שורה 10 תוספת שדרוג מארז"</f>
        <v>תת שורה 10 תוספת שדרוג מארז</v>
      </c>
      <c r="L821">
        <v>-1</v>
      </c>
      <c r="M821" t="str">
        <f>"יח"</f>
        <v>יח</v>
      </c>
      <c r="N821">
        <v>-1</v>
      </c>
      <c r="O821" t="str">
        <f>"יח"</f>
        <v>יח</v>
      </c>
      <c r="P821" s="2">
        <v>49500</v>
      </c>
      <c r="Q821" t="str">
        <f>"$"</f>
        <v>$</v>
      </c>
      <c r="R821" t="str">
        <f>"הזמנה"</f>
        <v>הזמנה</v>
      </c>
      <c r="S821">
        <v>0</v>
      </c>
      <c r="T821" s="2">
        <v>-49500</v>
      </c>
      <c r="U821">
        <v>0</v>
      </c>
      <c r="V821" s="2">
        <v>-49500</v>
      </c>
      <c r="W821" t="str">
        <f>"$"</f>
        <v>$</v>
      </c>
      <c r="X821">
        <v>0</v>
      </c>
      <c r="Y821">
        <v>0</v>
      </c>
      <c r="Z821">
        <v>0</v>
      </c>
      <c r="AA821" t="str">
        <f>"Y"</f>
        <v>Y</v>
      </c>
      <c r="AC821">
        <v>0</v>
      </c>
      <c r="AM821" t="str">
        <f>"10"</f>
        <v>10</v>
      </c>
      <c r="AN821" t="str">
        <f>"500000"</f>
        <v>500000</v>
      </c>
      <c r="AO821" t="str">
        <f>"הכנסות  מלקוחות"</f>
        <v>הכנסות  מלקוחות</v>
      </c>
      <c r="AQ821" t="str">
        <f>"007"</f>
        <v>007</v>
      </c>
      <c r="AR821">
        <v>0</v>
      </c>
      <c r="AS821">
        <v>0</v>
      </c>
      <c r="AT821">
        <v>3.6280000000000001</v>
      </c>
      <c r="BB821" t="str">
        <f>"Y"</f>
        <v>Y</v>
      </c>
      <c r="BD821" t="str">
        <f>"רוני דידי"</f>
        <v>רוני דידי</v>
      </c>
    </row>
    <row r="822" spans="1:56" x14ac:dyDescent="0.3">
      <c r="A822" s="1">
        <v>45012</v>
      </c>
      <c r="B822" t="str">
        <f>"SI236000423"</f>
        <v>SI236000423</v>
      </c>
      <c r="E822" t="str">
        <f>"Y"</f>
        <v>Y</v>
      </c>
      <c r="F822" t="str">
        <f>"חשבוניות מרכזות"</f>
        <v>חשבוניות מרכזות</v>
      </c>
      <c r="G822" t="str">
        <f>"700065"</f>
        <v>700065</v>
      </c>
      <c r="H822" t="str">
        <f>"אלתא מערכות בע""מ"</f>
        <v>אלתא מערכות בע"מ</v>
      </c>
      <c r="I822" t="str">
        <f>"10"</f>
        <v>10</v>
      </c>
      <c r="J822" t="str">
        <f>"000"</f>
        <v>000</v>
      </c>
      <c r="K822" t="str">
        <f>"תת שורה 20  שדרוג מארז"</f>
        <v>תת שורה 20  שדרוג מארז</v>
      </c>
      <c r="L822">
        <v>1</v>
      </c>
      <c r="M822" t="str">
        <f>"יח"</f>
        <v>יח</v>
      </c>
      <c r="N822">
        <v>1</v>
      </c>
      <c r="O822" t="str">
        <f>"יח"</f>
        <v>יח</v>
      </c>
      <c r="P822" s="2">
        <v>9900</v>
      </c>
      <c r="Q822" t="str">
        <f>"$"</f>
        <v>$</v>
      </c>
      <c r="R822" t="str">
        <f>"הזמנה"</f>
        <v>הזמנה</v>
      </c>
      <c r="S822">
        <v>0</v>
      </c>
      <c r="T822" s="2">
        <v>9900</v>
      </c>
      <c r="U822">
        <v>0</v>
      </c>
      <c r="V822" s="2">
        <v>9900</v>
      </c>
      <c r="W822" t="str">
        <f>"$"</f>
        <v>$</v>
      </c>
      <c r="X822">
        <v>0</v>
      </c>
      <c r="Y822">
        <v>0</v>
      </c>
      <c r="Z822">
        <v>0</v>
      </c>
      <c r="AA822" t="str">
        <f>"Y"</f>
        <v>Y</v>
      </c>
      <c r="AC822">
        <v>0</v>
      </c>
      <c r="AM822" t="str">
        <f>"10"</f>
        <v>10</v>
      </c>
      <c r="AN822" t="str">
        <f>"500000"</f>
        <v>500000</v>
      </c>
      <c r="AO822" t="str">
        <f>"הכנסות  מלקוחות"</f>
        <v>הכנסות  מלקוחות</v>
      </c>
      <c r="AQ822" t="str">
        <f>"007"</f>
        <v>007</v>
      </c>
      <c r="AR822">
        <v>0</v>
      </c>
      <c r="AS822">
        <v>0</v>
      </c>
      <c r="AT822">
        <v>3.6280000000000001</v>
      </c>
      <c r="BB822" t="str">
        <f>"Y"</f>
        <v>Y</v>
      </c>
      <c r="BD822" t="str">
        <f>"רוני דידי"</f>
        <v>רוני דידי</v>
      </c>
    </row>
    <row r="823" spans="1:56" x14ac:dyDescent="0.3">
      <c r="A823" s="1">
        <v>45012</v>
      </c>
      <c r="B823" t="str">
        <f>"SI236000422"</f>
        <v>SI236000422</v>
      </c>
      <c r="E823" t="str">
        <f>"Y"</f>
        <v>Y</v>
      </c>
      <c r="F823" t="str">
        <f>"חשבוניות מרכזות"</f>
        <v>חשבוניות מרכזות</v>
      </c>
      <c r="G823" t="str">
        <f>"700065"</f>
        <v>700065</v>
      </c>
      <c r="H823" t="str">
        <f>"אלתא מערכות בע""מ"</f>
        <v>אלתא מערכות בע"מ</v>
      </c>
      <c r="I823" t="str">
        <f>"10"</f>
        <v>10</v>
      </c>
      <c r="J823" t="str">
        <f>"000"</f>
        <v>000</v>
      </c>
      <c r="K823" t="str">
        <f>"תת שורה 10 תוספת שדרוג מארז"</f>
        <v>תת שורה 10 תוספת שדרוג מארז</v>
      </c>
      <c r="L823">
        <v>1</v>
      </c>
      <c r="M823" t="str">
        <f>"יח"</f>
        <v>יח</v>
      </c>
      <c r="N823">
        <v>1</v>
      </c>
      <c r="O823" t="str">
        <f>"יח"</f>
        <v>יח</v>
      </c>
      <c r="P823" s="2">
        <v>49500</v>
      </c>
      <c r="Q823" t="str">
        <f>"$"</f>
        <v>$</v>
      </c>
      <c r="R823" t="str">
        <f>"הזמנה"</f>
        <v>הזמנה</v>
      </c>
      <c r="S823">
        <v>0</v>
      </c>
      <c r="T823" s="2">
        <v>49500</v>
      </c>
      <c r="U823">
        <v>0</v>
      </c>
      <c r="V823" s="2">
        <v>49500</v>
      </c>
      <c r="W823" t="str">
        <f>"$"</f>
        <v>$</v>
      </c>
      <c r="X823">
        <v>0</v>
      </c>
      <c r="Y823">
        <v>0</v>
      </c>
      <c r="Z823">
        <v>0</v>
      </c>
      <c r="AA823" t="str">
        <f>"Y"</f>
        <v>Y</v>
      </c>
      <c r="AC823">
        <v>0</v>
      </c>
      <c r="AM823" t="str">
        <f>"10"</f>
        <v>10</v>
      </c>
      <c r="AN823" t="str">
        <f>"500000"</f>
        <v>500000</v>
      </c>
      <c r="AO823" t="str">
        <f>"הכנסות  מלקוחות"</f>
        <v>הכנסות  מלקוחות</v>
      </c>
      <c r="AQ823" t="str">
        <f>"007"</f>
        <v>007</v>
      </c>
      <c r="AR823">
        <v>0</v>
      </c>
      <c r="AS823">
        <v>0</v>
      </c>
      <c r="AT823">
        <v>3.6280000000000001</v>
      </c>
      <c r="BB823" t="str">
        <f>"Y"</f>
        <v>Y</v>
      </c>
      <c r="BD823" t="str">
        <f>"רוני דידי"</f>
        <v>רוני דידי</v>
      </c>
    </row>
    <row r="824" spans="1:56" x14ac:dyDescent="0.3">
      <c r="A824" s="1">
        <v>45012</v>
      </c>
      <c r="B824" t="str">
        <f>"SI236000420"</f>
        <v>SI236000420</v>
      </c>
      <c r="C824" t="str">
        <f>"PR22000483"</f>
        <v>PR22000483</v>
      </c>
      <c r="E824" t="str">
        <f>"Y"</f>
        <v>Y</v>
      </c>
      <c r="F824" t="str">
        <f>"חשבוניות מרכזות"</f>
        <v>חשבוניות מרכזות</v>
      </c>
      <c r="G824" t="str">
        <f>"700065"</f>
        <v>700065</v>
      </c>
      <c r="H824" t="str">
        <f>"אלתא מערכות בע""מ"</f>
        <v>אלתא מערכות בע"מ</v>
      </c>
      <c r="I824" t="str">
        <f>"10"</f>
        <v>10</v>
      </c>
      <c r="J824" t="str">
        <f>"OP-AR03208"</f>
        <v>OP-AR03208</v>
      </c>
      <c r="K824" t="str">
        <f>"1096H331-001     DC HARNESS TRA (W1)"</f>
        <v>1096H331-001     DC HARNESS TRA (W1)</v>
      </c>
      <c r="L824">
        <v>-22</v>
      </c>
      <c r="M824" t="str">
        <f>"יח"</f>
        <v>יח</v>
      </c>
      <c r="N824">
        <v>-22</v>
      </c>
      <c r="O824" t="str">
        <f>"יח"</f>
        <v>יח</v>
      </c>
      <c r="P824">
        <v>833.5</v>
      </c>
      <c r="Q824" t="str">
        <f>"$"</f>
        <v>$</v>
      </c>
      <c r="R824" t="str">
        <f>"הזמנה"</f>
        <v>הזמנה</v>
      </c>
      <c r="S824">
        <v>0</v>
      </c>
      <c r="T824" s="2">
        <v>-18337</v>
      </c>
      <c r="U824">
        <v>0</v>
      </c>
      <c r="V824" s="2">
        <v>-18337</v>
      </c>
      <c r="W824" t="str">
        <f>"$"</f>
        <v>$</v>
      </c>
      <c r="X824">
        <v>0</v>
      </c>
      <c r="Y824">
        <v>0</v>
      </c>
      <c r="Z824">
        <v>0</v>
      </c>
      <c r="AA824" t="str">
        <f>"Y"</f>
        <v>Y</v>
      </c>
      <c r="AC824">
        <v>0</v>
      </c>
      <c r="AM824" t="str">
        <f>"10"</f>
        <v>10</v>
      </c>
      <c r="AN824" t="str">
        <f>"500000"</f>
        <v>500000</v>
      </c>
      <c r="AO824" t="str">
        <f>"הכנסות  מלקוחות"</f>
        <v>הכנסות  מלקוחות</v>
      </c>
      <c r="AQ824" t="str">
        <f>"040"</f>
        <v>040</v>
      </c>
      <c r="AR824">
        <v>0</v>
      </c>
      <c r="AS824">
        <v>0</v>
      </c>
      <c r="AT824">
        <v>3.4740000000000002</v>
      </c>
      <c r="BB824" t="str">
        <f>"Y"</f>
        <v>Y</v>
      </c>
      <c r="BD824" t="str">
        <f>"רחמים זרוק"</f>
        <v>רחמים זרוק</v>
      </c>
    </row>
    <row r="825" spans="1:56" x14ac:dyDescent="0.3">
      <c r="A825" s="1">
        <v>45011</v>
      </c>
      <c r="B825" t="str">
        <f>"SI236000419"</f>
        <v>SI236000419</v>
      </c>
      <c r="C825" t="str">
        <f>"PR22000483"</f>
        <v>PR22000483</v>
      </c>
      <c r="E825" t="str">
        <f>"Y"</f>
        <v>Y</v>
      </c>
      <c r="F825" t="str">
        <f>"חשבוניות מרכזות"</f>
        <v>חשבוניות מרכזות</v>
      </c>
      <c r="G825" t="str">
        <f>"700065"</f>
        <v>700065</v>
      </c>
      <c r="H825" t="str">
        <f>"אלתא מערכות בע""מ"</f>
        <v>אלתא מערכות בע"מ</v>
      </c>
      <c r="I825" t="str">
        <f>"15"</f>
        <v>15</v>
      </c>
      <c r="J825" t="str">
        <f>"OP-AR03208"</f>
        <v>OP-AR03208</v>
      </c>
      <c r="K825" t="str">
        <f>"1096H331-001     DC HARNESS TRA (W1)"</f>
        <v>1096H331-001     DC HARNESS TRA (W1)</v>
      </c>
      <c r="L825">
        <v>-18</v>
      </c>
      <c r="M825" t="str">
        <f>"יח"</f>
        <v>יח</v>
      </c>
      <c r="N825">
        <v>-18</v>
      </c>
      <c r="O825" t="str">
        <f>"יח"</f>
        <v>יח</v>
      </c>
      <c r="P825">
        <v>833.5</v>
      </c>
      <c r="Q825" t="str">
        <f>"$"</f>
        <v>$</v>
      </c>
      <c r="R825" t="str">
        <f>"הזמנה"</f>
        <v>הזמנה</v>
      </c>
      <c r="S825">
        <v>0</v>
      </c>
      <c r="T825" s="2">
        <v>-15003</v>
      </c>
      <c r="U825">
        <v>0</v>
      </c>
      <c r="V825" s="2">
        <v>-15003</v>
      </c>
      <c r="W825" t="str">
        <f>"$"</f>
        <v>$</v>
      </c>
      <c r="X825">
        <v>0</v>
      </c>
      <c r="Y825">
        <v>0</v>
      </c>
      <c r="Z825">
        <v>0</v>
      </c>
      <c r="AA825" t="str">
        <f>"Y"</f>
        <v>Y</v>
      </c>
      <c r="AC825">
        <v>0</v>
      </c>
      <c r="AM825" t="str">
        <f>"10"</f>
        <v>10</v>
      </c>
      <c r="AN825" t="str">
        <f>"500000"</f>
        <v>500000</v>
      </c>
      <c r="AO825" t="str">
        <f>"הכנסות  מלקוחות"</f>
        <v>הכנסות  מלקוחות</v>
      </c>
      <c r="AQ825" t="str">
        <f>"040"</f>
        <v>040</v>
      </c>
      <c r="AR825">
        <v>0</v>
      </c>
      <c r="AS825">
        <v>0</v>
      </c>
      <c r="AT825">
        <v>3.6419999999999999</v>
      </c>
      <c r="BB825" t="str">
        <f>"Y"</f>
        <v>Y</v>
      </c>
      <c r="BD825" t="str">
        <f>"רחמים זרוק"</f>
        <v>רחמים זרוק</v>
      </c>
    </row>
    <row r="826" spans="1:56" x14ac:dyDescent="0.3">
      <c r="A826" s="1">
        <v>45011</v>
      </c>
      <c r="B826" t="str">
        <f>"SI236000415"</f>
        <v>SI236000415</v>
      </c>
      <c r="C826" t="str">
        <f>"PR22000483"</f>
        <v>PR22000483</v>
      </c>
      <c r="E826" t="str">
        <f>"Y"</f>
        <v>Y</v>
      </c>
      <c r="F826" t="str">
        <f>"חשבוניות מרכזות"</f>
        <v>חשבוניות מרכזות</v>
      </c>
      <c r="G826" t="str">
        <f>"700065"</f>
        <v>700065</v>
      </c>
      <c r="H826" t="str">
        <f>"אלתא מערכות בע""מ"</f>
        <v>אלתא מערכות בע"מ</v>
      </c>
      <c r="I826" t="str">
        <f>"15"</f>
        <v>15</v>
      </c>
      <c r="J826" t="str">
        <f>"OP-AR03208"</f>
        <v>OP-AR03208</v>
      </c>
      <c r="K826" t="str">
        <f>"1096H331-001     DC HARNESS TRA (W1)"</f>
        <v>1096H331-001     DC HARNESS TRA (W1)</v>
      </c>
      <c r="L826">
        <v>18</v>
      </c>
      <c r="M826" t="str">
        <f>"יח"</f>
        <v>יח</v>
      </c>
      <c r="N826">
        <v>18</v>
      </c>
      <c r="O826" t="str">
        <f>"יח"</f>
        <v>יח</v>
      </c>
      <c r="P826">
        <v>833.5</v>
      </c>
      <c r="Q826" t="str">
        <f>"$"</f>
        <v>$</v>
      </c>
      <c r="R826" t="str">
        <f>"הזמנה"</f>
        <v>הזמנה</v>
      </c>
      <c r="S826">
        <v>0</v>
      </c>
      <c r="T826" s="2">
        <v>15003</v>
      </c>
      <c r="U826">
        <v>0</v>
      </c>
      <c r="V826" s="2">
        <v>15003</v>
      </c>
      <c r="W826" t="str">
        <f>"$"</f>
        <v>$</v>
      </c>
      <c r="X826">
        <v>0</v>
      </c>
      <c r="Y826">
        <v>0</v>
      </c>
      <c r="Z826">
        <v>0</v>
      </c>
      <c r="AA826" t="str">
        <f>"Y"</f>
        <v>Y</v>
      </c>
      <c r="AC826">
        <v>0</v>
      </c>
      <c r="AM826" t="str">
        <f>"10"</f>
        <v>10</v>
      </c>
      <c r="AN826" t="str">
        <f>"500000"</f>
        <v>500000</v>
      </c>
      <c r="AO826" t="str">
        <f>"הכנסות  מלקוחות"</f>
        <v>הכנסות  מלקוחות</v>
      </c>
      <c r="AQ826" t="str">
        <f>"040"</f>
        <v>040</v>
      </c>
      <c r="AR826">
        <v>0</v>
      </c>
      <c r="AS826">
        <v>0</v>
      </c>
      <c r="AT826">
        <v>3.6419999999999999</v>
      </c>
      <c r="BB826" t="str">
        <f>"Y"</f>
        <v>Y</v>
      </c>
      <c r="BD826" t="str">
        <f>"רחמים זרוק"</f>
        <v>רחמים זרוק</v>
      </c>
    </row>
    <row r="827" spans="1:56" x14ac:dyDescent="0.3">
      <c r="A827" s="1">
        <v>45007</v>
      </c>
      <c r="B827" t="str">
        <f>"SI236000474"</f>
        <v>SI236000474</v>
      </c>
      <c r="C827" t="str">
        <f>"PR22000604"</f>
        <v>PR22000604</v>
      </c>
      <c r="D827" t="str">
        <f>"PR22000604"</f>
        <v>PR22000604</v>
      </c>
      <c r="E827" t="str">
        <f>"Y"</f>
        <v>Y</v>
      </c>
      <c r="F827" t="str">
        <f>"חשבוניות מרכזות"</f>
        <v>חשבוניות מרכזות</v>
      </c>
      <c r="G827" t="str">
        <f>"700065"</f>
        <v>700065</v>
      </c>
      <c r="H827" t="str">
        <f>"אלתא מערכות בע""מ"</f>
        <v>אלתא מערכות בע"מ</v>
      </c>
      <c r="I827" t="str">
        <f>"15"</f>
        <v>15</v>
      </c>
      <c r="J827" t="str">
        <f>"OP-AR03202"</f>
        <v>OP-AR03202</v>
      </c>
      <c r="K827" t="str">
        <f>"2060B170-001   CABLE ASSY CRW21"</f>
        <v>2060B170-001   CABLE ASSY CRW21</v>
      </c>
      <c r="L827">
        <v>1</v>
      </c>
      <c r="M827" t="str">
        <f>"יח"</f>
        <v>יח</v>
      </c>
      <c r="N827">
        <v>1</v>
      </c>
      <c r="O827" t="str">
        <f>"יח"</f>
        <v>יח</v>
      </c>
      <c r="P827">
        <v>241.26</v>
      </c>
      <c r="Q827" t="str">
        <f>"$"</f>
        <v>$</v>
      </c>
      <c r="R827" t="str">
        <f>"הזמנה"</f>
        <v>הזמנה</v>
      </c>
      <c r="S827">
        <v>0</v>
      </c>
      <c r="T827">
        <v>241.26</v>
      </c>
      <c r="U827">
        <v>0</v>
      </c>
      <c r="V827">
        <v>241.26</v>
      </c>
      <c r="W827" t="str">
        <f>"$"</f>
        <v>$</v>
      </c>
      <c r="X827">
        <v>0</v>
      </c>
      <c r="Y827">
        <v>0</v>
      </c>
      <c r="Z827">
        <v>0</v>
      </c>
      <c r="AA827" t="str">
        <f>"Y"</f>
        <v>Y</v>
      </c>
      <c r="AB827" t="str">
        <f>"SO22000356"</f>
        <v>SO22000356</v>
      </c>
      <c r="AC827">
        <v>1</v>
      </c>
      <c r="AD827" s="1">
        <v>44816</v>
      </c>
      <c r="AE827" t="str">
        <f>"SH23000392"</f>
        <v>SH23000392</v>
      </c>
      <c r="AF827" t="str">
        <f>"משלוחים ללקוח"</f>
        <v>משלוחים ללקוח</v>
      </c>
      <c r="AG827" s="1">
        <v>45006</v>
      </c>
      <c r="AM827" t="str">
        <f>"10"</f>
        <v>10</v>
      </c>
      <c r="AN827" t="str">
        <f>"500000"</f>
        <v>500000</v>
      </c>
      <c r="AO827" t="str">
        <f>"הכנסות  מלקוחות"</f>
        <v>הכנסות  מלקוחות</v>
      </c>
      <c r="AQ827" t="str">
        <f>"040"</f>
        <v>040</v>
      </c>
      <c r="AR827">
        <v>0</v>
      </c>
      <c r="AS827">
        <v>0</v>
      </c>
      <c r="AT827">
        <v>3.65</v>
      </c>
      <c r="AX827" t="str">
        <f>"E000373398"</f>
        <v>E000373398</v>
      </c>
      <c r="BD827" t="str">
        <f>"רחמים זרוק"</f>
        <v>רחמים זרוק</v>
      </c>
    </row>
    <row r="828" spans="1:56" x14ac:dyDescent="0.3">
      <c r="A828" s="1">
        <v>45007</v>
      </c>
      <c r="B828" t="str">
        <f>"SI236000473"</f>
        <v>SI236000473</v>
      </c>
      <c r="C828" t="str">
        <f>"PR22000551"</f>
        <v>PR22000551</v>
      </c>
      <c r="D828" t="str">
        <f>"PR22000551"</f>
        <v>PR22000551</v>
      </c>
      <c r="E828" t="str">
        <f>"Y"</f>
        <v>Y</v>
      </c>
      <c r="F828" t="str">
        <f>"חשבוניות מרכזות"</f>
        <v>חשבוניות מרכזות</v>
      </c>
      <c r="G828" t="str">
        <f>"700065"</f>
        <v>700065</v>
      </c>
      <c r="H828" t="str">
        <f>"אלתא מערכות בע""מ"</f>
        <v>אלתא מערכות בע"מ</v>
      </c>
      <c r="I828" t="str">
        <f>"15"</f>
        <v>15</v>
      </c>
      <c r="J828" t="str">
        <f>"OP-AR03258"</f>
        <v>OP-AR03258</v>
      </c>
      <c r="K828" t="str">
        <f>"1036H289-001    HARNESS WC289 - OPTIC CARD POWER"</f>
        <v>1036H289-001    HARNESS WC289 - OPTIC CARD POWER</v>
      </c>
      <c r="L828">
        <v>3</v>
      </c>
      <c r="M828" t="str">
        <f>"יח"</f>
        <v>יח</v>
      </c>
      <c r="N828">
        <v>3</v>
      </c>
      <c r="O828" t="str">
        <f>"יח"</f>
        <v>יח</v>
      </c>
      <c r="P828">
        <v>90.05</v>
      </c>
      <c r="Q828" t="str">
        <f>"$"</f>
        <v>$</v>
      </c>
      <c r="R828" t="str">
        <f>"הזמנה"</f>
        <v>הזמנה</v>
      </c>
      <c r="S828">
        <v>0</v>
      </c>
      <c r="T828">
        <v>270.14999999999998</v>
      </c>
      <c r="U828">
        <v>0</v>
      </c>
      <c r="V828">
        <v>270.14999999999998</v>
      </c>
      <c r="W828" t="str">
        <f>"$"</f>
        <v>$</v>
      </c>
      <c r="X828">
        <v>0</v>
      </c>
      <c r="Y828">
        <v>0</v>
      </c>
      <c r="Z828">
        <v>0</v>
      </c>
      <c r="AA828" t="str">
        <f>"Y"</f>
        <v>Y</v>
      </c>
      <c r="AB828" t="str">
        <f>"SO22000316"</f>
        <v>SO22000316</v>
      </c>
      <c r="AC828">
        <v>13</v>
      </c>
      <c r="AD828" s="1">
        <v>44782</v>
      </c>
      <c r="AE828" t="str">
        <f>"SH23000386"</f>
        <v>SH23000386</v>
      </c>
      <c r="AF828" t="str">
        <f>"משלוחים ללקוח"</f>
        <v>משלוחים ללקוח</v>
      </c>
      <c r="AG828" s="1">
        <v>45006</v>
      </c>
      <c r="AM828" t="str">
        <f>"10"</f>
        <v>10</v>
      </c>
      <c r="AN828" t="str">
        <f>"500000"</f>
        <v>500000</v>
      </c>
      <c r="AO828" t="str">
        <f>"הכנסות  מלקוחות"</f>
        <v>הכנסות  מלקוחות</v>
      </c>
      <c r="AQ828" t="str">
        <f>"040"</f>
        <v>040</v>
      </c>
      <c r="AR828">
        <v>0</v>
      </c>
      <c r="AS828">
        <v>0</v>
      </c>
      <c r="AT828">
        <v>3.65</v>
      </c>
      <c r="AX828" t="str">
        <f>"E000369246"</f>
        <v>E000369246</v>
      </c>
      <c r="BD828" t="str">
        <f>"רחמים זרוק"</f>
        <v>רחמים זרוק</v>
      </c>
    </row>
    <row r="829" spans="1:56" x14ac:dyDescent="0.3">
      <c r="A829" s="1">
        <v>45007</v>
      </c>
      <c r="B829" t="str">
        <f>"SI236000472"</f>
        <v>SI236000472</v>
      </c>
      <c r="C829" t="str">
        <f>"PR22000828"</f>
        <v>PR22000828</v>
      </c>
      <c r="E829" t="str">
        <f>"Y"</f>
        <v>Y</v>
      </c>
      <c r="F829" t="str">
        <f>"חשבוניות מרכזות"</f>
        <v>חשבוניות מרכזות</v>
      </c>
      <c r="G829" t="str">
        <f>"700065"</f>
        <v>700065</v>
      </c>
      <c r="H829" t="str">
        <f>"אלתא מערכות בע""מ"</f>
        <v>אלתא מערכות בע"מ</v>
      </c>
      <c r="I829" t="str">
        <f>"15"</f>
        <v>15</v>
      </c>
      <c r="J829" t="str">
        <f>"OP-AR03416"</f>
        <v>OP-AR03416</v>
      </c>
      <c r="K829" t="str">
        <f>"2219B554-001    AURA PS CABLE"</f>
        <v>2219B554-001    AURA PS CABLE</v>
      </c>
      <c r="L829">
        <v>1</v>
      </c>
      <c r="M829" t="str">
        <f>"יח"</f>
        <v>יח</v>
      </c>
      <c r="N829">
        <v>1</v>
      </c>
      <c r="O829" t="str">
        <f>"יח"</f>
        <v>יח</v>
      </c>
      <c r="P829">
        <v>557.83000000000004</v>
      </c>
      <c r="Q829" t="str">
        <f>"$"</f>
        <v>$</v>
      </c>
      <c r="R829" t="str">
        <f>"הזמנה"</f>
        <v>הזמנה</v>
      </c>
      <c r="S829">
        <v>0</v>
      </c>
      <c r="T829">
        <v>557.83000000000004</v>
      </c>
      <c r="U829">
        <v>0</v>
      </c>
      <c r="V829">
        <v>557.83000000000004</v>
      </c>
      <c r="W829" t="str">
        <f>"$"</f>
        <v>$</v>
      </c>
      <c r="X829">
        <v>0</v>
      </c>
      <c r="Y829">
        <v>0</v>
      </c>
      <c r="Z829">
        <v>0</v>
      </c>
      <c r="AA829" t="str">
        <f>"Y"</f>
        <v>Y</v>
      </c>
      <c r="AB829" t="str">
        <f>"SO22000421"</f>
        <v>SO22000421</v>
      </c>
      <c r="AC829">
        <v>3</v>
      </c>
      <c r="AD829" s="1">
        <v>44892</v>
      </c>
      <c r="AE829" t="str">
        <f>"SH23000398"</f>
        <v>SH23000398</v>
      </c>
      <c r="AF829" t="str">
        <f>"משלוחים ללקוח"</f>
        <v>משלוחים ללקוח</v>
      </c>
      <c r="AG829" s="1">
        <v>45006</v>
      </c>
      <c r="AM829" t="str">
        <f>"10"</f>
        <v>10</v>
      </c>
      <c r="AN829" t="str">
        <f>"500000"</f>
        <v>500000</v>
      </c>
      <c r="AO829" t="str">
        <f>"הכנסות  מלקוחות"</f>
        <v>הכנסות  מלקוחות</v>
      </c>
      <c r="AQ829" t="str">
        <f>"040"</f>
        <v>040</v>
      </c>
      <c r="AR829">
        <v>0</v>
      </c>
      <c r="AS829">
        <v>0</v>
      </c>
      <c r="AT829">
        <v>3.65</v>
      </c>
      <c r="AX829" t="str">
        <f>"E000378946"</f>
        <v>E000378946</v>
      </c>
      <c r="BD829" t="str">
        <f>"רחמים זרוק"</f>
        <v>רחמים זרוק</v>
      </c>
    </row>
    <row r="830" spans="1:56" x14ac:dyDescent="0.3">
      <c r="A830" s="1">
        <v>45007</v>
      </c>
      <c r="B830" t="str">
        <f>"SI236000471"</f>
        <v>SI236000471</v>
      </c>
      <c r="C830" t="str">
        <f>"PR22000675"</f>
        <v>PR22000675</v>
      </c>
      <c r="E830" t="str">
        <f>"Y"</f>
        <v>Y</v>
      </c>
      <c r="F830" t="str">
        <f>"חשבוניות מרכזות"</f>
        <v>חשבוניות מרכזות</v>
      </c>
      <c r="G830" t="str">
        <f>"700065"</f>
        <v>700065</v>
      </c>
      <c r="H830" t="str">
        <f>"אלתא מערכות בע""מ"</f>
        <v>אלתא מערכות בע"מ</v>
      </c>
      <c r="I830" t="str">
        <f>"15"</f>
        <v>15</v>
      </c>
      <c r="J830" t="str">
        <f>"OP-AR03377"</f>
        <v>OP-AR03377</v>
      </c>
      <c r="K830" t="str">
        <f>"1036F685-001    BFCU TEST AND CONTROL CABLE"</f>
        <v>1036F685-001    BFCU TEST AND CONTROL CABLE</v>
      </c>
      <c r="L830">
        <v>1</v>
      </c>
      <c r="M830" t="str">
        <f>"יח"</f>
        <v>יח</v>
      </c>
      <c r="N830">
        <v>1</v>
      </c>
      <c r="O830" t="str">
        <f>"יח"</f>
        <v>יח</v>
      </c>
      <c r="P830">
        <v>572.11</v>
      </c>
      <c r="Q830" t="str">
        <f>"$"</f>
        <v>$</v>
      </c>
      <c r="R830" t="str">
        <f>"הזמנה"</f>
        <v>הזמנה</v>
      </c>
      <c r="S830">
        <v>0</v>
      </c>
      <c r="T830">
        <v>572.11</v>
      </c>
      <c r="U830">
        <v>0</v>
      </c>
      <c r="V830">
        <v>572.11</v>
      </c>
      <c r="W830" t="str">
        <f>"$"</f>
        <v>$</v>
      </c>
      <c r="X830">
        <v>0</v>
      </c>
      <c r="Y830">
        <v>0</v>
      </c>
      <c r="Z830">
        <v>0</v>
      </c>
      <c r="AA830" t="str">
        <f>"Y"</f>
        <v>Y</v>
      </c>
      <c r="AB830" t="str">
        <f>"SO22000391"</f>
        <v>SO22000391</v>
      </c>
      <c r="AC830">
        <v>1</v>
      </c>
      <c r="AD830" s="1">
        <v>44864</v>
      </c>
      <c r="AE830" t="str">
        <f>"SH23000397"</f>
        <v>SH23000397</v>
      </c>
      <c r="AF830" t="str">
        <f>"משלוחים ללקוח"</f>
        <v>משלוחים ללקוח</v>
      </c>
      <c r="AG830" s="1">
        <v>45006</v>
      </c>
      <c r="AM830" t="str">
        <f>"10"</f>
        <v>10</v>
      </c>
      <c r="AN830" t="str">
        <f>"500000"</f>
        <v>500000</v>
      </c>
      <c r="AO830" t="str">
        <f>"הכנסות  מלקוחות"</f>
        <v>הכנסות  מלקוחות</v>
      </c>
      <c r="AQ830" t="str">
        <f>"040"</f>
        <v>040</v>
      </c>
      <c r="AR830">
        <v>0</v>
      </c>
      <c r="AS830">
        <v>0</v>
      </c>
      <c r="AT830">
        <v>3.65</v>
      </c>
      <c r="AX830" t="str">
        <f>"E000377210"</f>
        <v>E000377210</v>
      </c>
      <c r="BD830" t="str">
        <f>"רחמים זרוק"</f>
        <v>רחמים זרוק</v>
      </c>
    </row>
    <row r="831" spans="1:56" x14ac:dyDescent="0.3">
      <c r="A831" s="1">
        <v>45007</v>
      </c>
      <c r="B831" t="str">
        <f>"SI236000470"</f>
        <v>SI236000470</v>
      </c>
      <c r="C831" t="str">
        <f>"PR22000682"</f>
        <v>PR22000682</v>
      </c>
      <c r="E831" t="str">
        <f>"Y"</f>
        <v>Y</v>
      </c>
      <c r="F831" t="str">
        <f>"חשבוניות מרכזות"</f>
        <v>חשבוניות מרכזות</v>
      </c>
      <c r="G831" t="str">
        <f>"700065"</f>
        <v>700065</v>
      </c>
      <c r="H831" t="str">
        <f>"אלתא מערכות בע""מ"</f>
        <v>אלתא מערכות בע"מ</v>
      </c>
      <c r="I831" t="str">
        <f>"15"</f>
        <v>15</v>
      </c>
      <c r="J831" t="str">
        <f>"OP-AR03382"</f>
        <v>OP-AR03382</v>
      </c>
      <c r="K831" t="str">
        <f>"2227B346-001    BFN POWER CABLE ASSY"</f>
        <v>2227B346-001    BFN POWER CABLE ASSY</v>
      </c>
      <c r="L831">
        <v>3</v>
      </c>
      <c r="M831" t="str">
        <f>"יח"</f>
        <v>יח</v>
      </c>
      <c r="N831">
        <v>3</v>
      </c>
      <c r="O831" t="str">
        <f>"יח"</f>
        <v>יח</v>
      </c>
      <c r="P831">
        <v>197.8</v>
      </c>
      <c r="Q831" t="str">
        <f>"$"</f>
        <v>$</v>
      </c>
      <c r="R831" t="str">
        <f>"הזמנה"</f>
        <v>הזמנה</v>
      </c>
      <c r="S831">
        <v>0</v>
      </c>
      <c r="T831">
        <v>593.4</v>
      </c>
      <c r="U831">
        <v>0</v>
      </c>
      <c r="V831">
        <v>593.4</v>
      </c>
      <c r="W831" t="str">
        <f>"$"</f>
        <v>$</v>
      </c>
      <c r="X831">
        <v>0</v>
      </c>
      <c r="Y831">
        <v>0</v>
      </c>
      <c r="Z831">
        <v>0</v>
      </c>
      <c r="AA831" t="str">
        <f>"Y"</f>
        <v>Y</v>
      </c>
      <c r="AB831" t="str">
        <f>"SO22000392"</f>
        <v>SO22000392</v>
      </c>
      <c r="AC831">
        <v>1</v>
      </c>
      <c r="AD831" s="1">
        <v>44865</v>
      </c>
      <c r="AE831" t="str">
        <f>"SH23000411"</f>
        <v>SH23000411</v>
      </c>
      <c r="AF831" t="str">
        <f>"משלוחים ללקוח"</f>
        <v>משלוחים ללקוח</v>
      </c>
      <c r="AG831" s="1">
        <v>45007</v>
      </c>
      <c r="AM831" t="str">
        <f>"10"</f>
        <v>10</v>
      </c>
      <c r="AN831" t="str">
        <f>"500000"</f>
        <v>500000</v>
      </c>
      <c r="AO831" t="str">
        <f>"הכנסות  מלקוחות"</f>
        <v>הכנסות  מלקוחות</v>
      </c>
      <c r="AQ831" t="str">
        <f>"040"</f>
        <v>040</v>
      </c>
      <c r="AR831">
        <v>0</v>
      </c>
      <c r="AS831">
        <v>0</v>
      </c>
      <c r="AT831">
        <v>3.65</v>
      </c>
      <c r="AX831" t="str">
        <f>"E000377208"</f>
        <v>E000377208</v>
      </c>
      <c r="BD831" t="str">
        <f>"רחמים זרוק"</f>
        <v>רחמים זרוק</v>
      </c>
    </row>
    <row r="832" spans="1:56" x14ac:dyDescent="0.3">
      <c r="A832" s="1">
        <v>45007</v>
      </c>
      <c r="B832" t="str">
        <f>"SI236000469"</f>
        <v>SI236000469</v>
      </c>
      <c r="C832" t="str">
        <f>"PR22000672"</f>
        <v>PR22000672</v>
      </c>
      <c r="E832" t="str">
        <f>"Y"</f>
        <v>Y</v>
      </c>
      <c r="F832" t="str">
        <f>"חשבוניות מרכזות"</f>
        <v>חשבוניות מרכזות</v>
      </c>
      <c r="G832" t="str">
        <f>"700065"</f>
        <v>700065</v>
      </c>
      <c r="H832" t="str">
        <f>"אלתא מערכות בע""מ"</f>
        <v>אלתא מערכות בע"מ</v>
      </c>
      <c r="I832" t="str">
        <f>"15"</f>
        <v>15</v>
      </c>
      <c r="J832" t="str">
        <f>"OP-AR03203"</f>
        <v>OP-AR03203</v>
      </c>
      <c r="K832" t="str">
        <f>"2083B312-001   VPW3 CABLE ASSY"</f>
        <v>2083B312-001   VPW3 CABLE ASSY</v>
      </c>
      <c r="L832">
        <v>1</v>
      </c>
      <c r="M832" t="str">
        <f>"יח"</f>
        <v>יח</v>
      </c>
      <c r="N832">
        <v>1</v>
      </c>
      <c r="O832" t="str">
        <f>"יח"</f>
        <v>יח</v>
      </c>
      <c r="P832">
        <v>684.11</v>
      </c>
      <c r="Q832" t="str">
        <f>"$"</f>
        <v>$</v>
      </c>
      <c r="R832" t="str">
        <f>"הזמנה"</f>
        <v>הזמנה</v>
      </c>
      <c r="S832">
        <v>0</v>
      </c>
      <c r="T832">
        <v>684.11</v>
      </c>
      <c r="U832">
        <v>0</v>
      </c>
      <c r="V832">
        <v>684.11</v>
      </c>
      <c r="W832" t="str">
        <f>"$"</f>
        <v>$</v>
      </c>
      <c r="X832">
        <v>0</v>
      </c>
      <c r="Y832">
        <v>0</v>
      </c>
      <c r="Z832">
        <v>0</v>
      </c>
      <c r="AA832" t="str">
        <f>"Y"</f>
        <v>Y</v>
      </c>
      <c r="AB832" t="str">
        <f>"SO22000386"</f>
        <v>SO22000386</v>
      </c>
      <c r="AC832">
        <v>1</v>
      </c>
      <c r="AD832" s="1">
        <v>44860</v>
      </c>
      <c r="AE832" t="str">
        <f>"SH23000395"</f>
        <v>SH23000395</v>
      </c>
      <c r="AF832" t="str">
        <f>"משלוחים ללקוח"</f>
        <v>משלוחים ללקוח</v>
      </c>
      <c r="AG832" s="1">
        <v>45006</v>
      </c>
      <c r="AM832" t="str">
        <f>"10"</f>
        <v>10</v>
      </c>
      <c r="AN832" t="str">
        <f>"500000"</f>
        <v>500000</v>
      </c>
      <c r="AO832" t="str">
        <f>"הכנסות  מלקוחות"</f>
        <v>הכנסות  מלקוחות</v>
      </c>
      <c r="AQ832" t="str">
        <f>"040"</f>
        <v>040</v>
      </c>
      <c r="AR832">
        <v>0</v>
      </c>
      <c r="AS832">
        <v>0</v>
      </c>
      <c r="AT832">
        <v>3.65</v>
      </c>
      <c r="AX832" t="str">
        <f>"E000376982"</f>
        <v>E000376982</v>
      </c>
      <c r="BD832" t="str">
        <f>"רחמים זרוק"</f>
        <v>רחמים זרוק</v>
      </c>
    </row>
    <row r="833" spans="1:56" x14ac:dyDescent="0.3">
      <c r="A833" s="1">
        <v>45007</v>
      </c>
      <c r="B833" t="str">
        <f>"SI236000454"</f>
        <v>SI236000454</v>
      </c>
      <c r="C833" t="str">
        <f>"PR22000682"</f>
        <v>PR22000682</v>
      </c>
      <c r="E833" t="str">
        <f>"Y"</f>
        <v>Y</v>
      </c>
      <c r="F833" t="str">
        <f>"חשבוניות מרכזות"</f>
        <v>חשבוניות מרכזות</v>
      </c>
      <c r="G833" t="str">
        <f>"700065"</f>
        <v>700065</v>
      </c>
      <c r="H833" t="str">
        <f>"אלתא מערכות בע""מ"</f>
        <v>אלתא מערכות בע"מ</v>
      </c>
      <c r="I833" t="str">
        <f>"15"</f>
        <v>15</v>
      </c>
      <c r="J833" t="str">
        <f>"OP-AR03384"</f>
        <v>OP-AR03384</v>
      </c>
      <c r="K833" t="str">
        <f>"2227B386-001    ANTENNA TO NC2I TESTER CABLE"</f>
        <v>2227B386-001    ANTENNA TO NC2I TESTER CABLE</v>
      </c>
      <c r="L833">
        <v>2</v>
      </c>
      <c r="M833" t="str">
        <f>"יח"</f>
        <v>יח</v>
      </c>
      <c r="N833">
        <v>2</v>
      </c>
      <c r="O833" t="str">
        <f>"יח"</f>
        <v>יח</v>
      </c>
      <c r="P833">
        <v>407.89</v>
      </c>
      <c r="Q833" t="str">
        <f>"$"</f>
        <v>$</v>
      </c>
      <c r="R833" t="str">
        <f>"הזמנה"</f>
        <v>הזמנה</v>
      </c>
      <c r="S833">
        <v>0</v>
      </c>
      <c r="T833">
        <v>815.78</v>
      </c>
      <c r="U833">
        <v>0</v>
      </c>
      <c r="V833">
        <v>815.78</v>
      </c>
      <c r="W833" t="str">
        <f>"$"</f>
        <v>$</v>
      </c>
      <c r="X833">
        <v>0</v>
      </c>
      <c r="Y833">
        <v>0</v>
      </c>
      <c r="Z833">
        <v>0</v>
      </c>
      <c r="AA833" t="str">
        <f>"Y"</f>
        <v>Y</v>
      </c>
      <c r="AB833" t="str">
        <f>"SO22000392"</f>
        <v>SO22000392</v>
      </c>
      <c r="AC833">
        <v>3</v>
      </c>
      <c r="AD833" s="1">
        <v>44865</v>
      </c>
      <c r="AE833" t="str">
        <f>"SH23000396"</f>
        <v>SH23000396</v>
      </c>
      <c r="AF833" t="str">
        <f>"משלוחים ללקוח"</f>
        <v>משלוחים ללקוח</v>
      </c>
      <c r="AG833" s="1">
        <v>45006</v>
      </c>
      <c r="AM833" t="str">
        <f>"10"</f>
        <v>10</v>
      </c>
      <c r="AN833" t="str">
        <f>"500000"</f>
        <v>500000</v>
      </c>
      <c r="AO833" t="str">
        <f>"הכנסות  מלקוחות"</f>
        <v>הכנסות  מלקוחות</v>
      </c>
      <c r="AQ833" t="str">
        <f>"040"</f>
        <v>040</v>
      </c>
      <c r="AR833">
        <v>0</v>
      </c>
      <c r="AS833">
        <v>0</v>
      </c>
      <c r="AT833">
        <v>3.65</v>
      </c>
      <c r="AX833" t="str">
        <f>"E000377208"</f>
        <v>E000377208</v>
      </c>
      <c r="BD833" t="str">
        <f>"רחמים זרוק"</f>
        <v>רחמים זרוק</v>
      </c>
    </row>
    <row r="834" spans="1:56" x14ac:dyDescent="0.3">
      <c r="A834" s="1">
        <v>45007</v>
      </c>
      <c r="B834" t="str">
        <f>"SI236000453"</f>
        <v>SI236000453</v>
      </c>
      <c r="C834" t="str">
        <f>"PR22000629"</f>
        <v>PR22000629</v>
      </c>
      <c r="D834" t="str">
        <f>"PR22000629"</f>
        <v>PR22000629</v>
      </c>
      <c r="E834" t="str">
        <f>"Y"</f>
        <v>Y</v>
      </c>
      <c r="F834" t="str">
        <f>"חשבוניות מרכזות"</f>
        <v>חשבוניות מרכזות</v>
      </c>
      <c r="G834" t="str">
        <f>"700065"</f>
        <v>700065</v>
      </c>
      <c r="H834" t="str">
        <f>"אלתא מערכות בע""מ"</f>
        <v>אלתא מערכות בע"מ</v>
      </c>
      <c r="I834" t="str">
        <f>"15"</f>
        <v>15</v>
      </c>
      <c r="J834" t="str">
        <f>"OP-AR03337"</f>
        <v>OP-AR03337</v>
      </c>
      <c r="K834" t="str">
        <f>"1041G804-001    POWER CABLE WP112 - INTERCOM AND SPEAKER"</f>
        <v>1041G804-001    POWER CABLE WP112 - INTERCOM AND SPEAKER</v>
      </c>
      <c r="L834">
        <v>2</v>
      </c>
      <c r="M834" t="str">
        <f>"יח"</f>
        <v>יח</v>
      </c>
      <c r="N834">
        <v>2</v>
      </c>
      <c r="O834" t="str">
        <f>"יח"</f>
        <v>יח</v>
      </c>
      <c r="P834">
        <v>610.11</v>
      </c>
      <c r="Q834" t="str">
        <f>"$"</f>
        <v>$</v>
      </c>
      <c r="R834" t="str">
        <f>"הזמנה"</f>
        <v>הזמנה</v>
      </c>
      <c r="S834">
        <v>0</v>
      </c>
      <c r="T834" s="2">
        <v>1220.22</v>
      </c>
      <c r="U834">
        <v>0</v>
      </c>
      <c r="V834" s="2">
        <v>1220.22</v>
      </c>
      <c r="W834" t="str">
        <f>"$"</f>
        <v>$</v>
      </c>
      <c r="X834">
        <v>0</v>
      </c>
      <c r="Y834">
        <v>0</v>
      </c>
      <c r="Z834">
        <v>0</v>
      </c>
      <c r="AA834" t="str">
        <f>"Y"</f>
        <v>Y</v>
      </c>
      <c r="AB834" t="str">
        <f>"SO22000378"</f>
        <v>SO22000378</v>
      </c>
      <c r="AC834">
        <v>4</v>
      </c>
      <c r="AD834" s="1">
        <v>44847</v>
      </c>
      <c r="AE834" t="str">
        <f>"SH23000394"</f>
        <v>SH23000394</v>
      </c>
      <c r="AF834" t="str">
        <f>"משלוחים ללקוח"</f>
        <v>משלוחים ללקוח</v>
      </c>
      <c r="AG834" s="1">
        <v>45006</v>
      </c>
      <c r="AM834" t="str">
        <f>"10"</f>
        <v>10</v>
      </c>
      <c r="AN834" t="str">
        <f>"500000"</f>
        <v>500000</v>
      </c>
      <c r="AO834" t="str">
        <f>"הכנסות  מלקוחות"</f>
        <v>הכנסות  מלקוחות</v>
      </c>
      <c r="AQ834" t="str">
        <f>"040"</f>
        <v>040</v>
      </c>
      <c r="AR834">
        <v>0</v>
      </c>
      <c r="AS834">
        <v>0</v>
      </c>
      <c r="AT834">
        <v>3.65</v>
      </c>
      <c r="AX834" t="str">
        <f>"E000374542"</f>
        <v>E000374542</v>
      </c>
      <c r="BD834" t="str">
        <f>"רחמים זרוק"</f>
        <v>רחמים זרוק</v>
      </c>
    </row>
    <row r="835" spans="1:56" x14ac:dyDescent="0.3">
      <c r="A835" s="1">
        <v>45007</v>
      </c>
      <c r="B835" t="str">
        <f>"SI236000448"</f>
        <v>SI236000448</v>
      </c>
      <c r="C835" t="str">
        <f>"PR22000592"</f>
        <v>PR22000592</v>
      </c>
      <c r="E835" t="str">
        <f>"Y"</f>
        <v>Y</v>
      </c>
      <c r="F835" t="str">
        <f>"חשבוניות מרכזות"</f>
        <v>חשבוניות מרכזות</v>
      </c>
      <c r="G835" t="str">
        <f>"700065"</f>
        <v>700065</v>
      </c>
      <c r="H835" t="str">
        <f>"אלתא מערכות בע""מ"</f>
        <v>אלתא מערכות בע"מ</v>
      </c>
      <c r="I835" t="str">
        <f>"15"</f>
        <v>15</v>
      </c>
      <c r="J835" t="str">
        <f>"OP-AR03294"</f>
        <v>OP-AR03294</v>
      </c>
      <c r="K835" t="str">
        <f>"1035C330-001    HARNESS 3W030 - STATUS, CONTROL and ETHE"</f>
        <v>1035C330-001    HARNESS 3W030 - STATUS, CONTROL and ETHE</v>
      </c>
      <c r="L835">
        <v>2</v>
      </c>
      <c r="M835" t="str">
        <f>"יח"</f>
        <v>יח</v>
      </c>
      <c r="N835">
        <v>2</v>
      </c>
      <c r="O835" t="str">
        <f>"יח"</f>
        <v>יח</v>
      </c>
      <c r="P835">
        <v>883.99</v>
      </c>
      <c r="Q835" t="str">
        <f>"$"</f>
        <v>$</v>
      </c>
      <c r="R835" t="str">
        <f>"הזמנה"</f>
        <v>הזמנה</v>
      </c>
      <c r="S835">
        <v>0</v>
      </c>
      <c r="T835" s="2">
        <v>1767.98</v>
      </c>
      <c r="U835">
        <v>0</v>
      </c>
      <c r="V835" s="2">
        <v>1767.98</v>
      </c>
      <c r="W835" t="str">
        <f>"$"</f>
        <v>$</v>
      </c>
      <c r="X835">
        <v>0</v>
      </c>
      <c r="Y835">
        <v>0</v>
      </c>
      <c r="Z835">
        <v>0</v>
      </c>
      <c r="AA835" t="str">
        <f>"Y"</f>
        <v>Y</v>
      </c>
      <c r="AB835" t="str">
        <f>"SO22000346"</f>
        <v>SO22000346</v>
      </c>
      <c r="AC835">
        <v>18</v>
      </c>
      <c r="AD835" s="1">
        <v>44802</v>
      </c>
      <c r="AE835" t="str">
        <f>"SH23000390"</f>
        <v>SH23000390</v>
      </c>
      <c r="AF835" t="str">
        <f>"משלוחים ללקוח"</f>
        <v>משלוחים ללקוח</v>
      </c>
      <c r="AG835" s="1">
        <v>45006</v>
      </c>
      <c r="AM835" t="str">
        <f>"10"</f>
        <v>10</v>
      </c>
      <c r="AN835" t="str">
        <f>"500000"</f>
        <v>500000</v>
      </c>
      <c r="AO835" t="str">
        <f>"הכנסות  מלקוחות"</f>
        <v>הכנסות  מלקוחות</v>
      </c>
      <c r="AQ835" t="str">
        <f>"040"</f>
        <v>040</v>
      </c>
      <c r="AR835">
        <v>0</v>
      </c>
      <c r="AS835">
        <v>0</v>
      </c>
      <c r="AT835">
        <v>3.6419999999999999</v>
      </c>
      <c r="AX835" t="str">
        <f>"E000372162"</f>
        <v>E000372162</v>
      </c>
      <c r="BD835" t="str">
        <f>"רחמים זרוק"</f>
        <v>רחמים זרוק</v>
      </c>
    </row>
    <row r="836" spans="1:56" x14ac:dyDescent="0.3">
      <c r="A836" s="1">
        <v>45007</v>
      </c>
      <c r="B836" t="str">
        <f>"SI236000448"</f>
        <v>SI236000448</v>
      </c>
      <c r="C836" t="str">
        <f>"PR22000592"</f>
        <v>PR22000592</v>
      </c>
      <c r="E836" t="str">
        <f>"Y"</f>
        <v>Y</v>
      </c>
      <c r="F836" t="str">
        <f>"חשבוניות מרכזות"</f>
        <v>חשבוניות מרכזות</v>
      </c>
      <c r="G836" t="str">
        <f>"700065"</f>
        <v>700065</v>
      </c>
      <c r="H836" t="str">
        <f>"אלתא מערכות בע""מ"</f>
        <v>אלתא מערכות בע"מ</v>
      </c>
      <c r="I836" t="str">
        <f>"15"</f>
        <v>15</v>
      </c>
      <c r="J836" t="str">
        <f>"OP-AR03305"</f>
        <v>OP-AR03305</v>
      </c>
      <c r="K836" t="str">
        <f>"1035C341-001    HARNESS 3W041 - STATUS FROM SPR (PDU) TO"</f>
        <v>1035C341-001    HARNESS 3W041 - STATUS FROM SPR (PDU) TO</v>
      </c>
      <c r="L836">
        <v>2</v>
      </c>
      <c r="M836" t="str">
        <f>"יח"</f>
        <v>יח</v>
      </c>
      <c r="N836">
        <v>2</v>
      </c>
      <c r="O836" t="str">
        <f>"יח"</f>
        <v>יח</v>
      </c>
      <c r="P836">
        <v>305.27999999999997</v>
      </c>
      <c r="Q836" t="str">
        <f>"$"</f>
        <v>$</v>
      </c>
      <c r="R836" t="str">
        <f>"הזמנה"</f>
        <v>הזמנה</v>
      </c>
      <c r="S836">
        <v>0</v>
      </c>
      <c r="T836">
        <v>610.55999999999995</v>
      </c>
      <c r="U836">
        <v>0</v>
      </c>
      <c r="V836">
        <v>610.55999999999995</v>
      </c>
      <c r="W836" t="str">
        <f>"$"</f>
        <v>$</v>
      </c>
      <c r="X836">
        <v>0</v>
      </c>
      <c r="Y836">
        <v>0</v>
      </c>
      <c r="Z836">
        <v>0</v>
      </c>
      <c r="AA836" t="str">
        <f>"Y"</f>
        <v>Y</v>
      </c>
      <c r="AB836" t="str">
        <f>"SO22000346"</f>
        <v>SO22000346</v>
      </c>
      <c r="AC836">
        <v>29</v>
      </c>
      <c r="AD836" s="1">
        <v>44802</v>
      </c>
      <c r="AE836" t="str">
        <f>"SH23000390"</f>
        <v>SH23000390</v>
      </c>
      <c r="AF836" t="str">
        <f>"משלוחים ללקוח"</f>
        <v>משלוחים ללקוח</v>
      </c>
      <c r="AG836" s="1">
        <v>45006</v>
      </c>
      <c r="AM836" t="str">
        <f>"10"</f>
        <v>10</v>
      </c>
      <c r="AN836" t="str">
        <f>"500000"</f>
        <v>500000</v>
      </c>
      <c r="AO836" t="str">
        <f>"הכנסות  מלקוחות"</f>
        <v>הכנסות  מלקוחות</v>
      </c>
      <c r="AQ836" t="str">
        <f>"040"</f>
        <v>040</v>
      </c>
      <c r="AR836">
        <v>0</v>
      </c>
      <c r="AS836">
        <v>0</v>
      </c>
      <c r="AT836">
        <v>3.6419999999999999</v>
      </c>
      <c r="AX836" t="str">
        <f>"E000372162"</f>
        <v>E000372162</v>
      </c>
      <c r="BD836" t="str">
        <f>"רחמים זרוק"</f>
        <v>רחמים זרוק</v>
      </c>
    </row>
    <row r="837" spans="1:56" x14ac:dyDescent="0.3">
      <c r="A837" s="1">
        <v>45007</v>
      </c>
      <c r="B837" t="str">
        <f>"SI236000448"</f>
        <v>SI236000448</v>
      </c>
      <c r="C837" t="str">
        <f>"PR22000592"</f>
        <v>PR22000592</v>
      </c>
      <c r="E837" t="str">
        <f>"Y"</f>
        <v>Y</v>
      </c>
      <c r="F837" t="str">
        <f>"חשבוניות מרכזות"</f>
        <v>חשבוניות מרכזות</v>
      </c>
      <c r="G837" t="str">
        <f>"700065"</f>
        <v>700065</v>
      </c>
      <c r="H837" t="str">
        <f>"אלתא מערכות בע""מ"</f>
        <v>אלתא מערכות בע"מ</v>
      </c>
      <c r="I837" t="str">
        <f>"15"</f>
        <v>15</v>
      </c>
      <c r="J837" t="str">
        <f>"OP-AR03309"</f>
        <v>OP-AR03309</v>
      </c>
      <c r="K837" t="str">
        <f>"1035C350-001    HARNESS 3W050 - ETHERNET FROM/TO PDU TO/"</f>
        <v>1035C350-001    HARNESS 3W050 - ETHERNET FROM/TO PDU TO/</v>
      </c>
      <c r="L837">
        <v>2</v>
      </c>
      <c r="M837" t="str">
        <f>"יח"</f>
        <v>יח</v>
      </c>
      <c r="N837">
        <v>2</v>
      </c>
      <c r="O837" t="str">
        <f>"יח"</f>
        <v>יח</v>
      </c>
      <c r="P837">
        <v>677.99</v>
      </c>
      <c r="Q837" t="str">
        <f>"$"</f>
        <v>$</v>
      </c>
      <c r="R837" t="str">
        <f>"הזמנה"</f>
        <v>הזמנה</v>
      </c>
      <c r="S837">
        <v>0</v>
      </c>
      <c r="T837" s="2">
        <v>1355.98</v>
      </c>
      <c r="U837">
        <v>0</v>
      </c>
      <c r="V837" s="2">
        <v>1355.98</v>
      </c>
      <c r="W837" t="str">
        <f>"$"</f>
        <v>$</v>
      </c>
      <c r="X837">
        <v>0</v>
      </c>
      <c r="Y837">
        <v>0</v>
      </c>
      <c r="Z837">
        <v>0</v>
      </c>
      <c r="AA837" t="str">
        <f>"Y"</f>
        <v>Y</v>
      </c>
      <c r="AB837" t="str">
        <f>"SO22000346"</f>
        <v>SO22000346</v>
      </c>
      <c r="AC837">
        <v>33</v>
      </c>
      <c r="AD837" s="1">
        <v>44802</v>
      </c>
      <c r="AE837" t="str">
        <f>"SH23000390"</f>
        <v>SH23000390</v>
      </c>
      <c r="AF837" t="str">
        <f>"משלוחים ללקוח"</f>
        <v>משלוחים ללקוח</v>
      </c>
      <c r="AG837" s="1">
        <v>45006</v>
      </c>
      <c r="AM837" t="str">
        <f>"10"</f>
        <v>10</v>
      </c>
      <c r="AN837" t="str">
        <f>"500000"</f>
        <v>500000</v>
      </c>
      <c r="AO837" t="str">
        <f>"הכנסות  מלקוחות"</f>
        <v>הכנסות  מלקוחות</v>
      </c>
      <c r="AQ837" t="str">
        <f>"040"</f>
        <v>040</v>
      </c>
      <c r="AR837">
        <v>0</v>
      </c>
      <c r="AS837">
        <v>0</v>
      </c>
      <c r="AT837">
        <v>3.6419999999999999</v>
      </c>
      <c r="AX837" t="str">
        <f>"E000372162"</f>
        <v>E000372162</v>
      </c>
      <c r="BD837" t="str">
        <f>"רחמים זרוק"</f>
        <v>רחמים זרוק</v>
      </c>
    </row>
    <row r="838" spans="1:56" x14ac:dyDescent="0.3">
      <c r="A838" s="1">
        <v>45007</v>
      </c>
      <c r="B838" t="str">
        <f>"SI236000448"</f>
        <v>SI236000448</v>
      </c>
      <c r="C838" t="str">
        <f>"PR22000592"</f>
        <v>PR22000592</v>
      </c>
      <c r="E838" t="str">
        <f>"Y"</f>
        <v>Y</v>
      </c>
      <c r="F838" t="str">
        <f>"חשבוניות מרכזות"</f>
        <v>חשבוניות מרכזות</v>
      </c>
      <c r="G838" t="str">
        <f>"700065"</f>
        <v>700065</v>
      </c>
      <c r="H838" t="str">
        <f>"אלתא מערכות בע""מ"</f>
        <v>אלתא מערכות בע"מ</v>
      </c>
      <c r="I838" t="str">
        <f>"15"</f>
        <v>15</v>
      </c>
      <c r="J838" t="str">
        <f>"OP-AR03311"</f>
        <v>OP-AR03311</v>
      </c>
      <c r="K838" t="str">
        <f>"1035C352-001    HARNESS 3W052 - ETHERNET FROM/TO RSU TO/"</f>
        <v>1035C352-001    HARNESS 3W052 - ETHERNET FROM/TO RSU TO/</v>
      </c>
      <c r="L838">
        <v>2</v>
      </c>
      <c r="M838" t="str">
        <f>"יח"</f>
        <v>יח</v>
      </c>
      <c r="N838">
        <v>2</v>
      </c>
      <c r="O838" t="str">
        <f>"יח"</f>
        <v>יח</v>
      </c>
      <c r="P838">
        <v>817.07</v>
      </c>
      <c r="Q838" t="str">
        <f>"$"</f>
        <v>$</v>
      </c>
      <c r="R838" t="str">
        <f>"הזמנה"</f>
        <v>הזמנה</v>
      </c>
      <c r="S838">
        <v>0</v>
      </c>
      <c r="T838" s="2">
        <v>1634.14</v>
      </c>
      <c r="U838">
        <v>0</v>
      </c>
      <c r="V838" s="2">
        <v>1634.14</v>
      </c>
      <c r="W838" t="str">
        <f>"$"</f>
        <v>$</v>
      </c>
      <c r="X838">
        <v>0</v>
      </c>
      <c r="Y838">
        <v>0</v>
      </c>
      <c r="Z838">
        <v>0</v>
      </c>
      <c r="AA838" t="str">
        <f>"Y"</f>
        <v>Y</v>
      </c>
      <c r="AB838" t="str">
        <f>"SO22000346"</f>
        <v>SO22000346</v>
      </c>
      <c r="AC838">
        <v>35</v>
      </c>
      <c r="AD838" s="1">
        <v>44802</v>
      </c>
      <c r="AE838" t="str">
        <f>"SH23000390"</f>
        <v>SH23000390</v>
      </c>
      <c r="AF838" t="str">
        <f>"משלוחים ללקוח"</f>
        <v>משלוחים ללקוח</v>
      </c>
      <c r="AG838" s="1">
        <v>45006</v>
      </c>
      <c r="AM838" t="str">
        <f>"10"</f>
        <v>10</v>
      </c>
      <c r="AN838" t="str">
        <f>"500000"</f>
        <v>500000</v>
      </c>
      <c r="AO838" t="str">
        <f>"הכנסות  מלקוחות"</f>
        <v>הכנסות  מלקוחות</v>
      </c>
      <c r="AQ838" t="str">
        <f>"040"</f>
        <v>040</v>
      </c>
      <c r="AR838">
        <v>0</v>
      </c>
      <c r="AS838">
        <v>0</v>
      </c>
      <c r="AT838">
        <v>3.6419999999999999</v>
      </c>
      <c r="AX838" t="str">
        <f>"E000372162"</f>
        <v>E000372162</v>
      </c>
      <c r="BD838" t="str">
        <f>"רחמים זרוק"</f>
        <v>רחמים זרוק</v>
      </c>
    </row>
    <row r="839" spans="1:56" x14ac:dyDescent="0.3">
      <c r="A839" s="1">
        <v>45007</v>
      </c>
      <c r="B839" t="str">
        <f>"SI236000448"</f>
        <v>SI236000448</v>
      </c>
      <c r="C839" t="str">
        <f>"PR22000592"</f>
        <v>PR22000592</v>
      </c>
      <c r="E839" t="str">
        <f>"Y"</f>
        <v>Y</v>
      </c>
      <c r="F839" t="str">
        <f>"חשבוניות מרכזות"</f>
        <v>חשבוניות מרכזות</v>
      </c>
      <c r="G839" t="str">
        <f>"700065"</f>
        <v>700065</v>
      </c>
      <c r="H839" t="str">
        <f>"אלתא מערכות בע""מ"</f>
        <v>אלתא מערכות בע"מ</v>
      </c>
      <c r="I839" t="str">
        <f>"15"</f>
        <v>15</v>
      </c>
      <c r="J839" t="str">
        <f>"OP-AR03313"</f>
        <v>OP-AR03313</v>
      </c>
      <c r="K839" t="str">
        <f>"1035C354-001    HARNESS 3W054 - ETHERNET FROM/TO PDU TO"</f>
        <v>1035C354-001    HARNESS 3W054 - ETHERNET FROM/TO PDU TO</v>
      </c>
      <c r="L839">
        <v>2</v>
      </c>
      <c r="M839" t="str">
        <f>"יח"</f>
        <v>יח</v>
      </c>
      <c r="N839">
        <v>2</v>
      </c>
      <c r="O839" t="str">
        <f>"יח"</f>
        <v>יח</v>
      </c>
      <c r="P839">
        <v>327.08999999999997</v>
      </c>
      <c r="Q839" t="str">
        <f>"$"</f>
        <v>$</v>
      </c>
      <c r="R839" t="str">
        <f>"הזמנה"</f>
        <v>הזמנה</v>
      </c>
      <c r="S839">
        <v>0</v>
      </c>
      <c r="T839">
        <v>654.17999999999995</v>
      </c>
      <c r="U839">
        <v>0</v>
      </c>
      <c r="V839">
        <v>654.17999999999995</v>
      </c>
      <c r="W839" t="str">
        <f>"$"</f>
        <v>$</v>
      </c>
      <c r="X839">
        <v>0</v>
      </c>
      <c r="Y839">
        <v>0</v>
      </c>
      <c r="Z839">
        <v>0</v>
      </c>
      <c r="AA839" t="str">
        <f>"Y"</f>
        <v>Y</v>
      </c>
      <c r="AB839" t="str">
        <f>"SO22000346"</f>
        <v>SO22000346</v>
      </c>
      <c r="AC839">
        <v>37</v>
      </c>
      <c r="AD839" s="1">
        <v>44802</v>
      </c>
      <c r="AE839" t="str">
        <f>"SH23000390"</f>
        <v>SH23000390</v>
      </c>
      <c r="AF839" t="str">
        <f>"משלוחים ללקוח"</f>
        <v>משלוחים ללקוח</v>
      </c>
      <c r="AG839" s="1">
        <v>45006</v>
      </c>
      <c r="AM839" t="str">
        <f>"10"</f>
        <v>10</v>
      </c>
      <c r="AN839" t="str">
        <f>"500000"</f>
        <v>500000</v>
      </c>
      <c r="AO839" t="str">
        <f>"הכנסות  מלקוחות"</f>
        <v>הכנסות  מלקוחות</v>
      </c>
      <c r="AQ839" t="str">
        <f>"040"</f>
        <v>040</v>
      </c>
      <c r="AR839">
        <v>0</v>
      </c>
      <c r="AS839">
        <v>0</v>
      </c>
      <c r="AT839">
        <v>3.6419999999999999</v>
      </c>
      <c r="AX839" t="str">
        <f>"E000372162"</f>
        <v>E000372162</v>
      </c>
      <c r="BD839" t="str">
        <f>"רחמים זרוק"</f>
        <v>רחמים זרוק</v>
      </c>
    </row>
    <row r="840" spans="1:56" x14ac:dyDescent="0.3">
      <c r="A840" s="1">
        <v>45007</v>
      </c>
      <c r="B840" t="str">
        <f>"SI236000447"</f>
        <v>SI236000447</v>
      </c>
      <c r="C840" t="str">
        <f>"PR22000671"</f>
        <v>PR22000671</v>
      </c>
      <c r="E840" t="str">
        <f>"Y"</f>
        <v>Y</v>
      </c>
      <c r="F840" t="str">
        <f>"חשבוניות מרכזות"</f>
        <v>חשבוניות מרכזות</v>
      </c>
      <c r="G840" t="str">
        <f>"700065"</f>
        <v>700065</v>
      </c>
      <c r="H840" t="str">
        <f>"אלתא מערכות בע""מ"</f>
        <v>אלתא מערכות בע"מ</v>
      </c>
      <c r="I840" t="str">
        <f>"15"</f>
        <v>15</v>
      </c>
      <c r="J840" t="str">
        <f>"OP-AR03368"</f>
        <v>OP-AR03368</v>
      </c>
      <c r="K840" t="str">
        <f>"2210B804-001    HARNESS WS117 - LVCS DC POWER"</f>
        <v>2210B804-001    HARNESS WS117 - LVCS DC POWER</v>
      </c>
      <c r="L840">
        <v>3</v>
      </c>
      <c r="M840" t="str">
        <f>"יח"</f>
        <v>יח</v>
      </c>
      <c r="N840">
        <v>3</v>
      </c>
      <c r="O840" t="str">
        <f>"יח"</f>
        <v>יח</v>
      </c>
      <c r="P840">
        <v>839.71</v>
      </c>
      <c r="Q840" t="str">
        <f>"$"</f>
        <v>$</v>
      </c>
      <c r="R840" t="str">
        <f>"הזמנה"</f>
        <v>הזמנה</v>
      </c>
      <c r="S840">
        <v>0</v>
      </c>
      <c r="T840" s="2">
        <v>2519.13</v>
      </c>
      <c r="U840">
        <v>0</v>
      </c>
      <c r="V840" s="2">
        <v>2519.13</v>
      </c>
      <c r="W840" t="str">
        <f>"$"</f>
        <v>$</v>
      </c>
      <c r="X840">
        <v>0</v>
      </c>
      <c r="Y840">
        <v>0</v>
      </c>
      <c r="Z840">
        <v>0</v>
      </c>
      <c r="AA840" t="str">
        <f>"Y"</f>
        <v>Y</v>
      </c>
      <c r="AB840" t="str">
        <f>"SO22000385"</f>
        <v>SO22000385</v>
      </c>
      <c r="AC840">
        <v>10</v>
      </c>
      <c r="AD840" s="1">
        <v>44860</v>
      </c>
      <c r="AE840" t="str">
        <f>"SH23000393"</f>
        <v>SH23000393</v>
      </c>
      <c r="AF840" t="str">
        <f>"משלוחים ללקוח"</f>
        <v>משלוחים ללקוח</v>
      </c>
      <c r="AG840" s="1">
        <v>45006</v>
      </c>
      <c r="AM840" t="str">
        <f>"10"</f>
        <v>10</v>
      </c>
      <c r="AN840" t="str">
        <f>"500000"</f>
        <v>500000</v>
      </c>
      <c r="AO840" t="str">
        <f>"הכנסות  מלקוחות"</f>
        <v>הכנסות  מלקוחות</v>
      </c>
      <c r="AQ840" t="str">
        <f>"040"</f>
        <v>040</v>
      </c>
      <c r="AR840">
        <v>0</v>
      </c>
      <c r="AS840">
        <v>0</v>
      </c>
      <c r="AT840">
        <v>3.6419999999999999</v>
      </c>
      <c r="AX840" t="str">
        <f>"E000374617"</f>
        <v>E000374617</v>
      </c>
      <c r="BD840" t="str">
        <f>"רחמים זרוק"</f>
        <v>רחמים זרוק</v>
      </c>
    </row>
    <row r="841" spans="1:56" x14ac:dyDescent="0.3">
      <c r="A841" s="1">
        <v>45007</v>
      </c>
      <c r="B841" t="str">
        <f>"SI236000447"</f>
        <v>SI236000447</v>
      </c>
      <c r="C841" t="str">
        <f>"PR22000671"</f>
        <v>PR22000671</v>
      </c>
      <c r="E841" t="str">
        <f>"Y"</f>
        <v>Y</v>
      </c>
      <c r="F841" t="str">
        <f>"חשבוניות מרכזות"</f>
        <v>חשבוניות מרכזות</v>
      </c>
      <c r="G841" t="str">
        <f>"700065"</f>
        <v>700065</v>
      </c>
      <c r="H841" t="str">
        <f>"אלתא מערכות בע""מ"</f>
        <v>אלתא מערכות בע"מ</v>
      </c>
      <c r="I841" t="str">
        <f>"15"</f>
        <v>15</v>
      </c>
      <c r="J841" t="str">
        <f>"OP-AR03369"</f>
        <v>OP-AR03369</v>
      </c>
      <c r="K841" t="str">
        <f>"2210B806-001    HARNESS WS118 - LVCS DC POWER"</f>
        <v>2210B806-001    HARNESS WS118 - LVCS DC POWER</v>
      </c>
      <c r="L841">
        <v>3</v>
      </c>
      <c r="M841" t="str">
        <f>"יח"</f>
        <v>יח</v>
      </c>
      <c r="N841">
        <v>3</v>
      </c>
      <c r="O841" t="str">
        <f>"יח"</f>
        <v>יח</v>
      </c>
      <c r="P841">
        <v>839.71</v>
      </c>
      <c r="Q841" t="str">
        <f>"$"</f>
        <v>$</v>
      </c>
      <c r="R841" t="str">
        <f>"הזמנה"</f>
        <v>הזמנה</v>
      </c>
      <c r="S841">
        <v>0</v>
      </c>
      <c r="T841" s="2">
        <v>2519.13</v>
      </c>
      <c r="U841">
        <v>0</v>
      </c>
      <c r="V841" s="2">
        <v>2519.13</v>
      </c>
      <c r="W841" t="str">
        <f>"$"</f>
        <v>$</v>
      </c>
      <c r="X841">
        <v>0</v>
      </c>
      <c r="Y841">
        <v>0</v>
      </c>
      <c r="Z841">
        <v>0</v>
      </c>
      <c r="AA841" t="str">
        <f>"Y"</f>
        <v>Y</v>
      </c>
      <c r="AB841" t="str">
        <f>"SO22000385"</f>
        <v>SO22000385</v>
      </c>
      <c r="AC841">
        <v>11</v>
      </c>
      <c r="AD841" s="1">
        <v>44860</v>
      </c>
      <c r="AE841" t="str">
        <f>"SH23000393"</f>
        <v>SH23000393</v>
      </c>
      <c r="AF841" t="str">
        <f>"משלוחים ללקוח"</f>
        <v>משלוחים ללקוח</v>
      </c>
      <c r="AG841" s="1">
        <v>45006</v>
      </c>
      <c r="AM841" t="str">
        <f>"10"</f>
        <v>10</v>
      </c>
      <c r="AN841" t="str">
        <f>"500000"</f>
        <v>500000</v>
      </c>
      <c r="AO841" t="str">
        <f>"הכנסות  מלקוחות"</f>
        <v>הכנסות  מלקוחות</v>
      </c>
      <c r="AQ841" t="str">
        <f>"040"</f>
        <v>040</v>
      </c>
      <c r="AR841">
        <v>0</v>
      </c>
      <c r="AS841">
        <v>0</v>
      </c>
      <c r="AT841">
        <v>3.6419999999999999</v>
      </c>
      <c r="AX841" t="str">
        <f>"E000374617"</f>
        <v>E000374617</v>
      </c>
      <c r="BD841" t="str">
        <f>"רחמים זרוק"</f>
        <v>רחמים זרוק</v>
      </c>
    </row>
    <row r="842" spans="1:56" x14ac:dyDescent="0.3">
      <c r="A842" s="1">
        <v>45007</v>
      </c>
      <c r="B842" t="str">
        <f>"SI236000447"</f>
        <v>SI236000447</v>
      </c>
      <c r="C842" t="str">
        <f>"PR22000671"</f>
        <v>PR22000671</v>
      </c>
      <c r="E842" t="str">
        <f>"Y"</f>
        <v>Y</v>
      </c>
      <c r="F842" t="str">
        <f>"חשבוניות מרכזות"</f>
        <v>חשבוניות מרכזות</v>
      </c>
      <c r="G842" t="str">
        <f>"700065"</f>
        <v>700065</v>
      </c>
      <c r="H842" t="str">
        <f>"אלתא מערכות בע""מ"</f>
        <v>אלתא מערכות בע"מ</v>
      </c>
      <c r="I842" t="str">
        <f>"15"</f>
        <v>15</v>
      </c>
      <c r="J842" t="str">
        <f>"OP-AR03370"</f>
        <v>OP-AR03370</v>
      </c>
      <c r="K842" t="str">
        <f>"2210B808-001    HARNESS WS119 - LVCS DC POWER"</f>
        <v>2210B808-001    HARNESS WS119 - LVCS DC POWER</v>
      </c>
      <c r="L842">
        <v>3</v>
      </c>
      <c r="M842" t="str">
        <f>"יח"</f>
        <v>יח</v>
      </c>
      <c r="N842">
        <v>3</v>
      </c>
      <c r="O842" t="str">
        <f>"יח"</f>
        <v>יח</v>
      </c>
      <c r="P842">
        <v>839.71</v>
      </c>
      <c r="Q842" t="str">
        <f>"$"</f>
        <v>$</v>
      </c>
      <c r="R842" t="str">
        <f>"הזמנה"</f>
        <v>הזמנה</v>
      </c>
      <c r="S842">
        <v>0</v>
      </c>
      <c r="T842" s="2">
        <v>2519.13</v>
      </c>
      <c r="U842">
        <v>0</v>
      </c>
      <c r="V842" s="2">
        <v>2519.13</v>
      </c>
      <c r="W842" t="str">
        <f>"$"</f>
        <v>$</v>
      </c>
      <c r="X842">
        <v>0</v>
      </c>
      <c r="Y842">
        <v>0</v>
      </c>
      <c r="Z842">
        <v>0</v>
      </c>
      <c r="AA842" t="str">
        <f>"Y"</f>
        <v>Y</v>
      </c>
      <c r="AB842" t="str">
        <f>"SO22000385"</f>
        <v>SO22000385</v>
      </c>
      <c r="AC842">
        <v>12</v>
      </c>
      <c r="AD842" s="1">
        <v>44860</v>
      </c>
      <c r="AE842" t="str">
        <f>"SH23000393"</f>
        <v>SH23000393</v>
      </c>
      <c r="AF842" t="str">
        <f>"משלוחים ללקוח"</f>
        <v>משלוחים ללקוח</v>
      </c>
      <c r="AG842" s="1">
        <v>45006</v>
      </c>
      <c r="AM842" t="str">
        <f>"10"</f>
        <v>10</v>
      </c>
      <c r="AN842" t="str">
        <f>"500000"</f>
        <v>500000</v>
      </c>
      <c r="AO842" t="str">
        <f>"הכנסות  מלקוחות"</f>
        <v>הכנסות  מלקוחות</v>
      </c>
      <c r="AQ842" t="str">
        <f>"040"</f>
        <v>040</v>
      </c>
      <c r="AR842">
        <v>0</v>
      </c>
      <c r="AS842">
        <v>0</v>
      </c>
      <c r="AT842">
        <v>3.6419999999999999</v>
      </c>
      <c r="AX842" t="str">
        <f>"E000374617"</f>
        <v>E000374617</v>
      </c>
      <c r="BD842" t="str">
        <f>"רחמים זרוק"</f>
        <v>רחמים זרוק</v>
      </c>
    </row>
    <row r="843" spans="1:56" x14ac:dyDescent="0.3">
      <c r="A843" s="1">
        <v>45007</v>
      </c>
      <c r="B843" t="str">
        <f>"SI236000446"</f>
        <v>SI236000446</v>
      </c>
      <c r="C843" t="str">
        <f>"PR21000170"</f>
        <v>PR21000170</v>
      </c>
      <c r="E843" t="str">
        <f>"Y"</f>
        <v>Y</v>
      </c>
      <c r="F843" t="str">
        <f>"חשבוניות מרכזות"</f>
        <v>חשבוניות מרכזות</v>
      </c>
      <c r="G843" t="str">
        <f>"700065"</f>
        <v>700065</v>
      </c>
      <c r="H843" t="str">
        <f>"אלתא מערכות בע""מ"</f>
        <v>אלתא מערכות בע"מ</v>
      </c>
      <c r="I843" t="str">
        <f>"10"</f>
        <v>10</v>
      </c>
      <c r="J843" t="str">
        <f>"OP-AR02334"</f>
        <v>OP-AR02334</v>
      </c>
      <c r="K843" t="str">
        <f>"3060L422-001   HARNESS WJ02 - F/TRPS/QFTR"</f>
        <v>3060L422-001   HARNESS WJ02 - F/TRPS/QFTR</v>
      </c>
      <c r="L843">
        <v>4</v>
      </c>
      <c r="M843" t="str">
        <f>"יח"</f>
        <v>יח</v>
      </c>
      <c r="N843">
        <v>4</v>
      </c>
      <c r="O843" t="str">
        <f>"יח"</f>
        <v>יח</v>
      </c>
      <c r="P843" s="2">
        <v>1165.17</v>
      </c>
      <c r="Q843" t="str">
        <f>"$"</f>
        <v>$</v>
      </c>
      <c r="R843" t="str">
        <f>"הזמנה"</f>
        <v>הזמנה</v>
      </c>
      <c r="S843">
        <v>0</v>
      </c>
      <c r="T843" s="2">
        <v>4660.68</v>
      </c>
      <c r="U843">
        <v>0</v>
      </c>
      <c r="V843" s="2">
        <v>4660.68</v>
      </c>
      <c r="W843" t="str">
        <f>"$"</f>
        <v>$</v>
      </c>
      <c r="X843">
        <v>0</v>
      </c>
      <c r="Y843">
        <v>0</v>
      </c>
      <c r="Z843">
        <v>0</v>
      </c>
      <c r="AA843" t="str">
        <f>"Y"</f>
        <v>Y</v>
      </c>
      <c r="AB843" t="str">
        <f>"SO21000095"</f>
        <v>SO21000095</v>
      </c>
      <c r="AC843">
        <v>1</v>
      </c>
      <c r="AD843" s="1">
        <v>44258</v>
      </c>
      <c r="AE843" t="str">
        <f>"SH23000388"</f>
        <v>SH23000388</v>
      </c>
      <c r="AF843" t="str">
        <f>"משלוחים ללקוח"</f>
        <v>משלוחים ללקוח</v>
      </c>
      <c r="AG843" s="1">
        <v>45006</v>
      </c>
      <c r="AM843" t="str">
        <f>"10"</f>
        <v>10</v>
      </c>
      <c r="AN843" t="str">
        <f>"500000"</f>
        <v>500000</v>
      </c>
      <c r="AO843" t="str">
        <f>"הכנסות  מלקוחות"</f>
        <v>הכנסות  מלקוחות</v>
      </c>
      <c r="AQ843" t="str">
        <f>"040"</f>
        <v>040</v>
      </c>
      <c r="AR843">
        <v>0</v>
      </c>
      <c r="AS843">
        <v>0</v>
      </c>
      <c r="AT843">
        <v>3.6419999999999999</v>
      </c>
      <c r="AX843" t="str">
        <f>"E000334007"</f>
        <v>E000334007</v>
      </c>
      <c r="BD843" t="str">
        <f>"רחמים זרוק"</f>
        <v>רחמים זרוק</v>
      </c>
    </row>
    <row r="844" spans="1:56" x14ac:dyDescent="0.3">
      <c r="A844" s="1">
        <v>45007</v>
      </c>
      <c r="B844" t="str">
        <f>"SI236000445"</f>
        <v>SI236000445</v>
      </c>
      <c r="C844" t="str">
        <f>"PR22000552"</f>
        <v>PR22000552</v>
      </c>
      <c r="D844" t="str">
        <f>"PR22000552"</f>
        <v>PR22000552</v>
      </c>
      <c r="E844" t="str">
        <f>"Y"</f>
        <v>Y</v>
      </c>
      <c r="F844" t="str">
        <f>"חשבוניות מרכזות"</f>
        <v>חשבוניות מרכזות</v>
      </c>
      <c r="G844" t="str">
        <f>"700065"</f>
        <v>700065</v>
      </c>
      <c r="H844" t="str">
        <f>"אלתא מערכות בע""מ"</f>
        <v>אלתא מערכות בע"מ</v>
      </c>
      <c r="I844" t="str">
        <f>"15"</f>
        <v>15</v>
      </c>
      <c r="J844" t="str">
        <f>"OP-AR03224"</f>
        <v>OP-AR03224</v>
      </c>
      <c r="K844" t="str">
        <f>"6950A161-001    HARNESS WM01 - CU TO ANTENNA RIGHT FWD"</f>
        <v>6950A161-001    HARNESS WM01 - CU TO ANTENNA RIGHT FWD</v>
      </c>
      <c r="L844">
        <v>4</v>
      </c>
      <c r="M844" t="str">
        <f>"יח"</f>
        <v>יח</v>
      </c>
      <c r="N844">
        <v>4</v>
      </c>
      <c r="O844" t="str">
        <f>"יח"</f>
        <v>יח</v>
      </c>
      <c r="P844" s="2">
        <v>1291.22</v>
      </c>
      <c r="Q844" t="str">
        <f>"$"</f>
        <v>$</v>
      </c>
      <c r="R844" t="str">
        <f>"הזמנה"</f>
        <v>הזמנה</v>
      </c>
      <c r="S844">
        <v>0</v>
      </c>
      <c r="T844" s="2">
        <v>5164.88</v>
      </c>
      <c r="U844">
        <v>0</v>
      </c>
      <c r="V844" s="2">
        <v>5164.88</v>
      </c>
      <c r="W844" t="str">
        <f>"$"</f>
        <v>$</v>
      </c>
      <c r="X844">
        <v>0</v>
      </c>
      <c r="Y844">
        <v>0</v>
      </c>
      <c r="Z844">
        <v>0</v>
      </c>
      <c r="AA844" t="str">
        <f>"Y"</f>
        <v>Y</v>
      </c>
      <c r="AB844" t="str">
        <f>"SO22000334"</f>
        <v>SO22000334</v>
      </c>
      <c r="AC844">
        <v>2</v>
      </c>
      <c r="AD844" s="1">
        <v>44789</v>
      </c>
      <c r="AE844" t="str">
        <f>"SH23000389"</f>
        <v>SH23000389</v>
      </c>
      <c r="AF844" t="str">
        <f>"משלוחים ללקוח"</f>
        <v>משלוחים ללקוח</v>
      </c>
      <c r="AG844" s="1">
        <v>45006</v>
      </c>
      <c r="AM844" t="str">
        <f>"10"</f>
        <v>10</v>
      </c>
      <c r="AN844" t="str">
        <f>"500000"</f>
        <v>500000</v>
      </c>
      <c r="AO844" t="str">
        <f>"הכנסות  מלקוחות"</f>
        <v>הכנסות  מלקוחות</v>
      </c>
      <c r="AQ844" t="str">
        <f>"040"</f>
        <v>040</v>
      </c>
      <c r="AR844">
        <v>0</v>
      </c>
      <c r="AS844">
        <v>0</v>
      </c>
      <c r="AT844">
        <v>3.6419999999999999</v>
      </c>
      <c r="AX844" t="str">
        <f>"E000369247"</f>
        <v>E000369247</v>
      </c>
      <c r="BD844" t="str">
        <f>"רחמים זרוק"</f>
        <v>רחמים זרוק</v>
      </c>
    </row>
    <row r="845" spans="1:56" x14ac:dyDescent="0.3">
      <c r="A845" s="1">
        <v>45007</v>
      </c>
      <c r="B845" t="str">
        <f>"SI236000445"</f>
        <v>SI236000445</v>
      </c>
      <c r="C845" t="str">
        <f>"PR22000552"</f>
        <v>PR22000552</v>
      </c>
      <c r="D845" t="str">
        <f>"PR22000552"</f>
        <v>PR22000552</v>
      </c>
      <c r="E845" t="str">
        <f>"Y"</f>
        <v>Y</v>
      </c>
      <c r="F845" t="str">
        <f>"חשבוניות מרכזות"</f>
        <v>חשבוניות מרכזות</v>
      </c>
      <c r="G845" t="str">
        <f>"700065"</f>
        <v>700065</v>
      </c>
      <c r="H845" t="str">
        <f>"אלתא מערכות בע""מ"</f>
        <v>אלתא מערכות בע"מ</v>
      </c>
      <c r="I845" t="str">
        <f>"15"</f>
        <v>15</v>
      </c>
      <c r="J845" t="str">
        <f>"OP-AR03228"</f>
        <v>OP-AR03228</v>
      </c>
      <c r="K845" t="str">
        <f>"6950A165-001    HARNESS WM05 - CU TO ANTENNA RIGHT FWD ("</f>
        <v>6950A165-001    HARNESS WM05 - CU TO ANTENNA RIGHT FWD (</v>
      </c>
      <c r="L845">
        <v>3</v>
      </c>
      <c r="M845" t="str">
        <f>"יח"</f>
        <v>יח</v>
      </c>
      <c r="N845">
        <v>3</v>
      </c>
      <c r="O845" t="str">
        <f>"יח"</f>
        <v>יח</v>
      </c>
      <c r="P845" s="2">
        <v>1737.74</v>
      </c>
      <c r="Q845" t="str">
        <f>"$"</f>
        <v>$</v>
      </c>
      <c r="R845" t="str">
        <f>"הזמנה"</f>
        <v>הזמנה</v>
      </c>
      <c r="S845">
        <v>0</v>
      </c>
      <c r="T845" s="2">
        <v>5213.22</v>
      </c>
      <c r="U845">
        <v>0</v>
      </c>
      <c r="V845" s="2">
        <v>5213.22</v>
      </c>
      <c r="W845" t="str">
        <f>"$"</f>
        <v>$</v>
      </c>
      <c r="X845">
        <v>0</v>
      </c>
      <c r="Y845">
        <v>0</v>
      </c>
      <c r="Z845">
        <v>0</v>
      </c>
      <c r="AA845" t="str">
        <f>"Y"</f>
        <v>Y</v>
      </c>
      <c r="AB845" t="str">
        <f>"SO22000334"</f>
        <v>SO22000334</v>
      </c>
      <c r="AC845">
        <v>6</v>
      </c>
      <c r="AD845" s="1">
        <v>44789</v>
      </c>
      <c r="AE845" t="str">
        <f>"SH23000389"</f>
        <v>SH23000389</v>
      </c>
      <c r="AF845" t="str">
        <f>"משלוחים ללקוח"</f>
        <v>משלוחים ללקוח</v>
      </c>
      <c r="AG845" s="1">
        <v>45006</v>
      </c>
      <c r="AM845" t="str">
        <f>"10"</f>
        <v>10</v>
      </c>
      <c r="AN845" t="str">
        <f>"500000"</f>
        <v>500000</v>
      </c>
      <c r="AO845" t="str">
        <f>"הכנסות  מלקוחות"</f>
        <v>הכנסות  מלקוחות</v>
      </c>
      <c r="AQ845" t="str">
        <f>"040"</f>
        <v>040</v>
      </c>
      <c r="AR845">
        <v>0</v>
      </c>
      <c r="AS845">
        <v>0</v>
      </c>
      <c r="AT845">
        <v>3.6419999999999999</v>
      </c>
      <c r="AX845" t="str">
        <f>"E000369247"</f>
        <v>E000369247</v>
      </c>
      <c r="BD845" t="str">
        <f>"רחמים זרוק"</f>
        <v>רחמים זרוק</v>
      </c>
    </row>
    <row r="846" spans="1:56" x14ac:dyDescent="0.3">
      <c r="A846" s="1">
        <v>45007</v>
      </c>
      <c r="B846" t="str">
        <f>"SI236000445"</f>
        <v>SI236000445</v>
      </c>
      <c r="C846" t="str">
        <f>"PR22000552"</f>
        <v>PR22000552</v>
      </c>
      <c r="D846" t="str">
        <f>"PR22000552"</f>
        <v>PR22000552</v>
      </c>
      <c r="E846" t="str">
        <f>"Y"</f>
        <v>Y</v>
      </c>
      <c r="F846" t="str">
        <f>"חשבוניות מרכזות"</f>
        <v>חשבוניות מרכזות</v>
      </c>
      <c r="G846" t="str">
        <f>"700065"</f>
        <v>700065</v>
      </c>
      <c r="H846" t="str">
        <f>"אלתא מערכות בע""מ"</f>
        <v>אלתא מערכות בע"מ</v>
      </c>
      <c r="I846" t="str">
        <f>"15"</f>
        <v>15</v>
      </c>
      <c r="J846" t="str">
        <f>"OP-AR03233"</f>
        <v>OP-AR03233</v>
      </c>
      <c r="K846" t="str">
        <f>"6950A182-001    HARNESS W182 - MCU INTEGRATION"</f>
        <v>6950A182-001    HARNESS W182 - MCU INTEGRATION</v>
      </c>
      <c r="L846">
        <v>3</v>
      </c>
      <c r="M846" t="str">
        <f>"יח"</f>
        <v>יח</v>
      </c>
      <c r="N846">
        <v>3</v>
      </c>
      <c r="O846" t="str">
        <f>"יח"</f>
        <v>יח</v>
      </c>
      <c r="P846">
        <v>862.04</v>
      </c>
      <c r="Q846" t="str">
        <f>"$"</f>
        <v>$</v>
      </c>
      <c r="R846" t="str">
        <f>"הזמנה"</f>
        <v>הזמנה</v>
      </c>
      <c r="S846">
        <v>0</v>
      </c>
      <c r="T846" s="2">
        <v>2586.12</v>
      </c>
      <c r="U846">
        <v>0</v>
      </c>
      <c r="V846" s="2">
        <v>2586.12</v>
      </c>
      <c r="W846" t="str">
        <f>"$"</f>
        <v>$</v>
      </c>
      <c r="X846">
        <v>0</v>
      </c>
      <c r="Y846">
        <v>0</v>
      </c>
      <c r="Z846">
        <v>0</v>
      </c>
      <c r="AA846" t="str">
        <f>"Y"</f>
        <v>Y</v>
      </c>
      <c r="AB846" t="str">
        <f>"SO22000334"</f>
        <v>SO22000334</v>
      </c>
      <c r="AC846">
        <v>11</v>
      </c>
      <c r="AD846" s="1">
        <v>44789</v>
      </c>
      <c r="AE846" t="str">
        <f>"SH23000389"</f>
        <v>SH23000389</v>
      </c>
      <c r="AF846" t="str">
        <f>"משלוחים ללקוח"</f>
        <v>משלוחים ללקוח</v>
      </c>
      <c r="AG846" s="1">
        <v>45006</v>
      </c>
      <c r="AM846" t="str">
        <f>"10"</f>
        <v>10</v>
      </c>
      <c r="AN846" t="str">
        <f>"500000"</f>
        <v>500000</v>
      </c>
      <c r="AO846" t="str">
        <f>"הכנסות  מלקוחות"</f>
        <v>הכנסות  מלקוחות</v>
      </c>
      <c r="AQ846" t="str">
        <f>"040"</f>
        <v>040</v>
      </c>
      <c r="AR846">
        <v>0</v>
      </c>
      <c r="AS846">
        <v>0</v>
      </c>
      <c r="AT846">
        <v>3.6419999999999999</v>
      </c>
      <c r="AX846" t="str">
        <f>"E000369247"</f>
        <v>E000369247</v>
      </c>
      <c r="BD846" t="str">
        <f>"רחמים זרוק"</f>
        <v>רחמים זרוק</v>
      </c>
    </row>
    <row r="847" spans="1:56" x14ac:dyDescent="0.3">
      <c r="A847" s="1">
        <v>45007</v>
      </c>
      <c r="B847" t="str">
        <f>"SI236000444"</f>
        <v>SI236000444</v>
      </c>
      <c r="C847" t="str">
        <f>"PR22000300"</f>
        <v>PR22000300</v>
      </c>
      <c r="E847" t="str">
        <f>"Y"</f>
        <v>Y</v>
      </c>
      <c r="F847" t="str">
        <f>"חשבוניות מרכזות"</f>
        <v>חשבוניות מרכזות</v>
      </c>
      <c r="G847" t="str">
        <f>"700065"</f>
        <v>700065</v>
      </c>
      <c r="H847" t="str">
        <f>"אלתא מערכות בע""מ"</f>
        <v>אלתא מערכות בע"מ</v>
      </c>
      <c r="I847" t="str">
        <f>"10"</f>
        <v>10</v>
      </c>
      <c r="J847" t="str">
        <f>"OP-ML00215"</f>
        <v>OP-ML00215</v>
      </c>
      <c r="K847" t="str">
        <f>"M - PDU מק""ט 6930H850-001"</f>
        <v>M - PDU מק"ט 6930H850-001</v>
      </c>
      <c r="L847">
        <v>1</v>
      </c>
      <c r="M847" t="str">
        <f>"יח"</f>
        <v>יח</v>
      </c>
      <c r="N847">
        <v>1</v>
      </c>
      <c r="O847" t="str">
        <f>"יח"</f>
        <v>יח</v>
      </c>
      <c r="P847" s="2">
        <v>14757</v>
      </c>
      <c r="Q847" t="str">
        <f>"$"</f>
        <v>$</v>
      </c>
      <c r="R847" t="str">
        <f>"הזמנה"</f>
        <v>הזמנה</v>
      </c>
      <c r="S847">
        <v>0</v>
      </c>
      <c r="T847" s="2">
        <v>14757</v>
      </c>
      <c r="U847">
        <v>0</v>
      </c>
      <c r="V847" s="2">
        <v>14757</v>
      </c>
      <c r="W847" t="str">
        <f>"$"</f>
        <v>$</v>
      </c>
      <c r="X847">
        <v>0</v>
      </c>
      <c r="Y847">
        <v>0</v>
      </c>
      <c r="Z847">
        <v>0</v>
      </c>
      <c r="AA847" t="str">
        <f>"Y"</f>
        <v>Y</v>
      </c>
      <c r="AB847" t="str">
        <f>"SO22000193"</f>
        <v>SO22000193</v>
      </c>
      <c r="AC847">
        <v>12</v>
      </c>
      <c r="AD847" s="1">
        <v>44698</v>
      </c>
      <c r="AE847" t="str">
        <f>"SH23000410"</f>
        <v>SH23000410</v>
      </c>
      <c r="AF847" t="str">
        <f>"משלוחים ללקוח"</f>
        <v>משלוחים ללקוח</v>
      </c>
      <c r="AG847" s="1">
        <v>45007</v>
      </c>
      <c r="AM847" t="str">
        <f>"10"</f>
        <v>10</v>
      </c>
      <c r="AN847" t="str">
        <f>"500000"</f>
        <v>500000</v>
      </c>
      <c r="AO847" t="str">
        <f>"הכנסות  מלקוחות"</f>
        <v>הכנסות  מלקוחות</v>
      </c>
      <c r="AQ847" t="str">
        <f>"034"</f>
        <v>034</v>
      </c>
      <c r="AR847">
        <v>0</v>
      </c>
      <c r="AS847">
        <v>0</v>
      </c>
      <c r="AT847">
        <v>3.6419999999999999</v>
      </c>
      <c r="AX847" t="str">
        <f>"E000359087"</f>
        <v>E000359087</v>
      </c>
      <c r="BD847" t="str">
        <f>"ערן שלו"</f>
        <v>ערן שלו</v>
      </c>
    </row>
    <row r="848" spans="1:56" x14ac:dyDescent="0.3">
      <c r="A848" s="1">
        <v>45007</v>
      </c>
      <c r="B848" t="str">
        <f>"SI236000443"</f>
        <v>SI236000443</v>
      </c>
      <c r="C848" t="str">
        <f>"PR22000301"</f>
        <v>PR22000301</v>
      </c>
      <c r="E848" t="str">
        <f>"Y"</f>
        <v>Y</v>
      </c>
      <c r="F848" t="str">
        <f>"חשבוניות מרכזות"</f>
        <v>חשבוניות מרכזות</v>
      </c>
      <c r="G848" t="str">
        <f>"700065"</f>
        <v>700065</v>
      </c>
      <c r="H848" t="str">
        <f>"אלתא מערכות בע""מ"</f>
        <v>אלתא מערכות בע"מ</v>
      </c>
      <c r="I848" t="str">
        <f>"10"</f>
        <v>10</v>
      </c>
      <c r="J848" t="str">
        <f>"OP-ML00215"</f>
        <v>OP-ML00215</v>
      </c>
      <c r="K848" t="str">
        <f>"M - PDU מק""ט 6930H850-001"</f>
        <v>M - PDU מק"ט 6930H850-001</v>
      </c>
      <c r="L848">
        <v>1</v>
      </c>
      <c r="M848" t="str">
        <f>"יח"</f>
        <v>יח</v>
      </c>
      <c r="N848">
        <v>1</v>
      </c>
      <c r="O848" t="str">
        <f>"יח"</f>
        <v>יח</v>
      </c>
      <c r="P848" s="2">
        <v>14757</v>
      </c>
      <c r="Q848" t="str">
        <f>"$"</f>
        <v>$</v>
      </c>
      <c r="R848" t="str">
        <f>"הזמנה"</f>
        <v>הזמנה</v>
      </c>
      <c r="S848">
        <v>0</v>
      </c>
      <c r="T848" s="2">
        <v>14757</v>
      </c>
      <c r="U848">
        <v>0</v>
      </c>
      <c r="V848" s="2">
        <v>14757</v>
      </c>
      <c r="W848" t="str">
        <f>"$"</f>
        <v>$</v>
      </c>
      <c r="X848">
        <v>0</v>
      </c>
      <c r="Y848">
        <v>0</v>
      </c>
      <c r="Z848">
        <v>0</v>
      </c>
      <c r="AA848" t="str">
        <f>"Y"</f>
        <v>Y</v>
      </c>
      <c r="AB848" t="str">
        <f>"SO22000193"</f>
        <v>SO22000193</v>
      </c>
      <c r="AC848">
        <v>11</v>
      </c>
      <c r="AD848" s="1">
        <v>44698</v>
      </c>
      <c r="AE848" t="str">
        <f>"SH23000409"</f>
        <v>SH23000409</v>
      </c>
      <c r="AF848" t="str">
        <f>"משלוחים ללקוח"</f>
        <v>משלוחים ללקוח</v>
      </c>
      <c r="AG848" s="1">
        <v>45007</v>
      </c>
      <c r="AM848" t="str">
        <f>"10"</f>
        <v>10</v>
      </c>
      <c r="AN848" t="str">
        <f>"500000"</f>
        <v>500000</v>
      </c>
      <c r="AO848" t="str">
        <f>"הכנסות  מלקוחות"</f>
        <v>הכנסות  מלקוחות</v>
      </c>
      <c r="AQ848" t="str">
        <f>"034"</f>
        <v>034</v>
      </c>
      <c r="AR848">
        <v>0</v>
      </c>
      <c r="AS848">
        <v>0</v>
      </c>
      <c r="AT848">
        <v>3.6419999999999999</v>
      </c>
      <c r="AX848" t="str">
        <f>"E000359087"</f>
        <v>E000359087</v>
      </c>
      <c r="BD848" t="str">
        <f>"ערן שלו"</f>
        <v>ערן שלו</v>
      </c>
    </row>
    <row r="849" spans="1:56" x14ac:dyDescent="0.3">
      <c r="A849" s="1">
        <v>45007</v>
      </c>
      <c r="B849" t="str">
        <f>"SI236000442"</f>
        <v>SI236000442</v>
      </c>
      <c r="C849" t="str">
        <f>"PR22000290"</f>
        <v>PR22000290</v>
      </c>
      <c r="E849" t="str">
        <f>"Y"</f>
        <v>Y</v>
      </c>
      <c r="F849" t="str">
        <f>"חשבוניות מרכזות"</f>
        <v>חשבוניות מרכזות</v>
      </c>
      <c r="G849" t="str">
        <f>"700065"</f>
        <v>700065</v>
      </c>
      <c r="H849" t="str">
        <f>"אלתא מערכות בע""מ"</f>
        <v>אלתא מערכות בע"מ</v>
      </c>
      <c r="I849" t="str">
        <f>"10"</f>
        <v>10</v>
      </c>
      <c r="J849" t="str">
        <f>"OP-ML00215"</f>
        <v>OP-ML00215</v>
      </c>
      <c r="K849" t="str">
        <f>"M - PDU מק""ט 6930H850-001"</f>
        <v>M - PDU מק"ט 6930H850-001</v>
      </c>
      <c r="L849">
        <v>1</v>
      </c>
      <c r="M849" t="str">
        <f>"יח"</f>
        <v>יח</v>
      </c>
      <c r="N849">
        <v>1</v>
      </c>
      <c r="O849" t="str">
        <f>"יח"</f>
        <v>יח</v>
      </c>
      <c r="P849" s="2">
        <v>14757</v>
      </c>
      <c r="Q849" t="str">
        <f>"$"</f>
        <v>$</v>
      </c>
      <c r="R849" t="str">
        <f>"הזמנה"</f>
        <v>הזמנה</v>
      </c>
      <c r="S849">
        <v>0</v>
      </c>
      <c r="T849" s="2">
        <v>14757</v>
      </c>
      <c r="U849">
        <v>0</v>
      </c>
      <c r="V849" s="2">
        <v>14757</v>
      </c>
      <c r="W849" t="str">
        <f>"$"</f>
        <v>$</v>
      </c>
      <c r="X849">
        <v>0</v>
      </c>
      <c r="Y849">
        <v>0</v>
      </c>
      <c r="Z849">
        <v>0</v>
      </c>
      <c r="AA849" t="str">
        <f>"Y"</f>
        <v>Y</v>
      </c>
      <c r="AB849" t="str">
        <f>"SO22000193"</f>
        <v>SO22000193</v>
      </c>
      <c r="AC849">
        <v>10</v>
      </c>
      <c r="AD849" s="1">
        <v>44698</v>
      </c>
      <c r="AE849" t="str">
        <f>"SH23000408"</f>
        <v>SH23000408</v>
      </c>
      <c r="AF849" t="str">
        <f>"משלוחים ללקוח"</f>
        <v>משלוחים ללקוח</v>
      </c>
      <c r="AG849" s="1">
        <v>45007</v>
      </c>
      <c r="AM849" t="str">
        <f>"10"</f>
        <v>10</v>
      </c>
      <c r="AN849" t="str">
        <f>"500000"</f>
        <v>500000</v>
      </c>
      <c r="AO849" t="str">
        <f>"הכנסות  מלקוחות"</f>
        <v>הכנסות  מלקוחות</v>
      </c>
      <c r="AQ849" t="str">
        <f>"034"</f>
        <v>034</v>
      </c>
      <c r="AR849">
        <v>0</v>
      </c>
      <c r="AS849">
        <v>0</v>
      </c>
      <c r="AT849">
        <v>3.6419999999999999</v>
      </c>
      <c r="AX849" t="str">
        <f>"E000359087"</f>
        <v>E000359087</v>
      </c>
      <c r="BD849" t="str">
        <f>"ערן שלו"</f>
        <v>ערן שלו</v>
      </c>
    </row>
    <row r="850" spans="1:56" x14ac:dyDescent="0.3">
      <c r="A850" s="1">
        <v>45007</v>
      </c>
      <c r="B850" t="str">
        <f>"SI236000441"</f>
        <v>SI236000441</v>
      </c>
      <c r="C850" t="str">
        <f>"PR22000272"</f>
        <v>PR22000272</v>
      </c>
      <c r="E850" t="str">
        <f>"Y"</f>
        <v>Y</v>
      </c>
      <c r="F850" t="str">
        <f>"חשבוניות מרכזות"</f>
        <v>חשבוניות מרכזות</v>
      </c>
      <c r="G850" t="str">
        <f>"700065"</f>
        <v>700065</v>
      </c>
      <c r="H850" t="str">
        <f>"אלתא מערכות בע""מ"</f>
        <v>אלתא מערכות בע"מ</v>
      </c>
      <c r="I850" t="str">
        <f>"10"</f>
        <v>10</v>
      </c>
      <c r="J850" t="str">
        <f>"OP-ML00215"</f>
        <v>OP-ML00215</v>
      </c>
      <c r="K850" t="str">
        <f>"M - PDU מק""ט 6930H850-001"</f>
        <v>M - PDU מק"ט 6930H850-001</v>
      </c>
      <c r="L850">
        <v>1</v>
      </c>
      <c r="M850" t="str">
        <f>"יח"</f>
        <v>יח</v>
      </c>
      <c r="N850">
        <v>1</v>
      </c>
      <c r="O850" t="str">
        <f>"יח"</f>
        <v>יח</v>
      </c>
      <c r="P850" s="2">
        <v>14757</v>
      </c>
      <c r="Q850" t="str">
        <f>"$"</f>
        <v>$</v>
      </c>
      <c r="R850" t="str">
        <f>"הזמנה"</f>
        <v>הזמנה</v>
      </c>
      <c r="S850">
        <v>0</v>
      </c>
      <c r="T850" s="2">
        <v>14757</v>
      </c>
      <c r="U850">
        <v>0</v>
      </c>
      <c r="V850" s="2">
        <v>14757</v>
      </c>
      <c r="W850" t="str">
        <f>"$"</f>
        <v>$</v>
      </c>
      <c r="X850">
        <v>0</v>
      </c>
      <c r="Y850">
        <v>0</v>
      </c>
      <c r="Z850">
        <v>0</v>
      </c>
      <c r="AA850" t="str">
        <f>"Y"</f>
        <v>Y</v>
      </c>
      <c r="AB850" t="str">
        <f>"SO22000193"</f>
        <v>SO22000193</v>
      </c>
      <c r="AC850">
        <v>9</v>
      </c>
      <c r="AD850" s="1">
        <v>44698</v>
      </c>
      <c r="AE850" t="str">
        <f>"SH23000407"</f>
        <v>SH23000407</v>
      </c>
      <c r="AF850" t="str">
        <f>"משלוחים ללקוח"</f>
        <v>משלוחים ללקוח</v>
      </c>
      <c r="AG850" s="1">
        <v>45007</v>
      </c>
      <c r="AM850" t="str">
        <f>"10"</f>
        <v>10</v>
      </c>
      <c r="AN850" t="str">
        <f>"500000"</f>
        <v>500000</v>
      </c>
      <c r="AO850" t="str">
        <f>"הכנסות  מלקוחות"</f>
        <v>הכנסות  מלקוחות</v>
      </c>
      <c r="AQ850" t="str">
        <f>"034"</f>
        <v>034</v>
      </c>
      <c r="AR850">
        <v>0</v>
      </c>
      <c r="AS850">
        <v>0</v>
      </c>
      <c r="AT850">
        <v>3.6419999999999999</v>
      </c>
      <c r="AX850" t="str">
        <f>"E000359087"</f>
        <v>E000359087</v>
      </c>
      <c r="BD850" t="str">
        <f>"ערן שלו"</f>
        <v>ערן שלו</v>
      </c>
    </row>
    <row r="851" spans="1:56" x14ac:dyDescent="0.3">
      <c r="A851" s="1">
        <v>45007</v>
      </c>
      <c r="B851" t="str">
        <f>"SI236000440"</f>
        <v>SI236000440</v>
      </c>
      <c r="C851" t="str">
        <f>"PR22000289"</f>
        <v>PR22000289</v>
      </c>
      <c r="E851" t="str">
        <f>"Y"</f>
        <v>Y</v>
      </c>
      <c r="F851" t="str">
        <f>"חשבוניות מרכזות"</f>
        <v>חשבוניות מרכזות</v>
      </c>
      <c r="G851" t="str">
        <f>"700065"</f>
        <v>700065</v>
      </c>
      <c r="H851" t="str">
        <f>"אלתא מערכות בע""מ"</f>
        <v>אלתא מערכות בע"מ</v>
      </c>
      <c r="I851" t="str">
        <f>"10"</f>
        <v>10</v>
      </c>
      <c r="J851" t="str">
        <f>"OP-ML00215"</f>
        <v>OP-ML00215</v>
      </c>
      <c r="K851" t="str">
        <f>"M - PDU מק""ט 6930H850-001"</f>
        <v>M - PDU מק"ט 6930H850-001</v>
      </c>
      <c r="L851">
        <v>1</v>
      </c>
      <c r="M851" t="str">
        <f>"יח"</f>
        <v>יח</v>
      </c>
      <c r="N851">
        <v>1</v>
      </c>
      <c r="O851" t="str">
        <f>"יח"</f>
        <v>יח</v>
      </c>
      <c r="P851" s="2">
        <v>14757</v>
      </c>
      <c r="Q851" t="str">
        <f>"$"</f>
        <v>$</v>
      </c>
      <c r="R851" t="str">
        <f>"הזמנה"</f>
        <v>הזמנה</v>
      </c>
      <c r="S851">
        <v>0</v>
      </c>
      <c r="T851" s="2">
        <v>14757</v>
      </c>
      <c r="U851">
        <v>0</v>
      </c>
      <c r="V851" s="2">
        <v>14757</v>
      </c>
      <c r="W851" t="str">
        <f>"$"</f>
        <v>$</v>
      </c>
      <c r="X851">
        <v>0</v>
      </c>
      <c r="Y851">
        <v>0</v>
      </c>
      <c r="Z851">
        <v>0</v>
      </c>
      <c r="AA851" t="str">
        <f>"Y"</f>
        <v>Y</v>
      </c>
      <c r="AB851" t="str">
        <f>"SO22000193"</f>
        <v>SO22000193</v>
      </c>
      <c r="AC851">
        <v>8</v>
      </c>
      <c r="AD851" s="1">
        <v>44698</v>
      </c>
      <c r="AE851" t="str">
        <f>"SH23000406"</f>
        <v>SH23000406</v>
      </c>
      <c r="AF851" t="str">
        <f>"משלוחים ללקוח"</f>
        <v>משלוחים ללקוח</v>
      </c>
      <c r="AG851" s="1">
        <v>45007</v>
      </c>
      <c r="AM851" t="str">
        <f>"10"</f>
        <v>10</v>
      </c>
      <c r="AN851" t="str">
        <f>"500000"</f>
        <v>500000</v>
      </c>
      <c r="AO851" t="str">
        <f>"הכנסות  מלקוחות"</f>
        <v>הכנסות  מלקוחות</v>
      </c>
      <c r="AQ851" t="str">
        <f>"034"</f>
        <v>034</v>
      </c>
      <c r="AR851">
        <v>0</v>
      </c>
      <c r="AS851">
        <v>0</v>
      </c>
      <c r="AT851">
        <v>3.6419999999999999</v>
      </c>
      <c r="AX851" t="str">
        <f>"E000359087"</f>
        <v>E000359087</v>
      </c>
      <c r="BD851" t="str">
        <f>"ערן שלו"</f>
        <v>ערן שלו</v>
      </c>
    </row>
    <row r="852" spans="1:56" x14ac:dyDescent="0.3">
      <c r="A852" s="1">
        <v>45007</v>
      </c>
      <c r="B852" t="str">
        <f>"SI236000414"</f>
        <v>SI236000414</v>
      </c>
      <c r="C852" t="str">
        <f>"PR22000632"</f>
        <v>PR22000632</v>
      </c>
      <c r="D852" t="str">
        <f>"PR22000632"</f>
        <v>PR22000632</v>
      </c>
      <c r="E852" t="str">
        <f>"Y"</f>
        <v>Y</v>
      </c>
      <c r="F852" t="str">
        <f>"חשבוניות מרכזות"</f>
        <v>חשבוניות מרכזות</v>
      </c>
      <c r="G852" t="str">
        <f>"700065"</f>
        <v>700065</v>
      </c>
      <c r="H852" t="str">
        <f>"אלתא מערכות בע""מ"</f>
        <v>אלתא מערכות בע"מ</v>
      </c>
      <c r="I852" t="str">
        <f>"15"</f>
        <v>15</v>
      </c>
      <c r="J852" t="str">
        <f>"OP-AR03353"</f>
        <v>OP-AR03353</v>
      </c>
      <c r="K852" t="str">
        <f>"1037V530-001  AC Power Cable For System Integration FULL TK"</f>
        <v>1037V530-001  AC Power Cable For System Integration FULL TK</v>
      </c>
      <c r="L852">
        <v>3</v>
      </c>
      <c r="M852" t="str">
        <f>"יח"</f>
        <v>יח</v>
      </c>
      <c r="N852">
        <v>3</v>
      </c>
      <c r="O852" t="str">
        <f>"יח"</f>
        <v>יח</v>
      </c>
      <c r="P852" s="2">
        <v>5620.84</v>
      </c>
      <c r="Q852" t="str">
        <f>"$"</f>
        <v>$</v>
      </c>
      <c r="R852" t="str">
        <f>"הזמנה"</f>
        <v>הזמנה</v>
      </c>
      <c r="S852">
        <v>0</v>
      </c>
      <c r="T852" s="2">
        <v>16862.52</v>
      </c>
      <c r="U852">
        <v>0</v>
      </c>
      <c r="V852" s="2">
        <v>16862.52</v>
      </c>
      <c r="W852" t="str">
        <f>"$"</f>
        <v>$</v>
      </c>
      <c r="X852">
        <v>0</v>
      </c>
      <c r="Y852">
        <v>0</v>
      </c>
      <c r="Z852">
        <v>0</v>
      </c>
      <c r="AA852" t="str">
        <f>"Y"</f>
        <v>Y</v>
      </c>
      <c r="AB852" t="str">
        <f>"SO22000370"</f>
        <v>SO22000370</v>
      </c>
      <c r="AC852">
        <v>6</v>
      </c>
      <c r="AD852" s="1">
        <v>44833</v>
      </c>
      <c r="AE852" t="str">
        <f>"SH23000387"</f>
        <v>SH23000387</v>
      </c>
      <c r="AF852" t="str">
        <f>"משלוחים ללקוח"</f>
        <v>משלוחים ללקוח</v>
      </c>
      <c r="AG852" s="1">
        <v>45006</v>
      </c>
      <c r="AM852" t="str">
        <f>"10"</f>
        <v>10</v>
      </c>
      <c r="AN852" t="str">
        <f>"500000"</f>
        <v>500000</v>
      </c>
      <c r="AO852" t="str">
        <f>"הכנסות  מלקוחות"</f>
        <v>הכנסות  מלקוחות</v>
      </c>
      <c r="AQ852" t="str">
        <f>"040"</f>
        <v>040</v>
      </c>
      <c r="AR852">
        <v>0</v>
      </c>
      <c r="AS852">
        <v>0</v>
      </c>
      <c r="AT852">
        <v>3.6419999999999999</v>
      </c>
      <c r="AX852" t="str">
        <f>"E000374958"</f>
        <v>E000374958</v>
      </c>
      <c r="BD852" t="str">
        <f>"רחמים זרוק"</f>
        <v>רחמים זרוק</v>
      </c>
    </row>
    <row r="853" spans="1:56" x14ac:dyDescent="0.3">
      <c r="A853" s="1">
        <v>45006</v>
      </c>
      <c r="B853" t="str">
        <f>"SI236000399"</f>
        <v>SI236000399</v>
      </c>
      <c r="E853" t="str">
        <f>"Y"</f>
        <v>Y</v>
      </c>
      <c r="F853" t="str">
        <f>"חשבוניות מרכזות"</f>
        <v>חשבוניות מרכזות</v>
      </c>
      <c r="G853" t="str">
        <f>"700065"</f>
        <v>700065</v>
      </c>
      <c r="H853" t="str">
        <f>"אלתא מערכות בע""מ"</f>
        <v>אלתא מערכות בע"מ</v>
      </c>
      <c r="I853" t="str">
        <f>"10"</f>
        <v>10</v>
      </c>
      <c r="J853" t="str">
        <f>"999"</f>
        <v>999</v>
      </c>
      <c r="K853" t="str">
        <f>"קופסה-רגל מערכת כוח 6 PQ23000"</f>
        <v>קופסה-רגל מערכת כוח 6 PQ23000</v>
      </c>
      <c r="L853">
        <v>1</v>
      </c>
      <c r="M853" t="str">
        <f>"חל"</f>
        <v>חל</v>
      </c>
      <c r="N853">
        <v>1</v>
      </c>
      <c r="O853" t="str">
        <f>"חל"</f>
        <v>חל</v>
      </c>
      <c r="P853" s="2">
        <v>3000</v>
      </c>
      <c r="Q853" t="str">
        <f>"$"</f>
        <v>$</v>
      </c>
      <c r="R853" t="str">
        <f>"הזמנה"</f>
        <v>הזמנה</v>
      </c>
      <c r="S853">
        <v>0</v>
      </c>
      <c r="T853" s="2">
        <v>3000</v>
      </c>
      <c r="U853">
        <v>0</v>
      </c>
      <c r="V853" s="2">
        <v>3000</v>
      </c>
      <c r="W853" t="str">
        <f>"$"</f>
        <v>$</v>
      </c>
      <c r="X853">
        <v>0</v>
      </c>
      <c r="Y853">
        <v>0</v>
      </c>
      <c r="Z853">
        <v>0</v>
      </c>
      <c r="AA853" t="str">
        <f>"Y"</f>
        <v>Y</v>
      </c>
      <c r="AB853" t="str">
        <f>"SO23000113"</f>
        <v>SO23000113</v>
      </c>
      <c r="AC853">
        <v>1</v>
      </c>
      <c r="AD853" s="1">
        <v>44980</v>
      </c>
      <c r="AM853" t="str">
        <f>"10"</f>
        <v>10</v>
      </c>
      <c r="AN853" t="str">
        <f>"500000"</f>
        <v>500000</v>
      </c>
      <c r="AO853" t="str">
        <f>"הכנסות  מלקוחות"</f>
        <v>הכנסות  מלקוחות</v>
      </c>
      <c r="AQ853" t="str">
        <f>"034"</f>
        <v>034</v>
      </c>
      <c r="AR853">
        <v>0</v>
      </c>
      <c r="AS853">
        <v>0</v>
      </c>
      <c r="AT853">
        <v>3.65</v>
      </c>
      <c r="AX853" t="str">
        <f>"E000387886"</f>
        <v>E000387886</v>
      </c>
      <c r="BD853" t="str">
        <f>"ערן שלו"</f>
        <v>ערן שלו</v>
      </c>
    </row>
    <row r="854" spans="1:56" x14ac:dyDescent="0.3">
      <c r="A854" s="1">
        <v>45004</v>
      </c>
      <c r="B854" t="str">
        <f>"SI236000389"</f>
        <v>SI236000389</v>
      </c>
      <c r="C854" t="str">
        <f>"PR22000624"</f>
        <v>PR22000624</v>
      </c>
      <c r="E854" t="str">
        <f>"Y"</f>
        <v>Y</v>
      </c>
      <c r="F854" t="str">
        <f>"חשבוניות מרכזות"</f>
        <v>חשבוניות מרכזות</v>
      </c>
      <c r="G854" t="str">
        <f>"700065"</f>
        <v>700065</v>
      </c>
      <c r="H854" t="str">
        <f>"אלתא מערכות בע""מ"</f>
        <v>אלתא מערכות בע"מ</v>
      </c>
      <c r="I854" t="str">
        <f>"15"</f>
        <v>15</v>
      </c>
      <c r="J854" t="str">
        <f>"OP-AR03203"</f>
        <v>OP-AR03203</v>
      </c>
      <c r="K854" t="str">
        <f>"2083B312-001   VPW3 CABLE ASSY"</f>
        <v>2083B312-001   VPW3 CABLE ASSY</v>
      </c>
      <c r="L854">
        <v>-2</v>
      </c>
      <c r="M854" t="str">
        <f>"יח"</f>
        <v>יח</v>
      </c>
      <c r="N854">
        <v>-2</v>
      </c>
      <c r="O854" t="str">
        <f>"יח"</f>
        <v>יח</v>
      </c>
      <c r="P854">
        <v>684.11</v>
      </c>
      <c r="Q854" t="str">
        <f>"$"</f>
        <v>$</v>
      </c>
      <c r="R854" t="str">
        <f>"הזמנה"</f>
        <v>הזמנה</v>
      </c>
      <c r="S854">
        <v>0</v>
      </c>
      <c r="T854" s="2">
        <v>-1368.22</v>
      </c>
      <c r="U854">
        <v>0</v>
      </c>
      <c r="V854" s="2">
        <v>-1368.22</v>
      </c>
      <c r="W854" t="str">
        <f>"$"</f>
        <v>$</v>
      </c>
      <c r="X854">
        <v>0</v>
      </c>
      <c r="Y854">
        <v>0</v>
      </c>
      <c r="Z854">
        <v>0</v>
      </c>
      <c r="AA854" t="str">
        <f>"Y"</f>
        <v>Y</v>
      </c>
      <c r="AC854">
        <v>0</v>
      </c>
      <c r="AM854" t="str">
        <f>"10"</f>
        <v>10</v>
      </c>
      <c r="AN854" t="str">
        <f>"500000"</f>
        <v>500000</v>
      </c>
      <c r="AO854" t="str">
        <f>"הכנסות  מלקוחות"</f>
        <v>הכנסות  מלקוחות</v>
      </c>
      <c r="AQ854" t="str">
        <f>"040"</f>
        <v>040</v>
      </c>
      <c r="AR854">
        <v>0</v>
      </c>
      <c r="AS854">
        <v>0</v>
      </c>
      <c r="AT854">
        <v>3.589</v>
      </c>
      <c r="BB854" t="str">
        <f>"Y"</f>
        <v>Y</v>
      </c>
      <c r="BD854" t="str">
        <f>"רחמים זרוק"</f>
        <v>רחמים זרוק</v>
      </c>
    </row>
    <row r="855" spans="1:56" x14ac:dyDescent="0.3">
      <c r="A855" s="1">
        <v>45004</v>
      </c>
      <c r="B855" t="str">
        <f>"SI236000388"</f>
        <v>SI236000388</v>
      </c>
      <c r="C855" t="str">
        <f>"PR22000479"</f>
        <v>PR22000479</v>
      </c>
      <c r="E855" t="str">
        <f>"Y"</f>
        <v>Y</v>
      </c>
      <c r="F855" t="str">
        <f>"חשבוניות מרכזות"</f>
        <v>חשבוניות מרכזות</v>
      </c>
      <c r="G855" t="str">
        <f>"700065"</f>
        <v>700065</v>
      </c>
      <c r="H855" t="str">
        <f>"אלתא מערכות בע""מ"</f>
        <v>אלתא מערכות בע"מ</v>
      </c>
      <c r="I855" t="str">
        <f>"15"</f>
        <v>15</v>
      </c>
      <c r="J855" t="str">
        <f>"OP-AR03204"</f>
        <v>OP-AR03204</v>
      </c>
      <c r="K855" t="str">
        <f>"2112B728-001    NG WDTRM CABLE"</f>
        <v>2112B728-001    NG WDTRM CABLE</v>
      </c>
      <c r="L855">
        <v>-2</v>
      </c>
      <c r="M855" t="str">
        <f>"יח"</f>
        <v>יח</v>
      </c>
      <c r="N855">
        <v>-2</v>
      </c>
      <c r="O855" t="str">
        <f>"יח"</f>
        <v>יח</v>
      </c>
      <c r="P855">
        <v>471.08</v>
      </c>
      <c r="Q855" t="str">
        <f>"$"</f>
        <v>$</v>
      </c>
      <c r="R855" t="str">
        <f>"הזמנה"</f>
        <v>הזמנה</v>
      </c>
      <c r="S855">
        <v>0</v>
      </c>
      <c r="T855">
        <v>-942.16</v>
      </c>
      <c r="U855">
        <v>0</v>
      </c>
      <c r="V855">
        <v>-942.16</v>
      </c>
      <c r="W855" t="str">
        <f>"$"</f>
        <v>$</v>
      </c>
      <c r="X855">
        <v>0</v>
      </c>
      <c r="Y855">
        <v>0</v>
      </c>
      <c r="Z855">
        <v>0</v>
      </c>
      <c r="AA855" t="str">
        <f>"Y"</f>
        <v>Y</v>
      </c>
      <c r="AC855">
        <v>0</v>
      </c>
      <c r="AM855" t="str">
        <f>"10"</f>
        <v>10</v>
      </c>
      <c r="AN855" t="str">
        <f>"500000"</f>
        <v>500000</v>
      </c>
      <c r="AO855" t="str">
        <f>"הכנסות  מלקוחות"</f>
        <v>הכנסות  מלקוחות</v>
      </c>
      <c r="AQ855" t="str">
        <f>"040"</f>
        <v>040</v>
      </c>
      <c r="AR855">
        <v>0</v>
      </c>
      <c r="AS855">
        <v>0</v>
      </c>
      <c r="AT855">
        <v>3.589</v>
      </c>
      <c r="BB855" t="str">
        <f>"Y"</f>
        <v>Y</v>
      </c>
      <c r="BD855" t="str">
        <f>"רחמים זרוק"</f>
        <v>רחמים זרוק</v>
      </c>
    </row>
    <row r="856" spans="1:56" x14ac:dyDescent="0.3">
      <c r="A856" s="1">
        <v>45004</v>
      </c>
      <c r="B856" t="str">
        <f>"SI236000386"</f>
        <v>SI236000386</v>
      </c>
      <c r="C856" t="str">
        <f>"PR22000479"</f>
        <v>PR22000479</v>
      </c>
      <c r="E856" t="str">
        <f>"Y"</f>
        <v>Y</v>
      </c>
      <c r="F856" t="str">
        <f>"חשבוניות מרכזות"</f>
        <v>חשבוניות מרכזות</v>
      </c>
      <c r="G856" t="str">
        <f>"700065"</f>
        <v>700065</v>
      </c>
      <c r="H856" t="str">
        <f>"אלתא מערכות בע""מ"</f>
        <v>אלתא מערכות בע"מ</v>
      </c>
      <c r="I856" t="str">
        <f>"15"</f>
        <v>15</v>
      </c>
      <c r="J856" t="str">
        <f>"OP-AR03204"</f>
        <v>OP-AR03204</v>
      </c>
      <c r="K856" t="str">
        <f>"2112B728-001    NG WDTRM CABLE"</f>
        <v>2112B728-001    NG WDTRM CABLE</v>
      </c>
      <c r="L856">
        <v>2</v>
      </c>
      <c r="M856" t="str">
        <f>"יח"</f>
        <v>יח</v>
      </c>
      <c r="N856">
        <v>2</v>
      </c>
      <c r="O856" t="str">
        <f>"יח"</f>
        <v>יח</v>
      </c>
      <c r="P856">
        <v>471.08</v>
      </c>
      <c r="Q856" t="str">
        <f>"$"</f>
        <v>$</v>
      </c>
      <c r="R856" t="str">
        <f>"הזמנה"</f>
        <v>הזמנה</v>
      </c>
      <c r="S856">
        <v>0</v>
      </c>
      <c r="T856">
        <v>942.16</v>
      </c>
      <c r="U856">
        <v>0</v>
      </c>
      <c r="V856">
        <v>942.16</v>
      </c>
      <c r="W856" t="str">
        <f>"$"</f>
        <v>$</v>
      </c>
      <c r="X856">
        <v>0</v>
      </c>
      <c r="Y856">
        <v>0</v>
      </c>
      <c r="Z856">
        <v>0</v>
      </c>
      <c r="AA856" t="str">
        <f>"Y"</f>
        <v>Y</v>
      </c>
      <c r="AC856">
        <v>0</v>
      </c>
      <c r="AM856" t="str">
        <f>"10"</f>
        <v>10</v>
      </c>
      <c r="AN856" t="str">
        <f>"500000"</f>
        <v>500000</v>
      </c>
      <c r="AO856" t="str">
        <f>"הכנסות  מלקוחות"</f>
        <v>הכנסות  מלקוחות</v>
      </c>
      <c r="AQ856" t="str">
        <f>"040"</f>
        <v>040</v>
      </c>
      <c r="AR856">
        <v>0</v>
      </c>
      <c r="AS856">
        <v>0</v>
      </c>
      <c r="AT856">
        <v>3.589</v>
      </c>
      <c r="BB856" t="str">
        <f>"Y"</f>
        <v>Y</v>
      </c>
      <c r="BD856" t="str">
        <f>"רחמים זרוק"</f>
        <v>רחמים זרוק</v>
      </c>
    </row>
    <row r="857" spans="1:56" x14ac:dyDescent="0.3">
      <c r="A857" s="1">
        <v>45004</v>
      </c>
      <c r="B857" t="str">
        <f>"SI236000385"</f>
        <v>SI236000385</v>
      </c>
      <c r="C857" t="str">
        <f>"PR22000624"</f>
        <v>PR22000624</v>
      </c>
      <c r="E857" t="str">
        <f>"Y"</f>
        <v>Y</v>
      </c>
      <c r="F857" t="str">
        <f>"חשבוניות מרכזות"</f>
        <v>חשבוניות מרכזות</v>
      </c>
      <c r="G857" t="str">
        <f>"700065"</f>
        <v>700065</v>
      </c>
      <c r="H857" t="str">
        <f>"אלתא מערכות בע""מ"</f>
        <v>אלתא מערכות בע"מ</v>
      </c>
      <c r="I857" t="str">
        <f>"15"</f>
        <v>15</v>
      </c>
      <c r="J857" t="str">
        <f>"OP-AR03203"</f>
        <v>OP-AR03203</v>
      </c>
      <c r="K857" t="str">
        <f>"2083B312-001   VPW3 CABLE ASSY"</f>
        <v>2083B312-001   VPW3 CABLE ASSY</v>
      </c>
      <c r="L857">
        <v>2</v>
      </c>
      <c r="M857" t="str">
        <f>"יח"</f>
        <v>יח</v>
      </c>
      <c r="N857">
        <v>2</v>
      </c>
      <c r="O857" t="str">
        <f>"יח"</f>
        <v>יח</v>
      </c>
      <c r="P857">
        <v>684.11</v>
      </c>
      <c r="Q857" t="str">
        <f>"$"</f>
        <v>$</v>
      </c>
      <c r="R857" t="str">
        <f>"הזמנה"</f>
        <v>הזמנה</v>
      </c>
      <c r="S857">
        <v>0</v>
      </c>
      <c r="T857" s="2">
        <v>1368.22</v>
      </c>
      <c r="U857">
        <v>0</v>
      </c>
      <c r="V857" s="2">
        <v>1368.22</v>
      </c>
      <c r="W857" t="str">
        <f>"$"</f>
        <v>$</v>
      </c>
      <c r="X857">
        <v>0</v>
      </c>
      <c r="Y857">
        <v>0</v>
      </c>
      <c r="Z857">
        <v>0</v>
      </c>
      <c r="AA857" t="str">
        <f>"Y"</f>
        <v>Y</v>
      </c>
      <c r="AC857">
        <v>0</v>
      </c>
      <c r="AM857" t="str">
        <f>"10"</f>
        <v>10</v>
      </c>
      <c r="AN857" t="str">
        <f>"500000"</f>
        <v>500000</v>
      </c>
      <c r="AO857" t="str">
        <f>"הכנסות  מלקוחות"</f>
        <v>הכנסות  מלקוחות</v>
      </c>
      <c r="AQ857" t="str">
        <f>"040"</f>
        <v>040</v>
      </c>
      <c r="AR857">
        <v>0</v>
      </c>
      <c r="AS857">
        <v>0</v>
      </c>
      <c r="AT857">
        <v>3.589</v>
      </c>
      <c r="BB857" t="str">
        <f>"Y"</f>
        <v>Y</v>
      </c>
      <c r="BD857" t="str">
        <f>"רחמים זרוק"</f>
        <v>רחמים זרוק</v>
      </c>
    </row>
    <row r="858" spans="1:56" x14ac:dyDescent="0.3">
      <c r="A858" s="1">
        <v>45001</v>
      </c>
      <c r="B858" t="str">
        <f>"SI236000376"</f>
        <v>SI236000376</v>
      </c>
      <c r="E858" t="str">
        <f>"Y"</f>
        <v>Y</v>
      </c>
      <c r="F858" t="str">
        <f>"חשבוניות מרכזות"</f>
        <v>חשבוניות מרכזות</v>
      </c>
      <c r="G858" t="str">
        <f>"700065"</f>
        <v>700065</v>
      </c>
      <c r="H858" t="str">
        <f>"אלתא מערכות בע""מ"</f>
        <v>אלתא מערכות בע"מ</v>
      </c>
      <c r="I858" t="str">
        <f>"10"</f>
        <v>10</v>
      </c>
      <c r="J858" t="str">
        <f>"000"</f>
        <v>000</v>
      </c>
      <c r="K858" t="str">
        <f>"שדרוג מגירת הספקים+UPS מארז מ"</f>
        <v>שדרוג מגירת הספקים+UPS מארז מ</v>
      </c>
      <c r="L858">
        <v>1</v>
      </c>
      <c r="M858" t="str">
        <f>"יח"</f>
        <v>יח</v>
      </c>
      <c r="N858">
        <v>1</v>
      </c>
      <c r="O858" t="str">
        <f>"יח"</f>
        <v>יח</v>
      </c>
      <c r="P858" s="2">
        <v>2400</v>
      </c>
      <c r="Q858" t="str">
        <f>"$"</f>
        <v>$</v>
      </c>
      <c r="R858" t="str">
        <f>"הזמנה"</f>
        <v>הזמנה</v>
      </c>
      <c r="S858">
        <v>0</v>
      </c>
      <c r="T858" s="2">
        <v>2400</v>
      </c>
      <c r="U858">
        <v>0</v>
      </c>
      <c r="V858" s="2">
        <v>2400</v>
      </c>
      <c r="W858" t="str">
        <f>"$"</f>
        <v>$</v>
      </c>
      <c r="X858">
        <v>0</v>
      </c>
      <c r="Y858">
        <v>0</v>
      </c>
      <c r="Z858">
        <v>0</v>
      </c>
      <c r="AA858" t="str">
        <f>"Y"</f>
        <v>Y</v>
      </c>
      <c r="AB858" t="str">
        <f>"SO22000489"</f>
        <v>SO22000489</v>
      </c>
      <c r="AC858">
        <v>6</v>
      </c>
      <c r="AD858" s="1">
        <v>44922</v>
      </c>
      <c r="AM858" t="str">
        <f>"10"</f>
        <v>10</v>
      </c>
      <c r="AN858" t="str">
        <f>"500000"</f>
        <v>500000</v>
      </c>
      <c r="AO858" t="str">
        <f>"הכנסות  מלקוחות"</f>
        <v>הכנסות  מלקוחות</v>
      </c>
      <c r="AQ858" t="str">
        <f>"040"</f>
        <v>040</v>
      </c>
      <c r="AR858">
        <v>0</v>
      </c>
      <c r="AS858">
        <v>0</v>
      </c>
      <c r="AT858">
        <v>3.641</v>
      </c>
      <c r="AX858" t="str">
        <f>"E000382417"</f>
        <v>E000382417</v>
      </c>
      <c r="BD858" t="str">
        <f>"רחמים זרוק"</f>
        <v>רחמים זרוק</v>
      </c>
    </row>
    <row r="859" spans="1:56" x14ac:dyDescent="0.3">
      <c r="A859" s="1">
        <v>45000</v>
      </c>
      <c r="B859" t="str">
        <f>"SI236000435"</f>
        <v>SI236000435</v>
      </c>
      <c r="C859" t="str">
        <f>"PR22000671"</f>
        <v>PR22000671</v>
      </c>
      <c r="E859" t="str">
        <f>"Y"</f>
        <v>Y</v>
      </c>
      <c r="F859" t="str">
        <f>"חשבוניות מרכזות"</f>
        <v>חשבוניות מרכזות</v>
      </c>
      <c r="G859" t="str">
        <f>"700065"</f>
        <v>700065</v>
      </c>
      <c r="H859" t="str">
        <f>"אלתא מערכות בע""מ"</f>
        <v>אלתא מערכות בע"מ</v>
      </c>
      <c r="I859" t="str">
        <f>"15"</f>
        <v>15</v>
      </c>
      <c r="J859" t="str">
        <f>"OP-AR03373"</f>
        <v>OP-AR03373</v>
      </c>
      <c r="K859" t="str">
        <f>"2218B756-001    Power Cable ASSY"</f>
        <v>2218B756-001    Power Cable ASSY</v>
      </c>
      <c r="L859">
        <v>-5</v>
      </c>
      <c r="M859" t="str">
        <f>"יח"</f>
        <v>יח</v>
      </c>
      <c r="N859">
        <v>-5</v>
      </c>
      <c r="O859" t="str">
        <f>"יח"</f>
        <v>יח</v>
      </c>
      <c r="P859">
        <v>342.45</v>
      </c>
      <c r="Q859" t="str">
        <f>"$"</f>
        <v>$</v>
      </c>
      <c r="R859" t="str">
        <f>"הזמנה"</f>
        <v>הזמנה</v>
      </c>
      <c r="S859">
        <v>0</v>
      </c>
      <c r="T859" s="2">
        <v>-1712.25</v>
      </c>
      <c r="U859">
        <v>0</v>
      </c>
      <c r="V859" s="2">
        <v>-1712.25</v>
      </c>
      <c r="W859" t="str">
        <f>"$"</f>
        <v>$</v>
      </c>
      <c r="X859">
        <v>0</v>
      </c>
      <c r="Y859">
        <v>0</v>
      </c>
      <c r="Z859">
        <v>0</v>
      </c>
      <c r="AA859" t="str">
        <f>"Y"</f>
        <v>Y</v>
      </c>
      <c r="AC859">
        <v>0</v>
      </c>
      <c r="AM859" t="str">
        <f>"10"</f>
        <v>10</v>
      </c>
      <c r="AN859" t="str">
        <f>"500000"</f>
        <v>500000</v>
      </c>
      <c r="AO859" t="str">
        <f>"הכנסות  מלקוחות"</f>
        <v>הכנסות  מלקוחות</v>
      </c>
      <c r="AQ859" t="str">
        <f>"040"</f>
        <v>040</v>
      </c>
      <c r="AR859">
        <v>0</v>
      </c>
      <c r="AS859">
        <v>0</v>
      </c>
      <c r="AT859">
        <v>3.6640000000000001</v>
      </c>
      <c r="BB859" t="str">
        <f>"Y"</f>
        <v>Y</v>
      </c>
      <c r="BD859" t="str">
        <f>"רחמים זרוק"</f>
        <v>רחמים זרוק</v>
      </c>
    </row>
    <row r="860" spans="1:56" x14ac:dyDescent="0.3">
      <c r="A860" s="1">
        <v>45000</v>
      </c>
      <c r="B860" t="str">
        <f>"SI236000433"</f>
        <v>SI236000433</v>
      </c>
      <c r="C860" t="str">
        <f>"PR22000824"</f>
        <v>PR22000824</v>
      </c>
      <c r="E860" t="str">
        <f>"Y"</f>
        <v>Y</v>
      </c>
      <c r="F860" t="str">
        <f>"חשבוניות מרכזות"</f>
        <v>חשבוניות מרכזות</v>
      </c>
      <c r="G860" t="str">
        <f>"700065"</f>
        <v>700065</v>
      </c>
      <c r="H860" t="str">
        <f>"אלתא מערכות בע""מ"</f>
        <v>אלתא מערכות בע"מ</v>
      </c>
      <c r="I860" t="str">
        <f>"15"</f>
        <v>15</v>
      </c>
      <c r="J860" t="str">
        <f>"OP-AR03394"</f>
        <v>OP-AR03394</v>
      </c>
      <c r="K860" t="str">
        <f>"2227B392-001    HARNESS W392 - LVCS TO ANT POWER"</f>
        <v>2227B392-001    HARNESS W392 - LVCS TO ANT POWER</v>
      </c>
      <c r="L860">
        <v>2</v>
      </c>
      <c r="M860" t="str">
        <f>"יח"</f>
        <v>יח</v>
      </c>
      <c r="N860">
        <v>2</v>
      </c>
      <c r="O860" t="str">
        <f>"יח"</f>
        <v>יח</v>
      </c>
      <c r="P860">
        <v>673.87</v>
      </c>
      <c r="Q860" t="str">
        <f>"$"</f>
        <v>$</v>
      </c>
      <c r="R860" t="str">
        <f>"הזמנה"</f>
        <v>הזמנה</v>
      </c>
      <c r="S860">
        <v>0</v>
      </c>
      <c r="T860" s="2">
        <v>1347.74</v>
      </c>
      <c r="U860">
        <v>0</v>
      </c>
      <c r="V860" s="2">
        <v>1347.74</v>
      </c>
      <c r="W860" t="str">
        <f>"$"</f>
        <v>$</v>
      </c>
      <c r="X860">
        <v>0</v>
      </c>
      <c r="Y860">
        <v>0</v>
      </c>
      <c r="Z860">
        <v>0</v>
      </c>
      <c r="AA860" t="str">
        <f>"Y"</f>
        <v>Y</v>
      </c>
      <c r="AB860" t="str">
        <f>"SO22000424"</f>
        <v>SO22000424</v>
      </c>
      <c r="AC860">
        <v>2</v>
      </c>
      <c r="AD860" s="1">
        <v>44892</v>
      </c>
      <c r="AE860" t="str">
        <f>"SH23000333"</f>
        <v>SH23000333</v>
      </c>
      <c r="AF860" t="str">
        <f>"משלוחים ללקוח"</f>
        <v>משלוחים ללקוח</v>
      </c>
      <c r="AG860" s="1">
        <v>44993</v>
      </c>
      <c r="AM860" t="str">
        <f>"10"</f>
        <v>10</v>
      </c>
      <c r="AN860" t="str">
        <f>"500000"</f>
        <v>500000</v>
      </c>
      <c r="AO860" t="str">
        <f>"הכנסות  מלקוחות"</f>
        <v>הכנסות  מלקוחות</v>
      </c>
      <c r="AQ860" t="str">
        <f>"040"</f>
        <v>040</v>
      </c>
      <c r="AR860">
        <v>0</v>
      </c>
      <c r="AS860">
        <v>0</v>
      </c>
      <c r="AT860">
        <v>3.641</v>
      </c>
      <c r="AX860" t="str">
        <f>"E000378274"</f>
        <v>E000378274</v>
      </c>
      <c r="BD860" t="str">
        <f>"רחמים זרוק"</f>
        <v>רחמים זרוק</v>
      </c>
    </row>
    <row r="861" spans="1:56" x14ac:dyDescent="0.3">
      <c r="A861" s="1">
        <v>45000</v>
      </c>
      <c r="B861" t="str">
        <f>"SI236000433"</f>
        <v>SI236000433</v>
      </c>
      <c r="C861" t="str">
        <f>"PR22000824"</f>
        <v>PR22000824</v>
      </c>
      <c r="E861" t="str">
        <f>"Y"</f>
        <v>Y</v>
      </c>
      <c r="F861" t="str">
        <f>"חשבוניות מרכזות"</f>
        <v>חשבוניות מרכזות</v>
      </c>
      <c r="G861" t="str">
        <f>"700065"</f>
        <v>700065</v>
      </c>
      <c r="H861" t="str">
        <f>"אלתא מערכות בע""מ"</f>
        <v>אלתא מערכות בע"מ</v>
      </c>
      <c r="I861" t="str">
        <f>"15"</f>
        <v>15</v>
      </c>
      <c r="J861" t="str">
        <f>"OP-AR03396"</f>
        <v>OP-AR03396</v>
      </c>
      <c r="K861" t="str">
        <f>"2227B396-001    HARNESS W396 - LVCS TO ANT POWER"</f>
        <v>2227B396-001    HARNESS W396 - LVCS TO ANT POWER</v>
      </c>
      <c r="L861">
        <v>2</v>
      </c>
      <c r="M861" t="str">
        <f>"יח"</f>
        <v>יח</v>
      </c>
      <c r="N861">
        <v>2</v>
      </c>
      <c r="O861" t="str">
        <f>"יח"</f>
        <v>יח</v>
      </c>
      <c r="P861">
        <v>673.87</v>
      </c>
      <c r="Q861" t="str">
        <f>"$"</f>
        <v>$</v>
      </c>
      <c r="R861" t="str">
        <f>"הזמנה"</f>
        <v>הזמנה</v>
      </c>
      <c r="S861">
        <v>0</v>
      </c>
      <c r="T861" s="2">
        <v>1347.74</v>
      </c>
      <c r="U861">
        <v>0</v>
      </c>
      <c r="V861" s="2">
        <v>1347.74</v>
      </c>
      <c r="W861" t="str">
        <f>"$"</f>
        <v>$</v>
      </c>
      <c r="X861">
        <v>0</v>
      </c>
      <c r="Y861">
        <v>0</v>
      </c>
      <c r="Z861">
        <v>0</v>
      </c>
      <c r="AA861" t="str">
        <f>"Y"</f>
        <v>Y</v>
      </c>
      <c r="AB861" t="str">
        <f>"SO22000424"</f>
        <v>SO22000424</v>
      </c>
      <c r="AC861">
        <v>4</v>
      </c>
      <c r="AD861" s="1">
        <v>44892</v>
      </c>
      <c r="AE861" t="str">
        <f>"SH23000333"</f>
        <v>SH23000333</v>
      </c>
      <c r="AF861" t="str">
        <f>"משלוחים ללקוח"</f>
        <v>משלוחים ללקוח</v>
      </c>
      <c r="AG861" s="1">
        <v>44993</v>
      </c>
      <c r="AM861" t="str">
        <f>"10"</f>
        <v>10</v>
      </c>
      <c r="AN861" t="str">
        <f>"500000"</f>
        <v>500000</v>
      </c>
      <c r="AO861" t="str">
        <f>"הכנסות  מלקוחות"</f>
        <v>הכנסות  מלקוחות</v>
      </c>
      <c r="AQ861" t="str">
        <f>"040"</f>
        <v>040</v>
      </c>
      <c r="AR861">
        <v>0</v>
      </c>
      <c r="AS861">
        <v>0</v>
      </c>
      <c r="AT861">
        <v>3.641</v>
      </c>
      <c r="AX861" t="str">
        <f>"E000378274"</f>
        <v>E000378274</v>
      </c>
      <c r="BD861" t="str">
        <f>"רחמים זרוק"</f>
        <v>רחמים זרוק</v>
      </c>
    </row>
    <row r="862" spans="1:56" x14ac:dyDescent="0.3">
      <c r="A862" s="1">
        <v>45000</v>
      </c>
      <c r="B862" t="str">
        <f>"SI236000432"</f>
        <v>SI236000432</v>
      </c>
      <c r="C862" t="str">
        <f>"PR22000824"</f>
        <v>PR22000824</v>
      </c>
      <c r="E862" t="str">
        <f>"Y"</f>
        <v>Y</v>
      </c>
      <c r="F862" t="str">
        <f>"חשבוניות מרכזות"</f>
        <v>חשבוניות מרכזות</v>
      </c>
      <c r="G862" t="str">
        <f>"700065"</f>
        <v>700065</v>
      </c>
      <c r="H862" t="str">
        <f>"אלתא מערכות בע""מ"</f>
        <v>אלתא מערכות בע"מ</v>
      </c>
      <c r="I862" t="str">
        <f>"15"</f>
        <v>15</v>
      </c>
      <c r="J862" t="str">
        <f>"OP-AR03394"</f>
        <v>OP-AR03394</v>
      </c>
      <c r="K862" t="str">
        <f>"2227B392-001    HARNESS W392 - LVCS TO ANT POWER"</f>
        <v>2227B392-001    HARNESS W392 - LVCS TO ANT POWER</v>
      </c>
      <c r="L862">
        <v>-2</v>
      </c>
      <c r="M862" t="str">
        <f>"יח"</f>
        <v>יח</v>
      </c>
      <c r="N862">
        <v>-2</v>
      </c>
      <c r="O862" t="str">
        <f>"יח"</f>
        <v>יח</v>
      </c>
      <c r="P862">
        <v>673.87</v>
      </c>
      <c r="Q862" t="str">
        <f>"$"</f>
        <v>$</v>
      </c>
      <c r="R862" t="str">
        <f>"הזמנה"</f>
        <v>הזמנה</v>
      </c>
      <c r="S862">
        <v>0</v>
      </c>
      <c r="T862" s="2">
        <v>-1347.74</v>
      </c>
      <c r="U862">
        <v>0</v>
      </c>
      <c r="V862" s="2">
        <v>-1347.74</v>
      </c>
      <c r="W862" t="str">
        <f>"$"</f>
        <v>$</v>
      </c>
      <c r="X862">
        <v>0</v>
      </c>
      <c r="Y862">
        <v>0</v>
      </c>
      <c r="Z862">
        <v>0</v>
      </c>
      <c r="AA862" t="str">
        <f>"Y"</f>
        <v>Y</v>
      </c>
      <c r="AC862">
        <v>0</v>
      </c>
      <c r="AM862" t="str">
        <f>"10"</f>
        <v>10</v>
      </c>
      <c r="AN862" t="str">
        <f>"500000"</f>
        <v>500000</v>
      </c>
      <c r="AO862" t="str">
        <f>"הכנסות  מלקוחות"</f>
        <v>הכנסות  מלקוחות</v>
      </c>
      <c r="AQ862" t="str">
        <f>"040"</f>
        <v>040</v>
      </c>
      <c r="AR862">
        <v>0</v>
      </c>
      <c r="AS862">
        <v>0</v>
      </c>
      <c r="AT862">
        <v>3.589</v>
      </c>
      <c r="BB862" t="str">
        <f>"Y"</f>
        <v>Y</v>
      </c>
      <c r="BD862" t="str">
        <f>"רחמים זרוק"</f>
        <v>רחמים זרוק</v>
      </c>
    </row>
    <row r="863" spans="1:56" x14ac:dyDescent="0.3">
      <c r="A863" s="1">
        <v>45000</v>
      </c>
      <c r="B863" t="str">
        <f>"SI236000432"</f>
        <v>SI236000432</v>
      </c>
      <c r="C863" t="str">
        <f>"PR22000824"</f>
        <v>PR22000824</v>
      </c>
      <c r="E863" t="str">
        <f>"Y"</f>
        <v>Y</v>
      </c>
      <c r="F863" t="str">
        <f>"חשבוניות מרכזות"</f>
        <v>חשבוניות מרכזות</v>
      </c>
      <c r="G863" t="str">
        <f>"700065"</f>
        <v>700065</v>
      </c>
      <c r="H863" t="str">
        <f>"אלתא מערכות בע""מ"</f>
        <v>אלתא מערכות בע"מ</v>
      </c>
      <c r="I863" t="str">
        <f>"15"</f>
        <v>15</v>
      </c>
      <c r="J863" t="str">
        <f>"OP-AR03396"</f>
        <v>OP-AR03396</v>
      </c>
      <c r="K863" t="str">
        <f>"2227B396-001    HARNESS W396 - LVCS TO ANT POWER"</f>
        <v>2227B396-001    HARNESS W396 - LVCS TO ANT POWER</v>
      </c>
      <c r="L863">
        <v>-2</v>
      </c>
      <c r="M863" t="str">
        <f>"יח"</f>
        <v>יח</v>
      </c>
      <c r="N863">
        <v>-2</v>
      </c>
      <c r="O863" t="str">
        <f>"יח"</f>
        <v>יח</v>
      </c>
      <c r="P863">
        <v>673.87</v>
      </c>
      <c r="Q863" t="str">
        <f>"$"</f>
        <v>$</v>
      </c>
      <c r="R863" t="str">
        <f>"הזמנה"</f>
        <v>הזמנה</v>
      </c>
      <c r="S863">
        <v>0</v>
      </c>
      <c r="T863" s="2">
        <v>-1347.74</v>
      </c>
      <c r="U863">
        <v>0</v>
      </c>
      <c r="V863" s="2">
        <v>-1347.74</v>
      </c>
      <c r="W863" t="str">
        <f>"$"</f>
        <v>$</v>
      </c>
      <c r="X863">
        <v>0</v>
      </c>
      <c r="Y863">
        <v>0</v>
      </c>
      <c r="Z863">
        <v>0</v>
      </c>
      <c r="AA863" t="str">
        <f>"Y"</f>
        <v>Y</v>
      </c>
      <c r="AC863">
        <v>0</v>
      </c>
      <c r="AM863" t="str">
        <f>"10"</f>
        <v>10</v>
      </c>
      <c r="AN863" t="str">
        <f>"500000"</f>
        <v>500000</v>
      </c>
      <c r="AO863" t="str">
        <f>"הכנסות  מלקוחות"</f>
        <v>הכנסות  מלקוחות</v>
      </c>
      <c r="AQ863" t="str">
        <f>"040"</f>
        <v>040</v>
      </c>
      <c r="AR863">
        <v>0</v>
      </c>
      <c r="AS863">
        <v>0</v>
      </c>
      <c r="AT863">
        <v>3.589</v>
      </c>
      <c r="BB863" t="str">
        <f>"Y"</f>
        <v>Y</v>
      </c>
      <c r="BD863" t="str">
        <f>"רחמים זרוק"</f>
        <v>רחמים זרוק</v>
      </c>
    </row>
    <row r="864" spans="1:56" x14ac:dyDescent="0.3">
      <c r="A864" s="1">
        <v>45000</v>
      </c>
      <c r="B864" t="str">
        <f>"SI236000375"</f>
        <v>SI236000375</v>
      </c>
      <c r="C864" t="str">
        <f>"PR22000824"</f>
        <v>PR22000824</v>
      </c>
      <c r="E864" t="str">
        <f>"Y"</f>
        <v>Y</v>
      </c>
      <c r="F864" t="str">
        <f>"חשבוניות מרכזות"</f>
        <v>חשבוניות מרכזות</v>
      </c>
      <c r="G864" t="str">
        <f>"700065"</f>
        <v>700065</v>
      </c>
      <c r="H864" t="str">
        <f>"אלתא מערכות בע""מ"</f>
        <v>אלתא מערכות בע"מ</v>
      </c>
      <c r="I864" t="str">
        <f>"15"</f>
        <v>15</v>
      </c>
      <c r="J864" t="str">
        <f>"OP-AR03394"</f>
        <v>OP-AR03394</v>
      </c>
      <c r="K864" t="str">
        <f>"2227B392-001    HARNESS W392 - LVCS TO ANT POWER"</f>
        <v>2227B392-001    HARNESS W392 - LVCS TO ANT POWER</v>
      </c>
      <c r="L864">
        <v>2</v>
      </c>
      <c r="M864" t="str">
        <f>"יח"</f>
        <v>יח</v>
      </c>
      <c r="N864">
        <v>2</v>
      </c>
      <c r="O864" t="str">
        <f>"יח"</f>
        <v>יח</v>
      </c>
      <c r="P864">
        <v>673.87</v>
      </c>
      <c r="Q864" t="str">
        <f>"$"</f>
        <v>$</v>
      </c>
      <c r="R864" t="str">
        <f>"הזמנה"</f>
        <v>הזמנה</v>
      </c>
      <c r="S864">
        <v>0</v>
      </c>
      <c r="T864" s="2">
        <v>1347.74</v>
      </c>
      <c r="U864">
        <v>0</v>
      </c>
      <c r="V864" s="2">
        <v>1347.74</v>
      </c>
      <c r="W864" t="str">
        <f>"$"</f>
        <v>$</v>
      </c>
      <c r="X864">
        <v>0</v>
      </c>
      <c r="Y864">
        <v>0</v>
      </c>
      <c r="Z864">
        <v>0</v>
      </c>
      <c r="AA864" t="str">
        <f>"Y"</f>
        <v>Y</v>
      </c>
      <c r="AC864">
        <v>0</v>
      </c>
      <c r="AM864" t="str">
        <f>"10"</f>
        <v>10</v>
      </c>
      <c r="AN864" t="str">
        <f>"500000"</f>
        <v>500000</v>
      </c>
      <c r="AO864" t="str">
        <f>"הכנסות  מלקוחות"</f>
        <v>הכנסות  מלקוחות</v>
      </c>
      <c r="AQ864" t="str">
        <f>"040"</f>
        <v>040</v>
      </c>
      <c r="AR864">
        <v>0</v>
      </c>
      <c r="AS864">
        <v>0</v>
      </c>
      <c r="AT864">
        <v>3.589</v>
      </c>
      <c r="BB864" t="str">
        <f>"Y"</f>
        <v>Y</v>
      </c>
      <c r="BD864" t="str">
        <f>"רחמים זרוק"</f>
        <v>רחמים זרוק</v>
      </c>
    </row>
    <row r="865" spans="1:56" x14ac:dyDescent="0.3">
      <c r="A865" s="1">
        <v>45000</v>
      </c>
      <c r="B865" t="str">
        <f>"SI236000375"</f>
        <v>SI236000375</v>
      </c>
      <c r="C865" t="str">
        <f>"PR22000824"</f>
        <v>PR22000824</v>
      </c>
      <c r="E865" t="str">
        <f>"Y"</f>
        <v>Y</v>
      </c>
      <c r="F865" t="str">
        <f>"חשבוניות מרכזות"</f>
        <v>חשבוניות מרכזות</v>
      </c>
      <c r="G865" t="str">
        <f>"700065"</f>
        <v>700065</v>
      </c>
      <c r="H865" t="str">
        <f>"אלתא מערכות בע""מ"</f>
        <v>אלתא מערכות בע"מ</v>
      </c>
      <c r="I865" t="str">
        <f>"15"</f>
        <v>15</v>
      </c>
      <c r="J865" t="str">
        <f>"OP-AR03396"</f>
        <v>OP-AR03396</v>
      </c>
      <c r="K865" t="str">
        <f>"2227B396-001    HARNESS W396 - LVCS TO ANT POWER"</f>
        <v>2227B396-001    HARNESS W396 - LVCS TO ANT POWER</v>
      </c>
      <c r="L865">
        <v>2</v>
      </c>
      <c r="M865" t="str">
        <f>"יח"</f>
        <v>יח</v>
      </c>
      <c r="N865">
        <v>2</v>
      </c>
      <c r="O865" t="str">
        <f>"יח"</f>
        <v>יח</v>
      </c>
      <c r="P865">
        <v>673.87</v>
      </c>
      <c r="Q865" t="str">
        <f>"$"</f>
        <v>$</v>
      </c>
      <c r="R865" t="str">
        <f>"הזמנה"</f>
        <v>הזמנה</v>
      </c>
      <c r="S865">
        <v>0</v>
      </c>
      <c r="T865" s="2">
        <v>1347.74</v>
      </c>
      <c r="U865">
        <v>0</v>
      </c>
      <c r="V865" s="2">
        <v>1347.74</v>
      </c>
      <c r="W865" t="str">
        <f>"$"</f>
        <v>$</v>
      </c>
      <c r="X865">
        <v>0</v>
      </c>
      <c r="Y865">
        <v>0</v>
      </c>
      <c r="Z865">
        <v>0</v>
      </c>
      <c r="AA865" t="str">
        <f>"Y"</f>
        <v>Y</v>
      </c>
      <c r="AC865">
        <v>0</v>
      </c>
      <c r="AM865" t="str">
        <f>"10"</f>
        <v>10</v>
      </c>
      <c r="AN865" t="str">
        <f>"500000"</f>
        <v>500000</v>
      </c>
      <c r="AO865" t="str">
        <f>"הכנסות  מלקוחות"</f>
        <v>הכנסות  מלקוחות</v>
      </c>
      <c r="AQ865" t="str">
        <f>"040"</f>
        <v>040</v>
      </c>
      <c r="AR865">
        <v>0</v>
      </c>
      <c r="AS865">
        <v>0</v>
      </c>
      <c r="AT865">
        <v>3.589</v>
      </c>
      <c r="BB865" t="str">
        <f>"Y"</f>
        <v>Y</v>
      </c>
      <c r="BD865" t="str">
        <f>"רחמים זרוק"</f>
        <v>רחמים זרוק</v>
      </c>
    </row>
    <row r="866" spans="1:56" x14ac:dyDescent="0.3">
      <c r="A866" s="1">
        <v>45000</v>
      </c>
      <c r="B866" t="str">
        <f>"SI236000374"</f>
        <v>SI236000374</v>
      </c>
      <c r="C866" t="str">
        <f>"PR22000524"</f>
        <v>PR22000524</v>
      </c>
      <c r="D866" t="str">
        <f>"PR22000524"</f>
        <v>PR22000524</v>
      </c>
      <c r="E866" t="str">
        <f>"Y"</f>
        <v>Y</v>
      </c>
      <c r="F866" t="str">
        <f>"חשבוניות מרכזות"</f>
        <v>חשבוניות מרכזות</v>
      </c>
      <c r="G866" t="str">
        <f>"700065"</f>
        <v>700065</v>
      </c>
      <c r="H866" t="str">
        <f>"אלתא מערכות בע""מ"</f>
        <v>אלתא מערכות בע"מ</v>
      </c>
      <c r="I866" t="str">
        <f>"15"</f>
        <v>15</v>
      </c>
      <c r="J866" t="str">
        <f>"OP-AR03216"</f>
        <v>OP-AR03216</v>
      </c>
      <c r="K866" t="str">
        <f>"1023B193-001    WSV130 CABLE ASSY"</f>
        <v>1023B193-001    WSV130 CABLE ASSY</v>
      </c>
      <c r="L866">
        <v>5</v>
      </c>
      <c r="M866" t="str">
        <f>"יח"</f>
        <v>יח</v>
      </c>
      <c r="N866">
        <v>5</v>
      </c>
      <c r="O866" t="str">
        <f>"יח"</f>
        <v>יח</v>
      </c>
      <c r="P866">
        <v>601.83000000000004</v>
      </c>
      <c r="Q866" t="str">
        <f>"$"</f>
        <v>$</v>
      </c>
      <c r="R866" t="str">
        <f>"הזמנה"</f>
        <v>הזמנה</v>
      </c>
      <c r="S866">
        <v>0</v>
      </c>
      <c r="T866" s="2">
        <v>3009.15</v>
      </c>
      <c r="U866">
        <v>0</v>
      </c>
      <c r="V866" s="2">
        <v>3009.15</v>
      </c>
      <c r="W866" t="str">
        <f>"$"</f>
        <v>$</v>
      </c>
      <c r="X866">
        <v>0</v>
      </c>
      <c r="Y866">
        <v>0</v>
      </c>
      <c r="Z866">
        <v>0</v>
      </c>
      <c r="AA866" t="str">
        <f>"Y"</f>
        <v>Y</v>
      </c>
      <c r="AB866" t="str">
        <f>"SO22000286"</f>
        <v>SO22000286</v>
      </c>
      <c r="AC866">
        <v>1</v>
      </c>
      <c r="AD866" s="1">
        <v>44762</v>
      </c>
      <c r="AE866" t="str">
        <f>"SH23000330"</f>
        <v>SH23000330</v>
      </c>
      <c r="AF866" t="str">
        <f>"משלוחים ללקוח"</f>
        <v>משלוחים ללקוח</v>
      </c>
      <c r="AG866" s="1">
        <v>44991</v>
      </c>
      <c r="AM866" t="str">
        <f>"10"</f>
        <v>10</v>
      </c>
      <c r="AN866" t="str">
        <f>"500000"</f>
        <v>500000</v>
      </c>
      <c r="AO866" t="str">
        <f>"הכנסות  מלקוחות"</f>
        <v>הכנסות  מלקוחות</v>
      </c>
      <c r="AQ866" t="str">
        <f>"040"</f>
        <v>040</v>
      </c>
      <c r="AR866">
        <v>0</v>
      </c>
      <c r="AS866">
        <v>0</v>
      </c>
      <c r="AT866">
        <v>3.6269999999999998</v>
      </c>
      <c r="AX866" t="str">
        <f>"E000368650"</f>
        <v>E000368650</v>
      </c>
      <c r="BD866" t="str">
        <f>"רחמים זרוק"</f>
        <v>רחמים זרוק</v>
      </c>
    </row>
    <row r="867" spans="1:56" x14ac:dyDescent="0.3">
      <c r="A867" s="1">
        <v>45000</v>
      </c>
      <c r="B867" t="str">
        <f>"SI236000374"</f>
        <v>SI236000374</v>
      </c>
      <c r="C867" t="str">
        <f>"PR22000524"</f>
        <v>PR22000524</v>
      </c>
      <c r="D867" t="str">
        <f>"PR22000524"</f>
        <v>PR22000524</v>
      </c>
      <c r="E867" t="str">
        <f>"Y"</f>
        <v>Y</v>
      </c>
      <c r="F867" t="str">
        <f>"חשבוניות מרכזות"</f>
        <v>חשבוניות מרכזות</v>
      </c>
      <c r="G867" t="str">
        <f>"700065"</f>
        <v>700065</v>
      </c>
      <c r="H867" t="str">
        <f>"אלתא מערכות בע""מ"</f>
        <v>אלתא מערכות בע"מ</v>
      </c>
      <c r="I867" t="str">
        <f>"15"</f>
        <v>15</v>
      </c>
      <c r="J867" t="str">
        <f>"OP-AR02879"</f>
        <v>OP-AR02879</v>
      </c>
      <c r="K867" t="str">
        <f>"1023B194-001   WSV131 CABLE ASSY"</f>
        <v>1023B194-001   WSV131 CABLE ASSY</v>
      </c>
      <c r="L867">
        <v>5</v>
      </c>
      <c r="M867" t="str">
        <f>"יח"</f>
        <v>יח</v>
      </c>
      <c r="N867">
        <v>5</v>
      </c>
      <c r="O867" t="str">
        <f>"יח"</f>
        <v>יח</v>
      </c>
      <c r="P867">
        <v>602.48</v>
      </c>
      <c r="Q867" t="str">
        <f>"$"</f>
        <v>$</v>
      </c>
      <c r="R867" t="str">
        <f>"הזמנה"</f>
        <v>הזמנה</v>
      </c>
      <c r="S867">
        <v>0</v>
      </c>
      <c r="T867" s="2">
        <v>3012.4</v>
      </c>
      <c r="U867">
        <v>0</v>
      </c>
      <c r="V867" s="2">
        <v>3012.4</v>
      </c>
      <c r="W867" t="str">
        <f>"$"</f>
        <v>$</v>
      </c>
      <c r="X867">
        <v>0</v>
      </c>
      <c r="Y867">
        <v>0</v>
      </c>
      <c r="Z867">
        <v>0</v>
      </c>
      <c r="AA867" t="str">
        <f>"Y"</f>
        <v>Y</v>
      </c>
      <c r="AB867" t="str">
        <f>"SO22000286"</f>
        <v>SO22000286</v>
      </c>
      <c r="AC867">
        <v>2</v>
      </c>
      <c r="AD867" s="1">
        <v>44762</v>
      </c>
      <c r="AE867" t="str">
        <f>"SH23000330"</f>
        <v>SH23000330</v>
      </c>
      <c r="AF867" t="str">
        <f>"משלוחים ללקוח"</f>
        <v>משלוחים ללקוח</v>
      </c>
      <c r="AG867" s="1">
        <v>44991</v>
      </c>
      <c r="AM867" t="str">
        <f>"10"</f>
        <v>10</v>
      </c>
      <c r="AN867" t="str">
        <f>"500000"</f>
        <v>500000</v>
      </c>
      <c r="AO867" t="str">
        <f>"הכנסות  מלקוחות"</f>
        <v>הכנסות  מלקוחות</v>
      </c>
      <c r="AQ867" t="str">
        <f>"040"</f>
        <v>040</v>
      </c>
      <c r="AR867">
        <v>0</v>
      </c>
      <c r="AS867">
        <v>0</v>
      </c>
      <c r="AT867">
        <v>3.6269999999999998</v>
      </c>
      <c r="AX867" t="str">
        <f>"E000368650"</f>
        <v>E000368650</v>
      </c>
      <c r="BD867" t="str">
        <f>"רחמים זרוק"</f>
        <v>רחמים זרוק</v>
      </c>
    </row>
    <row r="868" spans="1:56" x14ac:dyDescent="0.3">
      <c r="A868" s="1">
        <v>45000</v>
      </c>
      <c r="B868" t="str">
        <f>"SI236000374"</f>
        <v>SI236000374</v>
      </c>
      <c r="C868" t="str">
        <f>"PR22000524"</f>
        <v>PR22000524</v>
      </c>
      <c r="D868" t="str">
        <f>"PR22000524"</f>
        <v>PR22000524</v>
      </c>
      <c r="E868" t="str">
        <f>"Y"</f>
        <v>Y</v>
      </c>
      <c r="F868" t="str">
        <f>"חשבוניות מרכזות"</f>
        <v>חשבוניות מרכזות</v>
      </c>
      <c r="G868" t="str">
        <f>"700065"</f>
        <v>700065</v>
      </c>
      <c r="H868" t="str">
        <f>"אלתא מערכות בע""מ"</f>
        <v>אלתא מערכות בע"מ</v>
      </c>
      <c r="I868" t="str">
        <f>"15"</f>
        <v>15</v>
      </c>
      <c r="J868" t="str">
        <f>"OP-AR03217"</f>
        <v>OP-AR03217</v>
      </c>
      <c r="K868" t="str">
        <f>"1027C393-001    WSA125 PDB2 TO PS-P1 CABLE 5.8M ASSY"</f>
        <v>1027C393-001    WSA125 PDB2 TO PS-P1 CABLE 5.8M ASSY</v>
      </c>
      <c r="L868">
        <v>3</v>
      </c>
      <c r="M868" t="str">
        <f>"יח"</f>
        <v>יח</v>
      </c>
      <c r="N868">
        <v>3</v>
      </c>
      <c r="O868" t="str">
        <f>"יח"</f>
        <v>יח</v>
      </c>
      <c r="P868">
        <v>582.71</v>
      </c>
      <c r="Q868" t="str">
        <f>"$"</f>
        <v>$</v>
      </c>
      <c r="R868" t="str">
        <f>"הזמנה"</f>
        <v>הזמנה</v>
      </c>
      <c r="S868">
        <v>0</v>
      </c>
      <c r="T868" s="2">
        <v>1748.13</v>
      </c>
      <c r="U868">
        <v>0</v>
      </c>
      <c r="V868" s="2">
        <v>1748.13</v>
      </c>
      <c r="W868" t="str">
        <f>"$"</f>
        <v>$</v>
      </c>
      <c r="X868">
        <v>0</v>
      </c>
      <c r="Y868">
        <v>0</v>
      </c>
      <c r="Z868">
        <v>0</v>
      </c>
      <c r="AA868" t="str">
        <f>"Y"</f>
        <v>Y</v>
      </c>
      <c r="AB868" t="str">
        <f>"SO22000286"</f>
        <v>SO22000286</v>
      </c>
      <c r="AC868">
        <v>3</v>
      </c>
      <c r="AD868" s="1">
        <v>44762</v>
      </c>
      <c r="AE868" t="str">
        <f>"SH23000330"</f>
        <v>SH23000330</v>
      </c>
      <c r="AF868" t="str">
        <f>"משלוחים ללקוח"</f>
        <v>משלוחים ללקוח</v>
      </c>
      <c r="AG868" s="1">
        <v>44991</v>
      </c>
      <c r="AM868" t="str">
        <f>"10"</f>
        <v>10</v>
      </c>
      <c r="AN868" t="str">
        <f>"500000"</f>
        <v>500000</v>
      </c>
      <c r="AO868" t="str">
        <f>"הכנסות  מלקוחות"</f>
        <v>הכנסות  מלקוחות</v>
      </c>
      <c r="AQ868" t="str">
        <f>"040"</f>
        <v>040</v>
      </c>
      <c r="AR868">
        <v>0</v>
      </c>
      <c r="AS868">
        <v>0</v>
      </c>
      <c r="AT868">
        <v>3.6269999999999998</v>
      </c>
      <c r="AX868" t="str">
        <f>"E000368650"</f>
        <v>E000368650</v>
      </c>
      <c r="BD868" t="str">
        <f>"רחמים זרוק"</f>
        <v>רחמים זרוק</v>
      </c>
    </row>
    <row r="869" spans="1:56" x14ac:dyDescent="0.3">
      <c r="A869" s="1">
        <v>45000</v>
      </c>
      <c r="B869" t="str">
        <f>"SI236000372"</f>
        <v>SI236000372</v>
      </c>
      <c r="C869" t="str">
        <f>"PR22000671"</f>
        <v>PR22000671</v>
      </c>
      <c r="E869" t="str">
        <f>"Y"</f>
        <v>Y</v>
      </c>
      <c r="F869" t="str">
        <f>"חשבוניות מרכזות"</f>
        <v>חשבוניות מרכזות</v>
      </c>
      <c r="G869" t="str">
        <f>"700065"</f>
        <v>700065</v>
      </c>
      <c r="H869" t="str">
        <f>"אלתא מערכות בע""מ"</f>
        <v>אלתא מערכות בע"מ</v>
      </c>
      <c r="I869" t="str">
        <f>"15"</f>
        <v>15</v>
      </c>
      <c r="J869" t="str">
        <f>"OP-AR03373"</f>
        <v>OP-AR03373</v>
      </c>
      <c r="K869" t="str">
        <f>"2218B756-001    Power Cable ASSY"</f>
        <v>2218B756-001    Power Cable ASSY</v>
      </c>
      <c r="L869">
        <v>5</v>
      </c>
      <c r="M869" t="str">
        <f>"יח"</f>
        <v>יח</v>
      </c>
      <c r="N869">
        <v>5</v>
      </c>
      <c r="O869" t="str">
        <f>"יח"</f>
        <v>יח</v>
      </c>
      <c r="P869">
        <v>342.45</v>
      </c>
      <c r="Q869" t="str">
        <f>"$"</f>
        <v>$</v>
      </c>
      <c r="R869" t="str">
        <f>"הזמנה"</f>
        <v>הזמנה</v>
      </c>
      <c r="S869">
        <v>0</v>
      </c>
      <c r="T869" s="2">
        <v>1712.25</v>
      </c>
      <c r="U869">
        <v>0</v>
      </c>
      <c r="V869" s="2">
        <v>1712.25</v>
      </c>
      <c r="W869" t="str">
        <f>"$"</f>
        <v>$</v>
      </c>
      <c r="X869">
        <v>0</v>
      </c>
      <c r="Y869">
        <v>0</v>
      </c>
      <c r="Z869">
        <v>0</v>
      </c>
      <c r="AA869" t="str">
        <f>"Y"</f>
        <v>Y</v>
      </c>
      <c r="AC869">
        <v>0</v>
      </c>
      <c r="AM869" t="str">
        <f>"10"</f>
        <v>10</v>
      </c>
      <c r="AN869" t="str">
        <f>"500000"</f>
        <v>500000</v>
      </c>
      <c r="AO869" t="str">
        <f>"הכנסות  מלקוחות"</f>
        <v>הכנסות  מלקוחות</v>
      </c>
      <c r="AQ869" t="str">
        <f>"040"</f>
        <v>040</v>
      </c>
      <c r="AR869">
        <v>0</v>
      </c>
      <c r="AS869">
        <v>0</v>
      </c>
      <c r="AT869">
        <v>3.6640000000000001</v>
      </c>
      <c r="BB869" t="str">
        <f>"Y"</f>
        <v>Y</v>
      </c>
      <c r="BD869" t="str">
        <f>"רחמים זרוק"</f>
        <v>רחמים זרוק</v>
      </c>
    </row>
    <row r="870" spans="1:56" x14ac:dyDescent="0.3">
      <c r="A870" s="1">
        <v>44999</v>
      </c>
      <c r="B870" t="str">
        <f>"SI236000363"</f>
        <v>SI236000363</v>
      </c>
      <c r="C870" t="str">
        <f>"PR22000629"</f>
        <v>PR22000629</v>
      </c>
      <c r="D870" t="str">
        <f>"PR22000629"</f>
        <v>PR22000629</v>
      </c>
      <c r="E870" t="str">
        <f>"Y"</f>
        <v>Y</v>
      </c>
      <c r="F870" t="str">
        <f>"חשבוניות מרכזות"</f>
        <v>חשבוניות מרכזות</v>
      </c>
      <c r="G870" t="str">
        <f>"700065"</f>
        <v>700065</v>
      </c>
      <c r="H870" t="str">
        <f>"אלתא מערכות בע""מ"</f>
        <v>אלתא מערכות בע"מ</v>
      </c>
      <c r="I870" t="str">
        <f>"15"</f>
        <v>15</v>
      </c>
      <c r="J870" t="str">
        <f>"000"</f>
        <v>000</v>
      </c>
      <c r="K870" t="str">
        <f>"עלות תכנון של השרטוטים"</f>
        <v>עלות תכנון של השרטוטים</v>
      </c>
      <c r="L870">
        <v>1</v>
      </c>
      <c r="M870" t="str">
        <f>"יח"</f>
        <v>יח</v>
      </c>
      <c r="N870">
        <v>1</v>
      </c>
      <c r="O870" t="str">
        <f>"יח"</f>
        <v>יח</v>
      </c>
      <c r="P870" s="2">
        <v>2550</v>
      </c>
      <c r="Q870" t="str">
        <f>"$"</f>
        <v>$</v>
      </c>
      <c r="R870" t="str">
        <f>"הזמנה"</f>
        <v>הזמנה</v>
      </c>
      <c r="S870">
        <v>0</v>
      </c>
      <c r="T870" s="2">
        <v>2550</v>
      </c>
      <c r="U870">
        <v>0</v>
      </c>
      <c r="V870" s="2">
        <v>2550</v>
      </c>
      <c r="W870" t="str">
        <f>"$"</f>
        <v>$</v>
      </c>
      <c r="X870">
        <v>0</v>
      </c>
      <c r="Y870">
        <v>0</v>
      </c>
      <c r="Z870">
        <v>0</v>
      </c>
      <c r="AA870" t="str">
        <f>"Y"</f>
        <v>Y</v>
      </c>
      <c r="AB870" t="str">
        <f>"SO22000378"</f>
        <v>SO22000378</v>
      </c>
      <c r="AC870">
        <v>6</v>
      </c>
      <c r="AD870" s="1">
        <v>44847</v>
      </c>
      <c r="AM870" t="str">
        <f>"10"</f>
        <v>10</v>
      </c>
      <c r="AN870" t="str">
        <f>"500000"</f>
        <v>500000</v>
      </c>
      <c r="AO870" t="str">
        <f>"הכנסות  מלקוחות"</f>
        <v>הכנסות  מלקוחות</v>
      </c>
      <c r="AQ870" t="str">
        <f>"040"</f>
        <v>040</v>
      </c>
      <c r="AR870">
        <v>0</v>
      </c>
      <c r="AS870">
        <v>0</v>
      </c>
      <c r="AT870">
        <v>3.6259999999999999</v>
      </c>
      <c r="AX870" t="str">
        <f>"E000374542"</f>
        <v>E000374542</v>
      </c>
      <c r="BD870" t="str">
        <f>"רחמים זרוק"</f>
        <v>רחמים זרוק</v>
      </c>
    </row>
    <row r="871" spans="1:56" x14ac:dyDescent="0.3">
      <c r="A871" s="1">
        <v>44999</v>
      </c>
      <c r="B871" t="str">
        <f>"SI236000361"</f>
        <v>SI236000361</v>
      </c>
      <c r="E871" t="str">
        <f>"Y"</f>
        <v>Y</v>
      </c>
      <c r="F871" t="str">
        <f>"חשבוניות מרכזות"</f>
        <v>חשבוניות מרכזות</v>
      </c>
      <c r="G871" t="str">
        <f>"700065"</f>
        <v>700065</v>
      </c>
      <c r="H871" t="str">
        <f>"אלתא מערכות בע""מ"</f>
        <v>אלתא מערכות בע"מ</v>
      </c>
      <c r="I871" t="str">
        <f>"10"</f>
        <v>10</v>
      </c>
      <c r="J871" t="str">
        <f>"OP-AR02195"</f>
        <v>OP-AR02195</v>
      </c>
      <c r="K871" t="str">
        <f>"NRE עבור נגדיים E000327893"</f>
        <v>NRE עבור נגדיים E000327893</v>
      </c>
      <c r="L871">
        <v>1</v>
      </c>
      <c r="M871" t="str">
        <f>"יח"</f>
        <v>יח</v>
      </c>
      <c r="N871">
        <v>1</v>
      </c>
      <c r="O871" t="str">
        <f>"יח"</f>
        <v>יח</v>
      </c>
      <c r="P871">
        <v>250</v>
      </c>
      <c r="Q871" t="str">
        <f>"$"</f>
        <v>$</v>
      </c>
      <c r="R871" t="str">
        <f>"הזמנה"</f>
        <v>הזמנה</v>
      </c>
      <c r="S871">
        <v>0</v>
      </c>
      <c r="T871">
        <v>250</v>
      </c>
      <c r="U871">
        <v>0</v>
      </c>
      <c r="V871">
        <v>250</v>
      </c>
      <c r="W871" t="str">
        <f>"$"</f>
        <v>$</v>
      </c>
      <c r="X871">
        <v>0</v>
      </c>
      <c r="Y871">
        <v>0</v>
      </c>
      <c r="Z871">
        <v>0</v>
      </c>
      <c r="AA871" t="str">
        <f>"Y"</f>
        <v>Y</v>
      </c>
      <c r="AB871" t="str">
        <f>"SO20000582"</f>
        <v>SO20000582</v>
      </c>
      <c r="AC871">
        <v>1</v>
      </c>
      <c r="AD871" s="1">
        <v>44175</v>
      </c>
      <c r="AM871" t="str">
        <f>"10"</f>
        <v>10</v>
      </c>
      <c r="AN871" t="str">
        <f>"500000"</f>
        <v>500000</v>
      </c>
      <c r="AO871" t="str">
        <f>"הכנסות  מלקוחות"</f>
        <v>הכנסות  מלקוחות</v>
      </c>
      <c r="AQ871" t="str">
        <f>"034"</f>
        <v>034</v>
      </c>
      <c r="AR871">
        <v>0</v>
      </c>
      <c r="AS871">
        <v>0</v>
      </c>
      <c r="AT871">
        <v>3.6259999999999999</v>
      </c>
      <c r="AX871" t="str">
        <f>"E000327893"</f>
        <v>E000327893</v>
      </c>
      <c r="BD871" t="str">
        <f>"ערן שלו"</f>
        <v>ערן שלו</v>
      </c>
    </row>
    <row r="872" spans="1:56" x14ac:dyDescent="0.3">
      <c r="A872" s="1">
        <v>44998</v>
      </c>
      <c r="B872" t="str">
        <f>"SI236000347"</f>
        <v>SI236000347</v>
      </c>
      <c r="C872" t="str">
        <f>"PR22000694"</f>
        <v>PR22000694</v>
      </c>
      <c r="E872" t="str">
        <f>"Y"</f>
        <v>Y</v>
      </c>
      <c r="F872" t="str">
        <f>"חשבוניות מרכזות"</f>
        <v>חשבוניות מרכזות</v>
      </c>
      <c r="G872" t="str">
        <f>"700065"</f>
        <v>700065</v>
      </c>
      <c r="H872" t="str">
        <f>"אלתא מערכות בע""מ"</f>
        <v>אלתא מערכות בע"מ</v>
      </c>
      <c r="I872" t="str">
        <f>"10"</f>
        <v>10</v>
      </c>
      <c r="J872" t="str">
        <f>"999"</f>
        <v>999</v>
      </c>
      <c r="K872" t="str">
        <f>"קיט שדרוג RPU רצועות + חבק לתורן"</f>
        <v>קיט שדרוג RPU רצועות + חבק לתורן</v>
      </c>
      <c r="L872">
        <v>0.25</v>
      </c>
      <c r="M872" t="str">
        <f>"חל"</f>
        <v>חל</v>
      </c>
      <c r="N872">
        <v>0.25</v>
      </c>
      <c r="O872" t="str">
        <f>"חל"</f>
        <v>חל</v>
      </c>
      <c r="P872" s="2">
        <v>5432</v>
      </c>
      <c r="Q872" t="str">
        <f>"$"</f>
        <v>$</v>
      </c>
      <c r="R872" t="str">
        <f>"הזמנה"</f>
        <v>הזמנה</v>
      </c>
      <c r="S872">
        <v>0</v>
      </c>
      <c r="T872" s="2">
        <v>1358</v>
      </c>
      <c r="U872">
        <v>0</v>
      </c>
      <c r="V872" s="2">
        <v>1358</v>
      </c>
      <c r="W872" t="str">
        <f>"$"</f>
        <v>$</v>
      </c>
      <c r="X872">
        <v>0</v>
      </c>
      <c r="Y872">
        <v>0</v>
      </c>
      <c r="Z872">
        <v>0</v>
      </c>
      <c r="AA872" t="str">
        <f>"Y"</f>
        <v>Y</v>
      </c>
      <c r="AB872" t="str">
        <f>"SO22000441"</f>
        <v>SO22000441</v>
      </c>
      <c r="AC872">
        <v>3</v>
      </c>
      <c r="AD872" s="1">
        <v>44900</v>
      </c>
      <c r="AE872" t="str">
        <f>"SH23000356"</f>
        <v>SH23000356</v>
      </c>
      <c r="AF872" t="str">
        <f>"משלוחים ללקוח"</f>
        <v>משלוחים ללקוח</v>
      </c>
      <c r="AG872" s="1">
        <v>44998</v>
      </c>
      <c r="AM872" t="str">
        <f>"10"</f>
        <v>10</v>
      </c>
      <c r="AN872" t="str">
        <f>"500000"</f>
        <v>500000</v>
      </c>
      <c r="AO872" t="str">
        <f>"הכנסות  מלקוחות"</f>
        <v>הכנסות  מלקוחות</v>
      </c>
      <c r="AQ872" t="str">
        <f>"034"</f>
        <v>034</v>
      </c>
      <c r="AR872">
        <v>0</v>
      </c>
      <c r="AS872">
        <v>0</v>
      </c>
      <c r="AT872">
        <v>3.5950000000000002</v>
      </c>
      <c r="AX872" t="str">
        <f>"E000377788"</f>
        <v>E000377788</v>
      </c>
      <c r="BD872" t="str">
        <f>"ערן שלו"</f>
        <v>ערן שלו</v>
      </c>
    </row>
    <row r="873" spans="1:56" x14ac:dyDescent="0.3">
      <c r="A873" s="1">
        <v>44998</v>
      </c>
      <c r="B873" t="str">
        <f>"SI236000347"</f>
        <v>SI236000347</v>
      </c>
      <c r="C873" t="str">
        <f>"PR22000694"</f>
        <v>PR22000694</v>
      </c>
      <c r="E873" t="str">
        <f>"Y"</f>
        <v>Y</v>
      </c>
      <c r="F873" t="str">
        <f>"חשבוניות מרכזות"</f>
        <v>חשבוניות מרכזות</v>
      </c>
      <c r="G873" t="str">
        <f>"700065"</f>
        <v>700065</v>
      </c>
      <c r="H873" t="str">
        <f>"אלתא מערכות בע""מ"</f>
        <v>אלתא מערכות בע"מ</v>
      </c>
      <c r="I873" t="str">
        <f>"10"</f>
        <v>10</v>
      </c>
      <c r="J873" t="str">
        <f>"999"</f>
        <v>999</v>
      </c>
      <c r="K873" t="str">
        <f>"BRACKET FOR TOOF CABLE"</f>
        <v>BRACKET FOR TOOF CABLE</v>
      </c>
      <c r="L873">
        <v>0.25</v>
      </c>
      <c r="M873" t="str">
        <f>"חל"</f>
        <v>חל</v>
      </c>
      <c r="N873">
        <v>0.25</v>
      </c>
      <c r="O873" t="str">
        <f>"חל"</f>
        <v>חל</v>
      </c>
      <c r="P873" s="2">
        <v>7760</v>
      </c>
      <c r="Q873" t="str">
        <f>"$"</f>
        <v>$</v>
      </c>
      <c r="R873" t="str">
        <f>"הזמנה"</f>
        <v>הזמנה</v>
      </c>
      <c r="S873">
        <v>0</v>
      </c>
      <c r="T873" s="2">
        <v>1940</v>
      </c>
      <c r="U873">
        <v>0</v>
      </c>
      <c r="V873" s="2">
        <v>1940</v>
      </c>
      <c r="W873" t="str">
        <f>"$"</f>
        <v>$</v>
      </c>
      <c r="X873">
        <v>0</v>
      </c>
      <c r="Y873">
        <v>0</v>
      </c>
      <c r="Z873">
        <v>0</v>
      </c>
      <c r="AA873" t="str">
        <f>"Y"</f>
        <v>Y</v>
      </c>
      <c r="AB873" t="str">
        <f>"SO22000441"</f>
        <v>SO22000441</v>
      </c>
      <c r="AC873">
        <v>13</v>
      </c>
      <c r="AD873" s="1">
        <v>44900</v>
      </c>
      <c r="AE873" t="str">
        <f>"SH23000356"</f>
        <v>SH23000356</v>
      </c>
      <c r="AF873" t="str">
        <f>"משלוחים ללקוח"</f>
        <v>משלוחים ללקוח</v>
      </c>
      <c r="AG873" s="1">
        <v>44998</v>
      </c>
      <c r="AM873" t="str">
        <f>"10"</f>
        <v>10</v>
      </c>
      <c r="AN873" t="str">
        <f>"500000"</f>
        <v>500000</v>
      </c>
      <c r="AO873" t="str">
        <f>"הכנסות  מלקוחות"</f>
        <v>הכנסות  מלקוחות</v>
      </c>
      <c r="AQ873" t="str">
        <f>"034"</f>
        <v>034</v>
      </c>
      <c r="AR873">
        <v>0</v>
      </c>
      <c r="AS873">
        <v>0</v>
      </c>
      <c r="AT873">
        <v>3.5950000000000002</v>
      </c>
      <c r="AX873" t="str">
        <f>"E000377788"</f>
        <v>E000377788</v>
      </c>
      <c r="BD873" t="str">
        <f>"ערן שלו"</f>
        <v>ערן שלו</v>
      </c>
    </row>
    <row r="874" spans="1:56" x14ac:dyDescent="0.3">
      <c r="A874" s="1">
        <v>44998</v>
      </c>
      <c r="B874" t="str">
        <f>"SI236000347"</f>
        <v>SI236000347</v>
      </c>
      <c r="C874" t="str">
        <f>"PR22000694"</f>
        <v>PR22000694</v>
      </c>
      <c r="E874" t="str">
        <f>"Y"</f>
        <v>Y</v>
      </c>
      <c r="F874" t="str">
        <f>"חשבוניות מרכזות"</f>
        <v>חשבוניות מרכזות</v>
      </c>
      <c r="G874" t="str">
        <f>"700065"</f>
        <v>700065</v>
      </c>
      <c r="H874" t="str">
        <f>"אלתא מערכות בע""מ"</f>
        <v>אלתא מערכות בע"מ</v>
      </c>
      <c r="I874" t="str">
        <f>"10"</f>
        <v>10</v>
      </c>
      <c r="J874" t="str">
        <f>"999"</f>
        <v>999</v>
      </c>
      <c r="K874" t="str">
        <f>"חבק נוסף לתורן מד רוח"</f>
        <v>חבק נוסף לתורן מד רוח</v>
      </c>
      <c r="L874">
        <v>0.25</v>
      </c>
      <c r="M874" t="str">
        <f>"חל"</f>
        <v>חל</v>
      </c>
      <c r="N874">
        <v>0.25</v>
      </c>
      <c r="O874" t="str">
        <f>"חל"</f>
        <v>חל</v>
      </c>
      <c r="P874" s="2">
        <v>2720</v>
      </c>
      <c r="Q874" t="str">
        <f>"$"</f>
        <v>$</v>
      </c>
      <c r="R874" t="str">
        <f>"הזמנה"</f>
        <v>הזמנה</v>
      </c>
      <c r="S874">
        <v>0</v>
      </c>
      <c r="T874">
        <v>680</v>
      </c>
      <c r="U874">
        <v>0</v>
      </c>
      <c r="V874">
        <v>680</v>
      </c>
      <c r="W874" t="str">
        <f>"$"</f>
        <v>$</v>
      </c>
      <c r="X874">
        <v>0</v>
      </c>
      <c r="Y874">
        <v>0</v>
      </c>
      <c r="Z874">
        <v>0</v>
      </c>
      <c r="AA874" t="str">
        <f>"Y"</f>
        <v>Y</v>
      </c>
      <c r="AB874" t="str">
        <f>"SO22000441"</f>
        <v>SO22000441</v>
      </c>
      <c r="AC874">
        <v>16</v>
      </c>
      <c r="AD874" s="1">
        <v>44900</v>
      </c>
      <c r="AE874" t="str">
        <f>"SH23000356"</f>
        <v>SH23000356</v>
      </c>
      <c r="AF874" t="str">
        <f>"משלוחים ללקוח"</f>
        <v>משלוחים ללקוח</v>
      </c>
      <c r="AG874" s="1">
        <v>44998</v>
      </c>
      <c r="AM874" t="str">
        <f>"10"</f>
        <v>10</v>
      </c>
      <c r="AN874" t="str">
        <f>"500000"</f>
        <v>500000</v>
      </c>
      <c r="AO874" t="str">
        <f>"הכנסות  מלקוחות"</f>
        <v>הכנסות  מלקוחות</v>
      </c>
      <c r="AQ874" t="str">
        <f>"034"</f>
        <v>034</v>
      </c>
      <c r="AR874">
        <v>0</v>
      </c>
      <c r="AS874">
        <v>0</v>
      </c>
      <c r="AT874">
        <v>3.5950000000000002</v>
      </c>
      <c r="AX874" t="str">
        <f>"E000377788"</f>
        <v>E000377788</v>
      </c>
      <c r="BD874" t="str">
        <f>"ערן שלו"</f>
        <v>ערן שלו</v>
      </c>
    </row>
    <row r="875" spans="1:56" x14ac:dyDescent="0.3">
      <c r="A875" s="1">
        <v>44994</v>
      </c>
      <c r="B875" t="str">
        <f>"SI236000342"</f>
        <v>SI236000342</v>
      </c>
      <c r="C875" t="str">
        <f>"PR22000449"</f>
        <v>PR22000449</v>
      </c>
      <c r="E875" t="str">
        <f>"Y"</f>
        <v>Y</v>
      </c>
      <c r="F875" t="str">
        <f>"חשבוניות מרכזות"</f>
        <v>חשבוניות מרכזות</v>
      </c>
      <c r="G875" t="str">
        <f>"700065"</f>
        <v>700065</v>
      </c>
      <c r="H875" t="str">
        <f>"אלתא מערכות בע""מ"</f>
        <v>אלתא מערכות בע"מ</v>
      </c>
      <c r="I875" t="str">
        <f>"10"</f>
        <v>10</v>
      </c>
      <c r="J875" t="str">
        <f>"cust001348"</f>
        <v>cust001348</v>
      </c>
      <c r="K875" t="str">
        <f>"241119.815 ELTA"</f>
        <v>241119.815 ELTA</v>
      </c>
      <c r="L875">
        <v>1</v>
      </c>
      <c r="M875" t="str">
        <f>"יח"</f>
        <v>יח</v>
      </c>
      <c r="N875">
        <v>1</v>
      </c>
      <c r="O875" t="str">
        <f>"יח"</f>
        <v>יח</v>
      </c>
      <c r="P875">
        <v>200</v>
      </c>
      <c r="Q875" t="str">
        <f>"$"</f>
        <v>$</v>
      </c>
      <c r="R875" t="str">
        <f>"הזמנה"</f>
        <v>הזמנה</v>
      </c>
      <c r="S875">
        <v>0</v>
      </c>
      <c r="T875">
        <v>200</v>
      </c>
      <c r="U875">
        <v>0</v>
      </c>
      <c r="V875">
        <v>200</v>
      </c>
      <c r="W875" t="str">
        <f>"$"</f>
        <v>$</v>
      </c>
      <c r="X875">
        <v>0</v>
      </c>
      <c r="Y875">
        <v>0</v>
      </c>
      <c r="Z875">
        <v>0</v>
      </c>
      <c r="AA875" t="str">
        <f>"Y"</f>
        <v>Y</v>
      </c>
      <c r="AB875" t="str">
        <f>"SO22000327"</f>
        <v>SO22000327</v>
      </c>
      <c r="AC875">
        <v>1</v>
      </c>
      <c r="AD875" s="1">
        <v>44788</v>
      </c>
      <c r="AE875" t="str">
        <f>"SH22001083"</f>
        <v>SH22001083</v>
      </c>
      <c r="AF875" t="str">
        <f>"משלוחים ללקוח"</f>
        <v>משלוחים ללקוח</v>
      </c>
      <c r="AG875" s="1">
        <v>44805</v>
      </c>
      <c r="AM875" t="str">
        <f>"10"</f>
        <v>10</v>
      </c>
      <c r="AN875" t="str">
        <f>"500000"</f>
        <v>500000</v>
      </c>
      <c r="AO875" t="str">
        <f>"הכנסות  מלקוחות"</f>
        <v>הכנסות  מלקוחות</v>
      </c>
      <c r="AQ875" t="str">
        <f>"007"</f>
        <v>007</v>
      </c>
      <c r="AR875">
        <v>0</v>
      </c>
      <c r="AS875">
        <v>0</v>
      </c>
      <c r="AT875">
        <v>3.5979999999999999</v>
      </c>
      <c r="AX875" t="str">
        <f>"E000370514"</f>
        <v>E000370514</v>
      </c>
      <c r="BD875" t="str">
        <f>"רוני דידי"</f>
        <v>רוני דידי</v>
      </c>
    </row>
    <row r="876" spans="1:56" x14ac:dyDescent="0.3">
      <c r="A876" s="1">
        <v>44994</v>
      </c>
      <c r="B876" t="str">
        <f>"SI236000342"</f>
        <v>SI236000342</v>
      </c>
      <c r="C876" t="str">
        <f>"PR22000449"</f>
        <v>PR22000449</v>
      </c>
      <c r="E876" t="str">
        <f>"Y"</f>
        <v>Y</v>
      </c>
      <c r="F876" t="str">
        <f>"חשבוניות מרכזות"</f>
        <v>חשבוניות מרכזות</v>
      </c>
      <c r="G876" t="str">
        <f>"700065"</f>
        <v>700065</v>
      </c>
      <c r="H876" t="str">
        <f>"אלתא מערכות בע""מ"</f>
        <v>אלתא מערכות בע"מ</v>
      </c>
      <c r="I876" t="str">
        <f>"10"</f>
        <v>10</v>
      </c>
      <c r="J876" t="str">
        <f>"cust001348"</f>
        <v>cust001348</v>
      </c>
      <c r="K876" t="str">
        <f>"241119.815 ELTA"</f>
        <v>241119.815 ELTA</v>
      </c>
      <c r="L876">
        <v>1</v>
      </c>
      <c r="M876" t="str">
        <f>"יח"</f>
        <v>יח</v>
      </c>
      <c r="N876">
        <v>1</v>
      </c>
      <c r="O876" t="str">
        <f>"יח"</f>
        <v>יח</v>
      </c>
      <c r="P876">
        <v>200</v>
      </c>
      <c r="Q876" t="str">
        <f>"$"</f>
        <v>$</v>
      </c>
      <c r="R876" t="str">
        <f>"הזמנה"</f>
        <v>הזמנה</v>
      </c>
      <c r="S876">
        <v>0</v>
      </c>
      <c r="T876">
        <v>200</v>
      </c>
      <c r="U876">
        <v>0</v>
      </c>
      <c r="V876">
        <v>200</v>
      </c>
      <c r="W876" t="str">
        <f>"$"</f>
        <v>$</v>
      </c>
      <c r="X876">
        <v>0</v>
      </c>
      <c r="Y876">
        <v>0</v>
      </c>
      <c r="Z876">
        <v>0</v>
      </c>
      <c r="AA876" t="str">
        <f>"Y"</f>
        <v>Y</v>
      </c>
      <c r="AB876" t="str">
        <f>"SO22000327"</f>
        <v>SO22000327</v>
      </c>
      <c r="AC876">
        <v>2</v>
      </c>
      <c r="AD876" s="1">
        <v>44788</v>
      </c>
      <c r="AE876" t="str">
        <f>"SH22001083"</f>
        <v>SH22001083</v>
      </c>
      <c r="AF876" t="str">
        <f>"משלוחים ללקוח"</f>
        <v>משלוחים ללקוח</v>
      </c>
      <c r="AG876" s="1">
        <v>44805</v>
      </c>
      <c r="AM876" t="str">
        <f>"10"</f>
        <v>10</v>
      </c>
      <c r="AN876" t="str">
        <f>"500000"</f>
        <v>500000</v>
      </c>
      <c r="AO876" t="str">
        <f>"הכנסות  מלקוחות"</f>
        <v>הכנסות  מלקוחות</v>
      </c>
      <c r="AQ876" t="str">
        <f>"007"</f>
        <v>007</v>
      </c>
      <c r="AR876">
        <v>0</v>
      </c>
      <c r="AS876">
        <v>0</v>
      </c>
      <c r="AT876">
        <v>3.5979999999999999</v>
      </c>
      <c r="AX876" t="str">
        <f>"E000370514"</f>
        <v>E000370514</v>
      </c>
      <c r="BD876" t="str">
        <f>"רוני דידי"</f>
        <v>רוני דידי</v>
      </c>
    </row>
    <row r="877" spans="1:56" x14ac:dyDescent="0.3">
      <c r="A877" s="1">
        <v>44994</v>
      </c>
      <c r="B877" t="str">
        <f>"SI236000342"</f>
        <v>SI236000342</v>
      </c>
      <c r="C877" t="str">
        <f>"PR22000449"</f>
        <v>PR22000449</v>
      </c>
      <c r="E877" t="str">
        <f>"Y"</f>
        <v>Y</v>
      </c>
      <c r="F877" t="str">
        <f>"חשבוניות מרכזות"</f>
        <v>חשבוניות מרכזות</v>
      </c>
      <c r="G877" t="str">
        <f>"700065"</f>
        <v>700065</v>
      </c>
      <c r="H877" t="str">
        <f>"אלתא מערכות בע""מ"</f>
        <v>אלתא מערכות בע"מ</v>
      </c>
      <c r="I877" t="str">
        <f>"10"</f>
        <v>10</v>
      </c>
      <c r="J877" t="str">
        <f>"cust001348"</f>
        <v>cust001348</v>
      </c>
      <c r="K877" t="str">
        <f>"241119.815 ELTA"</f>
        <v>241119.815 ELTA</v>
      </c>
      <c r="L877">
        <v>1</v>
      </c>
      <c r="M877" t="str">
        <f>"יח"</f>
        <v>יח</v>
      </c>
      <c r="N877">
        <v>1</v>
      </c>
      <c r="O877" t="str">
        <f>"יח"</f>
        <v>יח</v>
      </c>
      <c r="P877">
        <v>200</v>
      </c>
      <c r="Q877" t="str">
        <f>"$"</f>
        <v>$</v>
      </c>
      <c r="R877" t="str">
        <f>"הזמנה"</f>
        <v>הזמנה</v>
      </c>
      <c r="S877">
        <v>0</v>
      </c>
      <c r="T877">
        <v>200</v>
      </c>
      <c r="U877">
        <v>0</v>
      </c>
      <c r="V877">
        <v>200</v>
      </c>
      <c r="W877" t="str">
        <f>"$"</f>
        <v>$</v>
      </c>
      <c r="X877">
        <v>0</v>
      </c>
      <c r="Y877">
        <v>0</v>
      </c>
      <c r="Z877">
        <v>0</v>
      </c>
      <c r="AA877" t="str">
        <f>"Y"</f>
        <v>Y</v>
      </c>
      <c r="AB877" t="str">
        <f>"SO22000327"</f>
        <v>SO22000327</v>
      </c>
      <c r="AC877">
        <v>3</v>
      </c>
      <c r="AD877" s="1">
        <v>44788</v>
      </c>
      <c r="AE877" t="str">
        <f>"SH22001083"</f>
        <v>SH22001083</v>
      </c>
      <c r="AF877" t="str">
        <f>"משלוחים ללקוח"</f>
        <v>משלוחים ללקוח</v>
      </c>
      <c r="AG877" s="1">
        <v>44805</v>
      </c>
      <c r="AM877" t="str">
        <f>"10"</f>
        <v>10</v>
      </c>
      <c r="AN877" t="str">
        <f>"500000"</f>
        <v>500000</v>
      </c>
      <c r="AO877" t="str">
        <f>"הכנסות  מלקוחות"</f>
        <v>הכנסות  מלקוחות</v>
      </c>
      <c r="AQ877" t="str">
        <f>"007"</f>
        <v>007</v>
      </c>
      <c r="AR877">
        <v>0</v>
      </c>
      <c r="AS877">
        <v>0</v>
      </c>
      <c r="AT877">
        <v>3.5979999999999999</v>
      </c>
      <c r="AX877" t="str">
        <f>"E000370514"</f>
        <v>E000370514</v>
      </c>
      <c r="BD877" t="str">
        <f>"רוני דידי"</f>
        <v>רוני דידי</v>
      </c>
    </row>
    <row r="878" spans="1:56" x14ac:dyDescent="0.3">
      <c r="A878" s="1">
        <v>44994</v>
      </c>
      <c r="B878" t="str">
        <f>"SI236000342"</f>
        <v>SI236000342</v>
      </c>
      <c r="C878" t="str">
        <f>"PR22000449"</f>
        <v>PR22000449</v>
      </c>
      <c r="E878" t="str">
        <f>"Y"</f>
        <v>Y</v>
      </c>
      <c r="F878" t="str">
        <f>"חשבוניות מרכזות"</f>
        <v>חשבוניות מרכזות</v>
      </c>
      <c r="G878" t="str">
        <f>"700065"</f>
        <v>700065</v>
      </c>
      <c r="H878" t="str">
        <f>"אלתא מערכות בע""מ"</f>
        <v>אלתא מערכות בע"מ</v>
      </c>
      <c r="I878" t="str">
        <f>"10"</f>
        <v>10</v>
      </c>
      <c r="J878" t="str">
        <f>"cust001348"</f>
        <v>cust001348</v>
      </c>
      <c r="K878" t="str">
        <f>"241119.815 ELTA"</f>
        <v>241119.815 ELTA</v>
      </c>
      <c r="L878">
        <v>1</v>
      </c>
      <c r="M878" t="str">
        <f>"יח"</f>
        <v>יח</v>
      </c>
      <c r="N878">
        <v>1</v>
      </c>
      <c r="O878" t="str">
        <f>"יח"</f>
        <v>יח</v>
      </c>
      <c r="P878">
        <v>200</v>
      </c>
      <c r="Q878" t="str">
        <f>"$"</f>
        <v>$</v>
      </c>
      <c r="R878" t="str">
        <f>"הזמנה"</f>
        <v>הזמנה</v>
      </c>
      <c r="S878">
        <v>0</v>
      </c>
      <c r="T878">
        <v>200</v>
      </c>
      <c r="U878">
        <v>0</v>
      </c>
      <c r="V878">
        <v>200</v>
      </c>
      <c r="W878" t="str">
        <f>"$"</f>
        <v>$</v>
      </c>
      <c r="X878">
        <v>0</v>
      </c>
      <c r="Y878">
        <v>0</v>
      </c>
      <c r="Z878">
        <v>0</v>
      </c>
      <c r="AA878" t="str">
        <f>"Y"</f>
        <v>Y</v>
      </c>
      <c r="AB878" t="str">
        <f>"SO22000327"</f>
        <v>SO22000327</v>
      </c>
      <c r="AC878">
        <v>4</v>
      </c>
      <c r="AD878" s="1">
        <v>44788</v>
      </c>
      <c r="AE878" t="str">
        <f>"SH22001083"</f>
        <v>SH22001083</v>
      </c>
      <c r="AF878" t="str">
        <f>"משלוחים ללקוח"</f>
        <v>משלוחים ללקוח</v>
      </c>
      <c r="AG878" s="1">
        <v>44805</v>
      </c>
      <c r="AM878" t="str">
        <f>"10"</f>
        <v>10</v>
      </c>
      <c r="AN878" t="str">
        <f>"500000"</f>
        <v>500000</v>
      </c>
      <c r="AO878" t="str">
        <f>"הכנסות  מלקוחות"</f>
        <v>הכנסות  מלקוחות</v>
      </c>
      <c r="AQ878" t="str">
        <f>"007"</f>
        <v>007</v>
      </c>
      <c r="AR878">
        <v>0</v>
      </c>
      <c r="AS878">
        <v>0</v>
      </c>
      <c r="AT878">
        <v>3.5979999999999999</v>
      </c>
      <c r="AX878" t="str">
        <f>"E000370514"</f>
        <v>E000370514</v>
      </c>
      <c r="BD878" t="str">
        <f>"רוני דידי"</f>
        <v>רוני דידי</v>
      </c>
    </row>
    <row r="879" spans="1:56" x14ac:dyDescent="0.3">
      <c r="A879" s="1">
        <v>44994</v>
      </c>
      <c r="B879" t="str">
        <f>"SI236000342"</f>
        <v>SI236000342</v>
      </c>
      <c r="C879" t="str">
        <f>"PR22000449"</f>
        <v>PR22000449</v>
      </c>
      <c r="E879" t="str">
        <f>"Y"</f>
        <v>Y</v>
      </c>
      <c r="F879" t="str">
        <f>"חשבוניות מרכזות"</f>
        <v>חשבוניות מרכזות</v>
      </c>
      <c r="G879" t="str">
        <f>"700065"</f>
        <v>700065</v>
      </c>
      <c r="H879" t="str">
        <f>"אלתא מערכות בע""מ"</f>
        <v>אלתא מערכות בע"מ</v>
      </c>
      <c r="I879" t="str">
        <f>"10"</f>
        <v>10</v>
      </c>
      <c r="J879" t="str">
        <f>"cust001348"</f>
        <v>cust001348</v>
      </c>
      <c r="K879" t="str">
        <f>"241119.815 ELTA"</f>
        <v>241119.815 ELTA</v>
      </c>
      <c r="L879">
        <v>1</v>
      </c>
      <c r="M879" t="str">
        <f>"יח"</f>
        <v>יח</v>
      </c>
      <c r="N879">
        <v>1</v>
      </c>
      <c r="O879" t="str">
        <f>"יח"</f>
        <v>יח</v>
      </c>
      <c r="P879">
        <v>200</v>
      </c>
      <c r="Q879" t="str">
        <f>"$"</f>
        <v>$</v>
      </c>
      <c r="R879" t="str">
        <f>"הזמנה"</f>
        <v>הזמנה</v>
      </c>
      <c r="S879">
        <v>0</v>
      </c>
      <c r="T879">
        <v>200</v>
      </c>
      <c r="U879">
        <v>0</v>
      </c>
      <c r="V879">
        <v>200</v>
      </c>
      <c r="W879" t="str">
        <f>"$"</f>
        <v>$</v>
      </c>
      <c r="X879">
        <v>0</v>
      </c>
      <c r="Y879">
        <v>0</v>
      </c>
      <c r="Z879">
        <v>0</v>
      </c>
      <c r="AA879" t="str">
        <f>"Y"</f>
        <v>Y</v>
      </c>
      <c r="AB879" t="str">
        <f>"SO22000327"</f>
        <v>SO22000327</v>
      </c>
      <c r="AC879">
        <v>5</v>
      </c>
      <c r="AD879" s="1">
        <v>44788</v>
      </c>
      <c r="AE879" t="str">
        <f>"SH22001083"</f>
        <v>SH22001083</v>
      </c>
      <c r="AF879" t="str">
        <f>"משלוחים ללקוח"</f>
        <v>משלוחים ללקוח</v>
      </c>
      <c r="AG879" s="1">
        <v>44805</v>
      </c>
      <c r="AM879" t="str">
        <f>"10"</f>
        <v>10</v>
      </c>
      <c r="AN879" t="str">
        <f>"500000"</f>
        <v>500000</v>
      </c>
      <c r="AO879" t="str">
        <f>"הכנסות  מלקוחות"</f>
        <v>הכנסות  מלקוחות</v>
      </c>
      <c r="AQ879" t="str">
        <f>"007"</f>
        <v>007</v>
      </c>
      <c r="AR879">
        <v>0</v>
      </c>
      <c r="AS879">
        <v>0</v>
      </c>
      <c r="AT879">
        <v>3.5979999999999999</v>
      </c>
      <c r="AX879" t="str">
        <f>"E000370514"</f>
        <v>E000370514</v>
      </c>
      <c r="BD879" t="str">
        <f>"רוני דידי"</f>
        <v>רוני דידי</v>
      </c>
    </row>
    <row r="880" spans="1:56" x14ac:dyDescent="0.3">
      <c r="A880" s="1">
        <v>44994</v>
      </c>
      <c r="B880" t="str">
        <f>"SI236000341"</f>
        <v>SI236000341</v>
      </c>
      <c r="C880" t="str">
        <f>"PR22000449"</f>
        <v>PR22000449</v>
      </c>
      <c r="E880" t="str">
        <f>"Y"</f>
        <v>Y</v>
      </c>
      <c r="F880" t="str">
        <f>"חשבוניות מרכזות"</f>
        <v>חשבוניות מרכזות</v>
      </c>
      <c r="G880" t="str">
        <f>"700065"</f>
        <v>700065</v>
      </c>
      <c r="H880" t="str">
        <f>"אלתא מערכות בע""מ"</f>
        <v>אלתא מערכות בע"מ</v>
      </c>
      <c r="I880" t="str">
        <f>"10"</f>
        <v>10</v>
      </c>
      <c r="J880" t="str">
        <f>"cust001348"</f>
        <v>cust001348</v>
      </c>
      <c r="K880" t="str">
        <f>"241119.815 ELTA"</f>
        <v>241119.815 ELTA</v>
      </c>
      <c r="L880">
        <v>-1</v>
      </c>
      <c r="M880" t="str">
        <f>"יח"</f>
        <v>יח</v>
      </c>
      <c r="N880">
        <v>-1</v>
      </c>
      <c r="O880" t="str">
        <f>"יח"</f>
        <v>יח</v>
      </c>
      <c r="P880">
        <v>200</v>
      </c>
      <c r="Q880" t="str">
        <f>"$"</f>
        <v>$</v>
      </c>
      <c r="R880" t="str">
        <f>"הזמנה"</f>
        <v>הזמנה</v>
      </c>
      <c r="S880">
        <v>0</v>
      </c>
      <c r="T880">
        <v>-200</v>
      </c>
      <c r="U880">
        <v>0</v>
      </c>
      <c r="V880">
        <v>-200</v>
      </c>
      <c r="W880" t="str">
        <f>"$"</f>
        <v>$</v>
      </c>
      <c r="X880">
        <v>0</v>
      </c>
      <c r="Y880">
        <v>0</v>
      </c>
      <c r="Z880">
        <v>0</v>
      </c>
      <c r="AA880" t="str">
        <f>"Y"</f>
        <v>Y</v>
      </c>
      <c r="AC880">
        <v>0</v>
      </c>
      <c r="AM880" t="str">
        <f>"10"</f>
        <v>10</v>
      </c>
      <c r="AN880" t="str">
        <f>"500000"</f>
        <v>500000</v>
      </c>
      <c r="AO880" t="str">
        <f>"הכנסות  מלקוחות"</f>
        <v>הכנסות  מלקוחות</v>
      </c>
      <c r="AQ880" t="str">
        <f>"007"</f>
        <v>007</v>
      </c>
      <c r="AR880">
        <v>0</v>
      </c>
      <c r="AS880">
        <v>0</v>
      </c>
      <c r="AT880">
        <v>3.456</v>
      </c>
      <c r="BB880" t="str">
        <f>"Y"</f>
        <v>Y</v>
      </c>
      <c r="BD880" t="str">
        <f>"רוני דידי"</f>
        <v>רוני דידי</v>
      </c>
    </row>
    <row r="881" spans="1:56" x14ac:dyDescent="0.3">
      <c r="A881" s="1">
        <v>44994</v>
      </c>
      <c r="B881" t="str">
        <f>"SI236000341"</f>
        <v>SI236000341</v>
      </c>
      <c r="C881" t="str">
        <f>"PR22000449"</f>
        <v>PR22000449</v>
      </c>
      <c r="E881" t="str">
        <f>"Y"</f>
        <v>Y</v>
      </c>
      <c r="F881" t="str">
        <f>"חשבוניות מרכזות"</f>
        <v>חשבוניות מרכזות</v>
      </c>
      <c r="G881" t="str">
        <f>"700065"</f>
        <v>700065</v>
      </c>
      <c r="H881" t="str">
        <f>"אלתא מערכות בע""מ"</f>
        <v>אלתא מערכות בע"מ</v>
      </c>
      <c r="I881" t="str">
        <f>"10"</f>
        <v>10</v>
      </c>
      <c r="J881" t="str">
        <f>"cust001348"</f>
        <v>cust001348</v>
      </c>
      <c r="K881" t="str">
        <f>"241119.815 ELTA"</f>
        <v>241119.815 ELTA</v>
      </c>
      <c r="L881">
        <v>-1</v>
      </c>
      <c r="M881" t="str">
        <f>"יח"</f>
        <v>יח</v>
      </c>
      <c r="N881">
        <v>-1</v>
      </c>
      <c r="O881" t="str">
        <f>"יח"</f>
        <v>יח</v>
      </c>
      <c r="P881">
        <v>200</v>
      </c>
      <c r="Q881" t="str">
        <f>"$"</f>
        <v>$</v>
      </c>
      <c r="R881" t="str">
        <f>"הזמנה"</f>
        <v>הזמנה</v>
      </c>
      <c r="S881">
        <v>0</v>
      </c>
      <c r="T881">
        <v>-200</v>
      </c>
      <c r="U881">
        <v>0</v>
      </c>
      <c r="V881">
        <v>-200</v>
      </c>
      <c r="W881" t="str">
        <f>"$"</f>
        <v>$</v>
      </c>
      <c r="X881">
        <v>0</v>
      </c>
      <c r="Y881">
        <v>0</v>
      </c>
      <c r="Z881">
        <v>0</v>
      </c>
      <c r="AA881" t="str">
        <f>"Y"</f>
        <v>Y</v>
      </c>
      <c r="AC881">
        <v>0</v>
      </c>
      <c r="AM881" t="str">
        <f>"10"</f>
        <v>10</v>
      </c>
      <c r="AN881" t="str">
        <f>"500000"</f>
        <v>500000</v>
      </c>
      <c r="AO881" t="str">
        <f>"הכנסות  מלקוחות"</f>
        <v>הכנסות  מלקוחות</v>
      </c>
      <c r="AQ881" t="str">
        <f>"007"</f>
        <v>007</v>
      </c>
      <c r="AR881">
        <v>0</v>
      </c>
      <c r="AS881">
        <v>0</v>
      </c>
      <c r="AT881">
        <v>3.456</v>
      </c>
      <c r="BB881" t="str">
        <f>"Y"</f>
        <v>Y</v>
      </c>
      <c r="BD881" t="str">
        <f>"רוני דידי"</f>
        <v>רוני דידי</v>
      </c>
    </row>
    <row r="882" spans="1:56" x14ac:dyDescent="0.3">
      <c r="A882" s="1">
        <v>44994</v>
      </c>
      <c r="B882" t="str">
        <f>"SI236000341"</f>
        <v>SI236000341</v>
      </c>
      <c r="C882" t="str">
        <f>"PR22000449"</f>
        <v>PR22000449</v>
      </c>
      <c r="E882" t="str">
        <f>"Y"</f>
        <v>Y</v>
      </c>
      <c r="F882" t="str">
        <f>"חשבוניות מרכזות"</f>
        <v>חשבוניות מרכזות</v>
      </c>
      <c r="G882" t="str">
        <f>"700065"</f>
        <v>700065</v>
      </c>
      <c r="H882" t="str">
        <f>"אלתא מערכות בע""מ"</f>
        <v>אלתא מערכות בע"מ</v>
      </c>
      <c r="I882" t="str">
        <f>"10"</f>
        <v>10</v>
      </c>
      <c r="J882" t="str">
        <f>"cust001348"</f>
        <v>cust001348</v>
      </c>
      <c r="K882" t="str">
        <f>"241119.815 ELTA"</f>
        <v>241119.815 ELTA</v>
      </c>
      <c r="L882">
        <v>-1</v>
      </c>
      <c r="M882" t="str">
        <f>"יח"</f>
        <v>יח</v>
      </c>
      <c r="N882">
        <v>-1</v>
      </c>
      <c r="O882" t="str">
        <f>"יח"</f>
        <v>יח</v>
      </c>
      <c r="P882">
        <v>200</v>
      </c>
      <c r="Q882" t="str">
        <f>"$"</f>
        <v>$</v>
      </c>
      <c r="R882" t="str">
        <f>"הזמנה"</f>
        <v>הזמנה</v>
      </c>
      <c r="S882">
        <v>0</v>
      </c>
      <c r="T882">
        <v>-200</v>
      </c>
      <c r="U882">
        <v>0</v>
      </c>
      <c r="V882">
        <v>-200</v>
      </c>
      <c r="W882" t="str">
        <f>"$"</f>
        <v>$</v>
      </c>
      <c r="X882">
        <v>0</v>
      </c>
      <c r="Y882">
        <v>0</v>
      </c>
      <c r="Z882">
        <v>0</v>
      </c>
      <c r="AA882" t="str">
        <f>"Y"</f>
        <v>Y</v>
      </c>
      <c r="AC882">
        <v>0</v>
      </c>
      <c r="AM882" t="str">
        <f>"10"</f>
        <v>10</v>
      </c>
      <c r="AN882" t="str">
        <f>"500000"</f>
        <v>500000</v>
      </c>
      <c r="AO882" t="str">
        <f>"הכנסות  מלקוחות"</f>
        <v>הכנסות  מלקוחות</v>
      </c>
      <c r="AQ882" t="str">
        <f>"007"</f>
        <v>007</v>
      </c>
      <c r="AR882">
        <v>0</v>
      </c>
      <c r="AS882">
        <v>0</v>
      </c>
      <c r="AT882">
        <v>3.456</v>
      </c>
      <c r="BB882" t="str">
        <f>"Y"</f>
        <v>Y</v>
      </c>
      <c r="BD882" t="str">
        <f>"רוני דידי"</f>
        <v>רוני דידי</v>
      </c>
    </row>
    <row r="883" spans="1:56" x14ac:dyDescent="0.3">
      <c r="A883" s="1">
        <v>44994</v>
      </c>
      <c r="B883" t="str">
        <f>"SI236000341"</f>
        <v>SI236000341</v>
      </c>
      <c r="C883" t="str">
        <f>"PR22000449"</f>
        <v>PR22000449</v>
      </c>
      <c r="E883" t="str">
        <f>"Y"</f>
        <v>Y</v>
      </c>
      <c r="F883" t="str">
        <f>"חשבוניות מרכזות"</f>
        <v>חשבוניות מרכזות</v>
      </c>
      <c r="G883" t="str">
        <f>"700065"</f>
        <v>700065</v>
      </c>
      <c r="H883" t="str">
        <f>"אלתא מערכות בע""מ"</f>
        <v>אלתא מערכות בע"מ</v>
      </c>
      <c r="I883" t="str">
        <f>"10"</f>
        <v>10</v>
      </c>
      <c r="J883" t="str">
        <f>"cust001348"</f>
        <v>cust001348</v>
      </c>
      <c r="K883" t="str">
        <f>"241119.815 ELTA"</f>
        <v>241119.815 ELTA</v>
      </c>
      <c r="L883">
        <v>-1</v>
      </c>
      <c r="M883" t="str">
        <f>"יח"</f>
        <v>יח</v>
      </c>
      <c r="N883">
        <v>-1</v>
      </c>
      <c r="O883" t="str">
        <f>"יח"</f>
        <v>יח</v>
      </c>
      <c r="P883">
        <v>200</v>
      </c>
      <c r="Q883" t="str">
        <f>"$"</f>
        <v>$</v>
      </c>
      <c r="R883" t="str">
        <f>"הזמנה"</f>
        <v>הזמנה</v>
      </c>
      <c r="S883">
        <v>0</v>
      </c>
      <c r="T883">
        <v>-200</v>
      </c>
      <c r="U883">
        <v>0</v>
      </c>
      <c r="V883">
        <v>-200</v>
      </c>
      <c r="W883" t="str">
        <f>"$"</f>
        <v>$</v>
      </c>
      <c r="X883">
        <v>0</v>
      </c>
      <c r="Y883">
        <v>0</v>
      </c>
      <c r="Z883">
        <v>0</v>
      </c>
      <c r="AA883" t="str">
        <f>"Y"</f>
        <v>Y</v>
      </c>
      <c r="AC883">
        <v>0</v>
      </c>
      <c r="AM883" t="str">
        <f>"10"</f>
        <v>10</v>
      </c>
      <c r="AN883" t="str">
        <f>"500000"</f>
        <v>500000</v>
      </c>
      <c r="AO883" t="str">
        <f>"הכנסות  מלקוחות"</f>
        <v>הכנסות  מלקוחות</v>
      </c>
      <c r="AQ883" t="str">
        <f>"007"</f>
        <v>007</v>
      </c>
      <c r="AR883">
        <v>0</v>
      </c>
      <c r="AS883">
        <v>0</v>
      </c>
      <c r="AT883">
        <v>3.456</v>
      </c>
      <c r="BB883" t="str">
        <f>"Y"</f>
        <v>Y</v>
      </c>
      <c r="BD883" t="str">
        <f>"רוני דידי"</f>
        <v>רוני דידי</v>
      </c>
    </row>
    <row r="884" spans="1:56" x14ac:dyDescent="0.3">
      <c r="A884" s="1">
        <v>44994</v>
      </c>
      <c r="B884" t="str">
        <f>"SI236000341"</f>
        <v>SI236000341</v>
      </c>
      <c r="C884" t="str">
        <f>"PR22000449"</f>
        <v>PR22000449</v>
      </c>
      <c r="E884" t="str">
        <f>"Y"</f>
        <v>Y</v>
      </c>
      <c r="F884" t="str">
        <f>"חשבוניות מרכזות"</f>
        <v>חשבוניות מרכזות</v>
      </c>
      <c r="G884" t="str">
        <f>"700065"</f>
        <v>700065</v>
      </c>
      <c r="H884" t="str">
        <f>"אלתא מערכות בע""מ"</f>
        <v>אלתא מערכות בע"מ</v>
      </c>
      <c r="I884" t="str">
        <f>"10"</f>
        <v>10</v>
      </c>
      <c r="J884" t="str">
        <f>"cust001348"</f>
        <v>cust001348</v>
      </c>
      <c r="K884" t="str">
        <f>"241119.815 ELTA"</f>
        <v>241119.815 ELTA</v>
      </c>
      <c r="L884">
        <v>-1</v>
      </c>
      <c r="M884" t="str">
        <f>"יח"</f>
        <v>יח</v>
      </c>
      <c r="N884">
        <v>-1</v>
      </c>
      <c r="O884" t="str">
        <f>"יח"</f>
        <v>יח</v>
      </c>
      <c r="P884">
        <v>200</v>
      </c>
      <c r="Q884" t="str">
        <f>"$"</f>
        <v>$</v>
      </c>
      <c r="R884" t="str">
        <f>"הזמנה"</f>
        <v>הזמנה</v>
      </c>
      <c r="S884">
        <v>0</v>
      </c>
      <c r="T884">
        <v>-200</v>
      </c>
      <c r="U884">
        <v>0</v>
      </c>
      <c r="V884">
        <v>-200</v>
      </c>
      <c r="W884" t="str">
        <f>"$"</f>
        <v>$</v>
      </c>
      <c r="X884">
        <v>0</v>
      </c>
      <c r="Y884">
        <v>0</v>
      </c>
      <c r="Z884">
        <v>0</v>
      </c>
      <c r="AA884" t="str">
        <f>"Y"</f>
        <v>Y</v>
      </c>
      <c r="AC884">
        <v>0</v>
      </c>
      <c r="AM884" t="str">
        <f>"10"</f>
        <v>10</v>
      </c>
      <c r="AN884" t="str">
        <f>"500000"</f>
        <v>500000</v>
      </c>
      <c r="AO884" t="str">
        <f>"הכנסות  מלקוחות"</f>
        <v>הכנסות  מלקוחות</v>
      </c>
      <c r="AQ884" t="str">
        <f>"007"</f>
        <v>007</v>
      </c>
      <c r="AR884">
        <v>0</v>
      </c>
      <c r="AS884">
        <v>0</v>
      </c>
      <c r="AT884">
        <v>3.456</v>
      </c>
      <c r="BB884" t="str">
        <f>"Y"</f>
        <v>Y</v>
      </c>
      <c r="BD884" t="str">
        <f>"רוני דידי"</f>
        <v>רוני דידי</v>
      </c>
    </row>
    <row r="885" spans="1:56" x14ac:dyDescent="0.3">
      <c r="A885" s="1">
        <v>44994</v>
      </c>
      <c r="B885" t="str">
        <f>"SI236000337"</f>
        <v>SI236000337</v>
      </c>
      <c r="E885" t="str">
        <f>"Y"</f>
        <v>Y</v>
      </c>
      <c r="F885" t="str">
        <f>"חשבוניות מרכזות"</f>
        <v>חשבוניות מרכזות</v>
      </c>
      <c r="G885" t="str">
        <f>"700065"</f>
        <v>700065</v>
      </c>
      <c r="H885" t="str">
        <f>"אלתא מערכות בע""מ"</f>
        <v>אלתא מערכות בע"מ</v>
      </c>
      <c r="I885" t="str">
        <f>"10"</f>
        <v>10</v>
      </c>
      <c r="J885" t="str">
        <f>"PA1000943"</f>
        <v>PA1000943</v>
      </c>
      <c r="K885" t="str">
        <f>"קוטב למצבר + 3534"</f>
        <v>קוטב למצבר + 3534</v>
      </c>
      <c r="L885">
        <v>1</v>
      </c>
      <c r="M885" t="str">
        <f>"יח"</f>
        <v>יח</v>
      </c>
      <c r="N885">
        <v>1</v>
      </c>
      <c r="O885" t="str">
        <f>"יח"</f>
        <v>יח</v>
      </c>
      <c r="P885">
        <v>288</v>
      </c>
      <c r="Q885" t="str">
        <f>"$"</f>
        <v>$</v>
      </c>
      <c r="R885" t="str">
        <f>"הזמנה"</f>
        <v>הזמנה</v>
      </c>
      <c r="S885">
        <v>0</v>
      </c>
      <c r="T885">
        <v>288</v>
      </c>
      <c r="U885">
        <v>0</v>
      </c>
      <c r="V885">
        <v>288</v>
      </c>
      <c r="W885" t="str">
        <f>"$"</f>
        <v>$</v>
      </c>
      <c r="X885">
        <v>0</v>
      </c>
      <c r="Y885">
        <v>0</v>
      </c>
      <c r="Z885">
        <v>0</v>
      </c>
      <c r="AA885" t="str">
        <f>"Y"</f>
        <v>Y</v>
      </c>
      <c r="AB885" t="str">
        <f>"SO22000416"</f>
        <v>SO22000416</v>
      </c>
      <c r="AC885">
        <v>1</v>
      </c>
      <c r="AD885" s="1">
        <v>44888</v>
      </c>
      <c r="AM885" t="str">
        <f>"10"</f>
        <v>10</v>
      </c>
      <c r="AN885" t="str">
        <f>"500000"</f>
        <v>500000</v>
      </c>
      <c r="AO885" t="str">
        <f>"הכנסות  מלקוחות"</f>
        <v>הכנסות  מלקוחות</v>
      </c>
      <c r="AQ885" t="str">
        <f>"007"</f>
        <v>007</v>
      </c>
      <c r="AR885">
        <v>0</v>
      </c>
      <c r="AS885">
        <v>0</v>
      </c>
      <c r="AT885">
        <v>3.5979999999999999</v>
      </c>
      <c r="AX885" t="str">
        <f>"E000379575"</f>
        <v>E000379575</v>
      </c>
      <c r="BD885" t="str">
        <f>"רוני דידי"</f>
        <v>רוני דידי</v>
      </c>
    </row>
    <row r="886" spans="1:56" x14ac:dyDescent="0.3">
      <c r="A886" s="1">
        <v>44994</v>
      </c>
      <c r="B886" t="str">
        <f>"SI236000337"</f>
        <v>SI236000337</v>
      </c>
      <c r="E886" t="str">
        <f>"Y"</f>
        <v>Y</v>
      </c>
      <c r="F886" t="str">
        <f>"חשבוניות מרכזות"</f>
        <v>חשבוניות מרכזות</v>
      </c>
      <c r="G886" t="str">
        <f>"700065"</f>
        <v>700065</v>
      </c>
      <c r="H886" t="str">
        <f>"אלתא מערכות בע""מ"</f>
        <v>אלתא מערכות בע"מ</v>
      </c>
      <c r="I886" t="str">
        <f>"10"</f>
        <v>10</v>
      </c>
      <c r="J886" t="str">
        <f>"PA1000944"</f>
        <v>PA1000944</v>
      </c>
      <c r="K886" t="str">
        <f>"קוטב למצבר (-) 3535"</f>
        <v>קוטב למצבר (-) 3535</v>
      </c>
      <c r="L886">
        <v>1</v>
      </c>
      <c r="M886" t="str">
        <f>"יח"</f>
        <v>יח</v>
      </c>
      <c r="N886">
        <v>1</v>
      </c>
      <c r="O886" t="str">
        <f>"יח"</f>
        <v>יח</v>
      </c>
      <c r="P886">
        <v>288</v>
      </c>
      <c r="Q886" t="str">
        <f>"$"</f>
        <v>$</v>
      </c>
      <c r="R886" t="str">
        <f>"הזמנה"</f>
        <v>הזמנה</v>
      </c>
      <c r="S886">
        <v>0</v>
      </c>
      <c r="T886">
        <v>288</v>
      </c>
      <c r="U886">
        <v>0</v>
      </c>
      <c r="V886">
        <v>288</v>
      </c>
      <c r="W886" t="str">
        <f>"$"</f>
        <v>$</v>
      </c>
      <c r="X886">
        <v>0</v>
      </c>
      <c r="Y886">
        <v>0</v>
      </c>
      <c r="Z886">
        <v>0</v>
      </c>
      <c r="AA886" t="str">
        <f>"Y"</f>
        <v>Y</v>
      </c>
      <c r="AB886" t="str">
        <f>"SO22000416"</f>
        <v>SO22000416</v>
      </c>
      <c r="AC886">
        <v>2</v>
      </c>
      <c r="AD886" s="1">
        <v>44888</v>
      </c>
      <c r="AM886" t="str">
        <f>"10"</f>
        <v>10</v>
      </c>
      <c r="AN886" t="str">
        <f>"500000"</f>
        <v>500000</v>
      </c>
      <c r="AO886" t="str">
        <f>"הכנסות  מלקוחות"</f>
        <v>הכנסות  מלקוחות</v>
      </c>
      <c r="AQ886" t="str">
        <f>"007"</f>
        <v>007</v>
      </c>
      <c r="AR886">
        <v>0</v>
      </c>
      <c r="AS886">
        <v>0</v>
      </c>
      <c r="AT886">
        <v>3.5979999999999999</v>
      </c>
      <c r="AX886" t="str">
        <f>"E000379575"</f>
        <v>E000379575</v>
      </c>
      <c r="BD886" t="str">
        <f>"רוני דידי"</f>
        <v>רוני דידי</v>
      </c>
    </row>
    <row r="887" spans="1:56" x14ac:dyDescent="0.3">
      <c r="A887" s="1">
        <v>44994</v>
      </c>
      <c r="B887" t="str">
        <f>"SI236000336"</f>
        <v>SI236000336</v>
      </c>
      <c r="C887" t="str">
        <f>"PR22000449"</f>
        <v>PR22000449</v>
      </c>
      <c r="E887" t="str">
        <f>"Y"</f>
        <v>Y</v>
      </c>
      <c r="F887" t="str">
        <f>"חשבוניות מרכזות"</f>
        <v>חשבוניות מרכזות</v>
      </c>
      <c r="G887" t="str">
        <f>"700065"</f>
        <v>700065</v>
      </c>
      <c r="H887" t="str">
        <f>"אלתא מערכות בע""מ"</f>
        <v>אלתא מערכות בע"מ</v>
      </c>
      <c r="I887" t="str">
        <f>"10"</f>
        <v>10</v>
      </c>
      <c r="J887" t="str">
        <f>"cust001348"</f>
        <v>cust001348</v>
      </c>
      <c r="K887" t="str">
        <f>"241119.815 ELTA"</f>
        <v>241119.815 ELTA</v>
      </c>
      <c r="L887">
        <v>1</v>
      </c>
      <c r="M887" t="str">
        <f>"יח"</f>
        <v>יח</v>
      </c>
      <c r="N887">
        <v>1</v>
      </c>
      <c r="O887" t="str">
        <f>"יח"</f>
        <v>יח</v>
      </c>
      <c r="P887">
        <v>200</v>
      </c>
      <c r="Q887" t="str">
        <f>"$"</f>
        <v>$</v>
      </c>
      <c r="R887" t="str">
        <f>"הזמנה"</f>
        <v>הזמנה</v>
      </c>
      <c r="S887">
        <v>0</v>
      </c>
      <c r="T887">
        <v>200</v>
      </c>
      <c r="U887">
        <v>0</v>
      </c>
      <c r="V887">
        <v>200</v>
      </c>
      <c r="W887" t="str">
        <f>"$"</f>
        <v>$</v>
      </c>
      <c r="X887">
        <v>0</v>
      </c>
      <c r="Y887">
        <v>0</v>
      </c>
      <c r="Z887">
        <v>0</v>
      </c>
      <c r="AA887" t="str">
        <f>"Y"</f>
        <v>Y</v>
      </c>
      <c r="AC887">
        <v>0</v>
      </c>
      <c r="AM887" t="str">
        <f>"10"</f>
        <v>10</v>
      </c>
      <c r="AN887" t="str">
        <f>"500000"</f>
        <v>500000</v>
      </c>
      <c r="AO887" t="str">
        <f>"הכנסות  מלקוחות"</f>
        <v>הכנסות  מלקוחות</v>
      </c>
      <c r="AQ887" t="str">
        <f>"007"</f>
        <v>007</v>
      </c>
      <c r="AR887">
        <v>0</v>
      </c>
      <c r="AS887">
        <v>0</v>
      </c>
      <c r="AT887">
        <v>3.456</v>
      </c>
      <c r="BB887" t="str">
        <f>"Y"</f>
        <v>Y</v>
      </c>
      <c r="BD887" t="str">
        <f>"רוני דידי"</f>
        <v>רוני דידי</v>
      </c>
    </row>
    <row r="888" spans="1:56" x14ac:dyDescent="0.3">
      <c r="A888" s="1">
        <v>44994</v>
      </c>
      <c r="B888" t="str">
        <f>"SI236000336"</f>
        <v>SI236000336</v>
      </c>
      <c r="C888" t="str">
        <f>"PR22000449"</f>
        <v>PR22000449</v>
      </c>
      <c r="E888" t="str">
        <f>"Y"</f>
        <v>Y</v>
      </c>
      <c r="F888" t="str">
        <f>"חשבוניות מרכזות"</f>
        <v>חשבוניות מרכזות</v>
      </c>
      <c r="G888" t="str">
        <f>"700065"</f>
        <v>700065</v>
      </c>
      <c r="H888" t="str">
        <f>"אלתא מערכות בע""מ"</f>
        <v>אלתא מערכות בע"מ</v>
      </c>
      <c r="I888" t="str">
        <f>"10"</f>
        <v>10</v>
      </c>
      <c r="J888" t="str">
        <f>"cust001348"</f>
        <v>cust001348</v>
      </c>
      <c r="K888" t="str">
        <f>"241119.815 ELTA"</f>
        <v>241119.815 ELTA</v>
      </c>
      <c r="L888">
        <v>1</v>
      </c>
      <c r="M888" t="str">
        <f>"יח"</f>
        <v>יח</v>
      </c>
      <c r="N888">
        <v>1</v>
      </c>
      <c r="O888" t="str">
        <f>"יח"</f>
        <v>יח</v>
      </c>
      <c r="P888">
        <v>200</v>
      </c>
      <c r="Q888" t="str">
        <f>"$"</f>
        <v>$</v>
      </c>
      <c r="R888" t="str">
        <f>"הזמנה"</f>
        <v>הזמנה</v>
      </c>
      <c r="S888">
        <v>0</v>
      </c>
      <c r="T888">
        <v>200</v>
      </c>
      <c r="U888">
        <v>0</v>
      </c>
      <c r="V888">
        <v>200</v>
      </c>
      <c r="W888" t="str">
        <f>"$"</f>
        <v>$</v>
      </c>
      <c r="X888">
        <v>0</v>
      </c>
      <c r="Y888">
        <v>0</v>
      </c>
      <c r="Z888">
        <v>0</v>
      </c>
      <c r="AA888" t="str">
        <f>"Y"</f>
        <v>Y</v>
      </c>
      <c r="AC888">
        <v>0</v>
      </c>
      <c r="AM888" t="str">
        <f>"10"</f>
        <v>10</v>
      </c>
      <c r="AN888" t="str">
        <f>"500000"</f>
        <v>500000</v>
      </c>
      <c r="AO888" t="str">
        <f>"הכנסות  מלקוחות"</f>
        <v>הכנסות  מלקוחות</v>
      </c>
      <c r="AQ888" t="str">
        <f>"007"</f>
        <v>007</v>
      </c>
      <c r="AR888">
        <v>0</v>
      </c>
      <c r="AS888">
        <v>0</v>
      </c>
      <c r="AT888">
        <v>3.456</v>
      </c>
      <c r="BB888" t="str">
        <f>"Y"</f>
        <v>Y</v>
      </c>
      <c r="BD888" t="str">
        <f>"רוני דידי"</f>
        <v>רוני דידי</v>
      </c>
    </row>
    <row r="889" spans="1:56" x14ac:dyDescent="0.3">
      <c r="A889" s="1">
        <v>44994</v>
      </c>
      <c r="B889" t="str">
        <f>"SI236000336"</f>
        <v>SI236000336</v>
      </c>
      <c r="C889" t="str">
        <f>"PR22000449"</f>
        <v>PR22000449</v>
      </c>
      <c r="E889" t="str">
        <f>"Y"</f>
        <v>Y</v>
      </c>
      <c r="F889" t="str">
        <f>"חשבוניות מרכזות"</f>
        <v>חשבוניות מרכזות</v>
      </c>
      <c r="G889" t="str">
        <f>"700065"</f>
        <v>700065</v>
      </c>
      <c r="H889" t="str">
        <f>"אלתא מערכות בע""מ"</f>
        <v>אלתא מערכות בע"מ</v>
      </c>
      <c r="I889" t="str">
        <f>"10"</f>
        <v>10</v>
      </c>
      <c r="J889" t="str">
        <f>"cust001348"</f>
        <v>cust001348</v>
      </c>
      <c r="K889" t="str">
        <f>"241119.815 ELTA"</f>
        <v>241119.815 ELTA</v>
      </c>
      <c r="L889">
        <v>1</v>
      </c>
      <c r="M889" t="str">
        <f>"יח"</f>
        <v>יח</v>
      </c>
      <c r="N889">
        <v>1</v>
      </c>
      <c r="O889" t="str">
        <f>"יח"</f>
        <v>יח</v>
      </c>
      <c r="P889">
        <v>200</v>
      </c>
      <c r="Q889" t="str">
        <f>"$"</f>
        <v>$</v>
      </c>
      <c r="R889" t="str">
        <f>"הזמנה"</f>
        <v>הזמנה</v>
      </c>
      <c r="S889">
        <v>0</v>
      </c>
      <c r="T889">
        <v>200</v>
      </c>
      <c r="U889">
        <v>0</v>
      </c>
      <c r="V889">
        <v>200</v>
      </c>
      <c r="W889" t="str">
        <f>"$"</f>
        <v>$</v>
      </c>
      <c r="X889">
        <v>0</v>
      </c>
      <c r="Y889">
        <v>0</v>
      </c>
      <c r="Z889">
        <v>0</v>
      </c>
      <c r="AA889" t="str">
        <f>"Y"</f>
        <v>Y</v>
      </c>
      <c r="AC889">
        <v>0</v>
      </c>
      <c r="AM889" t="str">
        <f>"10"</f>
        <v>10</v>
      </c>
      <c r="AN889" t="str">
        <f>"500000"</f>
        <v>500000</v>
      </c>
      <c r="AO889" t="str">
        <f>"הכנסות  מלקוחות"</f>
        <v>הכנסות  מלקוחות</v>
      </c>
      <c r="AQ889" t="str">
        <f>"007"</f>
        <v>007</v>
      </c>
      <c r="AR889">
        <v>0</v>
      </c>
      <c r="AS889">
        <v>0</v>
      </c>
      <c r="AT889">
        <v>3.456</v>
      </c>
      <c r="BB889" t="str">
        <f>"Y"</f>
        <v>Y</v>
      </c>
      <c r="BD889" t="str">
        <f>"רוני דידי"</f>
        <v>רוני דידי</v>
      </c>
    </row>
    <row r="890" spans="1:56" x14ac:dyDescent="0.3">
      <c r="A890" s="1">
        <v>44994</v>
      </c>
      <c r="B890" t="str">
        <f>"SI236000336"</f>
        <v>SI236000336</v>
      </c>
      <c r="C890" t="str">
        <f>"PR22000449"</f>
        <v>PR22000449</v>
      </c>
      <c r="E890" t="str">
        <f>"Y"</f>
        <v>Y</v>
      </c>
      <c r="F890" t="str">
        <f>"חשבוניות מרכזות"</f>
        <v>חשבוניות מרכזות</v>
      </c>
      <c r="G890" t="str">
        <f>"700065"</f>
        <v>700065</v>
      </c>
      <c r="H890" t="str">
        <f>"אלתא מערכות בע""מ"</f>
        <v>אלתא מערכות בע"מ</v>
      </c>
      <c r="I890" t="str">
        <f>"10"</f>
        <v>10</v>
      </c>
      <c r="J890" t="str">
        <f>"cust001348"</f>
        <v>cust001348</v>
      </c>
      <c r="K890" t="str">
        <f>"241119.815 ELTA"</f>
        <v>241119.815 ELTA</v>
      </c>
      <c r="L890">
        <v>1</v>
      </c>
      <c r="M890" t="str">
        <f>"יח"</f>
        <v>יח</v>
      </c>
      <c r="N890">
        <v>1</v>
      </c>
      <c r="O890" t="str">
        <f>"יח"</f>
        <v>יח</v>
      </c>
      <c r="P890">
        <v>200</v>
      </c>
      <c r="Q890" t="str">
        <f>"$"</f>
        <v>$</v>
      </c>
      <c r="R890" t="str">
        <f>"הזמנה"</f>
        <v>הזמנה</v>
      </c>
      <c r="S890">
        <v>0</v>
      </c>
      <c r="T890">
        <v>200</v>
      </c>
      <c r="U890">
        <v>0</v>
      </c>
      <c r="V890">
        <v>200</v>
      </c>
      <c r="W890" t="str">
        <f>"$"</f>
        <v>$</v>
      </c>
      <c r="X890">
        <v>0</v>
      </c>
      <c r="Y890">
        <v>0</v>
      </c>
      <c r="Z890">
        <v>0</v>
      </c>
      <c r="AA890" t="str">
        <f>"Y"</f>
        <v>Y</v>
      </c>
      <c r="AC890">
        <v>0</v>
      </c>
      <c r="AM890" t="str">
        <f>"10"</f>
        <v>10</v>
      </c>
      <c r="AN890" t="str">
        <f>"500000"</f>
        <v>500000</v>
      </c>
      <c r="AO890" t="str">
        <f>"הכנסות  מלקוחות"</f>
        <v>הכנסות  מלקוחות</v>
      </c>
      <c r="AQ890" t="str">
        <f>"007"</f>
        <v>007</v>
      </c>
      <c r="AR890">
        <v>0</v>
      </c>
      <c r="AS890">
        <v>0</v>
      </c>
      <c r="AT890">
        <v>3.456</v>
      </c>
      <c r="BB890" t="str">
        <f>"Y"</f>
        <v>Y</v>
      </c>
      <c r="BD890" t="str">
        <f>"רוני דידי"</f>
        <v>רוני דידי</v>
      </c>
    </row>
    <row r="891" spans="1:56" x14ac:dyDescent="0.3">
      <c r="A891" s="1">
        <v>44994</v>
      </c>
      <c r="B891" t="str">
        <f>"SI236000336"</f>
        <v>SI236000336</v>
      </c>
      <c r="C891" t="str">
        <f>"PR22000449"</f>
        <v>PR22000449</v>
      </c>
      <c r="E891" t="str">
        <f>"Y"</f>
        <v>Y</v>
      </c>
      <c r="F891" t="str">
        <f>"חשבוניות מרכזות"</f>
        <v>חשבוניות מרכזות</v>
      </c>
      <c r="G891" t="str">
        <f>"700065"</f>
        <v>700065</v>
      </c>
      <c r="H891" t="str">
        <f>"אלתא מערכות בע""מ"</f>
        <v>אלתא מערכות בע"מ</v>
      </c>
      <c r="I891" t="str">
        <f>"10"</f>
        <v>10</v>
      </c>
      <c r="J891" t="str">
        <f>"cust001348"</f>
        <v>cust001348</v>
      </c>
      <c r="K891" t="str">
        <f>"241119.815 ELTA"</f>
        <v>241119.815 ELTA</v>
      </c>
      <c r="L891">
        <v>1</v>
      </c>
      <c r="M891" t="str">
        <f>"יח"</f>
        <v>יח</v>
      </c>
      <c r="N891">
        <v>1</v>
      </c>
      <c r="O891" t="str">
        <f>"יח"</f>
        <v>יח</v>
      </c>
      <c r="P891">
        <v>200</v>
      </c>
      <c r="Q891" t="str">
        <f>"$"</f>
        <v>$</v>
      </c>
      <c r="R891" t="str">
        <f>"הזמנה"</f>
        <v>הזמנה</v>
      </c>
      <c r="S891">
        <v>0</v>
      </c>
      <c r="T891">
        <v>200</v>
      </c>
      <c r="U891">
        <v>0</v>
      </c>
      <c r="V891">
        <v>200</v>
      </c>
      <c r="W891" t="str">
        <f>"$"</f>
        <v>$</v>
      </c>
      <c r="X891">
        <v>0</v>
      </c>
      <c r="Y891">
        <v>0</v>
      </c>
      <c r="Z891">
        <v>0</v>
      </c>
      <c r="AA891" t="str">
        <f>"Y"</f>
        <v>Y</v>
      </c>
      <c r="AC891">
        <v>0</v>
      </c>
      <c r="AM891" t="str">
        <f>"10"</f>
        <v>10</v>
      </c>
      <c r="AN891" t="str">
        <f>"500000"</f>
        <v>500000</v>
      </c>
      <c r="AO891" t="str">
        <f>"הכנסות  מלקוחות"</f>
        <v>הכנסות  מלקוחות</v>
      </c>
      <c r="AQ891" t="str">
        <f>"007"</f>
        <v>007</v>
      </c>
      <c r="AR891">
        <v>0</v>
      </c>
      <c r="AS891">
        <v>0</v>
      </c>
      <c r="AT891">
        <v>3.456</v>
      </c>
      <c r="BB891" t="str">
        <f>"Y"</f>
        <v>Y</v>
      </c>
      <c r="BD891" t="str">
        <f>"רוני דידי"</f>
        <v>רוני דידי</v>
      </c>
    </row>
    <row r="892" spans="1:56" x14ac:dyDescent="0.3">
      <c r="A892" s="1">
        <v>44994</v>
      </c>
      <c r="B892" t="str">
        <f>"SI236000334"</f>
        <v>SI236000334</v>
      </c>
      <c r="C892" t="str">
        <f>"PR22000294"</f>
        <v>PR22000294</v>
      </c>
      <c r="E892" t="str">
        <f>"Y"</f>
        <v>Y</v>
      </c>
      <c r="F892" t="str">
        <f>"חשבוניות מרכזות"</f>
        <v>חשבוניות מרכזות</v>
      </c>
      <c r="G892" t="str">
        <f>"700065"</f>
        <v>700065</v>
      </c>
      <c r="H892" t="str">
        <f>"אלתא מערכות בע""מ"</f>
        <v>אלתא מערכות בע"מ</v>
      </c>
      <c r="I892" t="str">
        <f>"10"</f>
        <v>10</v>
      </c>
      <c r="J892" t="str">
        <f>"OP-ML00215"</f>
        <v>OP-ML00215</v>
      </c>
      <c r="K892" t="str">
        <f>"M - PDU מק""ט 6930H850-001"</f>
        <v>M - PDU מק"ט 6930H850-001</v>
      </c>
      <c r="L892">
        <v>1</v>
      </c>
      <c r="M892" t="str">
        <f>"יח"</f>
        <v>יח</v>
      </c>
      <c r="N892">
        <v>1</v>
      </c>
      <c r="O892" t="str">
        <f>"יח"</f>
        <v>יח</v>
      </c>
      <c r="P892" s="2">
        <v>14757</v>
      </c>
      <c r="Q892" t="str">
        <f>"$"</f>
        <v>$</v>
      </c>
      <c r="R892" t="str">
        <f>"הזמנה"</f>
        <v>הזמנה</v>
      </c>
      <c r="S892">
        <v>0</v>
      </c>
      <c r="T892" s="2">
        <v>14757</v>
      </c>
      <c r="U892">
        <v>0</v>
      </c>
      <c r="V892" s="2">
        <v>14757</v>
      </c>
      <c r="W892" t="str">
        <f>"$"</f>
        <v>$</v>
      </c>
      <c r="X892">
        <v>0</v>
      </c>
      <c r="Y892">
        <v>0</v>
      </c>
      <c r="Z892">
        <v>0</v>
      </c>
      <c r="AA892" t="str">
        <f>"Y"</f>
        <v>Y</v>
      </c>
      <c r="AB892" t="str">
        <f>"SO22000193"</f>
        <v>SO22000193</v>
      </c>
      <c r="AC892">
        <v>14</v>
      </c>
      <c r="AD892" s="1">
        <v>44698</v>
      </c>
      <c r="AE892" t="str">
        <f>"SH23000341"</f>
        <v>SH23000341</v>
      </c>
      <c r="AF892" t="str">
        <f>"משלוחים ללקוח"</f>
        <v>משלוחים ללקוח</v>
      </c>
      <c r="AG892" s="1">
        <v>44994</v>
      </c>
      <c r="AM892" t="str">
        <f>"10"</f>
        <v>10</v>
      </c>
      <c r="AN892" t="str">
        <f>"500000"</f>
        <v>500000</v>
      </c>
      <c r="AO892" t="str">
        <f>"הכנסות  מלקוחות"</f>
        <v>הכנסות  מלקוחות</v>
      </c>
      <c r="AQ892" t="str">
        <f>"034"</f>
        <v>034</v>
      </c>
      <c r="AR892">
        <v>0</v>
      </c>
      <c r="AS892">
        <v>0</v>
      </c>
      <c r="AT892">
        <v>3.589</v>
      </c>
      <c r="AX892" t="str">
        <f>"E000359087"</f>
        <v>E000359087</v>
      </c>
      <c r="BD892" t="str">
        <f>"ערן שלו"</f>
        <v>ערן שלו</v>
      </c>
    </row>
    <row r="893" spans="1:56" x14ac:dyDescent="0.3">
      <c r="A893" s="1">
        <v>44994</v>
      </c>
      <c r="B893" t="str">
        <f>"SI236000333"</f>
        <v>SI236000333</v>
      </c>
      <c r="C893" t="str">
        <f>"PR22000297"</f>
        <v>PR22000297</v>
      </c>
      <c r="E893" t="str">
        <f>"Y"</f>
        <v>Y</v>
      </c>
      <c r="F893" t="str">
        <f>"חשבוניות מרכזות"</f>
        <v>חשבוניות מרכזות</v>
      </c>
      <c r="G893" t="str">
        <f>"700065"</f>
        <v>700065</v>
      </c>
      <c r="H893" t="str">
        <f>"אלתא מערכות בע""מ"</f>
        <v>אלתא מערכות בע"מ</v>
      </c>
      <c r="I893" t="str">
        <f>"10"</f>
        <v>10</v>
      </c>
      <c r="J893" t="str">
        <f>"OP-ML00215"</f>
        <v>OP-ML00215</v>
      </c>
      <c r="K893" t="str">
        <f>"M - PDU מק""ט 6930H850-001"</f>
        <v>M - PDU מק"ט 6930H850-001</v>
      </c>
      <c r="L893">
        <v>1</v>
      </c>
      <c r="M893" t="str">
        <f>"יח"</f>
        <v>יח</v>
      </c>
      <c r="N893">
        <v>1</v>
      </c>
      <c r="O893" t="str">
        <f>"יח"</f>
        <v>יח</v>
      </c>
      <c r="P893" s="2">
        <v>14757</v>
      </c>
      <c r="Q893" t="str">
        <f>"$"</f>
        <v>$</v>
      </c>
      <c r="R893" t="str">
        <f>"הזמנה"</f>
        <v>הזמנה</v>
      </c>
      <c r="S893">
        <v>0</v>
      </c>
      <c r="T893" s="2">
        <v>14757</v>
      </c>
      <c r="U893">
        <v>0</v>
      </c>
      <c r="V893" s="2">
        <v>14757</v>
      </c>
      <c r="W893" t="str">
        <f>"$"</f>
        <v>$</v>
      </c>
      <c r="X893">
        <v>0</v>
      </c>
      <c r="Y893">
        <v>0</v>
      </c>
      <c r="Z893">
        <v>0</v>
      </c>
      <c r="AA893" t="str">
        <f>"Y"</f>
        <v>Y</v>
      </c>
      <c r="AB893" t="str">
        <f>"SO22000193"</f>
        <v>SO22000193</v>
      </c>
      <c r="AC893">
        <v>17</v>
      </c>
      <c r="AD893" s="1">
        <v>44698</v>
      </c>
      <c r="AE893" t="str">
        <f>"SH23000344"</f>
        <v>SH23000344</v>
      </c>
      <c r="AF893" t="str">
        <f>"משלוחים ללקוח"</f>
        <v>משלוחים ללקוח</v>
      </c>
      <c r="AG893" s="1">
        <v>44994</v>
      </c>
      <c r="AM893" t="str">
        <f>"10"</f>
        <v>10</v>
      </c>
      <c r="AN893" t="str">
        <f>"500000"</f>
        <v>500000</v>
      </c>
      <c r="AO893" t="str">
        <f>"הכנסות  מלקוחות"</f>
        <v>הכנסות  מלקוחות</v>
      </c>
      <c r="AQ893" t="str">
        <f>"034"</f>
        <v>034</v>
      </c>
      <c r="AR893">
        <v>0</v>
      </c>
      <c r="AS893">
        <v>0</v>
      </c>
      <c r="AT893">
        <v>3.589</v>
      </c>
      <c r="AX893" t="str">
        <f>"E000359087"</f>
        <v>E000359087</v>
      </c>
      <c r="BD893" t="str">
        <f>"ערן שלו"</f>
        <v>ערן שלו</v>
      </c>
    </row>
    <row r="894" spans="1:56" x14ac:dyDescent="0.3">
      <c r="A894" s="1">
        <v>44994</v>
      </c>
      <c r="B894" t="str">
        <f>"SI236000332"</f>
        <v>SI236000332</v>
      </c>
      <c r="C894" t="str">
        <f>"PR22000296"</f>
        <v>PR22000296</v>
      </c>
      <c r="E894" t="str">
        <f>"Y"</f>
        <v>Y</v>
      </c>
      <c r="F894" t="str">
        <f>"חשבוניות מרכזות"</f>
        <v>חשבוניות מרכזות</v>
      </c>
      <c r="G894" t="str">
        <f>"700065"</f>
        <v>700065</v>
      </c>
      <c r="H894" t="str">
        <f>"אלתא מערכות בע""מ"</f>
        <v>אלתא מערכות בע"מ</v>
      </c>
      <c r="I894" t="str">
        <f>"10"</f>
        <v>10</v>
      </c>
      <c r="J894" t="str">
        <f>"OP-ML00215"</f>
        <v>OP-ML00215</v>
      </c>
      <c r="K894" t="str">
        <f>"M - PDU מק""ט 6930H850-001"</f>
        <v>M - PDU מק"ט 6930H850-001</v>
      </c>
      <c r="L894">
        <v>1</v>
      </c>
      <c r="M894" t="str">
        <f>"יח"</f>
        <v>יח</v>
      </c>
      <c r="N894">
        <v>1</v>
      </c>
      <c r="O894" t="str">
        <f>"יח"</f>
        <v>יח</v>
      </c>
      <c r="P894" s="2">
        <v>14757</v>
      </c>
      <c r="Q894" t="str">
        <f>"$"</f>
        <v>$</v>
      </c>
      <c r="R894" t="str">
        <f>"הזמנה"</f>
        <v>הזמנה</v>
      </c>
      <c r="S894">
        <v>0</v>
      </c>
      <c r="T894" s="2">
        <v>14757</v>
      </c>
      <c r="U894">
        <v>0</v>
      </c>
      <c r="V894" s="2">
        <v>14757</v>
      </c>
      <c r="W894" t="str">
        <f>"$"</f>
        <v>$</v>
      </c>
      <c r="X894">
        <v>0</v>
      </c>
      <c r="Y894">
        <v>0</v>
      </c>
      <c r="Z894">
        <v>0</v>
      </c>
      <c r="AA894" t="str">
        <f>"Y"</f>
        <v>Y</v>
      </c>
      <c r="AB894" t="str">
        <f>"SO22000193"</f>
        <v>SO22000193</v>
      </c>
      <c r="AC894">
        <v>16</v>
      </c>
      <c r="AD894" s="1">
        <v>44698</v>
      </c>
      <c r="AE894" t="str">
        <f>"SH23000343"</f>
        <v>SH23000343</v>
      </c>
      <c r="AF894" t="str">
        <f>"משלוחים ללקוח"</f>
        <v>משלוחים ללקוח</v>
      </c>
      <c r="AG894" s="1">
        <v>44994</v>
      </c>
      <c r="AM894" t="str">
        <f>"10"</f>
        <v>10</v>
      </c>
      <c r="AN894" t="str">
        <f>"500000"</f>
        <v>500000</v>
      </c>
      <c r="AO894" t="str">
        <f>"הכנסות  מלקוחות"</f>
        <v>הכנסות  מלקוחות</v>
      </c>
      <c r="AQ894" t="str">
        <f>"034"</f>
        <v>034</v>
      </c>
      <c r="AR894">
        <v>0</v>
      </c>
      <c r="AS894">
        <v>0</v>
      </c>
      <c r="AT894">
        <v>3.589</v>
      </c>
      <c r="AX894" t="str">
        <f>"E000359087"</f>
        <v>E000359087</v>
      </c>
      <c r="BD894" t="str">
        <f>"ערן שלו"</f>
        <v>ערן שלו</v>
      </c>
    </row>
    <row r="895" spans="1:56" x14ac:dyDescent="0.3">
      <c r="A895" s="1">
        <v>44994</v>
      </c>
      <c r="B895" t="str">
        <f>"SI236000331"</f>
        <v>SI236000331</v>
      </c>
      <c r="C895" t="str">
        <f>"PR22000295"</f>
        <v>PR22000295</v>
      </c>
      <c r="E895" t="str">
        <f>"Y"</f>
        <v>Y</v>
      </c>
      <c r="F895" t="str">
        <f>"חשבוניות מרכזות"</f>
        <v>חשבוניות מרכזות</v>
      </c>
      <c r="G895" t="str">
        <f>"700065"</f>
        <v>700065</v>
      </c>
      <c r="H895" t="str">
        <f>"אלתא מערכות בע""מ"</f>
        <v>אלתא מערכות בע"מ</v>
      </c>
      <c r="I895" t="str">
        <f>"10"</f>
        <v>10</v>
      </c>
      <c r="J895" t="str">
        <f>"OP-ML00215"</f>
        <v>OP-ML00215</v>
      </c>
      <c r="K895" t="str">
        <f>"M - PDU מק""ט 6930H850-001"</f>
        <v>M - PDU מק"ט 6930H850-001</v>
      </c>
      <c r="L895">
        <v>1</v>
      </c>
      <c r="M895" t="str">
        <f>"יח"</f>
        <v>יח</v>
      </c>
      <c r="N895">
        <v>1</v>
      </c>
      <c r="O895" t="str">
        <f>"יח"</f>
        <v>יח</v>
      </c>
      <c r="P895" s="2">
        <v>14757</v>
      </c>
      <c r="Q895" t="str">
        <f>"$"</f>
        <v>$</v>
      </c>
      <c r="R895" t="str">
        <f>"הזמנה"</f>
        <v>הזמנה</v>
      </c>
      <c r="S895">
        <v>0</v>
      </c>
      <c r="T895" s="2">
        <v>14757</v>
      </c>
      <c r="U895">
        <v>0</v>
      </c>
      <c r="V895" s="2">
        <v>14757</v>
      </c>
      <c r="W895" t="str">
        <f>"$"</f>
        <v>$</v>
      </c>
      <c r="X895">
        <v>0</v>
      </c>
      <c r="Y895">
        <v>0</v>
      </c>
      <c r="Z895">
        <v>0</v>
      </c>
      <c r="AA895" t="str">
        <f>"Y"</f>
        <v>Y</v>
      </c>
      <c r="AB895" t="str">
        <f>"SO22000193"</f>
        <v>SO22000193</v>
      </c>
      <c r="AC895">
        <v>15</v>
      </c>
      <c r="AD895" s="1">
        <v>44698</v>
      </c>
      <c r="AE895" t="str">
        <f>"SH23000342"</f>
        <v>SH23000342</v>
      </c>
      <c r="AF895" t="str">
        <f>"משלוחים ללקוח"</f>
        <v>משלוחים ללקוח</v>
      </c>
      <c r="AG895" s="1">
        <v>44994</v>
      </c>
      <c r="AM895" t="str">
        <f>"10"</f>
        <v>10</v>
      </c>
      <c r="AN895" t="str">
        <f>"500000"</f>
        <v>500000</v>
      </c>
      <c r="AO895" t="str">
        <f>"הכנסות  מלקוחות"</f>
        <v>הכנסות  מלקוחות</v>
      </c>
      <c r="AQ895" t="str">
        <f>"034"</f>
        <v>034</v>
      </c>
      <c r="AR895">
        <v>0</v>
      </c>
      <c r="AS895">
        <v>0</v>
      </c>
      <c r="AT895">
        <v>3.589</v>
      </c>
      <c r="AX895" t="str">
        <f>"E000359087"</f>
        <v>E000359087</v>
      </c>
      <c r="BD895" t="str">
        <f>"ערן שלו"</f>
        <v>ערן שלו</v>
      </c>
    </row>
    <row r="896" spans="1:56" x14ac:dyDescent="0.3">
      <c r="A896" s="1">
        <v>44994</v>
      </c>
      <c r="B896" t="str">
        <f>"SI236000330"</f>
        <v>SI236000330</v>
      </c>
      <c r="C896" t="str">
        <f>"PR22000541"</f>
        <v>PR22000541</v>
      </c>
      <c r="E896" t="str">
        <f>"Y"</f>
        <v>Y</v>
      </c>
      <c r="F896" t="str">
        <f>"חשבוניות מרכזות"</f>
        <v>חשבוניות מרכזות</v>
      </c>
      <c r="G896" t="str">
        <f>"700065"</f>
        <v>700065</v>
      </c>
      <c r="H896" t="str">
        <f>"אלתא מערכות בע""מ"</f>
        <v>אלתא מערכות בע"מ</v>
      </c>
      <c r="I896" t="str">
        <f>"10"</f>
        <v>10</v>
      </c>
      <c r="J896" t="str">
        <f>"OP-ML00215"</f>
        <v>OP-ML00215</v>
      </c>
      <c r="K896" t="str">
        <f>"M - PDU מק""ט 6930H850-001"</f>
        <v>M - PDU מק"ט 6930H850-001</v>
      </c>
      <c r="L896">
        <v>1</v>
      </c>
      <c r="M896" t="str">
        <f>"יח"</f>
        <v>יח</v>
      </c>
      <c r="N896">
        <v>1</v>
      </c>
      <c r="O896" t="str">
        <f>"יח"</f>
        <v>יח</v>
      </c>
      <c r="P896" s="2">
        <v>14757</v>
      </c>
      <c r="Q896" t="str">
        <f>"$"</f>
        <v>$</v>
      </c>
      <c r="R896" t="str">
        <f>"הזמנה"</f>
        <v>הזמנה</v>
      </c>
      <c r="S896">
        <v>0</v>
      </c>
      <c r="T896" s="2">
        <v>14757</v>
      </c>
      <c r="U896">
        <v>0</v>
      </c>
      <c r="V896" s="2">
        <v>14757</v>
      </c>
      <c r="W896" t="str">
        <f>"$"</f>
        <v>$</v>
      </c>
      <c r="X896">
        <v>0</v>
      </c>
      <c r="Y896">
        <v>0</v>
      </c>
      <c r="Z896">
        <v>0</v>
      </c>
      <c r="AA896" t="str">
        <f>"Y"</f>
        <v>Y</v>
      </c>
      <c r="AB896" t="str">
        <f>"SO22000193"</f>
        <v>SO22000193</v>
      </c>
      <c r="AC896">
        <v>13</v>
      </c>
      <c r="AD896" s="1">
        <v>44698</v>
      </c>
      <c r="AE896" t="str">
        <f>"SH23000340"</f>
        <v>SH23000340</v>
      </c>
      <c r="AF896" t="str">
        <f>"משלוחים ללקוח"</f>
        <v>משלוחים ללקוח</v>
      </c>
      <c r="AG896" s="1">
        <v>44994</v>
      </c>
      <c r="AM896" t="str">
        <f>"10"</f>
        <v>10</v>
      </c>
      <c r="AN896" t="str">
        <f>"500000"</f>
        <v>500000</v>
      </c>
      <c r="AO896" t="str">
        <f>"הכנסות  מלקוחות"</f>
        <v>הכנסות  מלקוחות</v>
      </c>
      <c r="AQ896" t="str">
        <f>"034"</f>
        <v>034</v>
      </c>
      <c r="AR896">
        <v>0</v>
      </c>
      <c r="AS896">
        <v>0</v>
      </c>
      <c r="AT896">
        <v>3.589</v>
      </c>
      <c r="AX896" t="str">
        <f>"E000359087"</f>
        <v>E000359087</v>
      </c>
      <c r="BD896" t="str">
        <f>"ערן שלו"</f>
        <v>ערן שלו</v>
      </c>
    </row>
    <row r="897" spans="1:56" x14ac:dyDescent="0.3">
      <c r="A897" s="1">
        <v>44993</v>
      </c>
      <c r="B897" t="str">
        <f>"SI236000436"</f>
        <v>SI236000436</v>
      </c>
      <c r="C897" t="str">
        <f>"PR22000671"</f>
        <v>PR22000671</v>
      </c>
      <c r="E897" t="str">
        <f>"Y"</f>
        <v>Y</v>
      </c>
      <c r="F897" t="str">
        <f>"חשבוניות מרכזות"</f>
        <v>חשבוניות מרכזות</v>
      </c>
      <c r="G897" t="str">
        <f>"700065"</f>
        <v>700065</v>
      </c>
      <c r="H897" t="str">
        <f>"אלתא מערכות בע""מ"</f>
        <v>אלתא מערכות בע"מ</v>
      </c>
      <c r="I897" t="str">
        <f>"15"</f>
        <v>15</v>
      </c>
      <c r="J897" t="str">
        <f>"OP-AR03373"</f>
        <v>OP-AR03373</v>
      </c>
      <c r="K897" t="str">
        <f>"2218B756-001    Power Cable ASSY"</f>
        <v>2218B756-001    Power Cable ASSY</v>
      </c>
      <c r="L897">
        <v>5</v>
      </c>
      <c r="M897" t="str">
        <f>"יח"</f>
        <v>יח</v>
      </c>
      <c r="N897">
        <v>5</v>
      </c>
      <c r="O897" t="str">
        <f>"יח"</f>
        <v>יח</v>
      </c>
      <c r="P897">
        <v>342.45</v>
      </c>
      <c r="Q897" t="str">
        <f>"$"</f>
        <v>$</v>
      </c>
      <c r="R897" t="str">
        <f>"הזמנה"</f>
        <v>הזמנה</v>
      </c>
      <c r="S897">
        <v>0</v>
      </c>
      <c r="T897" s="2">
        <v>1712.25</v>
      </c>
      <c r="U897">
        <v>0</v>
      </c>
      <c r="V897" s="2">
        <v>1712.25</v>
      </c>
      <c r="W897" t="str">
        <f>"$"</f>
        <v>$</v>
      </c>
      <c r="X897">
        <v>0</v>
      </c>
      <c r="Y897">
        <v>0</v>
      </c>
      <c r="Z897">
        <v>0</v>
      </c>
      <c r="AA897" t="str">
        <f>"Y"</f>
        <v>Y</v>
      </c>
      <c r="AB897" t="str">
        <f>"SO22000385"</f>
        <v>SO22000385</v>
      </c>
      <c r="AC897">
        <v>15</v>
      </c>
      <c r="AD897" s="1">
        <v>44860</v>
      </c>
      <c r="AE897" t="str">
        <f>"SH23000324"</f>
        <v>SH23000324</v>
      </c>
      <c r="AF897" t="str">
        <f>"משלוחים ללקוח"</f>
        <v>משלוחים ללקוח</v>
      </c>
      <c r="AG897" s="1">
        <v>44990</v>
      </c>
      <c r="AM897" t="str">
        <f>"10"</f>
        <v>10</v>
      </c>
      <c r="AN897" t="str">
        <f>"500000"</f>
        <v>500000</v>
      </c>
      <c r="AO897" t="str">
        <f>"הכנסות  מלקוחות"</f>
        <v>הכנסות  מלקוחות</v>
      </c>
      <c r="AQ897" t="str">
        <f>"040"</f>
        <v>040</v>
      </c>
      <c r="AR897">
        <v>0</v>
      </c>
      <c r="AS897">
        <v>0</v>
      </c>
      <c r="AT897">
        <v>3.589</v>
      </c>
      <c r="AX897" t="str">
        <f>"E000374617"</f>
        <v>E000374617</v>
      </c>
      <c r="BD897" t="str">
        <f>"רחמים זרוק"</f>
        <v>רחמים זרוק</v>
      </c>
    </row>
    <row r="898" spans="1:56" x14ac:dyDescent="0.3">
      <c r="A898" s="1">
        <v>44991</v>
      </c>
      <c r="B898" t="str">
        <f>"SI236000394"</f>
        <v>SI236000394</v>
      </c>
      <c r="C898" t="str">
        <f>"PR22000552"</f>
        <v>PR22000552</v>
      </c>
      <c r="D898" t="str">
        <f>"PR22000552"</f>
        <v>PR22000552</v>
      </c>
      <c r="E898" t="str">
        <f>"Y"</f>
        <v>Y</v>
      </c>
      <c r="F898" t="str">
        <f>"חשבוניות מרכזות"</f>
        <v>חשבוניות מרכזות</v>
      </c>
      <c r="G898" t="str">
        <f>"700065"</f>
        <v>700065</v>
      </c>
      <c r="H898" t="str">
        <f>"אלתא מערכות בע""מ"</f>
        <v>אלתא מערכות בע"מ</v>
      </c>
      <c r="I898" t="str">
        <f>"15"</f>
        <v>15</v>
      </c>
      <c r="J898" t="str">
        <f>"OP-AR03230"</f>
        <v>OP-AR03230</v>
      </c>
      <c r="K898" t="str">
        <f>"6950A167-001    HARNESS WM07 - CU TO ANTENNA LEFT AFT (6"</f>
        <v>6950A167-001    HARNESS WM07 - CU TO ANTENNA LEFT AFT (6</v>
      </c>
      <c r="L898">
        <v>2</v>
      </c>
      <c r="M898" t="str">
        <f>"יח"</f>
        <v>יח</v>
      </c>
      <c r="N898">
        <v>2</v>
      </c>
      <c r="O898" t="str">
        <f>"יח"</f>
        <v>יח</v>
      </c>
      <c r="P898" s="2">
        <v>1749.04</v>
      </c>
      <c r="Q898" t="str">
        <f>"$"</f>
        <v>$</v>
      </c>
      <c r="R898" t="str">
        <f>"הזמנה"</f>
        <v>הזמנה</v>
      </c>
      <c r="S898">
        <v>0</v>
      </c>
      <c r="T898" s="2">
        <v>3498.08</v>
      </c>
      <c r="U898">
        <v>0</v>
      </c>
      <c r="V898" s="2">
        <v>3498.08</v>
      </c>
      <c r="W898" t="str">
        <f>"$"</f>
        <v>$</v>
      </c>
      <c r="X898">
        <v>0</v>
      </c>
      <c r="Y898">
        <v>0</v>
      </c>
      <c r="Z898">
        <v>0</v>
      </c>
      <c r="AA898" t="str">
        <f>"Y"</f>
        <v>Y</v>
      </c>
      <c r="AB898" t="str">
        <f>"SO22000334"</f>
        <v>SO22000334</v>
      </c>
      <c r="AC898">
        <v>8</v>
      </c>
      <c r="AD898" s="1">
        <v>44789</v>
      </c>
      <c r="AE898" t="str">
        <f>"SH23000315"</f>
        <v>SH23000315</v>
      </c>
      <c r="AF898" t="str">
        <f>"משלוחים ללקוח"</f>
        <v>משלוחים ללקוח</v>
      </c>
      <c r="AG898" s="1">
        <v>44990</v>
      </c>
      <c r="AM898" t="str">
        <f>"10"</f>
        <v>10</v>
      </c>
      <c r="AN898" t="str">
        <f>"500000"</f>
        <v>500000</v>
      </c>
      <c r="AO898" t="str">
        <f>"הכנסות  מלקוחות"</f>
        <v>הכנסות  מלקוחות</v>
      </c>
      <c r="AQ898" t="str">
        <f>"040"</f>
        <v>040</v>
      </c>
      <c r="AR898">
        <v>0</v>
      </c>
      <c r="AS898">
        <v>0</v>
      </c>
      <c r="AT898">
        <v>3.589</v>
      </c>
      <c r="AX898" t="str">
        <f>"E000369247"</f>
        <v>E000369247</v>
      </c>
      <c r="BD898" t="str">
        <f>"רחמים זרוק"</f>
        <v>רחמים זרוק</v>
      </c>
    </row>
    <row r="899" spans="1:56" x14ac:dyDescent="0.3">
      <c r="A899" s="1">
        <v>44991</v>
      </c>
      <c r="B899" t="str">
        <f>"SI236000394"</f>
        <v>SI236000394</v>
      </c>
      <c r="C899" t="str">
        <f>"PR22000552"</f>
        <v>PR22000552</v>
      </c>
      <c r="D899" t="str">
        <f>"PR22000552"</f>
        <v>PR22000552</v>
      </c>
      <c r="E899" t="str">
        <f>"Y"</f>
        <v>Y</v>
      </c>
      <c r="F899" t="str">
        <f>"חשבוניות מרכזות"</f>
        <v>חשבוניות מרכזות</v>
      </c>
      <c r="G899" t="str">
        <f>"700065"</f>
        <v>700065</v>
      </c>
      <c r="H899" t="str">
        <f>"אלתא מערכות בע""מ"</f>
        <v>אלתא מערכות בע"מ</v>
      </c>
      <c r="I899" t="str">
        <f>"15"</f>
        <v>15</v>
      </c>
      <c r="J899" t="str">
        <f>"OP-AR03232"</f>
        <v>OP-AR03232</v>
      </c>
      <c r="K899" t="str">
        <f>"6950A181-001    HARNESS W181 - HFL INTEGRATION"</f>
        <v>6950A181-001    HARNESS W181 - HFL INTEGRATION</v>
      </c>
      <c r="L899">
        <v>8</v>
      </c>
      <c r="M899" t="str">
        <f>"יח"</f>
        <v>יח</v>
      </c>
      <c r="N899">
        <v>8</v>
      </c>
      <c r="O899" t="str">
        <f>"יח"</f>
        <v>יח</v>
      </c>
      <c r="P899">
        <v>388.18</v>
      </c>
      <c r="Q899" t="str">
        <f>"$"</f>
        <v>$</v>
      </c>
      <c r="R899" t="str">
        <f>"הזמנה"</f>
        <v>הזמנה</v>
      </c>
      <c r="S899">
        <v>0</v>
      </c>
      <c r="T899" s="2">
        <v>3105.44</v>
      </c>
      <c r="U899">
        <v>0</v>
      </c>
      <c r="V899" s="2">
        <v>3105.44</v>
      </c>
      <c r="W899" t="str">
        <f>"$"</f>
        <v>$</v>
      </c>
      <c r="X899">
        <v>0</v>
      </c>
      <c r="Y899">
        <v>0</v>
      </c>
      <c r="Z899">
        <v>0</v>
      </c>
      <c r="AA899" t="str">
        <f>"Y"</f>
        <v>Y</v>
      </c>
      <c r="AB899" t="str">
        <f>"SO22000334"</f>
        <v>SO22000334</v>
      </c>
      <c r="AC899">
        <v>10</v>
      </c>
      <c r="AD899" s="1">
        <v>44789</v>
      </c>
      <c r="AE899" t="str">
        <f>"SH23000315"</f>
        <v>SH23000315</v>
      </c>
      <c r="AF899" t="str">
        <f>"משלוחים ללקוח"</f>
        <v>משלוחים ללקוח</v>
      </c>
      <c r="AG899" s="1">
        <v>44990</v>
      </c>
      <c r="AM899" t="str">
        <f>"10"</f>
        <v>10</v>
      </c>
      <c r="AN899" t="str">
        <f>"500000"</f>
        <v>500000</v>
      </c>
      <c r="AO899" t="str">
        <f>"הכנסות  מלקוחות"</f>
        <v>הכנסות  מלקוחות</v>
      </c>
      <c r="AQ899" t="str">
        <f>"040"</f>
        <v>040</v>
      </c>
      <c r="AR899">
        <v>0</v>
      </c>
      <c r="AS899">
        <v>0</v>
      </c>
      <c r="AT899">
        <v>3.589</v>
      </c>
      <c r="AX899" t="str">
        <f>"E000369247"</f>
        <v>E000369247</v>
      </c>
      <c r="BD899" t="str">
        <f>"רחמים זרוק"</f>
        <v>רחמים זרוק</v>
      </c>
    </row>
    <row r="900" spans="1:56" x14ac:dyDescent="0.3">
      <c r="A900" s="1">
        <v>44991</v>
      </c>
      <c r="B900" t="str">
        <f>"SI236000394"</f>
        <v>SI236000394</v>
      </c>
      <c r="C900" t="str">
        <f>"PR22000552"</f>
        <v>PR22000552</v>
      </c>
      <c r="D900" t="str">
        <f>"PR22000552"</f>
        <v>PR22000552</v>
      </c>
      <c r="E900" t="str">
        <f>"Y"</f>
        <v>Y</v>
      </c>
      <c r="F900" t="str">
        <f>"חשבוניות מרכזות"</f>
        <v>חשבוניות מרכזות</v>
      </c>
      <c r="G900" t="str">
        <f>"700065"</f>
        <v>700065</v>
      </c>
      <c r="H900" t="str">
        <f>"אלתא מערכות בע""מ"</f>
        <v>אלתא מערכות בע"מ</v>
      </c>
      <c r="I900" t="str">
        <f>"15"</f>
        <v>15</v>
      </c>
      <c r="J900" t="str">
        <f>"OP-AR03234"</f>
        <v>OP-AR03234</v>
      </c>
      <c r="K900" t="str">
        <f>"6950A184-001    HARNESS W184 - RADAR OPERATIONAL"</f>
        <v>6950A184-001    HARNESS W184 - RADAR OPERATIONAL</v>
      </c>
      <c r="L900">
        <v>8</v>
      </c>
      <c r="M900" t="str">
        <f>"יח"</f>
        <v>יח</v>
      </c>
      <c r="N900">
        <v>8</v>
      </c>
      <c r="O900" t="str">
        <f>"יח"</f>
        <v>יח</v>
      </c>
      <c r="P900">
        <v>798.95</v>
      </c>
      <c r="Q900" t="str">
        <f>"$"</f>
        <v>$</v>
      </c>
      <c r="R900" t="str">
        <f>"הזמנה"</f>
        <v>הזמנה</v>
      </c>
      <c r="S900">
        <v>0</v>
      </c>
      <c r="T900" s="2">
        <v>6391.6</v>
      </c>
      <c r="U900">
        <v>0</v>
      </c>
      <c r="V900" s="2">
        <v>6391.6</v>
      </c>
      <c r="W900" t="str">
        <f>"$"</f>
        <v>$</v>
      </c>
      <c r="X900">
        <v>0</v>
      </c>
      <c r="Y900">
        <v>0</v>
      </c>
      <c r="Z900">
        <v>0</v>
      </c>
      <c r="AA900" t="str">
        <f>"Y"</f>
        <v>Y</v>
      </c>
      <c r="AB900" t="str">
        <f>"SO22000334"</f>
        <v>SO22000334</v>
      </c>
      <c r="AC900">
        <v>12</v>
      </c>
      <c r="AD900" s="1">
        <v>44789</v>
      </c>
      <c r="AE900" t="str">
        <f>"SH23000315"</f>
        <v>SH23000315</v>
      </c>
      <c r="AF900" t="str">
        <f>"משלוחים ללקוח"</f>
        <v>משלוחים ללקוח</v>
      </c>
      <c r="AG900" s="1">
        <v>44990</v>
      </c>
      <c r="AM900" t="str">
        <f>"10"</f>
        <v>10</v>
      </c>
      <c r="AN900" t="str">
        <f>"500000"</f>
        <v>500000</v>
      </c>
      <c r="AO900" t="str">
        <f>"הכנסות  מלקוחות"</f>
        <v>הכנסות  מלקוחות</v>
      </c>
      <c r="AQ900" t="str">
        <f>"040"</f>
        <v>040</v>
      </c>
      <c r="AR900">
        <v>0</v>
      </c>
      <c r="AS900">
        <v>0</v>
      </c>
      <c r="AT900">
        <v>3.589</v>
      </c>
      <c r="AX900" t="str">
        <f>"E000369247"</f>
        <v>E000369247</v>
      </c>
      <c r="BD900" t="str">
        <f>"רחמים זרוק"</f>
        <v>רחמים זרוק</v>
      </c>
    </row>
    <row r="901" spans="1:56" x14ac:dyDescent="0.3">
      <c r="A901" s="1">
        <v>44991</v>
      </c>
      <c r="B901" t="str">
        <f>"SI236000394"</f>
        <v>SI236000394</v>
      </c>
      <c r="C901" t="str">
        <f>"PR22000552"</f>
        <v>PR22000552</v>
      </c>
      <c r="D901" t="str">
        <f>"PR22000552"</f>
        <v>PR22000552</v>
      </c>
      <c r="E901" t="str">
        <f>"Y"</f>
        <v>Y</v>
      </c>
      <c r="F901" t="str">
        <f>"חשבוניות מרכזות"</f>
        <v>חשבוניות מרכזות</v>
      </c>
      <c r="G901" t="str">
        <f>"700065"</f>
        <v>700065</v>
      </c>
      <c r="H901" t="str">
        <f>"אלתא מערכות בע""מ"</f>
        <v>אלתא מערכות בע"מ</v>
      </c>
      <c r="I901" t="str">
        <f>"15"</f>
        <v>15</v>
      </c>
      <c r="J901" t="str">
        <f>"OP-AR03236"</f>
        <v>OP-AR03236</v>
      </c>
      <c r="K901" t="str">
        <f>"6950A631-001    HARNESS WA631 - CAMERA LINK RECORDING"</f>
        <v>6950A631-001    HARNESS WA631 - CAMERA LINK RECORDING</v>
      </c>
      <c r="L901">
        <v>4</v>
      </c>
      <c r="M901" t="str">
        <f>"יח"</f>
        <v>יח</v>
      </c>
      <c r="N901">
        <v>4</v>
      </c>
      <c r="O901" t="str">
        <f>"יח"</f>
        <v>יח</v>
      </c>
      <c r="P901">
        <v>400.8</v>
      </c>
      <c r="Q901" t="str">
        <f>"$"</f>
        <v>$</v>
      </c>
      <c r="R901" t="str">
        <f>"הזמנה"</f>
        <v>הזמנה</v>
      </c>
      <c r="S901">
        <v>0</v>
      </c>
      <c r="T901" s="2">
        <v>1603.2</v>
      </c>
      <c r="U901">
        <v>0</v>
      </c>
      <c r="V901" s="2">
        <v>1603.2</v>
      </c>
      <c r="W901" t="str">
        <f>"$"</f>
        <v>$</v>
      </c>
      <c r="X901">
        <v>0</v>
      </c>
      <c r="Y901">
        <v>0</v>
      </c>
      <c r="Z901">
        <v>0</v>
      </c>
      <c r="AA901" t="str">
        <f>"Y"</f>
        <v>Y</v>
      </c>
      <c r="AB901" t="str">
        <f>"SO22000334"</f>
        <v>SO22000334</v>
      </c>
      <c r="AC901">
        <v>14</v>
      </c>
      <c r="AD901" s="1">
        <v>44789</v>
      </c>
      <c r="AE901" t="str">
        <f>"SH23000315"</f>
        <v>SH23000315</v>
      </c>
      <c r="AF901" t="str">
        <f>"משלוחים ללקוח"</f>
        <v>משלוחים ללקוח</v>
      </c>
      <c r="AG901" s="1">
        <v>44990</v>
      </c>
      <c r="AM901" t="str">
        <f>"10"</f>
        <v>10</v>
      </c>
      <c r="AN901" t="str">
        <f>"500000"</f>
        <v>500000</v>
      </c>
      <c r="AO901" t="str">
        <f>"הכנסות  מלקוחות"</f>
        <v>הכנסות  מלקוחות</v>
      </c>
      <c r="AQ901" t="str">
        <f>"040"</f>
        <v>040</v>
      </c>
      <c r="AR901">
        <v>0</v>
      </c>
      <c r="AS901">
        <v>0</v>
      </c>
      <c r="AT901">
        <v>3.589</v>
      </c>
      <c r="AX901" t="str">
        <f>"E000369247"</f>
        <v>E000369247</v>
      </c>
      <c r="BD901" t="str">
        <f>"רחמים זרוק"</f>
        <v>רחמים זרוק</v>
      </c>
    </row>
    <row r="902" spans="1:56" x14ac:dyDescent="0.3">
      <c r="A902" s="1">
        <v>44991</v>
      </c>
      <c r="B902" t="str">
        <f>"SI236000393"</f>
        <v>SI236000393</v>
      </c>
      <c r="C902" t="str">
        <f>"PR22000592"</f>
        <v>PR22000592</v>
      </c>
      <c r="E902" t="str">
        <f>"Y"</f>
        <v>Y</v>
      </c>
      <c r="F902" t="str">
        <f>"חשבוניות מרכזות"</f>
        <v>חשבוניות מרכזות</v>
      </c>
      <c r="G902" t="str">
        <f>"700065"</f>
        <v>700065</v>
      </c>
      <c r="H902" t="str">
        <f>"אלתא מערכות בע""מ"</f>
        <v>אלתא מערכות בע"מ</v>
      </c>
      <c r="I902" t="str">
        <f>"15"</f>
        <v>15</v>
      </c>
      <c r="J902" t="str">
        <f>"OP-AR03277"</f>
        <v>OP-AR03277</v>
      </c>
      <c r="K902" t="str">
        <f>"1035C301-001    HARNESS 3W001 - POWER IN 220VAC/60HZ 3 P"</f>
        <v>1035C301-001    HARNESS 3W001 - POWER IN 220VAC/60HZ 3 P</v>
      </c>
      <c r="L902">
        <v>2</v>
      </c>
      <c r="M902" t="str">
        <f>"יח"</f>
        <v>יח</v>
      </c>
      <c r="N902">
        <v>2</v>
      </c>
      <c r="O902" t="str">
        <f>"יח"</f>
        <v>יח</v>
      </c>
      <c r="P902">
        <v>199.08</v>
      </c>
      <c r="Q902" t="str">
        <f>"$"</f>
        <v>$</v>
      </c>
      <c r="R902" t="str">
        <f>"הזמנה"</f>
        <v>הזמנה</v>
      </c>
      <c r="S902">
        <v>0</v>
      </c>
      <c r="T902">
        <v>398.16</v>
      </c>
      <c r="U902">
        <v>0</v>
      </c>
      <c r="V902">
        <v>398.16</v>
      </c>
      <c r="W902" t="str">
        <f>"$"</f>
        <v>$</v>
      </c>
      <c r="X902">
        <v>0</v>
      </c>
      <c r="Y902">
        <v>0</v>
      </c>
      <c r="Z902">
        <v>0</v>
      </c>
      <c r="AA902" t="str">
        <f>"Y"</f>
        <v>Y</v>
      </c>
      <c r="AB902" t="str">
        <f>"SO22000346"</f>
        <v>SO22000346</v>
      </c>
      <c r="AC902">
        <v>1</v>
      </c>
      <c r="AD902" s="1">
        <v>44802</v>
      </c>
      <c r="AE902" t="str">
        <f>"SH23000320"</f>
        <v>SH23000320</v>
      </c>
      <c r="AF902" t="str">
        <f>"משלוחים ללקוח"</f>
        <v>משלוחים ללקוח</v>
      </c>
      <c r="AG902" s="1">
        <v>44990</v>
      </c>
      <c r="AM902" t="str">
        <f>"10"</f>
        <v>10</v>
      </c>
      <c r="AN902" t="str">
        <f>"500000"</f>
        <v>500000</v>
      </c>
      <c r="AO902" t="str">
        <f>"הכנסות  מלקוחות"</f>
        <v>הכנסות  מלקוחות</v>
      </c>
      <c r="AQ902" t="str">
        <f>"040"</f>
        <v>040</v>
      </c>
      <c r="AR902">
        <v>0</v>
      </c>
      <c r="AS902">
        <v>0</v>
      </c>
      <c r="AT902">
        <v>3.589</v>
      </c>
      <c r="AX902" t="str">
        <f>"E000372162"</f>
        <v>E000372162</v>
      </c>
      <c r="BD902" t="str">
        <f>"רחמים זרוק"</f>
        <v>רחמים זרוק</v>
      </c>
    </row>
    <row r="903" spans="1:56" x14ac:dyDescent="0.3">
      <c r="A903" s="1">
        <v>44991</v>
      </c>
      <c r="B903" t="str">
        <f>"SI236000393"</f>
        <v>SI236000393</v>
      </c>
      <c r="C903" t="str">
        <f>"PR22000592"</f>
        <v>PR22000592</v>
      </c>
      <c r="E903" t="str">
        <f>"Y"</f>
        <v>Y</v>
      </c>
      <c r="F903" t="str">
        <f>"חשבוניות מרכזות"</f>
        <v>חשבוניות מרכזות</v>
      </c>
      <c r="G903" t="str">
        <f>"700065"</f>
        <v>700065</v>
      </c>
      <c r="H903" t="str">
        <f>"אלתא מערכות בע""מ"</f>
        <v>אלתא מערכות בע"מ</v>
      </c>
      <c r="I903" t="str">
        <f>"15"</f>
        <v>15</v>
      </c>
      <c r="J903" t="str">
        <f>"OP-AR03278"</f>
        <v>OP-AR03278</v>
      </c>
      <c r="K903" t="str">
        <f>"1035C302-001    HARNESS 3W002 - 220VAC/60HZ 3 PH FROM F"</f>
        <v>1035C302-001    HARNESS 3W002 - 220VAC/60HZ 3 PH FROM F</v>
      </c>
      <c r="L903">
        <v>2</v>
      </c>
      <c r="M903" t="str">
        <f>"יח"</f>
        <v>יח</v>
      </c>
      <c r="N903">
        <v>2</v>
      </c>
      <c r="O903" t="str">
        <f>"יח"</f>
        <v>יח</v>
      </c>
      <c r="P903">
        <v>293.87</v>
      </c>
      <c r="Q903" t="str">
        <f>"$"</f>
        <v>$</v>
      </c>
      <c r="R903" t="str">
        <f>"הזמנה"</f>
        <v>הזמנה</v>
      </c>
      <c r="S903">
        <v>0</v>
      </c>
      <c r="T903">
        <v>587.74</v>
      </c>
      <c r="U903">
        <v>0</v>
      </c>
      <c r="V903">
        <v>587.74</v>
      </c>
      <c r="W903" t="str">
        <f>"$"</f>
        <v>$</v>
      </c>
      <c r="X903">
        <v>0</v>
      </c>
      <c r="Y903">
        <v>0</v>
      </c>
      <c r="Z903">
        <v>0</v>
      </c>
      <c r="AA903" t="str">
        <f>"Y"</f>
        <v>Y</v>
      </c>
      <c r="AB903" t="str">
        <f>"SO22000346"</f>
        <v>SO22000346</v>
      </c>
      <c r="AC903">
        <v>2</v>
      </c>
      <c r="AD903" s="1">
        <v>44802</v>
      </c>
      <c r="AE903" t="str">
        <f>"SH23000320"</f>
        <v>SH23000320</v>
      </c>
      <c r="AF903" t="str">
        <f>"משלוחים ללקוח"</f>
        <v>משלוחים ללקוח</v>
      </c>
      <c r="AG903" s="1">
        <v>44990</v>
      </c>
      <c r="AM903" t="str">
        <f>"10"</f>
        <v>10</v>
      </c>
      <c r="AN903" t="str">
        <f>"500000"</f>
        <v>500000</v>
      </c>
      <c r="AO903" t="str">
        <f>"הכנסות  מלקוחות"</f>
        <v>הכנסות  מלקוחות</v>
      </c>
      <c r="AQ903" t="str">
        <f>"040"</f>
        <v>040</v>
      </c>
      <c r="AR903">
        <v>0</v>
      </c>
      <c r="AS903">
        <v>0</v>
      </c>
      <c r="AT903">
        <v>3.589</v>
      </c>
      <c r="AX903" t="str">
        <f>"E000372162"</f>
        <v>E000372162</v>
      </c>
      <c r="BD903" t="str">
        <f>"רחמים זרוק"</f>
        <v>רחמים זרוק</v>
      </c>
    </row>
    <row r="904" spans="1:56" x14ac:dyDescent="0.3">
      <c r="A904" s="1">
        <v>44991</v>
      </c>
      <c r="B904" t="str">
        <f>"SI236000393"</f>
        <v>SI236000393</v>
      </c>
      <c r="C904" t="str">
        <f>"PR22000592"</f>
        <v>PR22000592</v>
      </c>
      <c r="E904" t="str">
        <f>"Y"</f>
        <v>Y</v>
      </c>
      <c r="F904" t="str">
        <f>"חשבוניות מרכזות"</f>
        <v>חשבוניות מרכזות</v>
      </c>
      <c r="G904" t="str">
        <f>"700065"</f>
        <v>700065</v>
      </c>
      <c r="H904" t="str">
        <f>"אלתא מערכות בע""מ"</f>
        <v>אלתא מערכות בע"מ</v>
      </c>
      <c r="I904" t="str">
        <f>"15"</f>
        <v>15</v>
      </c>
      <c r="J904" t="str">
        <f>"OP-AR03283"</f>
        <v>OP-AR03283</v>
      </c>
      <c r="K904" t="str">
        <f>"1035C307-001    HARNESS 3W007 - POWER OUT 28VDC FROM PDU"</f>
        <v>1035C307-001    HARNESS 3W007 - POWER OUT 28VDC FROM PDU</v>
      </c>
      <c r="L904">
        <v>2</v>
      </c>
      <c r="M904" t="str">
        <f>"יח"</f>
        <v>יח</v>
      </c>
      <c r="N904">
        <v>2</v>
      </c>
      <c r="O904" t="str">
        <f>"יח"</f>
        <v>יח</v>
      </c>
      <c r="P904">
        <v>370.82</v>
      </c>
      <c r="Q904" t="str">
        <f>"$"</f>
        <v>$</v>
      </c>
      <c r="R904" t="str">
        <f>"הזמנה"</f>
        <v>הזמנה</v>
      </c>
      <c r="S904">
        <v>0</v>
      </c>
      <c r="T904">
        <v>741.64</v>
      </c>
      <c r="U904">
        <v>0</v>
      </c>
      <c r="V904">
        <v>741.64</v>
      </c>
      <c r="W904" t="str">
        <f>"$"</f>
        <v>$</v>
      </c>
      <c r="X904">
        <v>0</v>
      </c>
      <c r="Y904">
        <v>0</v>
      </c>
      <c r="Z904">
        <v>0</v>
      </c>
      <c r="AA904" t="str">
        <f>"Y"</f>
        <v>Y</v>
      </c>
      <c r="AB904" t="str">
        <f>"SO22000346"</f>
        <v>SO22000346</v>
      </c>
      <c r="AC904">
        <v>7</v>
      </c>
      <c r="AD904" s="1">
        <v>44802</v>
      </c>
      <c r="AE904" t="str">
        <f>"SH23000320"</f>
        <v>SH23000320</v>
      </c>
      <c r="AF904" t="str">
        <f>"משלוחים ללקוח"</f>
        <v>משלוחים ללקוח</v>
      </c>
      <c r="AG904" s="1">
        <v>44990</v>
      </c>
      <c r="AM904" t="str">
        <f>"10"</f>
        <v>10</v>
      </c>
      <c r="AN904" t="str">
        <f>"500000"</f>
        <v>500000</v>
      </c>
      <c r="AO904" t="str">
        <f>"הכנסות  מלקוחות"</f>
        <v>הכנסות  מלקוחות</v>
      </c>
      <c r="AQ904" t="str">
        <f>"040"</f>
        <v>040</v>
      </c>
      <c r="AR904">
        <v>0</v>
      </c>
      <c r="AS904">
        <v>0</v>
      </c>
      <c r="AT904">
        <v>3.589</v>
      </c>
      <c r="AX904" t="str">
        <f>"E000372162"</f>
        <v>E000372162</v>
      </c>
      <c r="BD904" t="str">
        <f>"רחמים זרוק"</f>
        <v>רחמים זרוק</v>
      </c>
    </row>
    <row r="905" spans="1:56" x14ac:dyDescent="0.3">
      <c r="A905" s="1">
        <v>44991</v>
      </c>
      <c r="B905" t="str">
        <f>"SI236000393"</f>
        <v>SI236000393</v>
      </c>
      <c r="C905" t="str">
        <f>"PR22000592"</f>
        <v>PR22000592</v>
      </c>
      <c r="E905" t="str">
        <f>"Y"</f>
        <v>Y</v>
      </c>
      <c r="F905" t="str">
        <f>"חשבוניות מרכזות"</f>
        <v>חשבוניות מרכזות</v>
      </c>
      <c r="G905" t="str">
        <f>"700065"</f>
        <v>700065</v>
      </c>
      <c r="H905" t="str">
        <f>"אלתא מערכות בע""מ"</f>
        <v>אלתא מערכות בע"מ</v>
      </c>
      <c r="I905" t="str">
        <f>"15"</f>
        <v>15</v>
      </c>
      <c r="J905" t="str">
        <f>"OP-AR03298"</f>
        <v>OP-AR03298</v>
      </c>
      <c r="K905" t="str">
        <f>"1035C334-001    HARNESS 3W034 - DISCRETE FROM ANTENNA TO"</f>
        <v>1035C334-001    HARNESS 3W034 - DISCRETE FROM ANTENNA TO</v>
      </c>
      <c r="L905">
        <v>2</v>
      </c>
      <c r="M905" t="str">
        <f>"יח"</f>
        <v>יח</v>
      </c>
      <c r="N905">
        <v>2</v>
      </c>
      <c r="O905" t="str">
        <f>"יח"</f>
        <v>יח</v>
      </c>
      <c r="P905">
        <v>316.72000000000003</v>
      </c>
      <c r="Q905" t="str">
        <f>"$"</f>
        <v>$</v>
      </c>
      <c r="R905" t="str">
        <f>"הזמנה"</f>
        <v>הזמנה</v>
      </c>
      <c r="S905">
        <v>0</v>
      </c>
      <c r="T905">
        <v>633.44000000000005</v>
      </c>
      <c r="U905">
        <v>0</v>
      </c>
      <c r="V905">
        <v>633.44000000000005</v>
      </c>
      <c r="W905" t="str">
        <f>"$"</f>
        <v>$</v>
      </c>
      <c r="X905">
        <v>0</v>
      </c>
      <c r="Y905">
        <v>0</v>
      </c>
      <c r="Z905">
        <v>0</v>
      </c>
      <c r="AA905" t="str">
        <f>"Y"</f>
        <v>Y</v>
      </c>
      <c r="AB905" t="str">
        <f>"SO22000346"</f>
        <v>SO22000346</v>
      </c>
      <c r="AC905">
        <v>22</v>
      </c>
      <c r="AD905" s="1">
        <v>44802</v>
      </c>
      <c r="AE905" t="str">
        <f>"SH23000320"</f>
        <v>SH23000320</v>
      </c>
      <c r="AF905" t="str">
        <f>"משלוחים ללקוח"</f>
        <v>משלוחים ללקוח</v>
      </c>
      <c r="AG905" s="1">
        <v>44990</v>
      </c>
      <c r="AM905" t="str">
        <f>"10"</f>
        <v>10</v>
      </c>
      <c r="AN905" t="str">
        <f>"500000"</f>
        <v>500000</v>
      </c>
      <c r="AO905" t="str">
        <f>"הכנסות  מלקוחות"</f>
        <v>הכנסות  מלקוחות</v>
      </c>
      <c r="AQ905" t="str">
        <f>"040"</f>
        <v>040</v>
      </c>
      <c r="AR905">
        <v>0</v>
      </c>
      <c r="AS905">
        <v>0</v>
      </c>
      <c r="AT905">
        <v>3.589</v>
      </c>
      <c r="AX905" t="str">
        <f>"E000372162"</f>
        <v>E000372162</v>
      </c>
      <c r="BD905" t="str">
        <f>"רחמים זרוק"</f>
        <v>רחמים זרוק</v>
      </c>
    </row>
    <row r="906" spans="1:56" x14ac:dyDescent="0.3">
      <c r="A906" s="1">
        <v>44991</v>
      </c>
      <c r="B906" t="str">
        <f>"SI236000392"</f>
        <v>SI236000392</v>
      </c>
      <c r="C906" t="str">
        <f>"PR22000632"</f>
        <v>PR22000632</v>
      </c>
      <c r="D906" t="str">
        <f>"PR22000632"</f>
        <v>PR22000632</v>
      </c>
      <c r="E906" t="str">
        <f>"Y"</f>
        <v>Y</v>
      </c>
      <c r="F906" t="str">
        <f>"חשבוניות מרכזות"</f>
        <v>חשבוניות מרכזות</v>
      </c>
      <c r="G906" t="str">
        <f>"700065"</f>
        <v>700065</v>
      </c>
      <c r="H906" t="str">
        <f>"אלתא מערכות בע""מ"</f>
        <v>אלתא מערכות בע"מ</v>
      </c>
      <c r="I906" t="str">
        <f>"15"</f>
        <v>15</v>
      </c>
      <c r="J906" t="str">
        <f>"OP-AR03350"</f>
        <v>OP-AR03350</v>
      </c>
      <c r="K906" t="str">
        <f>"1037V686-001    HARNESS WP686 - RADAR EXTERNAL AC POWER"</f>
        <v>1037V686-001    HARNESS WP686 - RADAR EXTERNAL AC POWER</v>
      </c>
      <c r="L906">
        <v>5</v>
      </c>
      <c r="M906" t="str">
        <f>"יח"</f>
        <v>יח</v>
      </c>
      <c r="N906">
        <v>5</v>
      </c>
      <c r="O906" t="str">
        <f>"יח"</f>
        <v>יח</v>
      </c>
      <c r="P906" s="2">
        <v>5297.89</v>
      </c>
      <c r="Q906" t="str">
        <f>"$"</f>
        <v>$</v>
      </c>
      <c r="R906" t="str">
        <f>"הזמנה"</f>
        <v>הזמנה</v>
      </c>
      <c r="S906">
        <v>0</v>
      </c>
      <c r="T906" s="2">
        <v>26489.45</v>
      </c>
      <c r="U906">
        <v>0</v>
      </c>
      <c r="V906" s="2">
        <v>26489.45</v>
      </c>
      <c r="W906" t="str">
        <f>"$"</f>
        <v>$</v>
      </c>
      <c r="X906">
        <v>0</v>
      </c>
      <c r="Y906">
        <v>0</v>
      </c>
      <c r="Z906">
        <v>0</v>
      </c>
      <c r="AA906" t="str">
        <f>"Y"</f>
        <v>Y</v>
      </c>
      <c r="AB906" t="str">
        <f>"SO22000370"</f>
        <v>SO22000370</v>
      </c>
      <c r="AC906">
        <v>2</v>
      </c>
      <c r="AD906" s="1">
        <v>44833</v>
      </c>
      <c r="AE906" t="str">
        <f>"SH23000321"</f>
        <v>SH23000321</v>
      </c>
      <c r="AF906" t="str">
        <f>"משלוחים ללקוח"</f>
        <v>משלוחים ללקוח</v>
      </c>
      <c r="AG906" s="1">
        <v>44990</v>
      </c>
      <c r="AM906" t="str">
        <f>"10"</f>
        <v>10</v>
      </c>
      <c r="AN906" t="str">
        <f>"500000"</f>
        <v>500000</v>
      </c>
      <c r="AO906" t="str">
        <f>"הכנסות  מלקוחות"</f>
        <v>הכנסות  מלקוחות</v>
      </c>
      <c r="AQ906" t="str">
        <f>"040"</f>
        <v>040</v>
      </c>
      <c r="AR906">
        <v>0</v>
      </c>
      <c r="AS906">
        <v>0</v>
      </c>
      <c r="AT906">
        <v>3.589</v>
      </c>
      <c r="AX906" t="str">
        <f>"E000374958"</f>
        <v>E000374958</v>
      </c>
      <c r="BD906" t="str">
        <f>"רחמים זרוק"</f>
        <v>רחמים זרוק</v>
      </c>
    </row>
    <row r="907" spans="1:56" x14ac:dyDescent="0.3">
      <c r="A907" s="1">
        <v>44991</v>
      </c>
      <c r="B907" t="str">
        <f>"SI236000391"</f>
        <v>SI236000391</v>
      </c>
      <c r="C907" t="str">
        <f>"PR22000624"</f>
        <v>PR22000624</v>
      </c>
      <c r="E907" t="str">
        <f>"Y"</f>
        <v>Y</v>
      </c>
      <c r="F907" t="str">
        <f>"חשבוניות מרכזות"</f>
        <v>חשבוניות מרכזות</v>
      </c>
      <c r="G907" t="str">
        <f>"700065"</f>
        <v>700065</v>
      </c>
      <c r="H907" t="str">
        <f>"אלתא מערכות בע""מ"</f>
        <v>אלתא מערכות בע"מ</v>
      </c>
      <c r="I907" t="str">
        <f>"15"</f>
        <v>15</v>
      </c>
      <c r="J907" t="str">
        <f>"OP-AR03203"</f>
        <v>OP-AR03203</v>
      </c>
      <c r="K907" t="str">
        <f>"2083B312-001   VPW3 CABLE ASSY"</f>
        <v>2083B312-001   VPW3 CABLE ASSY</v>
      </c>
      <c r="L907">
        <v>2</v>
      </c>
      <c r="M907" t="str">
        <f>"יח"</f>
        <v>יח</v>
      </c>
      <c r="N907">
        <v>2</v>
      </c>
      <c r="O907" t="str">
        <f>"יח"</f>
        <v>יח</v>
      </c>
      <c r="P907">
        <v>684.11</v>
      </c>
      <c r="Q907" t="str">
        <f>"$"</f>
        <v>$</v>
      </c>
      <c r="R907" t="str">
        <f>"הזמנה"</f>
        <v>הזמנה</v>
      </c>
      <c r="S907">
        <v>0</v>
      </c>
      <c r="T907" s="2">
        <v>1368.22</v>
      </c>
      <c r="U907">
        <v>0</v>
      </c>
      <c r="V907" s="2">
        <v>1368.22</v>
      </c>
      <c r="W907" t="str">
        <f>"$"</f>
        <v>$</v>
      </c>
      <c r="X907">
        <v>0</v>
      </c>
      <c r="Y907">
        <v>0</v>
      </c>
      <c r="Z907">
        <v>0</v>
      </c>
      <c r="AA907" t="str">
        <f>"Y"</f>
        <v>Y</v>
      </c>
      <c r="AB907" t="str">
        <f>"SO22000367"</f>
        <v>SO22000367</v>
      </c>
      <c r="AC907">
        <v>3</v>
      </c>
      <c r="AD907" s="1">
        <v>44819</v>
      </c>
      <c r="AE907" t="str">
        <f>"SH23000322"</f>
        <v>SH23000322</v>
      </c>
      <c r="AF907" t="str">
        <f>"משלוחים ללקוח"</f>
        <v>משלוחים ללקוח</v>
      </c>
      <c r="AG907" s="1">
        <v>44990</v>
      </c>
      <c r="AM907" t="str">
        <f>"10"</f>
        <v>10</v>
      </c>
      <c r="AN907" t="str">
        <f>"500000"</f>
        <v>500000</v>
      </c>
      <c r="AO907" t="str">
        <f>"הכנסות  מלקוחות"</f>
        <v>הכנסות  מלקוחות</v>
      </c>
      <c r="AQ907" t="str">
        <f>"040"</f>
        <v>040</v>
      </c>
      <c r="AR907">
        <v>0</v>
      </c>
      <c r="AS907">
        <v>0</v>
      </c>
      <c r="AT907">
        <v>3.589</v>
      </c>
      <c r="AX907" t="str">
        <f>"E000374418"</f>
        <v>E000374418</v>
      </c>
      <c r="BD907" t="str">
        <f>"רחמים זרוק"</f>
        <v>רחמים זרוק</v>
      </c>
    </row>
    <row r="908" spans="1:56" x14ac:dyDescent="0.3">
      <c r="A908" s="1">
        <v>44991</v>
      </c>
      <c r="B908" t="str">
        <f>"SI236000390"</f>
        <v>SI236000390</v>
      </c>
      <c r="C908" t="str">
        <f>"PR22000479"</f>
        <v>PR22000479</v>
      </c>
      <c r="E908" t="str">
        <f>"Y"</f>
        <v>Y</v>
      </c>
      <c r="F908" t="str">
        <f>"חשבוניות מרכזות"</f>
        <v>חשבוניות מרכזות</v>
      </c>
      <c r="G908" t="str">
        <f>"700065"</f>
        <v>700065</v>
      </c>
      <c r="H908" t="str">
        <f>"אלתא מערכות בע""מ"</f>
        <v>אלתא מערכות בע"מ</v>
      </c>
      <c r="I908" t="str">
        <f>"15"</f>
        <v>15</v>
      </c>
      <c r="J908" t="str">
        <f>"OP-AR03204"</f>
        <v>OP-AR03204</v>
      </c>
      <c r="K908" t="str">
        <f>"2112B728-001    NG WDTRM CABLE"</f>
        <v>2112B728-001    NG WDTRM CABLE</v>
      </c>
      <c r="L908">
        <v>2</v>
      </c>
      <c r="M908" t="str">
        <f>"יח"</f>
        <v>יח</v>
      </c>
      <c r="N908">
        <v>2</v>
      </c>
      <c r="O908" t="str">
        <f>"יח"</f>
        <v>יח</v>
      </c>
      <c r="P908">
        <v>471.08</v>
      </c>
      <c r="Q908" t="str">
        <f>"$"</f>
        <v>$</v>
      </c>
      <c r="R908" t="str">
        <f>"הזמנה"</f>
        <v>הזמנה</v>
      </c>
      <c r="S908">
        <v>0</v>
      </c>
      <c r="T908">
        <v>942.16</v>
      </c>
      <c r="U908">
        <v>0</v>
      </c>
      <c r="V908">
        <v>942.16</v>
      </c>
      <c r="W908" t="str">
        <f>"$"</f>
        <v>$</v>
      </c>
      <c r="X908">
        <v>0</v>
      </c>
      <c r="Y908">
        <v>0</v>
      </c>
      <c r="Z908">
        <v>0</v>
      </c>
      <c r="AA908" t="str">
        <f>"Y"</f>
        <v>Y</v>
      </c>
      <c r="AB908" t="str">
        <f>"SO22000243"</f>
        <v>SO22000243</v>
      </c>
      <c r="AC908">
        <v>6</v>
      </c>
      <c r="AD908" s="1">
        <v>44731</v>
      </c>
      <c r="AE908" t="str">
        <f>"SH23000319"</f>
        <v>SH23000319</v>
      </c>
      <c r="AF908" t="str">
        <f>"משלוחים ללקוח"</f>
        <v>משלוחים ללקוח</v>
      </c>
      <c r="AG908" s="1">
        <v>44990</v>
      </c>
      <c r="AM908" t="str">
        <f>"10"</f>
        <v>10</v>
      </c>
      <c r="AN908" t="str">
        <f>"500000"</f>
        <v>500000</v>
      </c>
      <c r="AO908" t="str">
        <f>"הכנסות  מלקוחות"</f>
        <v>הכנסות  מלקוחות</v>
      </c>
      <c r="AQ908" t="str">
        <f>"040"</f>
        <v>040</v>
      </c>
      <c r="AR908">
        <v>0</v>
      </c>
      <c r="AS908">
        <v>0</v>
      </c>
      <c r="AT908">
        <v>3.589</v>
      </c>
      <c r="AX908" t="str">
        <f>"E000367370"</f>
        <v>E000367370</v>
      </c>
      <c r="BD908" t="str">
        <f>"רחמים זרוק"</f>
        <v>רחמים זרוק</v>
      </c>
    </row>
    <row r="909" spans="1:56" x14ac:dyDescent="0.3">
      <c r="A909" s="1">
        <v>44991</v>
      </c>
      <c r="B909" t="str">
        <f>"SI236000387"</f>
        <v>SI236000387</v>
      </c>
      <c r="C909" t="str">
        <f>"PR22000579"</f>
        <v>PR22000579</v>
      </c>
      <c r="E909" t="str">
        <f>"Y"</f>
        <v>Y</v>
      </c>
      <c r="F909" t="str">
        <f>"חשבוניות מרכזות"</f>
        <v>חשבוניות מרכזות</v>
      </c>
      <c r="G909" t="str">
        <f>"700065"</f>
        <v>700065</v>
      </c>
      <c r="H909" t="str">
        <f>"אלתא מערכות בע""מ"</f>
        <v>אלתא מערכות בע"מ</v>
      </c>
      <c r="I909" t="str">
        <f>"15"</f>
        <v>15</v>
      </c>
      <c r="J909" t="str">
        <f>"OP-AR01675"</f>
        <v>OP-AR01675</v>
      </c>
      <c r="K909" t="str">
        <f>"6649E301-001 W1091"</f>
        <v>6649E301-001 W1091</v>
      </c>
      <c r="L909">
        <v>1</v>
      </c>
      <c r="M909" t="str">
        <f>"יח"</f>
        <v>יח</v>
      </c>
      <c r="N909">
        <v>1</v>
      </c>
      <c r="O909" t="str">
        <f>"יח"</f>
        <v>יח</v>
      </c>
      <c r="P909">
        <v>472.33</v>
      </c>
      <c r="Q909" t="str">
        <f>"$"</f>
        <v>$</v>
      </c>
      <c r="R909" t="str">
        <f>"הזמנה"</f>
        <v>הזמנה</v>
      </c>
      <c r="S909">
        <v>0</v>
      </c>
      <c r="T909">
        <v>472.33</v>
      </c>
      <c r="U909">
        <v>0</v>
      </c>
      <c r="V909">
        <v>472.33</v>
      </c>
      <c r="W909" t="str">
        <f>"$"</f>
        <v>$</v>
      </c>
      <c r="X909">
        <v>0</v>
      </c>
      <c r="Y909">
        <v>0</v>
      </c>
      <c r="Z909">
        <v>0</v>
      </c>
      <c r="AA909" t="str">
        <f>"Y"</f>
        <v>Y</v>
      </c>
      <c r="AB909" t="str">
        <f>"SO22000331"</f>
        <v>SO22000331</v>
      </c>
      <c r="AC909">
        <v>3</v>
      </c>
      <c r="AD909" s="1">
        <v>44788</v>
      </c>
      <c r="AE909" t="str">
        <f>"SH23000316"</f>
        <v>SH23000316</v>
      </c>
      <c r="AF909" t="str">
        <f>"משלוחים ללקוח"</f>
        <v>משלוחים ללקוח</v>
      </c>
      <c r="AG909" s="1">
        <v>44990</v>
      </c>
      <c r="AM909" t="str">
        <f>"10"</f>
        <v>10</v>
      </c>
      <c r="AN909" t="str">
        <f>"500000"</f>
        <v>500000</v>
      </c>
      <c r="AO909" t="str">
        <f>"הכנסות  מלקוחות"</f>
        <v>הכנסות  מלקוחות</v>
      </c>
      <c r="AQ909" t="str">
        <f>"040"</f>
        <v>040</v>
      </c>
      <c r="AR909">
        <v>0</v>
      </c>
      <c r="AS909">
        <v>0</v>
      </c>
      <c r="AT909">
        <v>3.589</v>
      </c>
      <c r="AX909" t="str">
        <f>"E000372142"</f>
        <v>E000372142</v>
      </c>
      <c r="BD909" t="str">
        <f>"רחמים זרוק"</f>
        <v>רחמים זרוק</v>
      </c>
    </row>
    <row r="910" spans="1:56" x14ac:dyDescent="0.3">
      <c r="A910" s="1">
        <v>44991</v>
      </c>
      <c r="B910" t="str">
        <f>"SI236000384"</f>
        <v>SI236000384</v>
      </c>
      <c r="C910" t="str">
        <f>"PR22000483"</f>
        <v>PR22000483</v>
      </c>
      <c r="D910" t="str">
        <f>"PR22000483"</f>
        <v>PR22000483</v>
      </c>
      <c r="E910" t="str">
        <f>"Y"</f>
        <v>Y</v>
      </c>
      <c r="F910" t="str">
        <f>"חשבוניות מרכזות"</f>
        <v>חשבוניות מרכזות</v>
      </c>
      <c r="G910" t="str">
        <f>"700065"</f>
        <v>700065</v>
      </c>
      <c r="H910" t="str">
        <f>"אלתא מערכות בע""מ"</f>
        <v>אלתא מערכות בע"מ</v>
      </c>
      <c r="I910" t="str">
        <f>"15"</f>
        <v>15</v>
      </c>
      <c r="J910" t="str">
        <f>"OP-AR03208"</f>
        <v>OP-AR03208</v>
      </c>
      <c r="K910" t="str">
        <f>"1096H331-001     DC HARNESS TRA (W1)"</f>
        <v>1096H331-001     DC HARNESS TRA (W1)</v>
      </c>
      <c r="L910">
        <v>20</v>
      </c>
      <c r="M910" t="str">
        <f>"יח"</f>
        <v>יח</v>
      </c>
      <c r="N910">
        <v>20</v>
      </c>
      <c r="O910" t="str">
        <f>"יח"</f>
        <v>יח</v>
      </c>
      <c r="P910">
        <v>833.5</v>
      </c>
      <c r="Q910" t="str">
        <f>"$"</f>
        <v>$</v>
      </c>
      <c r="R910" t="str">
        <f>"הזמנה"</f>
        <v>הזמנה</v>
      </c>
      <c r="S910">
        <v>0</v>
      </c>
      <c r="T910" s="2">
        <v>16670</v>
      </c>
      <c r="U910">
        <v>0</v>
      </c>
      <c r="V910" s="2">
        <v>16670</v>
      </c>
      <c r="W910" t="str">
        <f>"$"</f>
        <v>$</v>
      </c>
      <c r="X910">
        <v>0</v>
      </c>
      <c r="Y910">
        <v>0</v>
      </c>
      <c r="Z910">
        <v>0</v>
      </c>
      <c r="AA910" t="str">
        <f>"Y"</f>
        <v>Y</v>
      </c>
      <c r="AB910" t="str">
        <f>"SO22000256"</f>
        <v>SO22000256</v>
      </c>
      <c r="AC910">
        <v>1</v>
      </c>
      <c r="AD910" s="1">
        <v>44738</v>
      </c>
      <c r="AE910" t="str">
        <f>"SH23000323"</f>
        <v>SH23000323</v>
      </c>
      <c r="AF910" t="str">
        <f>"משלוחים ללקוח"</f>
        <v>משלוחים ללקוח</v>
      </c>
      <c r="AG910" s="1">
        <v>44990</v>
      </c>
      <c r="AM910" t="str">
        <f>"10"</f>
        <v>10</v>
      </c>
      <c r="AN910" t="str">
        <f>"500000"</f>
        <v>500000</v>
      </c>
      <c r="AO910" t="str">
        <f>"הכנסות  מלקוחות"</f>
        <v>הכנסות  מלקוחות</v>
      </c>
      <c r="AQ910" t="str">
        <f>"040"</f>
        <v>040</v>
      </c>
      <c r="AR910">
        <v>0</v>
      </c>
      <c r="AS910">
        <v>0</v>
      </c>
      <c r="AT910">
        <v>3.589</v>
      </c>
      <c r="AX910" t="str">
        <f>"E000367695"</f>
        <v>E000367695</v>
      </c>
      <c r="BD910" t="str">
        <f>"רחמים זרוק"</f>
        <v>רחמים זרוק</v>
      </c>
    </row>
    <row r="911" spans="1:56" x14ac:dyDescent="0.3">
      <c r="A911" s="1">
        <v>44991</v>
      </c>
      <c r="B911" t="str">
        <f>"SI236000324"</f>
        <v>SI236000324</v>
      </c>
      <c r="E911" t="str">
        <f>"Y"</f>
        <v>Y</v>
      </c>
      <c r="F911" t="str">
        <f>"חשבוניות מרכזות"</f>
        <v>חשבוניות מרכזות</v>
      </c>
      <c r="G911" t="str">
        <f>"700065"</f>
        <v>700065</v>
      </c>
      <c r="H911" t="str">
        <f>"אלתא מערכות בע""מ"</f>
        <v>אלתא מערכות בע"מ</v>
      </c>
      <c r="I911" t="str">
        <f>"10"</f>
        <v>10</v>
      </c>
      <c r="J911" t="str">
        <f>"000"</f>
        <v>000</v>
      </c>
      <c r="K911" t="str">
        <f>"טכנאי בצכיה ערן שלו"</f>
        <v>טכנאי בצכיה ערן שלו</v>
      </c>
      <c r="L911">
        <v>1</v>
      </c>
      <c r="M911" t="str">
        <f>"יח"</f>
        <v>יח</v>
      </c>
      <c r="N911">
        <v>1</v>
      </c>
      <c r="O911" t="str">
        <f>"יח"</f>
        <v>יח</v>
      </c>
      <c r="P911" s="2">
        <v>6000</v>
      </c>
      <c r="Q911" t="str">
        <f>"$"</f>
        <v>$</v>
      </c>
      <c r="R911" t="str">
        <f>"הזמנה"</f>
        <v>הזמנה</v>
      </c>
      <c r="S911">
        <v>0</v>
      </c>
      <c r="T911" s="2">
        <v>6000</v>
      </c>
      <c r="U911">
        <v>0</v>
      </c>
      <c r="V911" s="2">
        <v>6000</v>
      </c>
      <c r="W911" t="str">
        <f>"$"</f>
        <v>$</v>
      </c>
      <c r="X911">
        <v>0</v>
      </c>
      <c r="Y911">
        <v>0</v>
      </c>
      <c r="Z911">
        <v>0</v>
      </c>
      <c r="AA911" t="str">
        <f>"Y"</f>
        <v>Y</v>
      </c>
      <c r="AB911" t="str">
        <f>"SO23000125"</f>
        <v>SO23000125</v>
      </c>
      <c r="AC911">
        <v>1</v>
      </c>
      <c r="AD911" s="1">
        <v>44987</v>
      </c>
      <c r="AM911" t="str">
        <f>"10"</f>
        <v>10</v>
      </c>
      <c r="AN911" t="str">
        <f>"500000"</f>
        <v>500000</v>
      </c>
      <c r="AO911" t="str">
        <f>"הכנסות  מלקוחות"</f>
        <v>הכנסות  מלקוחות</v>
      </c>
      <c r="AQ911" t="str">
        <f>"007"</f>
        <v>007</v>
      </c>
      <c r="AR911">
        <v>0</v>
      </c>
      <c r="AS911">
        <v>0</v>
      </c>
      <c r="AT911">
        <v>3.6640000000000001</v>
      </c>
      <c r="AX911" t="str">
        <f>"E000388475"</f>
        <v>E000388475</v>
      </c>
      <c r="BD911" t="str">
        <f>"רוני דידי"</f>
        <v>רוני דידי</v>
      </c>
    </row>
    <row r="912" spans="1:56" x14ac:dyDescent="0.3">
      <c r="A912" s="1">
        <v>44991</v>
      </c>
      <c r="B912" t="str">
        <f>"SI236000323"</f>
        <v>SI236000323</v>
      </c>
      <c r="E912" t="str">
        <f>"Y"</f>
        <v>Y</v>
      </c>
      <c r="F912" t="str">
        <f>"חשבוניות מרכזות"</f>
        <v>חשבוניות מרכזות</v>
      </c>
      <c r="G912" t="str">
        <f>"700065"</f>
        <v>700065</v>
      </c>
      <c r="H912" t="str">
        <f>"אלתא מערכות בע""מ"</f>
        <v>אלתא מערכות בע"מ</v>
      </c>
      <c r="I912" t="str">
        <f>"10"</f>
        <v>10</v>
      </c>
      <c r="J912" t="str">
        <f>"000"</f>
        <v>000</v>
      </c>
      <c r="K912" t="str">
        <f>"שידרוג מגירת הספקים+UPS מארז"</f>
        <v>שידרוג מגירת הספקים+UPS מארז</v>
      </c>
      <c r="L912">
        <v>1</v>
      </c>
      <c r="M912" t="str">
        <f>"יח"</f>
        <v>יח</v>
      </c>
      <c r="N912">
        <v>1</v>
      </c>
      <c r="O912" t="str">
        <f>"יח"</f>
        <v>יח</v>
      </c>
      <c r="P912" s="2">
        <v>2400</v>
      </c>
      <c r="Q912" t="str">
        <f>"$"</f>
        <v>$</v>
      </c>
      <c r="R912" t="str">
        <f>"הזמנה"</f>
        <v>הזמנה</v>
      </c>
      <c r="S912">
        <v>0</v>
      </c>
      <c r="T912" s="2">
        <v>2400</v>
      </c>
      <c r="U912">
        <v>0</v>
      </c>
      <c r="V912" s="2">
        <v>2400</v>
      </c>
      <c r="W912" t="str">
        <f>"$"</f>
        <v>$</v>
      </c>
      <c r="X912">
        <v>0</v>
      </c>
      <c r="Y912">
        <v>0</v>
      </c>
      <c r="Z912">
        <v>0</v>
      </c>
      <c r="AA912" t="str">
        <f>"Y"</f>
        <v>Y</v>
      </c>
      <c r="AB912" t="str">
        <f>"SO22000489"</f>
        <v>SO22000489</v>
      </c>
      <c r="AC912">
        <v>5</v>
      </c>
      <c r="AD912" s="1">
        <v>44922</v>
      </c>
      <c r="AM912" t="str">
        <f>"10"</f>
        <v>10</v>
      </c>
      <c r="AN912" t="str">
        <f>"500000"</f>
        <v>500000</v>
      </c>
      <c r="AO912" t="str">
        <f>"הכנסות  מלקוחות"</f>
        <v>הכנסות  מלקוחות</v>
      </c>
      <c r="AQ912" t="str">
        <f>"040"</f>
        <v>040</v>
      </c>
      <c r="AR912">
        <v>0</v>
      </c>
      <c r="AS912">
        <v>0</v>
      </c>
      <c r="AT912">
        <v>3.6640000000000001</v>
      </c>
      <c r="AX912" t="str">
        <f>"E000382417"</f>
        <v>E000382417</v>
      </c>
      <c r="BD912" t="str">
        <f>"רחמים זרוק"</f>
        <v>רחמים זרוק</v>
      </c>
    </row>
    <row r="913" spans="1:56" x14ac:dyDescent="0.3">
      <c r="A913" s="1">
        <v>44990</v>
      </c>
      <c r="B913" t="str">
        <f>"SI236000313"</f>
        <v>SI236000313</v>
      </c>
      <c r="E913" t="str">
        <f>"Y"</f>
        <v>Y</v>
      </c>
      <c r="F913" t="str">
        <f>"חשבוניות מרכזות"</f>
        <v>חשבוניות מרכזות</v>
      </c>
      <c r="G913" t="str">
        <f>"700065"</f>
        <v>700065</v>
      </c>
      <c r="H913" t="str">
        <f>"אלתא מערכות בע""מ"</f>
        <v>אלתא מערכות בע"מ</v>
      </c>
      <c r="I913" t="str">
        <f>"10"</f>
        <v>10</v>
      </c>
      <c r="J913" t="str">
        <f>"OP-AR03539"</f>
        <v>OP-AR03539</v>
      </c>
      <c r="K913" t="str">
        <f>"PDB2 שורד  1038C870-001"</f>
        <v>PDB2 שורד  1038C870-001</v>
      </c>
      <c r="L913">
        <v>1</v>
      </c>
      <c r="M913" t="str">
        <f>"יח"</f>
        <v>יח</v>
      </c>
      <c r="N913">
        <v>1</v>
      </c>
      <c r="O913" t="str">
        <f>"יח"</f>
        <v>יח</v>
      </c>
      <c r="P913" s="2">
        <v>26985</v>
      </c>
      <c r="Q913" t="str">
        <f>"$"</f>
        <v>$</v>
      </c>
      <c r="R913" t="str">
        <f>"הזמנה"</f>
        <v>הזמנה</v>
      </c>
      <c r="S913">
        <v>0</v>
      </c>
      <c r="T913" s="2">
        <v>26985</v>
      </c>
      <c r="U913">
        <v>0</v>
      </c>
      <c r="V913" s="2">
        <v>26985</v>
      </c>
      <c r="W913" t="str">
        <f>"$"</f>
        <v>$</v>
      </c>
      <c r="X913">
        <v>0</v>
      </c>
      <c r="Y913">
        <v>0</v>
      </c>
      <c r="Z913">
        <v>0</v>
      </c>
      <c r="AA913" t="str">
        <f>"Y"</f>
        <v>Y</v>
      </c>
      <c r="AB913" t="str">
        <f>"SO22000192"</f>
        <v>SO22000192</v>
      </c>
      <c r="AC913">
        <v>1</v>
      </c>
      <c r="AD913" s="1">
        <v>44698</v>
      </c>
      <c r="AM913" t="str">
        <f>"10"</f>
        <v>10</v>
      </c>
      <c r="AN913" t="str">
        <f>"500000"</f>
        <v>500000</v>
      </c>
      <c r="AO913" t="str">
        <f>"הכנסות  מלקוחות"</f>
        <v>הכנסות  מלקוחות</v>
      </c>
      <c r="AQ913" t="str">
        <f>"034"</f>
        <v>034</v>
      </c>
      <c r="AR913">
        <v>0</v>
      </c>
      <c r="AS913">
        <v>0</v>
      </c>
      <c r="AT913">
        <v>3.6640000000000001</v>
      </c>
      <c r="AX913" t="str">
        <f>"E000361337"</f>
        <v>E000361337</v>
      </c>
      <c r="BD913" t="str">
        <f>"ערן שלו"</f>
        <v>ערן שלו</v>
      </c>
    </row>
    <row r="914" spans="1:56" x14ac:dyDescent="0.3">
      <c r="A914" s="1">
        <v>44987</v>
      </c>
      <c r="B914" t="str">
        <f>"SI236000310"</f>
        <v>SI236000310</v>
      </c>
      <c r="C914" t="str">
        <f>"PR20000705"</f>
        <v>PR20000705</v>
      </c>
      <c r="E914" t="str">
        <f>"Y"</f>
        <v>Y</v>
      </c>
      <c r="F914" t="str">
        <f>"חשבוניות מרכזות"</f>
        <v>חשבוניות מרכזות</v>
      </c>
      <c r="G914" t="str">
        <f>"700065"</f>
        <v>700065</v>
      </c>
      <c r="H914" t="str">
        <f>"אלתא מערכות בע""מ"</f>
        <v>אלתא מערכות בע"מ</v>
      </c>
      <c r="I914" t="str">
        <f>"10"</f>
        <v>10</v>
      </c>
      <c r="J914" t="str">
        <f>"OP-ML00179"</f>
        <v>OP-ML00179</v>
      </c>
      <c r="K914" t="str">
        <f>"1038C906-001 Radar Power Unit (RPU) Platform"</f>
        <v>1038C906-001 Radar Power Unit (RPU) Platform</v>
      </c>
      <c r="L914">
        <v>1</v>
      </c>
      <c r="M914" t="str">
        <f>"יח"</f>
        <v>יח</v>
      </c>
      <c r="N914">
        <v>1</v>
      </c>
      <c r="O914" t="str">
        <f>"יח"</f>
        <v>יח</v>
      </c>
      <c r="P914" s="2">
        <v>284970</v>
      </c>
      <c r="Q914" t="str">
        <f>"$"</f>
        <v>$</v>
      </c>
      <c r="R914" t="str">
        <f>"הזמנה"</f>
        <v>הזמנה</v>
      </c>
      <c r="S914">
        <v>0</v>
      </c>
      <c r="T914" s="2">
        <v>284970</v>
      </c>
      <c r="U914">
        <v>0</v>
      </c>
      <c r="V914" s="2">
        <v>284970</v>
      </c>
      <c r="W914" t="str">
        <f>"$"</f>
        <v>$</v>
      </c>
      <c r="X914">
        <v>0</v>
      </c>
      <c r="Y914">
        <v>0</v>
      </c>
      <c r="Z914">
        <v>0</v>
      </c>
      <c r="AA914" t="str">
        <f>"Y"</f>
        <v>Y</v>
      </c>
      <c r="AB914" t="str">
        <f>"SO20000218"</f>
        <v>SO20000218</v>
      </c>
      <c r="AC914">
        <v>9</v>
      </c>
      <c r="AD914" s="1">
        <v>43982</v>
      </c>
      <c r="AE914" t="str">
        <f>"SH23000313"</f>
        <v>SH23000313</v>
      </c>
      <c r="AF914" t="str">
        <f>"משלוחים ללקוח"</f>
        <v>משלוחים ללקוח</v>
      </c>
      <c r="AG914" s="1">
        <v>44987</v>
      </c>
      <c r="AM914" t="str">
        <f>"10"</f>
        <v>10</v>
      </c>
      <c r="AN914" t="str">
        <f>"500000"</f>
        <v>500000</v>
      </c>
      <c r="AO914" t="str">
        <f>"הכנסות  מלקוחות"</f>
        <v>הכנסות  מלקוחות</v>
      </c>
      <c r="AQ914" t="str">
        <f>"034"</f>
        <v>034</v>
      </c>
      <c r="AR914">
        <v>0</v>
      </c>
      <c r="AS914">
        <v>0</v>
      </c>
      <c r="AT914">
        <v>3.6360000000000001</v>
      </c>
      <c r="AX914" t="str">
        <f>"E000312785"</f>
        <v>E000312785</v>
      </c>
      <c r="BD914" t="str">
        <f>"ערן שלו"</f>
        <v>ערן שלו</v>
      </c>
    </row>
    <row r="915" spans="1:56" x14ac:dyDescent="0.3">
      <c r="A915" s="1">
        <v>44986</v>
      </c>
      <c r="B915" t="str">
        <f>"SI236000521"</f>
        <v>SI236000521</v>
      </c>
      <c r="C915" t="str">
        <f>"PR22000459"</f>
        <v>PR22000459</v>
      </c>
      <c r="D915" t="str">
        <f>"PR22000459"</f>
        <v>PR22000459</v>
      </c>
      <c r="E915" t="str">
        <f>"Y"</f>
        <v>Y</v>
      </c>
      <c r="F915" t="str">
        <f>"חשבוניות מרכזות"</f>
        <v>חשבוניות מרכזות</v>
      </c>
      <c r="G915" t="str">
        <f>"700065"</f>
        <v>700065</v>
      </c>
      <c r="H915" t="str">
        <f>"אלתא מערכות בע""מ"</f>
        <v>אלתא מערכות בע"מ</v>
      </c>
      <c r="I915" t="str">
        <f>"10"</f>
        <v>10</v>
      </c>
      <c r="J915" t="str">
        <f>"OP-AR03190"</f>
        <v>OP-AR03190</v>
      </c>
      <c r="K915" t="str">
        <f>"9009M460-001    HARNESS WRS60 - LEDS CABLE"</f>
        <v>9009M460-001    HARNESS WRS60 - LEDS CABLE</v>
      </c>
      <c r="L915">
        <v>2</v>
      </c>
      <c r="M915" t="str">
        <f>"יח"</f>
        <v>יח</v>
      </c>
      <c r="N915">
        <v>2</v>
      </c>
      <c r="O915" t="str">
        <f>"יח"</f>
        <v>יח</v>
      </c>
      <c r="P915">
        <v>212.35</v>
      </c>
      <c r="Q915" t="str">
        <f>"$"</f>
        <v>$</v>
      </c>
      <c r="R915" t="str">
        <f>"הזמנה"</f>
        <v>הזמנה</v>
      </c>
      <c r="S915">
        <v>0</v>
      </c>
      <c r="T915">
        <v>424.7</v>
      </c>
      <c r="U915">
        <v>0</v>
      </c>
      <c r="V915">
        <v>424.7</v>
      </c>
      <c r="W915" t="str">
        <f>"$"</f>
        <v>$</v>
      </c>
      <c r="X915">
        <v>0</v>
      </c>
      <c r="Y915">
        <v>0</v>
      </c>
      <c r="Z915">
        <v>0</v>
      </c>
      <c r="AA915" t="str">
        <f>"Y"</f>
        <v>Y</v>
      </c>
      <c r="AB915" t="str">
        <f>"SO22000241"</f>
        <v>SO22000241</v>
      </c>
      <c r="AC915">
        <v>17</v>
      </c>
      <c r="AD915" s="1">
        <v>44731</v>
      </c>
      <c r="AE915" t="str">
        <f>"SH22001006"</f>
        <v>SH22001006</v>
      </c>
      <c r="AF915" t="str">
        <f>"משלוחים ללקוח"</f>
        <v>משלוחים ללקוח</v>
      </c>
      <c r="AG915" s="1">
        <v>44790</v>
      </c>
      <c r="AM915" t="str">
        <f>"10"</f>
        <v>10</v>
      </c>
      <c r="AN915" t="str">
        <f>"500000"</f>
        <v>500000</v>
      </c>
      <c r="AO915" t="str">
        <f>"הכנסות  מלקוחות"</f>
        <v>הכנסות  מלקוחות</v>
      </c>
      <c r="AQ915" t="str">
        <f>"040"</f>
        <v>040</v>
      </c>
      <c r="AR915">
        <v>0</v>
      </c>
      <c r="AS915">
        <v>0</v>
      </c>
      <c r="AT915">
        <v>3.6360000000000001</v>
      </c>
      <c r="AX915" t="str">
        <f>"E000365938"</f>
        <v>E000365938</v>
      </c>
      <c r="BD915" t="str">
        <f>"רחמים זרוק"</f>
        <v>רחמים זרוק</v>
      </c>
    </row>
    <row r="916" spans="1:56" x14ac:dyDescent="0.3">
      <c r="A916" s="1">
        <v>44986</v>
      </c>
      <c r="B916" t="str">
        <f>"SI236000521"</f>
        <v>SI236000521</v>
      </c>
      <c r="C916" t="str">
        <f>"PR22000459"</f>
        <v>PR22000459</v>
      </c>
      <c r="D916" t="str">
        <f>"PR22000459"</f>
        <v>PR22000459</v>
      </c>
      <c r="E916" t="str">
        <f>"Y"</f>
        <v>Y</v>
      </c>
      <c r="F916" t="str">
        <f>"חשבוניות מרכזות"</f>
        <v>חשבוניות מרכזות</v>
      </c>
      <c r="G916" t="str">
        <f>"700065"</f>
        <v>700065</v>
      </c>
      <c r="H916" t="str">
        <f>"אלתא מערכות בע""מ"</f>
        <v>אלתא מערכות בע"מ</v>
      </c>
      <c r="I916" t="str">
        <f>"10"</f>
        <v>10</v>
      </c>
      <c r="J916" t="str">
        <f>"OP-AR03190"</f>
        <v>OP-AR03190</v>
      </c>
      <c r="K916" t="str">
        <f>"9009M460-001    HARNESS WRS60 - LEDS CABLE"</f>
        <v>9009M460-001    HARNESS WRS60 - LEDS CABLE</v>
      </c>
      <c r="L916">
        <v>1</v>
      </c>
      <c r="M916" t="str">
        <f>"יח"</f>
        <v>יח</v>
      </c>
      <c r="N916">
        <v>1</v>
      </c>
      <c r="O916" t="str">
        <f>"יח"</f>
        <v>יח</v>
      </c>
      <c r="P916">
        <v>212.35</v>
      </c>
      <c r="Q916" t="str">
        <f>"$"</f>
        <v>$</v>
      </c>
      <c r="R916" t="str">
        <f>"הזמנה"</f>
        <v>הזמנה</v>
      </c>
      <c r="S916">
        <v>0</v>
      </c>
      <c r="T916">
        <v>212.35</v>
      </c>
      <c r="U916">
        <v>0</v>
      </c>
      <c r="V916">
        <v>212.35</v>
      </c>
      <c r="W916" t="str">
        <f>"$"</f>
        <v>$</v>
      </c>
      <c r="X916">
        <v>0</v>
      </c>
      <c r="Y916">
        <v>0</v>
      </c>
      <c r="Z916">
        <v>0</v>
      </c>
      <c r="AA916" t="str">
        <f>"Y"</f>
        <v>Y</v>
      </c>
      <c r="AB916" t="str">
        <f>"SO22000241"</f>
        <v>SO22000241</v>
      </c>
      <c r="AC916">
        <v>18</v>
      </c>
      <c r="AD916" s="1">
        <v>44731</v>
      </c>
      <c r="AE916" t="str">
        <f>"SH22001006"</f>
        <v>SH22001006</v>
      </c>
      <c r="AF916" t="str">
        <f>"משלוחים ללקוח"</f>
        <v>משלוחים ללקוח</v>
      </c>
      <c r="AG916" s="1">
        <v>44790</v>
      </c>
      <c r="AM916" t="str">
        <f>"10"</f>
        <v>10</v>
      </c>
      <c r="AN916" t="str">
        <f>"500000"</f>
        <v>500000</v>
      </c>
      <c r="AO916" t="str">
        <f>"הכנסות  מלקוחות"</f>
        <v>הכנסות  מלקוחות</v>
      </c>
      <c r="AQ916" t="str">
        <f>"040"</f>
        <v>040</v>
      </c>
      <c r="AR916">
        <v>0</v>
      </c>
      <c r="AS916">
        <v>0</v>
      </c>
      <c r="AT916">
        <v>3.6360000000000001</v>
      </c>
      <c r="AX916" t="str">
        <f>"E000365938"</f>
        <v>E000365938</v>
      </c>
      <c r="BD916" t="str">
        <f>"רחמים זרוק"</f>
        <v>רחמים זרוק</v>
      </c>
    </row>
    <row r="917" spans="1:56" x14ac:dyDescent="0.3">
      <c r="A917" s="1">
        <v>44986</v>
      </c>
      <c r="B917" t="str">
        <f>"SI236000520"</f>
        <v>SI236000520</v>
      </c>
      <c r="C917" t="str">
        <f>"PR22000459"</f>
        <v>PR22000459</v>
      </c>
      <c r="E917" t="str">
        <f>"Y"</f>
        <v>Y</v>
      </c>
      <c r="F917" t="str">
        <f>"חשבוניות מרכזות"</f>
        <v>חשבוניות מרכזות</v>
      </c>
      <c r="G917" t="str">
        <f>"700065"</f>
        <v>700065</v>
      </c>
      <c r="H917" t="str">
        <f>"אלתא מערכות בע""מ"</f>
        <v>אלתא מערכות בע"מ</v>
      </c>
      <c r="I917" t="str">
        <f>"10"</f>
        <v>10</v>
      </c>
      <c r="J917" t="str">
        <f>"OP-AR03190"</f>
        <v>OP-AR03190</v>
      </c>
      <c r="K917" t="str">
        <f>"9009M460-001    HARNESS WRS60 - LEDS CABLE"</f>
        <v>9009M460-001    HARNESS WRS60 - LEDS CABLE</v>
      </c>
      <c r="L917">
        <v>-2</v>
      </c>
      <c r="M917" t="str">
        <f>"יח"</f>
        <v>יח</v>
      </c>
      <c r="N917">
        <v>-2</v>
      </c>
      <c r="O917" t="str">
        <f>"יח"</f>
        <v>יח</v>
      </c>
      <c r="P917">
        <v>424.7</v>
      </c>
      <c r="Q917" t="str">
        <f>"$"</f>
        <v>$</v>
      </c>
      <c r="R917" t="str">
        <f>"הזמנה"</f>
        <v>הזמנה</v>
      </c>
      <c r="S917">
        <v>0</v>
      </c>
      <c r="T917">
        <v>-849.4</v>
      </c>
      <c r="U917">
        <v>0</v>
      </c>
      <c r="V917">
        <v>-849.4</v>
      </c>
      <c r="W917" t="str">
        <f>"$"</f>
        <v>$</v>
      </c>
      <c r="X917">
        <v>0</v>
      </c>
      <c r="Y917">
        <v>0</v>
      </c>
      <c r="Z917">
        <v>0</v>
      </c>
      <c r="AA917" t="str">
        <f>"Y"</f>
        <v>Y</v>
      </c>
      <c r="AC917">
        <v>0</v>
      </c>
      <c r="AM917" t="str">
        <f>"10"</f>
        <v>10</v>
      </c>
      <c r="AN917" t="str">
        <f>"500000"</f>
        <v>500000</v>
      </c>
      <c r="AO917" t="str">
        <f>"הכנסות  מלקוחות"</f>
        <v>הכנסות  מלקוחות</v>
      </c>
      <c r="AQ917" t="str">
        <f>"040"</f>
        <v>040</v>
      </c>
      <c r="AR917">
        <v>0</v>
      </c>
      <c r="AS917">
        <v>0</v>
      </c>
      <c r="AT917">
        <v>3.2429999999999999</v>
      </c>
      <c r="BB917" t="str">
        <f>"Y"</f>
        <v>Y</v>
      </c>
      <c r="BD917" t="str">
        <f>"רחמים זרוק"</f>
        <v>רחמים זרוק</v>
      </c>
    </row>
    <row r="918" spans="1:56" x14ac:dyDescent="0.3">
      <c r="A918" s="1">
        <v>44986</v>
      </c>
      <c r="B918" t="str">
        <f>"SI236000520"</f>
        <v>SI236000520</v>
      </c>
      <c r="C918" t="str">
        <f>"PR22000459"</f>
        <v>PR22000459</v>
      </c>
      <c r="E918" t="str">
        <f>"Y"</f>
        <v>Y</v>
      </c>
      <c r="F918" t="str">
        <f>"חשבוניות מרכזות"</f>
        <v>חשבוניות מרכזות</v>
      </c>
      <c r="G918" t="str">
        <f>"700065"</f>
        <v>700065</v>
      </c>
      <c r="H918" t="str">
        <f>"אלתא מערכות בע""מ"</f>
        <v>אלתא מערכות בע"מ</v>
      </c>
      <c r="I918" t="str">
        <f>"10"</f>
        <v>10</v>
      </c>
      <c r="J918" t="str">
        <f>"OP-AR03190"</f>
        <v>OP-AR03190</v>
      </c>
      <c r="K918" t="str">
        <f>"9009M460-001    HARNESS WRS60 - LEDS CABLE"</f>
        <v>9009M460-001    HARNESS WRS60 - LEDS CABLE</v>
      </c>
      <c r="L918">
        <v>-1</v>
      </c>
      <c r="M918" t="str">
        <f>"יח"</f>
        <v>יח</v>
      </c>
      <c r="N918">
        <v>-1</v>
      </c>
      <c r="O918" t="str">
        <f>"יח"</f>
        <v>יח</v>
      </c>
      <c r="P918">
        <v>212.35</v>
      </c>
      <c r="Q918" t="str">
        <f>"$"</f>
        <v>$</v>
      </c>
      <c r="R918" t="str">
        <f>"הזמנה"</f>
        <v>הזמנה</v>
      </c>
      <c r="S918">
        <v>0</v>
      </c>
      <c r="T918">
        <v>-212.35</v>
      </c>
      <c r="U918">
        <v>0</v>
      </c>
      <c r="V918">
        <v>-212.35</v>
      </c>
      <c r="W918" t="str">
        <f>"$"</f>
        <v>$</v>
      </c>
      <c r="X918">
        <v>0</v>
      </c>
      <c r="Y918">
        <v>0</v>
      </c>
      <c r="Z918">
        <v>0</v>
      </c>
      <c r="AA918" t="str">
        <f>"Y"</f>
        <v>Y</v>
      </c>
      <c r="AC918">
        <v>0</v>
      </c>
      <c r="AM918" t="str">
        <f>"10"</f>
        <v>10</v>
      </c>
      <c r="AN918" t="str">
        <f>"500000"</f>
        <v>500000</v>
      </c>
      <c r="AO918" t="str">
        <f>"הכנסות  מלקוחות"</f>
        <v>הכנסות  מלקוחות</v>
      </c>
      <c r="AQ918" t="str">
        <f>"040"</f>
        <v>040</v>
      </c>
      <c r="AR918">
        <v>0</v>
      </c>
      <c r="AS918">
        <v>0</v>
      </c>
      <c r="AT918">
        <v>3.2429999999999999</v>
      </c>
      <c r="BB918" t="str">
        <f>"Y"</f>
        <v>Y</v>
      </c>
      <c r="BD918" t="str">
        <f>"רחמים זרוק"</f>
        <v>רחמים זרוק</v>
      </c>
    </row>
    <row r="919" spans="1:56" x14ac:dyDescent="0.3">
      <c r="A919" s="1">
        <v>44986</v>
      </c>
      <c r="B919" t="str">
        <f>"SI236000451"</f>
        <v>SI236000451</v>
      </c>
      <c r="C919" t="str">
        <f>"PR22000552"</f>
        <v>PR22000552</v>
      </c>
      <c r="D919" t="str">
        <f>"PR22000552"</f>
        <v>PR22000552</v>
      </c>
      <c r="E919" t="str">
        <f>"Y"</f>
        <v>Y</v>
      </c>
      <c r="F919" t="str">
        <f>"חשבוניות מרכזות"</f>
        <v>חשבוניות מרכזות</v>
      </c>
      <c r="G919" t="str">
        <f>"700065"</f>
        <v>700065</v>
      </c>
      <c r="H919" t="str">
        <f>"אלתא מערכות בע""מ"</f>
        <v>אלתא מערכות בע"מ</v>
      </c>
      <c r="I919" t="str">
        <f>"15"</f>
        <v>15</v>
      </c>
      <c r="J919" t="str">
        <f>"OP-AR03225"</f>
        <v>OP-AR03225</v>
      </c>
      <c r="K919" t="str">
        <f>"6950A162-001    HARNESS WM02 - CU TO ANTENNA RIGHT AFT"</f>
        <v>6950A162-001    HARNESS WM02 - CU TO ANTENNA RIGHT AFT</v>
      </c>
      <c r="L919">
        <v>2</v>
      </c>
      <c r="M919" t="str">
        <f>"יח"</f>
        <v>יח</v>
      </c>
      <c r="N919">
        <v>2</v>
      </c>
      <c r="O919" t="str">
        <f>"יח"</f>
        <v>יח</v>
      </c>
      <c r="P919" s="2">
        <v>1302.52</v>
      </c>
      <c r="Q919" t="str">
        <f>"$"</f>
        <v>$</v>
      </c>
      <c r="R919" t="str">
        <f>"הזמנה"</f>
        <v>הזמנה</v>
      </c>
      <c r="S919">
        <v>0</v>
      </c>
      <c r="T919" s="2">
        <v>2605.04</v>
      </c>
      <c r="U919">
        <v>0</v>
      </c>
      <c r="V919" s="2">
        <v>2605.04</v>
      </c>
      <c r="W919" t="str">
        <f>"$"</f>
        <v>$</v>
      </c>
      <c r="X919">
        <v>0</v>
      </c>
      <c r="Y919">
        <v>0</v>
      </c>
      <c r="Z919">
        <v>0</v>
      </c>
      <c r="AA919" t="str">
        <f>"Y"</f>
        <v>Y</v>
      </c>
      <c r="AB919" t="str">
        <f>"SO22000334"</f>
        <v>SO22000334</v>
      </c>
      <c r="AC919">
        <v>3</v>
      </c>
      <c r="AD919" s="1">
        <v>44789</v>
      </c>
      <c r="AE919" t="str">
        <f>"SH23000226"</f>
        <v>SH23000226</v>
      </c>
      <c r="AF919" t="str">
        <f>"משלוחים ללקוח"</f>
        <v>משלוחים ללקוח</v>
      </c>
      <c r="AG919" s="1">
        <v>44971</v>
      </c>
      <c r="AM919" t="str">
        <f>"10"</f>
        <v>10</v>
      </c>
      <c r="AN919" t="str">
        <f>"500000"</f>
        <v>500000</v>
      </c>
      <c r="AO919" t="str">
        <f>"הכנסות  מלקוחות"</f>
        <v>הכנסות  מלקוחות</v>
      </c>
      <c r="AQ919" t="str">
        <f>"040"</f>
        <v>040</v>
      </c>
      <c r="AR919">
        <v>0</v>
      </c>
      <c r="AS919">
        <v>0</v>
      </c>
      <c r="AT919">
        <v>3.6680000000000001</v>
      </c>
      <c r="AX919" t="str">
        <f>"E000369247"</f>
        <v>E000369247</v>
      </c>
      <c r="BD919" t="str">
        <f>"רחמים זרוק"</f>
        <v>רחמים זרוק</v>
      </c>
    </row>
    <row r="920" spans="1:56" x14ac:dyDescent="0.3">
      <c r="A920" s="1">
        <v>44986</v>
      </c>
      <c r="B920" t="str">
        <f>"SI236000451"</f>
        <v>SI236000451</v>
      </c>
      <c r="C920" t="str">
        <f>"PR22000552"</f>
        <v>PR22000552</v>
      </c>
      <c r="D920" t="str">
        <f>"PR22000552"</f>
        <v>PR22000552</v>
      </c>
      <c r="E920" t="str">
        <f>"Y"</f>
        <v>Y</v>
      </c>
      <c r="F920" t="str">
        <f>"חשבוניות מרכזות"</f>
        <v>חשבוניות מרכזות</v>
      </c>
      <c r="G920" t="str">
        <f>"700065"</f>
        <v>700065</v>
      </c>
      <c r="H920" t="str">
        <f>"אלתא מערכות בע""מ"</f>
        <v>אלתא מערכות בע"מ</v>
      </c>
      <c r="I920" t="str">
        <f>"15"</f>
        <v>15</v>
      </c>
      <c r="J920" t="str">
        <f>"OP-AR03226"</f>
        <v>OP-AR03226</v>
      </c>
      <c r="K920" t="str">
        <f>"6950A163-001    HARNESS WM03 - CU TO ANTENNA LEFT AFT"</f>
        <v>6950A163-001    HARNESS WM03 - CU TO ANTENNA LEFT AFT</v>
      </c>
      <c r="L920">
        <v>2</v>
      </c>
      <c r="M920" t="str">
        <f>"יח"</f>
        <v>יח</v>
      </c>
      <c r="N920">
        <v>2</v>
      </c>
      <c r="O920" t="str">
        <f>"יח"</f>
        <v>יח</v>
      </c>
      <c r="P920" s="2">
        <v>1302.52</v>
      </c>
      <c r="Q920" t="str">
        <f>"$"</f>
        <v>$</v>
      </c>
      <c r="R920" t="str">
        <f>"הזמנה"</f>
        <v>הזמנה</v>
      </c>
      <c r="S920">
        <v>0</v>
      </c>
      <c r="T920" s="2">
        <v>2605.04</v>
      </c>
      <c r="U920">
        <v>0</v>
      </c>
      <c r="V920" s="2">
        <v>2605.04</v>
      </c>
      <c r="W920" t="str">
        <f>"$"</f>
        <v>$</v>
      </c>
      <c r="X920">
        <v>0</v>
      </c>
      <c r="Y920">
        <v>0</v>
      </c>
      <c r="Z920">
        <v>0</v>
      </c>
      <c r="AA920" t="str">
        <f>"Y"</f>
        <v>Y</v>
      </c>
      <c r="AB920" t="str">
        <f>"SO22000334"</f>
        <v>SO22000334</v>
      </c>
      <c r="AC920">
        <v>4</v>
      </c>
      <c r="AD920" s="1">
        <v>44789</v>
      </c>
      <c r="AE920" t="str">
        <f>"SH23000226"</f>
        <v>SH23000226</v>
      </c>
      <c r="AF920" t="str">
        <f>"משלוחים ללקוח"</f>
        <v>משלוחים ללקוח</v>
      </c>
      <c r="AG920" s="1">
        <v>44971</v>
      </c>
      <c r="AM920" t="str">
        <f>"10"</f>
        <v>10</v>
      </c>
      <c r="AN920" t="str">
        <f>"500000"</f>
        <v>500000</v>
      </c>
      <c r="AO920" t="str">
        <f>"הכנסות  מלקוחות"</f>
        <v>הכנסות  מלקוחות</v>
      </c>
      <c r="AQ920" t="str">
        <f>"040"</f>
        <v>040</v>
      </c>
      <c r="AR920">
        <v>0</v>
      </c>
      <c r="AS920">
        <v>0</v>
      </c>
      <c r="AT920">
        <v>3.6680000000000001</v>
      </c>
      <c r="AX920" t="str">
        <f>"E000369247"</f>
        <v>E000369247</v>
      </c>
      <c r="BD920" t="str">
        <f>"רחמים זרוק"</f>
        <v>רחמים זרוק</v>
      </c>
    </row>
    <row r="921" spans="1:56" x14ac:dyDescent="0.3">
      <c r="A921" s="1">
        <v>44986</v>
      </c>
      <c r="B921" t="str">
        <f>"SI236000451"</f>
        <v>SI236000451</v>
      </c>
      <c r="C921" t="str">
        <f>"PR22000552"</f>
        <v>PR22000552</v>
      </c>
      <c r="D921" t="str">
        <f>"PR22000552"</f>
        <v>PR22000552</v>
      </c>
      <c r="E921" t="str">
        <f>"Y"</f>
        <v>Y</v>
      </c>
      <c r="F921" t="str">
        <f>"חשבוניות מרכזות"</f>
        <v>חשבוניות מרכזות</v>
      </c>
      <c r="G921" t="str">
        <f>"700065"</f>
        <v>700065</v>
      </c>
      <c r="H921" t="str">
        <f>"אלתא מערכות בע""מ"</f>
        <v>אלתא מערכות בע"מ</v>
      </c>
      <c r="I921" t="str">
        <f>"15"</f>
        <v>15</v>
      </c>
      <c r="J921" t="str">
        <f>"OP-AR03229"</f>
        <v>OP-AR03229</v>
      </c>
      <c r="K921" t="str">
        <f>"6950A166-001    HARNESS WM06 - CU TO ANTENNA RIGHT AFT ("</f>
        <v>6950A166-001    HARNESS WM06 - CU TO ANTENNA RIGHT AFT (</v>
      </c>
      <c r="L921">
        <v>2</v>
      </c>
      <c r="M921" t="str">
        <f>"יח"</f>
        <v>יח</v>
      </c>
      <c r="N921">
        <v>2</v>
      </c>
      <c r="O921" t="str">
        <f>"יח"</f>
        <v>יח</v>
      </c>
      <c r="P921" s="2">
        <v>1749.04</v>
      </c>
      <c r="Q921" t="str">
        <f>"$"</f>
        <v>$</v>
      </c>
      <c r="R921" t="str">
        <f>"הזמנה"</f>
        <v>הזמנה</v>
      </c>
      <c r="S921">
        <v>0</v>
      </c>
      <c r="T921" s="2">
        <v>3498.08</v>
      </c>
      <c r="U921">
        <v>0</v>
      </c>
      <c r="V921" s="2">
        <v>3498.08</v>
      </c>
      <c r="W921" t="str">
        <f>"$"</f>
        <v>$</v>
      </c>
      <c r="X921">
        <v>0</v>
      </c>
      <c r="Y921">
        <v>0</v>
      </c>
      <c r="Z921">
        <v>0</v>
      </c>
      <c r="AA921" t="str">
        <f>"Y"</f>
        <v>Y</v>
      </c>
      <c r="AB921" t="str">
        <f>"SO22000334"</f>
        <v>SO22000334</v>
      </c>
      <c r="AC921">
        <v>7</v>
      </c>
      <c r="AD921" s="1">
        <v>44789</v>
      </c>
      <c r="AE921" t="str">
        <f>"SH23000226"</f>
        <v>SH23000226</v>
      </c>
      <c r="AF921" t="str">
        <f>"משלוחים ללקוח"</f>
        <v>משלוחים ללקוח</v>
      </c>
      <c r="AG921" s="1">
        <v>44971</v>
      </c>
      <c r="AM921" t="str">
        <f>"10"</f>
        <v>10</v>
      </c>
      <c r="AN921" t="str">
        <f>"500000"</f>
        <v>500000</v>
      </c>
      <c r="AO921" t="str">
        <f>"הכנסות  מלקוחות"</f>
        <v>הכנסות  מלקוחות</v>
      </c>
      <c r="AQ921" t="str">
        <f>"040"</f>
        <v>040</v>
      </c>
      <c r="AR921">
        <v>0</v>
      </c>
      <c r="AS921">
        <v>0</v>
      </c>
      <c r="AT921">
        <v>3.6680000000000001</v>
      </c>
      <c r="AX921" t="str">
        <f>"E000369247"</f>
        <v>E000369247</v>
      </c>
      <c r="BD921" t="str">
        <f>"רחמים זרוק"</f>
        <v>רחמים זרוק</v>
      </c>
    </row>
    <row r="922" spans="1:56" x14ac:dyDescent="0.3">
      <c r="A922" s="1">
        <v>44986</v>
      </c>
      <c r="B922" t="str">
        <f>"SI236000451"</f>
        <v>SI236000451</v>
      </c>
      <c r="C922" t="str">
        <f>"PR22000552"</f>
        <v>PR22000552</v>
      </c>
      <c r="D922" t="str">
        <f>"PR22000552"</f>
        <v>PR22000552</v>
      </c>
      <c r="E922" t="str">
        <f>"Y"</f>
        <v>Y</v>
      </c>
      <c r="F922" t="str">
        <f>"חשבוניות מרכזות"</f>
        <v>חשבוניות מרכזות</v>
      </c>
      <c r="G922" t="str">
        <f>"700065"</f>
        <v>700065</v>
      </c>
      <c r="H922" t="str">
        <f>"אלתא מערכות בע""מ"</f>
        <v>אלתא מערכות בע"מ</v>
      </c>
      <c r="I922" t="str">
        <f>"15"</f>
        <v>15</v>
      </c>
      <c r="J922" t="str">
        <f>"OP-AR03235"</f>
        <v>OP-AR03235</v>
      </c>
      <c r="K922" t="str">
        <f>"6950A185-001    HARNESS W185 - MCU - P6 REFAEL"</f>
        <v>6950A185-001    HARNESS W185 - MCU - P6 REFAEL</v>
      </c>
      <c r="L922">
        <v>6</v>
      </c>
      <c r="M922" t="str">
        <f>"יח"</f>
        <v>יח</v>
      </c>
      <c r="N922">
        <v>6</v>
      </c>
      <c r="O922" t="str">
        <f>"יח"</f>
        <v>יח</v>
      </c>
      <c r="P922">
        <v>879.71</v>
      </c>
      <c r="Q922" t="str">
        <f>"$"</f>
        <v>$</v>
      </c>
      <c r="R922" t="str">
        <f>"הזמנה"</f>
        <v>הזמנה</v>
      </c>
      <c r="S922">
        <v>0</v>
      </c>
      <c r="T922" s="2">
        <v>5278.26</v>
      </c>
      <c r="U922">
        <v>0</v>
      </c>
      <c r="V922" s="2">
        <v>5278.26</v>
      </c>
      <c r="W922" t="str">
        <f>"$"</f>
        <v>$</v>
      </c>
      <c r="X922">
        <v>0</v>
      </c>
      <c r="Y922">
        <v>0</v>
      </c>
      <c r="Z922">
        <v>0</v>
      </c>
      <c r="AA922" t="str">
        <f>"Y"</f>
        <v>Y</v>
      </c>
      <c r="AB922" t="str">
        <f>"SO22000334"</f>
        <v>SO22000334</v>
      </c>
      <c r="AC922">
        <v>13</v>
      </c>
      <c r="AD922" s="1">
        <v>44789</v>
      </c>
      <c r="AE922" t="str">
        <f>"SH23000226"</f>
        <v>SH23000226</v>
      </c>
      <c r="AF922" t="str">
        <f>"משלוחים ללקוח"</f>
        <v>משלוחים ללקוח</v>
      </c>
      <c r="AG922" s="1">
        <v>44971</v>
      </c>
      <c r="AM922" t="str">
        <f>"10"</f>
        <v>10</v>
      </c>
      <c r="AN922" t="str">
        <f>"500000"</f>
        <v>500000</v>
      </c>
      <c r="AO922" t="str">
        <f>"הכנסות  מלקוחות"</f>
        <v>הכנסות  מלקוחות</v>
      </c>
      <c r="AQ922" t="str">
        <f>"040"</f>
        <v>040</v>
      </c>
      <c r="AR922">
        <v>0</v>
      </c>
      <c r="AS922">
        <v>0</v>
      </c>
      <c r="AT922">
        <v>3.6680000000000001</v>
      </c>
      <c r="AX922" t="str">
        <f>"E000369247"</f>
        <v>E000369247</v>
      </c>
      <c r="BD922" t="str">
        <f>"רחמים זרוק"</f>
        <v>רחמים זרוק</v>
      </c>
    </row>
    <row r="923" spans="1:56" x14ac:dyDescent="0.3">
      <c r="A923" s="1">
        <v>44986</v>
      </c>
      <c r="B923" t="str">
        <f>"SI236000450"</f>
        <v>SI236000450</v>
      </c>
      <c r="C923" t="str">
        <f>"PR22000552"</f>
        <v>PR22000552</v>
      </c>
      <c r="E923" t="str">
        <f>"Y"</f>
        <v>Y</v>
      </c>
      <c r="F923" t="str">
        <f>"חשבוניות מרכזות"</f>
        <v>חשבוניות מרכזות</v>
      </c>
      <c r="G923" t="str">
        <f>"700065"</f>
        <v>700065</v>
      </c>
      <c r="H923" t="str">
        <f>"אלתא מערכות בע""מ"</f>
        <v>אלתא מערכות בע"מ</v>
      </c>
      <c r="I923" t="str">
        <f>"15"</f>
        <v>15</v>
      </c>
      <c r="J923" t="str">
        <f>"OP-AR03225"</f>
        <v>OP-AR03225</v>
      </c>
      <c r="K923" t="str">
        <f>"6950A162-001    HARNESS WM02 - CU TO ANTENNA RIGHT AFT"</f>
        <v>6950A162-001    HARNESS WM02 - CU TO ANTENNA RIGHT AFT</v>
      </c>
      <c r="L923">
        <v>-2</v>
      </c>
      <c r="M923" t="str">
        <f>"יח"</f>
        <v>יח</v>
      </c>
      <c r="N923">
        <v>-2</v>
      </c>
      <c r="O923" t="str">
        <f>"יח"</f>
        <v>יח</v>
      </c>
      <c r="P923" s="2">
        <v>1302.52</v>
      </c>
      <c r="Q923" t="str">
        <f>"$"</f>
        <v>$</v>
      </c>
      <c r="R923" t="str">
        <f>"הזמנה"</f>
        <v>הזמנה</v>
      </c>
      <c r="S923">
        <v>0</v>
      </c>
      <c r="T923" s="2">
        <v>-2605.04</v>
      </c>
      <c r="U923">
        <v>0</v>
      </c>
      <c r="V923" s="2">
        <v>-2605.04</v>
      </c>
      <c r="W923" t="str">
        <f>"$"</f>
        <v>$</v>
      </c>
      <c r="X923">
        <v>0</v>
      </c>
      <c r="Y923">
        <v>0</v>
      </c>
      <c r="Z923">
        <v>0</v>
      </c>
      <c r="AA923" t="str">
        <f>"Y"</f>
        <v>Y</v>
      </c>
      <c r="AC923">
        <v>0</v>
      </c>
      <c r="AM923" t="str">
        <f>"10"</f>
        <v>10</v>
      </c>
      <c r="AN923" t="str">
        <f>"500000"</f>
        <v>500000</v>
      </c>
      <c r="AO923" t="str">
        <f>"הכנסות  מלקוחות"</f>
        <v>הכנסות  מלקוחות</v>
      </c>
      <c r="AQ923" t="str">
        <f>"040"</f>
        <v>040</v>
      </c>
      <c r="AR923">
        <v>0</v>
      </c>
      <c r="AS923">
        <v>0</v>
      </c>
      <c r="AT923">
        <v>3.6360000000000001</v>
      </c>
      <c r="BB923" t="str">
        <f>"Y"</f>
        <v>Y</v>
      </c>
      <c r="BD923" t="str">
        <f>"רחמים זרוק"</f>
        <v>רחמים זרוק</v>
      </c>
    </row>
    <row r="924" spans="1:56" x14ac:dyDescent="0.3">
      <c r="A924" s="1">
        <v>44986</v>
      </c>
      <c r="B924" t="str">
        <f>"SI236000450"</f>
        <v>SI236000450</v>
      </c>
      <c r="C924" t="str">
        <f>"PR22000552"</f>
        <v>PR22000552</v>
      </c>
      <c r="E924" t="str">
        <f>"Y"</f>
        <v>Y</v>
      </c>
      <c r="F924" t="str">
        <f>"חשבוניות מרכזות"</f>
        <v>חשבוניות מרכזות</v>
      </c>
      <c r="G924" t="str">
        <f>"700065"</f>
        <v>700065</v>
      </c>
      <c r="H924" t="str">
        <f>"אלתא מערכות בע""מ"</f>
        <v>אלתא מערכות בע"מ</v>
      </c>
      <c r="I924" t="str">
        <f>"15"</f>
        <v>15</v>
      </c>
      <c r="J924" t="str">
        <f>"OP-AR03226"</f>
        <v>OP-AR03226</v>
      </c>
      <c r="K924" t="str">
        <f>"6950A163-001    HARNESS WM03 - CU TO ANTENNA LEFT AFT"</f>
        <v>6950A163-001    HARNESS WM03 - CU TO ANTENNA LEFT AFT</v>
      </c>
      <c r="L924">
        <v>-2</v>
      </c>
      <c r="M924" t="str">
        <f>"יח"</f>
        <v>יח</v>
      </c>
      <c r="N924">
        <v>-2</v>
      </c>
      <c r="O924" t="str">
        <f>"יח"</f>
        <v>יח</v>
      </c>
      <c r="P924" s="2">
        <v>1302.52</v>
      </c>
      <c r="Q924" t="str">
        <f>"$"</f>
        <v>$</v>
      </c>
      <c r="R924" t="str">
        <f>"הזמנה"</f>
        <v>הזמנה</v>
      </c>
      <c r="S924">
        <v>0</v>
      </c>
      <c r="T924" s="2">
        <v>-2605.04</v>
      </c>
      <c r="U924">
        <v>0</v>
      </c>
      <c r="V924" s="2">
        <v>-2605.04</v>
      </c>
      <c r="W924" t="str">
        <f>"$"</f>
        <v>$</v>
      </c>
      <c r="X924">
        <v>0</v>
      </c>
      <c r="Y924">
        <v>0</v>
      </c>
      <c r="Z924">
        <v>0</v>
      </c>
      <c r="AA924" t="str">
        <f>"Y"</f>
        <v>Y</v>
      </c>
      <c r="AC924">
        <v>0</v>
      </c>
      <c r="AM924" t="str">
        <f>"10"</f>
        <v>10</v>
      </c>
      <c r="AN924" t="str">
        <f>"500000"</f>
        <v>500000</v>
      </c>
      <c r="AO924" t="str">
        <f>"הכנסות  מלקוחות"</f>
        <v>הכנסות  מלקוחות</v>
      </c>
      <c r="AQ924" t="str">
        <f>"040"</f>
        <v>040</v>
      </c>
      <c r="AR924">
        <v>0</v>
      </c>
      <c r="AS924">
        <v>0</v>
      </c>
      <c r="AT924">
        <v>3.6360000000000001</v>
      </c>
      <c r="BB924" t="str">
        <f>"Y"</f>
        <v>Y</v>
      </c>
      <c r="BD924" t="str">
        <f>"רחמים זרוק"</f>
        <v>רחמים זרוק</v>
      </c>
    </row>
    <row r="925" spans="1:56" x14ac:dyDescent="0.3">
      <c r="A925" s="1">
        <v>44986</v>
      </c>
      <c r="B925" t="str">
        <f>"SI236000450"</f>
        <v>SI236000450</v>
      </c>
      <c r="C925" t="str">
        <f>"PR22000552"</f>
        <v>PR22000552</v>
      </c>
      <c r="E925" t="str">
        <f>"Y"</f>
        <v>Y</v>
      </c>
      <c r="F925" t="str">
        <f>"חשבוניות מרכזות"</f>
        <v>חשבוניות מרכזות</v>
      </c>
      <c r="G925" t="str">
        <f>"700065"</f>
        <v>700065</v>
      </c>
      <c r="H925" t="str">
        <f>"אלתא מערכות בע""מ"</f>
        <v>אלתא מערכות בע"מ</v>
      </c>
      <c r="I925" t="str">
        <f>"15"</f>
        <v>15</v>
      </c>
      <c r="J925" t="str">
        <f>"OP-AR03229"</f>
        <v>OP-AR03229</v>
      </c>
      <c r="K925" t="str">
        <f>"6950A166-001    HARNESS WM06 - CU TO ANTENNA RIGHT AFT ("</f>
        <v>6950A166-001    HARNESS WM06 - CU TO ANTENNA RIGHT AFT (</v>
      </c>
      <c r="L925">
        <v>-6</v>
      </c>
      <c r="M925" t="str">
        <f>"יח"</f>
        <v>יח</v>
      </c>
      <c r="N925">
        <v>-6</v>
      </c>
      <c r="O925" t="str">
        <f>"יח"</f>
        <v>יח</v>
      </c>
      <c r="P925" s="2">
        <v>1749.04</v>
      </c>
      <c r="Q925" t="str">
        <f>"$"</f>
        <v>$</v>
      </c>
      <c r="R925" t="str">
        <f>"הזמנה"</f>
        <v>הזמנה</v>
      </c>
      <c r="S925">
        <v>0</v>
      </c>
      <c r="T925" s="2">
        <v>-10494.24</v>
      </c>
      <c r="U925">
        <v>0</v>
      </c>
      <c r="V925" s="2">
        <v>-10494.24</v>
      </c>
      <c r="W925" t="str">
        <f>"$"</f>
        <v>$</v>
      </c>
      <c r="X925">
        <v>0</v>
      </c>
      <c r="Y925">
        <v>0</v>
      </c>
      <c r="Z925">
        <v>0</v>
      </c>
      <c r="AA925" t="str">
        <f>"Y"</f>
        <v>Y</v>
      </c>
      <c r="AC925">
        <v>0</v>
      </c>
      <c r="AM925" t="str">
        <f>"10"</f>
        <v>10</v>
      </c>
      <c r="AN925" t="str">
        <f>"500000"</f>
        <v>500000</v>
      </c>
      <c r="AO925" t="str">
        <f>"הכנסות  מלקוחות"</f>
        <v>הכנסות  מלקוחות</v>
      </c>
      <c r="AQ925" t="str">
        <f>"040"</f>
        <v>040</v>
      </c>
      <c r="AR925">
        <v>0</v>
      </c>
      <c r="AS925">
        <v>0</v>
      </c>
      <c r="AT925">
        <v>3.6360000000000001</v>
      </c>
      <c r="BB925" t="str">
        <f>"Y"</f>
        <v>Y</v>
      </c>
      <c r="BD925" t="str">
        <f>"רחמים זרוק"</f>
        <v>רחמים זרוק</v>
      </c>
    </row>
    <row r="926" spans="1:56" x14ac:dyDescent="0.3">
      <c r="A926" s="1">
        <v>44986</v>
      </c>
      <c r="B926" t="str">
        <f>"SI236000450"</f>
        <v>SI236000450</v>
      </c>
      <c r="C926" t="str">
        <f>"PR22000552"</f>
        <v>PR22000552</v>
      </c>
      <c r="E926" t="str">
        <f>"Y"</f>
        <v>Y</v>
      </c>
      <c r="F926" t="str">
        <f>"חשבוניות מרכזות"</f>
        <v>חשבוניות מרכזות</v>
      </c>
      <c r="G926" t="str">
        <f>"700065"</f>
        <v>700065</v>
      </c>
      <c r="H926" t="str">
        <f>"אלתא מערכות בע""מ"</f>
        <v>אלתא מערכות בע"מ</v>
      </c>
      <c r="I926" t="str">
        <f>"15"</f>
        <v>15</v>
      </c>
      <c r="J926" t="str">
        <f>"OP-AR03235"</f>
        <v>OP-AR03235</v>
      </c>
      <c r="K926" t="str">
        <f>"6950A185-001    HARNESS W185 - MCU - P6 REFAEL"</f>
        <v>6950A185-001    HARNESS W185 - MCU - P6 REFAEL</v>
      </c>
      <c r="L926">
        <v>-2</v>
      </c>
      <c r="M926" t="str">
        <f>"יח"</f>
        <v>יח</v>
      </c>
      <c r="N926">
        <v>-2</v>
      </c>
      <c r="O926" t="str">
        <f>"יח"</f>
        <v>יח</v>
      </c>
      <c r="P926">
        <v>879.71</v>
      </c>
      <c r="Q926" t="str">
        <f>"$"</f>
        <v>$</v>
      </c>
      <c r="R926" t="str">
        <f>"הזמנה"</f>
        <v>הזמנה</v>
      </c>
      <c r="S926">
        <v>0</v>
      </c>
      <c r="T926" s="2">
        <v>-1759.42</v>
      </c>
      <c r="U926">
        <v>0</v>
      </c>
      <c r="V926" s="2">
        <v>-1759.42</v>
      </c>
      <c r="W926" t="str">
        <f>"$"</f>
        <v>$</v>
      </c>
      <c r="X926">
        <v>0</v>
      </c>
      <c r="Y926">
        <v>0</v>
      </c>
      <c r="Z926">
        <v>0</v>
      </c>
      <c r="AA926" t="str">
        <f>"Y"</f>
        <v>Y</v>
      </c>
      <c r="AC926">
        <v>0</v>
      </c>
      <c r="AM926" t="str">
        <f>"10"</f>
        <v>10</v>
      </c>
      <c r="AN926" t="str">
        <f>"500000"</f>
        <v>500000</v>
      </c>
      <c r="AO926" t="str">
        <f>"הכנסות  מלקוחות"</f>
        <v>הכנסות  מלקוחות</v>
      </c>
      <c r="AQ926" t="str">
        <f>"040"</f>
        <v>040</v>
      </c>
      <c r="AR926">
        <v>0</v>
      </c>
      <c r="AS926">
        <v>0</v>
      </c>
      <c r="AT926">
        <v>3.6360000000000001</v>
      </c>
      <c r="BB926" t="str">
        <f>"Y"</f>
        <v>Y</v>
      </c>
      <c r="BD926" t="str">
        <f>"רחמים זרוק"</f>
        <v>רחמים זרוק</v>
      </c>
    </row>
    <row r="927" spans="1:56" x14ac:dyDescent="0.3">
      <c r="A927" s="1">
        <v>44986</v>
      </c>
      <c r="B927" t="str">
        <f>"SI236000417"</f>
        <v>SI236000417</v>
      </c>
      <c r="C927" t="str">
        <f>"PR22000592"</f>
        <v>PR22000592</v>
      </c>
      <c r="E927" t="str">
        <f>"Y"</f>
        <v>Y</v>
      </c>
      <c r="F927" t="str">
        <f>"חשבוניות מרכזות"</f>
        <v>חשבוניות מרכזות</v>
      </c>
      <c r="G927" t="str">
        <f>"700065"</f>
        <v>700065</v>
      </c>
      <c r="H927" t="str">
        <f>"אלתא מערכות בע""מ"</f>
        <v>אלתא מערכות בע"מ</v>
      </c>
      <c r="I927" t="str">
        <f>"15"</f>
        <v>15</v>
      </c>
      <c r="J927" t="str">
        <f>"OP-AR03280"</f>
        <v>OP-AR03280</v>
      </c>
      <c r="K927" t="str">
        <f>"1035C304-001    HARNESS 3W004 - 220VAC/60HZ FROM PDU TO"</f>
        <v>1035C304-001    HARNESS 3W004 - 220VAC/60HZ FROM PDU TO</v>
      </c>
      <c r="L927">
        <v>2</v>
      </c>
      <c r="M927" t="str">
        <f>"יח"</f>
        <v>יח</v>
      </c>
      <c r="N927">
        <v>2</v>
      </c>
      <c r="O927" t="str">
        <f>"יח"</f>
        <v>יח</v>
      </c>
      <c r="P927">
        <v>486.22</v>
      </c>
      <c r="Q927" t="str">
        <f>"$"</f>
        <v>$</v>
      </c>
      <c r="R927" t="str">
        <f>"הזמנה"</f>
        <v>הזמנה</v>
      </c>
      <c r="S927">
        <v>0</v>
      </c>
      <c r="T927">
        <v>972.44</v>
      </c>
      <c r="U927">
        <v>0</v>
      </c>
      <c r="V927">
        <v>972.44</v>
      </c>
      <c r="W927" t="str">
        <f>"$"</f>
        <v>$</v>
      </c>
      <c r="X927">
        <v>0</v>
      </c>
      <c r="Y927">
        <v>0</v>
      </c>
      <c r="Z927">
        <v>0</v>
      </c>
      <c r="AA927" t="str">
        <f>"Y"</f>
        <v>Y</v>
      </c>
      <c r="AB927" t="str">
        <f>"SO22000346"</f>
        <v>SO22000346</v>
      </c>
      <c r="AC927">
        <v>4</v>
      </c>
      <c r="AD927" s="1">
        <v>44802</v>
      </c>
      <c r="AE927" t="str">
        <f>"SH23000227"</f>
        <v>SH23000227</v>
      </c>
      <c r="AF927" t="str">
        <f>"משלוחים ללקוח"</f>
        <v>משלוחים ללקוח</v>
      </c>
      <c r="AG927" s="1">
        <v>44971</v>
      </c>
      <c r="AM927" t="str">
        <f>"10"</f>
        <v>10</v>
      </c>
      <c r="AN927" t="str">
        <f>"500000"</f>
        <v>500000</v>
      </c>
      <c r="AO927" t="str">
        <f>"הכנסות  מלקוחות"</f>
        <v>הכנסות  מלקוחות</v>
      </c>
      <c r="AQ927" t="str">
        <f>"040"</f>
        <v>040</v>
      </c>
      <c r="AR927">
        <v>0</v>
      </c>
      <c r="AS927">
        <v>0</v>
      </c>
      <c r="AT927">
        <v>3.6360000000000001</v>
      </c>
      <c r="AX927" t="str">
        <f>"E000372162"</f>
        <v>E000372162</v>
      </c>
      <c r="BD927" t="str">
        <f>"רחמים זרוק"</f>
        <v>רחמים זרוק</v>
      </c>
    </row>
    <row r="928" spans="1:56" x14ac:dyDescent="0.3">
      <c r="A928" s="1">
        <v>44986</v>
      </c>
      <c r="B928" t="str">
        <f>"SI236000417"</f>
        <v>SI236000417</v>
      </c>
      <c r="C928" t="str">
        <f>"PR22000592"</f>
        <v>PR22000592</v>
      </c>
      <c r="E928" t="str">
        <f>"Y"</f>
        <v>Y</v>
      </c>
      <c r="F928" t="str">
        <f>"חשבוניות מרכזות"</f>
        <v>חשבוניות מרכזות</v>
      </c>
      <c r="G928" t="str">
        <f>"700065"</f>
        <v>700065</v>
      </c>
      <c r="H928" t="str">
        <f>"אלתא מערכות בע""מ"</f>
        <v>אלתא מערכות בע"מ</v>
      </c>
      <c r="I928" t="str">
        <f>"15"</f>
        <v>15</v>
      </c>
      <c r="J928" t="str">
        <f>"OP-AR03286"</f>
        <v>OP-AR03286</v>
      </c>
      <c r="K928" t="str">
        <f>"1035C310-001    HARNESS 3W010 - POWER IN 440VAC/60HZ TO"</f>
        <v>1035C310-001    HARNESS 3W010 - POWER IN 440VAC/60HZ TO</v>
      </c>
      <c r="L928">
        <v>2</v>
      </c>
      <c r="M928" t="str">
        <f>"יח"</f>
        <v>יח</v>
      </c>
      <c r="N928">
        <v>2</v>
      </c>
      <c r="O928" t="str">
        <f>"יח"</f>
        <v>יח</v>
      </c>
      <c r="P928">
        <v>648.48</v>
      </c>
      <c r="Q928" t="str">
        <f>"$"</f>
        <v>$</v>
      </c>
      <c r="R928" t="str">
        <f>"הזמנה"</f>
        <v>הזמנה</v>
      </c>
      <c r="S928">
        <v>0</v>
      </c>
      <c r="T928" s="2">
        <v>1296.96</v>
      </c>
      <c r="U928">
        <v>0</v>
      </c>
      <c r="V928" s="2">
        <v>1296.96</v>
      </c>
      <c r="W928" t="str">
        <f>"$"</f>
        <v>$</v>
      </c>
      <c r="X928">
        <v>0</v>
      </c>
      <c r="Y928">
        <v>0</v>
      </c>
      <c r="Z928">
        <v>0</v>
      </c>
      <c r="AA928" t="str">
        <f>"Y"</f>
        <v>Y</v>
      </c>
      <c r="AB928" t="str">
        <f>"SO22000346"</f>
        <v>SO22000346</v>
      </c>
      <c r="AC928">
        <v>10</v>
      </c>
      <c r="AD928" s="1">
        <v>44802</v>
      </c>
      <c r="AE928" t="str">
        <f>"SH23000227"</f>
        <v>SH23000227</v>
      </c>
      <c r="AF928" t="str">
        <f>"משלוחים ללקוח"</f>
        <v>משלוחים ללקוח</v>
      </c>
      <c r="AG928" s="1">
        <v>44971</v>
      </c>
      <c r="AM928" t="str">
        <f>"10"</f>
        <v>10</v>
      </c>
      <c r="AN928" t="str">
        <f>"500000"</f>
        <v>500000</v>
      </c>
      <c r="AO928" t="str">
        <f>"הכנסות  מלקוחות"</f>
        <v>הכנסות  מלקוחות</v>
      </c>
      <c r="AQ928" t="str">
        <f>"040"</f>
        <v>040</v>
      </c>
      <c r="AR928">
        <v>0</v>
      </c>
      <c r="AS928">
        <v>0</v>
      </c>
      <c r="AT928">
        <v>3.6360000000000001</v>
      </c>
      <c r="AX928" t="str">
        <f>"E000372162"</f>
        <v>E000372162</v>
      </c>
      <c r="BD928" t="str">
        <f>"רחמים זרוק"</f>
        <v>רחמים זרוק</v>
      </c>
    </row>
    <row r="929" spans="1:56" x14ac:dyDescent="0.3">
      <c r="A929" s="1">
        <v>44986</v>
      </c>
      <c r="B929" t="str">
        <f>"SI236000417"</f>
        <v>SI236000417</v>
      </c>
      <c r="C929" t="str">
        <f>"PR22000592"</f>
        <v>PR22000592</v>
      </c>
      <c r="E929" t="str">
        <f>"Y"</f>
        <v>Y</v>
      </c>
      <c r="F929" t="str">
        <f>"חשבוניות מרכזות"</f>
        <v>חשבוניות מרכזות</v>
      </c>
      <c r="G929" t="str">
        <f>"700065"</f>
        <v>700065</v>
      </c>
      <c r="H929" t="str">
        <f>"אלתא מערכות בע""מ"</f>
        <v>אלתא מערכות בע"מ</v>
      </c>
      <c r="I929" t="str">
        <f>"15"</f>
        <v>15</v>
      </c>
      <c r="J929" t="str">
        <f>"OP-AR03287"</f>
        <v>OP-AR03287</v>
      </c>
      <c r="K929" t="str">
        <f>"1035C311-001    HARNESS 3W011 - POWER IN 440VAC/60HZ TO"</f>
        <v>1035C311-001    HARNESS 3W011 - POWER IN 440VAC/60HZ TO</v>
      </c>
      <c r="L929">
        <v>2</v>
      </c>
      <c r="M929" t="str">
        <f>"יח"</f>
        <v>יח</v>
      </c>
      <c r="N929">
        <v>2</v>
      </c>
      <c r="O929" t="str">
        <f>"יח"</f>
        <v>יח</v>
      </c>
      <c r="P929">
        <v>451.08</v>
      </c>
      <c r="Q929" t="str">
        <f>"$"</f>
        <v>$</v>
      </c>
      <c r="R929" t="str">
        <f>"הזמנה"</f>
        <v>הזמנה</v>
      </c>
      <c r="S929">
        <v>0</v>
      </c>
      <c r="T929">
        <v>902.16</v>
      </c>
      <c r="U929">
        <v>0</v>
      </c>
      <c r="V929">
        <v>902.16</v>
      </c>
      <c r="W929" t="str">
        <f>"$"</f>
        <v>$</v>
      </c>
      <c r="X929">
        <v>0</v>
      </c>
      <c r="Y929">
        <v>0</v>
      </c>
      <c r="Z929">
        <v>0</v>
      </c>
      <c r="AA929" t="str">
        <f>"Y"</f>
        <v>Y</v>
      </c>
      <c r="AB929" t="str">
        <f>"SO22000346"</f>
        <v>SO22000346</v>
      </c>
      <c r="AC929">
        <v>11</v>
      </c>
      <c r="AD929" s="1">
        <v>44802</v>
      </c>
      <c r="AE929" t="str">
        <f>"SH23000227"</f>
        <v>SH23000227</v>
      </c>
      <c r="AF929" t="str">
        <f>"משלוחים ללקוח"</f>
        <v>משלוחים ללקוח</v>
      </c>
      <c r="AG929" s="1">
        <v>44971</v>
      </c>
      <c r="AM929" t="str">
        <f>"10"</f>
        <v>10</v>
      </c>
      <c r="AN929" t="str">
        <f>"500000"</f>
        <v>500000</v>
      </c>
      <c r="AO929" t="str">
        <f>"הכנסות  מלקוחות"</f>
        <v>הכנסות  מלקוחות</v>
      </c>
      <c r="AQ929" t="str">
        <f>"040"</f>
        <v>040</v>
      </c>
      <c r="AR929">
        <v>0</v>
      </c>
      <c r="AS929">
        <v>0</v>
      </c>
      <c r="AT929">
        <v>3.6360000000000001</v>
      </c>
      <c r="AX929" t="str">
        <f>"E000372162"</f>
        <v>E000372162</v>
      </c>
      <c r="BD929" t="str">
        <f>"רחמים זרוק"</f>
        <v>רחמים זרוק</v>
      </c>
    </row>
    <row r="930" spans="1:56" x14ac:dyDescent="0.3">
      <c r="A930" s="1">
        <v>44986</v>
      </c>
      <c r="B930" t="str">
        <f>"SI236000417"</f>
        <v>SI236000417</v>
      </c>
      <c r="C930" t="str">
        <f>"PR22000592"</f>
        <v>PR22000592</v>
      </c>
      <c r="E930" t="str">
        <f>"Y"</f>
        <v>Y</v>
      </c>
      <c r="F930" t="str">
        <f>"חשבוניות מרכזות"</f>
        <v>חשבוניות מרכזות</v>
      </c>
      <c r="G930" t="str">
        <f>"700065"</f>
        <v>700065</v>
      </c>
      <c r="H930" t="str">
        <f>"אלתא מערכות בע""מ"</f>
        <v>אלתא מערכות בע"מ</v>
      </c>
      <c r="I930" t="str">
        <f>"15"</f>
        <v>15</v>
      </c>
      <c r="J930" t="str">
        <f>"OP-AR03289"</f>
        <v>OP-AR03289</v>
      </c>
      <c r="K930" t="str">
        <f>"1035C313-001    HARNESS 3W013 - 320VDC FROM HVPS1 TO PSU"</f>
        <v>1035C313-001    HARNESS 3W013 - 320VDC FROM HVPS1 TO PSU</v>
      </c>
      <c r="L930">
        <v>2</v>
      </c>
      <c r="M930" t="str">
        <f>"יח"</f>
        <v>יח</v>
      </c>
      <c r="N930">
        <v>2</v>
      </c>
      <c r="O930" t="str">
        <f>"יח"</f>
        <v>יח</v>
      </c>
      <c r="P930">
        <v>401</v>
      </c>
      <c r="Q930" t="str">
        <f>"$"</f>
        <v>$</v>
      </c>
      <c r="R930" t="str">
        <f>"הזמנה"</f>
        <v>הזמנה</v>
      </c>
      <c r="S930">
        <v>0</v>
      </c>
      <c r="T930">
        <v>802</v>
      </c>
      <c r="U930">
        <v>0</v>
      </c>
      <c r="V930">
        <v>802</v>
      </c>
      <c r="W930" t="str">
        <f>"$"</f>
        <v>$</v>
      </c>
      <c r="X930">
        <v>0</v>
      </c>
      <c r="Y930">
        <v>0</v>
      </c>
      <c r="Z930">
        <v>0</v>
      </c>
      <c r="AA930" t="str">
        <f>"Y"</f>
        <v>Y</v>
      </c>
      <c r="AB930" t="str">
        <f>"SO22000346"</f>
        <v>SO22000346</v>
      </c>
      <c r="AC930">
        <v>13</v>
      </c>
      <c r="AD930" s="1">
        <v>44802</v>
      </c>
      <c r="AE930" t="str">
        <f>"SH23000227"</f>
        <v>SH23000227</v>
      </c>
      <c r="AF930" t="str">
        <f>"משלוחים ללקוח"</f>
        <v>משלוחים ללקוח</v>
      </c>
      <c r="AG930" s="1">
        <v>44971</v>
      </c>
      <c r="AM930" t="str">
        <f>"10"</f>
        <v>10</v>
      </c>
      <c r="AN930" t="str">
        <f>"500000"</f>
        <v>500000</v>
      </c>
      <c r="AO930" t="str">
        <f>"הכנסות  מלקוחות"</f>
        <v>הכנסות  מלקוחות</v>
      </c>
      <c r="AQ930" t="str">
        <f>"040"</f>
        <v>040</v>
      </c>
      <c r="AR930">
        <v>0</v>
      </c>
      <c r="AS930">
        <v>0</v>
      </c>
      <c r="AT930">
        <v>3.6360000000000001</v>
      </c>
      <c r="AX930" t="str">
        <f>"E000372162"</f>
        <v>E000372162</v>
      </c>
      <c r="BD930" t="str">
        <f>"רחמים זרוק"</f>
        <v>רחמים זרוק</v>
      </c>
    </row>
    <row r="931" spans="1:56" x14ac:dyDescent="0.3">
      <c r="A931" s="1">
        <v>44986</v>
      </c>
      <c r="B931" t="str">
        <f>"SI236000417"</f>
        <v>SI236000417</v>
      </c>
      <c r="C931" t="str">
        <f>"PR22000592"</f>
        <v>PR22000592</v>
      </c>
      <c r="E931" t="str">
        <f>"Y"</f>
        <v>Y</v>
      </c>
      <c r="F931" t="str">
        <f>"חשבוניות מרכזות"</f>
        <v>חשבוניות מרכזות</v>
      </c>
      <c r="G931" t="str">
        <f>"700065"</f>
        <v>700065</v>
      </c>
      <c r="H931" t="str">
        <f>"אלתא מערכות בע""מ"</f>
        <v>אלתא מערכות בע"מ</v>
      </c>
      <c r="I931" t="str">
        <f>"15"</f>
        <v>15</v>
      </c>
      <c r="J931" t="str">
        <f>"OP-AR03291"</f>
        <v>OP-AR03291</v>
      </c>
      <c r="K931" t="str">
        <f>"1035C315-001    HARNESS 3W015 - 320VDC FROM HVPS2 TO PSU"</f>
        <v>1035C315-001    HARNESS 3W015 - 320VDC FROM HVPS2 TO PSU</v>
      </c>
      <c r="L931">
        <v>2</v>
      </c>
      <c r="M931" t="str">
        <f>"יח"</f>
        <v>יח</v>
      </c>
      <c r="N931">
        <v>2</v>
      </c>
      <c r="O931" t="str">
        <f>"יח"</f>
        <v>יח</v>
      </c>
      <c r="P931">
        <v>435.09</v>
      </c>
      <c r="Q931" t="str">
        <f>"$"</f>
        <v>$</v>
      </c>
      <c r="R931" t="str">
        <f>"הזמנה"</f>
        <v>הזמנה</v>
      </c>
      <c r="S931">
        <v>0</v>
      </c>
      <c r="T931">
        <v>870.18</v>
      </c>
      <c r="U931">
        <v>0</v>
      </c>
      <c r="V931">
        <v>870.18</v>
      </c>
      <c r="W931" t="str">
        <f>"$"</f>
        <v>$</v>
      </c>
      <c r="X931">
        <v>0</v>
      </c>
      <c r="Y931">
        <v>0</v>
      </c>
      <c r="Z931">
        <v>0</v>
      </c>
      <c r="AA931" t="str">
        <f>"Y"</f>
        <v>Y</v>
      </c>
      <c r="AB931" t="str">
        <f>"SO22000346"</f>
        <v>SO22000346</v>
      </c>
      <c r="AC931">
        <v>15</v>
      </c>
      <c r="AD931" s="1">
        <v>44802</v>
      </c>
      <c r="AE931" t="str">
        <f>"SH23000227"</f>
        <v>SH23000227</v>
      </c>
      <c r="AF931" t="str">
        <f>"משלוחים ללקוח"</f>
        <v>משלוחים ללקוח</v>
      </c>
      <c r="AG931" s="1">
        <v>44971</v>
      </c>
      <c r="AM931" t="str">
        <f>"10"</f>
        <v>10</v>
      </c>
      <c r="AN931" t="str">
        <f>"500000"</f>
        <v>500000</v>
      </c>
      <c r="AO931" t="str">
        <f>"הכנסות  מלקוחות"</f>
        <v>הכנסות  מלקוחות</v>
      </c>
      <c r="AQ931" t="str">
        <f>"040"</f>
        <v>040</v>
      </c>
      <c r="AR931">
        <v>0</v>
      </c>
      <c r="AS931">
        <v>0</v>
      </c>
      <c r="AT931">
        <v>3.6360000000000001</v>
      </c>
      <c r="AX931" t="str">
        <f>"E000372162"</f>
        <v>E000372162</v>
      </c>
      <c r="BD931" t="str">
        <f>"רחמים זרוק"</f>
        <v>רחמים זרוק</v>
      </c>
    </row>
    <row r="932" spans="1:56" x14ac:dyDescent="0.3">
      <c r="A932" s="1">
        <v>44986</v>
      </c>
      <c r="B932" t="str">
        <f>"SI236000417"</f>
        <v>SI236000417</v>
      </c>
      <c r="C932" t="str">
        <f>"PR22000592"</f>
        <v>PR22000592</v>
      </c>
      <c r="E932" t="str">
        <f>"Y"</f>
        <v>Y</v>
      </c>
      <c r="F932" t="str">
        <f>"חשבוניות מרכזות"</f>
        <v>חשבוניות מרכזות</v>
      </c>
      <c r="G932" t="str">
        <f>"700065"</f>
        <v>700065</v>
      </c>
      <c r="H932" t="str">
        <f>"אלתא מערכות בע""מ"</f>
        <v>אלתא מערכות בע"מ</v>
      </c>
      <c r="I932" t="str">
        <f>"15"</f>
        <v>15</v>
      </c>
      <c r="J932" t="str">
        <f>"OP-AR03306"</f>
        <v>OP-AR03306</v>
      </c>
      <c r="K932" t="str">
        <f>"1035C343-001    HARNESS 3W043 - COMMUNICATION and ETHERN"</f>
        <v>1035C343-001    HARNESS 3W043 - COMMUNICATION and ETHERN</v>
      </c>
      <c r="L932">
        <v>2</v>
      </c>
      <c r="M932" t="str">
        <f>"יח"</f>
        <v>יח</v>
      </c>
      <c r="N932">
        <v>2</v>
      </c>
      <c r="O932" t="str">
        <f>"יח"</f>
        <v>יח</v>
      </c>
      <c r="P932">
        <v>712.17</v>
      </c>
      <c r="Q932" t="str">
        <f>"$"</f>
        <v>$</v>
      </c>
      <c r="R932" t="str">
        <f>"הזמנה"</f>
        <v>הזמנה</v>
      </c>
      <c r="S932">
        <v>0</v>
      </c>
      <c r="T932" s="2">
        <v>1424.34</v>
      </c>
      <c r="U932">
        <v>0</v>
      </c>
      <c r="V932" s="2">
        <v>1424.34</v>
      </c>
      <c r="W932" t="str">
        <f>"$"</f>
        <v>$</v>
      </c>
      <c r="X932">
        <v>0</v>
      </c>
      <c r="Y932">
        <v>0</v>
      </c>
      <c r="Z932">
        <v>0</v>
      </c>
      <c r="AA932" t="str">
        <f>"Y"</f>
        <v>Y</v>
      </c>
      <c r="AB932" t="str">
        <f>"SO22000346"</f>
        <v>SO22000346</v>
      </c>
      <c r="AC932">
        <v>30</v>
      </c>
      <c r="AD932" s="1">
        <v>44802</v>
      </c>
      <c r="AE932" t="str">
        <f>"SH23000227"</f>
        <v>SH23000227</v>
      </c>
      <c r="AF932" t="str">
        <f>"משלוחים ללקוח"</f>
        <v>משלוחים ללקוח</v>
      </c>
      <c r="AG932" s="1">
        <v>44971</v>
      </c>
      <c r="AM932" t="str">
        <f>"10"</f>
        <v>10</v>
      </c>
      <c r="AN932" t="str">
        <f>"500000"</f>
        <v>500000</v>
      </c>
      <c r="AO932" t="str">
        <f>"הכנסות  מלקוחות"</f>
        <v>הכנסות  מלקוחות</v>
      </c>
      <c r="AQ932" t="str">
        <f>"040"</f>
        <v>040</v>
      </c>
      <c r="AR932">
        <v>0</v>
      </c>
      <c r="AS932">
        <v>0</v>
      </c>
      <c r="AT932">
        <v>3.6360000000000001</v>
      </c>
      <c r="AX932" t="str">
        <f>"E000372162"</f>
        <v>E000372162</v>
      </c>
      <c r="BD932" t="str">
        <f>"רחמים זרוק"</f>
        <v>רחמים זרוק</v>
      </c>
    </row>
    <row r="933" spans="1:56" x14ac:dyDescent="0.3">
      <c r="A933" s="1">
        <v>44986</v>
      </c>
      <c r="B933" t="str">
        <f>"SI236000417"</f>
        <v>SI236000417</v>
      </c>
      <c r="C933" t="str">
        <f>"PR22000592"</f>
        <v>PR22000592</v>
      </c>
      <c r="E933" t="str">
        <f>"Y"</f>
        <v>Y</v>
      </c>
      <c r="F933" t="str">
        <f>"חשבוניות מרכזות"</f>
        <v>חשבוניות מרכזות</v>
      </c>
      <c r="G933" t="str">
        <f>"700065"</f>
        <v>700065</v>
      </c>
      <c r="H933" t="str">
        <f>"אלתא מערכות בע""מ"</f>
        <v>אלתא מערכות בע"מ</v>
      </c>
      <c r="I933" t="str">
        <f>"15"</f>
        <v>15</v>
      </c>
      <c r="J933" t="str">
        <f>"OP-AR03308"</f>
        <v>OP-AR03308</v>
      </c>
      <c r="K933" t="str">
        <f>"1035C345-003    HARNESS 3W045 - COMM. FROM RSU TO SPR AN"</f>
        <v>1035C345-003    HARNESS 3W045 - COMM. FROM RSU TO SPR AN</v>
      </c>
      <c r="L933">
        <v>2</v>
      </c>
      <c r="M933" t="str">
        <f>"יח"</f>
        <v>יח</v>
      </c>
      <c r="N933">
        <v>2</v>
      </c>
      <c r="O933" t="str">
        <f>"יח"</f>
        <v>יח</v>
      </c>
      <c r="P933" s="2">
        <v>1199.99</v>
      </c>
      <c r="Q933" t="str">
        <f>"$"</f>
        <v>$</v>
      </c>
      <c r="R933" t="str">
        <f>"הזמנה"</f>
        <v>הזמנה</v>
      </c>
      <c r="S933">
        <v>0</v>
      </c>
      <c r="T933" s="2">
        <v>2399.98</v>
      </c>
      <c r="U933">
        <v>0</v>
      </c>
      <c r="V933" s="2">
        <v>2399.98</v>
      </c>
      <c r="W933" t="str">
        <f>"$"</f>
        <v>$</v>
      </c>
      <c r="X933">
        <v>0</v>
      </c>
      <c r="Y933">
        <v>0</v>
      </c>
      <c r="Z933">
        <v>0</v>
      </c>
      <c r="AA933" t="str">
        <f>"Y"</f>
        <v>Y</v>
      </c>
      <c r="AB933" t="str">
        <f>"SO22000346"</f>
        <v>SO22000346</v>
      </c>
      <c r="AC933">
        <v>32</v>
      </c>
      <c r="AD933" s="1">
        <v>44802</v>
      </c>
      <c r="AE933" t="str">
        <f>"SH23000227"</f>
        <v>SH23000227</v>
      </c>
      <c r="AF933" t="str">
        <f>"משלוחים ללקוח"</f>
        <v>משלוחים ללקוח</v>
      </c>
      <c r="AG933" s="1">
        <v>44971</v>
      </c>
      <c r="AM933" t="str">
        <f>"10"</f>
        <v>10</v>
      </c>
      <c r="AN933" t="str">
        <f>"500000"</f>
        <v>500000</v>
      </c>
      <c r="AO933" t="str">
        <f>"הכנסות  מלקוחות"</f>
        <v>הכנסות  מלקוחות</v>
      </c>
      <c r="AQ933" t="str">
        <f>"040"</f>
        <v>040</v>
      </c>
      <c r="AR933">
        <v>0</v>
      </c>
      <c r="AS933">
        <v>0</v>
      </c>
      <c r="AT933">
        <v>3.6360000000000001</v>
      </c>
      <c r="AX933" t="str">
        <f>"E000372162"</f>
        <v>E000372162</v>
      </c>
      <c r="BD933" t="str">
        <f>"רחמים זרוק"</f>
        <v>רחמים זרוק</v>
      </c>
    </row>
    <row r="934" spans="1:56" x14ac:dyDescent="0.3">
      <c r="A934" s="1">
        <v>44986</v>
      </c>
      <c r="B934" t="str">
        <f>"SI236000416"</f>
        <v>SI236000416</v>
      </c>
      <c r="C934" t="str">
        <f>"PR22000552"</f>
        <v>PR22000552</v>
      </c>
      <c r="E934" t="str">
        <f>"Y"</f>
        <v>Y</v>
      </c>
      <c r="F934" t="str">
        <f>"חשבוניות מרכזות"</f>
        <v>חשבוניות מרכזות</v>
      </c>
      <c r="G934" t="str">
        <f>"700065"</f>
        <v>700065</v>
      </c>
      <c r="H934" t="str">
        <f>"אלתא מערכות בע""מ"</f>
        <v>אלתא מערכות בע"מ</v>
      </c>
      <c r="I934" t="str">
        <f>"15"</f>
        <v>15</v>
      </c>
      <c r="J934" t="str">
        <f>"OP-AR03225"</f>
        <v>OP-AR03225</v>
      </c>
      <c r="K934" t="str">
        <f>"6950A162-001    HARNESS WM02 - CU TO ANTENNA RIGHT AFT"</f>
        <v>6950A162-001    HARNESS WM02 - CU TO ANTENNA RIGHT AFT</v>
      </c>
      <c r="L934">
        <v>2</v>
      </c>
      <c r="M934" t="str">
        <f>"יח"</f>
        <v>יח</v>
      </c>
      <c r="N934">
        <v>2</v>
      </c>
      <c r="O934" t="str">
        <f>"יח"</f>
        <v>יח</v>
      </c>
      <c r="P934" s="2">
        <v>1302.52</v>
      </c>
      <c r="Q934" t="str">
        <f>"$"</f>
        <v>$</v>
      </c>
      <c r="R934" t="str">
        <f>"הזמנה"</f>
        <v>הזמנה</v>
      </c>
      <c r="S934">
        <v>0</v>
      </c>
      <c r="T934" s="2">
        <v>2605.04</v>
      </c>
      <c r="U934">
        <v>0</v>
      </c>
      <c r="V934" s="2">
        <v>2605.04</v>
      </c>
      <c r="W934" t="str">
        <f>"$"</f>
        <v>$</v>
      </c>
      <c r="X934">
        <v>0</v>
      </c>
      <c r="Y934">
        <v>0</v>
      </c>
      <c r="Z934">
        <v>0</v>
      </c>
      <c r="AA934" t="str">
        <f>"Y"</f>
        <v>Y</v>
      </c>
      <c r="AC934">
        <v>0</v>
      </c>
      <c r="AM934" t="str">
        <f>"10"</f>
        <v>10</v>
      </c>
      <c r="AN934" t="str">
        <f>"500000"</f>
        <v>500000</v>
      </c>
      <c r="AO934" t="str">
        <f>"הכנסות  מלקוחות"</f>
        <v>הכנסות  מלקוחות</v>
      </c>
      <c r="AQ934" t="str">
        <f>"040"</f>
        <v>040</v>
      </c>
      <c r="AR934">
        <v>0</v>
      </c>
      <c r="AS934">
        <v>0</v>
      </c>
      <c r="AT934">
        <v>3.6360000000000001</v>
      </c>
      <c r="BB934" t="str">
        <f>"Y"</f>
        <v>Y</v>
      </c>
      <c r="BD934" t="str">
        <f>"רחמים זרוק"</f>
        <v>רחמים זרוק</v>
      </c>
    </row>
    <row r="935" spans="1:56" x14ac:dyDescent="0.3">
      <c r="A935" s="1">
        <v>44986</v>
      </c>
      <c r="B935" t="str">
        <f>"SI236000416"</f>
        <v>SI236000416</v>
      </c>
      <c r="C935" t="str">
        <f>"PR22000552"</f>
        <v>PR22000552</v>
      </c>
      <c r="E935" t="str">
        <f>"Y"</f>
        <v>Y</v>
      </c>
      <c r="F935" t="str">
        <f>"חשבוניות מרכזות"</f>
        <v>חשבוניות מרכזות</v>
      </c>
      <c r="G935" t="str">
        <f>"700065"</f>
        <v>700065</v>
      </c>
      <c r="H935" t="str">
        <f>"אלתא מערכות בע""מ"</f>
        <v>אלתא מערכות בע"מ</v>
      </c>
      <c r="I935" t="str">
        <f>"15"</f>
        <v>15</v>
      </c>
      <c r="J935" t="str">
        <f>"OP-AR03226"</f>
        <v>OP-AR03226</v>
      </c>
      <c r="K935" t="str">
        <f>"6950A163-001    HARNESS WM03 - CU TO ANTENNA LEFT AFT"</f>
        <v>6950A163-001    HARNESS WM03 - CU TO ANTENNA LEFT AFT</v>
      </c>
      <c r="L935">
        <v>2</v>
      </c>
      <c r="M935" t="str">
        <f>"יח"</f>
        <v>יח</v>
      </c>
      <c r="N935">
        <v>2</v>
      </c>
      <c r="O935" t="str">
        <f>"יח"</f>
        <v>יח</v>
      </c>
      <c r="P935" s="2">
        <v>1302.52</v>
      </c>
      <c r="Q935" t="str">
        <f>"$"</f>
        <v>$</v>
      </c>
      <c r="R935" t="str">
        <f>"הזמנה"</f>
        <v>הזמנה</v>
      </c>
      <c r="S935">
        <v>0</v>
      </c>
      <c r="T935" s="2">
        <v>2605.04</v>
      </c>
      <c r="U935">
        <v>0</v>
      </c>
      <c r="V935" s="2">
        <v>2605.04</v>
      </c>
      <c r="W935" t="str">
        <f>"$"</f>
        <v>$</v>
      </c>
      <c r="X935">
        <v>0</v>
      </c>
      <c r="Y935">
        <v>0</v>
      </c>
      <c r="Z935">
        <v>0</v>
      </c>
      <c r="AA935" t="str">
        <f>"Y"</f>
        <v>Y</v>
      </c>
      <c r="AC935">
        <v>0</v>
      </c>
      <c r="AM935" t="str">
        <f>"10"</f>
        <v>10</v>
      </c>
      <c r="AN935" t="str">
        <f>"500000"</f>
        <v>500000</v>
      </c>
      <c r="AO935" t="str">
        <f>"הכנסות  מלקוחות"</f>
        <v>הכנסות  מלקוחות</v>
      </c>
      <c r="AQ935" t="str">
        <f>"040"</f>
        <v>040</v>
      </c>
      <c r="AR935">
        <v>0</v>
      </c>
      <c r="AS935">
        <v>0</v>
      </c>
      <c r="AT935">
        <v>3.6360000000000001</v>
      </c>
      <c r="BB935" t="str">
        <f>"Y"</f>
        <v>Y</v>
      </c>
      <c r="BD935" t="str">
        <f>"רחמים זרוק"</f>
        <v>רחמים זרוק</v>
      </c>
    </row>
    <row r="936" spans="1:56" x14ac:dyDescent="0.3">
      <c r="A936" s="1">
        <v>44986</v>
      </c>
      <c r="B936" t="str">
        <f>"SI236000416"</f>
        <v>SI236000416</v>
      </c>
      <c r="C936" t="str">
        <f>"PR22000552"</f>
        <v>PR22000552</v>
      </c>
      <c r="E936" t="str">
        <f>"Y"</f>
        <v>Y</v>
      </c>
      <c r="F936" t="str">
        <f>"חשבוניות מרכזות"</f>
        <v>חשבוניות מרכזות</v>
      </c>
      <c r="G936" t="str">
        <f>"700065"</f>
        <v>700065</v>
      </c>
      <c r="H936" t="str">
        <f>"אלתא מערכות בע""מ"</f>
        <v>אלתא מערכות בע"מ</v>
      </c>
      <c r="I936" t="str">
        <f>"15"</f>
        <v>15</v>
      </c>
      <c r="J936" t="str">
        <f>"OP-AR03229"</f>
        <v>OP-AR03229</v>
      </c>
      <c r="K936" t="str">
        <f>"6950A166-001    HARNESS WM06 - CU TO ANTENNA RIGHT AFT ("</f>
        <v>6950A166-001    HARNESS WM06 - CU TO ANTENNA RIGHT AFT (</v>
      </c>
      <c r="L936">
        <v>6</v>
      </c>
      <c r="M936" t="str">
        <f>"יח"</f>
        <v>יח</v>
      </c>
      <c r="N936">
        <v>6</v>
      </c>
      <c r="O936" t="str">
        <f>"יח"</f>
        <v>יח</v>
      </c>
      <c r="P936" s="2">
        <v>1749.04</v>
      </c>
      <c r="Q936" t="str">
        <f>"$"</f>
        <v>$</v>
      </c>
      <c r="R936" t="str">
        <f>"הזמנה"</f>
        <v>הזמנה</v>
      </c>
      <c r="S936">
        <v>0</v>
      </c>
      <c r="T936" s="2">
        <v>10494.24</v>
      </c>
      <c r="U936">
        <v>0</v>
      </c>
      <c r="V936" s="2">
        <v>10494.24</v>
      </c>
      <c r="W936" t="str">
        <f>"$"</f>
        <v>$</v>
      </c>
      <c r="X936">
        <v>0</v>
      </c>
      <c r="Y936">
        <v>0</v>
      </c>
      <c r="Z936">
        <v>0</v>
      </c>
      <c r="AA936" t="str">
        <f>"Y"</f>
        <v>Y</v>
      </c>
      <c r="AC936">
        <v>0</v>
      </c>
      <c r="AM936" t="str">
        <f>"10"</f>
        <v>10</v>
      </c>
      <c r="AN936" t="str">
        <f>"500000"</f>
        <v>500000</v>
      </c>
      <c r="AO936" t="str">
        <f>"הכנסות  מלקוחות"</f>
        <v>הכנסות  מלקוחות</v>
      </c>
      <c r="AQ936" t="str">
        <f>"040"</f>
        <v>040</v>
      </c>
      <c r="AR936">
        <v>0</v>
      </c>
      <c r="AS936">
        <v>0</v>
      </c>
      <c r="AT936">
        <v>3.6360000000000001</v>
      </c>
      <c r="BB936" t="str">
        <f>"Y"</f>
        <v>Y</v>
      </c>
      <c r="BD936" t="str">
        <f>"רחמים זרוק"</f>
        <v>רחמים זרוק</v>
      </c>
    </row>
    <row r="937" spans="1:56" x14ac:dyDescent="0.3">
      <c r="A937" s="1">
        <v>44986</v>
      </c>
      <c r="B937" t="str">
        <f>"SI236000416"</f>
        <v>SI236000416</v>
      </c>
      <c r="C937" t="str">
        <f>"PR22000552"</f>
        <v>PR22000552</v>
      </c>
      <c r="E937" t="str">
        <f>"Y"</f>
        <v>Y</v>
      </c>
      <c r="F937" t="str">
        <f>"חשבוניות מרכזות"</f>
        <v>חשבוניות מרכזות</v>
      </c>
      <c r="G937" t="str">
        <f>"700065"</f>
        <v>700065</v>
      </c>
      <c r="H937" t="str">
        <f>"אלתא מערכות בע""מ"</f>
        <v>אלתא מערכות בע"מ</v>
      </c>
      <c r="I937" t="str">
        <f>"15"</f>
        <v>15</v>
      </c>
      <c r="J937" t="str">
        <f>"OP-AR03235"</f>
        <v>OP-AR03235</v>
      </c>
      <c r="K937" t="str">
        <f>"6950A185-001    HARNESS W185 - MCU - P6 REFAEL"</f>
        <v>6950A185-001    HARNESS W185 - MCU - P6 REFAEL</v>
      </c>
      <c r="L937">
        <v>2</v>
      </c>
      <c r="M937" t="str">
        <f>"יח"</f>
        <v>יח</v>
      </c>
      <c r="N937">
        <v>2</v>
      </c>
      <c r="O937" t="str">
        <f>"יח"</f>
        <v>יח</v>
      </c>
      <c r="P937">
        <v>879.71</v>
      </c>
      <c r="Q937" t="str">
        <f>"$"</f>
        <v>$</v>
      </c>
      <c r="R937" t="str">
        <f>"הזמנה"</f>
        <v>הזמנה</v>
      </c>
      <c r="S937">
        <v>0</v>
      </c>
      <c r="T937" s="2">
        <v>1759.42</v>
      </c>
      <c r="U937">
        <v>0</v>
      </c>
      <c r="V937" s="2">
        <v>1759.42</v>
      </c>
      <c r="W937" t="str">
        <f>"$"</f>
        <v>$</v>
      </c>
      <c r="X937">
        <v>0</v>
      </c>
      <c r="Y937">
        <v>0</v>
      </c>
      <c r="Z937">
        <v>0</v>
      </c>
      <c r="AA937" t="str">
        <f>"Y"</f>
        <v>Y</v>
      </c>
      <c r="AC937">
        <v>0</v>
      </c>
      <c r="AM937" t="str">
        <f>"10"</f>
        <v>10</v>
      </c>
      <c r="AN937" t="str">
        <f>"500000"</f>
        <v>500000</v>
      </c>
      <c r="AO937" t="str">
        <f>"הכנסות  מלקוחות"</f>
        <v>הכנסות  מלקוחות</v>
      </c>
      <c r="AQ937" t="str">
        <f>"040"</f>
        <v>040</v>
      </c>
      <c r="AR937">
        <v>0</v>
      </c>
      <c r="AS937">
        <v>0</v>
      </c>
      <c r="AT937">
        <v>3.6360000000000001</v>
      </c>
      <c r="BB937" t="str">
        <f>"Y"</f>
        <v>Y</v>
      </c>
      <c r="BD937" t="str">
        <f>"רחמים זרוק"</f>
        <v>רחמים זרוק</v>
      </c>
    </row>
    <row r="938" spans="1:56" x14ac:dyDescent="0.3">
      <c r="A938" s="1">
        <v>44986</v>
      </c>
      <c r="B938" t="str">
        <f>"SI236000413"</f>
        <v>SI236000413</v>
      </c>
      <c r="C938" t="str">
        <f>"PR22000045"</f>
        <v>PR22000045</v>
      </c>
      <c r="D938" t="str">
        <f>"PR22000045"</f>
        <v>PR22000045</v>
      </c>
      <c r="E938" t="str">
        <f>"Y"</f>
        <v>Y</v>
      </c>
      <c r="F938" t="str">
        <f>"חשבוניות מרכזות"</f>
        <v>חשבוניות מרכזות</v>
      </c>
      <c r="G938" t="str">
        <f>"700065"</f>
        <v>700065</v>
      </c>
      <c r="H938" t="str">
        <f>"אלתא מערכות בע""מ"</f>
        <v>אלתא מערכות בע"מ</v>
      </c>
      <c r="I938" t="str">
        <f>"10"</f>
        <v>10</v>
      </c>
      <c r="J938" t="str">
        <f>"OP-AR02925"</f>
        <v>OP-AR02925</v>
      </c>
      <c r="K938" t="str">
        <f>"9002H703-001   HARNESS W5703 - POD RP-ANT-LVCS INTERFAC"</f>
        <v>9002H703-001   HARNESS W5703 - POD RP-ANT-LVCS INTERFAC</v>
      </c>
      <c r="L938">
        <v>2</v>
      </c>
      <c r="M938" t="str">
        <f>"יח"</f>
        <v>יח</v>
      </c>
      <c r="N938">
        <v>2</v>
      </c>
      <c r="O938" t="str">
        <f>"יח"</f>
        <v>יח</v>
      </c>
      <c r="P938" s="2">
        <v>1306.77</v>
      </c>
      <c r="Q938" t="str">
        <f>"$"</f>
        <v>$</v>
      </c>
      <c r="R938" t="str">
        <f>"הזמנה"</f>
        <v>הזמנה</v>
      </c>
      <c r="S938">
        <v>0</v>
      </c>
      <c r="T938" s="2">
        <v>2613.54</v>
      </c>
      <c r="U938">
        <v>0</v>
      </c>
      <c r="V938" s="2">
        <v>2613.54</v>
      </c>
      <c r="W938" t="str">
        <f>"$"</f>
        <v>$</v>
      </c>
      <c r="X938">
        <v>0</v>
      </c>
      <c r="Y938">
        <v>0</v>
      </c>
      <c r="Z938">
        <v>0</v>
      </c>
      <c r="AA938" t="str">
        <f>"Y"</f>
        <v>Y</v>
      </c>
      <c r="AB938" t="str">
        <f>"SO22000033"</f>
        <v>SO22000033</v>
      </c>
      <c r="AC938">
        <v>7</v>
      </c>
      <c r="AD938" s="1">
        <v>44591</v>
      </c>
      <c r="AE938" t="str">
        <f>"SH22000903"</f>
        <v>SH22000903</v>
      </c>
      <c r="AF938" t="str">
        <f>"משלוחים ללקוח"</f>
        <v>משלוחים ללקוח</v>
      </c>
      <c r="AG938" s="1">
        <v>44770</v>
      </c>
      <c r="AM938" t="str">
        <f>"10"</f>
        <v>10</v>
      </c>
      <c r="AN938" t="str">
        <f>"500000"</f>
        <v>500000</v>
      </c>
      <c r="AO938" t="str">
        <f>"הכנסות  מלקוחות"</f>
        <v>הכנסות  מלקוחות</v>
      </c>
      <c r="AQ938" t="str">
        <f>"040"</f>
        <v>040</v>
      </c>
      <c r="AR938">
        <v>0</v>
      </c>
      <c r="AS938">
        <v>0</v>
      </c>
      <c r="AT938">
        <v>3.6360000000000001</v>
      </c>
      <c r="AX938" t="str">
        <f>"E000355431"</f>
        <v>E000355431</v>
      </c>
      <c r="BD938" t="str">
        <f>"רחמים זרוק"</f>
        <v>רחמים זרוק</v>
      </c>
    </row>
    <row r="939" spans="1:56" x14ac:dyDescent="0.3">
      <c r="A939" s="1">
        <v>44986</v>
      </c>
      <c r="B939" t="str">
        <f>"SI236000412"</f>
        <v>SI236000412</v>
      </c>
      <c r="C939" t="str">
        <f>"PR20000358"</f>
        <v>PR20000358</v>
      </c>
      <c r="E939" t="str">
        <f>"Y"</f>
        <v>Y</v>
      </c>
      <c r="F939" t="str">
        <f>"חשבוניות מרכזות"</f>
        <v>חשבוניות מרכזות</v>
      </c>
      <c r="G939" t="str">
        <f>"700065"</f>
        <v>700065</v>
      </c>
      <c r="H939" t="str">
        <f>"אלתא מערכות בע""מ"</f>
        <v>אלתא מערכות בע"מ</v>
      </c>
      <c r="I939" t="str">
        <f>"10"</f>
        <v>10</v>
      </c>
      <c r="J939" t="str">
        <f>"000"</f>
        <v>000</v>
      </c>
      <c r="K939" t="str">
        <f>"תוספות לRPU עבור הזמנה E000312785"</f>
        <v>תוספות לRPU עבור הזמנה E000312785</v>
      </c>
      <c r="L939">
        <v>1</v>
      </c>
      <c r="M939" t="str">
        <f>"יח"</f>
        <v>יח</v>
      </c>
      <c r="N939">
        <v>1</v>
      </c>
      <c r="O939" t="str">
        <f>"יח"</f>
        <v>יח</v>
      </c>
      <c r="P939" s="2">
        <v>13600</v>
      </c>
      <c r="Q939" t="str">
        <f>"$"</f>
        <v>$</v>
      </c>
      <c r="R939" t="str">
        <f>"הזמנה"</f>
        <v>הזמנה</v>
      </c>
      <c r="S939">
        <v>0</v>
      </c>
      <c r="T939" s="2">
        <v>13600</v>
      </c>
      <c r="U939">
        <v>0</v>
      </c>
      <c r="V939" s="2">
        <v>13600</v>
      </c>
      <c r="W939" t="str">
        <f>"$"</f>
        <v>$</v>
      </c>
      <c r="X939">
        <v>0</v>
      </c>
      <c r="Y939">
        <v>0</v>
      </c>
      <c r="Z939">
        <v>0</v>
      </c>
      <c r="AA939" t="str">
        <f>"Y"</f>
        <v>Y</v>
      </c>
      <c r="AB939" t="str">
        <f>"SO21000055"</f>
        <v>SO21000055</v>
      </c>
      <c r="AC939">
        <v>23</v>
      </c>
      <c r="AD939" s="1">
        <v>44228</v>
      </c>
      <c r="AE939" t="str">
        <f>"SH22000824"</f>
        <v>SH22000824</v>
      </c>
      <c r="AF939" t="str">
        <f>"משלוחים ללקוח"</f>
        <v>משלוחים ללקוח</v>
      </c>
      <c r="AG939" s="1">
        <v>44753</v>
      </c>
      <c r="AM939" t="str">
        <f>"10"</f>
        <v>10</v>
      </c>
      <c r="AN939" t="str">
        <f>"500000"</f>
        <v>500000</v>
      </c>
      <c r="AO939" t="str">
        <f>"הכנסות  מלקוחות"</f>
        <v>הכנסות  מלקוחות</v>
      </c>
      <c r="AQ939" t="str">
        <f>"034"</f>
        <v>034</v>
      </c>
      <c r="AR939">
        <v>0</v>
      </c>
      <c r="AS939">
        <v>0</v>
      </c>
      <c r="AT939">
        <v>3.6360000000000001</v>
      </c>
      <c r="AX939" t="str">
        <f>"E000331489"</f>
        <v>E000331489</v>
      </c>
      <c r="BD939" t="str">
        <f>"ערן שלו"</f>
        <v>ערן שלו</v>
      </c>
    </row>
    <row r="940" spans="1:56" x14ac:dyDescent="0.3">
      <c r="A940" s="1">
        <v>44986</v>
      </c>
      <c r="B940" t="str">
        <f>"SI236000412"</f>
        <v>SI236000412</v>
      </c>
      <c r="C940" t="str">
        <f>"PR20000358"</f>
        <v>PR20000358</v>
      </c>
      <c r="E940" t="str">
        <f>"Y"</f>
        <v>Y</v>
      </c>
      <c r="F940" t="str">
        <f>"חשבוניות מרכזות"</f>
        <v>חשבוניות מרכזות</v>
      </c>
      <c r="G940" t="str">
        <f>"700065"</f>
        <v>700065</v>
      </c>
      <c r="H940" t="str">
        <f>"אלתא מערכות בע""מ"</f>
        <v>אלתא מערכות בע"מ</v>
      </c>
      <c r="I940" t="str">
        <f>"10"</f>
        <v>10</v>
      </c>
      <c r="J940" t="str">
        <f>"PA1001579"</f>
        <v>PA1001579</v>
      </c>
      <c r="K940" t="str">
        <f>"CONN ELEC PLUG  GTC06LC40-5S(A57)"</f>
        <v>CONN ELEC PLUG  GTC06LC40-5S(A57)</v>
      </c>
      <c r="L940">
        <v>8</v>
      </c>
      <c r="M940" t="str">
        <f>"יח"</f>
        <v>יח</v>
      </c>
      <c r="N940">
        <v>8</v>
      </c>
      <c r="O940" t="str">
        <f>"יח"</f>
        <v>יח</v>
      </c>
      <c r="P940">
        <v>0</v>
      </c>
      <c r="Q940" t="str">
        <f>"$"</f>
        <v>$</v>
      </c>
      <c r="R940" t="str">
        <f>"הזמנה"</f>
        <v>הזמנה</v>
      </c>
      <c r="S940">
        <v>0</v>
      </c>
      <c r="T940">
        <v>0</v>
      </c>
      <c r="U940">
        <v>0</v>
      </c>
      <c r="V940">
        <v>0</v>
      </c>
      <c r="W940" t="str">
        <f>"$"</f>
        <v>$</v>
      </c>
      <c r="X940">
        <v>0</v>
      </c>
      <c r="Y940">
        <v>0</v>
      </c>
      <c r="Z940">
        <v>0</v>
      </c>
      <c r="AA940" t="str">
        <f>"Y"</f>
        <v>Y</v>
      </c>
      <c r="AB940" t="str">
        <f>"SO21000055"</f>
        <v>SO21000055</v>
      </c>
      <c r="AC940">
        <v>26</v>
      </c>
      <c r="AD940" s="1">
        <v>44228</v>
      </c>
      <c r="AE940" t="str">
        <f>"SH22000824"</f>
        <v>SH22000824</v>
      </c>
      <c r="AF940" t="str">
        <f>"משלוחים ללקוח"</f>
        <v>משלוחים ללקוח</v>
      </c>
      <c r="AG940" s="1">
        <v>44753</v>
      </c>
      <c r="AM940" t="str">
        <f>"10"</f>
        <v>10</v>
      </c>
      <c r="AN940" t="str">
        <f>"500000"</f>
        <v>500000</v>
      </c>
      <c r="AO940" t="str">
        <f>"הכנסות  מלקוחות"</f>
        <v>הכנסות  מלקוחות</v>
      </c>
      <c r="AQ940" t="str">
        <f>"034"</f>
        <v>034</v>
      </c>
      <c r="AR940">
        <v>0</v>
      </c>
      <c r="AS940">
        <v>0</v>
      </c>
      <c r="AT940">
        <v>3.6360000000000001</v>
      </c>
      <c r="AX940" t="str">
        <f>"E000331489"</f>
        <v>E000331489</v>
      </c>
      <c r="BD940" t="str">
        <f>"ערן שלו"</f>
        <v>ערן שלו</v>
      </c>
    </row>
    <row r="941" spans="1:56" x14ac:dyDescent="0.3">
      <c r="A941" s="1">
        <v>44986</v>
      </c>
      <c r="B941" t="str">
        <f>"SI236000412"</f>
        <v>SI236000412</v>
      </c>
      <c r="C941" t="str">
        <f>"PR20000358"</f>
        <v>PR20000358</v>
      </c>
      <c r="E941" t="str">
        <f>"Y"</f>
        <v>Y</v>
      </c>
      <c r="F941" t="str">
        <f>"חשבוניות מרכזות"</f>
        <v>חשבוניות מרכזות</v>
      </c>
      <c r="G941" t="str">
        <f>"700065"</f>
        <v>700065</v>
      </c>
      <c r="H941" t="str">
        <f>"אלתא מערכות בע""מ"</f>
        <v>אלתא מערכות בע"מ</v>
      </c>
      <c r="I941" t="str">
        <f>"10"</f>
        <v>10</v>
      </c>
      <c r="J941" t="str">
        <f>"PA1001922"</f>
        <v>PA1001922</v>
      </c>
      <c r="K941" t="str">
        <f>"פלג תעופתי GTC030R40-5P"</f>
        <v>פלג תעופתי GTC030R40-5P</v>
      </c>
      <c r="L941">
        <v>8</v>
      </c>
      <c r="M941" t="str">
        <f>"יח"</f>
        <v>יח</v>
      </c>
      <c r="N941">
        <v>8</v>
      </c>
      <c r="O941" t="str">
        <f>"יח"</f>
        <v>יח</v>
      </c>
      <c r="P941">
        <v>0</v>
      </c>
      <c r="Q941" t="str">
        <f>"$"</f>
        <v>$</v>
      </c>
      <c r="R941" t="str">
        <f>"הזמנה"</f>
        <v>הזמנה</v>
      </c>
      <c r="S941">
        <v>0</v>
      </c>
      <c r="T941">
        <v>0</v>
      </c>
      <c r="U941">
        <v>0</v>
      </c>
      <c r="V941">
        <v>0</v>
      </c>
      <c r="W941" t="str">
        <f>"$"</f>
        <v>$</v>
      </c>
      <c r="X941">
        <v>0</v>
      </c>
      <c r="Y941">
        <v>0</v>
      </c>
      <c r="Z941">
        <v>0</v>
      </c>
      <c r="AA941" t="str">
        <f>"Y"</f>
        <v>Y</v>
      </c>
      <c r="AB941" t="str">
        <f>"SO21000055"</f>
        <v>SO21000055</v>
      </c>
      <c r="AC941">
        <v>27</v>
      </c>
      <c r="AD941" s="1">
        <v>44228</v>
      </c>
      <c r="AE941" t="str">
        <f>"SH22000824"</f>
        <v>SH22000824</v>
      </c>
      <c r="AF941" t="str">
        <f>"משלוחים ללקוח"</f>
        <v>משלוחים ללקוח</v>
      </c>
      <c r="AG941" s="1">
        <v>44753</v>
      </c>
      <c r="AM941" t="str">
        <f>"10"</f>
        <v>10</v>
      </c>
      <c r="AN941" t="str">
        <f>"500000"</f>
        <v>500000</v>
      </c>
      <c r="AO941" t="str">
        <f>"הכנסות  מלקוחות"</f>
        <v>הכנסות  מלקוחות</v>
      </c>
      <c r="AQ941" t="str">
        <f>"034"</f>
        <v>034</v>
      </c>
      <c r="AR941">
        <v>0</v>
      </c>
      <c r="AS941">
        <v>0</v>
      </c>
      <c r="AT941">
        <v>3.6360000000000001</v>
      </c>
      <c r="AX941" t="str">
        <f>"E000331489"</f>
        <v>E000331489</v>
      </c>
      <c r="BD941" t="str">
        <f>"ערן שלו"</f>
        <v>ערן שלו</v>
      </c>
    </row>
    <row r="942" spans="1:56" x14ac:dyDescent="0.3">
      <c r="A942" s="1">
        <v>44985</v>
      </c>
      <c r="B942" t="str">
        <f>"SI236000303"</f>
        <v>SI236000303</v>
      </c>
      <c r="C942" t="str">
        <f>"PR22000199"</f>
        <v>PR22000199</v>
      </c>
      <c r="E942" t="str">
        <f>"Y"</f>
        <v>Y</v>
      </c>
      <c r="F942" t="str">
        <f>"חשבוניות מרכזות"</f>
        <v>חשבוניות מרכזות</v>
      </c>
      <c r="G942" t="str">
        <f>"700065"</f>
        <v>700065</v>
      </c>
      <c r="H942" t="str">
        <f>"אלתא מערכות בע""מ"</f>
        <v>אלתא מערכות בע"מ</v>
      </c>
      <c r="I942" t="str">
        <f>"05"</f>
        <v>05</v>
      </c>
      <c r="J942" t="str">
        <f>"OP-AR03243"</f>
        <v>OP-AR03243</v>
      </c>
      <c r="K942" t="str">
        <f>"320VDC 96KW SYSTEM"</f>
        <v>320VDC 96KW SYSTEM</v>
      </c>
      <c r="L942">
        <v>1</v>
      </c>
      <c r="M942" t="str">
        <f>"יח"</f>
        <v>יח</v>
      </c>
      <c r="N942">
        <v>1</v>
      </c>
      <c r="O942" t="str">
        <f>"יח"</f>
        <v>יח</v>
      </c>
      <c r="P942" s="2">
        <v>37528</v>
      </c>
      <c r="Q942" t="str">
        <f>"$"</f>
        <v>$</v>
      </c>
      <c r="R942" t="str">
        <f>"ידני"</f>
        <v>ידני</v>
      </c>
      <c r="S942">
        <v>0</v>
      </c>
      <c r="T942" s="2">
        <v>37528</v>
      </c>
      <c r="U942">
        <v>0</v>
      </c>
      <c r="V942" s="2">
        <v>37528</v>
      </c>
      <c r="W942" t="str">
        <f>"$"</f>
        <v>$</v>
      </c>
      <c r="X942">
        <v>0</v>
      </c>
      <c r="Y942">
        <v>0</v>
      </c>
      <c r="Z942">
        <v>0</v>
      </c>
      <c r="AA942" t="str">
        <f>"Y"</f>
        <v>Y</v>
      </c>
      <c r="AB942" t="str">
        <f>"SO22000082"</f>
        <v>SO22000082</v>
      </c>
      <c r="AC942">
        <v>4</v>
      </c>
      <c r="AD942" s="1">
        <v>44622</v>
      </c>
      <c r="AE942" t="str">
        <f>"SH23000268"</f>
        <v>SH23000268</v>
      </c>
      <c r="AF942" t="str">
        <f>"משלוחים ללקוח"</f>
        <v>משלוחים ללקוח</v>
      </c>
      <c r="AG942" s="1">
        <v>44979</v>
      </c>
      <c r="AM942" t="str">
        <f>"10"</f>
        <v>10</v>
      </c>
      <c r="AN942" t="str">
        <f>"500000"</f>
        <v>500000</v>
      </c>
      <c r="AO942" t="str">
        <f>"הכנסות  מלקוחות"</f>
        <v>הכנסות  מלקוחות</v>
      </c>
      <c r="AQ942" t="str">
        <f>"034"</f>
        <v>034</v>
      </c>
      <c r="AR942">
        <v>0</v>
      </c>
      <c r="AS942">
        <v>0</v>
      </c>
      <c r="AT942">
        <v>3.6680000000000001</v>
      </c>
      <c r="AX942" t="str">
        <f>"E000358717"</f>
        <v>E000358717</v>
      </c>
      <c r="BD942" t="str">
        <f>"ערן שלו"</f>
        <v>ערן שלו</v>
      </c>
    </row>
    <row r="943" spans="1:56" x14ac:dyDescent="0.3">
      <c r="A943" s="1">
        <v>44983</v>
      </c>
      <c r="B943" t="str">
        <f>"SI236000281"</f>
        <v>SI236000281</v>
      </c>
      <c r="E943" t="str">
        <f>"Y"</f>
        <v>Y</v>
      </c>
      <c r="F943" t="str">
        <f>"חשבוניות מרכזות"</f>
        <v>חשבוניות מרכזות</v>
      </c>
      <c r="G943" t="str">
        <f>"700065"</f>
        <v>700065</v>
      </c>
      <c r="H943" t="str">
        <f>"אלתא מערכות בע""מ"</f>
        <v>אלתא מערכות בע"מ</v>
      </c>
      <c r="I943" t="str">
        <f>"10"</f>
        <v>10</v>
      </c>
      <c r="J943" t="str">
        <f>"000"</f>
        <v>000</v>
      </c>
      <c r="K943" t="str">
        <f>"תוספות לRPU עבור הזמנה E000312785 בקרה"</f>
        <v>תוספות לRPU עבור הזמנה E000312785 בקרה</v>
      </c>
      <c r="L943">
        <v>1</v>
      </c>
      <c r="M943" t="str">
        <f>"יח"</f>
        <v>יח</v>
      </c>
      <c r="N943">
        <v>1</v>
      </c>
      <c r="O943" t="str">
        <f>"יח"</f>
        <v>יח</v>
      </c>
      <c r="P943" s="2">
        <v>32780</v>
      </c>
      <c r="Q943" t="str">
        <f>"$"</f>
        <v>$</v>
      </c>
      <c r="R943" t="str">
        <f>"הזמנה"</f>
        <v>הזמנה</v>
      </c>
      <c r="S943">
        <v>0</v>
      </c>
      <c r="T943" s="2">
        <v>32780</v>
      </c>
      <c r="U943">
        <v>0</v>
      </c>
      <c r="V943" s="2">
        <v>32780</v>
      </c>
      <c r="W943" t="str">
        <f>"$"</f>
        <v>$</v>
      </c>
      <c r="X943">
        <v>0</v>
      </c>
      <c r="Y943">
        <v>0</v>
      </c>
      <c r="Z943">
        <v>0</v>
      </c>
      <c r="AA943" t="str">
        <f>"Y"</f>
        <v>Y</v>
      </c>
      <c r="AB943" t="str">
        <f>"SO21000055"</f>
        <v>SO21000055</v>
      </c>
      <c r="AC943">
        <v>10</v>
      </c>
      <c r="AD943" s="1">
        <v>44228</v>
      </c>
      <c r="AM943" t="str">
        <f>"10"</f>
        <v>10</v>
      </c>
      <c r="AN943" t="str">
        <f>"500000"</f>
        <v>500000</v>
      </c>
      <c r="AO943" t="str">
        <f>"הכנסות  מלקוחות"</f>
        <v>הכנסות  מלקוחות</v>
      </c>
      <c r="AQ943" t="str">
        <f>"034"</f>
        <v>034</v>
      </c>
      <c r="AR943">
        <v>0</v>
      </c>
      <c r="AS943">
        <v>0</v>
      </c>
      <c r="AT943">
        <v>3.6589999999999998</v>
      </c>
      <c r="AX943" t="str">
        <f>"E000331489"</f>
        <v>E000331489</v>
      </c>
      <c r="BD943" t="str">
        <f>"ערן שלו"</f>
        <v>ערן שלו</v>
      </c>
    </row>
    <row r="944" spans="1:56" x14ac:dyDescent="0.3">
      <c r="A944" s="1">
        <v>44980</v>
      </c>
      <c r="B944" t="str">
        <f>"SI236000294"</f>
        <v>SI236000294</v>
      </c>
      <c r="C944" t="str">
        <f>"PR22000193"</f>
        <v>PR22000193</v>
      </c>
      <c r="D944" t="str">
        <f>"PR22000193"</f>
        <v>PR22000193</v>
      </c>
      <c r="E944" t="str">
        <f>"Y"</f>
        <v>Y</v>
      </c>
      <c r="F944" t="str">
        <f>"חשבוניות מרכזות"</f>
        <v>חשבוניות מרכזות</v>
      </c>
      <c r="G944" t="str">
        <f>"700065"</f>
        <v>700065</v>
      </c>
      <c r="H944" t="str">
        <f>"אלתא מערכות בע""מ"</f>
        <v>אלתא מערכות בע"מ</v>
      </c>
      <c r="I944" t="str">
        <f>"10"</f>
        <v>10</v>
      </c>
      <c r="J944" t="str">
        <f>"OP-KT00117"</f>
        <v>OP-KT00117</v>
      </c>
      <c r="K944" t="str">
        <f>"1038C865-001 - SPARE PARTS KIT FOR PDB1 MADR"</f>
        <v>1038C865-001 - SPARE PARTS KIT FOR PDB1 MADR</v>
      </c>
      <c r="L944">
        <v>1</v>
      </c>
      <c r="M944" t="str">
        <f>"יח"</f>
        <v>יח</v>
      </c>
      <c r="N944">
        <v>1</v>
      </c>
      <c r="O944" t="str">
        <f>"יח"</f>
        <v>יח</v>
      </c>
      <c r="P944" s="2">
        <v>4277</v>
      </c>
      <c r="Q944" t="str">
        <f>"$"</f>
        <v>$</v>
      </c>
      <c r="R944" t="str">
        <f>"הזמנה"</f>
        <v>הזמנה</v>
      </c>
      <c r="S944">
        <v>0</v>
      </c>
      <c r="T944" s="2">
        <v>4277</v>
      </c>
      <c r="U944">
        <v>0</v>
      </c>
      <c r="V944" s="2">
        <v>4277</v>
      </c>
      <c r="W944" t="str">
        <f>"$"</f>
        <v>$</v>
      </c>
      <c r="X944">
        <v>0</v>
      </c>
      <c r="Y944">
        <v>0</v>
      </c>
      <c r="Z944">
        <v>0</v>
      </c>
      <c r="AA944" t="str">
        <f>"Y"</f>
        <v>Y</v>
      </c>
      <c r="AB944" t="str">
        <f>"SO22000064"</f>
        <v>SO22000064</v>
      </c>
      <c r="AC944">
        <v>1</v>
      </c>
      <c r="AD944" s="1">
        <v>44614</v>
      </c>
      <c r="AE944" t="str">
        <f>"SH23000260"</f>
        <v>SH23000260</v>
      </c>
      <c r="AF944" t="str">
        <f>"משלוחים ללקוח"</f>
        <v>משלוחים ללקוח</v>
      </c>
      <c r="AG944" s="1">
        <v>44978</v>
      </c>
      <c r="AM944" t="str">
        <f>"10"</f>
        <v>10</v>
      </c>
      <c r="AN944" t="str">
        <f>"500000"</f>
        <v>500000</v>
      </c>
      <c r="AO944" t="str">
        <f>"הכנסות  מלקוחות"</f>
        <v>הכנסות  מלקוחות</v>
      </c>
      <c r="AQ944" t="str">
        <f>"034"</f>
        <v>034</v>
      </c>
      <c r="AR944">
        <v>0</v>
      </c>
      <c r="AS944">
        <v>0</v>
      </c>
      <c r="AT944">
        <v>3.613</v>
      </c>
      <c r="AX944" t="str">
        <f>"E000358714"</f>
        <v>E000358714</v>
      </c>
      <c r="BD944" t="str">
        <f>"ערן שלו"</f>
        <v>ערן שלו</v>
      </c>
    </row>
    <row r="945" spans="1:56" x14ac:dyDescent="0.3">
      <c r="A945" s="1">
        <v>44980</v>
      </c>
      <c r="B945" t="str">
        <f>"SI236000294"</f>
        <v>SI236000294</v>
      </c>
      <c r="C945" t="str">
        <f>"PR22000193"</f>
        <v>PR22000193</v>
      </c>
      <c r="D945" t="str">
        <f>"PR22000193"</f>
        <v>PR22000193</v>
      </c>
      <c r="E945" t="str">
        <f>"Y"</f>
        <v>Y</v>
      </c>
      <c r="F945" t="str">
        <f>"חשבוניות מרכזות"</f>
        <v>חשבוניות מרכזות</v>
      </c>
      <c r="G945" t="str">
        <f>"700065"</f>
        <v>700065</v>
      </c>
      <c r="H945" t="str">
        <f>"אלתא מערכות בע""מ"</f>
        <v>אלתא מערכות בע"מ</v>
      </c>
      <c r="I945" t="str">
        <f>"10"</f>
        <v>10</v>
      </c>
      <c r="J945" t="str">
        <f>"OP-KR00002"</f>
        <v>OP-KR00002</v>
      </c>
      <c r="K945" t="str">
        <f>"1038C875-001 - SPARE PARTS KIT FOR PDB2 MADR"</f>
        <v>1038C875-001 - SPARE PARTS KIT FOR PDB2 MADR</v>
      </c>
      <c r="L945">
        <v>1</v>
      </c>
      <c r="M945" t="str">
        <f>"יח"</f>
        <v>יח</v>
      </c>
      <c r="N945">
        <v>1</v>
      </c>
      <c r="O945" t="str">
        <f>"יח"</f>
        <v>יח</v>
      </c>
      <c r="P945">
        <v>867.13</v>
      </c>
      <c r="Q945" t="str">
        <f>"$"</f>
        <v>$</v>
      </c>
      <c r="R945" t="str">
        <f>"הזמנה"</f>
        <v>הזמנה</v>
      </c>
      <c r="S945">
        <v>0</v>
      </c>
      <c r="T945">
        <v>867.13</v>
      </c>
      <c r="U945">
        <v>0</v>
      </c>
      <c r="V945">
        <v>867.13</v>
      </c>
      <c r="W945" t="str">
        <f>"$"</f>
        <v>$</v>
      </c>
      <c r="X945">
        <v>0</v>
      </c>
      <c r="Y945">
        <v>0</v>
      </c>
      <c r="Z945">
        <v>0</v>
      </c>
      <c r="AA945" t="str">
        <f>"Y"</f>
        <v>Y</v>
      </c>
      <c r="AB945" t="str">
        <f>"SO22000064"</f>
        <v>SO22000064</v>
      </c>
      <c r="AC945">
        <v>2</v>
      </c>
      <c r="AD945" s="1">
        <v>44614</v>
      </c>
      <c r="AE945" t="str">
        <f>"SH23000260"</f>
        <v>SH23000260</v>
      </c>
      <c r="AF945" t="str">
        <f>"משלוחים ללקוח"</f>
        <v>משלוחים ללקוח</v>
      </c>
      <c r="AG945" s="1">
        <v>44978</v>
      </c>
      <c r="AM945" t="str">
        <f>"10"</f>
        <v>10</v>
      </c>
      <c r="AN945" t="str">
        <f>"500000"</f>
        <v>500000</v>
      </c>
      <c r="AO945" t="str">
        <f>"הכנסות  מלקוחות"</f>
        <v>הכנסות  מלקוחות</v>
      </c>
      <c r="AQ945" t="str">
        <f>"034"</f>
        <v>034</v>
      </c>
      <c r="AR945">
        <v>0</v>
      </c>
      <c r="AS945">
        <v>0</v>
      </c>
      <c r="AT945">
        <v>3.613</v>
      </c>
      <c r="AX945" t="str">
        <f>"E000358714"</f>
        <v>E000358714</v>
      </c>
      <c r="BD945" t="str">
        <f>"ערן שלו"</f>
        <v>ערן שלו</v>
      </c>
    </row>
    <row r="946" spans="1:56" x14ac:dyDescent="0.3">
      <c r="A946" s="1">
        <v>44980</v>
      </c>
      <c r="B946" t="str">
        <f>"SI236000277"</f>
        <v>SI236000277</v>
      </c>
      <c r="C946" t="str">
        <f>"PR22000244"</f>
        <v>PR22000244</v>
      </c>
      <c r="E946" t="str">
        <f>"Y"</f>
        <v>Y</v>
      </c>
      <c r="F946" t="str">
        <f>"חשבוניות מרכזות"</f>
        <v>חשבוניות מרכזות</v>
      </c>
      <c r="G946" t="str">
        <f>"700065"</f>
        <v>700065</v>
      </c>
      <c r="H946" t="str">
        <f>"אלתא מערכות בע""מ"</f>
        <v>אלתא מערכות בע"מ</v>
      </c>
      <c r="I946" t="str">
        <f>"10"</f>
        <v>10</v>
      </c>
      <c r="J946" t="str">
        <f>"OP-AR03045"</f>
        <v>OP-AR03045</v>
      </c>
      <c r="K946" t="str">
        <f>"2222B160-001   CABLE ASSY ORW105"</f>
        <v>2222B160-001   CABLE ASSY ORW105</v>
      </c>
      <c r="L946">
        <v>1</v>
      </c>
      <c r="M946" t="str">
        <f>"יח"</f>
        <v>יח</v>
      </c>
      <c r="N946">
        <v>1</v>
      </c>
      <c r="O946" t="str">
        <f>"יח"</f>
        <v>יח</v>
      </c>
      <c r="P946" s="2">
        <v>1430.51</v>
      </c>
      <c r="Q946" t="str">
        <f>"$"</f>
        <v>$</v>
      </c>
      <c r="R946" t="str">
        <f>"הזמנה"</f>
        <v>הזמנה</v>
      </c>
      <c r="S946">
        <v>0</v>
      </c>
      <c r="T946" s="2">
        <v>1430.51</v>
      </c>
      <c r="U946">
        <v>0</v>
      </c>
      <c r="V946" s="2">
        <v>1430.51</v>
      </c>
      <c r="W946" t="str">
        <f>"$"</f>
        <v>$</v>
      </c>
      <c r="X946">
        <v>0</v>
      </c>
      <c r="Y946">
        <v>0</v>
      </c>
      <c r="Z946">
        <v>0</v>
      </c>
      <c r="AA946" t="str">
        <f>"Y"</f>
        <v>Y</v>
      </c>
      <c r="AB946" t="str">
        <f>"SO22000114"</f>
        <v>SO22000114</v>
      </c>
      <c r="AC946">
        <v>6</v>
      </c>
      <c r="AD946" s="1">
        <v>44641</v>
      </c>
      <c r="AE946" t="str">
        <f>"SH22001008"</f>
        <v>SH22001008</v>
      </c>
      <c r="AF946" t="str">
        <f>"משלוחים ללקוח"</f>
        <v>משלוחים ללקוח</v>
      </c>
      <c r="AG946" s="1">
        <v>44790</v>
      </c>
      <c r="AM946" t="str">
        <f>"10"</f>
        <v>10</v>
      </c>
      <c r="AN946" t="str">
        <f>"500000"</f>
        <v>500000</v>
      </c>
      <c r="AO946" t="str">
        <f>"הכנסות  מלקוחות"</f>
        <v>הכנסות  מלקוחות</v>
      </c>
      <c r="AQ946" t="str">
        <f>"040"</f>
        <v>040</v>
      </c>
      <c r="AR946">
        <v>0</v>
      </c>
      <c r="AS946">
        <v>0</v>
      </c>
      <c r="AT946">
        <v>3.6629999999999998</v>
      </c>
      <c r="AX946" t="str">
        <f>"E000360381"</f>
        <v>E000360381</v>
      </c>
      <c r="BD946" t="str">
        <f>"רחמים זרוק"</f>
        <v>רחמים זרוק</v>
      </c>
    </row>
    <row r="947" spans="1:56" x14ac:dyDescent="0.3">
      <c r="A947" s="1">
        <v>44980</v>
      </c>
      <c r="B947" t="str">
        <f>"SI236000276"</f>
        <v>SI236000276</v>
      </c>
      <c r="C947" t="str">
        <f>"PR23000144"</f>
        <v>PR23000144</v>
      </c>
      <c r="D947" t="str">
        <f>"PR23000144"</f>
        <v>PR23000144</v>
      </c>
      <c r="E947" t="str">
        <f>"Y"</f>
        <v>Y</v>
      </c>
      <c r="F947" t="str">
        <f>"חשבוניות מרכזות"</f>
        <v>חשבוניות מרכזות</v>
      </c>
      <c r="G947" t="str">
        <f>"700065"</f>
        <v>700065</v>
      </c>
      <c r="H947" t="str">
        <f>"אלתא מערכות בע""מ"</f>
        <v>אלתא מערכות בע"מ</v>
      </c>
      <c r="I947" t="str">
        <f>"10"</f>
        <v>10</v>
      </c>
      <c r="J947" t="str">
        <f>"000"</f>
        <v>000</v>
      </c>
      <c r="K947" t="str">
        <f>"תיקון מערכת LB9 בעטרות"</f>
        <v>תיקון מערכת LB9 בעטרות</v>
      </c>
      <c r="L947">
        <v>1</v>
      </c>
      <c r="M947" t="str">
        <f>"יח"</f>
        <v>יח</v>
      </c>
      <c r="N947">
        <v>1</v>
      </c>
      <c r="O947" t="str">
        <f>"יח"</f>
        <v>יח</v>
      </c>
      <c r="P947" s="2">
        <v>2495</v>
      </c>
      <c r="Q947" t="str">
        <f>"$"</f>
        <v>$</v>
      </c>
      <c r="R947" t="str">
        <f>"הזמנה"</f>
        <v>הזמנה</v>
      </c>
      <c r="S947">
        <v>0</v>
      </c>
      <c r="T947" s="2">
        <v>2495</v>
      </c>
      <c r="U947">
        <v>0</v>
      </c>
      <c r="V947" s="2">
        <v>2495</v>
      </c>
      <c r="W947" t="str">
        <f>"$"</f>
        <v>$</v>
      </c>
      <c r="X947">
        <v>0</v>
      </c>
      <c r="Y947">
        <v>0</v>
      </c>
      <c r="Z947">
        <v>0</v>
      </c>
      <c r="AA947" t="str">
        <f>"Y"</f>
        <v>Y</v>
      </c>
      <c r="AB947" t="str">
        <f>"SO23000091"</f>
        <v>SO23000091</v>
      </c>
      <c r="AC947">
        <v>1</v>
      </c>
      <c r="AD947" s="1">
        <v>44969</v>
      </c>
      <c r="AM947" t="str">
        <f>"10"</f>
        <v>10</v>
      </c>
      <c r="AN947" t="str">
        <f>"500000"</f>
        <v>500000</v>
      </c>
      <c r="AO947" t="str">
        <f>"הכנסות  מלקוחות"</f>
        <v>הכנסות  מלקוחות</v>
      </c>
      <c r="AQ947" t="str">
        <f>"040"</f>
        <v>040</v>
      </c>
      <c r="AR947">
        <v>0</v>
      </c>
      <c r="AS947">
        <v>0</v>
      </c>
      <c r="AT947">
        <v>3.6629999999999998</v>
      </c>
      <c r="AX947" t="str">
        <f>"E000386977"</f>
        <v>E000386977</v>
      </c>
      <c r="BD947" t="str">
        <f>"רחמים זרוק"</f>
        <v>רחמים זרוק</v>
      </c>
    </row>
    <row r="948" spans="1:56" x14ac:dyDescent="0.3">
      <c r="A948" s="1">
        <v>44977</v>
      </c>
      <c r="B948" t="str">
        <f>"SI236000345"</f>
        <v>SI236000345</v>
      </c>
      <c r="C948" t="str">
        <f>"PR22000694"</f>
        <v>PR22000694</v>
      </c>
      <c r="E948" t="str">
        <f>"Y"</f>
        <v>Y</v>
      </c>
      <c r="F948" t="str">
        <f>"חשבוניות מרכזות"</f>
        <v>חשבוניות מרכזות</v>
      </c>
      <c r="G948" t="str">
        <f>"700065"</f>
        <v>700065</v>
      </c>
      <c r="H948" t="str">
        <f>"אלתא מערכות בע""מ"</f>
        <v>אלתא מערכות בע"מ</v>
      </c>
      <c r="I948" t="str">
        <f>"10"</f>
        <v>10</v>
      </c>
      <c r="J948" t="str">
        <f>"OP-AR02847"</f>
        <v>OP-AR02847</v>
      </c>
      <c r="K948" t="str">
        <f>"RPU ETH 60M CABLE"</f>
        <v>RPU ETH 60M CABLE</v>
      </c>
      <c r="L948">
        <v>1</v>
      </c>
      <c r="M948" t="str">
        <f>"יח"</f>
        <v>יח</v>
      </c>
      <c r="N948">
        <v>1</v>
      </c>
      <c r="O948" t="str">
        <f>"יח"</f>
        <v>יח</v>
      </c>
      <c r="P948">
        <v>485</v>
      </c>
      <c r="Q948" t="str">
        <f>"$"</f>
        <v>$</v>
      </c>
      <c r="R948" t="str">
        <f>"הזמנה"</f>
        <v>הזמנה</v>
      </c>
      <c r="S948">
        <v>0</v>
      </c>
      <c r="T948">
        <v>485</v>
      </c>
      <c r="U948">
        <v>0</v>
      </c>
      <c r="V948">
        <v>485</v>
      </c>
      <c r="W948" t="str">
        <f>"$"</f>
        <v>$</v>
      </c>
      <c r="X948">
        <v>0</v>
      </c>
      <c r="Y948">
        <v>0</v>
      </c>
      <c r="Z948">
        <v>0</v>
      </c>
      <c r="AA948" t="str">
        <f>"Y"</f>
        <v>Y</v>
      </c>
      <c r="AB948" t="str">
        <f>"SO22000441"</f>
        <v>SO22000441</v>
      </c>
      <c r="AC948">
        <v>2</v>
      </c>
      <c r="AD948" s="1">
        <v>44900</v>
      </c>
      <c r="AE948" t="str">
        <f>"SH23000253"</f>
        <v>SH23000253</v>
      </c>
      <c r="AF948" t="str">
        <f>"משלוחים ללקוח"</f>
        <v>משלוחים ללקוח</v>
      </c>
      <c r="AG948" s="1">
        <v>44977</v>
      </c>
      <c r="AM948" t="str">
        <f>"10"</f>
        <v>10</v>
      </c>
      <c r="AN948" t="str">
        <f>"500000"</f>
        <v>500000</v>
      </c>
      <c r="AO948" t="str">
        <f>"הכנסות  מלקוחות"</f>
        <v>הכנסות  מלקוחות</v>
      </c>
      <c r="AQ948" t="str">
        <f>"034"</f>
        <v>034</v>
      </c>
      <c r="AR948">
        <v>0</v>
      </c>
      <c r="AS948">
        <v>0</v>
      </c>
      <c r="AT948">
        <v>3.5630000000000002</v>
      </c>
      <c r="AX948" t="str">
        <f>"E000377788"</f>
        <v>E000377788</v>
      </c>
      <c r="BD948" t="str">
        <f>"ערן שלו"</f>
        <v>ערן שלו</v>
      </c>
    </row>
    <row r="949" spans="1:56" x14ac:dyDescent="0.3">
      <c r="A949" s="1">
        <v>44977</v>
      </c>
      <c r="B949" t="str">
        <f>"SI236000345"</f>
        <v>SI236000345</v>
      </c>
      <c r="C949" t="str">
        <f>"PR22000694"</f>
        <v>PR22000694</v>
      </c>
      <c r="E949" t="str">
        <f>"Y"</f>
        <v>Y</v>
      </c>
      <c r="F949" t="str">
        <f>"חשבוניות מרכזות"</f>
        <v>חשבוניות מרכזות</v>
      </c>
      <c r="G949" t="str">
        <f>"700065"</f>
        <v>700065</v>
      </c>
      <c r="H949" t="str">
        <f>"אלתא מערכות בע""מ"</f>
        <v>אלתא מערכות בע"מ</v>
      </c>
      <c r="I949" t="str">
        <f>"10"</f>
        <v>10</v>
      </c>
      <c r="J949" t="str">
        <f>"999"</f>
        <v>999</v>
      </c>
      <c r="K949" t="str">
        <f>"קיט שדרוג RPU רצועות + חבק לתורן"</f>
        <v>קיט שדרוג RPU רצועות + חבק לתורן</v>
      </c>
      <c r="L949">
        <v>0.375</v>
      </c>
      <c r="M949" t="str">
        <f>"חל"</f>
        <v>חל</v>
      </c>
      <c r="N949">
        <v>0.375</v>
      </c>
      <c r="O949" t="str">
        <f>"חל"</f>
        <v>חל</v>
      </c>
      <c r="P949" s="2">
        <v>5432</v>
      </c>
      <c r="Q949" t="str">
        <f>"$"</f>
        <v>$</v>
      </c>
      <c r="R949" t="str">
        <f>"הזמנה"</f>
        <v>הזמנה</v>
      </c>
      <c r="S949">
        <v>0</v>
      </c>
      <c r="T949" s="2">
        <v>2037</v>
      </c>
      <c r="U949">
        <v>0</v>
      </c>
      <c r="V949" s="2">
        <v>2037</v>
      </c>
      <c r="W949" t="str">
        <f>"$"</f>
        <v>$</v>
      </c>
      <c r="X949">
        <v>0</v>
      </c>
      <c r="Y949">
        <v>0</v>
      </c>
      <c r="Z949">
        <v>0</v>
      </c>
      <c r="AA949" t="str">
        <f>"Y"</f>
        <v>Y</v>
      </c>
      <c r="AB949" t="str">
        <f>"SO22000441"</f>
        <v>SO22000441</v>
      </c>
      <c r="AC949">
        <v>3</v>
      </c>
      <c r="AD949" s="1">
        <v>44900</v>
      </c>
      <c r="AE949" t="str">
        <f>"SH23000253"</f>
        <v>SH23000253</v>
      </c>
      <c r="AF949" t="str">
        <f>"משלוחים ללקוח"</f>
        <v>משלוחים ללקוח</v>
      </c>
      <c r="AG949" s="1">
        <v>44977</v>
      </c>
      <c r="AM949" t="str">
        <f>"10"</f>
        <v>10</v>
      </c>
      <c r="AN949" t="str">
        <f>"500000"</f>
        <v>500000</v>
      </c>
      <c r="AO949" t="str">
        <f>"הכנסות  מלקוחות"</f>
        <v>הכנסות  מלקוחות</v>
      </c>
      <c r="AQ949" t="str">
        <f>"034"</f>
        <v>034</v>
      </c>
      <c r="AR949">
        <v>0</v>
      </c>
      <c r="AS949">
        <v>0</v>
      </c>
      <c r="AT949">
        <v>3.5630000000000002</v>
      </c>
      <c r="AX949" t="str">
        <f>"E000377788"</f>
        <v>E000377788</v>
      </c>
      <c r="BD949" t="str">
        <f>"ערן שלו"</f>
        <v>ערן שלו</v>
      </c>
    </row>
    <row r="950" spans="1:56" x14ac:dyDescent="0.3">
      <c r="A950" s="1">
        <v>44977</v>
      </c>
      <c r="B950" t="str">
        <f>"SI236000345"</f>
        <v>SI236000345</v>
      </c>
      <c r="C950" t="str">
        <f>"PR22000694"</f>
        <v>PR22000694</v>
      </c>
      <c r="E950" t="str">
        <f>"Y"</f>
        <v>Y</v>
      </c>
      <c r="F950" t="str">
        <f>"חשבוניות מרכזות"</f>
        <v>חשבוניות מרכזות</v>
      </c>
      <c r="G950" t="str">
        <f>"700065"</f>
        <v>700065</v>
      </c>
      <c r="H950" t="str">
        <f>"אלתא מערכות בע""מ"</f>
        <v>אלתא מערכות בע"מ</v>
      </c>
      <c r="I950" t="str">
        <f>"10"</f>
        <v>10</v>
      </c>
      <c r="J950" t="str">
        <f>"999"</f>
        <v>999</v>
      </c>
      <c r="K950" t="str">
        <f>"יתד הארקה RPU"</f>
        <v>יתד הארקה RPU</v>
      </c>
      <c r="L950">
        <v>0.125</v>
      </c>
      <c r="M950" t="str">
        <f>"חל"</f>
        <v>חל</v>
      </c>
      <c r="N950">
        <v>0.125</v>
      </c>
      <c r="O950" t="str">
        <f>"חל"</f>
        <v>חל</v>
      </c>
      <c r="P950" s="2">
        <v>13968</v>
      </c>
      <c r="Q950" t="str">
        <f>"$"</f>
        <v>$</v>
      </c>
      <c r="R950" t="str">
        <f>"הזמנה"</f>
        <v>הזמנה</v>
      </c>
      <c r="S950">
        <v>0</v>
      </c>
      <c r="T950" s="2">
        <v>1746</v>
      </c>
      <c r="U950">
        <v>0</v>
      </c>
      <c r="V950" s="2">
        <v>1746</v>
      </c>
      <c r="W950" t="str">
        <f>"$"</f>
        <v>$</v>
      </c>
      <c r="X950">
        <v>0</v>
      </c>
      <c r="Y950">
        <v>0</v>
      </c>
      <c r="Z950">
        <v>0</v>
      </c>
      <c r="AA950" t="str">
        <f>"Y"</f>
        <v>Y</v>
      </c>
      <c r="AB950" t="str">
        <f>"SO22000441"</f>
        <v>SO22000441</v>
      </c>
      <c r="AC950">
        <v>7</v>
      </c>
      <c r="AD950" s="1">
        <v>44900</v>
      </c>
      <c r="AE950" t="str">
        <f>"SH23000253"</f>
        <v>SH23000253</v>
      </c>
      <c r="AF950" t="str">
        <f>"משלוחים ללקוח"</f>
        <v>משלוחים ללקוח</v>
      </c>
      <c r="AG950" s="1">
        <v>44977</v>
      </c>
      <c r="AM950" t="str">
        <f>"10"</f>
        <v>10</v>
      </c>
      <c r="AN950" t="str">
        <f>"500000"</f>
        <v>500000</v>
      </c>
      <c r="AO950" t="str">
        <f>"הכנסות  מלקוחות"</f>
        <v>הכנסות  מלקוחות</v>
      </c>
      <c r="AQ950" t="str">
        <f>"034"</f>
        <v>034</v>
      </c>
      <c r="AR950">
        <v>0</v>
      </c>
      <c r="AS950">
        <v>0</v>
      </c>
      <c r="AT950">
        <v>3.5630000000000002</v>
      </c>
      <c r="AX950" t="str">
        <f>"E000377788"</f>
        <v>E000377788</v>
      </c>
      <c r="BD950" t="str">
        <f>"ערן שלו"</f>
        <v>ערן שלו</v>
      </c>
    </row>
    <row r="951" spans="1:56" x14ac:dyDescent="0.3">
      <c r="A951" s="1">
        <v>44977</v>
      </c>
      <c r="B951" t="str">
        <f>"SI236000345"</f>
        <v>SI236000345</v>
      </c>
      <c r="C951" t="str">
        <f>"PR22000694"</f>
        <v>PR22000694</v>
      </c>
      <c r="E951" t="str">
        <f>"Y"</f>
        <v>Y</v>
      </c>
      <c r="F951" t="str">
        <f>"חשבוניות מרכזות"</f>
        <v>חשבוניות מרכזות</v>
      </c>
      <c r="G951" t="str">
        <f>"700065"</f>
        <v>700065</v>
      </c>
      <c r="H951" t="str">
        <f>"אלתא מערכות בע""מ"</f>
        <v>אלתא מערכות בע"מ</v>
      </c>
      <c r="I951" t="str">
        <f>"10"</f>
        <v>10</v>
      </c>
      <c r="J951" t="str">
        <f>"999"</f>
        <v>999</v>
      </c>
      <c r="K951" t="str">
        <f>"חבק נוסף לתורן מד רוח"</f>
        <v>חבק נוסף לתורן מד רוח</v>
      </c>
      <c r="L951">
        <v>0.25</v>
      </c>
      <c r="M951" t="str">
        <f>"חל"</f>
        <v>חל</v>
      </c>
      <c r="N951">
        <v>0.25</v>
      </c>
      <c r="O951" t="str">
        <f>"חל"</f>
        <v>חל</v>
      </c>
      <c r="P951" s="2">
        <v>2720</v>
      </c>
      <c r="Q951" t="str">
        <f>"$"</f>
        <v>$</v>
      </c>
      <c r="R951" t="str">
        <f>"הזמנה"</f>
        <v>הזמנה</v>
      </c>
      <c r="S951">
        <v>0</v>
      </c>
      <c r="T951">
        <v>680</v>
      </c>
      <c r="U951">
        <v>0</v>
      </c>
      <c r="V951">
        <v>680</v>
      </c>
      <c r="W951" t="str">
        <f>"$"</f>
        <v>$</v>
      </c>
      <c r="X951">
        <v>0</v>
      </c>
      <c r="Y951">
        <v>0</v>
      </c>
      <c r="Z951">
        <v>0</v>
      </c>
      <c r="AA951" t="str">
        <f>"Y"</f>
        <v>Y</v>
      </c>
      <c r="AB951" t="str">
        <f>"SO22000441"</f>
        <v>SO22000441</v>
      </c>
      <c r="AC951">
        <v>16</v>
      </c>
      <c r="AD951" s="1">
        <v>44900</v>
      </c>
      <c r="AE951" t="str">
        <f>"SH23000253"</f>
        <v>SH23000253</v>
      </c>
      <c r="AF951" t="str">
        <f>"משלוחים ללקוח"</f>
        <v>משלוחים ללקוח</v>
      </c>
      <c r="AG951" s="1">
        <v>44977</v>
      </c>
      <c r="AM951" t="str">
        <f>"10"</f>
        <v>10</v>
      </c>
      <c r="AN951" t="str">
        <f>"500000"</f>
        <v>500000</v>
      </c>
      <c r="AO951" t="str">
        <f>"הכנסות  מלקוחות"</f>
        <v>הכנסות  מלקוחות</v>
      </c>
      <c r="AQ951" t="str">
        <f>"034"</f>
        <v>034</v>
      </c>
      <c r="AR951">
        <v>0</v>
      </c>
      <c r="AS951">
        <v>0</v>
      </c>
      <c r="AT951">
        <v>3.5630000000000002</v>
      </c>
      <c r="AX951" t="str">
        <f>"E000377788"</f>
        <v>E000377788</v>
      </c>
      <c r="BD951" t="str">
        <f>"ערן שלו"</f>
        <v>ערן שלו</v>
      </c>
    </row>
    <row r="952" spans="1:56" x14ac:dyDescent="0.3">
      <c r="A952" s="1">
        <v>44973</v>
      </c>
      <c r="B952" t="str">
        <f>"SI236000304"</f>
        <v>SI236000304</v>
      </c>
      <c r="C952" t="str">
        <f>"PR22000632"</f>
        <v>PR22000632</v>
      </c>
      <c r="D952" t="str">
        <f>"PR22000632"</f>
        <v>PR22000632</v>
      </c>
      <c r="E952" t="str">
        <f>"Y"</f>
        <v>Y</v>
      </c>
      <c r="F952" t="str">
        <f>"חשבוניות מרכזות"</f>
        <v>חשבוניות מרכזות</v>
      </c>
      <c r="G952" t="str">
        <f>"700065"</f>
        <v>700065</v>
      </c>
      <c r="H952" t="str">
        <f>"אלתא מערכות בע""מ"</f>
        <v>אלתא מערכות בע"מ</v>
      </c>
      <c r="I952" t="str">
        <f>"15"</f>
        <v>15</v>
      </c>
      <c r="J952" t="str">
        <f>"OP-AR03349"</f>
        <v>OP-AR03349</v>
      </c>
      <c r="K952" t="str">
        <f>"1037V685-001    HARNESS WP685 - RADAR EXTERNAL AC POWER"</f>
        <v>1037V685-001    HARNESS WP685 - RADAR EXTERNAL AC POWER</v>
      </c>
      <c r="L952">
        <v>5</v>
      </c>
      <c r="M952" t="str">
        <f>"יח"</f>
        <v>יח</v>
      </c>
      <c r="N952">
        <v>5</v>
      </c>
      <c r="O952" t="str">
        <f>"יח"</f>
        <v>יח</v>
      </c>
      <c r="P952" s="2">
        <v>5978.1</v>
      </c>
      <c r="Q952" t="str">
        <f>"$"</f>
        <v>$</v>
      </c>
      <c r="R952" t="str">
        <f>"הזמנה"</f>
        <v>הזמנה</v>
      </c>
      <c r="S952">
        <v>0</v>
      </c>
      <c r="T952" s="2">
        <v>29890.5</v>
      </c>
      <c r="U952">
        <v>0</v>
      </c>
      <c r="V952" s="2">
        <v>29890.5</v>
      </c>
      <c r="W952" t="str">
        <f>"$"</f>
        <v>$</v>
      </c>
      <c r="X952">
        <v>0</v>
      </c>
      <c r="Y952">
        <v>0</v>
      </c>
      <c r="Z952">
        <v>0</v>
      </c>
      <c r="AA952" t="str">
        <f>"Y"</f>
        <v>Y</v>
      </c>
      <c r="AB952" t="str">
        <f>"SO22000370"</f>
        <v>SO22000370</v>
      </c>
      <c r="AC952">
        <v>1</v>
      </c>
      <c r="AD952" s="1">
        <v>44833</v>
      </c>
      <c r="AE952" t="str">
        <f>"SH23000246"</f>
        <v>SH23000246</v>
      </c>
      <c r="AF952" t="str">
        <f>"משלוחים ללקוח"</f>
        <v>משלוחים ללקוח</v>
      </c>
      <c r="AG952" s="1">
        <v>44973</v>
      </c>
      <c r="AM952" t="str">
        <f>"10"</f>
        <v>10</v>
      </c>
      <c r="AN952" t="str">
        <f>"500000"</f>
        <v>500000</v>
      </c>
      <c r="AO952" t="str">
        <f>"הכנסות  מלקוחות"</f>
        <v>הכנסות  מלקוחות</v>
      </c>
      <c r="AQ952" t="str">
        <f>"040"</f>
        <v>040</v>
      </c>
      <c r="AR952">
        <v>0</v>
      </c>
      <c r="AS952">
        <v>0</v>
      </c>
      <c r="AT952">
        <v>3.5379999999999998</v>
      </c>
      <c r="AX952" t="str">
        <f>"E000374958"</f>
        <v>E000374958</v>
      </c>
      <c r="BD952" t="str">
        <f>"רחמים זרוק"</f>
        <v>רחמים זרוק</v>
      </c>
    </row>
    <row r="953" spans="1:56" x14ac:dyDescent="0.3">
      <c r="A953" s="1">
        <v>44973</v>
      </c>
      <c r="B953" t="str">
        <f>"SI236000268"</f>
        <v>SI236000268</v>
      </c>
      <c r="C953" t="str">
        <f>"PR21000284"</f>
        <v>PR21000284</v>
      </c>
      <c r="D953" t="str">
        <f>"PR21000284"</f>
        <v>PR21000284</v>
      </c>
      <c r="E953" t="str">
        <f>"Y"</f>
        <v>Y</v>
      </c>
      <c r="F953" t="str">
        <f>"חשבוניות מרכזות"</f>
        <v>חשבוניות מרכזות</v>
      </c>
      <c r="G953" t="str">
        <f>"700065"</f>
        <v>700065</v>
      </c>
      <c r="H953" t="str">
        <f>"אלתא מערכות בע""מ"</f>
        <v>אלתא מערכות בע"מ</v>
      </c>
      <c r="I953" t="str">
        <f>"10"</f>
        <v>10</v>
      </c>
      <c r="J953" t="str">
        <f>"OP-AR02134"</f>
        <v>OP-AR02134</v>
      </c>
      <c r="K953" t="str">
        <f>"RMY-01 POWER SYSTEM"</f>
        <v>RMY-01 POWER SYSTEM</v>
      </c>
      <c r="L953">
        <v>3</v>
      </c>
      <c r="M953" t="str">
        <f>"יח"</f>
        <v>יח</v>
      </c>
      <c r="N953">
        <v>3</v>
      </c>
      <c r="O953" t="str">
        <f>"יח"</f>
        <v>יח</v>
      </c>
      <c r="P953" s="2">
        <v>17713.57</v>
      </c>
      <c r="Q953" t="str">
        <f>"$"</f>
        <v>$</v>
      </c>
      <c r="R953" t="str">
        <f>"הזמנה"</f>
        <v>הזמנה</v>
      </c>
      <c r="S953">
        <v>0</v>
      </c>
      <c r="T953" s="2">
        <v>53140.71</v>
      </c>
      <c r="U953">
        <v>0</v>
      </c>
      <c r="V953" s="2">
        <v>53140.71</v>
      </c>
      <c r="W953" t="str">
        <f>"$"</f>
        <v>$</v>
      </c>
      <c r="X953">
        <v>0</v>
      </c>
      <c r="Y953">
        <v>0</v>
      </c>
      <c r="Z953">
        <v>0</v>
      </c>
      <c r="AA953" t="str">
        <f>"Y"</f>
        <v>Y</v>
      </c>
      <c r="AB953" t="str">
        <f>"SO21000249"</f>
        <v>SO21000249</v>
      </c>
      <c r="AC953">
        <v>3</v>
      </c>
      <c r="AD953" s="1">
        <v>44346</v>
      </c>
      <c r="AE953" t="str">
        <f>"SH21001969"</f>
        <v>SH21001969</v>
      </c>
      <c r="AF953" t="str">
        <f>"משלוחים ללקוח"</f>
        <v>משלוחים ללקוח</v>
      </c>
      <c r="AG953" s="1">
        <v>44524</v>
      </c>
      <c r="AM953" t="str">
        <f>"10"</f>
        <v>10</v>
      </c>
      <c r="AN953" t="str">
        <f>"500000"</f>
        <v>500000</v>
      </c>
      <c r="AO953" t="str">
        <f>"הכנסות  מלקוחות"</f>
        <v>הכנסות  מלקוחות</v>
      </c>
      <c r="AQ953" t="str">
        <f>"034"</f>
        <v>034</v>
      </c>
      <c r="AR953">
        <v>0</v>
      </c>
      <c r="AS953">
        <v>0</v>
      </c>
      <c r="AT953">
        <v>3.5379999999999998</v>
      </c>
      <c r="AX953" t="str">
        <f>"E000337701"</f>
        <v>E000337701</v>
      </c>
      <c r="BD953" t="str">
        <f>"ערן שלו"</f>
        <v>ערן שלו</v>
      </c>
    </row>
    <row r="954" spans="1:56" x14ac:dyDescent="0.3">
      <c r="A954" s="1">
        <v>44973</v>
      </c>
      <c r="B954" t="str">
        <f>"SI236000267"</f>
        <v>SI236000267</v>
      </c>
      <c r="C954" t="str">
        <f>"PR21000284"</f>
        <v>PR21000284</v>
      </c>
      <c r="E954" t="str">
        <f>"Y"</f>
        <v>Y</v>
      </c>
      <c r="F954" t="str">
        <f>"חשבוניות מרכזות"</f>
        <v>חשבוניות מרכזות</v>
      </c>
      <c r="G954" t="str">
        <f>"700065"</f>
        <v>700065</v>
      </c>
      <c r="H954" t="str">
        <f>"אלתא מערכות בע""מ"</f>
        <v>אלתא מערכות בע"מ</v>
      </c>
      <c r="I954" t="str">
        <f>"10"</f>
        <v>10</v>
      </c>
      <c r="J954" t="str">
        <f>"OP-AR02134"</f>
        <v>OP-AR02134</v>
      </c>
      <c r="K954" t="str">
        <f>"RMY-01 POWER SYSTEM"</f>
        <v>RMY-01 POWER SYSTEM</v>
      </c>
      <c r="L954">
        <v>-3</v>
      </c>
      <c r="M954" t="str">
        <f>"יח"</f>
        <v>יח</v>
      </c>
      <c r="N954">
        <v>-3</v>
      </c>
      <c r="O954" t="str">
        <f>"יח"</f>
        <v>יח</v>
      </c>
      <c r="P954" s="2">
        <v>17713</v>
      </c>
      <c r="Q954" t="str">
        <f>"$"</f>
        <v>$</v>
      </c>
      <c r="R954" t="str">
        <f>"הזמנה"</f>
        <v>הזמנה</v>
      </c>
      <c r="S954">
        <v>0</v>
      </c>
      <c r="T954" s="2">
        <v>-53139</v>
      </c>
      <c r="U954">
        <v>0</v>
      </c>
      <c r="V954" s="2">
        <v>-53139</v>
      </c>
      <c r="W954" t="str">
        <f>"$"</f>
        <v>$</v>
      </c>
      <c r="X954">
        <v>0</v>
      </c>
      <c r="Y954">
        <v>0</v>
      </c>
      <c r="Z954">
        <v>0</v>
      </c>
      <c r="AA954" t="str">
        <f>"Y"</f>
        <v>Y</v>
      </c>
      <c r="AC954">
        <v>0</v>
      </c>
      <c r="AM954" t="str">
        <f>"10"</f>
        <v>10</v>
      </c>
      <c r="AN954" t="str">
        <f>"500000"</f>
        <v>500000</v>
      </c>
      <c r="AO954" t="str">
        <f>"הכנסות  מלקוחות"</f>
        <v>הכנסות  מלקוחות</v>
      </c>
      <c r="AQ954" t="str">
        <f>"034"</f>
        <v>034</v>
      </c>
      <c r="AR954">
        <v>0</v>
      </c>
      <c r="AS954">
        <v>0</v>
      </c>
      <c r="AT954">
        <v>3.5289999999999999</v>
      </c>
      <c r="BB954" t="str">
        <f>"Y"</f>
        <v>Y</v>
      </c>
      <c r="BD954" t="str">
        <f>"ערן שלו"</f>
        <v>ערן שלו</v>
      </c>
    </row>
    <row r="955" spans="1:56" x14ac:dyDescent="0.3">
      <c r="A955" s="1">
        <v>44973</v>
      </c>
      <c r="B955" t="str">
        <f>"SI236000245"</f>
        <v>SI236000245</v>
      </c>
      <c r="C955" t="str">
        <f>"PR21000284"</f>
        <v>PR21000284</v>
      </c>
      <c r="E955" t="str">
        <f>"Y"</f>
        <v>Y</v>
      </c>
      <c r="F955" t="str">
        <f>"חשבוניות מרכזות"</f>
        <v>חשבוניות מרכזות</v>
      </c>
      <c r="G955" t="str">
        <f>"700065"</f>
        <v>700065</v>
      </c>
      <c r="H955" t="str">
        <f>"אלתא מערכות בע""מ"</f>
        <v>אלתא מערכות בע"מ</v>
      </c>
      <c r="I955" t="str">
        <f>"10"</f>
        <v>10</v>
      </c>
      <c r="J955" t="str">
        <f>"OP-AR02134"</f>
        <v>OP-AR02134</v>
      </c>
      <c r="K955" t="str">
        <f>"RMY-01 POWER SYSTEM"</f>
        <v>RMY-01 POWER SYSTEM</v>
      </c>
      <c r="L955">
        <v>3</v>
      </c>
      <c r="M955" t="str">
        <f>"יח"</f>
        <v>יח</v>
      </c>
      <c r="N955">
        <v>3</v>
      </c>
      <c r="O955" t="str">
        <f>"יח"</f>
        <v>יח</v>
      </c>
      <c r="P955" s="2">
        <v>17713</v>
      </c>
      <c r="Q955" t="str">
        <f>"$"</f>
        <v>$</v>
      </c>
      <c r="R955" t="str">
        <f>"הזמנה"</f>
        <v>הזמנה</v>
      </c>
      <c r="S955">
        <v>0</v>
      </c>
      <c r="T955" s="2">
        <v>53139</v>
      </c>
      <c r="U955">
        <v>0</v>
      </c>
      <c r="V955" s="2">
        <v>53139</v>
      </c>
      <c r="W955" t="str">
        <f>"$"</f>
        <v>$</v>
      </c>
      <c r="X955">
        <v>0</v>
      </c>
      <c r="Y955">
        <v>0</v>
      </c>
      <c r="Z955">
        <v>0</v>
      </c>
      <c r="AA955" t="str">
        <f>"Y"</f>
        <v>Y</v>
      </c>
      <c r="AC955">
        <v>0</v>
      </c>
      <c r="AM955" t="str">
        <f>"10"</f>
        <v>10</v>
      </c>
      <c r="AN955" t="str">
        <f>"500000"</f>
        <v>500000</v>
      </c>
      <c r="AO955" t="str">
        <f>"הכנסות  מלקוחות"</f>
        <v>הכנסות  מלקוחות</v>
      </c>
      <c r="AQ955" t="str">
        <f>"034"</f>
        <v>034</v>
      </c>
      <c r="AR955">
        <v>0</v>
      </c>
      <c r="AS955">
        <v>0</v>
      </c>
      <c r="AT955">
        <v>3.5289999999999999</v>
      </c>
      <c r="BB955" t="str">
        <f>"Y"</f>
        <v>Y</v>
      </c>
      <c r="BD955" t="str">
        <f>"ערן שלו"</f>
        <v>ערן שלו</v>
      </c>
    </row>
    <row r="956" spans="1:56" x14ac:dyDescent="0.3">
      <c r="A956" s="1">
        <v>44973</v>
      </c>
      <c r="B956" t="str">
        <f>"SI236000244"</f>
        <v>SI236000244</v>
      </c>
      <c r="C956" t="str">
        <f>"PR21000284"</f>
        <v>PR21000284</v>
      </c>
      <c r="E956" t="str">
        <f>"Y"</f>
        <v>Y</v>
      </c>
      <c r="F956" t="str">
        <f>"חשבוניות מרכזות"</f>
        <v>חשבוניות מרכזות</v>
      </c>
      <c r="G956" t="str">
        <f>"700065"</f>
        <v>700065</v>
      </c>
      <c r="H956" t="str">
        <f>"אלתא מערכות בע""מ"</f>
        <v>אלתא מערכות בע"מ</v>
      </c>
      <c r="I956" t="str">
        <f>"10"</f>
        <v>10</v>
      </c>
      <c r="J956" t="str">
        <f>"OP-AR02134"</f>
        <v>OP-AR02134</v>
      </c>
      <c r="K956" t="str">
        <f>"RMY-01 POWER SYSTEM"</f>
        <v>RMY-01 POWER SYSTEM</v>
      </c>
      <c r="L956">
        <v>-3</v>
      </c>
      <c r="M956" t="str">
        <f>"יח"</f>
        <v>יח</v>
      </c>
      <c r="N956">
        <v>-3</v>
      </c>
      <c r="O956" t="str">
        <f>"יח"</f>
        <v>יח</v>
      </c>
      <c r="P956" s="2">
        <v>17713.57</v>
      </c>
      <c r="Q956" t="str">
        <f>"$"</f>
        <v>$</v>
      </c>
      <c r="R956" t="str">
        <f>"הזמנה"</f>
        <v>הזמנה</v>
      </c>
      <c r="S956">
        <v>0</v>
      </c>
      <c r="T956" s="2">
        <v>-53140.71</v>
      </c>
      <c r="U956">
        <v>0</v>
      </c>
      <c r="V956" s="2">
        <v>-53140.71</v>
      </c>
      <c r="W956" t="str">
        <f>"$"</f>
        <v>$</v>
      </c>
      <c r="X956">
        <v>0</v>
      </c>
      <c r="Y956">
        <v>0</v>
      </c>
      <c r="Z956">
        <v>0</v>
      </c>
      <c r="AA956" t="str">
        <f>"Y"</f>
        <v>Y</v>
      </c>
      <c r="AC956">
        <v>0</v>
      </c>
      <c r="AM956" t="str">
        <f>"10"</f>
        <v>10</v>
      </c>
      <c r="AN956" t="str">
        <f>"500000"</f>
        <v>500000</v>
      </c>
      <c r="AO956" t="str">
        <f>"הכנסות  מלקוחות"</f>
        <v>הכנסות  מלקוחות</v>
      </c>
      <c r="AQ956" t="str">
        <f>"034"</f>
        <v>034</v>
      </c>
      <c r="AR956">
        <v>0</v>
      </c>
      <c r="AS956">
        <v>0</v>
      </c>
      <c r="AT956">
        <v>3.5289999999999999</v>
      </c>
      <c r="BB956" t="str">
        <f>"Y"</f>
        <v>Y</v>
      </c>
      <c r="BD956" t="str">
        <f>"ערן שלו"</f>
        <v>ערן שלו</v>
      </c>
    </row>
    <row r="957" spans="1:56" x14ac:dyDescent="0.3">
      <c r="A957" s="1">
        <v>44973</v>
      </c>
      <c r="B957" t="str">
        <f>"SI236000243"</f>
        <v>SI236000243</v>
      </c>
      <c r="C957" t="str">
        <f>"PR21000284"</f>
        <v>PR21000284</v>
      </c>
      <c r="E957" t="str">
        <f>"Y"</f>
        <v>Y</v>
      </c>
      <c r="F957" t="str">
        <f>"חשבוניות מרכזות"</f>
        <v>חשבוניות מרכזות</v>
      </c>
      <c r="G957" t="str">
        <f>"700065"</f>
        <v>700065</v>
      </c>
      <c r="H957" t="str">
        <f>"אלתא מערכות בע""מ"</f>
        <v>אלתא מערכות בע"מ</v>
      </c>
      <c r="I957" t="str">
        <f>"10"</f>
        <v>10</v>
      </c>
      <c r="J957" t="str">
        <f>"OP-AR02134"</f>
        <v>OP-AR02134</v>
      </c>
      <c r="K957" t="str">
        <f>"RMY-01 POWER SYSTEM"</f>
        <v>RMY-01 POWER SYSTEM</v>
      </c>
      <c r="L957">
        <v>3</v>
      </c>
      <c r="M957" t="str">
        <f>"יח"</f>
        <v>יח</v>
      </c>
      <c r="N957">
        <v>3</v>
      </c>
      <c r="O957" t="str">
        <f>"יח"</f>
        <v>יח</v>
      </c>
      <c r="P957" s="2">
        <v>17713.57</v>
      </c>
      <c r="Q957" t="str">
        <f>"$"</f>
        <v>$</v>
      </c>
      <c r="R957" t="str">
        <f>"הזמנה"</f>
        <v>הזמנה</v>
      </c>
      <c r="S957">
        <v>0</v>
      </c>
      <c r="T957" s="2">
        <v>53140.71</v>
      </c>
      <c r="U957">
        <v>0</v>
      </c>
      <c r="V957" s="2">
        <v>53140.71</v>
      </c>
      <c r="W957" t="str">
        <f>"$"</f>
        <v>$</v>
      </c>
      <c r="X957">
        <v>0</v>
      </c>
      <c r="Y957">
        <v>0</v>
      </c>
      <c r="Z957">
        <v>0</v>
      </c>
      <c r="AA957" t="str">
        <f>"Y"</f>
        <v>Y</v>
      </c>
      <c r="AC957">
        <v>0</v>
      </c>
      <c r="AM957" t="str">
        <f>"10"</f>
        <v>10</v>
      </c>
      <c r="AN957" t="str">
        <f>"500000"</f>
        <v>500000</v>
      </c>
      <c r="AO957" t="str">
        <f>"הכנסות  מלקוחות"</f>
        <v>הכנסות  מלקוחות</v>
      </c>
      <c r="AQ957" t="str">
        <f>"034"</f>
        <v>034</v>
      </c>
      <c r="AR957">
        <v>0</v>
      </c>
      <c r="AS957">
        <v>0</v>
      </c>
      <c r="AT957">
        <v>3.5289999999999999</v>
      </c>
      <c r="BB957" t="str">
        <f>"Y"</f>
        <v>Y</v>
      </c>
      <c r="BD957" t="str">
        <f>"ערן שלו"</f>
        <v>ערן שלו</v>
      </c>
    </row>
    <row r="958" spans="1:56" x14ac:dyDescent="0.3">
      <c r="A958" s="1">
        <v>44972</v>
      </c>
      <c r="B958" t="str">
        <f>"SI236000308"</f>
        <v>SI236000308</v>
      </c>
      <c r="C958" t="str">
        <f>"PR22000589"</f>
        <v>PR22000589</v>
      </c>
      <c r="E958" t="str">
        <f>"Y"</f>
        <v>Y</v>
      </c>
      <c r="F958" t="str">
        <f>"חשבוניות מרכזות"</f>
        <v>חשבוניות מרכזות</v>
      </c>
      <c r="G958" t="str">
        <f>"700065"</f>
        <v>700065</v>
      </c>
      <c r="H958" t="str">
        <f>"אלתא מערכות בע""מ"</f>
        <v>אלתא מערכות בע"מ</v>
      </c>
      <c r="I958" t="str">
        <f>"10"</f>
        <v>10</v>
      </c>
      <c r="J958" t="str">
        <f>"OP-AR01232"</f>
        <v>OP-AR01232</v>
      </c>
      <c r="K958" t="str">
        <f>"AC SUPPLY CONTROL BOX"</f>
        <v>AC SUPPLY CONTROL BOX</v>
      </c>
      <c r="L958">
        <v>2</v>
      </c>
      <c r="M958" t="str">
        <f>"יח"</f>
        <v>יח</v>
      </c>
      <c r="N958">
        <v>2</v>
      </c>
      <c r="O958" t="str">
        <f>"יח"</f>
        <v>יח</v>
      </c>
      <c r="P958" s="2">
        <v>8550</v>
      </c>
      <c r="Q958" t="str">
        <f>"$"</f>
        <v>$</v>
      </c>
      <c r="R958" t="str">
        <f>"הזמנה"</f>
        <v>הזמנה</v>
      </c>
      <c r="S958">
        <v>0</v>
      </c>
      <c r="T958" s="2">
        <v>17100</v>
      </c>
      <c r="U958">
        <v>0</v>
      </c>
      <c r="V958" s="2">
        <v>17100</v>
      </c>
      <c r="W958" t="str">
        <f>"$"</f>
        <v>$</v>
      </c>
      <c r="X958">
        <v>0</v>
      </c>
      <c r="Y958">
        <v>0</v>
      </c>
      <c r="Z958">
        <v>0</v>
      </c>
      <c r="AA958" t="str">
        <f>"Y"</f>
        <v>Y</v>
      </c>
      <c r="AB958" t="str">
        <f>"SO22000345"</f>
        <v>SO22000345</v>
      </c>
      <c r="AC958">
        <v>2</v>
      </c>
      <c r="AD958" s="1">
        <v>44801</v>
      </c>
      <c r="AE958" t="str">
        <f>"SH23000218"</f>
        <v>SH23000218</v>
      </c>
      <c r="AF958" t="str">
        <f>"משלוחים ללקוח"</f>
        <v>משלוחים ללקוח</v>
      </c>
      <c r="AG958" s="1">
        <v>44971</v>
      </c>
      <c r="AM958" t="str">
        <f>"10"</f>
        <v>10</v>
      </c>
      <c r="AN958" t="str">
        <f>"500000"</f>
        <v>500000</v>
      </c>
      <c r="AO958" t="str">
        <f>"הכנסות  מלקוחות"</f>
        <v>הכנסות  מלקוחות</v>
      </c>
      <c r="AQ958" t="str">
        <f>"007"</f>
        <v>007</v>
      </c>
      <c r="AR958">
        <v>0</v>
      </c>
      <c r="AS958">
        <v>0</v>
      </c>
      <c r="AT958">
        <v>3.5289999999999999</v>
      </c>
      <c r="AX958" t="str">
        <f>"E000370750"</f>
        <v>E000370750</v>
      </c>
      <c r="BD958" t="str">
        <f>"רוני דידי"</f>
        <v>רוני דידי</v>
      </c>
    </row>
    <row r="959" spans="1:56" x14ac:dyDescent="0.3">
      <c r="A959" s="1">
        <v>44972</v>
      </c>
      <c r="B959" t="str">
        <f>"SI236000307"</f>
        <v>SI236000307</v>
      </c>
      <c r="C959" t="str">
        <f>"PR22000590"</f>
        <v>PR22000590</v>
      </c>
      <c r="E959" t="str">
        <f>"Y"</f>
        <v>Y</v>
      </c>
      <c r="F959" t="str">
        <f>"חשבוניות מרכזות"</f>
        <v>חשבוניות מרכזות</v>
      </c>
      <c r="G959" t="str">
        <f>"700065"</f>
        <v>700065</v>
      </c>
      <c r="H959" t="str">
        <f>"אלתא מערכות בע""מ"</f>
        <v>אלתא מערכות בע"מ</v>
      </c>
      <c r="I959" t="str">
        <f>"10"</f>
        <v>10</v>
      </c>
      <c r="J959" t="str">
        <f>"OP-AR01234"</f>
        <v>OP-AR01234</v>
      </c>
      <c r="K959" t="str">
        <f>"PDU 4 CHANNELS"</f>
        <v>PDU 4 CHANNELS</v>
      </c>
      <c r="L959">
        <v>2</v>
      </c>
      <c r="M959" t="str">
        <f>"יח"</f>
        <v>יח</v>
      </c>
      <c r="N959">
        <v>2</v>
      </c>
      <c r="O959" t="str">
        <f>"יח"</f>
        <v>יח</v>
      </c>
      <c r="P959" s="2">
        <v>5950</v>
      </c>
      <c r="Q959" t="str">
        <f>"$"</f>
        <v>$</v>
      </c>
      <c r="R959" t="str">
        <f>"הזמנה"</f>
        <v>הזמנה</v>
      </c>
      <c r="S959">
        <v>0</v>
      </c>
      <c r="T959" s="2">
        <v>11900</v>
      </c>
      <c r="U959">
        <v>0</v>
      </c>
      <c r="V959" s="2">
        <v>11900</v>
      </c>
      <c r="W959" t="str">
        <f>"$"</f>
        <v>$</v>
      </c>
      <c r="X959">
        <v>0</v>
      </c>
      <c r="Y959">
        <v>0</v>
      </c>
      <c r="Z959">
        <v>0</v>
      </c>
      <c r="AA959" t="str">
        <f>"Y"</f>
        <v>Y</v>
      </c>
      <c r="AB959" t="str">
        <f>"SO22000345"</f>
        <v>SO22000345</v>
      </c>
      <c r="AC959">
        <v>1</v>
      </c>
      <c r="AD959" s="1">
        <v>44801</v>
      </c>
      <c r="AE959" t="str">
        <f>"SH23000217"</f>
        <v>SH23000217</v>
      </c>
      <c r="AF959" t="str">
        <f>"משלוחים ללקוח"</f>
        <v>משלוחים ללקוח</v>
      </c>
      <c r="AG959" s="1">
        <v>44971</v>
      </c>
      <c r="AM959" t="str">
        <f>"10"</f>
        <v>10</v>
      </c>
      <c r="AN959" t="str">
        <f>"500000"</f>
        <v>500000</v>
      </c>
      <c r="AO959" t="str">
        <f>"הכנסות  מלקוחות"</f>
        <v>הכנסות  מלקוחות</v>
      </c>
      <c r="AQ959" t="str">
        <f>"007"</f>
        <v>007</v>
      </c>
      <c r="AR959">
        <v>0</v>
      </c>
      <c r="AS959">
        <v>0</v>
      </c>
      <c r="AT959">
        <v>3.5289999999999999</v>
      </c>
      <c r="AX959" t="str">
        <f>"E000370750"</f>
        <v>E000370750</v>
      </c>
      <c r="BD959" t="str">
        <f>"רוני דידי"</f>
        <v>רוני דידי</v>
      </c>
    </row>
    <row r="960" spans="1:56" x14ac:dyDescent="0.3">
      <c r="A960" s="1">
        <v>44972</v>
      </c>
      <c r="B960" t="str">
        <f>"SI236000235"</f>
        <v>SI236000235</v>
      </c>
      <c r="C960" t="str">
        <f>"PR23000096"</f>
        <v>PR23000096</v>
      </c>
      <c r="D960" t="str">
        <f>"PR23000096"</f>
        <v>PR23000096</v>
      </c>
      <c r="E960" t="str">
        <f>"Y"</f>
        <v>Y</v>
      </c>
      <c r="F960" t="str">
        <f>"חשבוניות מרכזות"</f>
        <v>חשבוניות מרכזות</v>
      </c>
      <c r="G960" t="str">
        <f>"700065"</f>
        <v>700065</v>
      </c>
      <c r="H960" t="str">
        <f>"אלתא מערכות בע""מ"</f>
        <v>אלתא מערכות בע"מ</v>
      </c>
      <c r="I960" t="str">
        <f>"10"</f>
        <v>10</v>
      </c>
      <c r="J960" t="str">
        <f>"MV9900004"</f>
        <v>MV9900004</v>
      </c>
      <c r="K960" t="str">
        <f>"פיטינג מתכתי פליז לכבל+אום PG-29"</f>
        <v>פיטינג מתכתי פליז לכבל+אום PG-29</v>
      </c>
      <c r="L960">
        <v>20</v>
      </c>
      <c r="M960" t="str">
        <f>"יח"</f>
        <v>יח</v>
      </c>
      <c r="N960">
        <v>20</v>
      </c>
      <c r="O960" t="str">
        <f>"יח"</f>
        <v>יח</v>
      </c>
      <c r="P960">
        <v>12</v>
      </c>
      <c r="Q960" t="str">
        <f>"$"</f>
        <v>$</v>
      </c>
      <c r="R960" t="str">
        <f>"הזמנה"</f>
        <v>הזמנה</v>
      </c>
      <c r="S960">
        <v>0</v>
      </c>
      <c r="T960">
        <v>240</v>
      </c>
      <c r="U960">
        <v>0</v>
      </c>
      <c r="V960">
        <v>240</v>
      </c>
      <c r="W960" t="str">
        <f>"$"</f>
        <v>$</v>
      </c>
      <c r="X960">
        <v>0</v>
      </c>
      <c r="Y960">
        <v>0</v>
      </c>
      <c r="Z960">
        <v>0</v>
      </c>
      <c r="AA960" t="str">
        <f>"Y"</f>
        <v>Y</v>
      </c>
      <c r="AB960" t="str">
        <f>"SO23000095"</f>
        <v>SO23000095</v>
      </c>
      <c r="AC960">
        <v>1</v>
      </c>
      <c r="AD960" s="1">
        <v>44971</v>
      </c>
      <c r="AE960" t="str">
        <f>"SH23000276"</f>
        <v>SH23000276</v>
      </c>
      <c r="AF960" t="str">
        <f>"משלוחים ללקוח"</f>
        <v>משלוחים ללקוח</v>
      </c>
      <c r="AG960" s="1">
        <v>44980</v>
      </c>
      <c r="AM960" t="str">
        <f>"10"</f>
        <v>10</v>
      </c>
      <c r="AN960" t="str">
        <f>"500000"</f>
        <v>500000</v>
      </c>
      <c r="AO960" t="str">
        <f>"הכנסות  מלקוחות"</f>
        <v>הכנסות  מלקוחות</v>
      </c>
      <c r="AQ960" t="str">
        <f>"007"</f>
        <v>007</v>
      </c>
      <c r="AR960">
        <v>0</v>
      </c>
      <c r="AS960">
        <v>0</v>
      </c>
      <c r="AT960">
        <v>3.5019999999999998</v>
      </c>
      <c r="AX960" t="str">
        <f>"E000385907"</f>
        <v>E000385907</v>
      </c>
      <c r="BD960" t="str">
        <f>"רוני דידי"</f>
        <v>רוני דידי</v>
      </c>
    </row>
    <row r="961" spans="1:56" x14ac:dyDescent="0.3">
      <c r="A961" s="1">
        <v>44972</v>
      </c>
      <c r="B961" t="str">
        <f>"SI236000235"</f>
        <v>SI236000235</v>
      </c>
      <c r="C961" t="str">
        <f>"PR23000096"</f>
        <v>PR23000096</v>
      </c>
      <c r="D961" t="str">
        <f>"PR23000096"</f>
        <v>PR23000096</v>
      </c>
      <c r="E961" t="str">
        <f>"Y"</f>
        <v>Y</v>
      </c>
      <c r="F961" t="str">
        <f>"חשבוניות מרכזות"</f>
        <v>חשבוניות מרכזות</v>
      </c>
      <c r="G961" t="str">
        <f>"700065"</f>
        <v>700065</v>
      </c>
      <c r="H961" t="str">
        <f>"אלתא מערכות בע""מ"</f>
        <v>אלתא מערכות בע"מ</v>
      </c>
      <c r="I961" t="str">
        <f>"10"</f>
        <v>10</v>
      </c>
      <c r="J961" t="str">
        <f>"000"</f>
        <v>000</v>
      </c>
      <c r="K961" t="str">
        <f>"אטם גומי גדול - אורינג - לכני"</f>
        <v>אטם גומי גדול - אורינג - לכני</v>
      </c>
      <c r="L961">
        <v>20</v>
      </c>
      <c r="M961" t="str">
        <f>"יח"</f>
        <v>יח</v>
      </c>
      <c r="N961">
        <v>20</v>
      </c>
      <c r="O961" t="str">
        <f>"יח"</f>
        <v>יח</v>
      </c>
      <c r="P961">
        <v>0.2</v>
      </c>
      <c r="Q961" t="str">
        <f>"$"</f>
        <v>$</v>
      </c>
      <c r="R961" t="str">
        <f>"הזמנה"</f>
        <v>הזמנה</v>
      </c>
      <c r="S961">
        <v>0</v>
      </c>
      <c r="T961">
        <v>4</v>
      </c>
      <c r="U961">
        <v>0</v>
      </c>
      <c r="V961">
        <v>4</v>
      </c>
      <c r="W961" t="str">
        <f>"$"</f>
        <v>$</v>
      </c>
      <c r="X961">
        <v>0</v>
      </c>
      <c r="Y961">
        <v>0</v>
      </c>
      <c r="Z961">
        <v>0</v>
      </c>
      <c r="AA961" t="str">
        <f>"Y"</f>
        <v>Y</v>
      </c>
      <c r="AB961" t="str">
        <f>"SO23000095"</f>
        <v>SO23000095</v>
      </c>
      <c r="AC961">
        <v>2</v>
      </c>
      <c r="AD961" s="1">
        <v>44971</v>
      </c>
      <c r="AE961" t="str">
        <f>"SH23000276"</f>
        <v>SH23000276</v>
      </c>
      <c r="AF961" t="str">
        <f>"משלוחים ללקוח"</f>
        <v>משלוחים ללקוח</v>
      </c>
      <c r="AG961" s="1">
        <v>44980</v>
      </c>
      <c r="AM961" t="str">
        <f>"10"</f>
        <v>10</v>
      </c>
      <c r="AN961" t="str">
        <f>"500000"</f>
        <v>500000</v>
      </c>
      <c r="AO961" t="str">
        <f>"הכנסות  מלקוחות"</f>
        <v>הכנסות  מלקוחות</v>
      </c>
      <c r="AQ961" t="str">
        <f>"007"</f>
        <v>007</v>
      </c>
      <c r="AR961">
        <v>0</v>
      </c>
      <c r="AS961">
        <v>0</v>
      </c>
      <c r="AT961">
        <v>3.5019999999999998</v>
      </c>
      <c r="AX961" t="str">
        <f>"E000385907"</f>
        <v>E000385907</v>
      </c>
      <c r="BD961" t="str">
        <f>"רוני דידי"</f>
        <v>רוני דידי</v>
      </c>
    </row>
    <row r="962" spans="1:56" x14ac:dyDescent="0.3">
      <c r="A962" s="1">
        <v>44972</v>
      </c>
      <c r="B962" t="str">
        <f>"SI236000235"</f>
        <v>SI236000235</v>
      </c>
      <c r="C962" t="str">
        <f>"PR23000096"</f>
        <v>PR23000096</v>
      </c>
      <c r="D962" t="str">
        <f>"PR23000096"</f>
        <v>PR23000096</v>
      </c>
      <c r="E962" t="str">
        <f>"Y"</f>
        <v>Y</v>
      </c>
      <c r="F962" t="str">
        <f>"חשבוניות מרכזות"</f>
        <v>חשבוניות מרכזות</v>
      </c>
      <c r="G962" t="str">
        <f>"700065"</f>
        <v>700065</v>
      </c>
      <c r="H962" t="str">
        <f>"אלתא מערכות בע""מ"</f>
        <v>אלתא מערכות בע"מ</v>
      </c>
      <c r="I962" t="str">
        <f>"10"</f>
        <v>10</v>
      </c>
      <c r="J962" t="str">
        <f>"MV9922216"</f>
        <v>MV9922216</v>
      </c>
      <c r="K962" t="str">
        <f>"פיטינג מתכתי פליז לכבל+אום PG-21"</f>
        <v>פיטינג מתכתי פליז לכבל+אום PG-21</v>
      </c>
      <c r="L962">
        <v>10</v>
      </c>
      <c r="M962" t="str">
        <f>"יח"</f>
        <v>יח</v>
      </c>
      <c r="N962">
        <v>10</v>
      </c>
      <c r="O962" t="str">
        <f>"יח"</f>
        <v>יח</v>
      </c>
      <c r="P962">
        <v>7</v>
      </c>
      <c r="Q962" t="str">
        <f>"$"</f>
        <v>$</v>
      </c>
      <c r="R962" t="str">
        <f>"הזמנה"</f>
        <v>הזמנה</v>
      </c>
      <c r="S962">
        <v>0</v>
      </c>
      <c r="T962">
        <v>70</v>
      </c>
      <c r="U962">
        <v>0</v>
      </c>
      <c r="V962">
        <v>70</v>
      </c>
      <c r="W962" t="str">
        <f>"$"</f>
        <v>$</v>
      </c>
      <c r="X962">
        <v>0</v>
      </c>
      <c r="Y962">
        <v>0</v>
      </c>
      <c r="Z962">
        <v>0</v>
      </c>
      <c r="AA962" t="str">
        <f>"Y"</f>
        <v>Y</v>
      </c>
      <c r="AB962" t="str">
        <f>"SO23000095"</f>
        <v>SO23000095</v>
      </c>
      <c r="AC962">
        <v>3</v>
      </c>
      <c r="AD962" s="1">
        <v>44971</v>
      </c>
      <c r="AE962" t="str">
        <f>"SH23000276"</f>
        <v>SH23000276</v>
      </c>
      <c r="AF962" t="str">
        <f>"משלוחים ללקוח"</f>
        <v>משלוחים ללקוח</v>
      </c>
      <c r="AG962" s="1">
        <v>44980</v>
      </c>
      <c r="AM962" t="str">
        <f>"10"</f>
        <v>10</v>
      </c>
      <c r="AN962" t="str">
        <f>"500000"</f>
        <v>500000</v>
      </c>
      <c r="AO962" t="str">
        <f>"הכנסות  מלקוחות"</f>
        <v>הכנסות  מלקוחות</v>
      </c>
      <c r="AQ962" t="str">
        <f>"007"</f>
        <v>007</v>
      </c>
      <c r="AR962">
        <v>0</v>
      </c>
      <c r="AS962">
        <v>0</v>
      </c>
      <c r="AT962">
        <v>3.5019999999999998</v>
      </c>
      <c r="AX962" t="str">
        <f>"E000385907"</f>
        <v>E000385907</v>
      </c>
      <c r="BD962" t="str">
        <f>"רוני דידי"</f>
        <v>רוני דידי</v>
      </c>
    </row>
    <row r="963" spans="1:56" x14ac:dyDescent="0.3">
      <c r="A963" s="1">
        <v>44972</v>
      </c>
      <c r="B963" t="str">
        <f>"SI236000235"</f>
        <v>SI236000235</v>
      </c>
      <c r="C963" t="str">
        <f>"PR23000096"</f>
        <v>PR23000096</v>
      </c>
      <c r="D963" t="str">
        <f>"PR23000096"</f>
        <v>PR23000096</v>
      </c>
      <c r="E963" t="str">
        <f>"Y"</f>
        <v>Y</v>
      </c>
      <c r="F963" t="str">
        <f>"חשבוניות מרכזות"</f>
        <v>חשבוניות מרכזות</v>
      </c>
      <c r="G963" t="str">
        <f>"700065"</f>
        <v>700065</v>
      </c>
      <c r="H963" t="str">
        <f>"אלתא מערכות בע""מ"</f>
        <v>אלתא מערכות בע"מ</v>
      </c>
      <c r="I963" t="str">
        <f>"10"</f>
        <v>10</v>
      </c>
      <c r="J963" t="str">
        <f>"000"</f>
        <v>000</v>
      </c>
      <c r="K963" t="str">
        <f>"אטם גומי גדול-אורינג-לכני"</f>
        <v>אטם גומי גדול-אורינג-לכני</v>
      </c>
      <c r="L963">
        <v>20</v>
      </c>
      <c r="M963" t="str">
        <f>"יח"</f>
        <v>יח</v>
      </c>
      <c r="N963">
        <v>20</v>
      </c>
      <c r="O963" t="str">
        <f>"יח"</f>
        <v>יח</v>
      </c>
      <c r="P963">
        <v>0.2</v>
      </c>
      <c r="Q963" t="str">
        <f>"$"</f>
        <v>$</v>
      </c>
      <c r="R963" t="str">
        <f>"הזמנה"</f>
        <v>הזמנה</v>
      </c>
      <c r="S963">
        <v>0</v>
      </c>
      <c r="T963">
        <v>4</v>
      </c>
      <c r="U963">
        <v>0</v>
      </c>
      <c r="V963">
        <v>4</v>
      </c>
      <c r="W963" t="str">
        <f>"$"</f>
        <v>$</v>
      </c>
      <c r="X963">
        <v>0</v>
      </c>
      <c r="Y963">
        <v>0</v>
      </c>
      <c r="Z963">
        <v>0</v>
      </c>
      <c r="AA963" t="str">
        <f>"Y"</f>
        <v>Y</v>
      </c>
      <c r="AB963" t="str">
        <f>"SO23000095"</f>
        <v>SO23000095</v>
      </c>
      <c r="AC963">
        <v>4</v>
      </c>
      <c r="AD963" s="1">
        <v>44971</v>
      </c>
      <c r="AE963" t="str">
        <f>"SH23000276"</f>
        <v>SH23000276</v>
      </c>
      <c r="AF963" t="str">
        <f>"משלוחים ללקוח"</f>
        <v>משלוחים ללקוח</v>
      </c>
      <c r="AG963" s="1">
        <v>44980</v>
      </c>
      <c r="AM963" t="str">
        <f>"10"</f>
        <v>10</v>
      </c>
      <c r="AN963" t="str">
        <f>"500000"</f>
        <v>500000</v>
      </c>
      <c r="AO963" t="str">
        <f>"הכנסות  מלקוחות"</f>
        <v>הכנסות  מלקוחות</v>
      </c>
      <c r="AQ963" t="str">
        <f>"007"</f>
        <v>007</v>
      </c>
      <c r="AR963">
        <v>0</v>
      </c>
      <c r="AS963">
        <v>0</v>
      </c>
      <c r="AT963">
        <v>3.5019999999999998</v>
      </c>
      <c r="AX963" t="str">
        <f>"E000385907"</f>
        <v>E000385907</v>
      </c>
      <c r="BD963" t="str">
        <f>"רוני דידי"</f>
        <v>רוני דידי</v>
      </c>
    </row>
    <row r="964" spans="1:56" x14ac:dyDescent="0.3">
      <c r="A964" s="1">
        <v>44965</v>
      </c>
      <c r="B964" t="str">
        <f>"SI236000205"</f>
        <v>SI236000205</v>
      </c>
      <c r="E964" t="str">
        <f>"Y"</f>
        <v>Y</v>
      </c>
      <c r="F964" t="str">
        <f>"חשבוניות מרכזות"</f>
        <v>חשבוניות מרכזות</v>
      </c>
      <c r="G964" t="str">
        <f>"700065"</f>
        <v>700065</v>
      </c>
      <c r="H964" t="str">
        <f>"אלתא מערכות בע""מ"</f>
        <v>אלתא מערכות בע"מ</v>
      </c>
      <c r="I964" t="str">
        <f>"10"</f>
        <v>10</v>
      </c>
      <c r="J964" t="str">
        <f>"000"</f>
        <v>000</v>
      </c>
      <c r="K964" t="str">
        <f>"עדכון תכן M VRU"</f>
        <v>עדכון תכן M VRU</v>
      </c>
      <c r="L964">
        <v>1</v>
      </c>
      <c r="M964" t="str">
        <f>"יח"</f>
        <v>יח</v>
      </c>
      <c r="N964">
        <v>1</v>
      </c>
      <c r="O964" t="str">
        <f>"יח"</f>
        <v>יח</v>
      </c>
      <c r="P964" s="2">
        <v>2500</v>
      </c>
      <c r="Q964" t="str">
        <f>"$"</f>
        <v>$</v>
      </c>
      <c r="R964" t="str">
        <f>"הזמנה"</f>
        <v>הזמנה</v>
      </c>
      <c r="S964">
        <v>0</v>
      </c>
      <c r="T964" s="2">
        <v>2500</v>
      </c>
      <c r="U964">
        <v>0</v>
      </c>
      <c r="V964" s="2">
        <v>2500</v>
      </c>
      <c r="W964" t="str">
        <f>"$"</f>
        <v>$</v>
      </c>
      <c r="X964">
        <v>0</v>
      </c>
      <c r="Y964">
        <v>0</v>
      </c>
      <c r="Z964">
        <v>0</v>
      </c>
      <c r="AA964" t="str">
        <f>"Y"</f>
        <v>Y</v>
      </c>
      <c r="AB964" t="str">
        <f>"SO22000193"</f>
        <v>SO22000193</v>
      </c>
      <c r="AC964">
        <v>1</v>
      </c>
      <c r="AD964" s="1">
        <v>44698</v>
      </c>
      <c r="AM964" t="str">
        <f>"10"</f>
        <v>10</v>
      </c>
      <c r="AN964" t="str">
        <f>"500000"</f>
        <v>500000</v>
      </c>
      <c r="AO964" t="str">
        <f>"הכנסות  מלקוחות"</f>
        <v>הכנסות  מלקוחות</v>
      </c>
      <c r="AQ964" t="str">
        <f>"034"</f>
        <v>034</v>
      </c>
      <c r="AR964">
        <v>0</v>
      </c>
      <c r="AS964">
        <v>0</v>
      </c>
      <c r="AT964">
        <v>3.4729999999999999</v>
      </c>
      <c r="AX964" t="str">
        <f>"E000359087"</f>
        <v>E000359087</v>
      </c>
      <c r="BD964" t="str">
        <f>"ערן שלו"</f>
        <v>ערן שלו</v>
      </c>
    </row>
    <row r="965" spans="1:56" x14ac:dyDescent="0.3">
      <c r="A965" s="1">
        <v>44964</v>
      </c>
      <c r="B965" t="str">
        <f>"SI236000197"</f>
        <v>SI236000197</v>
      </c>
      <c r="E965" t="str">
        <f>"Y"</f>
        <v>Y</v>
      </c>
      <c r="F965" t="str">
        <f>"חשבוניות מרכזות"</f>
        <v>חשבוניות מרכזות</v>
      </c>
      <c r="G965" t="str">
        <f>"700065"</f>
        <v>700065</v>
      </c>
      <c r="H965" t="str">
        <f>"אלתא מערכות בע""מ"</f>
        <v>אלתא מערכות בע"מ</v>
      </c>
      <c r="I965" t="str">
        <f>"10"</f>
        <v>10</v>
      </c>
      <c r="J965" t="str">
        <f>"000"</f>
        <v>000</v>
      </c>
      <c r="K965" t="str">
        <f>"UPS מערכות 4+5 PQ23000018"</f>
        <v>UPS מערכות 4+5 PQ23000018</v>
      </c>
      <c r="L965">
        <v>1</v>
      </c>
      <c r="M965" t="str">
        <f>"יח"</f>
        <v>יח</v>
      </c>
      <c r="N965">
        <v>1</v>
      </c>
      <c r="O965" t="str">
        <f>"יח"</f>
        <v>יח</v>
      </c>
      <c r="P965" s="2">
        <v>2400</v>
      </c>
      <c r="Q965" t="str">
        <f>"$"</f>
        <v>$</v>
      </c>
      <c r="R965" t="str">
        <f>"הזמנה"</f>
        <v>הזמנה</v>
      </c>
      <c r="S965">
        <v>0</v>
      </c>
      <c r="T965" s="2">
        <v>2400</v>
      </c>
      <c r="U965">
        <v>0</v>
      </c>
      <c r="V965" s="2">
        <v>2400</v>
      </c>
      <c r="W965" t="str">
        <f>"$"</f>
        <v>$</v>
      </c>
      <c r="X965">
        <v>0</v>
      </c>
      <c r="Y965">
        <v>0</v>
      </c>
      <c r="Z965">
        <v>0</v>
      </c>
      <c r="AA965" t="str">
        <f>"Y"</f>
        <v>Y</v>
      </c>
      <c r="AB965" t="str">
        <f>"SO22000489"</f>
        <v>SO22000489</v>
      </c>
      <c r="AC965">
        <v>4</v>
      </c>
      <c r="AD965" s="1">
        <v>44922</v>
      </c>
      <c r="AM965" t="str">
        <f>"10"</f>
        <v>10</v>
      </c>
      <c r="AN965" t="str">
        <f>"500000"</f>
        <v>500000</v>
      </c>
      <c r="AO965" t="str">
        <f>"הכנסות  מלקוחות"</f>
        <v>הכנסות  מלקוחות</v>
      </c>
      <c r="AQ965" t="str">
        <f>"040"</f>
        <v>040</v>
      </c>
      <c r="AR965">
        <v>0</v>
      </c>
      <c r="AS965">
        <v>0</v>
      </c>
      <c r="AT965">
        <v>3.4740000000000002</v>
      </c>
      <c r="AX965" t="str">
        <f>"E000382417"</f>
        <v>E000382417</v>
      </c>
      <c r="BD965" t="str">
        <f>"רחמים זרוק"</f>
        <v>רחמים זרוק</v>
      </c>
    </row>
    <row r="966" spans="1:56" x14ac:dyDescent="0.3">
      <c r="A966" s="1">
        <v>44963</v>
      </c>
      <c r="B966" t="str">
        <f>"SI236000188"</f>
        <v>SI236000188</v>
      </c>
      <c r="E966" t="str">
        <f>"Y"</f>
        <v>Y</v>
      </c>
      <c r="F966" t="str">
        <f>"חשבוניות מרכזות"</f>
        <v>חשבוניות מרכזות</v>
      </c>
      <c r="G966" t="str">
        <f>"700065"</f>
        <v>700065</v>
      </c>
      <c r="H966" t="str">
        <f>"אלתא מערכות בע""מ"</f>
        <v>אלתא מערכות בע"מ</v>
      </c>
      <c r="I966" t="str">
        <f>"05"</f>
        <v>05</v>
      </c>
      <c r="J966" t="str">
        <f>"OP-AR03243"</f>
        <v>OP-AR03243</v>
      </c>
      <c r="K966" t="str">
        <f>"320VDC 96KW SYSTEM"</f>
        <v>320VDC 96KW SYSTEM</v>
      </c>
      <c r="L966">
        <v>1</v>
      </c>
      <c r="M966" t="str">
        <f>"יח"</f>
        <v>יח</v>
      </c>
      <c r="N966">
        <v>1</v>
      </c>
      <c r="O966" t="str">
        <f>"יח"</f>
        <v>יח</v>
      </c>
      <c r="P966" s="2">
        <v>37528</v>
      </c>
      <c r="Q966" t="str">
        <f>"$"</f>
        <v>$</v>
      </c>
      <c r="R966" t="str">
        <f>"הזמנה"</f>
        <v>הזמנה</v>
      </c>
      <c r="S966">
        <v>0</v>
      </c>
      <c r="T966" s="2">
        <v>37528</v>
      </c>
      <c r="U966">
        <v>0</v>
      </c>
      <c r="V966" s="2">
        <v>37528</v>
      </c>
      <c r="W966" t="str">
        <f>"$"</f>
        <v>$</v>
      </c>
      <c r="X966">
        <v>0</v>
      </c>
      <c r="Y966">
        <v>0</v>
      </c>
      <c r="Z966">
        <v>0</v>
      </c>
      <c r="AA966" t="str">
        <f>"Y"</f>
        <v>Y</v>
      </c>
      <c r="AC966">
        <v>0</v>
      </c>
      <c r="AM966" t="str">
        <f>"10"</f>
        <v>10</v>
      </c>
      <c r="AN966" t="str">
        <f>"500000"</f>
        <v>500000</v>
      </c>
      <c r="AO966" t="str">
        <f>"הכנסות  מלקוחות"</f>
        <v>הכנסות  מלקוחות</v>
      </c>
      <c r="AQ966" t="str">
        <f>"034"</f>
        <v>034</v>
      </c>
      <c r="AR966">
        <v>0</v>
      </c>
      <c r="AS966">
        <v>0</v>
      </c>
      <c r="AT966">
        <v>3.496</v>
      </c>
      <c r="BB966" t="str">
        <f>"Y"</f>
        <v>Y</v>
      </c>
      <c r="BD966" t="str">
        <f>"ערן שלו"</f>
        <v>ערן שלו</v>
      </c>
    </row>
    <row r="967" spans="1:56" x14ac:dyDescent="0.3">
      <c r="A967" s="1">
        <v>44963</v>
      </c>
      <c r="B967" t="str">
        <f>"SI236000187"</f>
        <v>SI236000187</v>
      </c>
      <c r="E967" t="str">
        <f>"Y"</f>
        <v>Y</v>
      </c>
      <c r="F967" t="str">
        <f>"חשבוניות מרכזות"</f>
        <v>חשבוניות מרכזות</v>
      </c>
      <c r="G967" t="str">
        <f>"700065"</f>
        <v>700065</v>
      </c>
      <c r="H967" t="str">
        <f>"אלתא מערכות בע""מ"</f>
        <v>אלתא מערכות בע"מ</v>
      </c>
      <c r="I967" t="str">
        <f>"05"</f>
        <v>05</v>
      </c>
      <c r="J967" t="str">
        <f>"OP-AR03243"</f>
        <v>OP-AR03243</v>
      </c>
      <c r="K967" t="str">
        <f>"320VDC 96KW SYSTEM"</f>
        <v>320VDC 96KW SYSTEM</v>
      </c>
      <c r="L967">
        <v>1</v>
      </c>
      <c r="M967" t="str">
        <f>"יח"</f>
        <v>יח</v>
      </c>
      <c r="N967">
        <v>1</v>
      </c>
      <c r="O967" t="str">
        <f>"יח"</f>
        <v>יח</v>
      </c>
      <c r="P967" s="2">
        <v>37528</v>
      </c>
      <c r="Q967" t="str">
        <f>"$"</f>
        <v>$</v>
      </c>
      <c r="R967" t="str">
        <f>"הזמנה"</f>
        <v>הזמנה</v>
      </c>
      <c r="S967">
        <v>0</v>
      </c>
      <c r="T967" s="2">
        <v>37528</v>
      </c>
      <c r="U967">
        <v>0</v>
      </c>
      <c r="V967" s="2">
        <v>37528</v>
      </c>
      <c r="W967" t="str">
        <f>"$"</f>
        <v>$</v>
      </c>
      <c r="X967">
        <v>0</v>
      </c>
      <c r="Y967">
        <v>0</v>
      </c>
      <c r="Z967">
        <v>0</v>
      </c>
      <c r="AA967" t="str">
        <f>"Y"</f>
        <v>Y</v>
      </c>
      <c r="AC967">
        <v>0</v>
      </c>
      <c r="AM967" t="str">
        <f>"10"</f>
        <v>10</v>
      </c>
      <c r="AN967" t="str">
        <f>"500000"</f>
        <v>500000</v>
      </c>
      <c r="AO967" t="str">
        <f>"הכנסות  מלקוחות"</f>
        <v>הכנסות  מלקוחות</v>
      </c>
      <c r="AQ967" t="str">
        <f>"034"</f>
        <v>034</v>
      </c>
      <c r="AR967">
        <v>0</v>
      </c>
      <c r="AS967">
        <v>0</v>
      </c>
      <c r="AT967">
        <v>3.496</v>
      </c>
      <c r="BB967" t="str">
        <f>"Y"</f>
        <v>Y</v>
      </c>
      <c r="BD967" t="str">
        <f>"ערן שלו"</f>
        <v>ערן שלו</v>
      </c>
    </row>
    <row r="968" spans="1:56" x14ac:dyDescent="0.3">
      <c r="A968" s="1">
        <v>44963</v>
      </c>
      <c r="B968" t="str">
        <f>"SI236000186"</f>
        <v>SI236000186</v>
      </c>
      <c r="E968" t="str">
        <f>"Y"</f>
        <v>Y</v>
      </c>
      <c r="F968" t="str">
        <f>"חשבוניות מרכזות"</f>
        <v>חשבוניות מרכזות</v>
      </c>
      <c r="G968" t="str">
        <f>"700065"</f>
        <v>700065</v>
      </c>
      <c r="H968" t="str">
        <f>"אלתא מערכות בע""מ"</f>
        <v>אלתא מערכות בע"מ</v>
      </c>
      <c r="I968" t="str">
        <f>"05"</f>
        <v>05</v>
      </c>
      <c r="J968" t="str">
        <f>"OP-AR03243"</f>
        <v>OP-AR03243</v>
      </c>
      <c r="K968" t="str">
        <f>"320VDC 96KW SYSTEM"</f>
        <v>320VDC 96KW SYSTEM</v>
      </c>
      <c r="L968">
        <v>1</v>
      </c>
      <c r="M968" t="str">
        <f>"יח"</f>
        <v>יח</v>
      </c>
      <c r="N968">
        <v>1</v>
      </c>
      <c r="O968" t="str">
        <f>"יח"</f>
        <v>יח</v>
      </c>
      <c r="P968" s="2">
        <v>37528</v>
      </c>
      <c r="Q968" t="str">
        <f>"$"</f>
        <v>$</v>
      </c>
      <c r="R968" t="str">
        <f>"הזמנה"</f>
        <v>הזמנה</v>
      </c>
      <c r="S968">
        <v>0</v>
      </c>
      <c r="T968" s="2">
        <v>37528</v>
      </c>
      <c r="U968">
        <v>0</v>
      </c>
      <c r="V968" s="2">
        <v>37528</v>
      </c>
      <c r="W968" t="str">
        <f>"$"</f>
        <v>$</v>
      </c>
      <c r="X968">
        <v>0</v>
      </c>
      <c r="Y968">
        <v>0</v>
      </c>
      <c r="Z968">
        <v>0</v>
      </c>
      <c r="AA968" t="str">
        <f>"Y"</f>
        <v>Y</v>
      </c>
      <c r="AC968">
        <v>0</v>
      </c>
      <c r="AM968" t="str">
        <f>"10"</f>
        <v>10</v>
      </c>
      <c r="AN968" t="str">
        <f>"500000"</f>
        <v>500000</v>
      </c>
      <c r="AO968" t="str">
        <f>"הכנסות  מלקוחות"</f>
        <v>הכנסות  מלקוחות</v>
      </c>
      <c r="AQ968" t="str">
        <f>"034"</f>
        <v>034</v>
      </c>
      <c r="AR968">
        <v>0</v>
      </c>
      <c r="AS968">
        <v>0</v>
      </c>
      <c r="AT968">
        <v>3.496</v>
      </c>
      <c r="BB968" t="str">
        <f>"Y"</f>
        <v>Y</v>
      </c>
      <c r="BD968" t="str">
        <f>"ערן שלו"</f>
        <v>ערן שלו</v>
      </c>
    </row>
    <row r="969" spans="1:56" x14ac:dyDescent="0.3">
      <c r="A969" s="1">
        <v>44963</v>
      </c>
      <c r="B969" t="str">
        <f>"SI236000185"</f>
        <v>SI236000185</v>
      </c>
      <c r="E969" t="str">
        <f>"Y"</f>
        <v>Y</v>
      </c>
      <c r="F969" t="str">
        <f>"חשבוניות מרכזות"</f>
        <v>חשבוניות מרכזות</v>
      </c>
      <c r="G969" t="str">
        <f>"700065"</f>
        <v>700065</v>
      </c>
      <c r="H969" t="str">
        <f>"אלתא מערכות בע""מ"</f>
        <v>אלתא מערכות בע"מ</v>
      </c>
      <c r="I969" t="str">
        <f>"05"</f>
        <v>05</v>
      </c>
      <c r="J969" t="str">
        <f>"OP-AR03243"</f>
        <v>OP-AR03243</v>
      </c>
      <c r="K969" t="str">
        <f>"320VDC 96KW SYSTEM"</f>
        <v>320VDC 96KW SYSTEM</v>
      </c>
      <c r="L969">
        <v>1</v>
      </c>
      <c r="M969" t="str">
        <f>"יח"</f>
        <v>יח</v>
      </c>
      <c r="N969">
        <v>1</v>
      </c>
      <c r="O969" t="str">
        <f>"יח"</f>
        <v>יח</v>
      </c>
      <c r="P969" s="2">
        <v>37528</v>
      </c>
      <c r="Q969" t="str">
        <f>"$"</f>
        <v>$</v>
      </c>
      <c r="R969" t="str">
        <f>"הזמנה"</f>
        <v>הזמנה</v>
      </c>
      <c r="S969">
        <v>0</v>
      </c>
      <c r="T969" s="2">
        <v>37528</v>
      </c>
      <c r="U969">
        <v>0</v>
      </c>
      <c r="V969" s="2">
        <v>37528</v>
      </c>
      <c r="W969" t="str">
        <f>"$"</f>
        <v>$</v>
      </c>
      <c r="X969">
        <v>0</v>
      </c>
      <c r="Y969">
        <v>0</v>
      </c>
      <c r="Z969">
        <v>0</v>
      </c>
      <c r="AA969" t="str">
        <f>"Y"</f>
        <v>Y</v>
      </c>
      <c r="AC969">
        <v>0</v>
      </c>
      <c r="AM969" t="str">
        <f>"10"</f>
        <v>10</v>
      </c>
      <c r="AN969" t="str">
        <f>"500000"</f>
        <v>500000</v>
      </c>
      <c r="AO969" t="str">
        <f>"הכנסות  מלקוחות"</f>
        <v>הכנסות  מלקוחות</v>
      </c>
      <c r="AQ969" t="str">
        <f>"034"</f>
        <v>034</v>
      </c>
      <c r="AR969">
        <v>0</v>
      </c>
      <c r="AS969">
        <v>0</v>
      </c>
      <c r="AT969">
        <v>3.496</v>
      </c>
      <c r="BB969" t="str">
        <f>"Y"</f>
        <v>Y</v>
      </c>
      <c r="BD969" t="str">
        <f>"ערן שלו"</f>
        <v>ערן שלו</v>
      </c>
    </row>
    <row r="970" spans="1:56" x14ac:dyDescent="0.3">
      <c r="A970" s="1">
        <v>44963</v>
      </c>
      <c r="B970" t="str">
        <f>"SI236000184"</f>
        <v>SI236000184</v>
      </c>
      <c r="E970" t="str">
        <f>"Y"</f>
        <v>Y</v>
      </c>
      <c r="F970" t="str">
        <f>"חשבוניות מרכזות"</f>
        <v>חשבוניות מרכזות</v>
      </c>
      <c r="G970" t="str">
        <f>"700065"</f>
        <v>700065</v>
      </c>
      <c r="H970" t="str">
        <f>"אלתא מערכות בע""מ"</f>
        <v>אלתא מערכות בע"מ</v>
      </c>
      <c r="I970" t="str">
        <f>"05"</f>
        <v>05</v>
      </c>
      <c r="J970" t="str">
        <f>"OP-AR03243"</f>
        <v>OP-AR03243</v>
      </c>
      <c r="K970" t="str">
        <f>"320VDC 96KW SYSTEM"</f>
        <v>320VDC 96KW SYSTEM</v>
      </c>
      <c r="L970">
        <v>1</v>
      </c>
      <c r="M970" t="str">
        <f>"יח"</f>
        <v>יח</v>
      </c>
      <c r="N970">
        <v>1</v>
      </c>
      <c r="O970" t="str">
        <f>"יח"</f>
        <v>יח</v>
      </c>
      <c r="P970" s="2">
        <v>37528</v>
      </c>
      <c r="Q970" t="str">
        <f>"$"</f>
        <v>$</v>
      </c>
      <c r="R970" t="str">
        <f>"הזמנה"</f>
        <v>הזמנה</v>
      </c>
      <c r="S970">
        <v>0</v>
      </c>
      <c r="T970" s="2">
        <v>37528</v>
      </c>
      <c r="U970">
        <v>0</v>
      </c>
      <c r="V970" s="2">
        <v>37528</v>
      </c>
      <c r="W970" t="str">
        <f>"$"</f>
        <v>$</v>
      </c>
      <c r="X970">
        <v>0</v>
      </c>
      <c r="Y970">
        <v>0</v>
      </c>
      <c r="Z970">
        <v>0</v>
      </c>
      <c r="AA970" t="str">
        <f>"Y"</f>
        <v>Y</v>
      </c>
      <c r="AB970" t="str">
        <f>"SO22000082"</f>
        <v>SO22000082</v>
      </c>
      <c r="AC970">
        <v>2</v>
      </c>
      <c r="AD970" s="1">
        <v>44622</v>
      </c>
      <c r="AM970" t="str">
        <f>"10"</f>
        <v>10</v>
      </c>
      <c r="AN970" t="str">
        <f>"500000"</f>
        <v>500000</v>
      </c>
      <c r="AO970" t="str">
        <f>"הכנסות  מלקוחות"</f>
        <v>הכנסות  מלקוחות</v>
      </c>
      <c r="AQ970" t="str">
        <f>"034"</f>
        <v>034</v>
      </c>
      <c r="AR970">
        <v>0</v>
      </c>
      <c r="AS970">
        <v>0</v>
      </c>
      <c r="AT970">
        <v>3.4740000000000002</v>
      </c>
      <c r="AX970" t="str">
        <f>"E000358717"</f>
        <v>E000358717</v>
      </c>
      <c r="BD970" t="str">
        <f>"ערן שלו"</f>
        <v>ערן שלו</v>
      </c>
    </row>
    <row r="971" spans="1:56" x14ac:dyDescent="0.3">
      <c r="A971" s="1">
        <v>44963</v>
      </c>
      <c r="B971" t="str">
        <f>"SI236000183"</f>
        <v>SI236000183</v>
      </c>
      <c r="C971" t="str">
        <f>"PR22000483"</f>
        <v>PR22000483</v>
      </c>
      <c r="D971" t="str">
        <f>"PR22000483"</f>
        <v>PR22000483</v>
      </c>
      <c r="E971" t="str">
        <f>"Y"</f>
        <v>Y</v>
      </c>
      <c r="F971" t="str">
        <f>"חשבוניות מרכזות"</f>
        <v>חשבוניות מרכזות</v>
      </c>
      <c r="G971" t="str">
        <f>"700065"</f>
        <v>700065</v>
      </c>
      <c r="H971" t="str">
        <f>"אלתא מערכות בע""מ"</f>
        <v>אלתא מערכות בע"מ</v>
      </c>
      <c r="I971" t="str">
        <f>"10"</f>
        <v>10</v>
      </c>
      <c r="J971" t="str">
        <f>"OP-AR03208"</f>
        <v>OP-AR03208</v>
      </c>
      <c r="K971" t="str">
        <f>"1096H331-001     DC HARNESS TRA (W1)"</f>
        <v>1096H331-001     DC HARNESS TRA (W1)</v>
      </c>
      <c r="L971">
        <v>18</v>
      </c>
      <c r="M971" t="str">
        <f>"יח"</f>
        <v>יח</v>
      </c>
      <c r="N971">
        <v>18</v>
      </c>
      <c r="O971" t="str">
        <f>"יח"</f>
        <v>יח</v>
      </c>
      <c r="P971">
        <v>833.5</v>
      </c>
      <c r="Q971" t="str">
        <f>"$"</f>
        <v>$</v>
      </c>
      <c r="R971" t="str">
        <f>"הזמנה"</f>
        <v>הזמנה</v>
      </c>
      <c r="S971">
        <v>0</v>
      </c>
      <c r="T971" s="2">
        <v>15003</v>
      </c>
      <c r="U971">
        <v>0</v>
      </c>
      <c r="V971" s="2">
        <v>15003</v>
      </c>
      <c r="W971" t="str">
        <f>"$"</f>
        <v>$</v>
      </c>
      <c r="X971">
        <v>0</v>
      </c>
      <c r="Y971">
        <v>0</v>
      </c>
      <c r="Z971">
        <v>0</v>
      </c>
      <c r="AA971" t="str">
        <f>"Y"</f>
        <v>Y</v>
      </c>
      <c r="AB971" t="str">
        <f>"SO22000256"</f>
        <v>SO22000256</v>
      </c>
      <c r="AC971">
        <v>1</v>
      </c>
      <c r="AD971" s="1">
        <v>44738</v>
      </c>
      <c r="AE971" t="str">
        <f>"SH23000391"</f>
        <v>SH23000391</v>
      </c>
      <c r="AF971" t="str">
        <f>"משלוחים ללקוח"</f>
        <v>משלוחים ללקוח</v>
      </c>
      <c r="AG971" s="1">
        <v>45006</v>
      </c>
      <c r="AM971" t="str">
        <f>"10"</f>
        <v>10</v>
      </c>
      <c r="AN971" t="str">
        <f>"500000"</f>
        <v>500000</v>
      </c>
      <c r="AO971" t="str">
        <f>"הכנסות  מלקוחות"</f>
        <v>הכנסות  מלקוחות</v>
      </c>
      <c r="AQ971" t="str">
        <f>"040"</f>
        <v>040</v>
      </c>
      <c r="AR971">
        <v>0</v>
      </c>
      <c r="AS971">
        <v>0</v>
      </c>
      <c r="AT971">
        <v>3.4740000000000002</v>
      </c>
      <c r="AX971" t="str">
        <f>"E000367695"</f>
        <v>E000367695</v>
      </c>
      <c r="BD971" t="str">
        <f>"רחמים זרוק"</f>
        <v>רחמים זרוק</v>
      </c>
    </row>
    <row r="972" spans="1:56" x14ac:dyDescent="0.3">
      <c r="A972" s="1">
        <v>44963</v>
      </c>
      <c r="B972" t="str">
        <f>"SI236000182"</f>
        <v>SI236000182</v>
      </c>
      <c r="C972" t="str">
        <f>"PR22000483"</f>
        <v>PR22000483</v>
      </c>
      <c r="E972" t="str">
        <f>"Y"</f>
        <v>Y</v>
      </c>
      <c r="F972" t="str">
        <f>"חשבוניות מרכזות"</f>
        <v>חשבוניות מרכזות</v>
      </c>
      <c r="G972" t="str">
        <f>"700065"</f>
        <v>700065</v>
      </c>
      <c r="H972" t="str">
        <f>"אלתא מערכות בע""מ"</f>
        <v>אלתא מערכות בע"מ</v>
      </c>
      <c r="I972" t="str">
        <f>"10"</f>
        <v>10</v>
      </c>
      <c r="J972" t="str">
        <f>"OP-AR03208"</f>
        <v>OP-AR03208</v>
      </c>
      <c r="K972" t="str">
        <f>"1096H331-001     DC HARNESS TRA (W1)"</f>
        <v>1096H331-001     DC HARNESS TRA (W1)</v>
      </c>
      <c r="L972">
        <v>22</v>
      </c>
      <c r="M972" t="str">
        <f>"יח"</f>
        <v>יח</v>
      </c>
      <c r="N972">
        <v>22</v>
      </c>
      <c r="O972" t="str">
        <f>"יח"</f>
        <v>יח</v>
      </c>
      <c r="P972">
        <v>833.5</v>
      </c>
      <c r="Q972" t="str">
        <f>"$"</f>
        <v>$</v>
      </c>
      <c r="R972" t="str">
        <f>"הזמנה"</f>
        <v>הזמנה</v>
      </c>
      <c r="S972">
        <v>0</v>
      </c>
      <c r="T972" s="2">
        <v>18337</v>
      </c>
      <c r="U972">
        <v>0</v>
      </c>
      <c r="V972" s="2">
        <v>18337</v>
      </c>
      <c r="W972" t="str">
        <f>"$"</f>
        <v>$</v>
      </c>
      <c r="X972">
        <v>0</v>
      </c>
      <c r="Y972">
        <v>0</v>
      </c>
      <c r="Z972">
        <v>0</v>
      </c>
      <c r="AA972" t="str">
        <f>"Y"</f>
        <v>Y</v>
      </c>
      <c r="AC972">
        <v>0</v>
      </c>
      <c r="AM972" t="str">
        <f>"10"</f>
        <v>10</v>
      </c>
      <c r="AN972" t="str">
        <f>"500000"</f>
        <v>500000</v>
      </c>
      <c r="AO972" t="str">
        <f>"הכנסות  מלקוחות"</f>
        <v>הכנסות  מלקוחות</v>
      </c>
      <c r="AQ972" t="str">
        <f>"040"</f>
        <v>040</v>
      </c>
      <c r="AR972">
        <v>0</v>
      </c>
      <c r="AS972">
        <v>0</v>
      </c>
      <c r="AT972">
        <v>3.4740000000000002</v>
      </c>
      <c r="BB972" t="str">
        <f>"Y"</f>
        <v>Y</v>
      </c>
      <c r="BD972" t="str">
        <f>"רחמים זרוק"</f>
        <v>רחמים זרוק</v>
      </c>
    </row>
    <row r="973" spans="1:56" x14ac:dyDescent="0.3">
      <c r="A973" s="1">
        <v>44958</v>
      </c>
      <c r="B973" t="str">
        <f>"SI236000329"</f>
        <v>SI236000329</v>
      </c>
      <c r="C973" t="str">
        <f>"PR22000286"</f>
        <v>PR22000286</v>
      </c>
      <c r="E973" t="str">
        <f>"Y"</f>
        <v>Y</v>
      </c>
      <c r="F973" t="str">
        <f>"חשבוניות מרכזות"</f>
        <v>חשבוניות מרכזות</v>
      </c>
      <c r="G973" t="str">
        <f>"700065"</f>
        <v>700065</v>
      </c>
      <c r="H973" t="str">
        <f>"אלתא מערכות בע""מ"</f>
        <v>אלתא מערכות בע"מ</v>
      </c>
      <c r="I973" t="str">
        <f>"10"</f>
        <v>10</v>
      </c>
      <c r="J973" t="str">
        <f>"cust001283"</f>
        <v>cust001283</v>
      </c>
      <c r="K973" t="str">
        <f>"ELTA BATTERY BOX 1039V520-001"</f>
        <v>ELTA BATTERY BOX 1039V520-001</v>
      </c>
      <c r="L973">
        <v>1</v>
      </c>
      <c r="M973" t="str">
        <f>"יח"</f>
        <v>יח</v>
      </c>
      <c r="N973">
        <v>1</v>
      </c>
      <c r="O973" t="str">
        <f>"יח"</f>
        <v>יח</v>
      </c>
      <c r="P973">
        <v>0.1</v>
      </c>
      <c r="Q973" t="str">
        <f>"$"</f>
        <v>$</v>
      </c>
      <c r="R973" t="str">
        <f>"הזמנה"</f>
        <v>הזמנה</v>
      </c>
      <c r="S973">
        <v>0</v>
      </c>
      <c r="T973">
        <v>0.1</v>
      </c>
      <c r="U973">
        <v>0</v>
      </c>
      <c r="V973">
        <v>0.1</v>
      </c>
      <c r="W973" t="str">
        <f>"$"</f>
        <v>$</v>
      </c>
      <c r="X973">
        <v>0</v>
      </c>
      <c r="Y973">
        <v>0</v>
      </c>
      <c r="Z973">
        <v>0</v>
      </c>
      <c r="AA973" t="str">
        <f>"Y"</f>
        <v>Y</v>
      </c>
      <c r="AC973">
        <v>0</v>
      </c>
      <c r="AM973" t="str">
        <f>"10"</f>
        <v>10</v>
      </c>
      <c r="AN973" t="str">
        <f>"500000"</f>
        <v>500000</v>
      </c>
      <c r="AO973" t="str">
        <f>"הכנסות  מלקוחות"</f>
        <v>הכנסות  מלקוחות</v>
      </c>
      <c r="AQ973" t="str">
        <f>"034"</f>
        <v>034</v>
      </c>
      <c r="AR973">
        <v>0</v>
      </c>
      <c r="AS973">
        <v>0</v>
      </c>
      <c r="AT973">
        <v>3.456</v>
      </c>
      <c r="BB973" t="str">
        <f>"Y"</f>
        <v>Y</v>
      </c>
      <c r="BD973" t="str">
        <f>"ערן שלו"</f>
        <v>ערן שלו</v>
      </c>
    </row>
    <row r="974" spans="1:56" x14ac:dyDescent="0.3">
      <c r="A974" s="1">
        <v>44958</v>
      </c>
      <c r="B974" t="str">
        <f>"SI236000329"</f>
        <v>SI236000329</v>
      </c>
      <c r="C974" t="str">
        <f>"PR22000286"</f>
        <v>PR22000286</v>
      </c>
      <c r="E974" t="str">
        <f>"Y"</f>
        <v>Y</v>
      </c>
      <c r="F974" t="str">
        <f>"חשבוניות מרכזות"</f>
        <v>חשבוניות מרכזות</v>
      </c>
      <c r="G974" t="str">
        <f>"700065"</f>
        <v>700065</v>
      </c>
      <c r="H974" t="str">
        <f>"אלתא מערכות בע""מ"</f>
        <v>אלתא מערכות בע"מ</v>
      </c>
      <c r="I974" t="str">
        <f>"10"</f>
        <v>10</v>
      </c>
      <c r="J974" t="str">
        <f>"cust001283"</f>
        <v>cust001283</v>
      </c>
      <c r="K974" t="str">
        <f>"ELTA BATTERY BOX 1039V520-001"</f>
        <v>ELTA BATTERY BOX 1039V520-001</v>
      </c>
      <c r="L974">
        <v>1</v>
      </c>
      <c r="M974" t="str">
        <f>"יח"</f>
        <v>יח</v>
      </c>
      <c r="N974">
        <v>1</v>
      </c>
      <c r="O974" t="str">
        <f>"יח"</f>
        <v>יח</v>
      </c>
      <c r="P974">
        <v>0.1</v>
      </c>
      <c r="Q974" t="str">
        <f>"$"</f>
        <v>$</v>
      </c>
      <c r="R974" t="str">
        <f>"הזמנה"</f>
        <v>הזמנה</v>
      </c>
      <c r="S974">
        <v>0</v>
      </c>
      <c r="T974">
        <v>0.1</v>
      </c>
      <c r="U974">
        <v>0</v>
      </c>
      <c r="V974">
        <v>0.1</v>
      </c>
      <c r="W974" t="str">
        <f>"$"</f>
        <v>$</v>
      </c>
      <c r="X974">
        <v>0</v>
      </c>
      <c r="Y974">
        <v>0</v>
      </c>
      <c r="Z974">
        <v>0</v>
      </c>
      <c r="AA974" t="str">
        <f>"Y"</f>
        <v>Y</v>
      </c>
      <c r="AC974">
        <v>0</v>
      </c>
      <c r="AM974" t="str">
        <f>"10"</f>
        <v>10</v>
      </c>
      <c r="AN974" t="str">
        <f>"500000"</f>
        <v>500000</v>
      </c>
      <c r="AO974" t="str">
        <f>"הכנסות  מלקוחות"</f>
        <v>הכנסות  מלקוחות</v>
      </c>
      <c r="AQ974" t="str">
        <f>"034"</f>
        <v>034</v>
      </c>
      <c r="AR974">
        <v>0</v>
      </c>
      <c r="AS974">
        <v>0</v>
      </c>
      <c r="AT974">
        <v>3.456</v>
      </c>
      <c r="BB974" t="str">
        <f>"Y"</f>
        <v>Y</v>
      </c>
      <c r="BD974" t="str">
        <f>"ערן שלו"</f>
        <v>ערן שלו</v>
      </c>
    </row>
    <row r="975" spans="1:56" x14ac:dyDescent="0.3">
      <c r="A975" s="1">
        <v>44958</v>
      </c>
      <c r="B975" t="str">
        <f>"SI236000328"</f>
        <v>SI236000328</v>
      </c>
      <c r="C975" t="str">
        <f>"PR22000449"</f>
        <v>PR22000449</v>
      </c>
      <c r="E975" t="str">
        <f>"Y"</f>
        <v>Y</v>
      </c>
      <c r="F975" t="str">
        <f>"חשבוניות מרכזות"</f>
        <v>חשבוניות מרכזות</v>
      </c>
      <c r="G975" t="str">
        <f>"700065"</f>
        <v>700065</v>
      </c>
      <c r="H975" t="str">
        <f>"אלתא מערכות בע""מ"</f>
        <v>אלתא מערכות בע"מ</v>
      </c>
      <c r="I975" t="str">
        <f>"10"</f>
        <v>10</v>
      </c>
      <c r="J975" t="str">
        <f>"cust001348"</f>
        <v>cust001348</v>
      </c>
      <c r="K975" t="str">
        <f>"241119.815 ELTA"</f>
        <v>241119.815 ELTA</v>
      </c>
      <c r="L975">
        <v>1</v>
      </c>
      <c r="M975" t="str">
        <f>"יח"</f>
        <v>יח</v>
      </c>
      <c r="N975">
        <v>1</v>
      </c>
      <c r="O975" t="str">
        <f>"יח"</f>
        <v>יח</v>
      </c>
      <c r="P975">
        <v>0.1</v>
      </c>
      <c r="Q975" t="str">
        <f>"$"</f>
        <v>$</v>
      </c>
      <c r="R975" t="str">
        <f>"הזמנה"</f>
        <v>הזמנה</v>
      </c>
      <c r="S975">
        <v>0</v>
      </c>
      <c r="T975">
        <v>0.1</v>
      </c>
      <c r="U975">
        <v>0</v>
      </c>
      <c r="V975">
        <v>0.1</v>
      </c>
      <c r="W975" t="str">
        <f>"$"</f>
        <v>$</v>
      </c>
      <c r="X975">
        <v>0</v>
      </c>
      <c r="Y975">
        <v>0</v>
      </c>
      <c r="Z975">
        <v>0</v>
      </c>
      <c r="AA975" t="str">
        <f>"Y"</f>
        <v>Y</v>
      </c>
      <c r="AC975">
        <v>0</v>
      </c>
      <c r="AM975" t="str">
        <f>"10"</f>
        <v>10</v>
      </c>
      <c r="AN975" t="str">
        <f>"500000"</f>
        <v>500000</v>
      </c>
      <c r="AO975" t="str">
        <f>"הכנסות  מלקוחות"</f>
        <v>הכנסות  מלקוחות</v>
      </c>
      <c r="AQ975" t="str">
        <f>"007"</f>
        <v>007</v>
      </c>
      <c r="AR975">
        <v>0</v>
      </c>
      <c r="AS975">
        <v>0</v>
      </c>
      <c r="AT975">
        <v>3.456</v>
      </c>
      <c r="BB975" t="str">
        <f>"Y"</f>
        <v>Y</v>
      </c>
      <c r="BD975" t="str">
        <f>"רוני דידי"</f>
        <v>רוני דידי</v>
      </c>
    </row>
    <row r="976" spans="1:56" x14ac:dyDescent="0.3">
      <c r="A976" s="1">
        <v>44958</v>
      </c>
      <c r="B976" t="str">
        <f>"SI236000327"</f>
        <v>SI236000327</v>
      </c>
      <c r="C976" t="str">
        <f>"PR22000010"</f>
        <v>PR22000010</v>
      </c>
      <c r="E976" t="str">
        <f>"Y"</f>
        <v>Y</v>
      </c>
      <c r="F976" t="str">
        <f>"חשבוניות מרכזות"</f>
        <v>חשבוניות מרכזות</v>
      </c>
      <c r="G976" t="str">
        <f>"700065"</f>
        <v>700065</v>
      </c>
      <c r="H976" t="str">
        <f>"אלתא מערכות בע""מ"</f>
        <v>אלתא מערכות בע"מ</v>
      </c>
      <c r="I976" t="str">
        <f>"10"</f>
        <v>10</v>
      </c>
      <c r="J976" t="str">
        <f>"OP-AR02916"</f>
        <v>OP-AR02916</v>
      </c>
      <c r="K976" t="str">
        <f>"9000Y505-001    HARNESS WA005 - INTERNAL ETHERNET"</f>
        <v>9000Y505-001    HARNESS WA005 - INTERNAL ETHERNET</v>
      </c>
      <c r="L976">
        <v>5</v>
      </c>
      <c r="M976" t="str">
        <f>"יח"</f>
        <v>יח</v>
      </c>
      <c r="N976">
        <v>5</v>
      </c>
      <c r="O976" t="str">
        <f>"יח"</f>
        <v>יח</v>
      </c>
      <c r="P976">
        <v>73.97</v>
      </c>
      <c r="Q976" t="str">
        <f>"$"</f>
        <v>$</v>
      </c>
      <c r="R976" t="str">
        <f>"הזמנה"</f>
        <v>הזמנה</v>
      </c>
      <c r="S976">
        <v>0</v>
      </c>
      <c r="T976">
        <v>369.85</v>
      </c>
      <c r="U976">
        <v>0</v>
      </c>
      <c r="V976">
        <v>369.85</v>
      </c>
      <c r="W976" t="str">
        <f>"$"</f>
        <v>$</v>
      </c>
      <c r="X976">
        <v>0</v>
      </c>
      <c r="Y976">
        <v>0</v>
      </c>
      <c r="Z976">
        <v>0</v>
      </c>
      <c r="AA976" t="str">
        <f>"Y"</f>
        <v>Y</v>
      </c>
      <c r="AB976" t="str">
        <f>"SO22000007"</f>
        <v>SO22000007</v>
      </c>
      <c r="AC976">
        <v>17</v>
      </c>
      <c r="AD976" s="1">
        <v>44565</v>
      </c>
      <c r="AE976" t="str">
        <f>"SH22001139"</f>
        <v>SH22001139</v>
      </c>
      <c r="AF976" t="str">
        <f>"משלוחים ללקוח"</f>
        <v>משלוחים ללקוח</v>
      </c>
      <c r="AG976" s="1">
        <v>44819</v>
      </c>
      <c r="AM976" t="str">
        <f>"10"</f>
        <v>10</v>
      </c>
      <c r="AN976" t="str">
        <f>"500000"</f>
        <v>500000</v>
      </c>
      <c r="AO976" t="str">
        <f>"הכנסות  מלקוחות"</f>
        <v>הכנסות  מלקוחות</v>
      </c>
      <c r="AQ976" t="str">
        <f>"040"</f>
        <v>040</v>
      </c>
      <c r="AR976">
        <v>0</v>
      </c>
      <c r="AS976">
        <v>0</v>
      </c>
      <c r="AT976">
        <v>3.456</v>
      </c>
      <c r="AX976" t="str">
        <f>"E000353717"</f>
        <v>E000353717</v>
      </c>
      <c r="BD976" t="str">
        <f>"רחמים זרוק"</f>
        <v>רחמים זרוק</v>
      </c>
    </row>
    <row r="977" spans="1:56" x14ac:dyDescent="0.3">
      <c r="A977" s="1">
        <v>44958</v>
      </c>
      <c r="B977" t="str">
        <f>"SI236000311"</f>
        <v>SI236000311</v>
      </c>
      <c r="C977" t="str">
        <f>"PR20000704"</f>
        <v>PR20000704</v>
      </c>
      <c r="E977" t="str">
        <f>"Y"</f>
        <v>Y</v>
      </c>
      <c r="F977" t="str">
        <f>"חשבוניות מרכזות"</f>
        <v>חשבוניות מרכזות</v>
      </c>
      <c r="G977" t="str">
        <f>"700065"</f>
        <v>700065</v>
      </c>
      <c r="H977" t="str">
        <f>"אלתא מערכות בע""מ"</f>
        <v>אלתא מערכות בע"מ</v>
      </c>
      <c r="I977" t="str">
        <f>"10"</f>
        <v>10</v>
      </c>
      <c r="J977" t="str">
        <f>"OP-ML00179"</f>
        <v>OP-ML00179</v>
      </c>
      <c r="K977" t="str">
        <f>"(7) 1038C906-001 Radar Power Unit (RPU) Platform"</f>
        <v>(7) 1038C906-001 Radar Power Unit (RPU) Platform</v>
      </c>
      <c r="L977">
        <v>1</v>
      </c>
      <c r="M977" t="str">
        <f>"יח"</f>
        <v>יח</v>
      </c>
      <c r="N977">
        <v>1</v>
      </c>
      <c r="O977" t="str">
        <f>"יח"</f>
        <v>יח</v>
      </c>
      <c r="P977" s="2">
        <v>284970</v>
      </c>
      <c r="Q977" t="str">
        <f>"$"</f>
        <v>$</v>
      </c>
      <c r="R977" t="str">
        <f>"הזמנה"</f>
        <v>הזמנה</v>
      </c>
      <c r="S977">
        <v>0</v>
      </c>
      <c r="T977" s="2">
        <v>284970</v>
      </c>
      <c r="U977">
        <v>0</v>
      </c>
      <c r="V977" s="2">
        <v>284970</v>
      </c>
      <c r="W977" t="str">
        <f>"$"</f>
        <v>$</v>
      </c>
      <c r="X977">
        <v>0</v>
      </c>
      <c r="Y977">
        <v>0</v>
      </c>
      <c r="Z977">
        <v>0</v>
      </c>
      <c r="AA977" t="str">
        <f>"Y"</f>
        <v>Y</v>
      </c>
      <c r="AB977" t="str">
        <f>"SO20000218"</f>
        <v>SO20000218</v>
      </c>
      <c r="AC977">
        <v>7</v>
      </c>
      <c r="AD977" s="1">
        <v>43982</v>
      </c>
      <c r="AE977" t="str">
        <f>"SH23000189"</f>
        <v>SH23000189</v>
      </c>
      <c r="AF977" t="str">
        <f>"משלוחים ללקוח"</f>
        <v>משלוחים ללקוח</v>
      </c>
      <c r="AG977" s="1">
        <v>44966</v>
      </c>
      <c r="AM977" t="str">
        <f>"10"</f>
        <v>10</v>
      </c>
      <c r="AN977" t="str">
        <f>"500000"</f>
        <v>500000</v>
      </c>
      <c r="AO977" t="str">
        <f>"הכנסות  מלקוחות"</f>
        <v>הכנסות  מלקוחות</v>
      </c>
      <c r="AQ977" t="str">
        <f>"034"</f>
        <v>034</v>
      </c>
      <c r="AR977">
        <v>0</v>
      </c>
      <c r="AS977">
        <v>0</v>
      </c>
      <c r="AT977">
        <v>3.456</v>
      </c>
      <c r="AX977" t="str">
        <f>"E000312785"</f>
        <v>E000312785</v>
      </c>
      <c r="BD977" t="str">
        <f>"ערן שלו"</f>
        <v>ערן שלו</v>
      </c>
    </row>
    <row r="978" spans="1:56" x14ac:dyDescent="0.3">
      <c r="A978" s="1">
        <v>44958</v>
      </c>
      <c r="B978" t="str">
        <f>"SI236000290"</f>
        <v>SI236000290</v>
      </c>
      <c r="C978" t="str">
        <f>"PR22000390"</f>
        <v>PR22000390</v>
      </c>
      <c r="E978" t="str">
        <f>"Y"</f>
        <v>Y</v>
      </c>
      <c r="F978" t="str">
        <f>"חשבוניות מרכזות"</f>
        <v>חשבוניות מרכזות</v>
      </c>
      <c r="G978" t="str">
        <f>"700065"</f>
        <v>700065</v>
      </c>
      <c r="H978" t="str">
        <f>"אלתא מערכות בע""מ"</f>
        <v>אלתא מערכות בע"מ</v>
      </c>
      <c r="I978" t="str">
        <f>"10"</f>
        <v>10</v>
      </c>
      <c r="J978" t="str">
        <f>"OP-ML00216"</f>
        <v>OP-ML00216</v>
      </c>
      <c r="K978" t="str">
        <f>"6930H860-001    M - VRU"</f>
        <v>6930H860-001    M - VRU</v>
      </c>
      <c r="L978">
        <v>4</v>
      </c>
      <c r="M978" t="str">
        <f>"יח"</f>
        <v>יח</v>
      </c>
      <c r="N978">
        <v>4</v>
      </c>
      <c r="O978" t="str">
        <f>"יח"</f>
        <v>יח</v>
      </c>
      <c r="P978" s="2">
        <v>9760</v>
      </c>
      <c r="Q978" t="str">
        <f>"$"</f>
        <v>$</v>
      </c>
      <c r="R978" t="str">
        <f>"הזמנה"</f>
        <v>הזמנה</v>
      </c>
      <c r="S978">
        <v>0</v>
      </c>
      <c r="T978" s="2">
        <v>39040</v>
      </c>
      <c r="U978">
        <v>0</v>
      </c>
      <c r="V978" s="2">
        <v>39040</v>
      </c>
      <c r="W978" t="str">
        <f>"$"</f>
        <v>$</v>
      </c>
      <c r="X978">
        <v>0</v>
      </c>
      <c r="Y978">
        <v>0</v>
      </c>
      <c r="Z978">
        <v>0</v>
      </c>
      <c r="AA978" t="str">
        <f>"Y"</f>
        <v>Y</v>
      </c>
      <c r="AB978" t="str">
        <f>"SO22000193"</f>
        <v>SO22000193</v>
      </c>
      <c r="AC978">
        <v>5</v>
      </c>
      <c r="AD978" s="1">
        <v>44698</v>
      </c>
      <c r="AE978" t="str">
        <f>"SH23000261"</f>
        <v>SH23000261</v>
      </c>
      <c r="AF978" t="str">
        <f>"משלוחים ללקוח"</f>
        <v>משלוחים ללקוח</v>
      </c>
      <c r="AG978" s="1">
        <v>44978</v>
      </c>
      <c r="AM978" t="str">
        <f>"10"</f>
        <v>10</v>
      </c>
      <c r="AN978" t="str">
        <f>"500000"</f>
        <v>500000</v>
      </c>
      <c r="AO978" t="str">
        <f>"הכנסות  מלקוחות"</f>
        <v>הכנסות  מלקוחות</v>
      </c>
      <c r="AQ978" t="str">
        <f>"034"</f>
        <v>034</v>
      </c>
      <c r="AR978">
        <v>0</v>
      </c>
      <c r="AS978">
        <v>0</v>
      </c>
      <c r="AT978">
        <v>3.456</v>
      </c>
      <c r="AX978" t="str">
        <f>"E000359087"</f>
        <v>E000359087</v>
      </c>
      <c r="BD978" t="str">
        <f>"ערן שלו"</f>
        <v>ערן שלו</v>
      </c>
    </row>
    <row r="979" spans="1:56" x14ac:dyDescent="0.3">
      <c r="A979" s="1">
        <v>44958</v>
      </c>
      <c r="B979" t="str">
        <f>"SI236000170"</f>
        <v>SI236000170</v>
      </c>
      <c r="C979" t="str">
        <f>"PR22000624"</f>
        <v>PR22000624</v>
      </c>
      <c r="E979" t="str">
        <f>"Y"</f>
        <v>Y</v>
      </c>
      <c r="F979" t="str">
        <f>"חשבוניות מרכזות"</f>
        <v>חשבוניות מרכזות</v>
      </c>
      <c r="G979" t="str">
        <f>"700065"</f>
        <v>700065</v>
      </c>
      <c r="H979" t="str">
        <f>"אלתא מערכות בע""מ"</f>
        <v>אלתא מערכות בע"מ</v>
      </c>
      <c r="I979" t="str">
        <f>"10"</f>
        <v>10</v>
      </c>
      <c r="J979" t="str">
        <f>"OP-AR03202"</f>
        <v>OP-AR03202</v>
      </c>
      <c r="K979" t="str">
        <f>"2060B170-001   CABLE ASSY CRW21"</f>
        <v>2060B170-001   CABLE ASSY CRW21</v>
      </c>
      <c r="L979">
        <v>-1</v>
      </c>
      <c r="M979" t="str">
        <f>"יח"</f>
        <v>יח</v>
      </c>
      <c r="N979">
        <v>-1</v>
      </c>
      <c r="O979" t="str">
        <f>"יח"</f>
        <v>יח</v>
      </c>
      <c r="P979">
        <v>261.23</v>
      </c>
      <c r="Q979" t="str">
        <f>"$"</f>
        <v>$</v>
      </c>
      <c r="R979" t="str">
        <f>"הזמנה"</f>
        <v>הזמנה</v>
      </c>
      <c r="S979">
        <v>0</v>
      </c>
      <c r="T979">
        <v>-261.23</v>
      </c>
      <c r="U979">
        <v>0</v>
      </c>
      <c r="V979">
        <v>-261.23</v>
      </c>
      <c r="W979" t="str">
        <f>"$"</f>
        <v>$</v>
      </c>
      <c r="X979">
        <v>0</v>
      </c>
      <c r="Y979">
        <v>0</v>
      </c>
      <c r="Z979">
        <v>0</v>
      </c>
      <c r="AA979" t="str">
        <f>"Y"</f>
        <v>Y</v>
      </c>
      <c r="AC979">
        <v>0</v>
      </c>
      <c r="AM979" t="str">
        <f>"10"</f>
        <v>10</v>
      </c>
      <c r="AN979" t="str">
        <f>"500000"</f>
        <v>500000</v>
      </c>
      <c r="AO979" t="str">
        <f>"הכנסות  מלקוחות"</f>
        <v>הכנסות  מלקוחות</v>
      </c>
      <c r="AQ979" t="str">
        <f>"040"</f>
        <v>040</v>
      </c>
      <c r="AR979">
        <v>0</v>
      </c>
      <c r="AS979">
        <v>0</v>
      </c>
      <c r="AT979">
        <v>3.4750000000000001</v>
      </c>
      <c r="BB979" t="str">
        <f>"Y"</f>
        <v>Y</v>
      </c>
      <c r="BD979" t="str">
        <f>"רחמים זרוק"</f>
        <v>רחמים זרוק</v>
      </c>
    </row>
    <row r="980" spans="1:56" x14ac:dyDescent="0.3">
      <c r="A980" s="1">
        <v>44958</v>
      </c>
      <c r="B980" t="str">
        <f>"SI236000170"</f>
        <v>SI236000170</v>
      </c>
      <c r="C980" t="str">
        <f>"PR22000624"</f>
        <v>PR22000624</v>
      </c>
      <c r="E980" t="str">
        <f>"Y"</f>
        <v>Y</v>
      </c>
      <c r="F980" t="str">
        <f>"חשבוניות מרכזות"</f>
        <v>חשבוניות מרכזות</v>
      </c>
      <c r="G980" t="str">
        <f>"700065"</f>
        <v>700065</v>
      </c>
      <c r="H980" t="str">
        <f>"אלתא מערכות בע""מ"</f>
        <v>אלתא מערכות בע"מ</v>
      </c>
      <c r="I980" t="str">
        <f>"10"</f>
        <v>10</v>
      </c>
      <c r="J980" t="str">
        <f>"OP-AR03011"</f>
        <v>OP-AR03011</v>
      </c>
      <c r="K980" t="str">
        <f>"2083B310-002   VPW2 CABLE ASSY"</f>
        <v>2083B310-002   VPW2 CABLE ASSY</v>
      </c>
      <c r="L980">
        <v>-2</v>
      </c>
      <c r="M980" t="str">
        <f>"יח"</f>
        <v>יח</v>
      </c>
      <c r="N980">
        <v>-2</v>
      </c>
      <c r="O980" t="str">
        <f>"יח"</f>
        <v>יח</v>
      </c>
      <c r="P980" s="2">
        <v>1022.92</v>
      </c>
      <c r="Q980" t="str">
        <f>"$"</f>
        <v>$</v>
      </c>
      <c r="R980" t="str">
        <f>"הזמנה"</f>
        <v>הזמנה</v>
      </c>
      <c r="S980">
        <v>0</v>
      </c>
      <c r="T980" s="2">
        <v>-2045.84</v>
      </c>
      <c r="U980">
        <v>0</v>
      </c>
      <c r="V980" s="2">
        <v>-2045.84</v>
      </c>
      <c r="W980" t="str">
        <f>"$"</f>
        <v>$</v>
      </c>
      <c r="X980">
        <v>0</v>
      </c>
      <c r="Y980">
        <v>0</v>
      </c>
      <c r="Z980">
        <v>0</v>
      </c>
      <c r="AA980" t="str">
        <f>"Y"</f>
        <v>Y</v>
      </c>
      <c r="AC980">
        <v>0</v>
      </c>
      <c r="AM980" t="str">
        <f>"10"</f>
        <v>10</v>
      </c>
      <c r="AN980" t="str">
        <f>"500000"</f>
        <v>500000</v>
      </c>
      <c r="AO980" t="str">
        <f>"הכנסות  מלקוחות"</f>
        <v>הכנסות  מלקוחות</v>
      </c>
      <c r="AQ980" t="str">
        <f>"040"</f>
        <v>040</v>
      </c>
      <c r="AR980">
        <v>0</v>
      </c>
      <c r="AS980">
        <v>0</v>
      </c>
      <c r="AT980">
        <v>3.4750000000000001</v>
      </c>
      <c r="BB980" t="str">
        <f>"Y"</f>
        <v>Y</v>
      </c>
      <c r="BD980" t="str">
        <f>"רחמים זרוק"</f>
        <v>רחמים זרוק</v>
      </c>
    </row>
    <row r="981" spans="1:56" x14ac:dyDescent="0.3">
      <c r="A981" s="1">
        <v>44958</v>
      </c>
      <c r="B981" t="str">
        <f>"SI236000170"</f>
        <v>SI236000170</v>
      </c>
      <c r="C981" t="str">
        <f>"PR22000624"</f>
        <v>PR22000624</v>
      </c>
      <c r="E981" t="str">
        <f>"Y"</f>
        <v>Y</v>
      </c>
      <c r="F981" t="str">
        <f>"חשבוניות מרכזות"</f>
        <v>חשבוניות מרכזות</v>
      </c>
      <c r="G981" t="str">
        <f>"700065"</f>
        <v>700065</v>
      </c>
      <c r="H981" t="str">
        <f>"אלתא מערכות בע""מ"</f>
        <v>אלתא מערכות בע"מ</v>
      </c>
      <c r="I981" t="str">
        <f>"10"</f>
        <v>10</v>
      </c>
      <c r="J981" t="str">
        <f>"OP-AR03011"</f>
        <v>OP-AR03011</v>
      </c>
      <c r="K981" t="str">
        <f>"2083B310-002   VPW2 CABLE ASSY"</f>
        <v>2083B310-002   VPW2 CABLE ASSY</v>
      </c>
      <c r="L981">
        <v>-1</v>
      </c>
      <c r="M981" t="str">
        <f>"יח"</f>
        <v>יח</v>
      </c>
      <c r="N981">
        <v>-1</v>
      </c>
      <c r="O981" t="str">
        <f>"יח"</f>
        <v>יח</v>
      </c>
      <c r="P981" s="2">
        <v>1022.92</v>
      </c>
      <c r="Q981" t="str">
        <f>"$"</f>
        <v>$</v>
      </c>
      <c r="R981" t="str">
        <f>"הזמנה"</f>
        <v>הזמנה</v>
      </c>
      <c r="S981">
        <v>0</v>
      </c>
      <c r="T981" s="2">
        <v>-1022.92</v>
      </c>
      <c r="U981">
        <v>0</v>
      </c>
      <c r="V981" s="2">
        <v>-1022.92</v>
      </c>
      <c r="W981" t="str">
        <f>"$"</f>
        <v>$</v>
      </c>
      <c r="X981">
        <v>0</v>
      </c>
      <c r="Y981">
        <v>0</v>
      </c>
      <c r="Z981">
        <v>0</v>
      </c>
      <c r="AA981" t="str">
        <f>"Y"</f>
        <v>Y</v>
      </c>
      <c r="AC981">
        <v>0</v>
      </c>
      <c r="AM981" t="str">
        <f>"10"</f>
        <v>10</v>
      </c>
      <c r="AN981" t="str">
        <f>"500000"</f>
        <v>500000</v>
      </c>
      <c r="AO981" t="str">
        <f>"הכנסות  מלקוחות"</f>
        <v>הכנסות  מלקוחות</v>
      </c>
      <c r="AQ981" t="str">
        <f>"040"</f>
        <v>040</v>
      </c>
      <c r="AR981">
        <v>0</v>
      </c>
      <c r="AS981">
        <v>0</v>
      </c>
      <c r="AT981">
        <v>3.4750000000000001</v>
      </c>
      <c r="BB981" t="str">
        <f>"Y"</f>
        <v>Y</v>
      </c>
      <c r="BD981" t="str">
        <f>"רחמים זרוק"</f>
        <v>רחמים זרוק</v>
      </c>
    </row>
    <row r="982" spans="1:56" x14ac:dyDescent="0.3">
      <c r="A982" s="1">
        <v>44958</v>
      </c>
      <c r="B982" t="str">
        <f>"SI236000164"</f>
        <v>SI236000164</v>
      </c>
      <c r="C982" t="str">
        <f>"PR22000588"</f>
        <v>PR22000588</v>
      </c>
      <c r="E982" t="str">
        <f>"Y"</f>
        <v>Y</v>
      </c>
      <c r="F982" t="str">
        <f>"חשבוניות מרכזות"</f>
        <v>חשבוניות מרכזות</v>
      </c>
      <c r="G982" t="str">
        <f>"700065"</f>
        <v>700065</v>
      </c>
      <c r="H982" t="str">
        <f>"אלתא מערכות בע""מ"</f>
        <v>אלתא מערכות בע"מ</v>
      </c>
      <c r="I982" t="str">
        <f>"10"</f>
        <v>10</v>
      </c>
      <c r="J982" t="str">
        <f>"PD0201629"</f>
        <v>PD0201629</v>
      </c>
      <c r="K982" t="str">
        <f>"מפרדים למפסק 6  NSX100-250יח LV429329"</f>
        <v>מפרדים למפסק 6  NSX100-250יח LV429329</v>
      </c>
      <c r="L982">
        <v>-24</v>
      </c>
      <c r="M982" t="str">
        <f>"יח"</f>
        <v>יח</v>
      </c>
      <c r="N982">
        <v>-24</v>
      </c>
      <c r="O982" t="str">
        <f>"יח"</f>
        <v>יח</v>
      </c>
      <c r="P982">
        <v>19.5</v>
      </c>
      <c r="Q982" t="str">
        <f>"$"</f>
        <v>$</v>
      </c>
      <c r="R982" t="str">
        <f>"הזמנה"</f>
        <v>הזמנה</v>
      </c>
      <c r="S982">
        <v>0</v>
      </c>
      <c r="T982">
        <v>-468</v>
      </c>
      <c r="U982">
        <v>0</v>
      </c>
      <c r="V982">
        <v>-468</v>
      </c>
      <c r="W982" t="str">
        <f>"$"</f>
        <v>$</v>
      </c>
      <c r="X982">
        <v>0</v>
      </c>
      <c r="Y982">
        <v>0</v>
      </c>
      <c r="Z982">
        <v>0</v>
      </c>
      <c r="AA982" t="str">
        <f>"Y"</f>
        <v>Y</v>
      </c>
      <c r="AC982">
        <v>0</v>
      </c>
      <c r="AM982" t="str">
        <f>"10"</f>
        <v>10</v>
      </c>
      <c r="AN982" t="str">
        <f>"500000"</f>
        <v>500000</v>
      </c>
      <c r="AO982" t="str">
        <f>"הכנסות  מלקוחות"</f>
        <v>הכנסות  מלקוחות</v>
      </c>
      <c r="AQ982" t="str">
        <f>"007"</f>
        <v>007</v>
      </c>
      <c r="AR982">
        <v>0</v>
      </c>
      <c r="AS982">
        <v>0</v>
      </c>
      <c r="AT982">
        <v>3.4750000000000001</v>
      </c>
      <c r="BB982" t="str">
        <f>"Y"</f>
        <v>Y</v>
      </c>
      <c r="BD982" t="str">
        <f>"רוני דידי"</f>
        <v>רוני דידי</v>
      </c>
    </row>
    <row r="983" spans="1:56" x14ac:dyDescent="0.3">
      <c r="A983" s="1">
        <v>44958</v>
      </c>
      <c r="B983" t="str">
        <f>"SI236000164"</f>
        <v>SI236000164</v>
      </c>
      <c r="C983" t="str">
        <f>"PR22000588"</f>
        <v>PR22000588</v>
      </c>
      <c r="E983" t="str">
        <f>"Y"</f>
        <v>Y</v>
      </c>
      <c r="F983" t="str">
        <f>"חשבוניות מרכזות"</f>
        <v>חשבוניות מרכזות</v>
      </c>
      <c r="G983" t="str">
        <f>"700065"</f>
        <v>700065</v>
      </c>
      <c r="H983" t="str">
        <f>"אלתא מערכות בע""מ"</f>
        <v>אלתא מערכות בע"מ</v>
      </c>
      <c r="I983" t="str">
        <f>"10"</f>
        <v>10</v>
      </c>
      <c r="J983" t="str">
        <f>"PD0201629"</f>
        <v>PD0201629</v>
      </c>
      <c r="K983" t="str">
        <f>"מפרדים למפסק 6  NSX100-250יח LV429329"</f>
        <v>מפרדים למפסק 6  NSX100-250יח LV429329</v>
      </c>
      <c r="L983">
        <v>-17</v>
      </c>
      <c r="M983" t="str">
        <f>"יח"</f>
        <v>יח</v>
      </c>
      <c r="N983">
        <v>-17</v>
      </c>
      <c r="O983" t="str">
        <f>"יח"</f>
        <v>יח</v>
      </c>
      <c r="P983">
        <v>19.5</v>
      </c>
      <c r="Q983" t="str">
        <f>"$"</f>
        <v>$</v>
      </c>
      <c r="R983" t="str">
        <f>"הזמנה"</f>
        <v>הזמנה</v>
      </c>
      <c r="S983">
        <v>0</v>
      </c>
      <c r="T983">
        <v>-331.5</v>
      </c>
      <c r="U983">
        <v>0</v>
      </c>
      <c r="V983">
        <v>-331.5</v>
      </c>
      <c r="W983" t="str">
        <f>"$"</f>
        <v>$</v>
      </c>
      <c r="X983">
        <v>0</v>
      </c>
      <c r="Y983">
        <v>0</v>
      </c>
      <c r="Z983">
        <v>0</v>
      </c>
      <c r="AA983" t="str">
        <f>"Y"</f>
        <v>Y</v>
      </c>
      <c r="AC983">
        <v>0</v>
      </c>
      <c r="AM983" t="str">
        <f>"10"</f>
        <v>10</v>
      </c>
      <c r="AN983" t="str">
        <f>"500000"</f>
        <v>500000</v>
      </c>
      <c r="AO983" t="str">
        <f>"הכנסות  מלקוחות"</f>
        <v>הכנסות  מלקוחות</v>
      </c>
      <c r="AQ983" t="str">
        <f>"007"</f>
        <v>007</v>
      </c>
      <c r="AR983">
        <v>0</v>
      </c>
      <c r="AS983">
        <v>0</v>
      </c>
      <c r="AT983">
        <v>3.4750000000000001</v>
      </c>
      <c r="BB983" t="str">
        <f>"Y"</f>
        <v>Y</v>
      </c>
      <c r="BD983" t="str">
        <f>"רוני דידי"</f>
        <v>רוני דידי</v>
      </c>
    </row>
    <row r="984" spans="1:56" x14ac:dyDescent="0.3">
      <c r="A984" s="1">
        <v>44958</v>
      </c>
      <c r="B984" t="str">
        <f>"SI236000164"</f>
        <v>SI236000164</v>
      </c>
      <c r="C984" t="str">
        <f>"PR22000588"</f>
        <v>PR22000588</v>
      </c>
      <c r="E984" t="str">
        <f>"Y"</f>
        <v>Y</v>
      </c>
      <c r="F984" t="str">
        <f>"חשבוניות מרכזות"</f>
        <v>חשבוניות מרכזות</v>
      </c>
      <c r="G984" t="str">
        <f>"700065"</f>
        <v>700065</v>
      </c>
      <c r="H984" t="str">
        <f>"אלתא מערכות בע""מ"</f>
        <v>אלתא מערכות בע"מ</v>
      </c>
      <c r="I984" t="str">
        <f>"10"</f>
        <v>10</v>
      </c>
      <c r="J984" t="str">
        <f>"PD0200874"</f>
        <v>PD0200874</v>
      </c>
      <c r="K984" t="str">
        <f>"כיסוי מגעים קצר 3P ל-NSX100-250 מק""ט:LV429515"</f>
        <v>כיסוי מגעים קצר 3P ל-NSX100-250 מק"ט:LV429515</v>
      </c>
      <c r="L984">
        <v>-24</v>
      </c>
      <c r="M984" t="str">
        <f>"יח"</f>
        <v>יח</v>
      </c>
      <c r="N984">
        <v>-24</v>
      </c>
      <c r="O984" t="str">
        <f>"יח"</f>
        <v>יח</v>
      </c>
      <c r="P984">
        <v>22.6</v>
      </c>
      <c r="Q984" t="str">
        <f>"$"</f>
        <v>$</v>
      </c>
      <c r="R984" t="str">
        <f>"הזמנה"</f>
        <v>הזמנה</v>
      </c>
      <c r="S984">
        <v>0</v>
      </c>
      <c r="T984">
        <v>-542.4</v>
      </c>
      <c r="U984">
        <v>0</v>
      </c>
      <c r="V984">
        <v>-542.4</v>
      </c>
      <c r="W984" t="str">
        <f>"$"</f>
        <v>$</v>
      </c>
      <c r="X984">
        <v>0</v>
      </c>
      <c r="Y984">
        <v>0</v>
      </c>
      <c r="Z984">
        <v>0</v>
      </c>
      <c r="AA984" t="str">
        <f>"Y"</f>
        <v>Y</v>
      </c>
      <c r="AC984">
        <v>0</v>
      </c>
      <c r="AM984" t="str">
        <f>"10"</f>
        <v>10</v>
      </c>
      <c r="AN984" t="str">
        <f>"500000"</f>
        <v>500000</v>
      </c>
      <c r="AO984" t="str">
        <f>"הכנסות  מלקוחות"</f>
        <v>הכנסות  מלקוחות</v>
      </c>
      <c r="AQ984" t="str">
        <f>"007"</f>
        <v>007</v>
      </c>
      <c r="AR984">
        <v>0</v>
      </c>
      <c r="AS984">
        <v>0</v>
      </c>
      <c r="AT984">
        <v>3.4750000000000001</v>
      </c>
      <c r="BB984" t="str">
        <f>"Y"</f>
        <v>Y</v>
      </c>
      <c r="BD984" t="str">
        <f>"רוני דידי"</f>
        <v>רוני דידי</v>
      </c>
    </row>
    <row r="985" spans="1:56" x14ac:dyDescent="0.3">
      <c r="A985" s="1">
        <v>44958</v>
      </c>
      <c r="B985" t="str">
        <f>"SI236000164"</f>
        <v>SI236000164</v>
      </c>
      <c r="C985" t="str">
        <f>"PR22000588"</f>
        <v>PR22000588</v>
      </c>
      <c r="E985" t="str">
        <f>"Y"</f>
        <v>Y</v>
      </c>
      <c r="F985" t="str">
        <f>"חשבוניות מרכזות"</f>
        <v>חשבוניות מרכזות</v>
      </c>
      <c r="G985" t="str">
        <f>"700065"</f>
        <v>700065</v>
      </c>
      <c r="H985" t="str">
        <f>"אלתא מערכות בע""מ"</f>
        <v>אלתא מערכות בע"מ</v>
      </c>
      <c r="I985" t="str">
        <f>"10"</f>
        <v>10</v>
      </c>
      <c r="J985" t="str">
        <f>"PD0200874"</f>
        <v>PD0200874</v>
      </c>
      <c r="K985" t="str">
        <f>"כיסוי מגעים קצר 3P ל-NSX100-250 מק""ט:LV429515"</f>
        <v>כיסוי מגעים קצר 3P ל-NSX100-250 מק"ט:LV429515</v>
      </c>
      <c r="L985">
        <v>-17</v>
      </c>
      <c r="M985" t="str">
        <f>"יח"</f>
        <v>יח</v>
      </c>
      <c r="N985">
        <v>-17</v>
      </c>
      <c r="O985" t="str">
        <f>"יח"</f>
        <v>יח</v>
      </c>
      <c r="P985">
        <v>22.6</v>
      </c>
      <c r="Q985" t="str">
        <f>"$"</f>
        <v>$</v>
      </c>
      <c r="R985" t="str">
        <f>"הזמנה"</f>
        <v>הזמנה</v>
      </c>
      <c r="S985">
        <v>0</v>
      </c>
      <c r="T985">
        <v>-384.2</v>
      </c>
      <c r="U985">
        <v>0</v>
      </c>
      <c r="V985">
        <v>-384.2</v>
      </c>
      <c r="W985" t="str">
        <f>"$"</f>
        <v>$</v>
      </c>
      <c r="X985">
        <v>0</v>
      </c>
      <c r="Y985">
        <v>0</v>
      </c>
      <c r="Z985">
        <v>0</v>
      </c>
      <c r="AA985" t="str">
        <f>"Y"</f>
        <v>Y</v>
      </c>
      <c r="AC985">
        <v>0</v>
      </c>
      <c r="AM985" t="str">
        <f>"10"</f>
        <v>10</v>
      </c>
      <c r="AN985" t="str">
        <f>"500000"</f>
        <v>500000</v>
      </c>
      <c r="AO985" t="str">
        <f>"הכנסות  מלקוחות"</f>
        <v>הכנסות  מלקוחות</v>
      </c>
      <c r="AQ985" t="str">
        <f>"007"</f>
        <v>007</v>
      </c>
      <c r="AR985">
        <v>0</v>
      </c>
      <c r="AS985">
        <v>0</v>
      </c>
      <c r="AT985">
        <v>3.4750000000000001</v>
      </c>
      <c r="BB985" t="str">
        <f>"Y"</f>
        <v>Y</v>
      </c>
      <c r="BD985" t="str">
        <f>"רוני דידי"</f>
        <v>רוני דידי</v>
      </c>
    </row>
    <row r="986" spans="1:56" x14ac:dyDescent="0.3">
      <c r="A986" s="1">
        <v>44958</v>
      </c>
      <c r="B986" t="str">
        <f>"SI236000164"</f>
        <v>SI236000164</v>
      </c>
      <c r="C986" t="str">
        <f>"PR22000588"</f>
        <v>PR22000588</v>
      </c>
      <c r="E986" t="str">
        <f>"Y"</f>
        <v>Y</v>
      </c>
      <c r="F986" t="str">
        <f>"חשבוניות מרכזות"</f>
        <v>חשבוניות מרכזות</v>
      </c>
      <c r="G986" t="str">
        <f>"700065"</f>
        <v>700065</v>
      </c>
      <c r="H986" t="str">
        <f>"אלתא מערכות בע""מ"</f>
        <v>אלתא מערכות בע"מ</v>
      </c>
      <c r="I986" t="str">
        <f>"10"</f>
        <v>10</v>
      </c>
      <c r="J986" t="str">
        <f>"PD0201550"</f>
        <v>PD0201550</v>
      </c>
      <c r="K986" t="str">
        <f>"כיסוי מגעים ארוך 3P ל-NSX100-250 מק""ט:LV429517"</f>
        <v>כיסוי מגעים ארוך 3P ל-NSX100-250 מק"ט:LV429517</v>
      </c>
      <c r="L986">
        <v>-17</v>
      </c>
      <c r="M986" t="str">
        <f>"יח"</f>
        <v>יח</v>
      </c>
      <c r="N986">
        <v>-17</v>
      </c>
      <c r="O986" t="str">
        <f>"יח"</f>
        <v>יח</v>
      </c>
      <c r="P986">
        <v>26.4</v>
      </c>
      <c r="Q986" t="str">
        <f>"$"</f>
        <v>$</v>
      </c>
      <c r="R986" t="str">
        <f>"הזמנה"</f>
        <v>הזמנה</v>
      </c>
      <c r="S986">
        <v>0</v>
      </c>
      <c r="T986">
        <v>-448.8</v>
      </c>
      <c r="U986">
        <v>0</v>
      </c>
      <c r="V986">
        <v>-448.8</v>
      </c>
      <c r="W986" t="str">
        <f>"$"</f>
        <v>$</v>
      </c>
      <c r="X986">
        <v>0</v>
      </c>
      <c r="Y986">
        <v>0</v>
      </c>
      <c r="Z986">
        <v>0</v>
      </c>
      <c r="AA986" t="str">
        <f>"Y"</f>
        <v>Y</v>
      </c>
      <c r="AC986">
        <v>0</v>
      </c>
      <c r="AM986" t="str">
        <f>"10"</f>
        <v>10</v>
      </c>
      <c r="AN986" t="str">
        <f>"500000"</f>
        <v>500000</v>
      </c>
      <c r="AO986" t="str">
        <f>"הכנסות  מלקוחות"</f>
        <v>הכנסות  מלקוחות</v>
      </c>
      <c r="AQ986" t="str">
        <f>"007"</f>
        <v>007</v>
      </c>
      <c r="AR986">
        <v>0</v>
      </c>
      <c r="AS986">
        <v>0</v>
      </c>
      <c r="AT986">
        <v>3.4750000000000001</v>
      </c>
      <c r="BB986" t="str">
        <f>"Y"</f>
        <v>Y</v>
      </c>
      <c r="BD986" t="str">
        <f>"רוני דידי"</f>
        <v>רוני דידי</v>
      </c>
    </row>
    <row r="987" spans="1:56" x14ac:dyDescent="0.3">
      <c r="A987" s="1">
        <v>44958</v>
      </c>
      <c r="B987" t="str">
        <f>"SI236000164"</f>
        <v>SI236000164</v>
      </c>
      <c r="C987" t="str">
        <f>"PR22000588"</f>
        <v>PR22000588</v>
      </c>
      <c r="E987" t="str">
        <f>"Y"</f>
        <v>Y</v>
      </c>
      <c r="F987" t="str">
        <f>"חשבוניות מרכזות"</f>
        <v>חשבוניות מרכזות</v>
      </c>
      <c r="G987" t="str">
        <f>"700065"</f>
        <v>700065</v>
      </c>
      <c r="H987" t="str">
        <f>"אלתא מערכות בע""מ"</f>
        <v>אלתא מערכות בע"מ</v>
      </c>
      <c r="I987" t="str">
        <f>"10"</f>
        <v>10</v>
      </c>
      <c r="J987" t="str">
        <f>"PD0201550"</f>
        <v>PD0201550</v>
      </c>
      <c r="K987" t="str">
        <f>"כיסוי מגעים ארוך 3P ל-NSX100-250 מק""ט:LV429517"</f>
        <v>כיסוי מגעים ארוך 3P ל-NSX100-250 מק"ט:LV429517</v>
      </c>
      <c r="L987">
        <v>-24</v>
      </c>
      <c r="M987" t="str">
        <f>"יח"</f>
        <v>יח</v>
      </c>
      <c r="N987">
        <v>-24</v>
      </c>
      <c r="O987" t="str">
        <f>"יח"</f>
        <v>יח</v>
      </c>
      <c r="P987">
        <v>26.4</v>
      </c>
      <c r="Q987" t="str">
        <f>"$"</f>
        <v>$</v>
      </c>
      <c r="R987" t="str">
        <f>"הזמנה"</f>
        <v>הזמנה</v>
      </c>
      <c r="S987">
        <v>0</v>
      </c>
      <c r="T987">
        <v>-633.6</v>
      </c>
      <c r="U987">
        <v>0</v>
      </c>
      <c r="V987">
        <v>-633.6</v>
      </c>
      <c r="W987" t="str">
        <f>"$"</f>
        <v>$</v>
      </c>
      <c r="X987">
        <v>0</v>
      </c>
      <c r="Y987">
        <v>0</v>
      </c>
      <c r="Z987">
        <v>0</v>
      </c>
      <c r="AA987" t="str">
        <f>"Y"</f>
        <v>Y</v>
      </c>
      <c r="AC987">
        <v>0</v>
      </c>
      <c r="AM987" t="str">
        <f>"10"</f>
        <v>10</v>
      </c>
      <c r="AN987" t="str">
        <f>"500000"</f>
        <v>500000</v>
      </c>
      <c r="AO987" t="str">
        <f>"הכנסות  מלקוחות"</f>
        <v>הכנסות  מלקוחות</v>
      </c>
      <c r="AQ987" t="str">
        <f>"007"</f>
        <v>007</v>
      </c>
      <c r="AR987">
        <v>0</v>
      </c>
      <c r="AS987">
        <v>0</v>
      </c>
      <c r="AT987">
        <v>3.4750000000000001</v>
      </c>
      <c r="BB987" t="str">
        <f>"Y"</f>
        <v>Y</v>
      </c>
      <c r="BD987" t="str">
        <f>"רוני דידי"</f>
        <v>רוני דידי</v>
      </c>
    </row>
    <row r="988" spans="1:56" x14ac:dyDescent="0.3">
      <c r="A988" s="1">
        <v>44958</v>
      </c>
      <c r="B988" t="str">
        <f>"SI236000163"</f>
        <v>SI236000163</v>
      </c>
      <c r="C988" t="str">
        <f>"PR22000675"</f>
        <v>PR22000675</v>
      </c>
      <c r="E988" t="str">
        <f>"Y"</f>
        <v>Y</v>
      </c>
      <c r="F988" t="str">
        <f>"חשבוניות מרכזות"</f>
        <v>חשבוניות מרכזות</v>
      </c>
      <c r="G988" t="str">
        <f>"700065"</f>
        <v>700065</v>
      </c>
      <c r="H988" t="str">
        <f>"אלתא מערכות בע""מ"</f>
        <v>אלתא מערכות בע"מ</v>
      </c>
      <c r="I988" t="str">
        <f>"10"</f>
        <v>10</v>
      </c>
      <c r="J988" t="str">
        <f>"OP-AR03378"</f>
        <v>OP-AR03378</v>
      </c>
      <c r="K988" t="str">
        <f>"2222B722-001    COMM CABLE FOR MMR and RPA"</f>
        <v>2222B722-001    COMM CABLE FOR MMR and RPA</v>
      </c>
      <c r="L988">
        <v>-1</v>
      </c>
      <c r="M988" t="str">
        <f>"יח"</f>
        <v>יח</v>
      </c>
      <c r="N988">
        <v>-1</v>
      </c>
      <c r="O988" t="str">
        <f>"יח"</f>
        <v>יח</v>
      </c>
      <c r="P988">
        <v>525.52</v>
      </c>
      <c r="Q988" t="str">
        <f>"$"</f>
        <v>$</v>
      </c>
      <c r="R988" t="str">
        <f>"הזמנה"</f>
        <v>הזמנה</v>
      </c>
      <c r="S988">
        <v>0</v>
      </c>
      <c r="T988">
        <v>-525.52</v>
      </c>
      <c r="U988">
        <v>0</v>
      </c>
      <c r="V988">
        <v>-525.52</v>
      </c>
      <c r="W988" t="str">
        <f>"$"</f>
        <v>$</v>
      </c>
      <c r="X988">
        <v>0</v>
      </c>
      <c r="Y988">
        <v>0</v>
      </c>
      <c r="Z988">
        <v>0</v>
      </c>
      <c r="AA988" t="str">
        <f>"Y"</f>
        <v>Y</v>
      </c>
      <c r="AC988">
        <v>0</v>
      </c>
      <c r="AM988" t="str">
        <f>"10"</f>
        <v>10</v>
      </c>
      <c r="AN988" t="str">
        <f>"500000"</f>
        <v>500000</v>
      </c>
      <c r="AO988" t="str">
        <f>"הכנסות  מלקוחות"</f>
        <v>הכנסות  מלקוחות</v>
      </c>
      <c r="AQ988" t="str">
        <f>"040"</f>
        <v>040</v>
      </c>
      <c r="AR988">
        <v>0</v>
      </c>
      <c r="AS988">
        <v>0</v>
      </c>
      <c r="AT988">
        <v>3.4750000000000001</v>
      </c>
      <c r="BB988" t="str">
        <f>"Y"</f>
        <v>Y</v>
      </c>
      <c r="BD988" t="str">
        <f>"רחמים זרוק"</f>
        <v>רחמים זרוק</v>
      </c>
    </row>
    <row r="989" spans="1:56" x14ac:dyDescent="0.3">
      <c r="A989" s="1">
        <v>44958</v>
      </c>
      <c r="B989" t="str">
        <f>"SI236000145"</f>
        <v>SI236000145</v>
      </c>
      <c r="C989" t="str">
        <f>"PR22000624"</f>
        <v>PR22000624</v>
      </c>
      <c r="E989" t="str">
        <f>"Y"</f>
        <v>Y</v>
      </c>
      <c r="F989" t="str">
        <f>"חשבוניות מרכזות"</f>
        <v>חשבוניות מרכזות</v>
      </c>
      <c r="G989" t="str">
        <f>"700065"</f>
        <v>700065</v>
      </c>
      <c r="H989" t="str">
        <f>"אלתא מערכות בע""מ"</f>
        <v>אלתא מערכות בע"מ</v>
      </c>
      <c r="I989" t="str">
        <f>"10"</f>
        <v>10</v>
      </c>
      <c r="J989" t="str">
        <f>"OP-AR03202"</f>
        <v>OP-AR03202</v>
      </c>
      <c r="K989" t="str">
        <f>"2060B170-001   CABLE ASSY CRW21"</f>
        <v>2060B170-001   CABLE ASSY CRW21</v>
      </c>
      <c r="L989">
        <v>1</v>
      </c>
      <c r="M989" t="str">
        <f>"יח"</f>
        <v>יח</v>
      </c>
      <c r="N989">
        <v>1</v>
      </c>
      <c r="O989" t="str">
        <f>"יח"</f>
        <v>יח</v>
      </c>
      <c r="P989">
        <v>261.23</v>
      </c>
      <c r="Q989" t="str">
        <f>"$"</f>
        <v>$</v>
      </c>
      <c r="R989" t="str">
        <f>"הזמנה"</f>
        <v>הזמנה</v>
      </c>
      <c r="S989">
        <v>0</v>
      </c>
      <c r="T989">
        <v>261.23</v>
      </c>
      <c r="U989">
        <v>0</v>
      </c>
      <c r="V989">
        <v>261.23</v>
      </c>
      <c r="W989" t="str">
        <f>"$"</f>
        <v>$</v>
      </c>
      <c r="X989">
        <v>0</v>
      </c>
      <c r="Y989">
        <v>0</v>
      </c>
      <c r="Z989">
        <v>0</v>
      </c>
      <c r="AA989" t="str">
        <f>"Y"</f>
        <v>Y</v>
      </c>
      <c r="AC989">
        <v>0</v>
      </c>
      <c r="AM989" t="str">
        <f>"10"</f>
        <v>10</v>
      </c>
      <c r="AN989" t="str">
        <f>"500000"</f>
        <v>500000</v>
      </c>
      <c r="AO989" t="str">
        <f>"הכנסות  מלקוחות"</f>
        <v>הכנסות  מלקוחות</v>
      </c>
      <c r="AQ989" t="str">
        <f>"040"</f>
        <v>040</v>
      </c>
      <c r="AR989">
        <v>0</v>
      </c>
      <c r="AS989">
        <v>0</v>
      </c>
      <c r="AT989">
        <v>3.4750000000000001</v>
      </c>
      <c r="BB989" t="str">
        <f>"Y"</f>
        <v>Y</v>
      </c>
      <c r="BD989" t="str">
        <f>"רחמים זרוק"</f>
        <v>רחמים זרוק</v>
      </c>
    </row>
    <row r="990" spans="1:56" x14ac:dyDescent="0.3">
      <c r="A990" s="1">
        <v>44958</v>
      </c>
      <c r="B990" t="str">
        <f>"SI236000145"</f>
        <v>SI236000145</v>
      </c>
      <c r="C990" t="str">
        <f>"PR22000624"</f>
        <v>PR22000624</v>
      </c>
      <c r="E990" t="str">
        <f>"Y"</f>
        <v>Y</v>
      </c>
      <c r="F990" t="str">
        <f>"חשבוניות מרכזות"</f>
        <v>חשבוניות מרכזות</v>
      </c>
      <c r="G990" t="str">
        <f>"700065"</f>
        <v>700065</v>
      </c>
      <c r="H990" t="str">
        <f>"אלתא מערכות בע""מ"</f>
        <v>אלתא מערכות בע"מ</v>
      </c>
      <c r="I990" t="str">
        <f>"10"</f>
        <v>10</v>
      </c>
      <c r="J990" t="str">
        <f>"OP-AR03011"</f>
        <v>OP-AR03011</v>
      </c>
      <c r="K990" t="str">
        <f>"2083B310-002   VPW2 CABLE ASSY"</f>
        <v>2083B310-002   VPW2 CABLE ASSY</v>
      </c>
      <c r="L990">
        <v>2</v>
      </c>
      <c r="M990" t="str">
        <f>"יח"</f>
        <v>יח</v>
      </c>
      <c r="N990">
        <v>2</v>
      </c>
      <c r="O990" t="str">
        <f>"יח"</f>
        <v>יח</v>
      </c>
      <c r="P990" s="2">
        <v>1022.92</v>
      </c>
      <c r="Q990" t="str">
        <f>"$"</f>
        <v>$</v>
      </c>
      <c r="R990" t="str">
        <f>"הזמנה"</f>
        <v>הזמנה</v>
      </c>
      <c r="S990">
        <v>0</v>
      </c>
      <c r="T990" s="2">
        <v>2045.84</v>
      </c>
      <c r="U990">
        <v>0</v>
      </c>
      <c r="V990" s="2">
        <v>2045.84</v>
      </c>
      <c r="W990" t="str">
        <f>"$"</f>
        <v>$</v>
      </c>
      <c r="X990">
        <v>0</v>
      </c>
      <c r="Y990">
        <v>0</v>
      </c>
      <c r="Z990">
        <v>0</v>
      </c>
      <c r="AA990" t="str">
        <f>"Y"</f>
        <v>Y</v>
      </c>
      <c r="AC990">
        <v>0</v>
      </c>
      <c r="AM990" t="str">
        <f>"10"</f>
        <v>10</v>
      </c>
      <c r="AN990" t="str">
        <f>"500000"</f>
        <v>500000</v>
      </c>
      <c r="AO990" t="str">
        <f>"הכנסות  מלקוחות"</f>
        <v>הכנסות  מלקוחות</v>
      </c>
      <c r="AQ990" t="str">
        <f>"040"</f>
        <v>040</v>
      </c>
      <c r="AR990">
        <v>0</v>
      </c>
      <c r="AS990">
        <v>0</v>
      </c>
      <c r="AT990">
        <v>3.4750000000000001</v>
      </c>
      <c r="BB990" t="str">
        <f>"Y"</f>
        <v>Y</v>
      </c>
      <c r="BD990" t="str">
        <f>"רחמים זרוק"</f>
        <v>רחמים זרוק</v>
      </c>
    </row>
    <row r="991" spans="1:56" x14ac:dyDescent="0.3">
      <c r="A991" s="1">
        <v>44958</v>
      </c>
      <c r="B991" t="str">
        <f>"SI236000145"</f>
        <v>SI236000145</v>
      </c>
      <c r="C991" t="str">
        <f>"PR22000624"</f>
        <v>PR22000624</v>
      </c>
      <c r="E991" t="str">
        <f>"Y"</f>
        <v>Y</v>
      </c>
      <c r="F991" t="str">
        <f>"חשבוניות מרכזות"</f>
        <v>חשבוניות מרכזות</v>
      </c>
      <c r="G991" t="str">
        <f>"700065"</f>
        <v>700065</v>
      </c>
      <c r="H991" t="str">
        <f>"אלתא מערכות בע""מ"</f>
        <v>אלתא מערכות בע"מ</v>
      </c>
      <c r="I991" t="str">
        <f>"10"</f>
        <v>10</v>
      </c>
      <c r="J991" t="str">
        <f>"OP-AR03011"</f>
        <v>OP-AR03011</v>
      </c>
      <c r="K991" t="str">
        <f>"2083B310-002   VPW2 CABLE ASSY"</f>
        <v>2083B310-002   VPW2 CABLE ASSY</v>
      </c>
      <c r="L991">
        <v>1</v>
      </c>
      <c r="M991" t="str">
        <f>"יח"</f>
        <v>יח</v>
      </c>
      <c r="N991">
        <v>1</v>
      </c>
      <c r="O991" t="str">
        <f>"יח"</f>
        <v>יח</v>
      </c>
      <c r="P991" s="2">
        <v>1022.92</v>
      </c>
      <c r="Q991" t="str">
        <f>"$"</f>
        <v>$</v>
      </c>
      <c r="R991" t="str">
        <f>"הזמנה"</f>
        <v>הזמנה</v>
      </c>
      <c r="S991">
        <v>0</v>
      </c>
      <c r="T991" s="2">
        <v>1022.92</v>
      </c>
      <c r="U991">
        <v>0</v>
      </c>
      <c r="V991" s="2">
        <v>1022.92</v>
      </c>
      <c r="W991" t="str">
        <f>"$"</f>
        <v>$</v>
      </c>
      <c r="X991">
        <v>0</v>
      </c>
      <c r="Y991">
        <v>0</v>
      </c>
      <c r="Z991">
        <v>0</v>
      </c>
      <c r="AA991" t="str">
        <f>"Y"</f>
        <v>Y</v>
      </c>
      <c r="AC991">
        <v>0</v>
      </c>
      <c r="AM991" t="str">
        <f>"10"</f>
        <v>10</v>
      </c>
      <c r="AN991" t="str">
        <f>"500000"</f>
        <v>500000</v>
      </c>
      <c r="AO991" t="str">
        <f>"הכנסות  מלקוחות"</f>
        <v>הכנסות  מלקוחות</v>
      </c>
      <c r="AQ991" t="str">
        <f>"040"</f>
        <v>040</v>
      </c>
      <c r="AR991">
        <v>0</v>
      </c>
      <c r="AS991">
        <v>0</v>
      </c>
      <c r="AT991">
        <v>3.4750000000000001</v>
      </c>
      <c r="BB991" t="str">
        <f>"Y"</f>
        <v>Y</v>
      </c>
      <c r="BD991" t="str">
        <f>"רחמים זרוק"</f>
        <v>רחמים זרוק</v>
      </c>
    </row>
    <row r="992" spans="1:56" x14ac:dyDescent="0.3">
      <c r="A992" s="1">
        <v>44958</v>
      </c>
      <c r="B992" t="str">
        <f>"SI236000141"</f>
        <v>SI236000141</v>
      </c>
      <c r="C992" t="str">
        <f>"PR22000588"</f>
        <v>PR22000588</v>
      </c>
      <c r="E992" t="str">
        <f>"Y"</f>
        <v>Y</v>
      </c>
      <c r="F992" t="str">
        <f>"חשבוניות מרכזות"</f>
        <v>חשבוניות מרכזות</v>
      </c>
      <c r="G992" t="str">
        <f>"700065"</f>
        <v>700065</v>
      </c>
      <c r="H992" t="str">
        <f>"אלתא מערכות בע""מ"</f>
        <v>אלתא מערכות בע"מ</v>
      </c>
      <c r="I992" t="str">
        <f>"10"</f>
        <v>10</v>
      </c>
      <c r="J992" t="str">
        <f>"PD0201629"</f>
        <v>PD0201629</v>
      </c>
      <c r="K992" t="str">
        <f>"מפרדים למפסק 6  NSX100-250יח LV429329"</f>
        <v>מפרדים למפסק 6  NSX100-250יח LV429329</v>
      </c>
      <c r="L992">
        <v>24</v>
      </c>
      <c r="M992" t="str">
        <f>"יח"</f>
        <v>יח</v>
      </c>
      <c r="N992">
        <v>24</v>
      </c>
      <c r="O992" t="str">
        <f>"יח"</f>
        <v>יח</v>
      </c>
      <c r="P992">
        <v>19.5</v>
      </c>
      <c r="Q992" t="str">
        <f>"$"</f>
        <v>$</v>
      </c>
      <c r="R992" t="str">
        <f>"הזמנה"</f>
        <v>הזמנה</v>
      </c>
      <c r="S992">
        <v>0</v>
      </c>
      <c r="T992">
        <v>468</v>
      </c>
      <c r="U992">
        <v>0</v>
      </c>
      <c r="V992">
        <v>468</v>
      </c>
      <c r="W992" t="str">
        <f>"$"</f>
        <v>$</v>
      </c>
      <c r="X992">
        <v>0</v>
      </c>
      <c r="Y992">
        <v>0</v>
      </c>
      <c r="Z992">
        <v>0</v>
      </c>
      <c r="AA992" t="str">
        <f>"Y"</f>
        <v>Y</v>
      </c>
      <c r="AC992">
        <v>0</v>
      </c>
      <c r="AM992" t="str">
        <f>"10"</f>
        <v>10</v>
      </c>
      <c r="AN992" t="str">
        <f>"500000"</f>
        <v>500000</v>
      </c>
      <c r="AO992" t="str">
        <f>"הכנסות  מלקוחות"</f>
        <v>הכנסות  מלקוחות</v>
      </c>
      <c r="AQ992" t="str">
        <f>"007"</f>
        <v>007</v>
      </c>
      <c r="AR992">
        <v>0</v>
      </c>
      <c r="AS992">
        <v>0</v>
      </c>
      <c r="AT992">
        <v>3.4750000000000001</v>
      </c>
      <c r="BB992" t="str">
        <f>"Y"</f>
        <v>Y</v>
      </c>
      <c r="BD992" t="str">
        <f>"רוני דידי"</f>
        <v>רוני דידי</v>
      </c>
    </row>
    <row r="993" spans="1:56" x14ac:dyDescent="0.3">
      <c r="A993" s="1">
        <v>44958</v>
      </c>
      <c r="B993" t="str">
        <f>"SI236000141"</f>
        <v>SI236000141</v>
      </c>
      <c r="C993" t="str">
        <f>"PR22000588"</f>
        <v>PR22000588</v>
      </c>
      <c r="E993" t="str">
        <f>"Y"</f>
        <v>Y</v>
      </c>
      <c r="F993" t="str">
        <f>"חשבוניות מרכזות"</f>
        <v>חשבוניות מרכזות</v>
      </c>
      <c r="G993" t="str">
        <f>"700065"</f>
        <v>700065</v>
      </c>
      <c r="H993" t="str">
        <f>"אלתא מערכות בע""מ"</f>
        <v>אלתא מערכות בע"מ</v>
      </c>
      <c r="I993" t="str">
        <f>"10"</f>
        <v>10</v>
      </c>
      <c r="J993" t="str">
        <f>"PD0201629"</f>
        <v>PD0201629</v>
      </c>
      <c r="K993" t="str">
        <f>"מפרדים למפסק 6  NSX100-250יח LV429329"</f>
        <v>מפרדים למפסק 6  NSX100-250יח LV429329</v>
      </c>
      <c r="L993">
        <v>17</v>
      </c>
      <c r="M993" t="str">
        <f>"יח"</f>
        <v>יח</v>
      </c>
      <c r="N993">
        <v>17</v>
      </c>
      <c r="O993" t="str">
        <f>"יח"</f>
        <v>יח</v>
      </c>
      <c r="P993">
        <v>19.5</v>
      </c>
      <c r="Q993" t="str">
        <f>"$"</f>
        <v>$</v>
      </c>
      <c r="R993" t="str">
        <f>"הזמנה"</f>
        <v>הזמנה</v>
      </c>
      <c r="S993">
        <v>0</v>
      </c>
      <c r="T993">
        <v>331.5</v>
      </c>
      <c r="U993">
        <v>0</v>
      </c>
      <c r="V993">
        <v>331.5</v>
      </c>
      <c r="W993" t="str">
        <f>"$"</f>
        <v>$</v>
      </c>
      <c r="X993">
        <v>0</v>
      </c>
      <c r="Y993">
        <v>0</v>
      </c>
      <c r="Z993">
        <v>0</v>
      </c>
      <c r="AA993" t="str">
        <f>"Y"</f>
        <v>Y</v>
      </c>
      <c r="AC993">
        <v>0</v>
      </c>
      <c r="AM993" t="str">
        <f>"10"</f>
        <v>10</v>
      </c>
      <c r="AN993" t="str">
        <f>"500000"</f>
        <v>500000</v>
      </c>
      <c r="AO993" t="str">
        <f>"הכנסות  מלקוחות"</f>
        <v>הכנסות  מלקוחות</v>
      </c>
      <c r="AQ993" t="str">
        <f>"007"</f>
        <v>007</v>
      </c>
      <c r="AR993">
        <v>0</v>
      </c>
      <c r="AS993">
        <v>0</v>
      </c>
      <c r="AT993">
        <v>3.4750000000000001</v>
      </c>
      <c r="BB993" t="str">
        <f>"Y"</f>
        <v>Y</v>
      </c>
      <c r="BD993" t="str">
        <f>"רוני דידי"</f>
        <v>רוני דידי</v>
      </c>
    </row>
    <row r="994" spans="1:56" x14ac:dyDescent="0.3">
      <c r="A994" s="1">
        <v>44958</v>
      </c>
      <c r="B994" t="str">
        <f>"SI236000141"</f>
        <v>SI236000141</v>
      </c>
      <c r="C994" t="str">
        <f>"PR22000588"</f>
        <v>PR22000588</v>
      </c>
      <c r="E994" t="str">
        <f>"Y"</f>
        <v>Y</v>
      </c>
      <c r="F994" t="str">
        <f>"חשבוניות מרכזות"</f>
        <v>חשבוניות מרכזות</v>
      </c>
      <c r="G994" t="str">
        <f>"700065"</f>
        <v>700065</v>
      </c>
      <c r="H994" t="str">
        <f>"אלתא מערכות בע""מ"</f>
        <v>אלתא מערכות בע"מ</v>
      </c>
      <c r="I994" t="str">
        <f>"10"</f>
        <v>10</v>
      </c>
      <c r="J994" t="str">
        <f>"PD0200874"</f>
        <v>PD0200874</v>
      </c>
      <c r="K994" t="str">
        <f>"כיסוי מגעים קצר 3P ל-NSX100-250 מק""ט:LV429515"</f>
        <v>כיסוי מגעים קצר 3P ל-NSX100-250 מק"ט:LV429515</v>
      </c>
      <c r="L994">
        <v>24</v>
      </c>
      <c r="M994" t="str">
        <f>"יח"</f>
        <v>יח</v>
      </c>
      <c r="N994">
        <v>24</v>
      </c>
      <c r="O994" t="str">
        <f>"יח"</f>
        <v>יח</v>
      </c>
      <c r="P994">
        <v>22.6</v>
      </c>
      <c r="Q994" t="str">
        <f>"$"</f>
        <v>$</v>
      </c>
      <c r="R994" t="str">
        <f>"הזמנה"</f>
        <v>הזמנה</v>
      </c>
      <c r="S994">
        <v>0</v>
      </c>
      <c r="T994">
        <v>542.4</v>
      </c>
      <c r="U994">
        <v>0</v>
      </c>
      <c r="V994">
        <v>542.4</v>
      </c>
      <c r="W994" t="str">
        <f>"$"</f>
        <v>$</v>
      </c>
      <c r="X994">
        <v>0</v>
      </c>
      <c r="Y994">
        <v>0</v>
      </c>
      <c r="Z994">
        <v>0</v>
      </c>
      <c r="AA994" t="str">
        <f>"Y"</f>
        <v>Y</v>
      </c>
      <c r="AC994">
        <v>0</v>
      </c>
      <c r="AM994" t="str">
        <f>"10"</f>
        <v>10</v>
      </c>
      <c r="AN994" t="str">
        <f>"500000"</f>
        <v>500000</v>
      </c>
      <c r="AO994" t="str">
        <f>"הכנסות  מלקוחות"</f>
        <v>הכנסות  מלקוחות</v>
      </c>
      <c r="AQ994" t="str">
        <f>"007"</f>
        <v>007</v>
      </c>
      <c r="AR994">
        <v>0</v>
      </c>
      <c r="AS994">
        <v>0</v>
      </c>
      <c r="AT994">
        <v>3.4750000000000001</v>
      </c>
      <c r="BB994" t="str">
        <f>"Y"</f>
        <v>Y</v>
      </c>
      <c r="BD994" t="str">
        <f>"רוני דידי"</f>
        <v>רוני דידי</v>
      </c>
    </row>
    <row r="995" spans="1:56" x14ac:dyDescent="0.3">
      <c r="A995" s="1">
        <v>44958</v>
      </c>
      <c r="B995" t="str">
        <f>"SI236000141"</f>
        <v>SI236000141</v>
      </c>
      <c r="C995" t="str">
        <f>"PR22000588"</f>
        <v>PR22000588</v>
      </c>
      <c r="E995" t="str">
        <f>"Y"</f>
        <v>Y</v>
      </c>
      <c r="F995" t="str">
        <f>"חשבוניות מרכזות"</f>
        <v>חשבוניות מרכזות</v>
      </c>
      <c r="G995" t="str">
        <f>"700065"</f>
        <v>700065</v>
      </c>
      <c r="H995" t="str">
        <f>"אלתא מערכות בע""מ"</f>
        <v>אלתא מערכות בע"מ</v>
      </c>
      <c r="I995" t="str">
        <f>"10"</f>
        <v>10</v>
      </c>
      <c r="J995" t="str">
        <f>"PD0200874"</f>
        <v>PD0200874</v>
      </c>
      <c r="K995" t="str">
        <f>"כיסוי מגעים קצר 3P ל-NSX100-250 מק""ט:LV429515"</f>
        <v>כיסוי מגעים קצר 3P ל-NSX100-250 מק"ט:LV429515</v>
      </c>
      <c r="L995">
        <v>17</v>
      </c>
      <c r="M995" t="str">
        <f>"יח"</f>
        <v>יח</v>
      </c>
      <c r="N995">
        <v>17</v>
      </c>
      <c r="O995" t="str">
        <f>"יח"</f>
        <v>יח</v>
      </c>
      <c r="P995">
        <v>22.6</v>
      </c>
      <c r="Q995" t="str">
        <f>"$"</f>
        <v>$</v>
      </c>
      <c r="R995" t="str">
        <f>"הזמנה"</f>
        <v>הזמנה</v>
      </c>
      <c r="S995">
        <v>0</v>
      </c>
      <c r="T995">
        <v>384.2</v>
      </c>
      <c r="U995">
        <v>0</v>
      </c>
      <c r="V995">
        <v>384.2</v>
      </c>
      <c r="W995" t="str">
        <f>"$"</f>
        <v>$</v>
      </c>
      <c r="X995">
        <v>0</v>
      </c>
      <c r="Y995">
        <v>0</v>
      </c>
      <c r="Z995">
        <v>0</v>
      </c>
      <c r="AA995" t="str">
        <f>"Y"</f>
        <v>Y</v>
      </c>
      <c r="AC995">
        <v>0</v>
      </c>
      <c r="AM995" t="str">
        <f>"10"</f>
        <v>10</v>
      </c>
      <c r="AN995" t="str">
        <f>"500000"</f>
        <v>500000</v>
      </c>
      <c r="AO995" t="str">
        <f>"הכנסות  מלקוחות"</f>
        <v>הכנסות  מלקוחות</v>
      </c>
      <c r="AQ995" t="str">
        <f>"007"</f>
        <v>007</v>
      </c>
      <c r="AR995">
        <v>0</v>
      </c>
      <c r="AS995">
        <v>0</v>
      </c>
      <c r="AT995">
        <v>3.4750000000000001</v>
      </c>
      <c r="BB995" t="str">
        <f>"Y"</f>
        <v>Y</v>
      </c>
      <c r="BD995" t="str">
        <f>"רוני דידי"</f>
        <v>רוני דידי</v>
      </c>
    </row>
    <row r="996" spans="1:56" x14ac:dyDescent="0.3">
      <c r="A996" s="1">
        <v>44958</v>
      </c>
      <c r="B996" t="str">
        <f>"SI236000141"</f>
        <v>SI236000141</v>
      </c>
      <c r="C996" t="str">
        <f>"PR22000588"</f>
        <v>PR22000588</v>
      </c>
      <c r="E996" t="str">
        <f>"Y"</f>
        <v>Y</v>
      </c>
      <c r="F996" t="str">
        <f>"חשבוניות מרכזות"</f>
        <v>חשבוניות מרכזות</v>
      </c>
      <c r="G996" t="str">
        <f>"700065"</f>
        <v>700065</v>
      </c>
      <c r="H996" t="str">
        <f>"אלתא מערכות בע""מ"</f>
        <v>אלתא מערכות בע"מ</v>
      </c>
      <c r="I996" t="str">
        <f>"10"</f>
        <v>10</v>
      </c>
      <c r="J996" t="str">
        <f>"PD0201550"</f>
        <v>PD0201550</v>
      </c>
      <c r="K996" t="str">
        <f>"כיסוי מגעים ארוך 3P ל-NSX100-250 מק""ט:LV429517"</f>
        <v>כיסוי מגעים ארוך 3P ל-NSX100-250 מק"ט:LV429517</v>
      </c>
      <c r="L996">
        <v>17</v>
      </c>
      <c r="M996" t="str">
        <f>"יח"</f>
        <v>יח</v>
      </c>
      <c r="N996">
        <v>17</v>
      </c>
      <c r="O996" t="str">
        <f>"יח"</f>
        <v>יח</v>
      </c>
      <c r="P996">
        <v>26.4</v>
      </c>
      <c r="Q996" t="str">
        <f>"$"</f>
        <v>$</v>
      </c>
      <c r="R996" t="str">
        <f>"הזמנה"</f>
        <v>הזמנה</v>
      </c>
      <c r="S996">
        <v>0</v>
      </c>
      <c r="T996">
        <v>448.8</v>
      </c>
      <c r="U996">
        <v>0</v>
      </c>
      <c r="V996">
        <v>448.8</v>
      </c>
      <c r="W996" t="str">
        <f>"$"</f>
        <v>$</v>
      </c>
      <c r="X996">
        <v>0</v>
      </c>
      <c r="Y996">
        <v>0</v>
      </c>
      <c r="Z996">
        <v>0</v>
      </c>
      <c r="AA996" t="str">
        <f>"Y"</f>
        <v>Y</v>
      </c>
      <c r="AC996">
        <v>0</v>
      </c>
      <c r="AM996" t="str">
        <f>"10"</f>
        <v>10</v>
      </c>
      <c r="AN996" t="str">
        <f>"500000"</f>
        <v>500000</v>
      </c>
      <c r="AO996" t="str">
        <f>"הכנסות  מלקוחות"</f>
        <v>הכנסות  מלקוחות</v>
      </c>
      <c r="AQ996" t="str">
        <f>"007"</f>
        <v>007</v>
      </c>
      <c r="AR996">
        <v>0</v>
      </c>
      <c r="AS996">
        <v>0</v>
      </c>
      <c r="AT996">
        <v>3.4750000000000001</v>
      </c>
      <c r="BB996" t="str">
        <f>"Y"</f>
        <v>Y</v>
      </c>
      <c r="BD996" t="str">
        <f>"רוני דידי"</f>
        <v>רוני דידי</v>
      </c>
    </row>
    <row r="997" spans="1:56" x14ac:dyDescent="0.3">
      <c r="A997" s="1">
        <v>44958</v>
      </c>
      <c r="B997" t="str">
        <f>"SI236000141"</f>
        <v>SI236000141</v>
      </c>
      <c r="C997" t="str">
        <f>"PR22000588"</f>
        <v>PR22000588</v>
      </c>
      <c r="E997" t="str">
        <f>"Y"</f>
        <v>Y</v>
      </c>
      <c r="F997" t="str">
        <f>"חשבוניות מרכזות"</f>
        <v>חשבוניות מרכזות</v>
      </c>
      <c r="G997" t="str">
        <f>"700065"</f>
        <v>700065</v>
      </c>
      <c r="H997" t="str">
        <f>"אלתא מערכות בע""מ"</f>
        <v>אלתא מערכות בע"מ</v>
      </c>
      <c r="I997" t="str">
        <f>"10"</f>
        <v>10</v>
      </c>
      <c r="J997" t="str">
        <f>"PD0201550"</f>
        <v>PD0201550</v>
      </c>
      <c r="K997" t="str">
        <f>"כיסוי מגעים ארוך 3P ל-NSX100-250 מק""ט:LV429517"</f>
        <v>כיסוי מגעים ארוך 3P ל-NSX100-250 מק"ט:LV429517</v>
      </c>
      <c r="L997">
        <v>24</v>
      </c>
      <c r="M997" t="str">
        <f>"יח"</f>
        <v>יח</v>
      </c>
      <c r="N997">
        <v>24</v>
      </c>
      <c r="O997" t="str">
        <f>"יח"</f>
        <v>יח</v>
      </c>
      <c r="P997">
        <v>26.4</v>
      </c>
      <c r="Q997" t="str">
        <f>"$"</f>
        <v>$</v>
      </c>
      <c r="R997" t="str">
        <f>"הזמנה"</f>
        <v>הזמנה</v>
      </c>
      <c r="S997">
        <v>0</v>
      </c>
      <c r="T997">
        <v>633.6</v>
      </c>
      <c r="U997">
        <v>0</v>
      </c>
      <c r="V997">
        <v>633.6</v>
      </c>
      <c r="W997" t="str">
        <f>"$"</f>
        <v>$</v>
      </c>
      <c r="X997">
        <v>0</v>
      </c>
      <c r="Y997">
        <v>0</v>
      </c>
      <c r="Z997">
        <v>0</v>
      </c>
      <c r="AA997" t="str">
        <f>"Y"</f>
        <v>Y</v>
      </c>
      <c r="AC997">
        <v>0</v>
      </c>
      <c r="AM997" t="str">
        <f>"10"</f>
        <v>10</v>
      </c>
      <c r="AN997" t="str">
        <f>"500000"</f>
        <v>500000</v>
      </c>
      <c r="AO997" t="str">
        <f>"הכנסות  מלקוחות"</f>
        <v>הכנסות  מלקוחות</v>
      </c>
      <c r="AQ997" t="str">
        <f>"007"</f>
        <v>007</v>
      </c>
      <c r="AR997">
        <v>0</v>
      </c>
      <c r="AS997">
        <v>0</v>
      </c>
      <c r="AT997">
        <v>3.4750000000000001</v>
      </c>
      <c r="BB997" t="str">
        <f>"Y"</f>
        <v>Y</v>
      </c>
      <c r="BD997" t="str">
        <f>"רוני דידי"</f>
        <v>רוני דידי</v>
      </c>
    </row>
    <row r="998" spans="1:56" x14ac:dyDescent="0.3">
      <c r="A998" s="1">
        <v>44958</v>
      </c>
      <c r="B998" t="str">
        <f>"SI236000139"</f>
        <v>SI236000139</v>
      </c>
      <c r="C998" t="str">
        <f>"PR22000675"</f>
        <v>PR22000675</v>
      </c>
      <c r="E998" t="str">
        <f>"Y"</f>
        <v>Y</v>
      </c>
      <c r="F998" t="str">
        <f>"חשבוניות מרכזות"</f>
        <v>חשבוניות מרכזות</v>
      </c>
      <c r="G998" t="str">
        <f>"700065"</f>
        <v>700065</v>
      </c>
      <c r="H998" t="str">
        <f>"אלתא מערכות בע""מ"</f>
        <v>אלתא מערכות בע"מ</v>
      </c>
      <c r="I998" t="str">
        <f>"10"</f>
        <v>10</v>
      </c>
      <c r="J998" t="str">
        <f>"OP-AR03378"</f>
        <v>OP-AR03378</v>
      </c>
      <c r="K998" t="str">
        <f>"2222B722-001    COMM CABLE FOR MMR and RPA"</f>
        <v>2222B722-001    COMM CABLE FOR MMR and RPA</v>
      </c>
      <c r="L998">
        <v>1</v>
      </c>
      <c r="M998" t="str">
        <f>"יח"</f>
        <v>יח</v>
      </c>
      <c r="N998">
        <v>1</v>
      </c>
      <c r="O998" t="str">
        <f>"יח"</f>
        <v>יח</v>
      </c>
      <c r="P998">
        <v>525.52</v>
      </c>
      <c r="Q998" t="str">
        <f>"$"</f>
        <v>$</v>
      </c>
      <c r="R998" t="str">
        <f>"הזמנה"</f>
        <v>הזמנה</v>
      </c>
      <c r="S998">
        <v>0</v>
      </c>
      <c r="T998">
        <v>525.52</v>
      </c>
      <c r="U998">
        <v>0</v>
      </c>
      <c r="V998">
        <v>525.52</v>
      </c>
      <c r="W998" t="str">
        <f>"$"</f>
        <v>$</v>
      </c>
      <c r="X998">
        <v>0</v>
      </c>
      <c r="Y998">
        <v>0</v>
      </c>
      <c r="Z998">
        <v>0</v>
      </c>
      <c r="AA998" t="str">
        <f>"Y"</f>
        <v>Y</v>
      </c>
      <c r="AC998">
        <v>0</v>
      </c>
      <c r="AM998" t="str">
        <f>"10"</f>
        <v>10</v>
      </c>
      <c r="AN998" t="str">
        <f>"500000"</f>
        <v>500000</v>
      </c>
      <c r="AO998" t="str">
        <f>"הכנסות  מלקוחות"</f>
        <v>הכנסות  מלקוחות</v>
      </c>
      <c r="AQ998" t="str">
        <f>"040"</f>
        <v>040</v>
      </c>
      <c r="AR998">
        <v>0</v>
      </c>
      <c r="AS998">
        <v>0</v>
      </c>
      <c r="AT998">
        <v>3.4750000000000001</v>
      </c>
      <c r="BB998" t="str">
        <f>"Y"</f>
        <v>Y</v>
      </c>
      <c r="BD998" t="str">
        <f>"רחמים זרוק"</f>
        <v>רחמים זרוק</v>
      </c>
    </row>
    <row r="999" spans="1:56" x14ac:dyDescent="0.3">
      <c r="A999" s="1">
        <v>44957</v>
      </c>
      <c r="B999" t="str">
        <f>"SI236000171"</f>
        <v>SI236000171</v>
      </c>
      <c r="C999" t="str">
        <f>"PR22000624"</f>
        <v>PR22000624</v>
      </c>
      <c r="E999" t="str">
        <f>"Y"</f>
        <v>Y</v>
      </c>
      <c r="F999" t="str">
        <f>"חשבוניות מרכזות"</f>
        <v>חשבוניות מרכזות</v>
      </c>
      <c r="G999" t="str">
        <f>"700065"</f>
        <v>700065</v>
      </c>
      <c r="H999" t="str">
        <f>"אלתא מערכות בע""מ"</f>
        <v>אלתא מערכות בע"מ</v>
      </c>
      <c r="I999" t="str">
        <f>"10"</f>
        <v>10</v>
      </c>
      <c r="J999" t="str">
        <f>"OP-AR03202"</f>
        <v>OP-AR03202</v>
      </c>
      <c r="K999" t="str">
        <f>"2060B170-001   CABLE ASSY CRW21"</f>
        <v>2060B170-001   CABLE ASSY CRW21</v>
      </c>
      <c r="L999">
        <v>1</v>
      </c>
      <c r="M999" t="str">
        <f>"יח"</f>
        <v>יח</v>
      </c>
      <c r="N999">
        <v>1</v>
      </c>
      <c r="O999" t="str">
        <f>"יח"</f>
        <v>יח</v>
      </c>
      <c r="P999">
        <v>261.23</v>
      </c>
      <c r="Q999" t="str">
        <f>"$"</f>
        <v>$</v>
      </c>
      <c r="R999" t="str">
        <f>"הזמנה"</f>
        <v>הזמנה</v>
      </c>
      <c r="S999">
        <v>0</v>
      </c>
      <c r="T999">
        <v>261.23</v>
      </c>
      <c r="U999">
        <v>0</v>
      </c>
      <c r="V999">
        <v>261.23</v>
      </c>
      <c r="W999" t="str">
        <f>"$"</f>
        <v>$</v>
      </c>
      <c r="X999">
        <v>0</v>
      </c>
      <c r="Y999">
        <v>0</v>
      </c>
      <c r="Z999">
        <v>0</v>
      </c>
      <c r="AA999" t="str">
        <f>"Y"</f>
        <v>Y</v>
      </c>
      <c r="AB999" t="str">
        <f>"SO22000367"</f>
        <v>SO22000367</v>
      </c>
      <c r="AC999">
        <v>1</v>
      </c>
      <c r="AD999" s="1">
        <v>44819</v>
      </c>
      <c r="AE999" t="str">
        <f>"SH23000148"</f>
        <v>SH23000148</v>
      </c>
      <c r="AF999" t="str">
        <f>"משלוחים ללקוח"</f>
        <v>משלוחים ללקוח</v>
      </c>
      <c r="AG999" s="1">
        <v>44956</v>
      </c>
      <c r="AM999" t="str">
        <f>"10"</f>
        <v>10</v>
      </c>
      <c r="AN999" t="str">
        <f>"500000"</f>
        <v>500000</v>
      </c>
      <c r="AO999" t="str">
        <f>"הכנסות  מלקוחות"</f>
        <v>הכנסות  מלקוחות</v>
      </c>
      <c r="AQ999" t="str">
        <f>"040"</f>
        <v>040</v>
      </c>
      <c r="AR999">
        <v>0</v>
      </c>
      <c r="AS999">
        <v>0</v>
      </c>
      <c r="AT999">
        <v>3.4750000000000001</v>
      </c>
      <c r="AX999" t="str">
        <f>"E000374418"</f>
        <v>E000374418</v>
      </c>
      <c r="BD999" t="str">
        <f>"רחמים זרוק"</f>
        <v>רחמים זרוק</v>
      </c>
    </row>
    <row r="1000" spans="1:56" x14ac:dyDescent="0.3">
      <c r="A1000" s="1">
        <v>44957</v>
      </c>
      <c r="B1000" t="str">
        <f>"SI236000171"</f>
        <v>SI236000171</v>
      </c>
      <c r="C1000" t="str">
        <f>"PR22000624"</f>
        <v>PR22000624</v>
      </c>
      <c r="E1000" t="str">
        <f>"Y"</f>
        <v>Y</v>
      </c>
      <c r="F1000" t="str">
        <f>"חשבוניות מרכזות"</f>
        <v>חשבוניות מרכזות</v>
      </c>
      <c r="G1000" t="str">
        <f>"700065"</f>
        <v>700065</v>
      </c>
      <c r="H1000" t="str">
        <f>"אלתא מערכות בע""מ"</f>
        <v>אלתא מערכות בע"מ</v>
      </c>
      <c r="I1000" t="str">
        <f>"10"</f>
        <v>10</v>
      </c>
      <c r="J1000" t="str">
        <f>"OP-AR03011"</f>
        <v>OP-AR03011</v>
      </c>
      <c r="K1000" t="str">
        <f>"2083B310-002   VPW2 CABLE ASSY"</f>
        <v>2083B310-002   VPW2 CABLE ASSY</v>
      </c>
      <c r="L1000">
        <v>2</v>
      </c>
      <c r="M1000" t="str">
        <f>"יח"</f>
        <v>יח</v>
      </c>
      <c r="N1000">
        <v>2</v>
      </c>
      <c r="O1000" t="str">
        <f>"יח"</f>
        <v>יח</v>
      </c>
      <c r="P1000" s="2">
        <v>1022.92</v>
      </c>
      <c r="Q1000" t="str">
        <f>"$"</f>
        <v>$</v>
      </c>
      <c r="R1000" t="str">
        <f>"הזמנה"</f>
        <v>הזמנה</v>
      </c>
      <c r="S1000">
        <v>0</v>
      </c>
      <c r="T1000" s="2">
        <v>2045.84</v>
      </c>
      <c r="U1000">
        <v>0</v>
      </c>
      <c r="V1000" s="2">
        <v>2045.84</v>
      </c>
      <c r="W1000" t="str">
        <f>"$"</f>
        <v>$</v>
      </c>
      <c r="X1000">
        <v>0</v>
      </c>
      <c r="Y1000">
        <v>0</v>
      </c>
      <c r="Z1000">
        <v>0</v>
      </c>
      <c r="AA1000" t="str">
        <f>"Y"</f>
        <v>Y</v>
      </c>
      <c r="AB1000" t="str">
        <f>"SO22000367"</f>
        <v>SO22000367</v>
      </c>
      <c r="AC1000">
        <v>4</v>
      </c>
      <c r="AD1000" s="1">
        <v>44819</v>
      </c>
      <c r="AE1000" t="str">
        <f>"SH23000148"</f>
        <v>SH23000148</v>
      </c>
      <c r="AF1000" t="str">
        <f>"משלוחים ללקוח"</f>
        <v>משלוחים ללקוח</v>
      </c>
      <c r="AG1000" s="1">
        <v>44956</v>
      </c>
      <c r="AM1000" t="str">
        <f>"10"</f>
        <v>10</v>
      </c>
      <c r="AN1000" t="str">
        <f>"500000"</f>
        <v>500000</v>
      </c>
      <c r="AO1000" t="str">
        <f>"הכנסות  מלקוחות"</f>
        <v>הכנסות  מלקוחות</v>
      </c>
      <c r="AQ1000" t="str">
        <f>"040"</f>
        <v>040</v>
      </c>
      <c r="AR1000">
        <v>0</v>
      </c>
      <c r="AS1000">
        <v>0</v>
      </c>
      <c r="AT1000">
        <v>3.4750000000000001</v>
      </c>
      <c r="AX1000" t="str">
        <f>"E000374418"</f>
        <v>E000374418</v>
      </c>
      <c r="BD1000" t="str">
        <f>"רחמים זרוק"</f>
        <v>רחמים זרוק</v>
      </c>
    </row>
    <row r="1001" spans="1:56" x14ac:dyDescent="0.3">
      <c r="A1001" s="1">
        <v>44957</v>
      </c>
      <c r="B1001" t="str">
        <f>"SI236000171"</f>
        <v>SI236000171</v>
      </c>
      <c r="C1001" t="str">
        <f>"PR22000624"</f>
        <v>PR22000624</v>
      </c>
      <c r="E1001" t="str">
        <f>"Y"</f>
        <v>Y</v>
      </c>
      <c r="F1001" t="str">
        <f>"חשבוניות מרכזות"</f>
        <v>חשבוניות מרכזות</v>
      </c>
      <c r="G1001" t="str">
        <f>"700065"</f>
        <v>700065</v>
      </c>
      <c r="H1001" t="str">
        <f>"אלתא מערכות בע""מ"</f>
        <v>אלתא מערכות בע"מ</v>
      </c>
      <c r="I1001" t="str">
        <f>"10"</f>
        <v>10</v>
      </c>
      <c r="J1001" t="str">
        <f>"OP-AR03011"</f>
        <v>OP-AR03011</v>
      </c>
      <c r="K1001" t="str">
        <f>"2083B310-002   VPW2 CABLE ASSY"</f>
        <v>2083B310-002   VPW2 CABLE ASSY</v>
      </c>
      <c r="L1001">
        <v>1</v>
      </c>
      <c r="M1001" t="str">
        <f>"יח"</f>
        <v>יח</v>
      </c>
      <c r="N1001">
        <v>1</v>
      </c>
      <c r="O1001" t="str">
        <f>"יח"</f>
        <v>יח</v>
      </c>
      <c r="P1001" s="2">
        <v>1022.92</v>
      </c>
      <c r="Q1001" t="str">
        <f>"$"</f>
        <v>$</v>
      </c>
      <c r="R1001" t="str">
        <f>"הזמנה"</f>
        <v>הזמנה</v>
      </c>
      <c r="S1001">
        <v>0</v>
      </c>
      <c r="T1001" s="2">
        <v>1022.92</v>
      </c>
      <c r="U1001">
        <v>0</v>
      </c>
      <c r="V1001" s="2">
        <v>1022.92</v>
      </c>
      <c r="W1001" t="str">
        <f>"$"</f>
        <v>$</v>
      </c>
      <c r="X1001">
        <v>0</v>
      </c>
      <c r="Y1001">
        <v>0</v>
      </c>
      <c r="Z1001">
        <v>0</v>
      </c>
      <c r="AA1001" t="str">
        <f>"Y"</f>
        <v>Y</v>
      </c>
      <c r="AB1001" t="str">
        <f>"SO22000367"</f>
        <v>SO22000367</v>
      </c>
      <c r="AC1001">
        <v>2</v>
      </c>
      <c r="AD1001" s="1">
        <v>44819</v>
      </c>
      <c r="AE1001" t="str">
        <f>"SH23000148"</f>
        <v>SH23000148</v>
      </c>
      <c r="AF1001" t="str">
        <f>"משלוחים ללקוח"</f>
        <v>משלוחים ללקוח</v>
      </c>
      <c r="AG1001" s="1">
        <v>44956</v>
      </c>
      <c r="AM1001" t="str">
        <f>"10"</f>
        <v>10</v>
      </c>
      <c r="AN1001" t="str">
        <f>"500000"</f>
        <v>500000</v>
      </c>
      <c r="AO1001" t="str">
        <f>"הכנסות  מלקוחות"</f>
        <v>הכנסות  מלקוחות</v>
      </c>
      <c r="AQ1001" t="str">
        <f>"040"</f>
        <v>040</v>
      </c>
      <c r="AR1001">
        <v>0</v>
      </c>
      <c r="AS1001">
        <v>0</v>
      </c>
      <c r="AT1001">
        <v>3.4750000000000001</v>
      </c>
      <c r="AX1001" t="str">
        <f>"E000374418"</f>
        <v>E000374418</v>
      </c>
      <c r="BD1001" t="str">
        <f>"רחמים זרוק"</f>
        <v>רחמים זרוק</v>
      </c>
    </row>
    <row r="1002" spans="1:56" x14ac:dyDescent="0.3">
      <c r="A1002" s="1">
        <v>44957</v>
      </c>
      <c r="B1002" t="str">
        <f>"SI236000169"</f>
        <v>SI236000169</v>
      </c>
      <c r="C1002" t="str">
        <f>"PR22000603"</f>
        <v>PR22000603</v>
      </c>
      <c r="D1002" t="str">
        <f>"PR22000603"</f>
        <v>PR22000603</v>
      </c>
      <c r="E1002" t="str">
        <f>"Y"</f>
        <v>Y</v>
      </c>
      <c r="F1002" t="str">
        <f>"חשבוניות מרכזות"</f>
        <v>חשבוניות מרכזות</v>
      </c>
      <c r="G1002" t="str">
        <f>"700065"</f>
        <v>700065</v>
      </c>
      <c r="H1002" t="str">
        <f>"אלתא מערכות בע""מ"</f>
        <v>אלתא מערכות בע"מ</v>
      </c>
      <c r="I1002" t="str">
        <f>"10"</f>
        <v>10</v>
      </c>
      <c r="J1002" t="str">
        <f>"OP-AR03316"</f>
        <v>OP-AR03316</v>
      </c>
      <c r="K1002" t="str">
        <f>"2218B540-001   PANEL TO GTRA PS CABLE"</f>
        <v>2218B540-001   PANEL TO GTRA PS CABLE</v>
      </c>
      <c r="L1002">
        <v>1</v>
      </c>
      <c r="M1002" t="str">
        <f>"יח"</f>
        <v>יח</v>
      </c>
      <c r="N1002">
        <v>1</v>
      </c>
      <c r="O1002" t="str">
        <f>"יח"</f>
        <v>יח</v>
      </c>
      <c r="P1002">
        <v>492.11</v>
      </c>
      <c r="Q1002" t="str">
        <f>"$"</f>
        <v>$</v>
      </c>
      <c r="R1002" t="str">
        <f>"הזמנה"</f>
        <v>הזמנה</v>
      </c>
      <c r="S1002">
        <v>0</v>
      </c>
      <c r="T1002">
        <v>492.11</v>
      </c>
      <c r="U1002">
        <v>0</v>
      </c>
      <c r="V1002">
        <v>492.11</v>
      </c>
      <c r="W1002" t="str">
        <f>"$"</f>
        <v>$</v>
      </c>
      <c r="X1002">
        <v>0</v>
      </c>
      <c r="Y1002">
        <v>0</v>
      </c>
      <c r="Z1002">
        <v>0</v>
      </c>
      <c r="AA1002" t="str">
        <f>"Y"</f>
        <v>Y</v>
      </c>
      <c r="AB1002" t="str">
        <f>"SO22000358"</f>
        <v>SO22000358</v>
      </c>
      <c r="AC1002">
        <v>1</v>
      </c>
      <c r="AD1002" s="1">
        <v>44816</v>
      </c>
      <c r="AE1002" t="str">
        <f>"SH23000154"</f>
        <v>SH23000154</v>
      </c>
      <c r="AF1002" t="str">
        <f>"משלוחים ללקוח"</f>
        <v>משלוחים ללקוח</v>
      </c>
      <c r="AG1002" s="1">
        <v>44957</v>
      </c>
      <c r="AM1002" t="str">
        <f>"10"</f>
        <v>10</v>
      </c>
      <c r="AN1002" t="str">
        <f>"500000"</f>
        <v>500000</v>
      </c>
      <c r="AO1002" t="str">
        <f>"הכנסות  מלקוחות"</f>
        <v>הכנסות  מלקוחות</v>
      </c>
      <c r="AQ1002" t="str">
        <f>"040"</f>
        <v>040</v>
      </c>
      <c r="AR1002">
        <v>0</v>
      </c>
      <c r="AS1002">
        <v>0</v>
      </c>
      <c r="AT1002">
        <v>3.4750000000000001</v>
      </c>
      <c r="AX1002" t="str">
        <f>"E000374105"</f>
        <v>E000374105</v>
      </c>
      <c r="BD1002" t="str">
        <f>"רחמים זרוק"</f>
        <v>רחמים זרוק</v>
      </c>
    </row>
    <row r="1003" spans="1:56" x14ac:dyDescent="0.3">
      <c r="A1003" s="1">
        <v>44957</v>
      </c>
      <c r="B1003" t="str">
        <f>"SI236000169"</f>
        <v>SI236000169</v>
      </c>
      <c r="C1003" t="str">
        <f>"PR22000603"</f>
        <v>PR22000603</v>
      </c>
      <c r="D1003" t="str">
        <f>"PR22000603"</f>
        <v>PR22000603</v>
      </c>
      <c r="E1003" t="str">
        <f>"Y"</f>
        <v>Y</v>
      </c>
      <c r="F1003" t="str">
        <f>"חשבוניות מרכזות"</f>
        <v>חשבוניות מרכזות</v>
      </c>
      <c r="G1003" t="str">
        <f>"700065"</f>
        <v>700065</v>
      </c>
      <c r="H1003" t="str">
        <f>"אלתא מערכות בע""מ"</f>
        <v>אלתא מערכות בע"מ</v>
      </c>
      <c r="I1003" t="str">
        <f>"10"</f>
        <v>10</v>
      </c>
      <c r="J1003" t="str">
        <f>"OP-AR03317"</f>
        <v>OP-AR03317</v>
      </c>
      <c r="K1003" t="str">
        <f>"2218B542-001   PANEL TO FE PS CABLE"</f>
        <v>2218B542-001   PANEL TO FE PS CABLE</v>
      </c>
      <c r="L1003">
        <v>1</v>
      </c>
      <c r="M1003" t="str">
        <f>"יח"</f>
        <v>יח</v>
      </c>
      <c r="N1003">
        <v>1</v>
      </c>
      <c r="O1003" t="str">
        <f>"יח"</f>
        <v>יח</v>
      </c>
      <c r="P1003">
        <v>871.3</v>
      </c>
      <c r="Q1003" t="str">
        <f>"$"</f>
        <v>$</v>
      </c>
      <c r="R1003" t="str">
        <f>"הזמנה"</f>
        <v>הזמנה</v>
      </c>
      <c r="S1003">
        <v>0</v>
      </c>
      <c r="T1003">
        <v>871.3</v>
      </c>
      <c r="U1003">
        <v>0</v>
      </c>
      <c r="V1003">
        <v>871.3</v>
      </c>
      <c r="W1003" t="str">
        <f>"$"</f>
        <v>$</v>
      </c>
      <c r="X1003">
        <v>0</v>
      </c>
      <c r="Y1003">
        <v>0</v>
      </c>
      <c r="Z1003">
        <v>0</v>
      </c>
      <c r="AA1003" t="str">
        <f>"Y"</f>
        <v>Y</v>
      </c>
      <c r="AB1003" t="str">
        <f>"SO22000358"</f>
        <v>SO22000358</v>
      </c>
      <c r="AC1003">
        <v>2</v>
      </c>
      <c r="AD1003" s="1">
        <v>44816</v>
      </c>
      <c r="AE1003" t="str">
        <f>"SH23000154"</f>
        <v>SH23000154</v>
      </c>
      <c r="AF1003" t="str">
        <f>"משלוחים ללקוח"</f>
        <v>משלוחים ללקוח</v>
      </c>
      <c r="AG1003" s="1">
        <v>44957</v>
      </c>
      <c r="AM1003" t="str">
        <f>"10"</f>
        <v>10</v>
      </c>
      <c r="AN1003" t="str">
        <f>"500000"</f>
        <v>500000</v>
      </c>
      <c r="AO1003" t="str">
        <f>"הכנסות  מלקוחות"</f>
        <v>הכנסות  מלקוחות</v>
      </c>
      <c r="AQ1003" t="str">
        <f>"040"</f>
        <v>040</v>
      </c>
      <c r="AR1003">
        <v>0</v>
      </c>
      <c r="AS1003">
        <v>0</v>
      </c>
      <c r="AT1003">
        <v>3.4750000000000001</v>
      </c>
      <c r="AX1003" t="str">
        <f>"E000374105"</f>
        <v>E000374105</v>
      </c>
      <c r="BD1003" t="str">
        <f>"רחמים זרוק"</f>
        <v>רחמים זרוק</v>
      </c>
    </row>
    <row r="1004" spans="1:56" x14ac:dyDescent="0.3">
      <c r="A1004" s="1">
        <v>44957</v>
      </c>
      <c r="B1004" t="str">
        <f>"SI236000169"</f>
        <v>SI236000169</v>
      </c>
      <c r="C1004" t="str">
        <f>"PR22000603"</f>
        <v>PR22000603</v>
      </c>
      <c r="D1004" t="str">
        <f>"PR22000603"</f>
        <v>PR22000603</v>
      </c>
      <c r="E1004" t="str">
        <f>"Y"</f>
        <v>Y</v>
      </c>
      <c r="F1004" t="str">
        <f>"חשבוניות מרכזות"</f>
        <v>חשבוניות מרכזות</v>
      </c>
      <c r="G1004" t="str">
        <f>"700065"</f>
        <v>700065</v>
      </c>
      <c r="H1004" t="str">
        <f>"אלתא מערכות בע""מ"</f>
        <v>אלתא מערכות בע"מ</v>
      </c>
      <c r="I1004" t="str">
        <f>"10"</f>
        <v>10</v>
      </c>
      <c r="J1004" t="str">
        <f>"OP-AR03318"</f>
        <v>OP-AR03318</v>
      </c>
      <c r="K1004" t="str">
        <f>"2218B544-001   PANEL TO FE SIGNALS CABLE"</f>
        <v>2218B544-001   PANEL TO FE SIGNALS CABLE</v>
      </c>
      <c r="L1004">
        <v>1</v>
      </c>
      <c r="M1004" t="str">
        <f>"יח"</f>
        <v>יח</v>
      </c>
      <c r="N1004">
        <v>1</v>
      </c>
      <c r="O1004" t="str">
        <f>"יח"</f>
        <v>יח</v>
      </c>
      <c r="P1004">
        <v>752.13</v>
      </c>
      <c r="Q1004" t="str">
        <f>"$"</f>
        <v>$</v>
      </c>
      <c r="R1004" t="str">
        <f>"הזמנה"</f>
        <v>הזמנה</v>
      </c>
      <c r="S1004">
        <v>0</v>
      </c>
      <c r="T1004">
        <v>752.13</v>
      </c>
      <c r="U1004">
        <v>0</v>
      </c>
      <c r="V1004">
        <v>752.13</v>
      </c>
      <c r="W1004" t="str">
        <f>"$"</f>
        <v>$</v>
      </c>
      <c r="X1004">
        <v>0</v>
      </c>
      <c r="Y1004">
        <v>0</v>
      </c>
      <c r="Z1004">
        <v>0</v>
      </c>
      <c r="AA1004" t="str">
        <f>"Y"</f>
        <v>Y</v>
      </c>
      <c r="AB1004" t="str">
        <f>"SO22000358"</f>
        <v>SO22000358</v>
      </c>
      <c r="AC1004">
        <v>3</v>
      </c>
      <c r="AD1004" s="1">
        <v>44816</v>
      </c>
      <c r="AE1004" t="str">
        <f>"SH23000154"</f>
        <v>SH23000154</v>
      </c>
      <c r="AF1004" t="str">
        <f>"משלוחים ללקוח"</f>
        <v>משלוחים ללקוח</v>
      </c>
      <c r="AG1004" s="1">
        <v>44957</v>
      </c>
      <c r="AM1004" t="str">
        <f>"10"</f>
        <v>10</v>
      </c>
      <c r="AN1004" t="str">
        <f>"500000"</f>
        <v>500000</v>
      </c>
      <c r="AO1004" t="str">
        <f>"הכנסות  מלקוחות"</f>
        <v>הכנסות  מלקוחות</v>
      </c>
      <c r="AQ1004" t="str">
        <f>"040"</f>
        <v>040</v>
      </c>
      <c r="AR1004">
        <v>0</v>
      </c>
      <c r="AS1004">
        <v>0</v>
      </c>
      <c r="AT1004">
        <v>3.4750000000000001</v>
      </c>
      <c r="AX1004" t="str">
        <f>"E000374105"</f>
        <v>E000374105</v>
      </c>
      <c r="BD1004" t="str">
        <f>"רחמים זרוק"</f>
        <v>רחמים זרוק</v>
      </c>
    </row>
    <row r="1005" spans="1:56" x14ac:dyDescent="0.3">
      <c r="A1005" s="1">
        <v>44957</v>
      </c>
      <c r="B1005" t="str">
        <f>"SI236000168"</f>
        <v>SI236000168</v>
      </c>
      <c r="C1005" t="str">
        <f>"PR22000592"</f>
        <v>PR22000592</v>
      </c>
      <c r="E1005" t="str">
        <f>"Y"</f>
        <v>Y</v>
      </c>
      <c r="F1005" t="str">
        <f>"חשבוניות מרכזות"</f>
        <v>חשבוניות מרכזות</v>
      </c>
      <c r="G1005" t="str">
        <f>"700065"</f>
        <v>700065</v>
      </c>
      <c r="H1005" t="str">
        <f>"אלתא מערכות בע""מ"</f>
        <v>אלתא מערכות בע"מ</v>
      </c>
      <c r="I1005" t="str">
        <f>"10"</f>
        <v>10</v>
      </c>
      <c r="J1005" t="str">
        <f>"OP-AR03279"</f>
        <v>OP-AR03279</v>
      </c>
      <c r="K1005" t="str">
        <f>"1035C303-001    HARNESS 3W003 - 220VAC/60HZ FROM PDU TO"</f>
        <v>1035C303-001    HARNESS 3W003 - 220VAC/60HZ FROM PDU TO</v>
      </c>
      <c r="L1005">
        <v>2</v>
      </c>
      <c r="M1005" t="str">
        <f>"יח"</f>
        <v>יח</v>
      </c>
      <c r="N1005">
        <v>2</v>
      </c>
      <c r="O1005" t="str">
        <f>"יח"</f>
        <v>יח</v>
      </c>
      <c r="P1005">
        <v>358.34</v>
      </c>
      <c r="Q1005" t="str">
        <f>"$"</f>
        <v>$</v>
      </c>
      <c r="R1005" t="str">
        <f>"הזמנה"</f>
        <v>הזמנה</v>
      </c>
      <c r="S1005">
        <v>0</v>
      </c>
      <c r="T1005">
        <v>716.68</v>
      </c>
      <c r="U1005">
        <v>0</v>
      </c>
      <c r="V1005">
        <v>716.68</v>
      </c>
      <c r="W1005" t="str">
        <f>"$"</f>
        <v>$</v>
      </c>
      <c r="X1005">
        <v>0</v>
      </c>
      <c r="Y1005">
        <v>0</v>
      </c>
      <c r="Z1005">
        <v>0</v>
      </c>
      <c r="AA1005" t="str">
        <f>"Y"</f>
        <v>Y</v>
      </c>
      <c r="AB1005" t="str">
        <f>"SO22000346"</f>
        <v>SO22000346</v>
      </c>
      <c r="AC1005">
        <v>3</v>
      </c>
      <c r="AD1005" s="1">
        <v>44802</v>
      </c>
      <c r="AE1005" t="str">
        <f>"SH23000153"</f>
        <v>SH23000153</v>
      </c>
      <c r="AF1005" t="str">
        <f>"משלוחים ללקוח"</f>
        <v>משלוחים ללקוח</v>
      </c>
      <c r="AG1005" s="1">
        <v>44957</v>
      </c>
      <c r="AM1005" t="str">
        <f>"10"</f>
        <v>10</v>
      </c>
      <c r="AN1005" t="str">
        <f>"500000"</f>
        <v>500000</v>
      </c>
      <c r="AO1005" t="str">
        <f>"הכנסות  מלקוחות"</f>
        <v>הכנסות  מלקוחות</v>
      </c>
      <c r="AQ1005" t="str">
        <f>"040"</f>
        <v>040</v>
      </c>
      <c r="AR1005">
        <v>0</v>
      </c>
      <c r="AS1005">
        <v>0</v>
      </c>
      <c r="AT1005">
        <v>3.4750000000000001</v>
      </c>
      <c r="AX1005" t="str">
        <f>"E000372162"</f>
        <v>E000372162</v>
      </c>
      <c r="BD1005" t="str">
        <f>"רחמים זרוק"</f>
        <v>רחמים זרוק</v>
      </c>
    </row>
    <row r="1006" spans="1:56" x14ac:dyDescent="0.3">
      <c r="A1006" s="1">
        <v>44957</v>
      </c>
      <c r="B1006" t="str">
        <f>"SI236000168"</f>
        <v>SI236000168</v>
      </c>
      <c r="C1006" t="str">
        <f>"PR22000592"</f>
        <v>PR22000592</v>
      </c>
      <c r="E1006" t="str">
        <f>"Y"</f>
        <v>Y</v>
      </c>
      <c r="F1006" t="str">
        <f>"חשבוניות מרכזות"</f>
        <v>חשבוניות מרכזות</v>
      </c>
      <c r="G1006" t="str">
        <f>"700065"</f>
        <v>700065</v>
      </c>
      <c r="H1006" t="str">
        <f>"אלתא מערכות בע""מ"</f>
        <v>אלתא מערכות בע"מ</v>
      </c>
      <c r="I1006" t="str">
        <f>"10"</f>
        <v>10</v>
      </c>
      <c r="J1006" t="str">
        <f>"OP-AR03281"</f>
        <v>OP-AR03281</v>
      </c>
      <c r="K1006" t="str">
        <f>"1035C305-001    HARNESS 3W005 -28VDC and DATA FROM PDU T"</f>
        <v>1035C305-001    HARNESS 3W005 -28VDC and DATA FROM PDU T</v>
      </c>
      <c r="L1006">
        <v>2</v>
      </c>
      <c r="M1006" t="str">
        <f>"יח"</f>
        <v>יח</v>
      </c>
      <c r="N1006">
        <v>2</v>
      </c>
      <c r="O1006" t="str">
        <f>"יח"</f>
        <v>יח</v>
      </c>
      <c r="P1006">
        <v>827.17</v>
      </c>
      <c r="Q1006" t="str">
        <f>"$"</f>
        <v>$</v>
      </c>
      <c r="R1006" t="str">
        <f>"הזמנה"</f>
        <v>הזמנה</v>
      </c>
      <c r="S1006">
        <v>0</v>
      </c>
      <c r="T1006" s="2">
        <v>1654.34</v>
      </c>
      <c r="U1006">
        <v>0</v>
      </c>
      <c r="V1006" s="2">
        <v>1654.34</v>
      </c>
      <c r="W1006" t="str">
        <f>"$"</f>
        <v>$</v>
      </c>
      <c r="X1006">
        <v>0</v>
      </c>
      <c r="Y1006">
        <v>0</v>
      </c>
      <c r="Z1006">
        <v>0</v>
      </c>
      <c r="AA1006" t="str">
        <f>"Y"</f>
        <v>Y</v>
      </c>
      <c r="AB1006" t="str">
        <f>"SO22000346"</f>
        <v>SO22000346</v>
      </c>
      <c r="AC1006">
        <v>5</v>
      </c>
      <c r="AD1006" s="1">
        <v>44802</v>
      </c>
      <c r="AE1006" t="str">
        <f>"SH23000153"</f>
        <v>SH23000153</v>
      </c>
      <c r="AF1006" t="str">
        <f>"משלוחים ללקוח"</f>
        <v>משלוחים ללקוח</v>
      </c>
      <c r="AG1006" s="1">
        <v>44957</v>
      </c>
      <c r="AM1006" t="str">
        <f>"10"</f>
        <v>10</v>
      </c>
      <c r="AN1006" t="str">
        <f>"500000"</f>
        <v>500000</v>
      </c>
      <c r="AO1006" t="str">
        <f>"הכנסות  מלקוחות"</f>
        <v>הכנסות  מלקוחות</v>
      </c>
      <c r="AQ1006" t="str">
        <f>"040"</f>
        <v>040</v>
      </c>
      <c r="AR1006">
        <v>0</v>
      </c>
      <c r="AS1006">
        <v>0</v>
      </c>
      <c r="AT1006">
        <v>3.4750000000000001</v>
      </c>
      <c r="AX1006" t="str">
        <f>"E000372162"</f>
        <v>E000372162</v>
      </c>
      <c r="BD1006" t="str">
        <f>"רחמים זרוק"</f>
        <v>רחמים זרוק</v>
      </c>
    </row>
    <row r="1007" spans="1:56" x14ac:dyDescent="0.3">
      <c r="A1007" s="1">
        <v>44957</v>
      </c>
      <c r="B1007" t="str">
        <f>"SI236000168"</f>
        <v>SI236000168</v>
      </c>
      <c r="C1007" t="str">
        <f>"PR22000592"</f>
        <v>PR22000592</v>
      </c>
      <c r="E1007" t="str">
        <f>"Y"</f>
        <v>Y</v>
      </c>
      <c r="F1007" t="str">
        <f>"חשבוניות מרכזות"</f>
        <v>חשבוניות מרכזות</v>
      </c>
      <c r="G1007" t="str">
        <f>"700065"</f>
        <v>700065</v>
      </c>
      <c r="H1007" t="str">
        <f>"אלתא מערכות בע""מ"</f>
        <v>אלתא מערכות בע"מ</v>
      </c>
      <c r="I1007" t="str">
        <f>"10"</f>
        <v>10</v>
      </c>
      <c r="J1007" t="str">
        <f>"OP-AR03282"</f>
        <v>OP-AR03282</v>
      </c>
      <c r="K1007" t="str">
        <f>"1035C306-001    HARNESS 3W006 - POWER OUT 28VDC FROM PDU"</f>
        <v>1035C306-001    HARNESS 3W006 - POWER OUT 28VDC FROM PDU</v>
      </c>
      <c r="L1007">
        <v>2</v>
      </c>
      <c r="M1007" t="str">
        <f>"יח"</f>
        <v>יח</v>
      </c>
      <c r="N1007">
        <v>2</v>
      </c>
      <c r="O1007" t="str">
        <f>"יח"</f>
        <v>יח</v>
      </c>
      <c r="P1007">
        <v>373.46</v>
      </c>
      <c r="Q1007" t="str">
        <f>"$"</f>
        <v>$</v>
      </c>
      <c r="R1007" t="str">
        <f>"הזמנה"</f>
        <v>הזמנה</v>
      </c>
      <c r="S1007">
        <v>0</v>
      </c>
      <c r="T1007">
        <v>746.92</v>
      </c>
      <c r="U1007">
        <v>0</v>
      </c>
      <c r="V1007">
        <v>746.92</v>
      </c>
      <c r="W1007" t="str">
        <f>"$"</f>
        <v>$</v>
      </c>
      <c r="X1007">
        <v>0</v>
      </c>
      <c r="Y1007">
        <v>0</v>
      </c>
      <c r="Z1007">
        <v>0</v>
      </c>
      <c r="AA1007" t="str">
        <f>"Y"</f>
        <v>Y</v>
      </c>
      <c r="AB1007" t="str">
        <f>"SO22000346"</f>
        <v>SO22000346</v>
      </c>
      <c r="AC1007">
        <v>6</v>
      </c>
      <c r="AD1007" s="1">
        <v>44802</v>
      </c>
      <c r="AE1007" t="str">
        <f>"SH23000153"</f>
        <v>SH23000153</v>
      </c>
      <c r="AF1007" t="str">
        <f>"משלוחים ללקוח"</f>
        <v>משלוחים ללקוח</v>
      </c>
      <c r="AG1007" s="1">
        <v>44957</v>
      </c>
      <c r="AM1007" t="str">
        <f>"10"</f>
        <v>10</v>
      </c>
      <c r="AN1007" t="str">
        <f>"500000"</f>
        <v>500000</v>
      </c>
      <c r="AO1007" t="str">
        <f>"הכנסות  מלקוחות"</f>
        <v>הכנסות  מלקוחות</v>
      </c>
      <c r="AQ1007" t="str">
        <f>"040"</f>
        <v>040</v>
      </c>
      <c r="AR1007">
        <v>0</v>
      </c>
      <c r="AS1007">
        <v>0</v>
      </c>
      <c r="AT1007">
        <v>3.4750000000000001</v>
      </c>
      <c r="AX1007" t="str">
        <f>"E000372162"</f>
        <v>E000372162</v>
      </c>
      <c r="BD1007" t="str">
        <f>"רחמים זרוק"</f>
        <v>רחמים זרוק</v>
      </c>
    </row>
    <row r="1008" spans="1:56" x14ac:dyDescent="0.3">
      <c r="A1008" s="1">
        <v>44957</v>
      </c>
      <c r="B1008" t="str">
        <f>"SI236000168"</f>
        <v>SI236000168</v>
      </c>
      <c r="C1008" t="str">
        <f>"PR22000592"</f>
        <v>PR22000592</v>
      </c>
      <c r="E1008" t="str">
        <f>"Y"</f>
        <v>Y</v>
      </c>
      <c r="F1008" t="str">
        <f>"חשבוניות מרכזות"</f>
        <v>חשבוניות מרכזות</v>
      </c>
      <c r="G1008" t="str">
        <f>"700065"</f>
        <v>700065</v>
      </c>
      <c r="H1008" t="str">
        <f>"אלתא מערכות בע""מ"</f>
        <v>אלתא מערכות בע"מ</v>
      </c>
      <c r="I1008" t="str">
        <f>"10"</f>
        <v>10</v>
      </c>
      <c r="J1008" t="str">
        <f>"OP-AR03284"</f>
        <v>OP-AR03284</v>
      </c>
      <c r="K1008" t="str">
        <f>"1035C308-001    HARNESS 3W008 - POWER OUT 220VAC/60HZ an"</f>
        <v>1035C308-001    HARNESS 3W008 - POWER OUT 220VAC/60HZ an</v>
      </c>
      <c r="L1008">
        <v>2</v>
      </c>
      <c r="M1008" t="str">
        <f>"יח"</f>
        <v>יח</v>
      </c>
      <c r="N1008">
        <v>2</v>
      </c>
      <c r="O1008" t="str">
        <f>"יח"</f>
        <v>יח</v>
      </c>
      <c r="P1008">
        <v>507.95</v>
      </c>
      <c r="Q1008" t="str">
        <f>"$"</f>
        <v>$</v>
      </c>
      <c r="R1008" t="str">
        <f>"הזמנה"</f>
        <v>הזמנה</v>
      </c>
      <c r="S1008">
        <v>0</v>
      </c>
      <c r="T1008" s="2">
        <v>1015.9</v>
      </c>
      <c r="U1008">
        <v>0</v>
      </c>
      <c r="V1008" s="2">
        <v>1015.9</v>
      </c>
      <c r="W1008" t="str">
        <f>"$"</f>
        <v>$</v>
      </c>
      <c r="X1008">
        <v>0</v>
      </c>
      <c r="Y1008">
        <v>0</v>
      </c>
      <c r="Z1008">
        <v>0</v>
      </c>
      <c r="AA1008" t="str">
        <f>"Y"</f>
        <v>Y</v>
      </c>
      <c r="AB1008" t="str">
        <f>"SO22000346"</f>
        <v>SO22000346</v>
      </c>
      <c r="AC1008">
        <v>8</v>
      </c>
      <c r="AD1008" s="1">
        <v>44802</v>
      </c>
      <c r="AE1008" t="str">
        <f>"SH23000153"</f>
        <v>SH23000153</v>
      </c>
      <c r="AF1008" t="str">
        <f>"משלוחים ללקוח"</f>
        <v>משלוחים ללקוח</v>
      </c>
      <c r="AG1008" s="1">
        <v>44957</v>
      </c>
      <c r="AM1008" t="str">
        <f>"10"</f>
        <v>10</v>
      </c>
      <c r="AN1008" t="str">
        <f>"500000"</f>
        <v>500000</v>
      </c>
      <c r="AO1008" t="str">
        <f>"הכנסות  מלקוחות"</f>
        <v>הכנסות  מלקוחות</v>
      </c>
      <c r="AQ1008" t="str">
        <f>"040"</f>
        <v>040</v>
      </c>
      <c r="AR1008">
        <v>0</v>
      </c>
      <c r="AS1008">
        <v>0</v>
      </c>
      <c r="AT1008">
        <v>3.4750000000000001</v>
      </c>
      <c r="AX1008" t="str">
        <f>"E000372162"</f>
        <v>E000372162</v>
      </c>
      <c r="BD1008" t="str">
        <f>"רחמים זרוק"</f>
        <v>רחמים זרוק</v>
      </c>
    </row>
    <row r="1009" spans="1:56" x14ac:dyDescent="0.3">
      <c r="A1009" s="1">
        <v>44957</v>
      </c>
      <c r="B1009" t="str">
        <f>"SI236000168"</f>
        <v>SI236000168</v>
      </c>
      <c r="C1009" t="str">
        <f>"PR22000592"</f>
        <v>PR22000592</v>
      </c>
      <c r="E1009" t="str">
        <f>"Y"</f>
        <v>Y</v>
      </c>
      <c r="F1009" t="str">
        <f>"חשבוניות מרכזות"</f>
        <v>חשבוניות מרכזות</v>
      </c>
      <c r="G1009" t="str">
        <f>"700065"</f>
        <v>700065</v>
      </c>
      <c r="H1009" t="str">
        <f>"אלתא מערכות בע""מ"</f>
        <v>אלתא מערכות בע"מ</v>
      </c>
      <c r="I1009" t="str">
        <f>"10"</f>
        <v>10</v>
      </c>
      <c r="J1009" t="str">
        <f>"OP-AR03285"</f>
        <v>OP-AR03285</v>
      </c>
      <c r="K1009" t="str">
        <f>"1035C309-001    HARNESS 3W009 - 28VDC FROM PDU TO OTXU"</f>
        <v>1035C309-001    HARNESS 3W009 - 28VDC FROM PDU TO OTXU</v>
      </c>
      <c r="L1009">
        <v>2</v>
      </c>
      <c r="M1009" t="str">
        <f>"יח"</f>
        <v>יח</v>
      </c>
      <c r="N1009">
        <v>2</v>
      </c>
      <c r="O1009" t="str">
        <f>"יח"</f>
        <v>יח</v>
      </c>
      <c r="P1009">
        <v>282.77999999999997</v>
      </c>
      <c r="Q1009" t="str">
        <f>"$"</f>
        <v>$</v>
      </c>
      <c r="R1009" t="str">
        <f>"הזמנה"</f>
        <v>הזמנה</v>
      </c>
      <c r="S1009">
        <v>0</v>
      </c>
      <c r="T1009">
        <v>565.55999999999995</v>
      </c>
      <c r="U1009">
        <v>0</v>
      </c>
      <c r="V1009">
        <v>565.55999999999995</v>
      </c>
      <c r="W1009" t="str">
        <f>"$"</f>
        <v>$</v>
      </c>
      <c r="X1009">
        <v>0</v>
      </c>
      <c r="Y1009">
        <v>0</v>
      </c>
      <c r="Z1009">
        <v>0</v>
      </c>
      <c r="AA1009" t="str">
        <f>"Y"</f>
        <v>Y</v>
      </c>
      <c r="AB1009" t="str">
        <f>"SO22000346"</f>
        <v>SO22000346</v>
      </c>
      <c r="AC1009">
        <v>9</v>
      </c>
      <c r="AD1009" s="1">
        <v>44802</v>
      </c>
      <c r="AE1009" t="str">
        <f>"SH23000153"</f>
        <v>SH23000153</v>
      </c>
      <c r="AF1009" t="str">
        <f>"משלוחים ללקוח"</f>
        <v>משלוחים ללקוח</v>
      </c>
      <c r="AG1009" s="1">
        <v>44957</v>
      </c>
      <c r="AM1009" t="str">
        <f>"10"</f>
        <v>10</v>
      </c>
      <c r="AN1009" t="str">
        <f>"500000"</f>
        <v>500000</v>
      </c>
      <c r="AO1009" t="str">
        <f>"הכנסות  מלקוחות"</f>
        <v>הכנסות  מלקוחות</v>
      </c>
      <c r="AQ1009" t="str">
        <f>"040"</f>
        <v>040</v>
      </c>
      <c r="AR1009">
        <v>0</v>
      </c>
      <c r="AS1009">
        <v>0</v>
      </c>
      <c r="AT1009">
        <v>3.4750000000000001</v>
      </c>
      <c r="AX1009" t="str">
        <f>"E000372162"</f>
        <v>E000372162</v>
      </c>
      <c r="BD1009" t="str">
        <f>"רחמים זרוק"</f>
        <v>רחמים זרוק</v>
      </c>
    </row>
    <row r="1010" spans="1:56" x14ac:dyDescent="0.3">
      <c r="A1010" s="1">
        <v>44957</v>
      </c>
      <c r="B1010" t="str">
        <f>"SI236000168"</f>
        <v>SI236000168</v>
      </c>
      <c r="C1010" t="str">
        <f>"PR22000592"</f>
        <v>PR22000592</v>
      </c>
      <c r="E1010" t="str">
        <f>"Y"</f>
        <v>Y</v>
      </c>
      <c r="F1010" t="str">
        <f>"חשבוניות מרכזות"</f>
        <v>חשבוניות מרכזות</v>
      </c>
      <c r="G1010" t="str">
        <f>"700065"</f>
        <v>700065</v>
      </c>
      <c r="H1010" t="str">
        <f>"אלתא מערכות בע""מ"</f>
        <v>אלתא מערכות בע"מ</v>
      </c>
      <c r="I1010" t="str">
        <f>"10"</f>
        <v>10</v>
      </c>
      <c r="J1010" t="str">
        <f>"OP-AR03292"</f>
        <v>OP-AR03292</v>
      </c>
      <c r="K1010" t="str">
        <f>"1035C316-001    HARNESS 3W016 - POWER OUT 320VDC FROM PS"</f>
        <v>1035C316-001    HARNESS 3W016 - POWER OUT 320VDC FROM PS</v>
      </c>
      <c r="L1010">
        <v>2</v>
      </c>
      <c r="M1010" t="str">
        <f>"יח"</f>
        <v>יח</v>
      </c>
      <c r="N1010">
        <v>2</v>
      </c>
      <c r="O1010" t="str">
        <f>"יח"</f>
        <v>יח</v>
      </c>
      <c r="P1010">
        <v>670.72</v>
      </c>
      <c r="Q1010" t="str">
        <f>"$"</f>
        <v>$</v>
      </c>
      <c r="R1010" t="str">
        <f>"הזמנה"</f>
        <v>הזמנה</v>
      </c>
      <c r="S1010">
        <v>0</v>
      </c>
      <c r="T1010" s="2">
        <v>1341.44</v>
      </c>
      <c r="U1010">
        <v>0</v>
      </c>
      <c r="V1010" s="2">
        <v>1341.44</v>
      </c>
      <c r="W1010" t="str">
        <f>"$"</f>
        <v>$</v>
      </c>
      <c r="X1010">
        <v>0</v>
      </c>
      <c r="Y1010">
        <v>0</v>
      </c>
      <c r="Z1010">
        <v>0</v>
      </c>
      <c r="AA1010" t="str">
        <f>"Y"</f>
        <v>Y</v>
      </c>
      <c r="AB1010" t="str">
        <f>"SO22000346"</f>
        <v>SO22000346</v>
      </c>
      <c r="AC1010">
        <v>16</v>
      </c>
      <c r="AD1010" s="1">
        <v>44802</v>
      </c>
      <c r="AE1010" t="str">
        <f>"SH23000153"</f>
        <v>SH23000153</v>
      </c>
      <c r="AF1010" t="str">
        <f>"משלוחים ללקוח"</f>
        <v>משלוחים ללקוח</v>
      </c>
      <c r="AG1010" s="1">
        <v>44957</v>
      </c>
      <c r="AM1010" t="str">
        <f>"10"</f>
        <v>10</v>
      </c>
      <c r="AN1010" t="str">
        <f>"500000"</f>
        <v>500000</v>
      </c>
      <c r="AO1010" t="str">
        <f>"הכנסות  מלקוחות"</f>
        <v>הכנסות  מלקוחות</v>
      </c>
      <c r="AQ1010" t="str">
        <f>"040"</f>
        <v>040</v>
      </c>
      <c r="AR1010">
        <v>0</v>
      </c>
      <c r="AS1010">
        <v>0</v>
      </c>
      <c r="AT1010">
        <v>3.4750000000000001</v>
      </c>
      <c r="AX1010" t="str">
        <f>"E000372162"</f>
        <v>E000372162</v>
      </c>
      <c r="BD1010" t="str">
        <f>"רחמים זרוק"</f>
        <v>רחמים זרוק</v>
      </c>
    </row>
    <row r="1011" spans="1:56" x14ac:dyDescent="0.3">
      <c r="A1011" s="1">
        <v>44957</v>
      </c>
      <c r="B1011" t="str">
        <f>"SI236000168"</f>
        <v>SI236000168</v>
      </c>
      <c r="C1011" t="str">
        <f>"PR22000592"</f>
        <v>PR22000592</v>
      </c>
      <c r="E1011" t="str">
        <f>"Y"</f>
        <v>Y</v>
      </c>
      <c r="F1011" t="str">
        <f>"חשבוניות מרכזות"</f>
        <v>חשבוניות מרכזות</v>
      </c>
      <c r="G1011" t="str">
        <f>"700065"</f>
        <v>700065</v>
      </c>
      <c r="H1011" t="str">
        <f>"אלתא מערכות בע""מ"</f>
        <v>אלתא מערכות בע"מ</v>
      </c>
      <c r="I1011" t="str">
        <f>"10"</f>
        <v>10</v>
      </c>
      <c r="J1011" t="str">
        <f>"OP-AR03293"</f>
        <v>OP-AR03293</v>
      </c>
      <c r="K1011" t="str">
        <f>"1035C317-001    HARNESS 3W017 - 440VAC/60HZ FROM PSU TO"</f>
        <v>1035C317-001    HARNESS 3W017 - 440VAC/60HZ FROM PSU TO</v>
      </c>
      <c r="L1011">
        <v>2</v>
      </c>
      <c r="M1011" t="str">
        <f>"יח"</f>
        <v>יח</v>
      </c>
      <c r="N1011">
        <v>2</v>
      </c>
      <c r="O1011" t="str">
        <f>"יח"</f>
        <v>יח</v>
      </c>
      <c r="P1011">
        <v>304.66000000000003</v>
      </c>
      <c r="Q1011" t="str">
        <f>"$"</f>
        <v>$</v>
      </c>
      <c r="R1011" t="str">
        <f>"הזמנה"</f>
        <v>הזמנה</v>
      </c>
      <c r="S1011">
        <v>0</v>
      </c>
      <c r="T1011">
        <v>609.32000000000005</v>
      </c>
      <c r="U1011">
        <v>0</v>
      </c>
      <c r="V1011">
        <v>609.32000000000005</v>
      </c>
      <c r="W1011" t="str">
        <f>"$"</f>
        <v>$</v>
      </c>
      <c r="X1011">
        <v>0</v>
      </c>
      <c r="Y1011">
        <v>0</v>
      </c>
      <c r="Z1011">
        <v>0</v>
      </c>
      <c r="AA1011" t="str">
        <f>"Y"</f>
        <v>Y</v>
      </c>
      <c r="AB1011" t="str">
        <f>"SO22000346"</f>
        <v>SO22000346</v>
      </c>
      <c r="AC1011">
        <v>17</v>
      </c>
      <c r="AD1011" s="1">
        <v>44802</v>
      </c>
      <c r="AE1011" t="str">
        <f>"SH23000153"</f>
        <v>SH23000153</v>
      </c>
      <c r="AF1011" t="str">
        <f>"משלוחים ללקוח"</f>
        <v>משלוחים ללקוח</v>
      </c>
      <c r="AG1011" s="1">
        <v>44957</v>
      </c>
      <c r="AM1011" t="str">
        <f>"10"</f>
        <v>10</v>
      </c>
      <c r="AN1011" t="str">
        <f>"500000"</f>
        <v>500000</v>
      </c>
      <c r="AO1011" t="str">
        <f>"הכנסות  מלקוחות"</f>
        <v>הכנסות  מלקוחות</v>
      </c>
      <c r="AQ1011" t="str">
        <f>"040"</f>
        <v>040</v>
      </c>
      <c r="AR1011">
        <v>0</v>
      </c>
      <c r="AS1011">
        <v>0</v>
      </c>
      <c r="AT1011">
        <v>3.4750000000000001</v>
      </c>
      <c r="AX1011" t="str">
        <f>"E000372162"</f>
        <v>E000372162</v>
      </c>
      <c r="BD1011" t="str">
        <f>"רחמים זרוק"</f>
        <v>רחמים זרוק</v>
      </c>
    </row>
    <row r="1012" spans="1:56" x14ac:dyDescent="0.3">
      <c r="A1012" s="1">
        <v>44957</v>
      </c>
      <c r="B1012" t="str">
        <f>"SI236000168"</f>
        <v>SI236000168</v>
      </c>
      <c r="C1012" t="str">
        <f>"PR22000592"</f>
        <v>PR22000592</v>
      </c>
      <c r="E1012" t="str">
        <f>"Y"</f>
        <v>Y</v>
      </c>
      <c r="F1012" t="str">
        <f>"חשבוניות מרכזות"</f>
        <v>חשבוניות מרכזות</v>
      </c>
      <c r="G1012" t="str">
        <f>"700065"</f>
        <v>700065</v>
      </c>
      <c r="H1012" t="str">
        <f>"אלתא מערכות בע""מ"</f>
        <v>אלתא מערכות בע"מ</v>
      </c>
      <c r="I1012" t="str">
        <f>"10"</f>
        <v>10</v>
      </c>
      <c r="J1012" t="str">
        <f>"OP-AR03295"</f>
        <v>OP-AR03295</v>
      </c>
      <c r="K1012" t="str">
        <f>"1035C331-001    HARNESS 3W031 - CONTROL and COMM. FROM R"</f>
        <v>1035C331-001    HARNESS 3W031 - CONTROL and COMM. FROM R</v>
      </c>
      <c r="L1012">
        <v>2</v>
      </c>
      <c r="M1012" t="str">
        <f>"יח"</f>
        <v>יח</v>
      </c>
      <c r="N1012">
        <v>2</v>
      </c>
      <c r="O1012" t="str">
        <f>"יח"</f>
        <v>יח</v>
      </c>
      <c r="P1012">
        <v>519.70000000000005</v>
      </c>
      <c r="Q1012" t="str">
        <f>"$"</f>
        <v>$</v>
      </c>
      <c r="R1012" t="str">
        <f>"הזמנה"</f>
        <v>הזמנה</v>
      </c>
      <c r="S1012">
        <v>0</v>
      </c>
      <c r="T1012" s="2">
        <v>1039.4000000000001</v>
      </c>
      <c r="U1012">
        <v>0</v>
      </c>
      <c r="V1012" s="2">
        <v>1039.4000000000001</v>
      </c>
      <c r="W1012" t="str">
        <f>"$"</f>
        <v>$</v>
      </c>
      <c r="X1012">
        <v>0</v>
      </c>
      <c r="Y1012">
        <v>0</v>
      </c>
      <c r="Z1012">
        <v>0</v>
      </c>
      <c r="AA1012" t="str">
        <f>"Y"</f>
        <v>Y</v>
      </c>
      <c r="AB1012" t="str">
        <f>"SO22000346"</f>
        <v>SO22000346</v>
      </c>
      <c r="AC1012">
        <v>19</v>
      </c>
      <c r="AD1012" s="1">
        <v>44802</v>
      </c>
      <c r="AE1012" t="str">
        <f>"SH23000153"</f>
        <v>SH23000153</v>
      </c>
      <c r="AF1012" t="str">
        <f>"משלוחים ללקוח"</f>
        <v>משלוחים ללקוח</v>
      </c>
      <c r="AG1012" s="1">
        <v>44957</v>
      </c>
      <c r="AM1012" t="str">
        <f>"10"</f>
        <v>10</v>
      </c>
      <c r="AN1012" t="str">
        <f>"500000"</f>
        <v>500000</v>
      </c>
      <c r="AO1012" t="str">
        <f>"הכנסות  מלקוחות"</f>
        <v>הכנסות  מלקוחות</v>
      </c>
      <c r="AQ1012" t="str">
        <f>"040"</f>
        <v>040</v>
      </c>
      <c r="AR1012">
        <v>0</v>
      </c>
      <c r="AS1012">
        <v>0</v>
      </c>
      <c r="AT1012">
        <v>3.4750000000000001</v>
      </c>
      <c r="AX1012" t="str">
        <f>"E000372162"</f>
        <v>E000372162</v>
      </c>
      <c r="BD1012" t="str">
        <f>"רחמים זרוק"</f>
        <v>רחמים זרוק</v>
      </c>
    </row>
    <row r="1013" spans="1:56" x14ac:dyDescent="0.3">
      <c r="A1013" s="1">
        <v>44957</v>
      </c>
      <c r="B1013" t="str">
        <f>"SI236000168"</f>
        <v>SI236000168</v>
      </c>
      <c r="C1013" t="str">
        <f>"PR22000592"</f>
        <v>PR22000592</v>
      </c>
      <c r="E1013" t="str">
        <f>"Y"</f>
        <v>Y</v>
      </c>
      <c r="F1013" t="str">
        <f>"חשבוניות מרכזות"</f>
        <v>חשבוניות מרכזות</v>
      </c>
      <c r="G1013" t="str">
        <f>"700065"</f>
        <v>700065</v>
      </c>
      <c r="H1013" t="str">
        <f>"אלתא מערכות בע""מ"</f>
        <v>אלתא מערכות בע"מ</v>
      </c>
      <c r="I1013" t="str">
        <f>"10"</f>
        <v>10</v>
      </c>
      <c r="J1013" t="str">
        <f>"OP-AR03299"</f>
        <v>OP-AR03299</v>
      </c>
      <c r="K1013" t="str">
        <f>"1035C335-001    HARNESS 3W035 - COMMUNICATION FROM/TO RS"</f>
        <v>1035C335-001    HARNESS 3W035 - COMMUNICATION FROM/TO RS</v>
      </c>
      <c r="L1013">
        <v>2</v>
      </c>
      <c r="M1013" t="str">
        <f>"יח"</f>
        <v>יח</v>
      </c>
      <c r="N1013">
        <v>2</v>
      </c>
      <c r="O1013" t="str">
        <f>"יח"</f>
        <v>יח</v>
      </c>
      <c r="P1013">
        <v>374.58</v>
      </c>
      <c r="Q1013" t="str">
        <f>"$"</f>
        <v>$</v>
      </c>
      <c r="R1013" t="str">
        <f>"הזמנה"</f>
        <v>הזמנה</v>
      </c>
      <c r="S1013">
        <v>0</v>
      </c>
      <c r="T1013">
        <v>749.16</v>
      </c>
      <c r="U1013">
        <v>0</v>
      </c>
      <c r="V1013">
        <v>749.16</v>
      </c>
      <c r="W1013" t="str">
        <f>"$"</f>
        <v>$</v>
      </c>
      <c r="X1013">
        <v>0</v>
      </c>
      <c r="Y1013">
        <v>0</v>
      </c>
      <c r="Z1013">
        <v>0</v>
      </c>
      <c r="AA1013" t="str">
        <f>"Y"</f>
        <v>Y</v>
      </c>
      <c r="AB1013" t="str">
        <f>"SO22000346"</f>
        <v>SO22000346</v>
      </c>
      <c r="AC1013">
        <v>23</v>
      </c>
      <c r="AD1013" s="1">
        <v>44802</v>
      </c>
      <c r="AE1013" t="str">
        <f>"SH23000153"</f>
        <v>SH23000153</v>
      </c>
      <c r="AF1013" t="str">
        <f>"משלוחים ללקוח"</f>
        <v>משלוחים ללקוח</v>
      </c>
      <c r="AG1013" s="1">
        <v>44957</v>
      </c>
      <c r="AM1013" t="str">
        <f>"10"</f>
        <v>10</v>
      </c>
      <c r="AN1013" t="str">
        <f>"500000"</f>
        <v>500000</v>
      </c>
      <c r="AO1013" t="str">
        <f>"הכנסות  מלקוחות"</f>
        <v>הכנסות  מלקוחות</v>
      </c>
      <c r="AQ1013" t="str">
        <f>"040"</f>
        <v>040</v>
      </c>
      <c r="AR1013">
        <v>0</v>
      </c>
      <c r="AS1013">
        <v>0</v>
      </c>
      <c r="AT1013">
        <v>3.4750000000000001</v>
      </c>
      <c r="AX1013" t="str">
        <f>"E000372162"</f>
        <v>E000372162</v>
      </c>
      <c r="BD1013" t="str">
        <f>"רחמים זרוק"</f>
        <v>רחמים זרוק</v>
      </c>
    </row>
    <row r="1014" spans="1:56" x14ac:dyDescent="0.3">
      <c r="A1014" s="1">
        <v>44957</v>
      </c>
      <c r="B1014" t="str">
        <f>"SI236000168"</f>
        <v>SI236000168</v>
      </c>
      <c r="C1014" t="str">
        <f>"PR22000592"</f>
        <v>PR22000592</v>
      </c>
      <c r="E1014" t="str">
        <f>"Y"</f>
        <v>Y</v>
      </c>
      <c r="F1014" t="str">
        <f>"חשבוניות מרכזות"</f>
        <v>חשבוניות מרכזות</v>
      </c>
      <c r="G1014" t="str">
        <f>"700065"</f>
        <v>700065</v>
      </c>
      <c r="H1014" t="str">
        <f>"אלתא מערכות בע""מ"</f>
        <v>אלתא מערכות בע"מ</v>
      </c>
      <c r="I1014" t="str">
        <f>"10"</f>
        <v>10</v>
      </c>
      <c r="J1014" t="str">
        <f>"OP-AR03300"</f>
        <v>OP-AR03300</v>
      </c>
      <c r="K1014" t="str">
        <f>"1035C336-001    HARNESS 3W036 - DATA FROM MAS TO PSU"</f>
        <v>1035C336-001    HARNESS 3W036 - DATA FROM MAS TO PSU</v>
      </c>
      <c r="L1014">
        <v>2</v>
      </c>
      <c r="M1014" t="str">
        <f>"יח"</f>
        <v>יח</v>
      </c>
      <c r="N1014">
        <v>2</v>
      </c>
      <c r="O1014" t="str">
        <f>"יח"</f>
        <v>יח</v>
      </c>
      <c r="P1014">
        <v>285.77</v>
      </c>
      <c r="Q1014" t="str">
        <f>"$"</f>
        <v>$</v>
      </c>
      <c r="R1014" t="str">
        <f>"הזמנה"</f>
        <v>הזמנה</v>
      </c>
      <c r="S1014">
        <v>0</v>
      </c>
      <c r="T1014">
        <v>571.54</v>
      </c>
      <c r="U1014">
        <v>0</v>
      </c>
      <c r="V1014">
        <v>571.54</v>
      </c>
      <c r="W1014" t="str">
        <f>"$"</f>
        <v>$</v>
      </c>
      <c r="X1014">
        <v>0</v>
      </c>
      <c r="Y1014">
        <v>0</v>
      </c>
      <c r="Z1014">
        <v>0</v>
      </c>
      <c r="AA1014" t="str">
        <f>"Y"</f>
        <v>Y</v>
      </c>
      <c r="AB1014" t="str">
        <f>"SO22000346"</f>
        <v>SO22000346</v>
      </c>
      <c r="AC1014">
        <v>24</v>
      </c>
      <c r="AD1014" s="1">
        <v>44802</v>
      </c>
      <c r="AE1014" t="str">
        <f>"SH23000153"</f>
        <v>SH23000153</v>
      </c>
      <c r="AF1014" t="str">
        <f>"משלוחים ללקוח"</f>
        <v>משלוחים ללקוח</v>
      </c>
      <c r="AG1014" s="1">
        <v>44957</v>
      </c>
      <c r="AM1014" t="str">
        <f>"10"</f>
        <v>10</v>
      </c>
      <c r="AN1014" t="str">
        <f>"500000"</f>
        <v>500000</v>
      </c>
      <c r="AO1014" t="str">
        <f>"הכנסות  מלקוחות"</f>
        <v>הכנסות  מלקוחות</v>
      </c>
      <c r="AQ1014" t="str">
        <f>"040"</f>
        <v>040</v>
      </c>
      <c r="AR1014">
        <v>0</v>
      </c>
      <c r="AS1014">
        <v>0</v>
      </c>
      <c r="AT1014">
        <v>3.4750000000000001</v>
      </c>
      <c r="AX1014" t="str">
        <f>"E000372162"</f>
        <v>E000372162</v>
      </c>
      <c r="BD1014" t="str">
        <f>"רחמים זרוק"</f>
        <v>רחמים זרוק</v>
      </c>
    </row>
    <row r="1015" spans="1:56" x14ac:dyDescent="0.3">
      <c r="A1015" s="1">
        <v>44957</v>
      </c>
      <c r="B1015" t="str">
        <f>"SI236000168"</f>
        <v>SI236000168</v>
      </c>
      <c r="C1015" t="str">
        <f>"PR22000592"</f>
        <v>PR22000592</v>
      </c>
      <c r="E1015" t="str">
        <f>"Y"</f>
        <v>Y</v>
      </c>
      <c r="F1015" t="str">
        <f>"חשבוניות מרכזות"</f>
        <v>חשבוניות מרכזות</v>
      </c>
      <c r="G1015" t="str">
        <f>"700065"</f>
        <v>700065</v>
      </c>
      <c r="H1015" t="str">
        <f>"אלתא מערכות בע""מ"</f>
        <v>אלתא מערכות בע"מ</v>
      </c>
      <c r="I1015" t="str">
        <f>"10"</f>
        <v>10</v>
      </c>
      <c r="J1015" t="str">
        <f>"OP-AR03301"</f>
        <v>OP-AR03301</v>
      </c>
      <c r="K1015" t="str">
        <f>"1035C337-001    HARNESS 3W037 - CONTROL and ETHERNET FRO"</f>
        <v>1035C337-001    HARNESS 3W037 - CONTROL and ETHERNET FRO</v>
      </c>
      <c r="L1015">
        <v>2</v>
      </c>
      <c r="M1015" t="str">
        <f>"יח"</f>
        <v>יח</v>
      </c>
      <c r="N1015">
        <v>2</v>
      </c>
      <c r="O1015" t="str">
        <f>"יח"</f>
        <v>יח</v>
      </c>
      <c r="P1015">
        <v>342.37</v>
      </c>
      <c r="Q1015" t="str">
        <f>"$"</f>
        <v>$</v>
      </c>
      <c r="R1015" t="str">
        <f>"הזמנה"</f>
        <v>הזמנה</v>
      </c>
      <c r="S1015">
        <v>0</v>
      </c>
      <c r="T1015">
        <v>684.74</v>
      </c>
      <c r="U1015">
        <v>0</v>
      </c>
      <c r="V1015">
        <v>684.74</v>
      </c>
      <c r="W1015" t="str">
        <f>"$"</f>
        <v>$</v>
      </c>
      <c r="X1015">
        <v>0</v>
      </c>
      <c r="Y1015">
        <v>0</v>
      </c>
      <c r="Z1015">
        <v>0</v>
      </c>
      <c r="AA1015" t="str">
        <f>"Y"</f>
        <v>Y</v>
      </c>
      <c r="AB1015" t="str">
        <f>"SO22000346"</f>
        <v>SO22000346</v>
      </c>
      <c r="AC1015">
        <v>25</v>
      </c>
      <c r="AD1015" s="1">
        <v>44802</v>
      </c>
      <c r="AE1015" t="str">
        <f>"SH23000153"</f>
        <v>SH23000153</v>
      </c>
      <c r="AF1015" t="str">
        <f>"משלוחים ללקוח"</f>
        <v>משלוחים ללקוח</v>
      </c>
      <c r="AG1015" s="1">
        <v>44957</v>
      </c>
      <c r="AM1015" t="str">
        <f>"10"</f>
        <v>10</v>
      </c>
      <c r="AN1015" t="str">
        <f>"500000"</f>
        <v>500000</v>
      </c>
      <c r="AO1015" t="str">
        <f>"הכנסות  מלקוחות"</f>
        <v>הכנסות  מלקוחות</v>
      </c>
      <c r="AQ1015" t="str">
        <f>"040"</f>
        <v>040</v>
      </c>
      <c r="AR1015">
        <v>0</v>
      </c>
      <c r="AS1015">
        <v>0</v>
      </c>
      <c r="AT1015">
        <v>3.4750000000000001</v>
      </c>
      <c r="AX1015" t="str">
        <f>"E000372162"</f>
        <v>E000372162</v>
      </c>
      <c r="BD1015" t="str">
        <f>"רחמים זרוק"</f>
        <v>רחמים זרוק</v>
      </c>
    </row>
    <row r="1016" spans="1:56" x14ac:dyDescent="0.3">
      <c r="A1016" s="1">
        <v>44957</v>
      </c>
      <c r="B1016" t="str">
        <f>"SI236000168"</f>
        <v>SI236000168</v>
      </c>
      <c r="C1016" t="str">
        <f>"PR22000592"</f>
        <v>PR22000592</v>
      </c>
      <c r="E1016" t="str">
        <f>"Y"</f>
        <v>Y</v>
      </c>
      <c r="F1016" t="str">
        <f>"חשבוניות מרכזות"</f>
        <v>חשבוניות מרכזות</v>
      </c>
      <c r="G1016" t="str">
        <f>"700065"</f>
        <v>700065</v>
      </c>
      <c r="H1016" t="str">
        <f>"אלתא מערכות בע""מ"</f>
        <v>אלתא מערכות בע"מ</v>
      </c>
      <c r="I1016" t="str">
        <f>"10"</f>
        <v>10</v>
      </c>
      <c r="J1016" t="str">
        <f>"OP-AR03302"</f>
        <v>OP-AR03302</v>
      </c>
      <c r="K1016" t="str">
        <f>"1035C338-001    HARNESS 3W038 - CONTROL and ETHERNET FRO"</f>
        <v>1035C338-001    HARNESS 3W038 - CONTROL and ETHERNET FRO</v>
      </c>
      <c r="L1016">
        <v>2</v>
      </c>
      <c r="M1016" t="str">
        <f>"יח"</f>
        <v>יח</v>
      </c>
      <c r="N1016">
        <v>2</v>
      </c>
      <c r="O1016" t="str">
        <f>"יח"</f>
        <v>יח</v>
      </c>
      <c r="P1016">
        <v>349.28</v>
      </c>
      <c r="Q1016" t="str">
        <f>"$"</f>
        <v>$</v>
      </c>
      <c r="R1016" t="str">
        <f>"הזמנה"</f>
        <v>הזמנה</v>
      </c>
      <c r="S1016">
        <v>0</v>
      </c>
      <c r="T1016">
        <v>698.56</v>
      </c>
      <c r="U1016">
        <v>0</v>
      </c>
      <c r="V1016">
        <v>698.56</v>
      </c>
      <c r="W1016" t="str">
        <f>"$"</f>
        <v>$</v>
      </c>
      <c r="X1016">
        <v>0</v>
      </c>
      <c r="Y1016">
        <v>0</v>
      </c>
      <c r="Z1016">
        <v>0</v>
      </c>
      <c r="AA1016" t="str">
        <f>"Y"</f>
        <v>Y</v>
      </c>
      <c r="AB1016" t="str">
        <f>"SO22000346"</f>
        <v>SO22000346</v>
      </c>
      <c r="AC1016">
        <v>26</v>
      </c>
      <c r="AD1016" s="1">
        <v>44802</v>
      </c>
      <c r="AE1016" t="str">
        <f>"SH23000153"</f>
        <v>SH23000153</v>
      </c>
      <c r="AF1016" t="str">
        <f>"משלוחים ללקוח"</f>
        <v>משלוחים ללקוח</v>
      </c>
      <c r="AG1016" s="1">
        <v>44957</v>
      </c>
      <c r="AM1016" t="str">
        <f>"10"</f>
        <v>10</v>
      </c>
      <c r="AN1016" t="str">
        <f>"500000"</f>
        <v>500000</v>
      </c>
      <c r="AO1016" t="str">
        <f>"הכנסות  מלקוחות"</f>
        <v>הכנסות  מלקוחות</v>
      </c>
      <c r="AQ1016" t="str">
        <f>"040"</f>
        <v>040</v>
      </c>
      <c r="AR1016">
        <v>0</v>
      </c>
      <c r="AS1016">
        <v>0</v>
      </c>
      <c r="AT1016">
        <v>3.4750000000000001</v>
      </c>
      <c r="AX1016" t="str">
        <f>"E000372162"</f>
        <v>E000372162</v>
      </c>
      <c r="BD1016" t="str">
        <f>"רחמים זרוק"</f>
        <v>רחמים זרוק</v>
      </c>
    </row>
    <row r="1017" spans="1:56" x14ac:dyDescent="0.3">
      <c r="A1017" s="1">
        <v>44957</v>
      </c>
      <c r="B1017" t="str">
        <f>"SI236000168"</f>
        <v>SI236000168</v>
      </c>
      <c r="C1017" t="str">
        <f>"PR22000592"</f>
        <v>PR22000592</v>
      </c>
      <c r="E1017" t="str">
        <f>"Y"</f>
        <v>Y</v>
      </c>
      <c r="F1017" t="str">
        <f>"חשבוניות מרכזות"</f>
        <v>חשבוניות מרכזות</v>
      </c>
      <c r="G1017" t="str">
        <f>"700065"</f>
        <v>700065</v>
      </c>
      <c r="H1017" t="str">
        <f>"אלתא מערכות בע""מ"</f>
        <v>אלתא מערכות בע"מ</v>
      </c>
      <c r="I1017" t="str">
        <f>"10"</f>
        <v>10</v>
      </c>
      <c r="J1017" t="str">
        <f>"OP-AR03303"</f>
        <v>OP-AR03303</v>
      </c>
      <c r="K1017" t="str">
        <f>"1035C339-001    HARNESS 3W039 - STATUS and CONTROL FROM/"</f>
        <v>1035C339-001    HARNESS 3W039 - STATUS and CONTROL FROM/</v>
      </c>
      <c r="L1017">
        <v>2</v>
      </c>
      <c r="M1017" t="str">
        <f>"יח"</f>
        <v>יח</v>
      </c>
      <c r="N1017">
        <v>2</v>
      </c>
      <c r="O1017" t="str">
        <f>"יח"</f>
        <v>יח</v>
      </c>
      <c r="P1017">
        <v>487.14</v>
      </c>
      <c r="Q1017" t="str">
        <f>"$"</f>
        <v>$</v>
      </c>
      <c r="R1017" t="str">
        <f>"הזמנה"</f>
        <v>הזמנה</v>
      </c>
      <c r="S1017">
        <v>0</v>
      </c>
      <c r="T1017">
        <v>974.28</v>
      </c>
      <c r="U1017">
        <v>0</v>
      </c>
      <c r="V1017">
        <v>974.28</v>
      </c>
      <c r="W1017" t="str">
        <f>"$"</f>
        <v>$</v>
      </c>
      <c r="X1017">
        <v>0</v>
      </c>
      <c r="Y1017">
        <v>0</v>
      </c>
      <c r="Z1017">
        <v>0</v>
      </c>
      <c r="AA1017" t="str">
        <f>"Y"</f>
        <v>Y</v>
      </c>
      <c r="AB1017" t="str">
        <f>"SO22000346"</f>
        <v>SO22000346</v>
      </c>
      <c r="AC1017">
        <v>27</v>
      </c>
      <c r="AD1017" s="1">
        <v>44802</v>
      </c>
      <c r="AE1017" t="str">
        <f>"SH23000153"</f>
        <v>SH23000153</v>
      </c>
      <c r="AF1017" t="str">
        <f>"משלוחים ללקוח"</f>
        <v>משלוחים ללקוח</v>
      </c>
      <c r="AG1017" s="1">
        <v>44957</v>
      </c>
      <c r="AM1017" t="str">
        <f>"10"</f>
        <v>10</v>
      </c>
      <c r="AN1017" t="str">
        <f>"500000"</f>
        <v>500000</v>
      </c>
      <c r="AO1017" t="str">
        <f>"הכנסות  מלקוחות"</f>
        <v>הכנסות  מלקוחות</v>
      </c>
      <c r="AQ1017" t="str">
        <f>"040"</f>
        <v>040</v>
      </c>
      <c r="AR1017">
        <v>0</v>
      </c>
      <c r="AS1017">
        <v>0</v>
      </c>
      <c r="AT1017">
        <v>3.4750000000000001</v>
      </c>
      <c r="AX1017" t="str">
        <f>"E000372162"</f>
        <v>E000372162</v>
      </c>
      <c r="BD1017" t="str">
        <f>"רחמים זרוק"</f>
        <v>רחמים זרוק</v>
      </c>
    </row>
    <row r="1018" spans="1:56" x14ac:dyDescent="0.3">
      <c r="A1018" s="1">
        <v>44957</v>
      </c>
      <c r="B1018" t="str">
        <f>"SI236000168"</f>
        <v>SI236000168</v>
      </c>
      <c r="C1018" t="str">
        <f>"PR22000592"</f>
        <v>PR22000592</v>
      </c>
      <c r="E1018" t="str">
        <f>"Y"</f>
        <v>Y</v>
      </c>
      <c r="F1018" t="str">
        <f>"חשבוניות מרכזות"</f>
        <v>חשבוניות מרכזות</v>
      </c>
      <c r="G1018" t="str">
        <f>"700065"</f>
        <v>700065</v>
      </c>
      <c r="H1018" t="str">
        <f>"אלתא מערכות בע""מ"</f>
        <v>אלתא מערכות בע"מ</v>
      </c>
      <c r="I1018" t="str">
        <f>"10"</f>
        <v>10</v>
      </c>
      <c r="J1018" t="str">
        <f>"OP-AR03304"</f>
        <v>OP-AR03304</v>
      </c>
      <c r="K1018" t="str">
        <f>"1035C340-001    HARNESS 3W040 - STATUS FROM MOTOR TO SPR"</f>
        <v>1035C340-001    HARNESS 3W040 - STATUS FROM MOTOR TO SPR</v>
      </c>
      <c r="L1018">
        <v>2</v>
      </c>
      <c r="M1018" t="str">
        <f>"יח"</f>
        <v>יח</v>
      </c>
      <c r="N1018">
        <v>2</v>
      </c>
      <c r="O1018" t="str">
        <f>"יח"</f>
        <v>יח</v>
      </c>
      <c r="P1018">
        <v>351.31</v>
      </c>
      <c r="Q1018" t="str">
        <f>"$"</f>
        <v>$</v>
      </c>
      <c r="R1018" t="str">
        <f>"הזמנה"</f>
        <v>הזמנה</v>
      </c>
      <c r="S1018">
        <v>0</v>
      </c>
      <c r="T1018">
        <v>702.62</v>
      </c>
      <c r="U1018">
        <v>0</v>
      </c>
      <c r="V1018">
        <v>702.62</v>
      </c>
      <c r="W1018" t="str">
        <f>"$"</f>
        <v>$</v>
      </c>
      <c r="X1018">
        <v>0</v>
      </c>
      <c r="Y1018">
        <v>0</v>
      </c>
      <c r="Z1018">
        <v>0</v>
      </c>
      <c r="AA1018" t="str">
        <f>"Y"</f>
        <v>Y</v>
      </c>
      <c r="AB1018" t="str">
        <f>"SO22000346"</f>
        <v>SO22000346</v>
      </c>
      <c r="AC1018">
        <v>28</v>
      </c>
      <c r="AD1018" s="1">
        <v>44802</v>
      </c>
      <c r="AE1018" t="str">
        <f>"SH23000153"</f>
        <v>SH23000153</v>
      </c>
      <c r="AF1018" t="str">
        <f>"משלוחים ללקוח"</f>
        <v>משלוחים ללקוח</v>
      </c>
      <c r="AG1018" s="1">
        <v>44957</v>
      </c>
      <c r="AM1018" t="str">
        <f>"10"</f>
        <v>10</v>
      </c>
      <c r="AN1018" t="str">
        <f>"500000"</f>
        <v>500000</v>
      </c>
      <c r="AO1018" t="str">
        <f>"הכנסות  מלקוחות"</f>
        <v>הכנסות  מלקוחות</v>
      </c>
      <c r="AQ1018" t="str">
        <f>"040"</f>
        <v>040</v>
      </c>
      <c r="AR1018">
        <v>0</v>
      </c>
      <c r="AS1018">
        <v>0</v>
      </c>
      <c r="AT1018">
        <v>3.4750000000000001</v>
      </c>
      <c r="AX1018" t="str">
        <f>"E000372162"</f>
        <v>E000372162</v>
      </c>
      <c r="BD1018" t="str">
        <f>"רחמים זרוק"</f>
        <v>רחמים זרוק</v>
      </c>
    </row>
    <row r="1019" spans="1:56" x14ac:dyDescent="0.3">
      <c r="A1019" s="1">
        <v>44957</v>
      </c>
      <c r="B1019" t="str">
        <f>"SI236000168"</f>
        <v>SI236000168</v>
      </c>
      <c r="C1019" t="str">
        <f>"PR22000592"</f>
        <v>PR22000592</v>
      </c>
      <c r="E1019" t="str">
        <f>"Y"</f>
        <v>Y</v>
      </c>
      <c r="F1019" t="str">
        <f>"חשבוניות מרכזות"</f>
        <v>חשבוניות מרכזות</v>
      </c>
      <c r="G1019" t="str">
        <f>"700065"</f>
        <v>700065</v>
      </c>
      <c r="H1019" t="str">
        <f>"אלתא מערכות בע""מ"</f>
        <v>אלתא מערכות בע"מ</v>
      </c>
      <c r="I1019" t="str">
        <f>"10"</f>
        <v>10</v>
      </c>
      <c r="J1019" t="str">
        <f>"OP-AR03307"</f>
        <v>OP-AR03307</v>
      </c>
      <c r="K1019" t="str">
        <f>"1035C344-001    HARNESS 3W044 - DATA FROM ENCODER TO ACB"</f>
        <v>1035C344-001    HARNESS 3W044 - DATA FROM ENCODER TO ACB</v>
      </c>
      <c r="L1019">
        <v>2</v>
      </c>
      <c r="M1019" t="str">
        <f>"יח"</f>
        <v>יח</v>
      </c>
      <c r="N1019">
        <v>2</v>
      </c>
      <c r="O1019" t="str">
        <f>"יח"</f>
        <v>יח</v>
      </c>
      <c r="P1019">
        <v>339.18</v>
      </c>
      <c r="Q1019" t="str">
        <f>"$"</f>
        <v>$</v>
      </c>
      <c r="R1019" t="str">
        <f>"הזמנה"</f>
        <v>הזמנה</v>
      </c>
      <c r="S1019">
        <v>0</v>
      </c>
      <c r="T1019">
        <v>678.36</v>
      </c>
      <c r="U1019">
        <v>0</v>
      </c>
      <c r="V1019">
        <v>678.36</v>
      </c>
      <c r="W1019" t="str">
        <f>"$"</f>
        <v>$</v>
      </c>
      <c r="X1019">
        <v>0</v>
      </c>
      <c r="Y1019">
        <v>0</v>
      </c>
      <c r="Z1019">
        <v>0</v>
      </c>
      <c r="AA1019" t="str">
        <f>"Y"</f>
        <v>Y</v>
      </c>
      <c r="AB1019" t="str">
        <f>"SO22000346"</f>
        <v>SO22000346</v>
      </c>
      <c r="AC1019">
        <v>31</v>
      </c>
      <c r="AD1019" s="1">
        <v>44802</v>
      </c>
      <c r="AE1019" t="str">
        <f>"SH23000153"</f>
        <v>SH23000153</v>
      </c>
      <c r="AF1019" t="str">
        <f>"משלוחים ללקוח"</f>
        <v>משלוחים ללקוח</v>
      </c>
      <c r="AG1019" s="1">
        <v>44957</v>
      </c>
      <c r="AM1019" t="str">
        <f>"10"</f>
        <v>10</v>
      </c>
      <c r="AN1019" t="str">
        <f>"500000"</f>
        <v>500000</v>
      </c>
      <c r="AO1019" t="str">
        <f>"הכנסות  מלקוחות"</f>
        <v>הכנסות  מלקוחות</v>
      </c>
      <c r="AQ1019" t="str">
        <f>"040"</f>
        <v>040</v>
      </c>
      <c r="AR1019">
        <v>0</v>
      </c>
      <c r="AS1019">
        <v>0</v>
      </c>
      <c r="AT1019">
        <v>3.4750000000000001</v>
      </c>
      <c r="AX1019" t="str">
        <f>"E000372162"</f>
        <v>E000372162</v>
      </c>
      <c r="BD1019" t="str">
        <f>"רחמים זרוק"</f>
        <v>רחמים זרוק</v>
      </c>
    </row>
    <row r="1020" spans="1:56" x14ac:dyDescent="0.3">
      <c r="A1020" s="1">
        <v>44957</v>
      </c>
      <c r="B1020" t="str">
        <f>"SI236000168"</f>
        <v>SI236000168</v>
      </c>
      <c r="C1020" t="str">
        <f>"PR22000592"</f>
        <v>PR22000592</v>
      </c>
      <c r="E1020" t="str">
        <f>"Y"</f>
        <v>Y</v>
      </c>
      <c r="F1020" t="str">
        <f>"חשבוניות מרכזות"</f>
        <v>חשבוניות מרכזות</v>
      </c>
      <c r="G1020" t="str">
        <f>"700065"</f>
        <v>700065</v>
      </c>
      <c r="H1020" t="str">
        <f>"אלתא מערכות בע""מ"</f>
        <v>אלתא מערכות בע"מ</v>
      </c>
      <c r="I1020" t="str">
        <f>"10"</f>
        <v>10</v>
      </c>
      <c r="J1020" t="str">
        <f>"OP-AR03310"</f>
        <v>OP-AR03310</v>
      </c>
      <c r="K1020" t="str">
        <f>"1035C351-001    HARNESS 3W051 - ETHERNET FROM/TO RSU TO/"</f>
        <v>1035C351-001    HARNESS 3W051 - ETHERNET FROM/TO RSU TO/</v>
      </c>
      <c r="L1020">
        <v>2</v>
      </c>
      <c r="M1020" t="str">
        <f>"יח"</f>
        <v>יח</v>
      </c>
      <c r="N1020">
        <v>2</v>
      </c>
      <c r="O1020" t="str">
        <f>"יח"</f>
        <v>יח</v>
      </c>
      <c r="P1020">
        <v>372.79</v>
      </c>
      <c r="Q1020" t="str">
        <f>"$"</f>
        <v>$</v>
      </c>
      <c r="R1020" t="str">
        <f>"הזמנה"</f>
        <v>הזמנה</v>
      </c>
      <c r="S1020">
        <v>0</v>
      </c>
      <c r="T1020">
        <v>745.58</v>
      </c>
      <c r="U1020">
        <v>0</v>
      </c>
      <c r="V1020">
        <v>745.58</v>
      </c>
      <c r="W1020" t="str">
        <f>"$"</f>
        <v>$</v>
      </c>
      <c r="X1020">
        <v>0</v>
      </c>
      <c r="Y1020">
        <v>0</v>
      </c>
      <c r="Z1020">
        <v>0</v>
      </c>
      <c r="AA1020" t="str">
        <f>"Y"</f>
        <v>Y</v>
      </c>
      <c r="AB1020" t="str">
        <f>"SO22000346"</f>
        <v>SO22000346</v>
      </c>
      <c r="AC1020">
        <v>34</v>
      </c>
      <c r="AD1020" s="1">
        <v>44802</v>
      </c>
      <c r="AE1020" t="str">
        <f>"SH23000153"</f>
        <v>SH23000153</v>
      </c>
      <c r="AF1020" t="str">
        <f>"משלוחים ללקוח"</f>
        <v>משלוחים ללקוח</v>
      </c>
      <c r="AG1020" s="1">
        <v>44957</v>
      </c>
      <c r="AM1020" t="str">
        <f>"10"</f>
        <v>10</v>
      </c>
      <c r="AN1020" t="str">
        <f>"500000"</f>
        <v>500000</v>
      </c>
      <c r="AO1020" t="str">
        <f>"הכנסות  מלקוחות"</f>
        <v>הכנסות  מלקוחות</v>
      </c>
      <c r="AQ1020" t="str">
        <f>"040"</f>
        <v>040</v>
      </c>
      <c r="AR1020">
        <v>0</v>
      </c>
      <c r="AS1020">
        <v>0</v>
      </c>
      <c r="AT1020">
        <v>3.4750000000000001</v>
      </c>
      <c r="AX1020" t="str">
        <f>"E000372162"</f>
        <v>E000372162</v>
      </c>
      <c r="BD1020" t="str">
        <f>"רחמים זרוק"</f>
        <v>רחמים זרוק</v>
      </c>
    </row>
    <row r="1021" spans="1:56" x14ac:dyDescent="0.3">
      <c r="A1021" s="1">
        <v>44957</v>
      </c>
      <c r="B1021" t="str">
        <f>"SI236000168"</f>
        <v>SI236000168</v>
      </c>
      <c r="C1021" t="str">
        <f>"PR22000592"</f>
        <v>PR22000592</v>
      </c>
      <c r="E1021" t="str">
        <f>"Y"</f>
        <v>Y</v>
      </c>
      <c r="F1021" t="str">
        <f>"חשבוניות מרכזות"</f>
        <v>חשבוניות מרכזות</v>
      </c>
      <c r="G1021" t="str">
        <f>"700065"</f>
        <v>700065</v>
      </c>
      <c r="H1021" t="str">
        <f>"אלתא מערכות בע""מ"</f>
        <v>אלתא מערכות בע"מ</v>
      </c>
      <c r="I1021" t="str">
        <f>"10"</f>
        <v>10</v>
      </c>
      <c r="J1021" t="str">
        <f>"OP-AR03312"</f>
        <v>OP-AR03312</v>
      </c>
      <c r="K1021" t="str">
        <f>"1035C353-001    HARNESS 3W053 - RS422 SIGNALS and ETHERN"</f>
        <v>1035C353-001    HARNESS 3W053 - RS422 SIGNALS and ETHERN</v>
      </c>
      <c r="L1021">
        <v>2</v>
      </c>
      <c r="M1021" t="str">
        <f>"יח"</f>
        <v>יח</v>
      </c>
      <c r="N1021">
        <v>2</v>
      </c>
      <c r="O1021" t="str">
        <f>"יח"</f>
        <v>יח</v>
      </c>
      <c r="P1021">
        <v>852.47</v>
      </c>
      <c r="Q1021" t="str">
        <f>"$"</f>
        <v>$</v>
      </c>
      <c r="R1021" t="str">
        <f>"הזמנה"</f>
        <v>הזמנה</v>
      </c>
      <c r="S1021">
        <v>0</v>
      </c>
      <c r="T1021" s="2">
        <v>1704.94</v>
      </c>
      <c r="U1021">
        <v>0</v>
      </c>
      <c r="V1021" s="2">
        <v>1704.94</v>
      </c>
      <c r="W1021" t="str">
        <f>"$"</f>
        <v>$</v>
      </c>
      <c r="X1021">
        <v>0</v>
      </c>
      <c r="Y1021">
        <v>0</v>
      </c>
      <c r="Z1021">
        <v>0</v>
      </c>
      <c r="AA1021" t="str">
        <f>"Y"</f>
        <v>Y</v>
      </c>
      <c r="AB1021" t="str">
        <f>"SO22000346"</f>
        <v>SO22000346</v>
      </c>
      <c r="AC1021">
        <v>36</v>
      </c>
      <c r="AD1021" s="1">
        <v>44802</v>
      </c>
      <c r="AE1021" t="str">
        <f>"SH23000153"</f>
        <v>SH23000153</v>
      </c>
      <c r="AF1021" t="str">
        <f>"משלוחים ללקוח"</f>
        <v>משלוחים ללקוח</v>
      </c>
      <c r="AG1021" s="1">
        <v>44957</v>
      </c>
      <c r="AM1021" t="str">
        <f>"10"</f>
        <v>10</v>
      </c>
      <c r="AN1021" t="str">
        <f>"500000"</f>
        <v>500000</v>
      </c>
      <c r="AO1021" t="str">
        <f>"הכנסות  מלקוחות"</f>
        <v>הכנסות  מלקוחות</v>
      </c>
      <c r="AQ1021" t="str">
        <f>"040"</f>
        <v>040</v>
      </c>
      <c r="AR1021">
        <v>0</v>
      </c>
      <c r="AS1021">
        <v>0</v>
      </c>
      <c r="AT1021">
        <v>3.4750000000000001</v>
      </c>
      <c r="AX1021" t="str">
        <f>"E000372162"</f>
        <v>E000372162</v>
      </c>
      <c r="BD1021" t="str">
        <f>"רחמים זרוק"</f>
        <v>רחמים זרוק</v>
      </c>
    </row>
    <row r="1022" spans="1:56" x14ac:dyDescent="0.3">
      <c r="A1022" s="1">
        <v>44957</v>
      </c>
      <c r="B1022" t="str">
        <f>"SI236000167"</f>
        <v>SI236000167</v>
      </c>
      <c r="C1022" t="str">
        <f>"PR22000459"</f>
        <v>PR22000459</v>
      </c>
      <c r="D1022" t="str">
        <f>"PR22000459"</f>
        <v>PR22000459</v>
      </c>
      <c r="E1022" t="str">
        <f>"Y"</f>
        <v>Y</v>
      </c>
      <c r="F1022" t="str">
        <f>"חשבוניות מרכזות"</f>
        <v>חשבוניות מרכזות</v>
      </c>
      <c r="G1022" t="str">
        <f>"700065"</f>
        <v>700065</v>
      </c>
      <c r="H1022" t="str">
        <f>"אלתא מערכות בע""מ"</f>
        <v>אלתא מערכות בע"מ</v>
      </c>
      <c r="I1022" t="str">
        <f>"10"</f>
        <v>10</v>
      </c>
      <c r="J1022" t="str">
        <f>"OP-AR03135"</f>
        <v>OP-AR03135</v>
      </c>
      <c r="K1022" t="str">
        <f>"1039B413-001    HARNESS WR013 - RED FALCON COMM"</f>
        <v>1039B413-001    HARNESS WR013 - RED FALCON COMM</v>
      </c>
      <c r="L1022">
        <v>1</v>
      </c>
      <c r="M1022" t="str">
        <f>"יח"</f>
        <v>יח</v>
      </c>
      <c r="N1022">
        <v>1</v>
      </c>
      <c r="O1022" t="str">
        <f>"יח"</f>
        <v>יח</v>
      </c>
      <c r="P1022" s="2">
        <v>1245.1099999999999</v>
      </c>
      <c r="Q1022" t="str">
        <f>"$"</f>
        <v>$</v>
      </c>
      <c r="R1022" t="str">
        <f>"הזמנה"</f>
        <v>הזמנה</v>
      </c>
      <c r="S1022">
        <v>0</v>
      </c>
      <c r="T1022" s="2">
        <v>1245.1099999999999</v>
      </c>
      <c r="U1022">
        <v>0</v>
      </c>
      <c r="V1022" s="2">
        <v>1245.1099999999999</v>
      </c>
      <c r="W1022" t="str">
        <f>"$"</f>
        <v>$</v>
      </c>
      <c r="X1022">
        <v>0</v>
      </c>
      <c r="Y1022">
        <v>0</v>
      </c>
      <c r="Z1022">
        <v>0</v>
      </c>
      <c r="AA1022" t="str">
        <f>"Y"</f>
        <v>Y</v>
      </c>
      <c r="AB1022" t="str">
        <f>"SO22000241"</f>
        <v>SO22000241</v>
      </c>
      <c r="AC1022">
        <v>7</v>
      </c>
      <c r="AD1022" s="1">
        <v>44731</v>
      </c>
      <c r="AE1022" t="str">
        <f>"SH23000147"</f>
        <v>SH23000147</v>
      </c>
      <c r="AF1022" t="str">
        <f>"משלוחים ללקוח"</f>
        <v>משלוחים ללקוח</v>
      </c>
      <c r="AG1022" s="1">
        <v>44956</v>
      </c>
      <c r="AM1022" t="str">
        <f>"10"</f>
        <v>10</v>
      </c>
      <c r="AN1022" t="str">
        <f>"500000"</f>
        <v>500000</v>
      </c>
      <c r="AO1022" t="str">
        <f>"הכנסות  מלקוחות"</f>
        <v>הכנסות  מלקוחות</v>
      </c>
      <c r="AQ1022" t="str">
        <f>"040"</f>
        <v>040</v>
      </c>
      <c r="AR1022">
        <v>0</v>
      </c>
      <c r="AS1022">
        <v>0</v>
      </c>
      <c r="AT1022">
        <v>3.4750000000000001</v>
      </c>
      <c r="AX1022" t="str">
        <f>"E000365938"</f>
        <v>E000365938</v>
      </c>
      <c r="BD1022" t="str">
        <f>"רחמים זרוק"</f>
        <v>רחמים זרוק</v>
      </c>
    </row>
    <row r="1023" spans="1:56" x14ac:dyDescent="0.3">
      <c r="A1023" s="1">
        <v>44957</v>
      </c>
      <c r="B1023" t="str">
        <f>"SI236000167"</f>
        <v>SI236000167</v>
      </c>
      <c r="C1023" t="str">
        <f>"PR22000459"</f>
        <v>PR22000459</v>
      </c>
      <c r="D1023" t="str">
        <f>"PR22000459"</f>
        <v>PR22000459</v>
      </c>
      <c r="E1023" t="str">
        <f>"Y"</f>
        <v>Y</v>
      </c>
      <c r="F1023" t="str">
        <f>"חשבוניות מרכזות"</f>
        <v>חשבוניות מרכזות</v>
      </c>
      <c r="G1023" t="str">
        <f>"700065"</f>
        <v>700065</v>
      </c>
      <c r="H1023" t="str">
        <f>"אלתא מערכות בע""מ"</f>
        <v>אלתא מערכות בע"מ</v>
      </c>
      <c r="I1023" t="str">
        <f>"10"</f>
        <v>10</v>
      </c>
      <c r="J1023" t="str">
        <f>"OP-AR03182"</f>
        <v>OP-AR03182</v>
      </c>
      <c r="K1023" t="str">
        <f>"1025R611-001   HARNESS WP11 - POWER CABLE MOTOR 220V"</f>
        <v>1025R611-001   HARNESS WP11 - POWER CABLE MOTOR 220V</v>
      </c>
      <c r="L1023">
        <v>1</v>
      </c>
      <c r="M1023" t="str">
        <f>"יח"</f>
        <v>יח</v>
      </c>
      <c r="N1023">
        <v>1</v>
      </c>
      <c r="O1023" t="str">
        <f>"יח"</f>
        <v>יח</v>
      </c>
      <c r="P1023">
        <v>362.77</v>
      </c>
      <c r="Q1023" t="str">
        <f>"$"</f>
        <v>$</v>
      </c>
      <c r="R1023" t="str">
        <f>"הזמנה"</f>
        <v>הזמנה</v>
      </c>
      <c r="S1023">
        <v>0</v>
      </c>
      <c r="T1023">
        <v>362.77</v>
      </c>
      <c r="U1023">
        <v>0</v>
      </c>
      <c r="V1023">
        <v>362.77</v>
      </c>
      <c r="W1023" t="str">
        <f>"$"</f>
        <v>$</v>
      </c>
      <c r="X1023">
        <v>0</v>
      </c>
      <c r="Y1023">
        <v>0</v>
      </c>
      <c r="Z1023">
        <v>0</v>
      </c>
      <c r="AA1023" t="str">
        <f>"Y"</f>
        <v>Y</v>
      </c>
      <c r="AB1023" t="str">
        <f>"SO22000241"</f>
        <v>SO22000241</v>
      </c>
      <c r="AC1023">
        <v>9</v>
      </c>
      <c r="AD1023" s="1">
        <v>44731</v>
      </c>
      <c r="AE1023" t="str">
        <f>"SH23000147"</f>
        <v>SH23000147</v>
      </c>
      <c r="AF1023" t="str">
        <f>"משלוחים ללקוח"</f>
        <v>משלוחים ללקוח</v>
      </c>
      <c r="AG1023" s="1">
        <v>44956</v>
      </c>
      <c r="AM1023" t="str">
        <f>"10"</f>
        <v>10</v>
      </c>
      <c r="AN1023" t="str">
        <f>"500000"</f>
        <v>500000</v>
      </c>
      <c r="AO1023" t="str">
        <f>"הכנסות  מלקוחות"</f>
        <v>הכנסות  מלקוחות</v>
      </c>
      <c r="AQ1023" t="str">
        <f>"040"</f>
        <v>040</v>
      </c>
      <c r="AR1023">
        <v>0</v>
      </c>
      <c r="AS1023">
        <v>0</v>
      </c>
      <c r="AT1023">
        <v>3.4750000000000001</v>
      </c>
      <c r="AX1023" t="str">
        <f>"E000365938"</f>
        <v>E000365938</v>
      </c>
      <c r="BD1023" t="str">
        <f>"רחמים זרוק"</f>
        <v>רחמים זרוק</v>
      </c>
    </row>
    <row r="1024" spans="1:56" x14ac:dyDescent="0.3">
      <c r="A1024" s="1">
        <v>44957</v>
      </c>
      <c r="B1024" t="str">
        <f>"SI236000166"</f>
        <v>SI236000166</v>
      </c>
      <c r="C1024" t="str">
        <f>"PR22000675"</f>
        <v>PR22000675</v>
      </c>
      <c r="E1024" t="str">
        <f>"Y"</f>
        <v>Y</v>
      </c>
      <c r="F1024" t="str">
        <f>"חשבוניות מרכזות"</f>
        <v>חשבוניות מרכזות</v>
      </c>
      <c r="G1024" t="str">
        <f>"700065"</f>
        <v>700065</v>
      </c>
      <c r="H1024" t="str">
        <f>"אלתא מערכות בע""מ"</f>
        <v>אלתא מערכות בע"מ</v>
      </c>
      <c r="I1024" t="str">
        <f>"10"</f>
        <v>10</v>
      </c>
      <c r="J1024" t="str">
        <f>"OP-AR03378"</f>
        <v>OP-AR03378</v>
      </c>
      <c r="K1024" t="str">
        <f>"2222B722-001    COMM CABLE FOR MMR and RPA"</f>
        <v>2222B722-001    COMM CABLE FOR MMR and RPA</v>
      </c>
      <c r="L1024">
        <v>1</v>
      </c>
      <c r="M1024" t="str">
        <f>"יח"</f>
        <v>יח</v>
      </c>
      <c r="N1024">
        <v>1</v>
      </c>
      <c r="O1024" t="str">
        <f>"יח"</f>
        <v>יח</v>
      </c>
      <c r="P1024">
        <v>525.52</v>
      </c>
      <c r="Q1024" t="str">
        <f>"$"</f>
        <v>$</v>
      </c>
      <c r="R1024" t="str">
        <f>"ידני"</f>
        <v>ידני</v>
      </c>
      <c r="S1024">
        <v>0</v>
      </c>
      <c r="T1024">
        <v>525.52</v>
      </c>
      <c r="U1024">
        <v>0</v>
      </c>
      <c r="V1024">
        <v>525.52</v>
      </c>
      <c r="W1024" t="str">
        <f>"$"</f>
        <v>$</v>
      </c>
      <c r="X1024">
        <v>0</v>
      </c>
      <c r="Y1024">
        <v>0</v>
      </c>
      <c r="Z1024">
        <v>0</v>
      </c>
      <c r="AA1024" t="str">
        <f>"Y"</f>
        <v>Y</v>
      </c>
      <c r="AB1024" t="str">
        <f>"SO22000391"</f>
        <v>SO22000391</v>
      </c>
      <c r="AC1024">
        <v>2</v>
      </c>
      <c r="AD1024" s="1">
        <v>44864</v>
      </c>
      <c r="AE1024" t="str">
        <f>"SH23000150"</f>
        <v>SH23000150</v>
      </c>
      <c r="AF1024" t="str">
        <f>"משלוחים ללקוח"</f>
        <v>משלוחים ללקוח</v>
      </c>
      <c r="AG1024" s="1">
        <v>44957</v>
      </c>
      <c r="AM1024" t="str">
        <f>"10"</f>
        <v>10</v>
      </c>
      <c r="AN1024" t="str">
        <f>"500000"</f>
        <v>500000</v>
      </c>
      <c r="AO1024" t="str">
        <f>"הכנסות  מלקוחות"</f>
        <v>הכנסות  מלקוחות</v>
      </c>
      <c r="AQ1024" t="str">
        <f>"040"</f>
        <v>040</v>
      </c>
      <c r="AR1024">
        <v>0</v>
      </c>
      <c r="AS1024">
        <v>0</v>
      </c>
      <c r="AT1024">
        <v>3.4750000000000001</v>
      </c>
      <c r="AX1024" t="str">
        <f>"E000377210"</f>
        <v>E000377210</v>
      </c>
      <c r="BD1024" t="str">
        <f>"רחמים זרוק"</f>
        <v>רחמים זרוק</v>
      </c>
    </row>
    <row r="1025" spans="1:56" x14ac:dyDescent="0.3">
      <c r="A1025" s="1">
        <v>44957</v>
      </c>
      <c r="B1025" t="str">
        <f>"SI236000165"</f>
        <v>SI236000165</v>
      </c>
      <c r="C1025" t="str">
        <f>"PR22000588"</f>
        <v>PR22000588</v>
      </c>
      <c r="E1025" t="str">
        <f>"Y"</f>
        <v>Y</v>
      </c>
      <c r="F1025" t="str">
        <f>"חשבוניות מרכזות"</f>
        <v>חשבוניות מרכזות</v>
      </c>
      <c r="G1025" t="str">
        <f>"700065"</f>
        <v>700065</v>
      </c>
      <c r="H1025" t="str">
        <f>"אלתא מערכות בע""מ"</f>
        <v>אלתא מערכות בע"מ</v>
      </c>
      <c r="I1025" t="str">
        <f>"10"</f>
        <v>10</v>
      </c>
      <c r="J1025" t="str">
        <f>"PD0201629"</f>
        <v>PD0201629</v>
      </c>
      <c r="K1025" t="str">
        <f>"מפרדים למפסק 6  NSX100-250יח LV429329"</f>
        <v>מפרדים למפסק 6  NSX100-250יח LV429329</v>
      </c>
      <c r="L1025">
        <v>24</v>
      </c>
      <c r="M1025" t="str">
        <f>"יח"</f>
        <v>יח</v>
      </c>
      <c r="N1025">
        <v>24</v>
      </c>
      <c r="O1025" t="str">
        <f>"יח"</f>
        <v>יח</v>
      </c>
      <c r="P1025">
        <v>19.5</v>
      </c>
      <c r="Q1025" t="str">
        <f>"$"</f>
        <v>$</v>
      </c>
      <c r="R1025" t="str">
        <f>"הזמנה"</f>
        <v>הזמנה</v>
      </c>
      <c r="S1025">
        <v>0</v>
      </c>
      <c r="T1025">
        <v>468</v>
      </c>
      <c r="U1025">
        <v>0</v>
      </c>
      <c r="V1025">
        <v>468</v>
      </c>
      <c r="W1025" t="str">
        <f>"$"</f>
        <v>$</v>
      </c>
      <c r="X1025">
        <v>0</v>
      </c>
      <c r="Y1025">
        <v>0</v>
      </c>
      <c r="Z1025">
        <v>0</v>
      </c>
      <c r="AA1025" t="str">
        <f>"Y"</f>
        <v>Y</v>
      </c>
      <c r="AB1025" t="str">
        <f>"SO22000343"</f>
        <v>SO22000343</v>
      </c>
      <c r="AC1025">
        <v>1</v>
      </c>
      <c r="AD1025" s="1">
        <v>44798</v>
      </c>
      <c r="AE1025" t="str">
        <f>"SH23000140"</f>
        <v>SH23000140</v>
      </c>
      <c r="AF1025" t="str">
        <f>"משלוחים ללקוח"</f>
        <v>משלוחים ללקוח</v>
      </c>
      <c r="AG1025" s="1">
        <v>44952</v>
      </c>
      <c r="AM1025" t="str">
        <f>"10"</f>
        <v>10</v>
      </c>
      <c r="AN1025" t="str">
        <f>"500000"</f>
        <v>500000</v>
      </c>
      <c r="AO1025" t="str">
        <f>"הכנסות  מלקוחות"</f>
        <v>הכנסות  מלקוחות</v>
      </c>
      <c r="AQ1025" t="str">
        <f>"007"</f>
        <v>007</v>
      </c>
      <c r="AR1025">
        <v>0</v>
      </c>
      <c r="AS1025">
        <v>0</v>
      </c>
      <c r="AT1025">
        <v>3.4750000000000001</v>
      </c>
      <c r="AX1025" t="str">
        <f>"E000368927"</f>
        <v>E000368927</v>
      </c>
      <c r="BD1025" t="str">
        <f>"רוני דידי"</f>
        <v>רוני דידי</v>
      </c>
    </row>
    <row r="1026" spans="1:56" x14ac:dyDescent="0.3">
      <c r="A1026" s="1">
        <v>44957</v>
      </c>
      <c r="B1026" t="str">
        <f>"SI236000165"</f>
        <v>SI236000165</v>
      </c>
      <c r="C1026" t="str">
        <f>"PR22000588"</f>
        <v>PR22000588</v>
      </c>
      <c r="E1026" t="str">
        <f>"Y"</f>
        <v>Y</v>
      </c>
      <c r="F1026" t="str">
        <f>"חשבוניות מרכזות"</f>
        <v>חשבוניות מרכזות</v>
      </c>
      <c r="G1026" t="str">
        <f>"700065"</f>
        <v>700065</v>
      </c>
      <c r="H1026" t="str">
        <f>"אלתא מערכות בע""מ"</f>
        <v>אלתא מערכות בע"מ</v>
      </c>
      <c r="I1026" t="str">
        <f>"10"</f>
        <v>10</v>
      </c>
      <c r="J1026" t="str">
        <f>"PD0201629"</f>
        <v>PD0201629</v>
      </c>
      <c r="K1026" t="str">
        <f>"מפרדים למפסק 6  NSX100-250יח LV429329"</f>
        <v>מפרדים למפסק 6  NSX100-250יח LV429329</v>
      </c>
      <c r="L1026">
        <v>17</v>
      </c>
      <c r="M1026" t="str">
        <f>"יח"</f>
        <v>יח</v>
      </c>
      <c r="N1026">
        <v>17</v>
      </c>
      <c r="O1026" t="str">
        <f>"יח"</f>
        <v>יח</v>
      </c>
      <c r="P1026">
        <v>19.5</v>
      </c>
      <c r="Q1026" t="str">
        <f>"$"</f>
        <v>$</v>
      </c>
      <c r="R1026" t="str">
        <f>"הזמנה"</f>
        <v>הזמנה</v>
      </c>
      <c r="S1026">
        <v>0</v>
      </c>
      <c r="T1026">
        <v>331.5</v>
      </c>
      <c r="U1026">
        <v>0</v>
      </c>
      <c r="V1026">
        <v>331.5</v>
      </c>
      <c r="W1026" t="str">
        <f>"$"</f>
        <v>$</v>
      </c>
      <c r="X1026">
        <v>0</v>
      </c>
      <c r="Y1026">
        <v>0</v>
      </c>
      <c r="Z1026">
        <v>0</v>
      </c>
      <c r="AA1026" t="str">
        <f>"Y"</f>
        <v>Y</v>
      </c>
      <c r="AB1026" t="str">
        <f>"SO22000343"</f>
        <v>SO22000343</v>
      </c>
      <c r="AC1026">
        <v>2</v>
      </c>
      <c r="AD1026" s="1">
        <v>44798</v>
      </c>
      <c r="AE1026" t="str">
        <f>"SH23000140"</f>
        <v>SH23000140</v>
      </c>
      <c r="AF1026" t="str">
        <f>"משלוחים ללקוח"</f>
        <v>משלוחים ללקוח</v>
      </c>
      <c r="AG1026" s="1">
        <v>44952</v>
      </c>
      <c r="AM1026" t="str">
        <f>"10"</f>
        <v>10</v>
      </c>
      <c r="AN1026" t="str">
        <f>"500000"</f>
        <v>500000</v>
      </c>
      <c r="AO1026" t="str">
        <f>"הכנסות  מלקוחות"</f>
        <v>הכנסות  מלקוחות</v>
      </c>
      <c r="AQ1026" t="str">
        <f>"007"</f>
        <v>007</v>
      </c>
      <c r="AR1026">
        <v>0</v>
      </c>
      <c r="AS1026">
        <v>0</v>
      </c>
      <c r="AT1026">
        <v>3.4750000000000001</v>
      </c>
      <c r="AX1026" t="str">
        <f>"E000368927"</f>
        <v>E000368927</v>
      </c>
      <c r="BD1026" t="str">
        <f>"רוני דידי"</f>
        <v>רוני דידי</v>
      </c>
    </row>
    <row r="1027" spans="1:56" x14ac:dyDescent="0.3">
      <c r="A1027" s="1">
        <v>44957</v>
      </c>
      <c r="B1027" t="str">
        <f>"SI236000165"</f>
        <v>SI236000165</v>
      </c>
      <c r="C1027" t="str">
        <f>"PR22000588"</f>
        <v>PR22000588</v>
      </c>
      <c r="E1027" t="str">
        <f>"Y"</f>
        <v>Y</v>
      </c>
      <c r="F1027" t="str">
        <f>"חשבוניות מרכזות"</f>
        <v>חשבוניות מרכזות</v>
      </c>
      <c r="G1027" t="str">
        <f>"700065"</f>
        <v>700065</v>
      </c>
      <c r="H1027" t="str">
        <f>"אלתא מערכות בע""מ"</f>
        <v>אלתא מערכות בע"מ</v>
      </c>
      <c r="I1027" t="str">
        <f>"10"</f>
        <v>10</v>
      </c>
      <c r="J1027" t="str">
        <f>"PD0200874"</f>
        <v>PD0200874</v>
      </c>
      <c r="K1027" t="str">
        <f>"כיסוי מגעים קצר 3P ל-NSX100-250 מק""ט:LV429515"</f>
        <v>כיסוי מגעים קצר 3P ל-NSX100-250 מק"ט:LV429515</v>
      </c>
      <c r="L1027">
        <v>24</v>
      </c>
      <c r="M1027" t="str">
        <f>"יח"</f>
        <v>יח</v>
      </c>
      <c r="N1027">
        <v>24</v>
      </c>
      <c r="O1027" t="str">
        <f>"יח"</f>
        <v>יח</v>
      </c>
      <c r="P1027">
        <v>22.6</v>
      </c>
      <c r="Q1027" t="str">
        <f>"$"</f>
        <v>$</v>
      </c>
      <c r="R1027" t="str">
        <f>"הזמנה"</f>
        <v>הזמנה</v>
      </c>
      <c r="S1027">
        <v>0</v>
      </c>
      <c r="T1027">
        <v>542.4</v>
      </c>
      <c r="U1027">
        <v>0</v>
      </c>
      <c r="V1027">
        <v>542.4</v>
      </c>
      <c r="W1027" t="str">
        <f>"$"</f>
        <v>$</v>
      </c>
      <c r="X1027">
        <v>0</v>
      </c>
      <c r="Y1027">
        <v>0</v>
      </c>
      <c r="Z1027">
        <v>0</v>
      </c>
      <c r="AA1027" t="str">
        <f>"Y"</f>
        <v>Y</v>
      </c>
      <c r="AB1027" t="str">
        <f>"SO22000343"</f>
        <v>SO22000343</v>
      </c>
      <c r="AC1027">
        <v>3</v>
      </c>
      <c r="AD1027" s="1">
        <v>44798</v>
      </c>
      <c r="AE1027" t="str">
        <f>"SH23000140"</f>
        <v>SH23000140</v>
      </c>
      <c r="AF1027" t="str">
        <f>"משלוחים ללקוח"</f>
        <v>משלוחים ללקוח</v>
      </c>
      <c r="AG1027" s="1">
        <v>44952</v>
      </c>
      <c r="AM1027" t="str">
        <f>"10"</f>
        <v>10</v>
      </c>
      <c r="AN1027" t="str">
        <f>"500000"</f>
        <v>500000</v>
      </c>
      <c r="AO1027" t="str">
        <f>"הכנסות  מלקוחות"</f>
        <v>הכנסות  מלקוחות</v>
      </c>
      <c r="AQ1027" t="str">
        <f>"007"</f>
        <v>007</v>
      </c>
      <c r="AR1027">
        <v>0</v>
      </c>
      <c r="AS1027">
        <v>0</v>
      </c>
      <c r="AT1027">
        <v>3.4750000000000001</v>
      </c>
      <c r="AX1027" t="str">
        <f>"E000368927"</f>
        <v>E000368927</v>
      </c>
      <c r="BD1027" t="str">
        <f>"רוני דידי"</f>
        <v>רוני דידי</v>
      </c>
    </row>
    <row r="1028" spans="1:56" x14ac:dyDescent="0.3">
      <c r="A1028" s="1">
        <v>44957</v>
      </c>
      <c r="B1028" t="str">
        <f>"SI236000165"</f>
        <v>SI236000165</v>
      </c>
      <c r="C1028" t="str">
        <f>"PR22000588"</f>
        <v>PR22000588</v>
      </c>
      <c r="E1028" t="str">
        <f>"Y"</f>
        <v>Y</v>
      </c>
      <c r="F1028" t="str">
        <f>"חשבוניות מרכזות"</f>
        <v>חשבוניות מרכזות</v>
      </c>
      <c r="G1028" t="str">
        <f>"700065"</f>
        <v>700065</v>
      </c>
      <c r="H1028" t="str">
        <f>"אלתא מערכות בע""מ"</f>
        <v>אלתא מערכות בע"מ</v>
      </c>
      <c r="I1028" t="str">
        <f>"10"</f>
        <v>10</v>
      </c>
      <c r="J1028" t="str">
        <f>"PD0200874"</f>
        <v>PD0200874</v>
      </c>
      <c r="K1028" t="str">
        <f>"כיסוי מגעים קצר 3P ל-NSX100-250 מק""ט:LV429515"</f>
        <v>כיסוי מגעים קצר 3P ל-NSX100-250 מק"ט:LV429515</v>
      </c>
      <c r="L1028">
        <v>17</v>
      </c>
      <c r="M1028" t="str">
        <f>"יח"</f>
        <v>יח</v>
      </c>
      <c r="N1028">
        <v>17</v>
      </c>
      <c r="O1028" t="str">
        <f>"יח"</f>
        <v>יח</v>
      </c>
      <c r="P1028">
        <v>22.6</v>
      </c>
      <c r="Q1028" t="str">
        <f>"$"</f>
        <v>$</v>
      </c>
      <c r="R1028" t="str">
        <f>"הזמנה"</f>
        <v>הזמנה</v>
      </c>
      <c r="S1028">
        <v>0</v>
      </c>
      <c r="T1028">
        <v>384.2</v>
      </c>
      <c r="U1028">
        <v>0</v>
      </c>
      <c r="V1028">
        <v>384.2</v>
      </c>
      <c r="W1028" t="str">
        <f>"$"</f>
        <v>$</v>
      </c>
      <c r="X1028">
        <v>0</v>
      </c>
      <c r="Y1028">
        <v>0</v>
      </c>
      <c r="Z1028">
        <v>0</v>
      </c>
      <c r="AA1028" t="str">
        <f>"Y"</f>
        <v>Y</v>
      </c>
      <c r="AB1028" t="str">
        <f>"SO22000343"</f>
        <v>SO22000343</v>
      </c>
      <c r="AC1028">
        <v>4</v>
      </c>
      <c r="AD1028" s="1">
        <v>44798</v>
      </c>
      <c r="AE1028" t="str">
        <f>"SH23000140"</f>
        <v>SH23000140</v>
      </c>
      <c r="AF1028" t="str">
        <f>"משלוחים ללקוח"</f>
        <v>משלוחים ללקוח</v>
      </c>
      <c r="AG1028" s="1">
        <v>44952</v>
      </c>
      <c r="AM1028" t="str">
        <f>"10"</f>
        <v>10</v>
      </c>
      <c r="AN1028" t="str">
        <f>"500000"</f>
        <v>500000</v>
      </c>
      <c r="AO1028" t="str">
        <f>"הכנסות  מלקוחות"</f>
        <v>הכנסות  מלקוחות</v>
      </c>
      <c r="AQ1028" t="str">
        <f>"007"</f>
        <v>007</v>
      </c>
      <c r="AR1028">
        <v>0</v>
      </c>
      <c r="AS1028">
        <v>0</v>
      </c>
      <c r="AT1028">
        <v>3.4750000000000001</v>
      </c>
      <c r="AX1028" t="str">
        <f>"E000368927"</f>
        <v>E000368927</v>
      </c>
      <c r="BD1028" t="str">
        <f>"רוני דידי"</f>
        <v>רוני דידי</v>
      </c>
    </row>
    <row r="1029" spans="1:56" x14ac:dyDescent="0.3">
      <c r="A1029" s="1">
        <v>44957</v>
      </c>
      <c r="B1029" t="str">
        <f>"SI236000165"</f>
        <v>SI236000165</v>
      </c>
      <c r="C1029" t="str">
        <f>"PR22000588"</f>
        <v>PR22000588</v>
      </c>
      <c r="E1029" t="str">
        <f>"Y"</f>
        <v>Y</v>
      </c>
      <c r="F1029" t="str">
        <f>"חשבוניות מרכזות"</f>
        <v>חשבוניות מרכזות</v>
      </c>
      <c r="G1029" t="str">
        <f>"700065"</f>
        <v>700065</v>
      </c>
      <c r="H1029" t="str">
        <f>"אלתא מערכות בע""מ"</f>
        <v>אלתא מערכות בע"מ</v>
      </c>
      <c r="I1029" t="str">
        <f>"10"</f>
        <v>10</v>
      </c>
      <c r="J1029" t="str">
        <f>"PD0201550"</f>
        <v>PD0201550</v>
      </c>
      <c r="K1029" t="str">
        <f>"כיסוי מגעים ארוך 3P ל-NSX100-250 מק""ט:LV429517"</f>
        <v>כיסוי מגעים ארוך 3P ל-NSX100-250 מק"ט:LV429517</v>
      </c>
      <c r="L1029">
        <v>17</v>
      </c>
      <c r="M1029" t="str">
        <f>"יח"</f>
        <v>יח</v>
      </c>
      <c r="N1029">
        <v>17</v>
      </c>
      <c r="O1029" t="str">
        <f>"יח"</f>
        <v>יח</v>
      </c>
      <c r="P1029">
        <v>26.4</v>
      </c>
      <c r="Q1029" t="str">
        <f>"$"</f>
        <v>$</v>
      </c>
      <c r="R1029" t="str">
        <f>"הזמנה"</f>
        <v>הזמנה</v>
      </c>
      <c r="S1029">
        <v>0</v>
      </c>
      <c r="T1029">
        <v>448.8</v>
      </c>
      <c r="U1029">
        <v>0</v>
      </c>
      <c r="V1029">
        <v>448.8</v>
      </c>
      <c r="W1029" t="str">
        <f>"$"</f>
        <v>$</v>
      </c>
      <c r="X1029">
        <v>0</v>
      </c>
      <c r="Y1029">
        <v>0</v>
      </c>
      <c r="Z1029">
        <v>0</v>
      </c>
      <c r="AA1029" t="str">
        <f>"Y"</f>
        <v>Y</v>
      </c>
      <c r="AB1029" t="str">
        <f>"SO22000343"</f>
        <v>SO22000343</v>
      </c>
      <c r="AC1029">
        <v>5</v>
      </c>
      <c r="AD1029" s="1">
        <v>44798</v>
      </c>
      <c r="AE1029" t="str">
        <f>"SH23000140"</f>
        <v>SH23000140</v>
      </c>
      <c r="AF1029" t="str">
        <f>"משלוחים ללקוח"</f>
        <v>משלוחים ללקוח</v>
      </c>
      <c r="AG1029" s="1">
        <v>44952</v>
      </c>
      <c r="AM1029" t="str">
        <f>"10"</f>
        <v>10</v>
      </c>
      <c r="AN1029" t="str">
        <f>"500000"</f>
        <v>500000</v>
      </c>
      <c r="AO1029" t="str">
        <f>"הכנסות  מלקוחות"</f>
        <v>הכנסות  מלקוחות</v>
      </c>
      <c r="AQ1029" t="str">
        <f>"007"</f>
        <v>007</v>
      </c>
      <c r="AR1029">
        <v>0</v>
      </c>
      <c r="AS1029">
        <v>0</v>
      </c>
      <c r="AT1029">
        <v>3.4750000000000001</v>
      </c>
      <c r="AX1029" t="str">
        <f>"E000368927"</f>
        <v>E000368927</v>
      </c>
      <c r="BD1029" t="str">
        <f>"רוני דידי"</f>
        <v>רוני דידי</v>
      </c>
    </row>
    <row r="1030" spans="1:56" x14ac:dyDescent="0.3">
      <c r="A1030" s="1">
        <v>44957</v>
      </c>
      <c r="B1030" t="str">
        <f>"SI236000165"</f>
        <v>SI236000165</v>
      </c>
      <c r="C1030" t="str">
        <f>"PR22000588"</f>
        <v>PR22000588</v>
      </c>
      <c r="E1030" t="str">
        <f>"Y"</f>
        <v>Y</v>
      </c>
      <c r="F1030" t="str">
        <f>"חשבוניות מרכזות"</f>
        <v>חשבוניות מרכזות</v>
      </c>
      <c r="G1030" t="str">
        <f>"700065"</f>
        <v>700065</v>
      </c>
      <c r="H1030" t="str">
        <f>"אלתא מערכות בע""מ"</f>
        <v>אלתא מערכות בע"מ</v>
      </c>
      <c r="I1030" t="str">
        <f>"10"</f>
        <v>10</v>
      </c>
      <c r="J1030" t="str">
        <f>"PD0201550"</f>
        <v>PD0201550</v>
      </c>
      <c r="K1030" t="str">
        <f>"כיסוי מגעים ארוך 3P ל-NSX100-250 מק""ט:LV429517"</f>
        <v>כיסוי מגעים ארוך 3P ל-NSX100-250 מק"ט:LV429517</v>
      </c>
      <c r="L1030">
        <v>24</v>
      </c>
      <c r="M1030" t="str">
        <f>"יח"</f>
        <v>יח</v>
      </c>
      <c r="N1030">
        <v>24</v>
      </c>
      <c r="O1030" t="str">
        <f>"יח"</f>
        <v>יח</v>
      </c>
      <c r="P1030">
        <v>26.4</v>
      </c>
      <c r="Q1030" t="str">
        <f>"$"</f>
        <v>$</v>
      </c>
      <c r="R1030" t="str">
        <f>"הזמנה"</f>
        <v>הזמנה</v>
      </c>
      <c r="S1030">
        <v>0</v>
      </c>
      <c r="T1030">
        <v>633.6</v>
      </c>
      <c r="U1030">
        <v>0</v>
      </c>
      <c r="V1030">
        <v>633.6</v>
      </c>
      <c r="W1030" t="str">
        <f>"$"</f>
        <v>$</v>
      </c>
      <c r="X1030">
        <v>0</v>
      </c>
      <c r="Y1030">
        <v>0</v>
      </c>
      <c r="Z1030">
        <v>0</v>
      </c>
      <c r="AA1030" t="str">
        <f>"Y"</f>
        <v>Y</v>
      </c>
      <c r="AB1030" t="str">
        <f>"SO22000343"</f>
        <v>SO22000343</v>
      </c>
      <c r="AC1030">
        <v>6</v>
      </c>
      <c r="AD1030" s="1">
        <v>44798</v>
      </c>
      <c r="AE1030" t="str">
        <f>"SH23000140"</f>
        <v>SH23000140</v>
      </c>
      <c r="AF1030" t="str">
        <f>"משלוחים ללקוח"</f>
        <v>משלוחים ללקוח</v>
      </c>
      <c r="AG1030" s="1">
        <v>44952</v>
      </c>
      <c r="AM1030" t="str">
        <f>"10"</f>
        <v>10</v>
      </c>
      <c r="AN1030" t="str">
        <f>"500000"</f>
        <v>500000</v>
      </c>
      <c r="AO1030" t="str">
        <f>"הכנסות  מלקוחות"</f>
        <v>הכנסות  מלקוחות</v>
      </c>
      <c r="AQ1030" t="str">
        <f>"007"</f>
        <v>007</v>
      </c>
      <c r="AR1030">
        <v>0</v>
      </c>
      <c r="AS1030">
        <v>0</v>
      </c>
      <c r="AT1030">
        <v>3.4750000000000001</v>
      </c>
      <c r="AX1030" t="str">
        <f>"E000368927"</f>
        <v>E000368927</v>
      </c>
      <c r="BD1030" t="str">
        <f>"רוני דידי"</f>
        <v>רוני דידי</v>
      </c>
    </row>
    <row r="1031" spans="1:56" x14ac:dyDescent="0.3">
      <c r="A1031" s="1">
        <v>44957</v>
      </c>
      <c r="B1031" t="str">
        <f>"SI236000151"</f>
        <v>SI236000151</v>
      </c>
      <c r="C1031" t="str">
        <f>"PR22000552"</f>
        <v>PR22000552</v>
      </c>
      <c r="D1031" t="str">
        <f>"PR22000552"</f>
        <v>PR22000552</v>
      </c>
      <c r="E1031" t="str">
        <f>"Y"</f>
        <v>Y</v>
      </c>
      <c r="F1031" t="str">
        <f>"חשבוניות מרכזות"</f>
        <v>חשבוניות מרכזות</v>
      </c>
      <c r="G1031" t="str">
        <f>"700065"</f>
        <v>700065</v>
      </c>
      <c r="H1031" t="str">
        <f>"אלתא מערכות בע""מ"</f>
        <v>אלתא מערכות בע"מ</v>
      </c>
      <c r="I1031" t="str">
        <f>"10"</f>
        <v>10</v>
      </c>
      <c r="J1031" t="str">
        <f>"OP-AR03227"</f>
        <v>OP-AR03227</v>
      </c>
      <c r="K1031" t="str">
        <f>"6950A164-001    HARNESS WM04 - CU TO ANTENNA LEFT FWD"</f>
        <v>6950A164-001    HARNESS WM04 - CU TO ANTENNA LEFT FWD</v>
      </c>
      <c r="L1031">
        <v>2</v>
      </c>
      <c r="M1031" t="str">
        <f>"יח"</f>
        <v>יח</v>
      </c>
      <c r="N1031">
        <v>2</v>
      </c>
      <c r="O1031" t="str">
        <f>"יח"</f>
        <v>יח</v>
      </c>
      <c r="P1031" s="2">
        <v>1300.74</v>
      </c>
      <c r="Q1031" t="str">
        <f>"$"</f>
        <v>$</v>
      </c>
      <c r="R1031" t="str">
        <f>"הזמנה"</f>
        <v>הזמנה</v>
      </c>
      <c r="S1031">
        <v>0</v>
      </c>
      <c r="T1031" s="2">
        <v>2601.48</v>
      </c>
      <c r="U1031">
        <v>0</v>
      </c>
      <c r="V1031" s="2">
        <v>2601.48</v>
      </c>
      <c r="W1031" t="str">
        <f>"$"</f>
        <v>$</v>
      </c>
      <c r="X1031">
        <v>0</v>
      </c>
      <c r="Y1031">
        <v>0</v>
      </c>
      <c r="Z1031">
        <v>0</v>
      </c>
      <c r="AA1031" t="str">
        <f>"Y"</f>
        <v>Y</v>
      </c>
      <c r="AB1031" t="str">
        <f>"SO22000334"</f>
        <v>SO22000334</v>
      </c>
      <c r="AC1031">
        <v>5</v>
      </c>
      <c r="AD1031" s="1">
        <v>44789</v>
      </c>
      <c r="AE1031" t="str">
        <f>"SH23000151"</f>
        <v>SH23000151</v>
      </c>
      <c r="AF1031" t="str">
        <f>"משלוחים ללקוח"</f>
        <v>משלוחים ללקוח</v>
      </c>
      <c r="AG1031" s="1">
        <v>44957</v>
      </c>
      <c r="AM1031" t="str">
        <f>"10"</f>
        <v>10</v>
      </c>
      <c r="AN1031" t="str">
        <f>"500000"</f>
        <v>500000</v>
      </c>
      <c r="AO1031" t="str">
        <f>"הכנסות  מלקוחות"</f>
        <v>הכנסות  מלקוחות</v>
      </c>
      <c r="AQ1031" t="str">
        <f>"040"</f>
        <v>040</v>
      </c>
      <c r="AR1031">
        <v>0</v>
      </c>
      <c r="AS1031">
        <v>0</v>
      </c>
      <c r="AT1031">
        <v>3.4750000000000001</v>
      </c>
      <c r="AX1031" t="str">
        <f>"E000369247"</f>
        <v>E000369247</v>
      </c>
      <c r="BD1031" t="str">
        <f>"רחמים זרוק"</f>
        <v>רחמים זרוק</v>
      </c>
    </row>
    <row r="1032" spans="1:56" x14ac:dyDescent="0.3">
      <c r="A1032" s="1">
        <v>44957</v>
      </c>
      <c r="B1032" t="str">
        <f>"SI236000151"</f>
        <v>SI236000151</v>
      </c>
      <c r="C1032" t="str">
        <f>"PR22000552"</f>
        <v>PR22000552</v>
      </c>
      <c r="D1032" t="str">
        <f>"PR22000552"</f>
        <v>PR22000552</v>
      </c>
      <c r="E1032" t="str">
        <f>"Y"</f>
        <v>Y</v>
      </c>
      <c r="F1032" t="str">
        <f>"חשבוניות מרכזות"</f>
        <v>חשבוניות מרכזות</v>
      </c>
      <c r="G1032" t="str">
        <f>"700065"</f>
        <v>700065</v>
      </c>
      <c r="H1032" t="str">
        <f>"אלתא מערכות בע""מ"</f>
        <v>אלתא מערכות בע"מ</v>
      </c>
      <c r="I1032" t="str">
        <f>"10"</f>
        <v>10</v>
      </c>
      <c r="J1032" t="str">
        <f>"OP-AR03228"</f>
        <v>OP-AR03228</v>
      </c>
      <c r="K1032" t="str">
        <f>"6950A165-001    HARNESS WM05 - CU TO ANTENNA RIGHT FWD ("</f>
        <v>6950A165-001    HARNESS WM05 - CU TO ANTENNA RIGHT FWD (</v>
      </c>
      <c r="L1032">
        <v>2</v>
      </c>
      <c r="M1032" t="str">
        <f>"יח"</f>
        <v>יח</v>
      </c>
      <c r="N1032">
        <v>2</v>
      </c>
      <c r="O1032" t="str">
        <f>"יח"</f>
        <v>יח</v>
      </c>
      <c r="P1032" s="2">
        <v>1737.74</v>
      </c>
      <c r="Q1032" t="str">
        <f>"$"</f>
        <v>$</v>
      </c>
      <c r="R1032" t="str">
        <f>"הזמנה"</f>
        <v>הזמנה</v>
      </c>
      <c r="S1032">
        <v>0</v>
      </c>
      <c r="T1032" s="2">
        <v>3475.48</v>
      </c>
      <c r="U1032">
        <v>0</v>
      </c>
      <c r="V1032" s="2">
        <v>3475.48</v>
      </c>
      <c r="W1032" t="str">
        <f>"$"</f>
        <v>$</v>
      </c>
      <c r="X1032">
        <v>0</v>
      </c>
      <c r="Y1032">
        <v>0</v>
      </c>
      <c r="Z1032">
        <v>0</v>
      </c>
      <c r="AA1032" t="str">
        <f>"Y"</f>
        <v>Y</v>
      </c>
      <c r="AB1032" t="str">
        <f>"SO22000334"</f>
        <v>SO22000334</v>
      </c>
      <c r="AC1032">
        <v>6</v>
      </c>
      <c r="AD1032" s="1">
        <v>44789</v>
      </c>
      <c r="AE1032" t="str">
        <f>"SH23000151"</f>
        <v>SH23000151</v>
      </c>
      <c r="AF1032" t="str">
        <f>"משלוחים ללקוח"</f>
        <v>משלוחים ללקוח</v>
      </c>
      <c r="AG1032" s="1">
        <v>44957</v>
      </c>
      <c r="AM1032" t="str">
        <f>"10"</f>
        <v>10</v>
      </c>
      <c r="AN1032" t="str">
        <f>"500000"</f>
        <v>500000</v>
      </c>
      <c r="AO1032" t="str">
        <f>"הכנסות  מלקוחות"</f>
        <v>הכנסות  מלקוחות</v>
      </c>
      <c r="AQ1032" t="str">
        <f>"040"</f>
        <v>040</v>
      </c>
      <c r="AR1032">
        <v>0</v>
      </c>
      <c r="AS1032">
        <v>0</v>
      </c>
      <c r="AT1032">
        <v>3.4750000000000001</v>
      </c>
      <c r="AX1032" t="str">
        <f>"E000369247"</f>
        <v>E000369247</v>
      </c>
      <c r="BD1032" t="str">
        <f>"רחמים זרוק"</f>
        <v>רחמים זרוק</v>
      </c>
    </row>
    <row r="1033" spans="1:56" x14ac:dyDescent="0.3">
      <c r="A1033" s="1">
        <v>44957</v>
      </c>
      <c r="B1033" t="str">
        <f>"SI236000151"</f>
        <v>SI236000151</v>
      </c>
      <c r="C1033" t="str">
        <f>"PR22000552"</f>
        <v>PR22000552</v>
      </c>
      <c r="D1033" t="str">
        <f>"PR22000552"</f>
        <v>PR22000552</v>
      </c>
      <c r="E1033" t="str">
        <f>"Y"</f>
        <v>Y</v>
      </c>
      <c r="F1033" t="str">
        <f>"חשבוניות מרכזות"</f>
        <v>חשבוניות מרכזות</v>
      </c>
      <c r="G1033" t="str">
        <f>"700065"</f>
        <v>700065</v>
      </c>
      <c r="H1033" t="str">
        <f>"אלתא מערכות בע""מ"</f>
        <v>אלתא מערכות בע"מ</v>
      </c>
      <c r="I1033" t="str">
        <f>"10"</f>
        <v>10</v>
      </c>
      <c r="J1033" t="str">
        <f>"OP-AR03231"</f>
        <v>OP-AR03231</v>
      </c>
      <c r="K1033" t="str">
        <f>"6950A168-001    HARNESS WM08 - CU TO ANTENNA LEFT FWD (6"</f>
        <v>6950A168-001    HARNESS WM08 - CU TO ANTENNA LEFT FWD (6</v>
      </c>
      <c r="L1033">
        <v>2</v>
      </c>
      <c r="M1033" t="str">
        <f>"יח"</f>
        <v>יח</v>
      </c>
      <c r="N1033">
        <v>2</v>
      </c>
      <c r="O1033" t="str">
        <f>"יח"</f>
        <v>יח</v>
      </c>
      <c r="P1033" s="2">
        <v>1747.26</v>
      </c>
      <c r="Q1033" t="str">
        <f>"$"</f>
        <v>$</v>
      </c>
      <c r="R1033" t="str">
        <f>"הזמנה"</f>
        <v>הזמנה</v>
      </c>
      <c r="S1033">
        <v>0</v>
      </c>
      <c r="T1033" s="2">
        <v>3494.52</v>
      </c>
      <c r="U1033">
        <v>0</v>
      </c>
      <c r="V1033" s="2">
        <v>3494.52</v>
      </c>
      <c r="W1033" t="str">
        <f>"$"</f>
        <v>$</v>
      </c>
      <c r="X1033">
        <v>0</v>
      </c>
      <c r="Y1033">
        <v>0</v>
      </c>
      <c r="Z1033">
        <v>0</v>
      </c>
      <c r="AA1033" t="str">
        <f>"Y"</f>
        <v>Y</v>
      </c>
      <c r="AB1033" t="str">
        <f>"SO22000334"</f>
        <v>SO22000334</v>
      </c>
      <c r="AC1033">
        <v>9</v>
      </c>
      <c r="AD1033" s="1">
        <v>44789</v>
      </c>
      <c r="AE1033" t="str">
        <f>"SH23000151"</f>
        <v>SH23000151</v>
      </c>
      <c r="AF1033" t="str">
        <f>"משלוחים ללקוח"</f>
        <v>משלוחים ללקוח</v>
      </c>
      <c r="AG1033" s="1">
        <v>44957</v>
      </c>
      <c r="AM1033" t="str">
        <f>"10"</f>
        <v>10</v>
      </c>
      <c r="AN1033" t="str">
        <f>"500000"</f>
        <v>500000</v>
      </c>
      <c r="AO1033" t="str">
        <f>"הכנסות  מלקוחות"</f>
        <v>הכנסות  מלקוחות</v>
      </c>
      <c r="AQ1033" t="str">
        <f>"040"</f>
        <v>040</v>
      </c>
      <c r="AR1033">
        <v>0</v>
      </c>
      <c r="AS1033">
        <v>0</v>
      </c>
      <c r="AT1033">
        <v>3.4750000000000001</v>
      </c>
      <c r="AX1033" t="str">
        <f>"E000369247"</f>
        <v>E000369247</v>
      </c>
      <c r="BD1033" t="str">
        <f>"רחמים זרוק"</f>
        <v>רחמים זרוק</v>
      </c>
    </row>
    <row r="1034" spans="1:56" x14ac:dyDescent="0.3">
      <c r="A1034" s="1">
        <v>44952</v>
      </c>
      <c r="B1034" t="str">
        <f>"SI236000104"</f>
        <v>SI236000104</v>
      </c>
      <c r="E1034" t="str">
        <f>"Y"</f>
        <v>Y</v>
      </c>
      <c r="F1034" t="str">
        <f>"חשבוניות מרכזות"</f>
        <v>חשבוניות מרכזות</v>
      </c>
      <c r="G1034" t="str">
        <f>"700065"</f>
        <v>700065</v>
      </c>
      <c r="H1034" t="str">
        <f>"אלתא מערכות בע""מ"</f>
        <v>אלתא מערכות בע"מ</v>
      </c>
      <c r="I1034" t="str">
        <f>"10"</f>
        <v>10</v>
      </c>
      <c r="J1034" t="str">
        <f>"000"</f>
        <v>000</v>
      </c>
      <c r="K1034" t="str">
        <f>"ביצוע אנליזה חום ליחדית + עדכון"</f>
        <v>ביצוע אנליזה חום ליחדית + עדכון</v>
      </c>
      <c r="L1034">
        <v>1</v>
      </c>
      <c r="M1034" t="str">
        <f>"יח"</f>
        <v>יח</v>
      </c>
      <c r="N1034">
        <v>1</v>
      </c>
      <c r="O1034" t="str">
        <f>"יח"</f>
        <v>יח</v>
      </c>
      <c r="P1034" s="2">
        <v>16150</v>
      </c>
      <c r="Q1034" t="str">
        <f>"$"</f>
        <v>$</v>
      </c>
      <c r="R1034" t="str">
        <f>"הזמנה"</f>
        <v>הזמנה</v>
      </c>
      <c r="S1034">
        <v>0</v>
      </c>
      <c r="T1034" s="2">
        <v>16150</v>
      </c>
      <c r="U1034">
        <v>0</v>
      </c>
      <c r="V1034" s="2">
        <v>16150</v>
      </c>
      <c r="W1034" t="str">
        <f>"$"</f>
        <v>$</v>
      </c>
      <c r="X1034">
        <v>0</v>
      </c>
      <c r="Y1034">
        <v>0</v>
      </c>
      <c r="Z1034">
        <v>0</v>
      </c>
      <c r="AA1034" t="str">
        <f>"Y"</f>
        <v>Y</v>
      </c>
      <c r="AB1034" t="str">
        <f>"SO22000193"</f>
        <v>SO22000193</v>
      </c>
      <c r="AC1034">
        <v>2</v>
      </c>
      <c r="AD1034" s="1">
        <v>44698</v>
      </c>
      <c r="AM1034" t="str">
        <f>"10"</f>
        <v>10</v>
      </c>
      <c r="AN1034" t="str">
        <f>"500000"</f>
        <v>500000</v>
      </c>
      <c r="AO1034" t="str">
        <f>"הכנסות  מלקוחות"</f>
        <v>הכנסות  מלקוחות</v>
      </c>
      <c r="AQ1034" t="str">
        <f>"034"</f>
        <v>034</v>
      </c>
      <c r="AR1034">
        <v>0</v>
      </c>
      <c r="AS1034">
        <v>0</v>
      </c>
      <c r="AT1034">
        <v>3.399</v>
      </c>
      <c r="AX1034" t="str">
        <f>"E000359087"</f>
        <v>E000359087</v>
      </c>
      <c r="BD1034" t="str">
        <f>"ערן שלו"</f>
        <v>ערן שלו</v>
      </c>
    </row>
    <row r="1035" spans="1:56" x14ac:dyDescent="0.3">
      <c r="A1035" s="1">
        <v>44952</v>
      </c>
      <c r="B1035" t="str">
        <f>"SI236000103"</f>
        <v>SI236000103</v>
      </c>
      <c r="E1035" t="str">
        <f>"Y"</f>
        <v>Y</v>
      </c>
      <c r="F1035" t="str">
        <f>"חשבוניות מרכזות"</f>
        <v>חשבוניות מרכזות</v>
      </c>
      <c r="G1035" t="str">
        <f>"700065"</f>
        <v>700065</v>
      </c>
      <c r="H1035" t="str">
        <f>"אלתא מערכות בע""מ"</f>
        <v>אלתא מערכות בע"מ</v>
      </c>
      <c r="I1035" t="str">
        <f>"10"</f>
        <v>10</v>
      </c>
      <c r="J1035" t="str">
        <f>"000"</f>
        <v>000</v>
      </c>
      <c r="K1035" t="str">
        <f>"ביצוע אנליזה חום ליחדית + עדכון"</f>
        <v>ביצוע אנליזה חום ליחדית + עדכון</v>
      </c>
      <c r="L1035">
        <v>-1</v>
      </c>
      <c r="M1035" t="str">
        <f>"יח"</f>
        <v>יח</v>
      </c>
      <c r="N1035">
        <v>-1</v>
      </c>
      <c r="O1035" t="str">
        <f>"יח"</f>
        <v>יח</v>
      </c>
      <c r="P1035" s="2">
        <v>16150</v>
      </c>
      <c r="Q1035" t="str">
        <f>"$"</f>
        <v>$</v>
      </c>
      <c r="R1035" t="str">
        <f>"הזמנה"</f>
        <v>הזמנה</v>
      </c>
      <c r="S1035">
        <v>0</v>
      </c>
      <c r="T1035" s="2">
        <v>-16150</v>
      </c>
      <c r="U1035">
        <v>0</v>
      </c>
      <c r="V1035" s="2">
        <v>-16150</v>
      </c>
      <c r="W1035" t="str">
        <f>"$"</f>
        <v>$</v>
      </c>
      <c r="X1035">
        <v>0</v>
      </c>
      <c r="Y1035">
        <v>0</v>
      </c>
      <c r="Z1035">
        <v>0</v>
      </c>
      <c r="AA1035" t="str">
        <f>"Y"</f>
        <v>Y</v>
      </c>
      <c r="AC1035">
        <v>0</v>
      </c>
      <c r="AM1035" t="str">
        <f>"10"</f>
        <v>10</v>
      </c>
      <c r="AN1035" t="str">
        <f>"500000"</f>
        <v>500000</v>
      </c>
      <c r="AO1035" t="str">
        <f>"הכנסות  מלקוחות"</f>
        <v>הכנסות  מלקוחות</v>
      </c>
      <c r="AQ1035" t="str">
        <f>"034"</f>
        <v>034</v>
      </c>
      <c r="AR1035">
        <v>0</v>
      </c>
      <c r="AS1035">
        <v>0</v>
      </c>
      <c r="AT1035">
        <v>3.496</v>
      </c>
      <c r="BB1035" t="str">
        <f>"Y"</f>
        <v>Y</v>
      </c>
      <c r="BD1035" t="str">
        <f>"ערן שלו"</f>
        <v>ערן שלו</v>
      </c>
    </row>
    <row r="1036" spans="1:56" x14ac:dyDescent="0.3">
      <c r="A1036" s="1">
        <v>44952</v>
      </c>
      <c r="B1036" t="str">
        <f>"SI236000102"</f>
        <v>SI236000102</v>
      </c>
      <c r="E1036" t="str">
        <f>"Y"</f>
        <v>Y</v>
      </c>
      <c r="F1036" t="str">
        <f>"חשבוניות מרכזות"</f>
        <v>חשבוניות מרכזות</v>
      </c>
      <c r="G1036" t="str">
        <f>"700065"</f>
        <v>700065</v>
      </c>
      <c r="H1036" t="str">
        <f>"אלתא מערכות בע""מ"</f>
        <v>אלתא מערכות בע"מ</v>
      </c>
      <c r="I1036" t="str">
        <f>"10"</f>
        <v>10</v>
      </c>
      <c r="J1036" t="str">
        <f>"000"</f>
        <v>000</v>
      </c>
      <c r="K1036" t="str">
        <f>"ביצוע אנליזה חום ליחדית + עדכון"</f>
        <v>ביצוע אנליזה חום ליחדית + עדכון</v>
      </c>
      <c r="L1036">
        <v>1</v>
      </c>
      <c r="M1036" t="str">
        <f>"יח"</f>
        <v>יח</v>
      </c>
      <c r="N1036">
        <v>1</v>
      </c>
      <c r="O1036" t="str">
        <f>"יח"</f>
        <v>יח</v>
      </c>
      <c r="P1036" s="2">
        <v>16150</v>
      </c>
      <c r="Q1036" t="str">
        <f>"$"</f>
        <v>$</v>
      </c>
      <c r="R1036" t="str">
        <f>"הזמנה"</f>
        <v>הזמנה</v>
      </c>
      <c r="S1036">
        <v>0</v>
      </c>
      <c r="T1036" s="2">
        <v>16150</v>
      </c>
      <c r="U1036">
        <v>0</v>
      </c>
      <c r="V1036" s="2">
        <v>16150</v>
      </c>
      <c r="W1036" t="str">
        <f>"$"</f>
        <v>$</v>
      </c>
      <c r="X1036">
        <v>0</v>
      </c>
      <c r="Y1036">
        <v>0</v>
      </c>
      <c r="Z1036">
        <v>0</v>
      </c>
      <c r="AA1036" t="str">
        <f>"Y"</f>
        <v>Y</v>
      </c>
      <c r="AC1036">
        <v>0</v>
      </c>
      <c r="AM1036" t="str">
        <f>"10"</f>
        <v>10</v>
      </c>
      <c r="AN1036" t="str">
        <f>"500000"</f>
        <v>500000</v>
      </c>
      <c r="AO1036" t="str">
        <f>"הכנסות  מלקוחות"</f>
        <v>הכנסות  מלקוחות</v>
      </c>
      <c r="AQ1036" t="str">
        <f>"034"</f>
        <v>034</v>
      </c>
      <c r="AR1036">
        <v>0</v>
      </c>
      <c r="AS1036">
        <v>0</v>
      </c>
      <c r="AT1036">
        <v>3.496</v>
      </c>
      <c r="BB1036" t="str">
        <f>"Y"</f>
        <v>Y</v>
      </c>
      <c r="BD1036" t="str">
        <f>"ערן שלו"</f>
        <v>ערן שלו</v>
      </c>
    </row>
    <row r="1037" spans="1:56" x14ac:dyDescent="0.3">
      <c r="A1037" s="1">
        <v>44952</v>
      </c>
      <c r="B1037" t="str">
        <f>"SI236000100"</f>
        <v>SI236000100</v>
      </c>
      <c r="E1037" t="str">
        <f>"Y"</f>
        <v>Y</v>
      </c>
      <c r="F1037" t="str">
        <f>"חשבוניות מרכזות"</f>
        <v>חשבוניות מרכזות</v>
      </c>
      <c r="G1037" t="str">
        <f>"700065"</f>
        <v>700065</v>
      </c>
      <c r="H1037" t="str">
        <f>"אלתא מערכות בע""מ"</f>
        <v>אלתא מערכות בע"מ</v>
      </c>
      <c r="I1037" t="str">
        <f>"10"</f>
        <v>10</v>
      </c>
      <c r="J1037" t="str">
        <f>"000"</f>
        <v>000</v>
      </c>
      <c r="K1037" t="str">
        <f>"מפסק על דלת ניתוק מארז מחשב 8 PQ22000523"</f>
        <v>מפסק על דלת ניתוק מארז מחשב 8 PQ22000523</v>
      </c>
      <c r="L1037">
        <v>1</v>
      </c>
      <c r="M1037" t="str">
        <f>"יח"</f>
        <v>יח</v>
      </c>
      <c r="N1037">
        <v>1</v>
      </c>
      <c r="O1037" t="str">
        <f>"יח"</f>
        <v>יח</v>
      </c>
      <c r="P1037">
        <v>327</v>
      </c>
      <c r="Q1037" t="str">
        <f>"$"</f>
        <v>$</v>
      </c>
      <c r="R1037" t="str">
        <f>"הזמנה"</f>
        <v>הזמנה</v>
      </c>
      <c r="S1037">
        <v>0</v>
      </c>
      <c r="T1037">
        <v>327</v>
      </c>
      <c r="U1037">
        <v>0</v>
      </c>
      <c r="V1037">
        <v>327</v>
      </c>
      <c r="W1037" t="str">
        <f>"$"</f>
        <v>$</v>
      </c>
      <c r="X1037">
        <v>0</v>
      </c>
      <c r="Y1037">
        <v>0</v>
      </c>
      <c r="Z1037">
        <v>0</v>
      </c>
      <c r="AA1037" t="str">
        <f>"Y"</f>
        <v>Y</v>
      </c>
      <c r="AB1037" t="str">
        <f>"SO22000489"</f>
        <v>SO22000489</v>
      </c>
      <c r="AC1037">
        <v>2</v>
      </c>
      <c r="AD1037" s="1">
        <v>44922</v>
      </c>
      <c r="AM1037" t="str">
        <f>"10"</f>
        <v>10</v>
      </c>
      <c r="AN1037" t="str">
        <f>"500000"</f>
        <v>500000</v>
      </c>
      <c r="AO1037" t="str">
        <f>"הכנסות  מלקוחות"</f>
        <v>הכנסות  מלקוחות</v>
      </c>
      <c r="AQ1037" t="str">
        <f>"040"</f>
        <v>040</v>
      </c>
      <c r="AR1037">
        <v>0</v>
      </c>
      <c r="AS1037">
        <v>0</v>
      </c>
      <c r="AT1037">
        <v>3.37</v>
      </c>
      <c r="AX1037" t="str">
        <f>"E000382417"</f>
        <v>E000382417</v>
      </c>
      <c r="BD1037" t="str">
        <f>"רחמים זרוק"</f>
        <v>רחמים זרוק</v>
      </c>
    </row>
    <row r="1038" spans="1:56" x14ac:dyDescent="0.3">
      <c r="A1038" s="1">
        <v>44951</v>
      </c>
      <c r="B1038" t="str">
        <f>"SI236000099"</f>
        <v>SI236000099</v>
      </c>
      <c r="E1038" t="str">
        <f>"Y"</f>
        <v>Y</v>
      </c>
      <c r="F1038" t="str">
        <f>"חשבוניות מרכזות"</f>
        <v>חשבוניות מרכזות</v>
      </c>
      <c r="G1038" t="str">
        <f>"700065"</f>
        <v>700065</v>
      </c>
      <c r="H1038" t="str">
        <f>"אלתא מערכות בע""מ"</f>
        <v>אלתא מערכות בע"מ</v>
      </c>
      <c r="I1038" t="str">
        <f>"10"</f>
        <v>10</v>
      </c>
      <c r="J1038" t="str">
        <f>"000"</f>
        <v>000</v>
      </c>
      <c r="K1038" t="str">
        <f>"סט שלטים צבעוני אזהרה לPDB1+2"</f>
        <v>סט שלטים צבעוני אזהרה לPDB1+2</v>
      </c>
      <c r="L1038">
        <v>1</v>
      </c>
      <c r="M1038" t="str">
        <f>"יח"</f>
        <v>יח</v>
      </c>
      <c r="N1038">
        <v>1</v>
      </c>
      <c r="O1038" t="str">
        <f>"יח"</f>
        <v>יח</v>
      </c>
      <c r="P1038" s="2">
        <v>3880</v>
      </c>
      <c r="Q1038" t="str">
        <f>"$"</f>
        <v>$</v>
      </c>
      <c r="R1038" t="str">
        <f>"הזמנה"</f>
        <v>הזמנה</v>
      </c>
      <c r="S1038">
        <v>0</v>
      </c>
      <c r="T1038" s="2">
        <v>3880</v>
      </c>
      <c r="U1038">
        <v>0</v>
      </c>
      <c r="V1038" s="2">
        <v>3880</v>
      </c>
      <c r="W1038" t="str">
        <f>"$"</f>
        <v>$</v>
      </c>
      <c r="X1038">
        <v>0</v>
      </c>
      <c r="Y1038">
        <v>0</v>
      </c>
      <c r="Z1038">
        <v>0</v>
      </c>
      <c r="AA1038" t="str">
        <f>"Y"</f>
        <v>Y</v>
      </c>
      <c r="AB1038" t="str">
        <f>"SO22000441"</f>
        <v>SO22000441</v>
      </c>
      <c r="AC1038">
        <v>8</v>
      </c>
      <c r="AD1038" s="1">
        <v>44900</v>
      </c>
      <c r="AM1038" t="str">
        <f>"10"</f>
        <v>10</v>
      </c>
      <c r="AN1038" t="str">
        <f>"500000"</f>
        <v>500000</v>
      </c>
      <c r="AO1038" t="str">
        <f>"הכנסות  מלקוחות"</f>
        <v>הכנסות  מלקוחות</v>
      </c>
      <c r="AQ1038" t="str">
        <f>"034"</f>
        <v>034</v>
      </c>
      <c r="AR1038">
        <v>0</v>
      </c>
      <c r="AS1038">
        <v>0</v>
      </c>
      <c r="AT1038">
        <v>3.37</v>
      </c>
      <c r="AX1038" t="str">
        <f>"E000377788"</f>
        <v>E000377788</v>
      </c>
      <c r="BD1038" t="str">
        <f>"ערן שלו"</f>
        <v>ערן שלו</v>
      </c>
    </row>
    <row r="1039" spans="1:56" x14ac:dyDescent="0.3">
      <c r="A1039" s="1">
        <v>44950</v>
      </c>
      <c r="B1039" t="str">
        <f>"SI236000084"</f>
        <v>SI236000084</v>
      </c>
      <c r="C1039" t="str">
        <f>"PR22000316"</f>
        <v>PR22000316</v>
      </c>
      <c r="E1039" t="str">
        <f>"Y"</f>
        <v>Y</v>
      </c>
      <c r="F1039" t="str">
        <f>"חשבוניות מרכזות"</f>
        <v>חשבוניות מרכזות</v>
      </c>
      <c r="G1039" t="str">
        <f>"700065"</f>
        <v>700065</v>
      </c>
      <c r="H1039" t="str">
        <f>"אלתא מערכות בע""מ"</f>
        <v>אלתא מערכות בע"מ</v>
      </c>
      <c r="I1039" t="str">
        <f>"10"</f>
        <v>10</v>
      </c>
      <c r="J1039" t="str">
        <f>"OP-AR03049"</f>
        <v>OP-AR03049</v>
      </c>
      <c r="K1039" t="str">
        <f>"1023M216-002    CABLE ASSY W202"</f>
        <v>1023M216-002    CABLE ASSY W202</v>
      </c>
      <c r="L1039">
        <v>-11</v>
      </c>
      <c r="M1039" t="str">
        <f>"יח"</f>
        <v>יח</v>
      </c>
      <c r="N1039">
        <v>-11</v>
      </c>
      <c r="O1039" t="str">
        <f>"יח"</f>
        <v>יח</v>
      </c>
      <c r="P1039" s="2">
        <v>1423.84</v>
      </c>
      <c r="Q1039" t="str">
        <f>"$"</f>
        <v>$</v>
      </c>
      <c r="R1039" t="str">
        <f>"הזמנה"</f>
        <v>הזמנה</v>
      </c>
      <c r="S1039">
        <v>0</v>
      </c>
      <c r="T1039" s="2">
        <v>-15662.24</v>
      </c>
      <c r="U1039">
        <v>0</v>
      </c>
      <c r="V1039" s="2">
        <v>-15662.24</v>
      </c>
      <c r="W1039" t="str">
        <f>"$"</f>
        <v>$</v>
      </c>
      <c r="X1039">
        <v>0</v>
      </c>
      <c r="Y1039">
        <v>0</v>
      </c>
      <c r="Z1039">
        <v>0</v>
      </c>
      <c r="AA1039" t="str">
        <f>"Y"</f>
        <v>Y</v>
      </c>
      <c r="AC1039">
        <v>0</v>
      </c>
      <c r="AM1039" t="str">
        <f>"10"</f>
        <v>10</v>
      </c>
      <c r="AN1039" t="str">
        <f>"500000"</f>
        <v>500000</v>
      </c>
      <c r="AO1039" t="str">
        <f>"הכנסות  מלקוחות"</f>
        <v>הכנסות  מלקוחות</v>
      </c>
      <c r="AQ1039" t="str">
        <f>"040"</f>
        <v>040</v>
      </c>
      <c r="AR1039">
        <v>0</v>
      </c>
      <c r="AS1039">
        <v>0</v>
      </c>
      <c r="AT1039">
        <v>3.3809999999999998</v>
      </c>
      <c r="BB1039" t="str">
        <f>"Y"</f>
        <v>Y</v>
      </c>
      <c r="BD1039" t="str">
        <f>"רחמים זרוק"</f>
        <v>רחמים זרוק</v>
      </c>
    </row>
    <row r="1040" spans="1:56" x14ac:dyDescent="0.3">
      <c r="A1040" s="1">
        <v>44950</v>
      </c>
      <c r="B1040" t="str">
        <f>"SI236000084"</f>
        <v>SI236000084</v>
      </c>
      <c r="C1040" t="str">
        <f>"PR22000316"</f>
        <v>PR22000316</v>
      </c>
      <c r="E1040" t="str">
        <f>"Y"</f>
        <v>Y</v>
      </c>
      <c r="F1040" t="str">
        <f>"חשבוניות מרכזות"</f>
        <v>חשבוניות מרכזות</v>
      </c>
      <c r="G1040" t="str">
        <f>"700065"</f>
        <v>700065</v>
      </c>
      <c r="H1040" t="str">
        <f>"אלתא מערכות בע""מ"</f>
        <v>אלתא מערכות בע"מ</v>
      </c>
      <c r="I1040" t="str">
        <f>"10"</f>
        <v>10</v>
      </c>
      <c r="J1040" t="str">
        <f>"OP-AR03050"</f>
        <v>OP-AR03050</v>
      </c>
      <c r="K1040" t="str">
        <f>"1023M218-001    CABLE ASSY W201"</f>
        <v>1023M218-001    CABLE ASSY W201</v>
      </c>
      <c r="L1040">
        <v>-22</v>
      </c>
      <c r="M1040" t="str">
        <f>"יח"</f>
        <v>יח</v>
      </c>
      <c r="N1040">
        <v>-22</v>
      </c>
      <c r="O1040" t="str">
        <f>"יח"</f>
        <v>יח</v>
      </c>
      <c r="P1040">
        <v>628.54</v>
      </c>
      <c r="Q1040" t="str">
        <f>"$"</f>
        <v>$</v>
      </c>
      <c r="R1040" t="str">
        <f>"הזמנה"</f>
        <v>הזמנה</v>
      </c>
      <c r="S1040">
        <v>0</v>
      </c>
      <c r="T1040" s="2">
        <v>-13827.88</v>
      </c>
      <c r="U1040">
        <v>0</v>
      </c>
      <c r="V1040" s="2">
        <v>-13827.88</v>
      </c>
      <c r="W1040" t="str">
        <f>"$"</f>
        <v>$</v>
      </c>
      <c r="X1040">
        <v>0</v>
      </c>
      <c r="Y1040">
        <v>0</v>
      </c>
      <c r="Z1040">
        <v>0</v>
      </c>
      <c r="AA1040" t="str">
        <f>"Y"</f>
        <v>Y</v>
      </c>
      <c r="AC1040">
        <v>0</v>
      </c>
      <c r="AM1040" t="str">
        <f>"10"</f>
        <v>10</v>
      </c>
      <c r="AN1040" t="str">
        <f>"500000"</f>
        <v>500000</v>
      </c>
      <c r="AO1040" t="str">
        <f>"הכנסות  מלקוחות"</f>
        <v>הכנסות  מלקוחות</v>
      </c>
      <c r="AQ1040" t="str">
        <f>"040"</f>
        <v>040</v>
      </c>
      <c r="AR1040">
        <v>0</v>
      </c>
      <c r="AS1040">
        <v>0</v>
      </c>
      <c r="AT1040">
        <v>3.3809999999999998</v>
      </c>
      <c r="BB1040" t="str">
        <f>"Y"</f>
        <v>Y</v>
      </c>
      <c r="BD1040" t="str">
        <f>"רחמים זרוק"</f>
        <v>רחמים זרוק</v>
      </c>
    </row>
    <row r="1041" spans="1:56" x14ac:dyDescent="0.3">
      <c r="A1041" s="1">
        <v>44950</v>
      </c>
      <c r="B1041" t="str">
        <f>"SI236000082"</f>
        <v>SI236000082</v>
      </c>
      <c r="C1041" t="str">
        <f>"PR22000607"</f>
        <v>PR22000607</v>
      </c>
      <c r="E1041" t="str">
        <f>"Y"</f>
        <v>Y</v>
      </c>
      <c r="F1041" t="str">
        <f>"חשבוניות מרכזות"</f>
        <v>חשבוניות מרכזות</v>
      </c>
      <c r="G1041" t="str">
        <f>"700065"</f>
        <v>700065</v>
      </c>
      <c r="H1041" t="str">
        <f>"אלתא מערכות בע""מ"</f>
        <v>אלתא מערכות בע"מ</v>
      </c>
      <c r="I1041" t="str">
        <f>"10"</f>
        <v>10</v>
      </c>
      <c r="J1041" t="str">
        <f>"OP-AR03327"</f>
        <v>OP-AR03327</v>
      </c>
      <c r="K1041" t="str">
        <f>"2223B638-001    ELM2054-ATE UUTJ2 TO CHAMBER J5"</f>
        <v>2223B638-001    ELM2054-ATE UUTJ2 TO CHAMBER J5</v>
      </c>
      <c r="L1041">
        <v>-3</v>
      </c>
      <c r="M1041" t="str">
        <f>"יח"</f>
        <v>יח</v>
      </c>
      <c r="N1041">
        <v>-3</v>
      </c>
      <c r="O1041" t="str">
        <f>"יח"</f>
        <v>יח</v>
      </c>
      <c r="P1041">
        <v>473.5</v>
      </c>
      <c r="Q1041" t="str">
        <f>"$"</f>
        <v>$</v>
      </c>
      <c r="R1041" t="str">
        <f>"הזמנה"</f>
        <v>הזמנה</v>
      </c>
      <c r="S1041">
        <v>0</v>
      </c>
      <c r="T1041" s="2">
        <v>-1420.5</v>
      </c>
      <c r="U1041">
        <v>0</v>
      </c>
      <c r="V1041" s="2">
        <v>-1420.5</v>
      </c>
      <c r="W1041" t="str">
        <f>"$"</f>
        <v>$</v>
      </c>
      <c r="X1041">
        <v>0</v>
      </c>
      <c r="Y1041">
        <v>0</v>
      </c>
      <c r="Z1041">
        <v>0</v>
      </c>
      <c r="AA1041" t="str">
        <f>"Y"</f>
        <v>Y</v>
      </c>
      <c r="AC1041">
        <v>0</v>
      </c>
      <c r="AM1041" t="str">
        <f>"10"</f>
        <v>10</v>
      </c>
      <c r="AN1041" t="str">
        <f>"500000"</f>
        <v>500000</v>
      </c>
      <c r="AO1041" t="str">
        <f>"הכנסות  מלקוחות"</f>
        <v>הכנסות  מלקוחות</v>
      </c>
      <c r="AQ1041" t="str">
        <f>"040"</f>
        <v>040</v>
      </c>
      <c r="AR1041">
        <v>0</v>
      </c>
      <c r="AS1041">
        <v>0</v>
      </c>
      <c r="AT1041">
        <v>3.3809999999999998</v>
      </c>
      <c r="BB1041" t="str">
        <f>"Y"</f>
        <v>Y</v>
      </c>
      <c r="BD1041" t="str">
        <f>"רחמים זרוק"</f>
        <v>רחמים זרוק</v>
      </c>
    </row>
    <row r="1042" spans="1:56" x14ac:dyDescent="0.3">
      <c r="A1042" s="1">
        <v>44950</v>
      </c>
      <c r="B1042" t="str">
        <f>"SI236000080"</f>
        <v>SI236000080</v>
      </c>
      <c r="C1042" t="str">
        <f>"PR22000199"</f>
        <v>PR22000199</v>
      </c>
      <c r="E1042" t="str">
        <f>"Y"</f>
        <v>Y</v>
      </c>
      <c r="F1042" t="str">
        <f>"חשבוניות מרכזות"</f>
        <v>חשבוניות מרכזות</v>
      </c>
      <c r="G1042" t="str">
        <f>"700065"</f>
        <v>700065</v>
      </c>
      <c r="H1042" t="str">
        <f>"אלתא מערכות בע""מ"</f>
        <v>אלתא מערכות בע"מ</v>
      </c>
      <c r="I1042" t="str">
        <f>"05"</f>
        <v>05</v>
      </c>
      <c r="J1042" t="str">
        <f>"OP-AR03243"</f>
        <v>OP-AR03243</v>
      </c>
      <c r="K1042" t="str">
        <f>"320VDC 96KW SYSTEM"</f>
        <v>320VDC 96KW SYSTEM</v>
      </c>
      <c r="L1042">
        <v>-1</v>
      </c>
      <c r="M1042" t="str">
        <f>"יח"</f>
        <v>יח</v>
      </c>
      <c r="N1042">
        <v>-1</v>
      </c>
      <c r="O1042" t="str">
        <f>"יח"</f>
        <v>יח</v>
      </c>
      <c r="P1042" s="2">
        <v>37528</v>
      </c>
      <c r="Q1042" t="str">
        <f>"$"</f>
        <v>$</v>
      </c>
      <c r="R1042" t="str">
        <f>"הזמנה"</f>
        <v>הזמנה</v>
      </c>
      <c r="S1042">
        <v>0</v>
      </c>
      <c r="T1042" s="2">
        <v>-37528</v>
      </c>
      <c r="U1042">
        <v>0</v>
      </c>
      <c r="V1042" s="2">
        <v>-37528</v>
      </c>
      <c r="W1042" t="str">
        <f>"$"</f>
        <v>$</v>
      </c>
      <c r="X1042">
        <v>0</v>
      </c>
      <c r="Y1042">
        <v>0</v>
      </c>
      <c r="Z1042">
        <v>0</v>
      </c>
      <c r="AA1042" t="str">
        <f>"Y"</f>
        <v>Y</v>
      </c>
      <c r="AC1042">
        <v>0</v>
      </c>
      <c r="AM1042" t="str">
        <f>"10"</f>
        <v>10</v>
      </c>
      <c r="AN1042" t="str">
        <f>"500000"</f>
        <v>500000</v>
      </c>
      <c r="AO1042" t="str">
        <f>"הכנסות  מלקוחות"</f>
        <v>הכנסות  מלקוחות</v>
      </c>
      <c r="AQ1042" t="str">
        <f>"034"</f>
        <v>034</v>
      </c>
      <c r="AR1042">
        <v>0</v>
      </c>
      <c r="AS1042">
        <v>0</v>
      </c>
      <c r="AT1042">
        <v>3.4180000000000001</v>
      </c>
      <c r="BB1042" t="str">
        <f>"Y"</f>
        <v>Y</v>
      </c>
      <c r="BD1042" t="str">
        <f>"ערן שלו"</f>
        <v>ערן שלו</v>
      </c>
    </row>
    <row r="1043" spans="1:56" x14ac:dyDescent="0.3">
      <c r="A1043" s="1">
        <v>44950</v>
      </c>
      <c r="B1043" t="str">
        <f>"SI236000078"</f>
        <v>SI236000078</v>
      </c>
      <c r="C1043" t="str">
        <f>"PR22000602"</f>
        <v>PR22000602</v>
      </c>
      <c r="E1043" t="str">
        <f>"Y"</f>
        <v>Y</v>
      </c>
      <c r="F1043" t="str">
        <f>"חשבוניות מרכזות"</f>
        <v>חשבוניות מרכזות</v>
      </c>
      <c r="G1043" t="str">
        <f>"700065"</f>
        <v>700065</v>
      </c>
      <c r="H1043" t="str">
        <f>"אלתא מערכות בע""מ"</f>
        <v>אלתא מערכות בע"מ</v>
      </c>
      <c r="I1043" t="str">
        <f>"10"</f>
        <v>10</v>
      </c>
      <c r="J1043" t="str">
        <f>"CB1100227"</f>
        <v>CB1100227</v>
      </c>
      <c r="K1043" t="str">
        <f>"AC SUPPLY CONTROL BOX 230V FEED CABLE"</f>
        <v>AC SUPPLY CONTROL BOX 230V FEED CABLE</v>
      </c>
      <c r="L1043">
        <v>-2</v>
      </c>
      <c r="M1043" t="str">
        <f>"יח"</f>
        <v>יח</v>
      </c>
      <c r="N1043">
        <v>-2</v>
      </c>
      <c r="O1043" t="str">
        <f>"יח"</f>
        <v>יח</v>
      </c>
      <c r="P1043">
        <v>578</v>
      </c>
      <c r="Q1043" t="str">
        <f>"$"</f>
        <v>$</v>
      </c>
      <c r="R1043" t="str">
        <f>"הזמנה"</f>
        <v>הזמנה</v>
      </c>
      <c r="S1043">
        <v>0</v>
      </c>
      <c r="T1043" s="2">
        <v>-1156</v>
      </c>
      <c r="U1043">
        <v>0</v>
      </c>
      <c r="V1043" s="2">
        <v>-1156</v>
      </c>
      <c r="W1043" t="str">
        <f>"$"</f>
        <v>$</v>
      </c>
      <c r="X1043">
        <v>0</v>
      </c>
      <c r="Y1043">
        <v>0</v>
      </c>
      <c r="Z1043">
        <v>0</v>
      </c>
      <c r="AA1043" t="str">
        <f>"Y"</f>
        <v>Y</v>
      </c>
      <c r="AC1043">
        <v>0</v>
      </c>
      <c r="AM1043" t="str">
        <f>"10"</f>
        <v>10</v>
      </c>
      <c r="AN1043" t="str">
        <f>"500000"</f>
        <v>500000</v>
      </c>
      <c r="AO1043" t="str">
        <f>"הכנסות  מלקוחות"</f>
        <v>הכנסות  מלקוחות</v>
      </c>
      <c r="AQ1043" t="str">
        <f>"040"</f>
        <v>040</v>
      </c>
      <c r="AR1043">
        <v>0</v>
      </c>
      <c r="AS1043">
        <v>0</v>
      </c>
      <c r="AT1043">
        <v>3.407</v>
      </c>
      <c r="BB1043" t="str">
        <f>"Y"</f>
        <v>Y</v>
      </c>
      <c r="BD1043" t="str">
        <f>"רחמים זרוק"</f>
        <v>רחמים זרוק</v>
      </c>
    </row>
    <row r="1044" spans="1:56" x14ac:dyDescent="0.3">
      <c r="A1044" s="1">
        <v>44950</v>
      </c>
      <c r="B1044" t="str">
        <f>"SI236000076"</f>
        <v>SI236000076</v>
      </c>
      <c r="C1044" t="str">
        <f>"PR22000579"</f>
        <v>PR22000579</v>
      </c>
      <c r="E1044" t="str">
        <f>"Y"</f>
        <v>Y</v>
      </c>
      <c r="F1044" t="str">
        <f>"חשבוניות מרכזות"</f>
        <v>חשבוניות מרכזות</v>
      </c>
      <c r="G1044" t="str">
        <f>"700065"</f>
        <v>700065</v>
      </c>
      <c r="H1044" t="str">
        <f>"אלתא מערכות בע""מ"</f>
        <v>אלתא מערכות בע"מ</v>
      </c>
      <c r="I1044" t="str">
        <f>"10"</f>
        <v>10</v>
      </c>
      <c r="J1044" t="str">
        <f>"OP-AR01674"</f>
        <v>OP-AR01674</v>
      </c>
      <c r="K1044" t="str">
        <f>"6649E322-001 W1292"</f>
        <v>6649E322-001 W1292</v>
      </c>
      <c r="L1044">
        <v>-1</v>
      </c>
      <c r="M1044" t="str">
        <f>"יח"</f>
        <v>יח</v>
      </c>
      <c r="N1044">
        <v>-1</v>
      </c>
      <c r="O1044" t="str">
        <f>"יח"</f>
        <v>יח</v>
      </c>
      <c r="P1044">
        <v>485.22</v>
      </c>
      <c r="Q1044" t="str">
        <f>"$"</f>
        <v>$</v>
      </c>
      <c r="R1044" t="str">
        <f>"הזמנה"</f>
        <v>הזמנה</v>
      </c>
      <c r="S1044">
        <v>0</v>
      </c>
      <c r="T1044">
        <v>-485.22</v>
      </c>
      <c r="U1044">
        <v>0</v>
      </c>
      <c r="V1044">
        <v>-485.22</v>
      </c>
      <c r="W1044" t="str">
        <f>"$"</f>
        <v>$</v>
      </c>
      <c r="X1044">
        <v>0</v>
      </c>
      <c r="Y1044">
        <v>0</v>
      </c>
      <c r="Z1044">
        <v>0</v>
      </c>
      <c r="AA1044" t="str">
        <f>"Y"</f>
        <v>Y</v>
      </c>
      <c r="AC1044">
        <v>0</v>
      </c>
      <c r="AM1044" t="str">
        <f>"10"</f>
        <v>10</v>
      </c>
      <c r="AN1044" t="str">
        <f>"500000"</f>
        <v>500000</v>
      </c>
      <c r="AO1044" t="str">
        <f>"הכנסות  מלקוחות"</f>
        <v>הכנסות  מלקוחות</v>
      </c>
      <c r="AQ1044" t="str">
        <f>"040"</f>
        <v>040</v>
      </c>
      <c r="AR1044">
        <v>0</v>
      </c>
      <c r="AS1044">
        <v>0</v>
      </c>
      <c r="AT1044">
        <v>3.3809999999999998</v>
      </c>
      <c r="BB1044" t="str">
        <f>"Y"</f>
        <v>Y</v>
      </c>
      <c r="BD1044" t="str">
        <f>"רחמים זרוק"</f>
        <v>רחמים זרוק</v>
      </c>
    </row>
    <row r="1045" spans="1:56" x14ac:dyDescent="0.3">
      <c r="A1045" s="1">
        <v>44950</v>
      </c>
      <c r="B1045" t="str">
        <f>"SI236000074"</f>
        <v>SI236000074</v>
      </c>
      <c r="C1045" t="str">
        <f>"PR22000483"</f>
        <v>PR22000483</v>
      </c>
      <c r="E1045" t="str">
        <f>"Y"</f>
        <v>Y</v>
      </c>
      <c r="F1045" t="str">
        <f>"חשבוניות מרכזות"</f>
        <v>חשבוניות מרכזות</v>
      </c>
      <c r="G1045" t="str">
        <f>"700065"</f>
        <v>700065</v>
      </c>
      <c r="H1045" t="str">
        <f>"אלתא מערכות בע""מ"</f>
        <v>אלתא מערכות בע"מ</v>
      </c>
      <c r="I1045" t="str">
        <f>"10"</f>
        <v>10</v>
      </c>
      <c r="J1045" t="str">
        <f>"OP-AR03208"</f>
        <v>OP-AR03208</v>
      </c>
      <c r="K1045" t="str">
        <f>"1096H331-001     DC HARNESS TRA (W1)"</f>
        <v>1096H331-001     DC HARNESS TRA (W1)</v>
      </c>
      <c r="L1045">
        <v>-16</v>
      </c>
      <c r="M1045" t="str">
        <f>"יח"</f>
        <v>יח</v>
      </c>
      <c r="N1045">
        <v>-16</v>
      </c>
      <c r="O1045" t="str">
        <f>"יח"</f>
        <v>יח</v>
      </c>
      <c r="P1045">
        <v>833.5</v>
      </c>
      <c r="Q1045" t="str">
        <f>"$"</f>
        <v>$</v>
      </c>
      <c r="R1045" t="str">
        <f>"הזמנה"</f>
        <v>הזמנה</v>
      </c>
      <c r="S1045">
        <v>0</v>
      </c>
      <c r="T1045" s="2">
        <v>-13336</v>
      </c>
      <c r="U1045">
        <v>0</v>
      </c>
      <c r="V1045" s="2">
        <v>-13336</v>
      </c>
      <c r="W1045" t="str">
        <f>"$"</f>
        <v>$</v>
      </c>
      <c r="X1045">
        <v>0</v>
      </c>
      <c r="Y1045">
        <v>0</v>
      </c>
      <c r="Z1045">
        <v>0</v>
      </c>
      <c r="AA1045" t="str">
        <f>"Y"</f>
        <v>Y</v>
      </c>
      <c r="AC1045">
        <v>0</v>
      </c>
      <c r="AM1045" t="str">
        <f>"10"</f>
        <v>10</v>
      </c>
      <c r="AN1045" t="str">
        <f>"500000"</f>
        <v>500000</v>
      </c>
      <c r="AO1045" t="str">
        <f>"הכנסות  מלקוחות"</f>
        <v>הכנסות  מלקוחות</v>
      </c>
      <c r="AQ1045" t="str">
        <f>"040"</f>
        <v>040</v>
      </c>
      <c r="AR1045">
        <v>0</v>
      </c>
      <c r="AS1045">
        <v>0</v>
      </c>
      <c r="AT1045">
        <v>3.3809999999999998</v>
      </c>
      <c r="BB1045" t="str">
        <f>"Y"</f>
        <v>Y</v>
      </c>
      <c r="BD1045" t="str">
        <f>"רחמים זרוק"</f>
        <v>רחמים זרוק</v>
      </c>
    </row>
    <row r="1046" spans="1:56" x14ac:dyDescent="0.3">
      <c r="A1046" s="1">
        <v>44950</v>
      </c>
      <c r="B1046" t="str">
        <f>"SI236000072"</f>
        <v>SI236000072</v>
      </c>
      <c r="C1046" t="str">
        <f>"PR22000459"</f>
        <v>PR22000459</v>
      </c>
      <c r="E1046" t="str">
        <f>"Y"</f>
        <v>Y</v>
      </c>
      <c r="F1046" t="str">
        <f>"חשבוניות מרכזות"</f>
        <v>חשבוניות מרכזות</v>
      </c>
      <c r="G1046" t="str">
        <f>"700065"</f>
        <v>700065</v>
      </c>
      <c r="H1046" t="str">
        <f>"אלתא מערכות בע""מ"</f>
        <v>אלתא מערכות בע"מ</v>
      </c>
      <c r="I1046" t="str">
        <f>"10"</f>
        <v>10</v>
      </c>
      <c r="J1046" t="str">
        <f>"OP-AR03185"</f>
        <v>OP-AR03185</v>
      </c>
      <c r="K1046" t="str">
        <f>"1038N297-001   GROUND CABLE WN297 - ROD TO PALLET CHASS"</f>
        <v>1038N297-001   GROUND CABLE WN297 - ROD TO PALLET CHASS</v>
      </c>
      <c r="L1046">
        <v>-1</v>
      </c>
      <c r="M1046" t="str">
        <f>"יח"</f>
        <v>יח</v>
      </c>
      <c r="N1046">
        <v>-1</v>
      </c>
      <c r="O1046" t="str">
        <f>"יח"</f>
        <v>יח</v>
      </c>
      <c r="P1046">
        <v>261.88</v>
      </c>
      <c r="Q1046" t="str">
        <f>"$"</f>
        <v>$</v>
      </c>
      <c r="R1046" t="str">
        <f>"הזמנה"</f>
        <v>הזמנה</v>
      </c>
      <c r="S1046">
        <v>0</v>
      </c>
      <c r="T1046">
        <v>-261.88</v>
      </c>
      <c r="U1046">
        <v>0</v>
      </c>
      <c r="V1046">
        <v>-261.88</v>
      </c>
      <c r="W1046" t="str">
        <f>"$"</f>
        <v>$</v>
      </c>
      <c r="X1046">
        <v>0</v>
      </c>
      <c r="Y1046">
        <v>0</v>
      </c>
      <c r="Z1046">
        <v>0</v>
      </c>
      <c r="AA1046" t="str">
        <f>"Y"</f>
        <v>Y</v>
      </c>
      <c r="AC1046">
        <v>0</v>
      </c>
      <c r="AM1046" t="str">
        <f>"10"</f>
        <v>10</v>
      </c>
      <c r="AN1046" t="str">
        <f>"500000"</f>
        <v>500000</v>
      </c>
      <c r="AO1046" t="str">
        <f>"הכנסות  מלקוחות"</f>
        <v>הכנסות  מלקוחות</v>
      </c>
      <c r="AQ1046" t="str">
        <f>"040"</f>
        <v>040</v>
      </c>
      <c r="AR1046">
        <v>0</v>
      </c>
      <c r="AS1046">
        <v>0</v>
      </c>
      <c r="AT1046">
        <v>3.3809999999999998</v>
      </c>
      <c r="BB1046" t="str">
        <f>"Y"</f>
        <v>Y</v>
      </c>
      <c r="BD1046" t="str">
        <f>"רחמים זרוק"</f>
        <v>רחמים זרוק</v>
      </c>
    </row>
    <row r="1047" spans="1:56" x14ac:dyDescent="0.3">
      <c r="A1047" s="1">
        <v>44950</v>
      </c>
      <c r="B1047" t="str">
        <f>"SI236000070"</f>
        <v>SI236000070</v>
      </c>
      <c r="C1047" t="str">
        <f>"PR23000038"</f>
        <v>PR23000038</v>
      </c>
      <c r="E1047" t="str">
        <f>"Y"</f>
        <v>Y</v>
      </c>
      <c r="F1047" t="str">
        <f>"חשבוניות מרכזות"</f>
        <v>חשבוניות מרכזות</v>
      </c>
      <c r="G1047" t="str">
        <f>"700065"</f>
        <v>700065</v>
      </c>
      <c r="H1047" t="str">
        <f>"אלתא מערכות בע""מ"</f>
        <v>אלתא מערכות בע"מ</v>
      </c>
      <c r="I1047" t="str">
        <f>"10"</f>
        <v>10</v>
      </c>
      <c r="J1047" t="str">
        <f>"OP-AR03167"</f>
        <v>OP-AR03167</v>
      </c>
      <c r="K1047" t="str">
        <f>"1025M237-001   WA357 PWR FOR ANTI COLLISION LIGHT"</f>
        <v>1025M237-001   WA357 PWR FOR ANTI COLLISION LIGHT</v>
      </c>
      <c r="L1047">
        <v>-2</v>
      </c>
      <c r="M1047" t="str">
        <f>"יח"</f>
        <v>יח</v>
      </c>
      <c r="N1047">
        <v>-2</v>
      </c>
      <c r="O1047" t="str">
        <f>"יח"</f>
        <v>יח</v>
      </c>
      <c r="P1047">
        <v>102.35</v>
      </c>
      <c r="Q1047" t="str">
        <f>"$"</f>
        <v>$</v>
      </c>
      <c r="R1047" t="str">
        <f>"הזמנה"</f>
        <v>הזמנה</v>
      </c>
      <c r="S1047">
        <v>0</v>
      </c>
      <c r="T1047">
        <v>-204.7</v>
      </c>
      <c r="U1047">
        <v>0</v>
      </c>
      <c r="V1047">
        <v>-204.7</v>
      </c>
      <c r="W1047" t="str">
        <f>"$"</f>
        <v>$</v>
      </c>
      <c r="X1047">
        <v>0</v>
      </c>
      <c r="Y1047">
        <v>0</v>
      </c>
      <c r="Z1047">
        <v>0</v>
      </c>
      <c r="AA1047" t="str">
        <f>"Y"</f>
        <v>Y</v>
      </c>
      <c r="AC1047">
        <v>0</v>
      </c>
      <c r="AM1047" t="str">
        <f>"10"</f>
        <v>10</v>
      </c>
      <c r="AN1047" t="str">
        <f>"500000"</f>
        <v>500000</v>
      </c>
      <c r="AO1047" t="str">
        <f>"הכנסות  מלקוחות"</f>
        <v>הכנסות  מלקוחות</v>
      </c>
      <c r="AQ1047" t="str">
        <f>"040"</f>
        <v>040</v>
      </c>
      <c r="AR1047">
        <v>0</v>
      </c>
      <c r="AS1047">
        <v>0</v>
      </c>
      <c r="AT1047">
        <v>3.407</v>
      </c>
      <c r="BB1047" t="str">
        <f>"Y"</f>
        <v>Y</v>
      </c>
      <c r="BD1047" t="str">
        <f>"רחמים זרוק"</f>
        <v>רחמים זרוק</v>
      </c>
    </row>
    <row r="1048" spans="1:56" x14ac:dyDescent="0.3">
      <c r="A1048" s="1">
        <v>44950</v>
      </c>
      <c r="B1048" t="str">
        <f>"SI236000068"</f>
        <v>SI236000068</v>
      </c>
      <c r="C1048" t="str">
        <f>"PR22000459"</f>
        <v>PR22000459</v>
      </c>
      <c r="E1048" t="str">
        <f>"Y"</f>
        <v>Y</v>
      </c>
      <c r="F1048" t="str">
        <f>"חשבוניות מרכזות"</f>
        <v>חשבוניות מרכזות</v>
      </c>
      <c r="G1048" t="str">
        <f>"700065"</f>
        <v>700065</v>
      </c>
      <c r="H1048" t="str">
        <f>"אלתא מערכות בע""מ"</f>
        <v>אלתא מערכות בע"מ</v>
      </c>
      <c r="I1048" t="str">
        <f>"10"</f>
        <v>10</v>
      </c>
      <c r="J1048" t="str">
        <f>"OP-AR01937"</f>
        <v>OP-AR01937</v>
      </c>
      <c r="K1048" t="str">
        <f>"1023B599-001  WV099 ELEVATION AXIS WARING SWIT"</f>
        <v>1023B599-001  WV099 ELEVATION AXIS WARING SWIT</v>
      </c>
      <c r="L1048">
        <v>-2</v>
      </c>
      <c r="M1048" t="str">
        <f>"יח"</f>
        <v>יח</v>
      </c>
      <c r="N1048">
        <v>-2</v>
      </c>
      <c r="O1048" t="str">
        <f>"יח"</f>
        <v>יח</v>
      </c>
      <c r="P1048" s="2">
        <v>1101.68</v>
      </c>
      <c r="Q1048" t="str">
        <f>"$"</f>
        <v>$</v>
      </c>
      <c r="R1048" t="str">
        <f>"הזמנה"</f>
        <v>הזמנה</v>
      </c>
      <c r="S1048">
        <v>0</v>
      </c>
      <c r="T1048" s="2">
        <v>-2203.36</v>
      </c>
      <c r="U1048">
        <v>0</v>
      </c>
      <c r="V1048" s="2">
        <v>-2203.36</v>
      </c>
      <c r="W1048" t="str">
        <f>"$"</f>
        <v>$</v>
      </c>
      <c r="X1048">
        <v>0</v>
      </c>
      <c r="Y1048">
        <v>0</v>
      </c>
      <c r="Z1048">
        <v>0</v>
      </c>
      <c r="AA1048" t="str">
        <f>"Y"</f>
        <v>Y</v>
      </c>
      <c r="AC1048">
        <v>0</v>
      </c>
      <c r="AM1048" t="str">
        <f>"10"</f>
        <v>10</v>
      </c>
      <c r="AN1048" t="str">
        <f>"500000"</f>
        <v>500000</v>
      </c>
      <c r="AO1048" t="str">
        <f>"הכנסות  מלקוחות"</f>
        <v>הכנסות  מלקוחות</v>
      </c>
      <c r="AQ1048" t="str">
        <f>"040"</f>
        <v>040</v>
      </c>
      <c r="AR1048">
        <v>0</v>
      </c>
      <c r="AS1048">
        <v>0</v>
      </c>
      <c r="AT1048">
        <v>3.3809999999999998</v>
      </c>
      <c r="BB1048" t="str">
        <f>"Y"</f>
        <v>Y</v>
      </c>
      <c r="BD1048" t="str">
        <f>"רחמים זרוק"</f>
        <v>רחמים זרוק</v>
      </c>
    </row>
    <row r="1049" spans="1:56" x14ac:dyDescent="0.3">
      <c r="A1049" s="1">
        <v>44950</v>
      </c>
      <c r="B1049" t="str">
        <f>"SI236000067"</f>
        <v>SI236000067</v>
      </c>
      <c r="C1049" t="str">
        <f>"PR22000459"</f>
        <v>PR22000459</v>
      </c>
      <c r="E1049" t="str">
        <f>"Y"</f>
        <v>Y</v>
      </c>
      <c r="F1049" t="str">
        <f>"חשבוניות מרכזות"</f>
        <v>חשבוניות מרכזות</v>
      </c>
      <c r="G1049" t="str">
        <f>"700065"</f>
        <v>700065</v>
      </c>
      <c r="H1049" t="str">
        <f>"אלתא מערכות בע""מ"</f>
        <v>אלתא מערכות בע"מ</v>
      </c>
      <c r="I1049" t="str">
        <f>"10"</f>
        <v>10</v>
      </c>
      <c r="J1049" t="str">
        <f>"OP-AR03185"</f>
        <v>OP-AR03185</v>
      </c>
      <c r="K1049" t="str">
        <f>"1038N297-001   GROUND CABLE WN297 - ROD TO PALLET CHASS"</f>
        <v>1038N297-001   GROUND CABLE WN297 - ROD TO PALLET CHASS</v>
      </c>
      <c r="L1049">
        <v>1</v>
      </c>
      <c r="M1049" t="str">
        <f>"יח"</f>
        <v>יח</v>
      </c>
      <c r="N1049">
        <v>1</v>
      </c>
      <c r="O1049" t="str">
        <f>"יח"</f>
        <v>יח</v>
      </c>
      <c r="P1049">
        <v>261.88</v>
      </c>
      <c r="Q1049" t="str">
        <f>"$"</f>
        <v>$</v>
      </c>
      <c r="R1049" t="str">
        <f>"הזמנה"</f>
        <v>הזמנה</v>
      </c>
      <c r="S1049">
        <v>0</v>
      </c>
      <c r="T1049">
        <v>261.88</v>
      </c>
      <c r="U1049">
        <v>0</v>
      </c>
      <c r="V1049">
        <v>261.88</v>
      </c>
      <c r="W1049" t="str">
        <f>"$"</f>
        <v>$</v>
      </c>
      <c r="X1049">
        <v>0</v>
      </c>
      <c r="Y1049">
        <v>0</v>
      </c>
      <c r="Z1049">
        <v>0</v>
      </c>
      <c r="AA1049" t="str">
        <f>"Y"</f>
        <v>Y</v>
      </c>
      <c r="AC1049">
        <v>0</v>
      </c>
      <c r="AM1049" t="str">
        <f>"10"</f>
        <v>10</v>
      </c>
      <c r="AN1049" t="str">
        <f>"500000"</f>
        <v>500000</v>
      </c>
      <c r="AO1049" t="str">
        <f>"הכנסות  מלקוחות"</f>
        <v>הכנסות  מלקוחות</v>
      </c>
      <c r="AQ1049" t="str">
        <f>"040"</f>
        <v>040</v>
      </c>
      <c r="AR1049">
        <v>0</v>
      </c>
      <c r="AS1049">
        <v>0</v>
      </c>
      <c r="AT1049">
        <v>3.3809999999999998</v>
      </c>
      <c r="BB1049" t="str">
        <f>"Y"</f>
        <v>Y</v>
      </c>
      <c r="BD1049" t="str">
        <f>"רחמים זרוק"</f>
        <v>רחמים זרוק</v>
      </c>
    </row>
    <row r="1050" spans="1:56" x14ac:dyDescent="0.3">
      <c r="A1050" s="1">
        <v>44950</v>
      </c>
      <c r="B1050" t="str">
        <f>"SI236000066"</f>
        <v>SI236000066</v>
      </c>
      <c r="C1050" t="str">
        <f>"PR22000445"</f>
        <v>PR22000445</v>
      </c>
      <c r="E1050" t="str">
        <f>"Y"</f>
        <v>Y</v>
      </c>
      <c r="F1050" t="str">
        <f>"חשבוניות מרכזות"</f>
        <v>חשבוניות מרכזות</v>
      </c>
      <c r="G1050" t="str">
        <f>"700065"</f>
        <v>700065</v>
      </c>
      <c r="H1050" t="str">
        <f>"אלתא מערכות בע""מ"</f>
        <v>אלתא מערכות בע"מ</v>
      </c>
      <c r="I1050" t="str">
        <f>"10"</f>
        <v>10</v>
      </c>
      <c r="J1050" t="str">
        <f>"OP-AR03162"</f>
        <v>OP-AR03162</v>
      </c>
      <c r="K1050" t="str">
        <f>"1018U224-001   HARNESS WD002 - DS RCS TO EPRCU/S"</f>
        <v>1018U224-001   HARNESS WD002 - DS RCS TO EPRCU/S</v>
      </c>
      <c r="L1050">
        <v>1</v>
      </c>
      <c r="M1050" t="str">
        <f>"יח"</f>
        <v>יח</v>
      </c>
      <c r="N1050">
        <v>1</v>
      </c>
      <c r="O1050" t="str">
        <f>"יח"</f>
        <v>יח</v>
      </c>
      <c r="P1050">
        <v>920.05</v>
      </c>
      <c r="Q1050" t="str">
        <f>"$"</f>
        <v>$</v>
      </c>
      <c r="R1050" t="str">
        <f>"הזמנה"</f>
        <v>הזמנה</v>
      </c>
      <c r="S1050">
        <v>0</v>
      </c>
      <c r="T1050">
        <v>920.05</v>
      </c>
      <c r="U1050">
        <v>0</v>
      </c>
      <c r="V1050">
        <v>920.05</v>
      </c>
      <c r="W1050" t="str">
        <f>"$"</f>
        <v>$</v>
      </c>
      <c r="X1050">
        <v>0</v>
      </c>
      <c r="Y1050">
        <v>0</v>
      </c>
      <c r="Z1050">
        <v>0</v>
      </c>
      <c r="AA1050" t="str">
        <f>"Y"</f>
        <v>Y</v>
      </c>
      <c r="AB1050" t="str">
        <f>"SO22000221"</f>
        <v>SO22000221</v>
      </c>
      <c r="AC1050">
        <v>2</v>
      </c>
      <c r="AD1050" s="1">
        <v>44720</v>
      </c>
      <c r="AE1050" t="str">
        <f>"SH23000074"</f>
        <v>SH23000074</v>
      </c>
      <c r="AF1050" t="str">
        <f>"משלוחים ללקוח"</f>
        <v>משלוחים ללקוח</v>
      </c>
      <c r="AG1050" s="1">
        <v>44942</v>
      </c>
      <c r="AM1050" t="str">
        <f>"10"</f>
        <v>10</v>
      </c>
      <c r="AN1050" t="str">
        <f>"500000"</f>
        <v>500000</v>
      </c>
      <c r="AO1050" t="str">
        <f>"הכנסות  מלקוחות"</f>
        <v>הכנסות  מלקוחות</v>
      </c>
      <c r="AQ1050" t="str">
        <f>"034"</f>
        <v>034</v>
      </c>
      <c r="AR1050">
        <v>0</v>
      </c>
      <c r="AS1050">
        <v>0</v>
      </c>
      <c r="AT1050">
        <v>3.3809999999999998</v>
      </c>
      <c r="AX1050" t="str">
        <f>"E000364016"</f>
        <v>E000364016</v>
      </c>
      <c r="BD1050" t="str">
        <f>"ערן שלו"</f>
        <v>ערן שלו</v>
      </c>
    </row>
    <row r="1051" spans="1:56" x14ac:dyDescent="0.3">
      <c r="A1051" s="1">
        <v>44950</v>
      </c>
      <c r="B1051" t="str">
        <f>"SI236000065"</f>
        <v>SI236000065</v>
      </c>
      <c r="C1051" t="str">
        <f>"PR22000316"</f>
        <v>PR22000316</v>
      </c>
      <c r="E1051" t="str">
        <f>"Y"</f>
        <v>Y</v>
      </c>
      <c r="F1051" t="str">
        <f>"חשבוניות מרכזות"</f>
        <v>חשבוניות מרכזות</v>
      </c>
      <c r="G1051" t="str">
        <f>"700065"</f>
        <v>700065</v>
      </c>
      <c r="H1051" t="str">
        <f>"אלתא מערכות בע""מ"</f>
        <v>אלתא מערכות בע"מ</v>
      </c>
      <c r="I1051" t="str">
        <f>"10"</f>
        <v>10</v>
      </c>
      <c r="J1051" t="str">
        <f>"OP-AR03049"</f>
        <v>OP-AR03049</v>
      </c>
      <c r="K1051" t="str">
        <f>"1023M216-002    CABLE ASSY W202"</f>
        <v>1023M216-002    CABLE ASSY W202</v>
      </c>
      <c r="L1051">
        <v>11</v>
      </c>
      <c r="M1051" t="str">
        <f>"יח"</f>
        <v>יח</v>
      </c>
      <c r="N1051">
        <v>11</v>
      </c>
      <c r="O1051" t="str">
        <f>"יח"</f>
        <v>יח</v>
      </c>
      <c r="P1051" s="2">
        <v>1423.84</v>
      </c>
      <c r="Q1051" t="str">
        <f>"$"</f>
        <v>$</v>
      </c>
      <c r="R1051" t="str">
        <f>"הזמנה"</f>
        <v>הזמנה</v>
      </c>
      <c r="S1051">
        <v>0</v>
      </c>
      <c r="T1051" s="2">
        <v>15662.24</v>
      </c>
      <c r="U1051">
        <v>0</v>
      </c>
      <c r="V1051" s="2">
        <v>15662.24</v>
      </c>
      <c r="W1051" t="str">
        <f>"$"</f>
        <v>$</v>
      </c>
      <c r="X1051">
        <v>0</v>
      </c>
      <c r="Y1051">
        <v>0</v>
      </c>
      <c r="Z1051">
        <v>0</v>
      </c>
      <c r="AA1051" t="str">
        <f>"Y"</f>
        <v>Y</v>
      </c>
      <c r="AC1051">
        <v>0</v>
      </c>
      <c r="AM1051" t="str">
        <f>"10"</f>
        <v>10</v>
      </c>
      <c r="AN1051" t="str">
        <f>"500000"</f>
        <v>500000</v>
      </c>
      <c r="AO1051" t="str">
        <f>"הכנסות  מלקוחות"</f>
        <v>הכנסות  מלקוחות</v>
      </c>
      <c r="AQ1051" t="str">
        <f>"040"</f>
        <v>040</v>
      </c>
      <c r="AR1051">
        <v>0</v>
      </c>
      <c r="AS1051">
        <v>0</v>
      </c>
      <c r="AT1051">
        <v>3.3809999999999998</v>
      </c>
      <c r="BB1051" t="str">
        <f>"Y"</f>
        <v>Y</v>
      </c>
      <c r="BD1051" t="str">
        <f>"רחמים זרוק"</f>
        <v>רחמים זרוק</v>
      </c>
    </row>
    <row r="1052" spans="1:56" x14ac:dyDescent="0.3">
      <c r="A1052" s="1">
        <v>44950</v>
      </c>
      <c r="B1052" t="str">
        <f>"SI236000065"</f>
        <v>SI236000065</v>
      </c>
      <c r="C1052" t="str">
        <f>"PR22000316"</f>
        <v>PR22000316</v>
      </c>
      <c r="E1052" t="str">
        <f>"Y"</f>
        <v>Y</v>
      </c>
      <c r="F1052" t="str">
        <f>"חשבוניות מרכזות"</f>
        <v>חשבוניות מרכזות</v>
      </c>
      <c r="G1052" t="str">
        <f>"700065"</f>
        <v>700065</v>
      </c>
      <c r="H1052" t="str">
        <f>"אלתא מערכות בע""מ"</f>
        <v>אלתא מערכות בע"מ</v>
      </c>
      <c r="I1052" t="str">
        <f>"10"</f>
        <v>10</v>
      </c>
      <c r="J1052" t="str">
        <f>"OP-AR03050"</f>
        <v>OP-AR03050</v>
      </c>
      <c r="K1052" t="str">
        <f>"1023M218-001    CABLE ASSY W201"</f>
        <v>1023M218-001    CABLE ASSY W201</v>
      </c>
      <c r="L1052">
        <v>22</v>
      </c>
      <c r="M1052" t="str">
        <f>"יח"</f>
        <v>יח</v>
      </c>
      <c r="N1052">
        <v>22</v>
      </c>
      <c r="O1052" t="str">
        <f>"יח"</f>
        <v>יח</v>
      </c>
      <c r="P1052">
        <v>628.54</v>
      </c>
      <c r="Q1052" t="str">
        <f>"$"</f>
        <v>$</v>
      </c>
      <c r="R1052" t="str">
        <f>"הזמנה"</f>
        <v>הזמנה</v>
      </c>
      <c r="S1052">
        <v>0</v>
      </c>
      <c r="T1052" s="2">
        <v>13827.88</v>
      </c>
      <c r="U1052">
        <v>0</v>
      </c>
      <c r="V1052" s="2">
        <v>13827.88</v>
      </c>
      <c r="W1052" t="str">
        <f>"$"</f>
        <v>$</v>
      </c>
      <c r="X1052">
        <v>0</v>
      </c>
      <c r="Y1052">
        <v>0</v>
      </c>
      <c r="Z1052">
        <v>0</v>
      </c>
      <c r="AA1052" t="str">
        <f>"Y"</f>
        <v>Y</v>
      </c>
      <c r="AC1052">
        <v>0</v>
      </c>
      <c r="AM1052" t="str">
        <f>"10"</f>
        <v>10</v>
      </c>
      <c r="AN1052" t="str">
        <f>"500000"</f>
        <v>500000</v>
      </c>
      <c r="AO1052" t="str">
        <f>"הכנסות  מלקוחות"</f>
        <v>הכנסות  מלקוחות</v>
      </c>
      <c r="AQ1052" t="str">
        <f>"040"</f>
        <v>040</v>
      </c>
      <c r="AR1052">
        <v>0</v>
      </c>
      <c r="AS1052">
        <v>0</v>
      </c>
      <c r="AT1052">
        <v>3.3809999999999998</v>
      </c>
      <c r="BB1052" t="str">
        <f>"Y"</f>
        <v>Y</v>
      </c>
      <c r="BD1052" t="str">
        <f>"רחמים זרוק"</f>
        <v>רחמים זרוק</v>
      </c>
    </row>
    <row r="1053" spans="1:56" x14ac:dyDescent="0.3">
      <c r="A1053" s="1">
        <v>44950</v>
      </c>
      <c r="B1053" t="str">
        <f>"SI236000064"</f>
        <v>SI236000064</v>
      </c>
      <c r="C1053" t="str">
        <f>"PR22000483"</f>
        <v>PR22000483</v>
      </c>
      <c r="E1053" t="str">
        <f>"Y"</f>
        <v>Y</v>
      </c>
      <c r="F1053" t="str">
        <f>"חשבוניות מרכזות"</f>
        <v>חשבוניות מרכזות</v>
      </c>
      <c r="G1053" t="str">
        <f>"700065"</f>
        <v>700065</v>
      </c>
      <c r="H1053" t="str">
        <f>"אלתא מערכות בע""מ"</f>
        <v>אלתא מערכות בע"מ</v>
      </c>
      <c r="I1053" t="str">
        <f>"10"</f>
        <v>10</v>
      </c>
      <c r="J1053" t="str">
        <f>"OP-AR03208"</f>
        <v>OP-AR03208</v>
      </c>
      <c r="K1053" t="str">
        <f>"1096H331-001     DC HARNESS TRA (W1)"</f>
        <v>1096H331-001     DC HARNESS TRA (W1)</v>
      </c>
      <c r="L1053">
        <v>16</v>
      </c>
      <c r="M1053" t="str">
        <f>"יח"</f>
        <v>יח</v>
      </c>
      <c r="N1053">
        <v>16</v>
      </c>
      <c r="O1053" t="str">
        <f>"יח"</f>
        <v>יח</v>
      </c>
      <c r="P1053">
        <v>833.5</v>
      </c>
      <c r="Q1053" t="str">
        <f>"$"</f>
        <v>$</v>
      </c>
      <c r="R1053" t="str">
        <f>"הזמנה"</f>
        <v>הזמנה</v>
      </c>
      <c r="S1053">
        <v>0</v>
      </c>
      <c r="T1053" s="2">
        <v>13336</v>
      </c>
      <c r="U1053">
        <v>0</v>
      </c>
      <c r="V1053" s="2">
        <v>13336</v>
      </c>
      <c r="W1053" t="str">
        <f>"$"</f>
        <v>$</v>
      </c>
      <c r="X1053">
        <v>0</v>
      </c>
      <c r="Y1053">
        <v>0</v>
      </c>
      <c r="Z1053">
        <v>0</v>
      </c>
      <c r="AA1053" t="str">
        <f>"Y"</f>
        <v>Y</v>
      </c>
      <c r="AC1053">
        <v>0</v>
      </c>
      <c r="AM1053" t="str">
        <f>"10"</f>
        <v>10</v>
      </c>
      <c r="AN1053" t="str">
        <f>"500000"</f>
        <v>500000</v>
      </c>
      <c r="AO1053" t="str">
        <f>"הכנסות  מלקוחות"</f>
        <v>הכנסות  מלקוחות</v>
      </c>
      <c r="AQ1053" t="str">
        <f>"040"</f>
        <v>040</v>
      </c>
      <c r="AR1053">
        <v>0</v>
      </c>
      <c r="AS1053">
        <v>0</v>
      </c>
      <c r="AT1053">
        <v>3.3809999999999998</v>
      </c>
      <c r="BB1053" t="str">
        <f>"Y"</f>
        <v>Y</v>
      </c>
      <c r="BD1053" t="str">
        <f>"רחמים זרוק"</f>
        <v>רחמים זרוק</v>
      </c>
    </row>
    <row r="1054" spans="1:56" x14ac:dyDescent="0.3">
      <c r="A1054" s="1">
        <v>44950</v>
      </c>
      <c r="B1054" t="str">
        <f>"SI236000063"</f>
        <v>SI236000063</v>
      </c>
      <c r="C1054" t="str">
        <f>"PR22000579"</f>
        <v>PR22000579</v>
      </c>
      <c r="E1054" t="str">
        <f>"Y"</f>
        <v>Y</v>
      </c>
      <c r="F1054" t="str">
        <f>"חשבוניות מרכזות"</f>
        <v>חשבוניות מרכזות</v>
      </c>
      <c r="G1054" t="str">
        <f>"700065"</f>
        <v>700065</v>
      </c>
      <c r="H1054" t="str">
        <f>"אלתא מערכות בע""מ"</f>
        <v>אלתא מערכות בע"מ</v>
      </c>
      <c r="I1054" t="str">
        <f>"10"</f>
        <v>10</v>
      </c>
      <c r="J1054" t="str">
        <f>"OP-AR01674"</f>
        <v>OP-AR01674</v>
      </c>
      <c r="K1054" t="str">
        <f>"6649E322-001 W1292"</f>
        <v>6649E322-001 W1292</v>
      </c>
      <c r="L1054">
        <v>1</v>
      </c>
      <c r="M1054" t="str">
        <f>"יח"</f>
        <v>יח</v>
      </c>
      <c r="N1054">
        <v>1</v>
      </c>
      <c r="O1054" t="str">
        <f>"יח"</f>
        <v>יח</v>
      </c>
      <c r="P1054">
        <v>485.22</v>
      </c>
      <c r="Q1054" t="str">
        <f>"$"</f>
        <v>$</v>
      </c>
      <c r="R1054" t="str">
        <f>"הזמנה"</f>
        <v>הזמנה</v>
      </c>
      <c r="S1054">
        <v>0</v>
      </c>
      <c r="T1054">
        <v>485.22</v>
      </c>
      <c r="U1054">
        <v>0</v>
      </c>
      <c r="V1054">
        <v>485.22</v>
      </c>
      <c r="W1054" t="str">
        <f>"$"</f>
        <v>$</v>
      </c>
      <c r="X1054">
        <v>0</v>
      </c>
      <c r="Y1054">
        <v>0</v>
      </c>
      <c r="Z1054">
        <v>0</v>
      </c>
      <c r="AA1054" t="str">
        <f>"Y"</f>
        <v>Y</v>
      </c>
      <c r="AC1054">
        <v>0</v>
      </c>
      <c r="AM1054" t="str">
        <f>"10"</f>
        <v>10</v>
      </c>
      <c r="AN1054" t="str">
        <f>"500000"</f>
        <v>500000</v>
      </c>
      <c r="AO1054" t="str">
        <f>"הכנסות  מלקוחות"</f>
        <v>הכנסות  מלקוחות</v>
      </c>
      <c r="AQ1054" t="str">
        <f>"040"</f>
        <v>040</v>
      </c>
      <c r="AR1054">
        <v>0</v>
      </c>
      <c r="AS1054">
        <v>0</v>
      </c>
      <c r="AT1054">
        <v>3.3809999999999998</v>
      </c>
      <c r="BB1054" t="str">
        <f>"Y"</f>
        <v>Y</v>
      </c>
      <c r="BD1054" t="str">
        <f>"רחמים זרוק"</f>
        <v>רחמים זרוק</v>
      </c>
    </row>
    <row r="1055" spans="1:56" x14ac:dyDescent="0.3">
      <c r="A1055" s="1">
        <v>44950</v>
      </c>
      <c r="B1055" t="str">
        <f>"SI236000062"</f>
        <v>SI236000062</v>
      </c>
      <c r="C1055" t="str">
        <f>"PR22000607"</f>
        <v>PR22000607</v>
      </c>
      <c r="E1055" t="str">
        <f>"Y"</f>
        <v>Y</v>
      </c>
      <c r="F1055" t="str">
        <f>"חשבוניות מרכזות"</f>
        <v>חשבוניות מרכזות</v>
      </c>
      <c r="G1055" t="str">
        <f>"700065"</f>
        <v>700065</v>
      </c>
      <c r="H1055" t="str">
        <f>"אלתא מערכות בע""מ"</f>
        <v>אלתא מערכות בע"מ</v>
      </c>
      <c r="I1055" t="str">
        <f>"10"</f>
        <v>10</v>
      </c>
      <c r="J1055" t="str">
        <f>"OP-AR03327"</f>
        <v>OP-AR03327</v>
      </c>
      <c r="K1055" t="str">
        <f>"2223B638-001    ELM2054-ATE UUTJ2 TO CHAMBER J5"</f>
        <v>2223B638-001    ELM2054-ATE UUTJ2 TO CHAMBER J5</v>
      </c>
      <c r="L1055">
        <v>3</v>
      </c>
      <c r="M1055" t="str">
        <f>"יח"</f>
        <v>יח</v>
      </c>
      <c r="N1055">
        <v>3</v>
      </c>
      <c r="O1055" t="str">
        <f>"יח"</f>
        <v>יח</v>
      </c>
      <c r="P1055">
        <v>473.5</v>
      </c>
      <c r="Q1055" t="str">
        <f>"$"</f>
        <v>$</v>
      </c>
      <c r="R1055" t="str">
        <f>"הזמנה"</f>
        <v>הזמנה</v>
      </c>
      <c r="S1055">
        <v>0</v>
      </c>
      <c r="T1055" s="2">
        <v>1420.5</v>
      </c>
      <c r="U1055">
        <v>0</v>
      </c>
      <c r="V1055" s="2">
        <v>1420.5</v>
      </c>
      <c r="W1055" t="str">
        <f>"$"</f>
        <v>$</v>
      </c>
      <c r="X1055">
        <v>0</v>
      </c>
      <c r="Y1055">
        <v>0</v>
      </c>
      <c r="Z1055">
        <v>0</v>
      </c>
      <c r="AA1055" t="str">
        <f>"Y"</f>
        <v>Y</v>
      </c>
      <c r="AC1055">
        <v>0</v>
      </c>
      <c r="AM1055" t="str">
        <f>"10"</f>
        <v>10</v>
      </c>
      <c r="AN1055" t="str">
        <f>"500000"</f>
        <v>500000</v>
      </c>
      <c r="AO1055" t="str">
        <f>"הכנסות  מלקוחות"</f>
        <v>הכנסות  מלקוחות</v>
      </c>
      <c r="AQ1055" t="str">
        <f>"040"</f>
        <v>040</v>
      </c>
      <c r="AR1055">
        <v>0</v>
      </c>
      <c r="AS1055">
        <v>0</v>
      </c>
      <c r="AT1055">
        <v>3.3809999999999998</v>
      </c>
      <c r="BB1055" t="str">
        <f>"Y"</f>
        <v>Y</v>
      </c>
      <c r="BD1055" t="str">
        <f>"רחמים זרוק"</f>
        <v>רחמים זרוק</v>
      </c>
    </row>
    <row r="1056" spans="1:56" x14ac:dyDescent="0.3">
      <c r="A1056" s="1">
        <v>44950</v>
      </c>
      <c r="B1056" t="str">
        <f>"SI236000061"</f>
        <v>SI236000061</v>
      </c>
      <c r="C1056" t="str">
        <f>"PR22000602"</f>
        <v>PR22000602</v>
      </c>
      <c r="E1056" t="str">
        <f>"Y"</f>
        <v>Y</v>
      </c>
      <c r="F1056" t="str">
        <f>"חשבוניות מרכזות"</f>
        <v>חשבוניות מרכזות</v>
      </c>
      <c r="G1056" t="str">
        <f>"700065"</f>
        <v>700065</v>
      </c>
      <c r="H1056" t="str">
        <f>"אלתא מערכות בע""מ"</f>
        <v>אלתא מערכות בע"מ</v>
      </c>
      <c r="I1056" t="str">
        <f>"10"</f>
        <v>10</v>
      </c>
      <c r="J1056" t="str">
        <f>"CB1100227"</f>
        <v>CB1100227</v>
      </c>
      <c r="K1056" t="str">
        <f>"AC SUPPLY CONTROL BOX 230V FEED CABLE"</f>
        <v>AC SUPPLY CONTROL BOX 230V FEED CABLE</v>
      </c>
      <c r="L1056">
        <v>2</v>
      </c>
      <c r="M1056" t="str">
        <f>"יח"</f>
        <v>יח</v>
      </c>
      <c r="N1056">
        <v>2</v>
      </c>
      <c r="O1056" t="str">
        <f>"יח"</f>
        <v>יח</v>
      </c>
      <c r="P1056">
        <v>578</v>
      </c>
      <c r="Q1056" t="str">
        <f>"$"</f>
        <v>$</v>
      </c>
      <c r="R1056" t="str">
        <f>"הזמנה"</f>
        <v>הזמנה</v>
      </c>
      <c r="S1056">
        <v>0</v>
      </c>
      <c r="T1056" s="2">
        <v>1156</v>
      </c>
      <c r="U1056">
        <v>0</v>
      </c>
      <c r="V1056" s="2">
        <v>1156</v>
      </c>
      <c r="W1056" t="str">
        <f>"$"</f>
        <v>$</v>
      </c>
      <c r="X1056">
        <v>0</v>
      </c>
      <c r="Y1056">
        <v>0</v>
      </c>
      <c r="Z1056">
        <v>0</v>
      </c>
      <c r="AA1056" t="str">
        <f>"Y"</f>
        <v>Y</v>
      </c>
      <c r="AC1056">
        <v>0</v>
      </c>
      <c r="AM1056" t="str">
        <f>"10"</f>
        <v>10</v>
      </c>
      <c r="AN1056" t="str">
        <f>"500000"</f>
        <v>500000</v>
      </c>
      <c r="AO1056" t="str">
        <f>"הכנסות  מלקוחות"</f>
        <v>הכנסות  מלקוחות</v>
      </c>
      <c r="AQ1056" t="str">
        <f>"040"</f>
        <v>040</v>
      </c>
      <c r="AR1056">
        <v>0</v>
      </c>
      <c r="AS1056">
        <v>0</v>
      </c>
      <c r="AT1056">
        <v>3.407</v>
      </c>
      <c r="BB1056" t="str">
        <f>"Y"</f>
        <v>Y</v>
      </c>
      <c r="BD1056" t="str">
        <f>"רחמים זרוק"</f>
        <v>רחמים זרוק</v>
      </c>
    </row>
    <row r="1057" spans="1:56" x14ac:dyDescent="0.3">
      <c r="A1057" s="1">
        <v>44950</v>
      </c>
      <c r="B1057" t="str">
        <f>"SI236000060"</f>
        <v>SI236000060</v>
      </c>
      <c r="C1057" t="str">
        <f>"PR22000459"</f>
        <v>PR22000459</v>
      </c>
      <c r="E1057" t="str">
        <f>"Y"</f>
        <v>Y</v>
      </c>
      <c r="F1057" t="str">
        <f>"חשבוניות מרכזות"</f>
        <v>חשבוניות מרכזות</v>
      </c>
      <c r="G1057" t="str">
        <f>"700065"</f>
        <v>700065</v>
      </c>
      <c r="H1057" t="str">
        <f>"אלתא מערכות בע""מ"</f>
        <v>אלתא מערכות בע"מ</v>
      </c>
      <c r="I1057" t="str">
        <f>"10"</f>
        <v>10</v>
      </c>
      <c r="J1057" t="str">
        <f>"OP-AR01937"</f>
        <v>OP-AR01937</v>
      </c>
      <c r="K1057" t="str">
        <f>"1023B599-001  WV099 ELEVATION AXIS WARING SWIT"</f>
        <v>1023B599-001  WV099 ELEVATION AXIS WARING SWIT</v>
      </c>
      <c r="L1057">
        <v>2</v>
      </c>
      <c r="M1057" t="str">
        <f>"יח"</f>
        <v>יח</v>
      </c>
      <c r="N1057">
        <v>2</v>
      </c>
      <c r="O1057" t="str">
        <f>"יח"</f>
        <v>יח</v>
      </c>
      <c r="P1057" s="2">
        <v>1101.68</v>
      </c>
      <c r="Q1057" t="str">
        <f>"$"</f>
        <v>$</v>
      </c>
      <c r="R1057" t="str">
        <f>"הזמנה"</f>
        <v>הזמנה</v>
      </c>
      <c r="S1057">
        <v>0</v>
      </c>
      <c r="T1057" s="2">
        <v>2203.36</v>
      </c>
      <c r="U1057">
        <v>0</v>
      </c>
      <c r="V1057" s="2">
        <v>2203.36</v>
      </c>
      <c r="W1057" t="str">
        <f>"$"</f>
        <v>$</v>
      </c>
      <c r="X1057">
        <v>0</v>
      </c>
      <c r="Y1057">
        <v>0</v>
      </c>
      <c r="Z1057">
        <v>0</v>
      </c>
      <c r="AA1057" t="str">
        <f>"Y"</f>
        <v>Y</v>
      </c>
      <c r="AC1057">
        <v>0</v>
      </c>
      <c r="AM1057" t="str">
        <f>"10"</f>
        <v>10</v>
      </c>
      <c r="AN1057" t="str">
        <f>"500000"</f>
        <v>500000</v>
      </c>
      <c r="AO1057" t="str">
        <f>"הכנסות  מלקוחות"</f>
        <v>הכנסות  מלקוחות</v>
      </c>
      <c r="AQ1057" t="str">
        <f>"040"</f>
        <v>040</v>
      </c>
      <c r="AR1057">
        <v>0</v>
      </c>
      <c r="AS1057">
        <v>0</v>
      </c>
      <c r="AT1057">
        <v>3.3809999999999998</v>
      </c>
      <c r="BB1057" t="str">
        <f>"Y"</f>
        <v>Y</v>
      </c>
      <c r="BD1057" t="str">
        <f>"רחמים זרוק"</f>
        <v>רחמים זרוק</v>
      </c>
    </row>
    <row r="1058" spans="1:56" x14ac:dyDescent="0.3">
      <c r="A1058" s="1">
        <v>44950</v>
      </c>
      <c r="B1058" t="str">
        <f>"SI236000057"</f>
        <v>SI236000057</v>
      </c>
      <c r="C1058" t="str">
        <f>"PR22000199"</f>
        <v>PR22000199</v>
      </c>
      <c r="E1058" t="str">
        <f>"Y"</f>
        <v>Y</v>
      </c>
      <c r="F1058" t="str">
        <f>"חשבוניות מרכזות"</f>
        <v>חשבוניות מרכזות</v>
      </c>
      <c r="G1058" t="str">
        <f>"700065"</f>
        <v>700065</v>
      </c>
      <c r="H1058" t="str">
        <f>"אלתא מערכות בע""מ"</f>
        <v>אלתא מערכות בע"מ</v>
      </c>
      <c r="I1058" t="str">
        <f>"05"</f>
        <v>05</v>
      </c>
      <c r="J1058" t="str">
        <f>"OP-AR03243"</f>
        <v>OP-AR03243</v>
      </c>
      <c r="K1058" t="str">
        <f>"320VDC 96KW SYSTEM"</f>
        <v>320VDC 96KW SYSTEM</v>
      </c>
      <c r="L1058">
        <v>1</v>
      </c>
      <c r="M1058" t="str">
        <f>"יח"</f>
        <v>יח</v>
      </c>
      <c r="N1058">
        <v>1</v>
      </c>
      <c r="O1058" t="str">
        <f>"יח"</f>
        <v>יח</v>
      </c>
      <c r="P1058" s="2">
        <v>37528</v>
      </c>
      <c r="Q1058" t="str">
        <f>"$"</f>
        <v>$</v>
      </c>
      <c r="R1058" t="str">
        <f>"הזמנה"</f>
        <v>הזמנה</v>
      </c>
      <c r="S1058">
        <v>0</v>
      </c>
      <c r="T1058" s="2">
        <v>37528</v>
      </c>
      <c r="U1058">
        <v>0</v>
      </c>
      <c r="V1058" s="2">
        <v>37528</v>
      </c>
      <c r="W1058" t="str">
        <f>"$"</f>
        <v>$</v>
      </c>
      <c r="X1058">
        <v>0</v>
      </c>
      <c r="Y1058">
        <v>0</v>
      </c>
      <c r="Z1058">
        <v>0</v>
      </c>
      <c r="AA1058" t="str">
        <f>"Y"</f>
        <v>Y</v>
      </c>
      <c r="AC1058">
        <v>0</v>
      </c>
      <c r="AM1058" t="str">
        <f>"10"</f>
        <v>10</v>
      </c>
      <c r="AN1058" t="str">
        <f>"500000"</f>
        <v>500000</v>
      </c>
      <c r="AO1058" t="str">
        <f>"הכנסות  מלקוחות"</f>
        <v>הכנסות  מלקוחות</v>
      </c>
      <c r="AQ1058" t="str">
        <f>"034"</f>
        <v>034</v>
      </c>
      <c r="AR1058">
        <v>0</v>
      </c>
      <c r="AS1058">
        <v>0</v>
      </c>
      <c r="AT1058">
        <v>3.4180000000000001</v>
      </c>
      <c r="BB1058" t="str">
        <f>"Y"</f>
        <v>Y</v>
      </c>
      <c r="BD1058" t="str">
        <f>"ערן שלו"</f>
        <v>ערן שלו</v>
      </c>
    </row>
    <row r="1059" spans="1:56" x14ac:dyDescent="0.3">
      <c r="A1059" s="1">
        <v>44950</v>
      </c>
      <c r="B1059" t="str">
        <f>"SI236000055"</f>
        <v>SI236000055</v>
      </c>
      <c r="C1059" t="str">
        <f>"PR23000038"</f>
        <v>PR23000038</v>
      </c>
      <c r="E1059" t="str">
        <f>"Y"</f>
        <v>Y</v>
      </c>
      <c r="F1059" t="str">
        <f>"חשבוניות מרכזות"</f>
        <v>חשבוניות מרכזות</v>
      </c>
      <c r="G1059" t="str">
        <f>"700065"</f>
        <v>700065</v>
      </c>
      <c r="H1059" t="str">
        <f>"אלתא מערכות בע""מ"</f>
        <v>אלתא מערכות בע"מ</v>
      </c>
      <c r="I1059" t="str">
        <f>"10"</f>
        <v>10</v>
      </c>
      <c r="J1059" t="str">
        <f>"OP-AR03167"</f>
        <v>OP-AR03167</v>
      </c>
      <c r="K1059" t="str">
        <f>"1025M237-001   WA357 PWR FOR ANTI COLLISION LIGHT"</f>
        <v>1025M237-001   WA357 PWR FOR ANTI COLLISION LIGHT</v>
      </c>
      <c r="L1059">
        <v>2</v>
      </c>
      <c r="M1059" t="str">
        <f>"יח"</f>
        <v>יח</v>
      </c>
      <c r="N1059">
        <v>2</v>
      </c>
      <c r="O1059" t="str">
        <f>"יח"</f>
        <v>יח</v>
      </c>
      <c r="P1059">
        <v>102.35</v>
      </c>
      <c r="Q1059" t="str">
        <f>"$"</f>
        <v>$</v>
      </c>
      <c r="R1059" t="str">
        <f>"הזמנה"</f>
        <v>הזמנה</v>
      </c>
      <c r="S1059">
        <v>0</v>
      </c>
      <c r="T1059">
        <v>204.7</v>
      </c>
      <c r="U1059">
        <v>0</v>
      </c>
      <c r="V1059">
        <v>204.7</v>
      </c>
      <c r="W1059" t="str">
        <f>"$"</f>
        <v>$</v>
      </c>
      <c r="X1059">
        <v>0</v>
      </c>
      <c r="Y1059">
        <v>0</v>
      </c>
      <c r="Z1059">
        <v>0</v>
      </c>
      <c r="AA1059" t="str">
        <f>"Y"</f>
        <v>Y</v>
      </c>
      <c r="AC1059">
        <v>0</v>
      </c>
      <c r="AM1059" t="str">
        <f>"10"</f>
        <v>10</v>
      </c>
      <c r="AN1059" t="str">
        <f>"500000"</f>
        <v>500000</v>
      </c>
      <c r="AO1059" t="str">
        <f>"הכנסות  מלקוחות"</f>
        <v>הכנסות  מלקוחות</v>
      </c>
      <c r="AQ1059" t="str">
        <f>"040"</f>
        <v>040</v>
      </c>
      <c r="AR1059">
        <v>0</v>
      </c>
      <c r="AS1059">
        <v>0</v>
      </c>
      <c r="AT1059">
        <v>3.407</v>
      </c>
      <c r="BB1059" t="str">
        <f>"Y"</f>
        <v>Y</v>
      </c>
      <c r="BD1059" t="str">
        <f>"רחמים זרוק"</f>
        <v>רחמים זרוק</v>
      </c>
    </row>
    <row r="1060" spans="1:56" x14ac:dyDescent="0.3">
      <c r="A1060" s="1">
        <v>44948</v>
      </c>
      <c r="B1060" t="str">
        <f>"SI236000079"</f>
        <v>SI236000079</v>
      </c>
      <c r="C1060" t="str">
        <f>"PR22000602"</f>
        <v>PR22000602</v>
      </c>
      <c r="D1060" t="str">
        <f>"PR22000602"</f>
        <v>PR22000602</v>
      </c>
      <c r="E1060" t="str">
        <f>"Y"</f>
        <v>Y</v>
      </c>
      <c r="F1060" t="str">
        <f>"חשבוניות מרכזות"</f>
        <v>חשבוניות מרכזות</v>
      </c>
      <c r="G1060" t="str">
        <f>"700065"</f>
        <v>700065</v>
      </c>
      <c r="H1060" t="str">
        <f>"אלתא מערכות בע""מ"</f>
        <v>אלתא מערכות בע"מ</v>
      </c>
      <c r="I1060" t="str">
        <f>"10"</f>
        <v>10</v>
      </c>
      <c r="J1060" t="str">
        <f>"CB1100227"</f>
        <v>CB1100227</v>
      </c>
      <c r="K1060" t="str">
        <f>"AC SUPPLY CONTROL BOX 230V FEED CABLE"</f>
        <v>AC SUPPLY CONTROL BOX 230V FEED CABLE</v>
      </c>
      <c r="L1060">
        <v>2</v>
      </c>
      <c r="M1060" t="str">
        <f>"יח"</f>
        <v>יח</v>
      </c>
      <c r="N1060">
        <v>2</v>
      </c>
      <c r="O1060" t="str">
        <f>"יח"</f>
        <v>יח</v>
      </c>
      <c r="P1060">
        <v>578</v>
      </c>
      <c r="Q1060" t="str">
        <f>"$"</f>
        <v>$</v>
      </c>
      <c r="R1060" t="str">
        <f>"הזמנה"</f>
        <v>הזמנה</v>
      </c>
      <c r="S1060">
        <v>0</v>
      </c>
      <c r="T1060" s="2">
        <v>1156</v>
      </c>
      <c r="U1060">
        <v>0</v>
      </c>
      <c r="V1060" s="2">
        <v>1156</v>
      </c>
      <c r="W1060" t="str">
        <f>"$"</f>
        <v>$</v>
      </c>
      <c r="X1060">
        <v>0</v>
      </c>
      <c r="Y1060">
        <v>0</v>
      </c>
      <c r="Z1060">
        <v>0</v>
      </c>
      <c r="AA1060" t="str">
        <f>"Y"</f>
        <v>Y</v>
      </c>
      <c r="AB1060" t="str">
        <f>"SO22000357"</f>
        <v>SO22000357</v>
      </c>
      <c r="AC1060">
        <v>1</v>
      </c>
      <c r="AD1060" s="1">
        <v>44816</v>
      </c>
      <c r="AE1060" t="str">
        <f>"SH22001480"</f>
        <v>SH22001480</v>
      </c>
      <c r="AF1060" t="str">
        <f>"משלוחים ללקוח"</f>
        <v>משלוחים ללקוח</v>
      </c>
      <c r="AG1060" s="1">
        <v>44920</v>
      </c>
      <c r="AM1060" t="str">
        <f>"10"</f>
        <v>10</v>
      </c>
      <c r="AN1060" t="str">
        <f>"500000"</f>
        <v>500000</v>
      </c>
      <c r="AO1060" t="str">
        <f>"הכנסות  מלקוחות"</f>
        <v>הכנסות  מלקוחות</v>
      </c>
      <c r="AQ1060" t="str">
        <f>"040"</f>
        <v>040</v>
      </c>
      <c r="AR1060">
        <v>0</v>
      </c>
      <c r="AS1060">
        <v>0</v>
      </c>
      <c r="AT1060">
        <v>3.407</v>
      </c>
      <c r="AX1060" t="str">
        <f>"E000373714"</f>
        <v>E000373714</v>
      </c>
      <c r="BD1060" t="str">
        <f>"רחמים זרוק"</f>
        <v>רחמים זרוק</v>
      </c>
    </row>
    <row r="1061" spans="1:56" x14ac:dyDescent="0.3">
      <c r="A1061" s="1">
        <v>44948</v>
      </c>
      <c r="B1061" t="str">
        <f>"SI236000071"</f>
        <v>SI236000071</v>
      </c>
      <c r="C1061" t="str">
        <f>"PR23000038"</f>
        <v>PR23000038</v>
      </c>
      <c r="D1061" t="str">
        <f>"PR23000038"</f>
        <v>PR23000038</v>
      </c>
      <c r="E1061" t="str">
        <f>"Y"</f>
        <v>Y</v>
      </c>
      <c r="F1061" t="str">
        <f>"חשבוניות מרכזות"</f>
        <v>חשבוניות מרכזות</v>
      </c>
      <c r="G1061" t="str">
        <f>"700065"</f>
        <v>700065</v>
      </c>
      <c r="H1061" t="str">
        <f>"אלתא מערכות בע""מ"</f>
        <v>אלתא מערכות בע"מ</v>
      </c>
      <c r="I1061" t="str">
        <f>"10"</f>
        <v>10</v>
      </c>
      <c r="J1061" t="str">
        <f>"OP-AR03167"</f>
        <v>OP-AR03167</v>
      </c>
      <c r="K1061" t="str">
        <f>"1025M237-001   WA357 PWR FOR ANTI COLLISION LIGHT"</f>
        <v>1025M237-001   WA357 PWR FOR ANTI COLLISION LIGHT</v>
      </c>
      <c r="L1061">
        <v>2</v>
      </c>
      <c r="M1061" t="str">
        <f>"יח"</f>
        <v>יח</v>
      </c>
      <c r="N1061">
        <v>2</v>
      </c>
      <c r="O1061" t="str">
        <f>"יח"</f>
        <v>יח</v>
      </c>
      <c r="P1061">
        <v>102.35</v>
      </c>
      <c r="Q1061" t="str">
        <f>"$"</f>
        <v>$</v>
      </c>
      <c r="R1061" t="str">
        <f>"הזמנה"</f>
        <v>הזמנה</v>
      </c>
      <c r="S1061">
        <v>0</v>
      </c>
      <c r="T1061">
        <v>204.7</v>
      </c>
      <c r="U1061">
        <v>0</v>
      </c>
      <c r="V1061">
        <v>204.7</v>
      </c>
      <c r="W1061" t="str">
        <f>"$"</f>
        <v>$</v>
      </c>
      <c r="X1061">
        <v>0</v>
      </c>
      <c r="Y1061">
        <v>0</v>
      </c>
      <c r="Z1061">
        <v>0</v>
      </c>
      <c r="AA1061" t="str">
        <f>"Y"</f>
        <v>Y</v>
      </c>
      <c r="AB1061" t="str">
        <f>"SO23000046"</f>
        <v>SO23000046</v>
      </c>
      <c r="AC1061">
        <v>1</v>
      </c>
      <c r="AD1061" s="1">
        <v>44944</v>
      </c>
      <c r="AE1061" t="str">
        <f>"SH23000104"</f>
        <v>SH23000104</v>
      </c>
      <c r="AF1061" t="str">
        <f>"משלוחים ללקוח"</f>
        <v>משלוחים ללקוח</v>
      </c>
      <c r="AG1061" s="1">
        <v>44945</v>
      </c>
      <c r="AM1061" t="str">
        <f>"10"</f>
        <v>10</v>
      </c>
      <c r="AN1061" t="str">
        <f>"500000"</f>
        <v>500000</v>
      </c>
      <c r="AO1061" t="str">
        <f>"הכנסות  מלקוחות"</f>
        <v>הכנסות  מלקוחות</v>
      </c>
      <c r="AQ1061" t="str">
        <f>"040"</f>
        <v>040</v>
      </c>
      <c r="AR1061">
        <v>0</v>
      </c>
      <c r="AS1061">
        <v>0</v>
      </c>
      <c r="AT1061">
        <v>3.407</v>
      </c>
      <c r="AX1061" t="str">
        <f>"E000383842"</f>
        <v>E000383842</v>
      </c>
      <c r="BD1061" t="str">
        <f>"רחמים זרוק"</f>
        <v>רחמים זרוק</v>
      </c>
    </row>
    <row r="1062" spans="1:56" x14ac:dyDescent="0.3">
      <c r="A1062" s="1">
        <v>44945</v>
      </c>
      <c r="B1062" t="str">
        <f>"SI236000162"</f>
        <v>SI236000162</v>
      </c>
      <c r="E1062" t="str">
        <f>"Y"</f>
        <v>Y</v>
      </c>
      <c r="F1062" t="str">
        <f>"חשבוניות מרכזות"</f>
        <v>חשבוניות מרכזות</v>
      </c>
      <c r="G1062" t="str">
        <f>"700065"</f>
        <v>700065</v>
      </c>
      <c r="H1062" t="str">
        <f>"אלתא מערכות בע""מ"</f>
        <v>אלתא מערכות בע"מ</v>
      </c>
      <c r="I1062" t="str">
        <f>"10"</f>
        <v>10</v>
      </c>
      <c r="J1062" t="str">
        <f>"000"</f>
        <v>000</v>
      </c>
      <c r="K1062" t="str">
        <f>"צוות טכנאים בצכיה"</f>
        <v>צוות טכנאים בצכיה</v>
      </c>
      <c r="L1062">
        <v>1</v>
      </c>
      <c r="M1062" t="str">
        <f>"יח"</f>
        <v>יח</v>
      </c>
      <c r="N1062">
        <v>1</v>
      </c>
      <c r="O1062" t="str">
        <f>"יח"</f>
        <v>יח</v>
      </c>
      <c r="P1062" s="2">
        <v>12000</v>
      </c>
      <c r="Q1062" t="str">
        <f>"$"</f>
        <v>$</v>
      </c>
      <c r="R1062" t="str">
        <f>"הזמנה"</f>
        <v>הזמנה</v>
      </c>
      <c r="S1062">
        <v>0</v>
      </c>
      <c r="T1062" s="2">
        <v>12000</v>
      </c>
      <c r="U1062">
        <v>0</v>
      </c>
      <c r="V1062" s="2">
        <v>12000</v>
      </c>
      <c r="W1062" t="str">
        <f>"$"</f>
        <v>$</v>
      </c>
      <c r="X1062">
        <v>0</v>
      </c>
      <c r="Y1062">
        <v>0</v>
      </c>
      <c r="Z1062">
        <v>0</v>
      </c>
      <c r="AA1062" t="str">
        <f>"Y"</f>
        <v>Y</v>
      </c>
      <c r="AB1062" t="str">
        <f>"SO23000040"</f>
        <v>SO23000040</v>
      </c>
      <c r="AC1062">
        <v>1</v>
      </c>
      <c r="AD1062" s="1">
        <v>44941</v>
      </c>
      <c r="AM1062" t="str">
        <f>"10"</f>
        <v>10</v>
      </c>
      <c r="AN1062" t="str">
        <f>"500000"</f>
        <v>500000</v>
      </c>
      <c r="AO1062" t="str">
        <f>"הכנסות  מלקוחות"</f>
        <v>הכנסות  מלקוחות</v>
      </c>
      <c r="AQ1062" t="str">
        <f>"034"</f>
        <v>034</v>
      </c>
      <c r="AR1062">
        <v>0</v>
      </c>
      <c r="AS1062">
        <v>0</v>
      </c>
      <c r="AT1062">
        <v>3.4079999999999999</v>
      </c>
      <c r="AX1062" t="str">
        <f>"E000383083"</f>
        <v>E000383083</v>
      </c>
      <c r="BD1062" t="str">
        <f>"ערן שלו"</f>
        <v>ערן שלו</v>
      </c>
    </row>
    <row r="1063" spans="1:56" x14ac:dyDescent="0.3">
      <c r="A1063" s="1">
        <v>44944</v>
      </c>
      <c r="B1063" t="str">
        <f>"SI236000274"</f>
        <v>SI236000274</v>
      </c>
      <c r="C1063" t="str">
        <f>"PR22000489"</f>
        <v>PR22000489</v>
      </c>
      <c r="E1063" t="str">
        <f>"Y"</f>
        <v>Y</v>
      </c>
      <c r="F1063" t="str">
        <f>"חשבוניות מרכזות"</f>
        <v>חשבוניות מרכזות</v>
      </c>
      <c r="G1063" t="str">
        <f>"700065"</f>
        <v>700065</v>
      </c>
      <c r="H1063" t="str">
        <f>"אלתא מערכות בע""מ"</f>
        <v>אלתא מערכות בע"מ</v>
      </c>
      <c r="I1063" t="str">
        <f>"10"</f>
        <v>10</v>
      </c>
      <c r="J1063" t="str">
        <f>"OP-AR03213"</f>
        <v>OP-AR03213</v>
      </c>
      <c r="K1063" t="str">
        <f>"1093N667-001    HARNESS TRU"</f>
        <v>1093N667-001    HARNESS TRU</v>
      </c>
      <c r="L1063">
        <v>4</v>
      </c>
      <c r="M1063" t="str">
        <f>"יח"</f>
        <v>יח</v>
      </c>
      <c r="N1063">
        <v>4</v>
      </c>
      <c r="O1063" t="str">
        <f>"יח"</f>
        <v>יח</v>
      </c>
      <c r="P1063" s="2">
        <v>1571.16</v>
      </c>
      <c r="Q1063" t="str">
        <f>"$"</f>
        <v>$</v>
      </c>
      <c r="R1063" t="str">
        <f>"הזמנה"</f>
        <v>הזמנה</v>
      </c>
      <c r="S1063">
        <v>0</v>
      </c>
      <c r="T1063" s="2">
        <v>6284.64</v>
      </c>
      <c r="U1063">
        <v>0</v>
      </c>
      <c r="V1063" s="2">
        <v>6284.64</v>
      </c>
      <c r="W1063" t="str">
        <f>"$"</f>
        <v>$</v>
      </c>
      <c r="X1063">
        <v>0</v>
      </c>
      <c r="Y1063">
        <v>0</v>
      </c>
      <c r="Z1063">
        <v>0</v>
      </c>
      <c r="AA1063" t="str">
        <f>"Y"</f>
        <v>Y</v>
      </c>
      <c r="AB1063" t="str">
        <f>"SO22000254"</f>
        <v>SO22000254</v>
      </c>
      <c r="AC1063">
        <v>1</v>
      </c>
      <c r="AD1063" s="1">
        <v>44738</v>
      </c>
      <c r="AE1063" t="str">
        <f>"SH23000081"</f>
        <v>SH23000081</v>
      </c>
      <c r="AF1063" t="str">
        <f>"משלוחים ללקוח"</f>
        <v>משלוחים ללקוח</v>
      </c>
      <c r="AG1063" s="1">
        <v>44942</v>
      </c>
      <c r="AM1063" t="str">
        <f>"10"</f>
        <v>10</v>
      </c>
      <c r="AN1063" t="str">
        <f>"500000"</f>
        <v>500000</v>
      </c>
      <c r="AO1063" t="str">
        <f>"הכנסות  מלקוחות"</f>
        <v>הכנסות  מלקוחות</v>
      </c>
      <c r="AQ1063" t="str">
        <f>"040"</f>
        <v>040</v>
      </c>
      <c r="AR1063">
        <v>0</v>
      </c>
      <c r="AS1063">
        <v>0</v>
      </c>
      <c r="AT1063">
        <v>3.3809999999999998</v>
      </c>
      <c r="AX1063" t="str">
        <f>"E000366137"</f>
        <v>E000366137</v>
      </c>
      <c r="BD1063" t="str">
        <f>"רחמים זרוק"</f>
        <v>רחמים זרוק</v>
      </c>
    </row>
    <row r="1064" spans="1:56" x14ac:dyDescent="0.3">
      <c r="A1064" s="1">
        <v>44944</v>
      </c>
      <c r="B1064" t="str">
        <f>"SI236000274"</f>
        <v>SI236000274</v>
      </c>
      <c r="C1064" t="str">
        <f>"PR22000489"</f>
        <v>PR22000489</v>
      </c>
      <c r="E1064" t="str">
        <f>"Y"</f>
        <v>Y</v>
      </c>
      <c r="F1064" t="str">
        <f>"חשבוניות מרכזות"</f>
        <v>חשבוניות מרכזות</v>
      </c>
      <c r="G1064" t="str">
        <f>"700065"</f>
        <v>700065</v>
      </c>
      <c r="H1064" t="str">
        <f>"אלתא מערכות בע""מ"</f>
        <v>אלתא מערכות בע"מ</v>
      </c>
      <c r="I1064" t="str">
        <f>"10"</f>
        <v>10</v>
      </c>
      <c r="J1064" t="str">
        <f>"OP-AR03213"</f>
        <v>OP-AR03213</v>
      </c>
      <c r="K1064" t="str">
        <f>"1093N667-001    HARNESS TRU"</f>
        <v>1093N667-001    HARNESS TRU</v>
      </c>
      <c r="L1064">
        <v>3</v>
      </c>
      <c r="M1064" t="str">
        <f>"יח"</f>
        <v>יח</v>
      </c>
      <c r="N1064">
        <v>3</v>
      </c>
      <c r="O1064" t="str">
        <f>"יח"</f>
        <v>יח</v>
      </c>
      <c r="P1064" s="2">
        <v>1571.16</v>
      </c>
      <c r="Q1064" t="str">
        <f>"$"</f>
        <v>$</v>
      </c>
      <c r="R1064" t="str">
        <f>"הזמנה"</f>
        <v>הזמנה</v>
      </c>
      <c r="S1064">
        <v>0</v>
      </c>
      <c r="T1064" s="2">
        <v>4713.4799999999996</v>
      </c>
      <c r="U1064">
        <v>0</v>
      </c>
      <c r="V1064" s="2">
        <v>4713.4799999999996</v>
      </c>
      <c r="W1064" t="str">
        <f>"$"</f>
        <v>$</v>
      </c>
      <c r="X1064">
        <v>0</v>
      </c>
      <c r="Y1064">
        <v>0</v>
      </c>
      <c r="Z1064">
        <v>0</v>
      </c>
      <c r="AA1064" t="str">
        <f>"Y"</f>
        <v>Y</v>
      </c>
      <c r="AB1064" t="str">
        <f>"SO22000254"</f>
        <v>SO22000254</v>
      </c>
      <c r="AC1064">
        <v>2</v>
      </c>
      <c r="AD1064" s="1">
        <v>44738</v>
      </c>
      <c r="AE1064" t="str">
        <f>"SH23000081"</f>
        <v>SH23000081</v>
      </c>
      <c r="AF1064" t="str">
        <f>"משלוחים ללקוח"</f>
        <v>משלוחים ללקוח</v>
      </c>
      <c r="AG1064" s="1">
        <v>44942</v>
      </c>
      <c r="AM1064" t="str">
        <f>"10"</f>
        <v>10</v>
      </c>
      <c r="AN1064" t="str">
        <f>"500000"</f>
        <v>500000</v>
      </c>
      <c r="AO1064" t="str">
        <f>"הכנסות  מלקוחות"</f>
        <v>הכנסות  מלקוחות</v>
      </c>
      <c r="AQ1064" t="str">
        <f>"040"</f>
        <v>040</v>
      </c>
      <c r="AR1064">
        <v>0</v>
      </c>
      <c r="AS1064">
        <v>0</v>
      </c>
      <c r="AT1064">
        <v>3.3809999999999998</v>
      </c>
      <c r="AX1064" t="str">
        <f>"E000366137"</f>
        <v>E000366137</v>
      </c>
      <c r="BD1064" t="str">
        <f>"רחמים זרוק"</f>
        <v>רחמים זרוק</v>
      </c>
    </row>
    <row r="1065" spans="1:56" x14ac:dyDescent="0.3">
      <c r="A1065" s="1">
        <v>44944</v>
      </c>
      <c r="B1065" t="str">
        <f>"SI236000274"</f>
        <v>SI236000274</v>
      </c>
      <c r="C1065" t="str">
        <f>"PR22000489"</f>
        <v>PR22000489</v>
      </c>
      <c r="E1065" t="str">
        <f>"Y"</f>
        <v>Y</v>
      </c>
      <c r="F1065" t="str">
        <f>"חשבוניות מרכזות"</f>
        <v>חשבוניות מרכזות</v>
      </c>
      <c r="G1065" t="str">
        <f>"700065"</f>
        <v>700065</v>
      </c>
      <c r="H1065" t="str">
        <f>"אלתא מערכות בע""מ"</f>
        <v>אלתא מערכות בע"מ</v>
      </c>
      <c r="I1065" t="str">
        <f>"10"</f>
        <v>10</v>
      </c>
      <c r="J1065" t="str">
        <f>"OP-AR03215"</f>
        <v>OP-AR03215</v>
      </c>
      <c r="K1065" t="str">
        <f>"רתמת פיצול UPS RT6"</f>
        <v>רתמת פיצול UPS RT6</v>
      </c>
      <c r="L1065">
        <v>3</v>
      </c>
      <c r="M1065" t="str">
        <f>"יח"</f>
        <v>יח</v>
      </c>
      <c r="N1065">
        <v>3</v>
      </c>
      <c r="O1065" t="str">
        <f>"יח"</f>
        <v>יח</v>
      </c>
      <c r="P1065">
        <v>188.25</v>
      </c>
      <c r="Q1065" t="str">
        <f>"$"</f>
        <v>$</v>
      </c>
      <c r="R1065" t="str">
        <f>"הזמנה"</f>
        <v>הזמנה</v>
      </c>
      <c r="S1065">
        <v>0</v>
      </c>
      <c r="T1065">
        <v>564.75</v>
      </c>
      <c r="U1065">
        <v>0</v>
      </c>
      <c r="V1065">
        <v>564.75</v>
      </c>
      <c r="W1065" t="str">
        <f>"$"</f>
        <v>$</v>
      </c>
      <c r="X1065">
        <v>0</v>
      </c>
      <c r="Y1065">
        <v>0</v>
      </c>
      <c r="Z1065">
        <v>0</v>
      </c>
      <c r="AA1065" t="str">
        <f>"Y"</f>
        <v>Y</v>
      </c>
      <c r="AB1065" t="str">
        <f>"SO22000254"</f>
        <v>SO22000254</v>
      </c>
      <c r="AC1065">
        <v>3</v>
      </c>
      <c r="AD1065" s="1">
        <v>44738</v>
      </c>
      <c r="AE1065" t="str">
        <f>"SH23000081"</f>
        <v>SH23000081</v>
      </c>
      <c r="AF1065" t="str">
        <f>"משלוחים ללקוח"</f>
        <v>משלוחים ללקוח</v>
      </c>
      <c r="AG1065" s="1">
        <v>44942</v>
      </c>
      <c r="AM1065" t="str">
        <f>"10"</f>
        <v>10</v>
      </c>
      <c r="AN1065" t="str">
        <f>"500000"</f>
        <v>500000</v>
      </c>
      <c r="AO1065" t="str">
        <f>"הכנסות  מלקוחות"</f>
        <v>הכנסות  מלקוחות</v>
      </c>
      <c r="AQ1065" t="str">
        <f>"040"</f>
        <v>040</v>
      </c>
      <c r="AR1065">
        <v>0</v>
      </c>
      <c r="AS1065">
        <v>0</v>
      </c>
      <c r="AT1065">
        <v>3.3809999999999998</v>
      </c>
      <c r="AX1065" t="str">
        <f>"E000366137"</f>
        <v>E000366137</v>
      </c>
      <c r="BD1065" t="str">
        <f>"רחמים זרוק"</f>
        <v>רחמים זרוק</v>
      </c>
    </row>
    <row r="1066" spans="1:56" x14ac:dyDescent="0.3">
      <c r="A1066" s="1">
        <v>44944</v>
      </c>
      <c r="B1066" t="str">
        <f>"SI236000274"</f>
        <v>SI236000274</v>
      </c>
      <c r="C1066" t="str">
        <f>"PR22000489"</f>
        <v>PR22000489</v>
      </c>
      <c r="E1066" t="str">
        <f>"Y"</f>
        <v>Y</v>
      </c>
      <c r="F1066" t="str">
        <f>"חשבוניות מרכזות"</f>
        <v>חשבוניות מרכזות</v>
      </c>
      <c r="G1066" t="str">
        <f>"700065"</f>
        <v>700065</v>
      </c>
      <c r="H1066" t="str">
        <f>"אלתא מערכות בע""מ"</f>
        <v>אלתא מערכות בע"מ</v>
      </c>
      <c r="I1066" t="str">
        <f>"10"</f>
        <v>10</v>
      </c>
      <c r="J1066" t="str">
        <f>"ZV0180156"</f>
        <v>ZV0180156</v>
      </c>
      <c r="K1066" t="str">
        <f>"פנל UPS 1U מחבר אחד לאלתא"</f>
        <v>פנל UPS 1U מחבר אחד לאלתא</v>
      </c>
      <c r="L1066">
        <v>1</v>
      </c>
      <c r="M1066" t="str">
        <f>"יח"</f>
        <v>יח</v>
      </c>
      <c r="N1066">
        <v>1</v>
      </c>
      <c r="O1066" t="str">
        <f>"יח"</f>
        <v>יח</v>
      </c>
      <c r="P1066">
        <v>95.36</v>
      </c>
      <c r="Q1066" t="str">
        <f>"$"</f>
        <v>$</v>
      </c>
      <c r="R1066" t="str">
        <f>"הזמנה"</f>
        <v>הזמנה</v>
      </c>
      <c r="S1066">
        <v>0</v>
      </c>
      <c r="T1066">
        <v>95.36</v>
      </c>
      <c r="U1066">
        <v>0</v>
      </c>
      <c r="V1066">
        <v>95.36</v>
      </c>
      <c r="W1066" t="str">
        <f>"$"</f>
        <v>$</v>
      </c>
      <c r="X1066">
        <v>0</v>
      </c>
      <c r="Y1066">
        <v>0</v>
      </c>
      <c r="Z1066">
        <v>0</v>
      </c>
      <c r="AA1066" t="str">
        <f>"Y"</f>
        <v>Y</v>
      </c>
      <c r="AB1066" t="str">
        <f>"SO22000254"</f>
        <v>SO22000254</v>
      </c>
      <c r="AC1066">
        <v>4</v>
      </c>
      <c r="AD1066" s="1">
        <v>44738</v>
      </c>
      <c r="AE1066" t="str">
        <f>"SH23000081"</f>
        <v>SH23000081</v>
      </c>
      <c r="AF1066" t="str">
        <f>"משלוחים ללקוח"</f>
        <v>משלוחים ללקוח</v>
      </c>
      <c r="AG1066" s="1">
        <v>44942</v>
      </c>
      <c r="AM1066" t="str">
        <f>"10"</f>
        <v>10</v>
      </c>
      <c r="AN1066" t="str">
        <f>"500000"</f>
        <v>500000</v>
      </c>
      <c r="AO1066" t="str">
        <f>"הכנסות  מלקוחות"</f>
        <v>הכנסות  מלקוחות</v>
      </c>
      <c r="AQ1066" t="str">
        <f>"040"</f>
        <v>040</v>
      </c>
      <c r="AR1066">
        <v>0</v>
      </c>
      <c r="AS1066">
        <v>0</v>
      </c>
      <c r="AT1066">
        <v>3.3809999999999998</v>
      </c>
      <c r="AX1066" t="str">
        <f>"E000366137"</f>
        <v>E000366137</v>
      </c>
      <c r="BD1066" t="str">
        <f>"רחמים זרוק"</f>
        <v>רחמים זרוק</v>
      </c>
    </row>
    <row r="1067" spans="1:56" x14ac:dyDescent="0.3">
      <c r="A1067" s="1">
        <v>44944</v>
      </c>
      <c r="B1067" t="str">
        <f>"SI236000085"</f>
        <v>SI236000085</v>
      </c>
      <c r="C1067" t="str">
        <f>"PR22000316"</f>
        <v>PR22000316</v>
      </c>
      <c r="E1067" t="str">
        <f>"Y"</f>
        <v>Y</v>
      </c>
      <c r="F1067" t="str">
        <f>"חשבוניות מרכזות"</f>
        <v>חשבוניות מרכזות</v>
      </c>
      <c r="G1067" t="str">
        <f>"700065"</f>
        <v>700065</v>
      </c>
      <c r="H1067" t="str">
        <f>"אלתא מערכות בע""מ"</f>
        <v>אלתא מערכות בע"מ</v>
      </c>
      <c r="I1067" t="str">
        <f>"10"</f>
        <v>10</v>
      </c>
      <c r="J1067" t="str">
        <f>"OP-AR03049"</f>
        <v>OP-AR03049</v>
      </c>
      <c r="K1067" t="str">
        <f>"1023M216-002    CABLE ASSY W202"</f>
        <v>1023M216-002    CABLE ASSY W202</v>
      </c>
      <c r="L1067">
        <v>11</v>
      </c>
      <c r="M1067" t="str">
        <f>"יח"</f>
        <v>יח</v>
      </c>
      <c r="N1067">
        <v>11</v>
      </c>
      <c r="O1067" t="str">
        <f>"יח"</f>
        <v>יח</v>
      </c>
      <c r="P1067" s="2">
        <v>1423.84</v>
      </c>
      <c r="Q1067" t="str">
        <f>"$"</f>
        <v>$</v>
      </c>
      <c r="R1067" t="str">
        <f>"הזמנה"</f>
        <v>הזמנה</v>
      </c>
      <c r="S1067">
        <v>0</v>
      </c>
      <c r="T1067" s="2">
        <v>15662.24</v>
      </c>
      <c r="U1067">
        <v>0</v>
      </c>
      <c r="V1067" s="2">
        <v>15662.24</v>
      </c>
      <c r="W1067" t="str">
        <f>"$"</f>
        <v>$</v>
      </c>
      <c r="X1067">
        <v>0</v>
      </c>
      <c r="Y1067">
        <v>0</v>
      </c>
      <c r="Z1067">
        <v>0</v>
      </c>
      <c r="AA1067" t="str">
        <f>"Y"</f>
        <v>Y</v>
      </c>
      <c r="AB1067" t="str">
        <f>"SO22000145"</f>
        <v>SO22000145</v>
      </c>
      <c r="AC1067">
        <v>2</v>
      </c>
      <c r="AD1067" s="1">
        <v>44675</v>
      </c>
      <c r="AE1067" t="str">
        <f>"SH23000080"</f>
        <v>SH23000080</v>
      </c>
      <c r="AF1067" t="str">
        <f>"משלוחים ללקוח"</f>
        <v>משלוחים ללקוח</v>
      </c>
      <c r="AG1067" s="1">
        <v>44942</v>
      </c>
      <c r="AM1067" t="str">
        <f>"10"</f>
        <v>10</v>
      </c>
      <c r="AN1067" t="str">
        <f>"500000"</f>
        <v>500000</v>
      </c>
      <c r="AO1067" t="str">
        <f>"הכנסות  מלקוחות"</f>
        <v>הכנסות  מלקוחות</v>
      </c>
      <c r="AQ1067" t="str">
        <f>"040"</f>
        <v>040</v>
      </c>
      <c r="AR1067">
        <v>0</v>
      </c>
      <c r="AS1067">
        <v>0</v>
      </c>
      <c r="AT1067">
        <v>3.3809999999999998</v>
      </c>
      <c r="AX1067" t="str">
        <f>"E000359811"</f>
        <v>E000359811</v>
      </c>
      <c r="BD1067" t="str">
        <f>"רחמים זרוק"</f>
        <v>רחמים זרוק</v>
      </c>
    </row>
    <row r="1068" spans="1:56" x14ac:dyDescent="0.3">
      <c r="A1068" s="1">
        <v>44944</v>
      </c>
      <c r="B1068" t="str">
        <f>"SI236000085"</f>
        <v>SI236000085</v>
      </c>
      <c r="C1068" t="str">
        <f>"PR22000316"</f>
        <v>PR22000316</v>
      </c>
      <c r="E1068" t="str">
        <f>"Y"</f>
        <v>Y</v>
      </c>
      <c r="F1068" t="str">
        <f>"חשבוניות מרכזות"</f>
        <v>חשבוניות מרכזות</v>
      </c>
      <c r="G1068" t="str">
        <f>"700065"</f>
        <v>700065</v>
      </c>
      <c r="H1068" t="str">
        <f>"אלתא מערכות בע""מ"</f>
        <v>אלתא מערכות בע"מ</v>
      </c>
      <c r="I1068" t="str">
        <f>"10"</f>
        <v>10</v>
      </c>
      <c r="J1068" t="str">
        <f>"OP-AR03050"</f>
        <v>OP-AR03050</v>
      </c>
      <c r="K1068" t="str">
        <f>"1023M218-001    CABLE ASSY W201"</f>
        <v>1023M218-001    CABLE ASSY W201</v>
      </c>
      <c r="L1068">
        <v>22</v>
      </c>
      <c r="M1068" t="str">
        <f>"יח"</f>
        <v>יח</v>
      </c>
      <c r="N1068">
        <v>22</v>
      </c>
      <c r="O1068" t="str">
        <f>"יח"</f>
        <v>יח</v>
      </c>
      <c r="P1068">
        <v>628.54</v>
      </c>
      <c r="Q1068" t="str">
        <f>"$"</f>
        <v>$</v>
      </c>
      <c r="R1068" t="str">
        <f>"הזמנה"</f>
        <v>הזמנה</v>
      </c>
      <c r="S1068">
        <v>0</v>
      </c>
      <c r="T1068" s="2">
        <v>13827.88</v>
      </c>
      <c r="U1068">
        <v>0</v>
      </c>
      <c r="V1068" s="2">
        <v>13827.88</v>
      </c>
      <c r="W1068" t="str">
        <f>"$"</f>
        <v>$</v>
      </c>
      <c r="X1068">
        <v>0</v>
      </c>
      <c r="Y1068">
        <v>0</v>
      </c>
      <c r="Z1068">
        <v>0</v>
      </c>
      <c r="AA1068" t="str">
        <f>"Y"</f>
        <v>Y</v>
      </c>
      <c r="AB1068" t="str">
        <f>"SO22000145"</f>
        <v>SO22000145</v>
      </c>
      <c r="AC1068">
        <v>3</v>
      </c>
      <c r="AD1068" s="1">
        <v>44675</v>
      </c>
      <c r="AE1068" t="str">
        <f>"SH23000080"</f>
        <v>SH23000080</v>
      </c>
      <c r="AF1068" t="str">
        <f>"משלוחים ללקוח"</f>
        <v>משלוחים ללקוח</v>
      </c>
      <c r="AG1068" s="1">
        <v>44942</v>
      </c>
      <c r="AM1068" t="str">
        <f>"10"</f>
        <v>10</v>
      </c>
      <c r="AN1068" t="str">
        <f>"500000"</f>
        <v>500000</v>
      </c>
      <c r="AO1068" t="str">
        <f>"הכנסות  מלקוחות"</f>
        <v>הכנסות  מלקוחות</v>
      </c>
      <c r="AQ1068" t="str">
        <f>"040"</f>
        <v>040</v>
      </c>
      <c r="AR1068">
        <v>0</v>
      </c>
      <c r="AS1068">
        <v>0</v>
      </c>
      <c r="AT1068">
        <v>3.3809999999999998</v>
      </c>
      <c r="AX1068" t="str">
        <f>"E000359811"</f>
        <v>E000359811</v>
      </c>
      <c r="BD1068" t="str">
        <f>"רחמים זרוק"</f>
        <v>רחמים זרוק</v>
      </c>
    </row>
    <row r="1069" spans="1:56" x14ac:dyDescent="0.3">
      <c r="A1069" s="1">
        <v>44944</v>
      </c>
      <c r="B1069" t="str">
        <f>"SI236000083"</f>
        <v>SI236000083</v>
      </c>
      <c r="C1069" t="str">
        <f>"PR22000607"</f>
        <v>PR22000607</v>
      </c>
      <c r="D1069" t="str">
        <f>"PR22000607"</f>
        <v>PR22000607</v>
      </c>
      <c r="E1069" t="str">
        <f>"Y"</f>
        <v>Y</v>
      </c>
      <c r="F1069" t="str">
        <f>"חשבוניות מרכזות"</f>
        <v>חשבוניות מרכזות</v>
      </c>
      <c r="G1069" t="str">
        <f>"700065"</f>
        <v>700065</v>
      </c>
      <c r="H1069" t="str">
        <f>"אלתא מערכות בע""מ"</f>
        <v>אלתא מערכות בע"מ</v>
      </c>
      <c r="I1069" t="str">
        <f>"10"</f>
        <v>10</v>
      </c>
      <c r="J1069" t="str">
        <f>"OP-AR03327"</f>
        <v>OP-AR03327</v>
      </c>
      <c r="K1069" t="str">
        <f>"2223B638-001    ELM2054-ATE UUTJ2 TO CHAMBER J5"</f>
        <v>2223B638-001    ELM2054-ATE UUTJ2 TO CHAMBER J5</v>
      </c>
      <c r="L1069">
        <v>3</v>
      </c>
      <c r="M1069" t="str">
        <f>"יח"</f>
        <v>יח</v>
      </c>
      <c r="N1069">
        <v>3</v>
      </c>
      <c r="O1069" t="str">
        <f>"יח"</f>
        <v>יח</v>
      </c>
      <c r="P1069">
        <v>473.5</v>
      </c>
      <c r="Q1069" t="str">
        <f>"$"</f>
        <v>$</v>
      </c>
      <c r="R1069" t="str">
        <f>"הזמנה"</f>
        <v>הזמנה</v>
      </c>
      <c r="S1069">
        <v>0</v>
      </c>
      <c r="T1069" s="2">
        <v>1420.5</v>
      </c>
      <c r="U1069">
        <v>0</v>
      </c>
      <c r="V1069" s="2">
        <v>1420.5</v>
      </c>
      <c r="W1069" t="str">
        <f>"$"</f>
        <v>$</v>
      </c>
      <c r="X1069">
        <v>0</v>
      </c>
      <c r="Y1069">
        <v>0</v>
      </c>
      <c r="Z1069">
        <v>0</v>
      </c>
      <c r="AA1069" t="str">
        <f>"Y"</f>
        <v>Y</v>
      </c>
      <c r="AB1069" t="str">
        <f>"SO22000354"</f>
        <v>SO22000354</v>
      </c>
      <c r="AC1069">
        <v>3</v>
      </c>
      <c r="AD1069" s="1">
        <v>44816</v>
      </c>
      <c r="AE1069" t="str">
        <f>"SH22001481"</f>
        <v>SH22001481</v>
      </c>
      <c r="AF1069" t="str">
        <f>"משלוחים ללקוח"</f>
        <v>משלוחים ללקוח</v>
      </c>
      <c r="AG1069" s="1">
        <v>44920</v>
      </c>
      <c r="AM1069" t="str">
        <f>"10"</f>
        <v>10</v>
      </c>
      <c r="AN1069" t="str">
        <f>"500000"</f>
        <v>500000</v>
      </c>
      <c r="AO1069" t="str">
        <f>"הכנסות  מלקוחות"</f>
        <v>הכנסות  מלקוחות</v>
      </c>
      <c r="AQ1069" t="str">
        <f>"040"</f>
        <v>040</v>
      </c>
      <c r="AR1069">
        <v>0</v>
      </c>
      <c r="AS1069">
        <v>0</v>
      </c>
      <c r="AT1069">
        <v>3.3809999999999998</v>
      </c>
      <c r="AX1069" t="str">
        <f>"E000373403"</f>
        <v>E000373403</v>
      </c>
      <c r="BD1069" t="str">
        <f>"רחמים זרוק"</f>
        <v>רחמים זרוק</v>
      </c>
    </row>
    <row r="1070" spans="1:56" x14ac:dyDescent="0.3">
      <c r="A1070" s="1">
        <v>44944</v>
      </c>
      <c r="B1070" t="str">
        <f>"SI236000077"</f>
        <v>SI236000077</v>
      </c>
      <c r="C1070" t="str">
        <f>"PR22000579"</f>
        <v>PR22000579</v>
      </c>
      <c r="E1070" t="str">
        <f>"Y"</f>
        <v>Y</v>
      </c>
      <c r="F1070" t="str">
        <f>"חשבוניות מרכזות"</f>
        <v>חשבוניות מרכזות</v>
      </c>
      <c r="G1070" t="str">
        <f>"700065"</f>
        <v>700065</v>
      </c>
      <c r="H1070" t="str">
        <f>"אלתא מערכות בע""מ"</f>
        <v>אלתא מערכות בע"מ</v>
      </c>
      <c r="I1070" t="str">
        <f>"10"</f>
        <v>10</v>
      </c>
      <c r="J1070" t="str">
        <f>"OP-AR01674"</f>
        <v>OP-AR01674</v>
      </c>
      <c r="K1070" t="str">
        <f>"6649E322-001 W1292"</f>
        <v>6649E322-001 W1292</v>
      </c>
      <c r="L1070">
        <v>1</v>
      </c>
      <c r="M1070" t="str">
        <f>"יח"</f>
        <v>יח</v>
      </c>
      <c r="N1070">
        <v>1</v>
      </c>
      <c r="O1070" t="str">
        <f>"יח"</f>
        <v>יח</v>
      </c>
      <c r="P1070">
        <v>485.22</v>
      </c>
      <c r="Q1070" t="str">
        <f>"$"</f>
        <v>$</v>
      </c>
      <c r="R1070" t="str">
        <f>"הזמנה"</f>
        <v>הזמנה</v>
      </c>
      <c r="S1070">
        <v>0</v>
      </c>
      <c r="T1070">
        <v>485.22</v>
      </c>
      <c r="U1070">
        <v>0</v>
      </c>
      <c r="V1070">
        <v>485.22</v>
      </c>
      <c r="W1070" t="str">
        <f>"$"</f>
        <v>$</v>
      </c>
      <c r="X1070">
        <v>0</v>
      </c>
      <c r="Y1070">
        <v>0</v>
      </c>
      <c r="Z1070">
        <v>0</v>
      </c>
      <c r="AA1070" t="str">
        <f>"Y"</f>
        <v>Y</v>
      </c>
      <c r="AB1070" t="str">
        <f>"SO22000331"</f>
        <v>SO22000331</v>
      </c>
      <c r="AC1070">
        <v>5</v>
      </c>
      <c r="AD1070" s="1">
        <v>44788</v>
      </c>
      <c r="AE1070" t="str">
        <f>"SH23000078"</f>
        <v>SH23000078</v>
      </c>
      <c r="AF1070" t="str">
        <f>"משלוחים ללקוח"</f>
        <v>משלוחים ללקוח</v>
      </c>
      <c r="AG1070" s="1">
        <v>44942</v>
      </c>
      <c r="AM1070" t="str">
        <f>"10"</f>
        <v>10</v>
      </c>
      <c r="AN1070" t="str">
        <f>"500000"</f>
        <v>500000</v>
      </c>
      <c r="AO1070" t="str">
        <f>"הכנסות  מלקוחות"</f>
        <v>הכנסות  מלקוחות</v>
      </c>
      <c r="AQ1070" t="str">
        <f>"040"</f>
        <v>040</v>
      </c>
      <c r="AR1070">
        <v>0</v>
      </c>
      <c r="AS1070">
        <v>0</v>
      </c>
      <c r="AT1070">
        <v>3.3809999999999998</v>
      </c>
      <c r="AX1070" t="str">
        <f>"E000372142"</f>
        <v>E000372142</v>
      </c>
      <c r="BD1070" t="str">
        <f>"רחמים זרוק"</f>
        <v>רחמים זרוק</v>
      </c>
    </row>
    <row r="1071" spans="1:56" x14ac:dyDescent="0.3">
      <c r="A1071" s="1">
        <v>44944</v>
      </c>
      <c r="B1071" t="str">
        <f>"SI236000075"</f>
        <v>SI236000075</v>
      </c>
      <c r="C1071" t="str">
        <f>"PR22000483"</f>
        <v>PR22000483</v>
      </c>
      <c r="D1071" t="str">
        <f>"PR22000483"</f>
        <v>PR22000483</v>
      </c>
      <c r="E1071" t="str">
        <f>"Y"</f>
        <v>Y</v>
      </c>
      <c r="F1071" t="str">
        <f>"חשבוניות מרכזות"</f>
        <v>חשבוניות מרכזות</v>
      </c>
      <c r="G1071" t="str">
        <f>"700065"</f>
        <v>700065</v>
      </c>
      <c r="H1071" t="str">
        <f>"אלתא מערכות בע""מ"</f>
        <v>אלתא מערכות בע"מ</v>
      </c>
      <c r="I1071" t="str">
        <f>"10"</f>
        <v>10</v>
      </c>
      <c r="J1071" t="str">
        <f>"OP-AR03208"</f>
        <v>OP-AR03208</v>
      </c>
      <c r="K1071" t="str">
        <f>"1096H331-001     DC HARNESS TRA (W1)"</f>
        <v>1096H331-001     DC HARNESS TRA (W1)</v>
      </c>
      <c r="L1071">
        <v>16</v>
      </c>
      <c r="M1071" t="str">
        <f>"יח"</f>
        <v>יח</v>
      </c>
      <c r="N1071">
        <v>16</v>
      </c>
      <c r="O1071" t="str">
        <f>"יח"</f>
        <v>יח</v>
      </c>
      <c r="P1071">
        <v>833.5</v>
      </c>
      <c r="Q1071" t="str">
        <f>"$"</f>
        <v>$</v>
      </c>
      <c r="R1071" t="str">
        <f>"הזמנה"</f>
        <v>הזמנה</v>
      </c>
      <c r="S1071">
        <v>0</v>
      </c>
      <c r="T1071" s="2">
        <v>13336</v>
      </c>
      <c r="U1071">
        <v>0</v>
      </c>
      <c r="V1071" s="2">
        <v>13336</v>
      </c>
      <c r="W1071" t="str">
        <f>"$"</f>
        <v>$</v>
      </c>
      <c r="X1071">
        <v>0</v>
      </c>
      <c r="Y1071">
        <v>0</v>
      </c>
      <c r="Z1071">
        <v>0</v>
      </c>
      <c r="AA1071" t="str">
        <f>"Y"</f>
        <v>Y</v>
      </c>
      <c r="AB1071" t="str">
        <f>"SO22000256"</f>
        <v>SO22000256</v>
      </c>
      <c r="AC1071">
        <v>1</v>
      </c>
      <c r="AD1071" s="1">
        <v>44738</v>
      </c>
      <c r="AE1071" t="str">
        <f>"SH23000077"</f>
        <v>SH23000077</v>
      </c>
      <c r="AF1071" t="str">
        <f>"משלוחים ללקוח"</f>
        <v>משלוחים ללקוח</v>
      </c>
      <c r="AG1071" s="1">
        <v>44942</v>
      </c>
      <c r="AM1071" t="str">
        <f>"10"</f>
        <v>10</v>
      </c>
      <c r="AN1071" t="str">
        <f>"500000"</f>
        <v>500000</v>
      </c>
      <c r="AO1071" t="str">
        <f>"הכנסות  מלקוחות"</f>
        <v>הכנסות  מלקוחות</v>
      </c>
      <c r="AQ1071" t="str">
        <f>"040"</f>
        <v>040</v>
      </c>
      <c r="AR1071">
        <v>0</v>
      </c>
      <c r="AS1071">
        <v>0</v>
      </c>
      <c r="AT1071">
        <v>3.3809999999999998</v>
      </c>
      <c r="AX1071" t="str">
        <f>"E000367695"</f>
        <v>E000367695</v>
      </c>
      <c r="BD1071" t="str">
        <f>"רחמים זרוק"</f>
        <v>רחמים זרוק</v>
      </c>
    </row>
    <row r="1072" spans="1:56" x14ac:dyDescent="0.3">
      <c r="A1072" s="1">
        <v>44944</v>
      </c>
      <c r="B1072" t="str">
        <f>"SI236000073"</f>
        <v>SI236000073</v>
      </c>
      <c r="C1072" t="str">
        <f>"PR22000459"</f>
        <v>PR22000459</v>
      </c>
      <c r="D1072" t="str">
        <f>"PR22000459"</f>
        <v>PR22000459</v>
      </c>
      <c r="E1072" t="str">
        <f>"Y"</f>
        <v>Y</v>
      </c>
      <c r="F1072" t="str">
        <f>"חשבוניות מרכזות"</f>
        <v>חשבוניות מרכזות</v>
      </c>
      <c r="G1072" t="str">
        <f>"700065"</f>
        <v>700065</v>
      </c>
      <c r="H1072" t="str">
        <f>"אלתא מערכות בע""מ"</f>
        <v>אלתא מערכות בע"מ</v>
      </c>
      <c r="I1072" t="str">
        <f>"10"</f>
        <v>10</v>
      </c>
      <c r="J1072" t="str">
        <f>"OP-AR03185"</f>
        <v>OP-AR03185</v>
      </c>
      <c r="K1072" t="str">
        <f>"1038N297-001   GROUND CABLE WN297 - ROD TO PALLET CHASS"</f>
        <v>1038N297-001   GROUND CABLE WN297 - ROD TO PALLET CHASS</v>
      </c>
      <c r="L1072">
        <v>1</v>
      </c>
      <c r="M1072" t="str">
        <f>"יח"</f>
        <v>יח</v>
      </c>
      <c r="N1072">
        <v>1</v>
      </c>
      <c r="O1072" t="str">
        <f>"יח"</f>
        <v>יח</v>
      </c>
      <c r="P1072">
        <v>261.88</v>
      </c>
      <c r="Q1072" t="str">
        <f>"$"</f>
        <v>$</v>
      </c>
      <c r="R1072" t="str">
        <f>"הזמנה"</f>
        <v>הזמנה</v>
      </c>
      <c r="S1072">
        <v>0</v>
      </c>
      <c r="T1072">
        <v>261.88</v>
      </c>
      <c r="U1072">
        <v>0</v>
      </c>
      <c r="V1072">
        <v>261.88</v>
      </c>
      <c r="W1072" t="str">
        <f>"$"</f>
        <v>$</v>
      </c>
      <c r="X1072">
        <v>0</v>
      </c>
      <c r="Y1072">
        <v>0</v>
      </c>
      <c r="Z1072">
        <v>0</v>
      </c>
      <c r="AA1072" t="str">
        <f>"Y"</f>
        <v>Y</v>
      </c>
      <c r="AB1072" t="str">
        <f>"SO22000241"</f>
        <v>SO22000241</v>
      </c>
      <c r="AC1072">
        <v>12</v>
      </c>
      <c r="AD1072" s="1">
        <v>44731</v>
      </c>
      <c r="AE1072" t="str">
        <f>"SH23000079"</f>
        <v>SH23000079</v>
      </c>
      <c r="AF1072" t="str">
        <f>"משלוחים ללקוח"</f>
        <v>משלוחים ללקוח</v>
      </c>
      <c r="AG1072" s="1">
        <v>44942</v>
      </c>
      <c r="AM1072" t="str">
        <f>"10"</f>
        <v>10</v>
      </c>
      <c r="AN1072" t="str">
        <f>"500000"</f>
        <v>500000</v>
      </c>
      <c r="AO1072" t="str">
        <f>"הכנסות  מלקוחות"</f>
        <v>הכנסות  מלקוחות</v>
      </c>
      <c r="AQ1072" t="str">
        <f>"040"</f>
        <v>040</v>
      </c>
      <c r="AR1072">
        <v>0</v>
      </c>
      <c r="AS1072">
        <v>0</v>
      </c>
      <c r="AT1072">
        <v>3.3809999999999998</v>
      </c>
      <c r="AX1072" t="str">
        <f>"E000365938"</f>
        <v>E000365938</v>
      </c>
      <c r="BD1072" t="str">
        <f>"רחמים זרוק"</f>
        <v>רחמים זרוק</v>
      </c>
    </row>
    <row r="1073" spans="1:56" x14ac:dyDescent="0.3">
      <c r="A1073" s="1">
        <v>44944</v>
      </c>
      <c r="B1073" t="str">
        <f>"SI236000069"</f>
        <v>SI236000069</v>
      </c>
      <c r="C1073" t="str">
        <f>"PR22000459"</f>
        <v>PR22000459</v>
      </c>
      <c r="D1073" t="str">
        <f>"PR22000459"</f>
        <v>PR22000459</v>
      </c>
      <c r="E1073" t="str">
        <f>"Y"</f>
        <v>Y</v>
      </c>
      <c r="F1073" t="str">
        <f>"חשבוניות מרכזות"</f>
        <v>חשבוניות מרכזות</v>
      </c>
      <c r="G1073" t="str">
        <f>"700065"</f>
        <v>700065</v>
      </c>
      <c r="H1073" t="str">
        <f>"אלתא מערכות בע""מ"</f>
        <v>אלתא מערכות בע"מ</v>
      </c>
      <c r="I1073" t="str">
        <f>"10"</f>
        <v>10</v>
      </c>
      <c r="J1073" t="str">
        <f>"OP-AR01937"</f>
        <v>OP-AR01937</v>
      </c>
      <c r="K1073" t="str">
        <f>"1023B599-001  WV099 ELEVATION AXIS WARING SWIT"</f>
        <v>1023B599-001  WV099 ELEVATION AXIS WARING SWIT</v>
      </c>
      <c r="L1073">
        <v>2</v>
      </c>
      <c r="M1073" t="str">
        <f>"יח"</f>
        <v>יח</v>
      </c>
      <c r="N1073">
        <v>2</v>
      </c>
      <c r="O1073" t="str">
        <f>"יח"</f>
        <v>יח</v>
      </c>
      <c r="P1073" s="2">
        <v>1101.68</v>
      </c>
      <c r="Q1073" t="str">
        <f>"$"</f>
        <v>$</v>
      </c>
      <c r="R1073" t="str">
        <f>"הזמנה"</f>
        <v>הזמנה</v>
      </c>
      <c r="S1073">
        <v>0</v>
      </c>
      <c r="T1073" s="2">
        <v>2203.36</v>
      </c>
      <c r="U1073">
        <v>0</v>
      </c>
      <c r="V1073" s="2">
        <v>2203.36</v>
      </c>
      <c r="W1073" t="str">
        <f>"$"</f>
        <v>$</v>
      </c>
      <c r="X1073">
        <v>0</v>
      </c>
      <c r="Y1073">
        <v>0</v>
      </c>
      <c r="Z1073">
        <v>0</v>
      </c>
      <c r="AA1073" t="str">
        <f>"Y"</f>
        <v>Y</v>
      </c>
      <c r="AB1073" t="str">
        <f>"SO22000241"</f>
        <v>SO22000241</v>
      </c>
      <c r="AC1073">
        <v>16</v>
      </c>
      <c r="AD1073" s="1">
        <v>44731</v>
      </c>
      <c r="AE1073" t="str">
        <f>"SH23000075"</f>
        <v>SH23000075</v>
      </c>
      <c r="AF1073" t="str">
        <f>"משלוחים ללקוח"</f>
        <v>משלוחים ללקוח</v>
      </c>
      <c r="AG1073" s="1">
        <v>44942</v>
      </c>
      <c r="AM1073" t="str">
        <f>"10"</f>
        <v>10</v>
      </c>
      <c r="AN1073" t="str">
        <f>"500000"</f>
        <v>500000</v>
      </c>
      <c r="AO1073" t="str">
        <f>"הכנסות  מלקוחות"</f>
        <v>הכנסות  מלקוחות</v>
      </c>
      <c r="AQ1073" t="str">
        <f>"040"</f>
        <v>040</v>
      </c>
      <c r="AR1073">
        <v>0</v>
      </c>
      <c r="AS1073">
        <v>0</v>
      </c>
      <c r="AT1073">
        <v>3.3809999999999998</v>
      </c>
      <c r="AX1073" t="str">
        <f>"E000365938"</f>
        <v>E000365938</v>
      </c>
      <c r="BD1073" t="str">
        <f>"רחמים זרוק"</f>
        <v>רחמים זרוק</v>
      </c>
    </row>
    <row r="1074" spans="1:56" x14ac:dyDescent="0.3">
      <c r="A1074" s="1">
        <v>44943</v>
      </c>
      <c r="B1074" t="str">
        <f>"SI236000081"</f>
        <v>SI236000081</v>
      </c>
      <c r="C1074" t="str">
        <f>"PR22000199"</f>
        <v>PR22000199</v>
      </c>
      <c r="E1074" t="str">
        <f>"Y"</f>
        <v>Y</v>
      </c>
      <c r="F1074" t="str">
        <f>"חשבוניות מרכזות"</f>
        <v>חשבוניות מרכזות</v>
      </c>
      <c r="G1074" t="str">
        <f>"700065"</f>
        <v>700065</v>
      </c>
      <c r="H1074" t="str">
        <f>"אלתא מערכות בע""מ"</f>
        <v>אלתא מערכות בע"מ</v>
      </c>
      <c r="I1074" t="str">
        <f>"05"</f>
        <v>05</v>
      </c>
      <c r="J1074" t="str">
        <f>"OP-AR03243"</f>
        <v>OP-AR03243</v>
      </c>
      <c r="K1074" t="str">
        <f>"320VDC 96KW SYSTEM"</f>
        <v>320VDC 96KW SYSTEM</v>
      </c>
      <c r="L1074">
        <v>1</v>
      </c>
      <c r="M1074" t="str">
        <f>"יח"</f>
        <v>יח</v>
      </c>
      <c r="N1074">
        <v>1</v>
      </c>
      <c r="O1074" t="str">
        <f>"יח"</f>
        <v>יח</v>
      </c>
      <c r="P1074" s="2">
        <v>37528</v>
      </c>
      <c r="Q1074" t="str">
        <f>"$"</f>
        <v>$</v>
      </c>
      <c r="R1074" t="str">
        <f>"הזמנה"</f>
        <v>הזמנה</v>
      </c>
      <c r="S1074">
        <v>0</v>
      </c>
      <c r="T1074" s="2">
        <v>37528</v>
      </c>
      <c r="U1074">
        <v>0</v>
      </c>
      <c r="V1074" s="2">
        <v>37528</v>
      </c>
      <c r="W1074" t="str">
        <f>"$"</f>
        <v>$</v>
      </c>
      <c r="X1074">
        <v>0</v>
      </c>
      <c r="Y1074">
        <v>0</v>
      </c>
      <c r="Z1074">
        <v>0</v>
      </c>
      <c r="AA1074" t="str">
        <f>"Y"</f>
        <v>Y</v>
      </c>
      <c r="AB1074" t="str">
        <f>"SO22000082"</f>
        <v>SO22000082</v>
      </c>
      <c r="AC1074">
        <v>1</v>
      </c>
      <c r="AD1074" s="1">
        <v>44622</v>
      </c>
      <c r="AE1074" t="str">
        <f>"SH22001510"</f>
        <v>SH22001510</v>
      </c>
      <c r="AF1074" t="str">
        <f>"משלוחים ללקוח"</f>
        <v>משלוחים ללקוח</v>
      </c>
      <c r="AG1074" s="1">
        <v>44922</v>
      </c>
      <c r="AM1074" t="str">
        <f>"10"</f>
        <v>10</v>
      </c>
      <c r="AN1074" t="str">
        <f>"500000"</f>
        <v>500000</v>
      </c>
      <c r="AO1074" t="str">
        <f>"הכנסות  מלקוחות"</f>
        <v>הכנסות  מלקוחות</v>
      </c>
      <c r="AQ1074" t="str">
        <f>"034"</f>
        <v>034</v>
      </c>
      <c r="AR1074">
        <v>0</v>
      </c>
      <c r="AS1074">
        <v>0</v>
      </c>
      <c r="AT1074">
        <v>3.4180000000000001</v>
      </c>
      <c r="AX1074" t="str">
        <f>"E000358717"</f>
        <v>E000358717</v>
      </c>
      <c r="BD1074" t="str">
        <f>"ערן שלו"</f>
        <v>ערן שלו</v>
      </c>
    </row>
    <row r="1075" spans="1:56" x14ac:dyDescent="0.3">
      <c r="A1075" s="1">
        <v>44943</v>
      </c>
      <c r="B1075" t="str">
        <f>"SI236000056"</f>
        <v>SI236000056</v>
      </c>
      <c r="C1075" t="str">
        <f>"PR22000923"</f>
        <v>PR22000923</v>
      </c>
      <c r="E1075" t="str">
        <f>"Y"</f>
        <v>Y</v>
      </c>
      <c r="F1075" t="str">
        <f>"חשבוניות מרכזות"</f>
        <v>חשבוניות מרכזות</v>
      </c>
      <c r="G1075" t="str">
        <f>"700065"</f>
        <v>700065</v>
      </c>
      <c r="H1075" t="str">
        <f>"אלתא מערכות בע""מ"</f>
        <v>אלתא מערכות בע"מ</v>
      </c>
      <c r="I1075" t="str">
        <f>"10"</f>
        <v>10</v>
      </c>
      <c r="J1075" t="str">
        <f>"PS0230057"</f>
        <v>PS0230057</v>
      </c>
      <c r="K1075" t="str">
        <f>"(d0117478)Rectifier DPR 3500B -24 DELTA"</f>
        <v>(d0117478)Rectifier DPR 3500B -24 DELTA</v>
      </c>
      <c r="L1075">
        <v>6</v>
      </c>
      <c r="M1075" t="str">
        <f>"יח"</f>
        <v>יח</v>
      </c>
      <c r="N1075">
        <v>6</v>
      </c>
      <c r="O1075" t="str">
        <f>"יח"</f>
        <v>יח</v>
      </c>
      <c r="P1075">
        <v>850</v>
      </c>
      <c r="Q1075" t="str">
        <f>"$"</f>
        <v>$</v>
      </c>
      <c r="R1075" t="str">
        <f>"הזמנה"</f>
        <v>הזמנה</v>
      </c>
      <c r="S1075">
        <v>0</v>
      </c>
      <c r="T1075" s="2">
        <v>5100</v>
      </c>
      <c r="U1075">
        <v>0</v>
      </c>
      <c r="V1075" s="2">
        <v>5100</v>
      </c>
      <c r="W1075" t="str">
        <f>"$"</f>
        <v>$</v>
      </c>
      <c r="X1075">
        <v>0</v>
      </c>
      <c r="Y1075">
        <v>0</v>
      </c>
      <c r="Z1075">
        <v>0</v>
      </c>
      <c r="AA1075" t="str">
        <f>"Y"</f>
        <v>Y</v>
      </c>
      <c r="AB1075" t="str">
        <f>"SO22000488"</f>
        <v>SO22000488</v>
      </c>
      <c r="AC1075">
        <v>1</v>
      </c>
      <c r="AD1075" s="1">
        <v>44922</v>
      </c>
      <c r="AE1075" t="str">
        <f>"SH22001513"</f>
        <v>SH22001513</v>
      </c>
      <c r="AF1075" t="str">
        <f>"משלוחים ללקוח"</f>
        <v>משלוחים ללקוח</v>
      </c>
      <c r="AG1075" s="1">
        <v>44922</v>
      </c>
      <c r="AM1075" t="str">
        <f>"10"</f>
        <v>10</v>
      </c>
      <c r="AN1075" t="str">
        <f>"500000"</f>
        <v>500000</v>
      </c>
      <c r="AO1075" t="str">
        <f>"הכנסות  מלקוחות"</f>
        <v>הכנסות  מלקוחות</v>
      </c>
      <c r="AQ1075" t="str">
        <f>"040"</f>
        <v>040</v>
      </c>
      <c r="AR1075">
        <v>0</v>
      </c>
      <c r="AS1075">
        <v>0</v>
      </c>
      <c r="AT1075">
        <v>3.4180000000000001</v>
      </c>
      <c r="AX1075" t="str">
        <f>"E000381379"</f>
        <v>E000381379</v>
      </c>
      <c r="BD1075" t="str">
        <f>"רחמים זרוק"</f>
        <v>רחמים זרוק</v>
      </c>
    </row>
    <row r="1076" spans="1:56" x14ac:dyDescent="0.3">
      <c r="A1076" s="1">
        <v>44938</v>
      </c>
      <c r="B1076" t="str">
        <f>"SI236000207"</f>
        <v>SI236000207</v>
      </c>
      <c r="C1076" t="str">
        <f>"PR22000629"</f>
        <v>PR22000629</v>
      </c>
      <c r="D1076" t="str">
        <f>"PR22000629"</f>
        <v>PR22000629</v>
      </c>
      <c r="E1076" t="str">
        <f>"Y"</f>
        <v>Y</v>
      </c>
      <c r="F1076" t="str">
        <f>"חשבוניות מרכזות"</f>
        <v>חשבוניות מרכזות</v>
      </c>
      <c r="G1076" t="str">
        <f>"700065"</f>
        <v>700065</v>
      </c>
      <c r="H1076" t="str">
        <f>"אלתא מערכות בע""מ"</f>
        <v>אלתא מערכות בע"מ</v>
      </c>
      <c r="I1076" t="str">
        <f>"10"</f>
        <v>10</v>
      </c>
      <c r="J1076" t="str">
        <f>"OP-AR03334"</f>
        <v>OP-AR03334</v>
      </c>
      <c r="K1076" t="str">
        <f>"1041G801-001    HARNESS W801 - CONTROL KVM C2"</f>
        <v>1041G801-001    HARNESS W801 - CONTROL KVM C2</v>
      </c>
      <c r="L1076">
        <v>4</v>
      </c>
      <c r="M1076" t="str">
        <f>"יח"</f>
        <v>יח</v>
      </c>
      <c r="N1076">
        <v>4</v>
      </c>
      <c r="O1076" t="str">
        <f>"יח"</f>
        <v>יח</v>
      </c>
      <c r="P1076">
        <v>565.75</v>
      </c>
      <c r="Q1076" t="str">
        <f>"$"</f>
        <v>$</v>
      </c>
      <c r="R1076" t="str">
        <f>"הזמנה"</f>
        <v>הזמנה</v>
      </c>
      <c r="S1076">
        <v>0</v>
      </c>
      <c r="T1076" s="2">
        <v>2263</v>
      </c>
      <c r="U1076">
        <v>0</v>
      </c>
      <c r="V1076" s="2">
        <v>2263</v>
      </c>
      <c r="W1076" t="str">
        <f>"$"</f>
        <v>$</v>
      </c>
      <c r="X1076">
        <v>0</v>
      </c>
      <c r="Y1076">
        <v>0</v>
      </c>
      <c r="Z1076">
        <v>0</v>
      </c>
      <c r="AA1076" t="str">
        <f>"Y"</f>
        <v>Y</v>
      </c>
      <c r="AB1076" t="str">
        <f>"SO22000378"</f>
        <v>SO22000378</v>
      </c>
      <c r="AC1076">
        <v>1</v>
      </c>
      <c r="AD1076" s="1">
        <v>44847</v>
      </c>
      <c r="AE1076" t="str">
        <f>"SH23000066"</f>
        <v>SH23000066</v>
      </c>
      <c r="AF1076" t="str">
        <f>"משלוחים ללקוח"</f>
        <v>משלוחים ללקוח</v>
      </c>
      <c r="AG1076" s="1">
        <v>44938</v>
      </c>
      <c r="AM1076" t="str">
        <f>"10"</f>
        <v>10</v>
      </c>
      <c r="AN1076" t="str">
        <f>"500000"</f>
        <v>500000</v>
      </c>
      <c r="AO1076" t="str">
        <f>"הכנסות  מלקוחות"</f>
        <v>הכנסות  מלקוחות</v>
      </c>
      <c r="AQ1076" t="str">
        <f>"040"</f>
        <v>040</v>
      </c>
      <c r="AR1076">
        <v>0</v>
      </c>
      <c r="AS1076">
        <v>0</v>
      </c>
      <c r="AT1076">
        <v>3.4289999999999998</v>
      </c>
      <c r="AX1076" t="str">
        <f>"E000374542"</f>
        <v>E000374542</v>
      </c>
      <c r="BD1076" t="str">
        <f>"רחמים זרוק"</f>
        <v>רחמים זרוק</v>
      </c>
    </row>
    <row r="1077" spans="1:56" x14ac:dyDescent="0.3">
      <c r="A1077" s="1">
        <v>44938</v>
      </c>
      <c r="B1077" t="str">
        <f>"SI236000207"</f>
        <v>SI236000207</v>
      </c>
      <c r="C1077" t="str">
        <f>"PR22000629"</f>
        <v>PR22000629</v>
      </c>
      <c r="D1077" t="str">
        <f>"PR22000629"</f>
        <v>PR22000629</v>
      </c>
      <c r="E1077" t="str">
        <f>"Y"</f>
        <v>Y</v>
      </c>
      <c r="F1077" t="str">
        <f>"חשבוניות מרכזות"</f>
        <v>חשבוניות מרכזות</v>
      </c>
      <c r="G1077" t="str">
        <f>"700065"</f>
        <v>700065</v>
      </c>
      <c r="H1077" t="str">
        <f>"אלתא מערכות בע""מ"</f>
        <v>אלתא מערכות בע"מ</v>
      </c>
      <c r="I1077" t="str">
        <f>"10"</f>
        <v>10</v>
      </c>
      <c r="J1077" t="str">
        <f>"OP-AR03335"</f>
        <v>OP-AR03335</v>
      </c>
      <c r="K1077" t="str">
        <f>"1041G802-001    CONTROL KVM NOVA (W802)"</f>
        <v>1041G802-001    CONTROL KVM NOVA (W802)</v>
      </c>
      <c r="L1077">
        <v>4</v>
      </c>
      <c r="M1077" t="str">
        <f>"יח"</f>
        <v>יח</v>
      </c>
      <c r="N1077">
        <v>4</v>
      </c>
      <c r="O1077" t="str">
        <f>"יח"</f>
        <v>יח</v>
      </c>
      <c r="P1077">
        <v>585.62</v>
      </c>
      <c r="Q1077" t="str">
        <f>"$"</f>
        <v>$</v>
      </c>
      <c r="R1077" t="str">
        <f>"הזמנה"</f>
        <v>הזמנה</v>
      </c>
      <c r="S1077">
        <v>0</v>
      </c>
      <c r="T1077" s="2">
        <v>2342.48</v>
      </c>
      <c r="U1077">
        <v>0</v>
      </c>
      <c r="V1077" s="2">
        <v>2342.48</v>
      </c>
      <c r="W1077" t="str">
        <f>"$"</f>
        <v>$</v>
      </c>
      <c r="X1077">
        <v>0</v>
      </c>
      <c r="Y1077">
        <v>0</v>
      </c>
      <c r="Z1077">
        <v>0</v>
      </c>
      <c r="AA1077" t="str">
        <f>"Y"</f>
        <v>Y</v>
      </c>
      <c r="AB1077" t="str">
        <f>"SO22000378"</f>
        <v>SO22000378</v>
      </c>
      <c r="AC1077">
        <v>2</v>
      </c>
      <c r="AD1077" s="1">
        <v>44847</v>
      </c>
      <c r="AE1077" t="str">
        <f>"SH23000066"</f>
        <v>SH23000066</v>
      </c>
      <c r="AF1077" t="str">
        <f>"משלוחים ללקוח"</f>
        <v>משלוחים ללקוח</v>
      </c>
      <c r="AG1077" s="1">
        <v>44938</v>
      </c>
      <c r="AM1077" t="str">
        <f>"10"</f>
        <v>10</v>
      </c>
      <c r="AN1077" t="str">
        <f>"500000"</f>
        <v>500000</v>
      </c>
      <c r="AO1077" t="str">
        <f>"הכנסות  מלקוחות"</f>
        <v>הכנסות  מלקוחות</v>
      </c>
      <c r="AQ1077" t="str">
        <f>"040"</f>
        <v>040</v>
      </c>
      <c r="AR1077">
        <v>0</v>
      </c>
      <c r="AS1077">
        <v>0</v>
      </c>
      <c r="AT1077">
        <v>3.4289999999999998</v>
      </c>
      <c r="AX1077" t="str">
        <f>"E000374542"</f>
        <v>E000374542</v>
      </c>
      <c r="BD1077" t="str">
        <f>"רחמים זרוק"</f>
        <v>רחמים זרוק</v>
      </c>
    </row>
    <row r="1078" spans="1:56" x14ac:dyDescent="0.3">
      <c r="A1078" s="1">
        <v>44938</v>
      </c>
      <c r="B1078" t="str">
        <f>"SI236000207"</f>
        <v>SI236000207</v>
      </c>
      <c r="C1078" t="str">
        <f>"PR22000629"</f>
        <v>PR22000629</v>
      </c>
      <c r="D1078" t="str">
        <f>"PR22000629"</f>
        <v>PR22000629</v>
      </c>
      <c r="E1078" t="str">
        <f>"Y"</f>
        <v>Y</v>
      </c>
      <c r="F1078" t="str">
        <f>"חשבוניות מרכזות"</f>
        <v>חשבוניות מרכזות</v>
      </c>
      <c r="G1078" t="str">
        <f>"700065"</f>
        <v>700065</v>
      </c>
      <c r="H1078" t="str">
        <f>"אלתא מערכות בע""מ"</f>
        <v>אלתא מערכות בע"מ</v>
      </c>
      <c r="I1078" t="str">
        <f>"10"</f>
        <v>10</v>
      </c>
      <c r="J1078" t="str">
        <f>"OP-AR03336"</f>
        <v>OP-AR03336</v>
      </c>
      <c r="K1078" t="str">
        <f>"1041G803-001    CONTROL CABLE WC064a"</f>
        <v>1041G803-001    CONTROL CABLE WC064a</v>
      </c>
      <c r="L1078">
        <v>2</v>
      </c>
      <c r="M1078" t="str">
        <f>"יח"</f>
        <v>יח</v>
      </c>
      <c r="N1078">
        <v>2</v>
      </c>
      <c r="O1078" t="str">
        <f>"יח"</f>
        <v>יח</v>
      </c>
      <c r="P1078">
        <v>634.75</v>
      </c>
      <c r="Q1078" t="str">
        <f>"$"</f>
        <v>$</v>
      </c>
      <c r="R1078" t="str">
        <f>"הזמנה"</f>
        <v>הזמנה</v>
      </c>
      <c r="S1078">
        <v>0</v>
      </c>
      <c r="T1078" s="2">
        <v>1269.5</v>
      </c>
      <c r="U1078">
        <v>0</v>
      </c>
      <c r="V1078" s="2">
        <v>1269.5</v>
      </c>
      <c r="W1078" t="str">
        <f>"$"</f>
        <v>$</v>
      </c>
      <c r="X1078">
        <v>0</v>
      </c>
      <c r="Y1078">
        <v>0</v>
      </c>
      <c r="Z1078">
        <v>0</v>
      </c>
      <c r="AA1078" t="str">
        <f>"Y"</f>
        <v>Y</v>
      </c>
      <c r="AB1078" t="str">
        <f>"SO22000378"</f>
        <v>SO22000378</v>
      </c>
      <c r="AC1078">
        <v>3</v>
      </c>
      <c r="AD1078" s="1">
        <v>44847</v>
      </c>
      <c r="AE1078" t="str">
        <f>"SH23000066"</f>
        <v>SH23000066</v>
      </c>
      <c r="AF1078" t="str">
        <f>"משלוחים ללקוח"</f>
        <v>משלוחים ללקוח</v>
      </c>
      <c r="AG1078" s="1">
        <v>44938</v>
      </c>
      <c r="AM1078" t="str">
        <f>"10"</f>
        <v>10</v>
      </c>
      <c r="AN1078" t="str">
        <f>"500000"</f>
        <v>500000</v>
      </c>
      <c r="AO1078" t="str">
        <f>"הכנסות  מלקוחות"</f>
        <v>הכנסות  מלקוחות</v>
      </c>
      <c r="AQ1078" t="str">
        <f>"040"</f>
        <v>040</v>
      </c>
      <c r="AR1078">
        <v>0</v>
      </c>
      <c r="AS1078">
        <v>0</v>
      </c>
      <c r="AT1078">
        <v>3.4289999999999998</v>
      </c>
      <c r="AX1078" t="str">
        <f>"E000374542"</f>
        <v>E000374542</v>
      </c>
      <c r="BD1078" t="str">
        <f>"רחמים זרוק"</f>
        <v>רחמים זרוק</v>
      </c>
    </row>
    <row r="1079" spans="1:56" x14ac:dyDescent="0.3">
      <c r="A1079" s="1">
        <v>44938</v>
      </c>
      <c r="B1079" t="str">
        <f>"SI236000207"</f>
        <v>SI236000207</v>
      </c>
      <c r="C1079" t="str">
        <f>"PR22000629"</f>
        <v>PR22000629</v>
      </c>
      <c r="D1079" t="str">
        <f>"PR22000629"</f>
        <v>PR22000629</v>
      </c>
      <c r="E1079" t="str">
        <f>"Y"</f>
        <v>Y</v>
      </c>
      <c r="F1079" t="str">
        <f>"חשבוניות מרכזות"</f>
        <v>חשבוניות מרכזות</v>
      </c>
      <c r="G1079" t="str">
        <f>"700065"</f>
        <v>700065</v>
      </c>
      <c r="H1079" t="str">
        <f>"אלתא מערכות בע""מ"</f>
        <v>אלתא מערכות בע"מ</v>
      </c>
      <c r="I1079" t="str">
        <f>"10"</f>
        <v>10</v>
      </c>
      <c r="J1079" t="str">
        <f>"OP-AR03337"</f>
        <v>OP-AR03337</v>
      </c>
      <c r="K1079" t="str">
        <f>"1041G804-001    POWER CABLE WP112 - INTERCOM AND SPEAKER"</f>
        <v>1041G804-001    POWER CABLE WP112 - INTERCOM AND SPEAKER</v>
      </c>
      <c r="L1079">
        <v>2</v>
      </c>
      <c r="M1079" t="str">
        <f>"יח"</f>
        <v>יח</v>
      </c>
      <c r="N1079">
        <v>2</v>
      </c>
      <c r="O1079" t="str">
        <f>"יח"</f>
        <v>יח</v>
      </c>
      <c r="P1079">
        <v>610.11</v>
      </c>
      <c r="Q1079" t="str">
        <f>"$"</f>
        <v>$</v>
      </c>
      <c r="R1079" t="str">
        <f>"הזמנה"</f>
        <v>הזמנה</v>
      </c>
      <c r="S1079">
        <v>0</v>
      </c>
      <c r="T1079" s="2">
        <v>1220.22</v>
      </c>
      <c r="U1079">
        <v>0</v>
      </c>
      <c r="V1079" s="2">
        <v>1220.22</v>
      </c>
      <c r="W1079" t="str">
        <f>"$"</f>
        <v>$</v>
      </c>
      <c r="X1079">
        <v>0</v>
      </c>
      <c r="Y1079">
        <v>0</v>
      </c>
      <c r="Z1079">
        <v>0</v>
      </c>
      <c r="AA1079" t="str">
        <f>"Y"</f>
        <v>Y</v>
      </c>
      <c r="AB1079" t="str">
        <f>"SO22000378"</f>
        <v>SO22000378</v>
      </c>
      <c r="AC1079">
        <v>4</v>
      </c>
      <c r="AD1079" s="1">
        <v>44847</v>
      </c>
      <c r="AE1079" t="str">
        <f>"SH23000066"</f>
        <v>SH23000066</v>
      </c>
      <c r="AF1079" t="str">
        <f>"משלוחים ללקוח"</f>
        <v>משלוחים ללקוח</v>
      </c>
      <c r="AG1079" s="1">
        <v>44938</v>
      </c>
      <c r="AM1079" t="str">
        <f>"10"</f>
        <v>10</v>
      </c>
      <c r="AN1079" t="str">
        <f>"500000"</f>
        <v>500000</v>
      </c>
      <c r="AO1079" t="str">
        <f>"הכנסות  מלקוחות"</f>
        <v>הכנסות  מלקוחות</v>
      </c>
      <c r="AQ1079" t="str">
        <f>"040"</f>
        <v>040</v>
      </c>
      <c r="AR1079">
        <v>0</v>
      </c>
      <c r="AS1079">
        <v>0</v>
      </c>
      <c r="AT1079">
        <v>3.4289999999999998</v>
      </c>
      <c r="AX1079" t="str">
        <f>"E000374542"</f>
        <v>E000374542</v>
      </c>
      <c r="BD1079" t="str">
        <f>"רחמים זרוק"</f>
        <v>רחמים זרוק</v>
      </c>
    </row>
    <row r="1080" spans="1:56" x14ac:dyDescent="0.3">
      <c r="A1080" s="1">
        <v>44938</v>
      </c>
      <c r="B1080" t="str">
        <f>"SI236000207"</f>
        <v>SI236000207</v>
      </c>
      <c r="C1080" t="str">
        <f>"PR22000629"</f>
        <v>PR22000629</v>
      </c>
      <c r="D1080" t="str">
        <f>"PR22000629"</f>
        <v>PR22000629</v>
      </c>
      <c r="E1080" t="str">
        <f>"Y"</f>
        <v>Y</v>
      </c>
      <c r="F1080" t="str">
        <f>"חשבוניות מרכזות"</f>
        <v>חשבוניות מרכזות</v>
      </c>
      <c r="G1080" t="str">
        <f>"700065"</f>
        <v>700065</v>
      </c>
      <c r="H1080" t="str">
        <f>"אלתא מערכות בע""מ"</f>
        <v>אלתא מערכות בע"מ</v>
      </c>
      <c r="I1080" t="str">
        <f>"10"</f>
        <v>10</v>
      </c>
      <c r="J1080" t="str">
        <f>"OP-AR03338"</f>
        <v>OP-AR03338</v>
      </c>
      <c r="K1080" t="str">
        <f>"1041G805-001   CONTROL CABLE WC064b"</f>
        <v>1041G805-001   CONTROL CABLE WC064b</v>
      </c>
      <c r="L1080">
        <v>1</v>
      </c>
      <c r="M1080" t="str">
        <f>"יח"</f>
        <v>יח</v>
      </c>
      <c r="N1080">
        <v>1</v>
      </c>
      <c r="O1080" t="str">
        <f>"יח"</f>
        <v>יח</v>
      </c>
      <c r="P1080">
        <v>606.66</v>
      </c>
      <c r="Q1080" t="str">
        <f>"$"</f>
        <v>$</v>
      </c>
      <c r="R1080" t="str">
        <f>"הזמנה"</f>
        <v>הזמנה</v>
      </c>
      <c r="S1080">
        <v>0</v>
      </c>
      <c r="T1080">
        <v>606.66</v>
      </c>
      <c r="U1080">
        <v>0</v>
      </c>
      <c r="V1080">
        <v>606.66</v>
      </c>
      <c r="W1080" t="str">
        <f>"$"</f>
        <v>$</v>
      </c>
      <c r="X1080">
        <v>0</v>
      </c>
      <c r="Y1080">
        <v>0</v>
      </c>
      <c r="Z1080">
        <v>0</v>
      </c>
      <c r="AA1080" t="str">
        <f>"Y"</f>
        <v>Y</v>
      </c>
      <c r="AB1080" t="str">
        <f>"SO22000378"</f>
        <v>SO22000378</v>
      </c>
      <c r="AC1080">
        <v>5</v>
      </c>
      <c r="AD1080" s="1">
        <v>44847</v>
      </c>
      <c r="AE1080" t="str">
        <f>"SH23000066"</f>
        <v>SH23000066</v>
      </c>
      <c r="AF1080" t="str">
        <f>"משלוחים ללקוח"</f>
        <v>משלוחים ללקוח</v>
      </c>
      <c r="AG1080" s="1">
        <v>44938</v>
      </c>
      <c r="AM1080" t="str">
        <f>"10"</f>
        <v>10</v>
      </c>
      <c r="AN1080" t="str">
        <f>"500000"</f>
        <v>500000</v>
      </c>
      <c r="AO1080" t="str">
        <f>"הכנסות  מלקוחות"</f>
        <v>הכנסות  מלקוחות</v>
      </c>
      <c r="AQ1080" t="str">
        <f>"040"</f>
        <v>040</v>
      </c>
      <c r="AR1080">
        <v>0</v>
      </c>
      <c r="AS1080">
        <v>0</v>
      </c>
      <c r="AT1080">
        <v>3.4289999999999998</v>
      </c>
      <c r="AX1080" t="str">
        <f>"E000374542"</f>
        <v>E000374542</v>
      </c>
      <c r="BD1080" t="str">
        <f>"רחמים זרוק"</f>
        <v>רחמים זרוק</v>
      </c>
    </row>
    <row r="1081" spans="1:56" x14ac:dyDescent="0.3">
      <c r="A1081" s="1">
        <v>44938</v>
      </c>
      <c r="B1081" t="str">
        <f>"SI236000206"</f>
        <v>SI236000206</v>
      </c>
      <c r="C1081" t="str">
        <f>"PR22000629"</f>
        <v>PR22000629</v>
      </c>
      <c r="E1081" t="str">
        <f>"Y"</f>
        <v>Y</v>
      </c>
      <c r="F1081" t="str">
        <f>"חשבוניות מרכזות"</f>
        <v>חשבוניות מרכזות</v>
      </c>
      <c r="G1081" t="str">
        <f>"700065"</f>
        <v>700065</v>
      </c>
      <c r="H1081" t="str">
        <f>"אלתא מערכות בע""מ"</f>
        <v>אלתא מערכות בע"מ</v>
      </c>
      <c r="I1081" t="str">
        <f>"10"</f>
        <v>10</v>
      </c>
      <c r="J1081" t="str">
        <f>"OP-AR03334"</f>
        <v>OP-AR03334</v>
      </c>
      <c r="K1081" t="str">
        <f>"1041G801-001    HARNESS W801 - CONTROL KVM C2"</f>
        <v>1041G801-001    HARNESS W801 - CONTROL KVM C2</v>
      </c>
      <c r="L1081">
        <v>-4</v>
      </c>
      <c r="M1081" t="str">
        <f>"יח"</f>
        <v>יח</v>
      </c>
      <c r="N1081">
        <v>-4</v>
      </c>
      <c r="O1081" t="str">
        <f>"יח"</f>
        <v>יח</v>
      </c>
      <c r="P1081">
        <v>565.75</v>
      </c>
      <c r="Q1081" t="str">
        <f>"$"</f>
        <v>$</v>
      </c>
      <c r="R1081" t="str">
        <f>"הזמנה"</f>
        <v>הזמנה</v>
      </c>
      <c r="S1081">
        <v>0</v>
      </c>
      <c r="T1081" s="2">
        <v>-2263</v>
      </c>
      <c r="U1081">
        <v>0</v>
      </c>
      <c r="V1081" s="2">
        <v>-2263</v>
      </c>
      <c r="W1081" t="str">
        <f>"$"</f>
        <v>$</v>
      </c>
      <c r="X1081">
        <v>0</v>
      </c>
      <c r="Y1081">
        <v>0</v>
      </c>
      <c r="Z1081">
        <v>0</v>
      </c>
      <c r="AA1081" t="str">
        <f>"Y"</f>
        <v>Y</v>
      </c>
      <c r="AC1081">
        <v>0</v>
      </c>
      <c r="AM1081" t="str">
        <f>"10"</f>
        <v>10</v>
      </c>
      <c r="AN1081" t="str">
        <f>"500000"</f>
        <v>500000</v>
      </c>
      <c r="AO1081" t="str">
        <f>"הכנסות  מלקוחות"</f>
        <v>הכנסות  מלקוחות</v>
      </c>
      <c r="AQ1081" t="str">
        <f>"040"</f>
        <v>040</v>
      </c>
      <c r="AR1081">
        <v>0</v>
      </c>
      <c r="AS1081">
        <v>0</v>
      </c>
      <c r="AT1081">
        <v>3.4129999999999998</v>
      </c>
      <c r="BB1081" t="str">
        <f>"Y"</f>
        <v>Y</v>
      </c>
      <c r="BD1081" t="str">
        <f>"רחמים זרוק"</f>
        <v>רחמים זרוק</v>
      </c>
    </row>
    <row r="1082" spans="1:56" x14ac:dyDescent="0.3">
      <c r="A1082" s="1">
        <v>44938</v>
      </c>
      <c r="B1082" t="str">
        <f>"SI236000206"</f>
        <v>SI236000206</v>
      </c>
      <c r="C1082" t="str">
        <f>"PR22000629"</f>
        <v>PR22000629</v>
      </c>
      <c r="E1082" t="str">
        <f>"Y"</f>
        <v>Y</v>
      </c>
      <c r="F1082" t="str">
        <f>"חשבוניות מרכזות"</f>
        <v>חשבוניות מרכזות</v>
      </c>
      <c r="G1082" t="str">
        <f>"700065"</f>
        <v>700065</v>
      </c>
      <c r="H1082" t="str">
        <f>"אלתא מערכות בע""מ"</f>
        <v>אלתא מערכות בע"מ</v>
      </c>
      <c r="I1082" t="str">
        <f>"10"</f>
        <v>10</v>
      </c>
      <c r="J1082" t="str">
        <f>"OP-AR03335"</f>
        <v>OP-AR03335</v>
      </c>
      <c r="K1082" t="str">
        <f>"1041G802-001    CONTROL KVM NOVA (W802)"</f>
        <v>1041G802-001    CONTROL KVM NOVA (W802)</v>
      </c>
      <c r="L1082">
        <v>-4</v>
      </c>
      <c r="M1082" t="str">
        <f>"יח"</f>
        <v>יח</v>
      </c>
      <c r="N1082">
        <v>-4</v>
      </c>
      <c r="O1082" t="str">
        <f>"יח"</f>
        <v>יח</v>
      </c>
      <c r="P1082">
        <v>585.62</v>
      </c>
      <c r="Q1082" t="str">
        <f>"$"</f>
        <v>$</v>
      </c>
      <c r="R1082" t="str">
        <f>"הזמנה"</f>
        <v>הזמנה</v>
      </c>
      <c r="S1082">
        <v>0</v>
      </c>
      <c r="T1082" s="2">
        <v>-2342.48</v>
      </c>
      <c r="U1082">
        <v>0</v>
      </c>
      <c r="V1082" s="2">
        <v>-2342.48</v>
      </c>
      <c r="W1082" t="str">
        <f>"$"</f>
        <v>$</v>
      </c>
      <c r="X1082">
        <v>0</v>
      </c>
      <c r="Y1082">
        <v>0</v>
      </c>
      <c r="Z1082">
        <v>0</v>
      </c>
      <c r="AA1082" t="str">
        <f>"Y"</f>
        <v>Y</v>
      </c>
      <c r="AC1082">
        <v>0</v>
      </c>
      <c r="AM1082" t="str">
        <f>"10"</f>
        <v>10</v>
      </c>
      <c r="AN1082" t="str">
        <f>"500000"</f>
        <v>500000</v>
      </c>
      <c r="AO1082" t="str">
        <f>"הכנסות  מלקוחות"</f>
        <v>הכנסות  מלקוחות</v>
      </c>
      <c r="AQ1082" t="str">
        <f>"040"</f>
        <v>040</v>
      </c>
      <c r="AR1082">
        <v>0</v>
      </c>
      <c r="AS1082">
        <v>0</v>
      </c>
      <c r="AT1082">
        <v>3.4129999999999998</v>
      </c>
      <c r="BB1082" t="str">
        <f>"Y"</f>
        <v>Y</v>
      </c>
      <c r="BD1082" t="str">
        <f>"רחמים זרוק"</f>
        <v>רחמים זרוק</v>
      </c>
    </row>
    <row r="1083" spans="1:56" x14ac:dyDescent="0.3">
      <c r="A1083" s="1">
        <v>44938</v>
      </c>
      <c r="B1083" t="str">
        <f>"SI236000206"</f>
        <v>SI236000206</v>
      </c>
      <c r="C1083" t="str">
        <f>"PR22000629"</f>
        <v>PR22000629</v>
      </c>
      <c r="E1083" t="str">
        <f>"Y"</f>
        <v>Y</v>
      </c>
      <c r="F1083" t="str">
        <f>"חשבוניות מרכזות"</f>
        <v>חשבוניות מרכזות</v>
      </c>
      <c r="G1083" t="str">
        <f>"700065"</f>
        <v>700065</v>
      </c>
      <c r="H1083" t="str">
        <f>"אלתא מערכות בע""מ"</f>
        <v>אלתא מערכות בע"מ</v>
      </c>
      <c r="I1083" t="str">
        <f>"10"</f>
        <v>10</v>
      </c>
      <c r="J1083" t="str">
        <f>"OP-AR03336"</f>
        <v>OP-AR03336</v>
      </c>
      <c r="K1083" t="str">
        <f>"1041G803-001    CONTROL CABLE WC064a"</f>
        <v>1041G803-001    CONTROL CABLE WC064a</v>
      </c>
      <c r="L1083">
        <v>-2</v>
      </c>
      <c r="M1083" t="str">
        <f>"יח"</f>
        <v>יח</v>
      </c>
      <c r="N1083">
        <v>-2</v>
      </c>
      <c r="O1083" t="str">
        <f>"יח"</f>
        <v>יח</v>
      </c>
      <c r="P1083">
        <v>634.75</v>
      </c>
      <c r="Q1083" t="str">
        <f>"$"</f>
        <v>$</v>
      </c>
      <c r="R1083" t="str">
        <f>"הזמנה"</f>
        <v>הזמנה</v>
      </c>
      <c r="S1083">
        <v>0</v>
      </c>
      <c r="T1083" s="2">
        <v>-1269.5</v>
      </c>
      <c r="U1083">
        <v>0</v>
      </c>
      <c r="V1083" s="2">
        <v>-1269.5</v>
      </c>
      <c r="W1083" t="str">
        <f>"$"</f>
        <v>$</v>
      </c>
      <c r="X1083">
        <v>0</v>
      </c>
      <c r="Y1083">
        <v>0</v>
      </c>
      <c r="Z1083">
        <v>0</v>
      </c>
      <c r="AA1083" t="str">
        <f>"Y"</f>
        <v>Y</v>
      </c>
      <c r="AC1083">
        <v>0</v>
      </c>
      <c r="AM1083" t="str">
        <f>"10"</f>
        <v>10</v>
      </c>
      <c r="AN1083" t="str">
        <f>"500000"</f>
        <v>500000</v>
      </c>
      <c r="AO1083" t="str">
        <f>"הכנסות  מלקוחות"</f>
        <v>הכנסות  מלקוחות</v>
      </c>
      <c r="AQ1083" t="str">
        <f>"040"</f>
        <v>040</v>
      </c>
      <c r="AR1083">
        <v>0</v>
      </c>
      <c r="AS1083">
        <v>0</v>
      </c>
      <c r="AT1083">
        <v>3.4129999999999998</v>
      </c>
      <c r="BB1083" t="str">
        <f>"Y"</f>
        <v>Y</v>
      </c>
      <c r="BD1083" t="str">
        <f>"רחמים זרוק"</f>
        <v>רחמים זרוק</v>
      </c>
    </row>
    <row r="1084" spans="1:56" x14ac:dyDescent="0.3">
      <c r="A1084" s="1">
        <v>44938</v>
      </c>
      <c r="B1084" t="str">
        <f>"SI236000206"</f>
        <v>SI236000206</v>
      </c>
      <c r="C1084" t="str">
        <f>"PR22000629"</f>
        <v>PR22000629</v>
      </c>
      <c r="E1084" t="str">
        <f>"Y"</f>
        <v>Y</v>
      </c>
      <c r="F1084" t="str">
        <f>"חשבוניות מרכזות"</f>
        <v>חשבוניות מרכזות</v>
      </c>
      <c r="G1084" t="str">
        <f>"700065"</f>
        <v>700065</v>
      </c>
      <c r="H1084" t="str">
        <f>"אלתא מערכות בע""מ"</f>
        <v>אלתא מערכות בע"מ</v>
      </c>
      <c r="I1084" t="str">
        <f>"10"</f>
        <v>10</v>
      </c>
      <c r="J1084" t="str">
        <f>"OP-AR03337"</f>
        <v>OP-AR03337</v>
      </c>
      <c r="K1084" t="str">
        <f>"1041G804-001    POWER CABLE WP112 - INTERCOM AND SPEAKER"</f>
        <v>1041G804-001    POWER CABLE WP112 - INTERCOM AND SPEAKER</v>
      </c>
      <c r="L1084">
        <v>-2</v>
      </c>
      <c r="M1084" t="str">
        <f>"יח"</f>
        <v>יח</v>
      </c>
      <c r="N1084">
        <v>-2</v>
      </c>
      <c r="O1084" t="str">
        <f>"יח"</f>
        <v>יח</v>
      </c>
      <c r="P1084">
        <v>610.11</v>
      </c>
      <c r="Q1084" t="str">
        <f>"$"</f>
        <v>$</v>
      </c>
      <c r="R1084" t="str">
        <f>"הזמנה"</f>
        <v>הזמנה</v>
      </c>
      <c r="S1084">
        <v>0</v>
      </c>
      <c r="T1084" s="2">
        <v>-1220.22</v>
      </c>
      <c r="U1084">
        <v>0</v>
      </c>
      <c r="V1084" s="2">
        <v>-1220.22</v>
      </c>
      <c r="W1084" t="str">
        <f>"$"</f>
        <v>$</v>
      </c>
      <c r="X1084">
        <v>0</v>
      </c>
      <c r="Y1084">
        <v>0</v>
      </c>
      <c r="Z1084">
        <v>0</v>
      </c>
      <c r="AA1084" t="str">
        <f>"Y"</f>
        <v>Y</v>
      </c>
      <c r="AC1084">
        <v>0</v>
      </c>
      <c r="AM1084" t="str">
        <f>"10"</f>
        <v>10</v>
      </c>
      <c r="AN1084" t="str">
        <f>"500000"</f>
        <v>500000</v>
      </c>
      <c r="AO1084" t="str">
        <f>"הכנסות  מלקוחות"</f>
        <v>הכנסות  מלקוחות</v>
      </c>
      <c r="AQ1084" t="str">
        <f>"040"</f>
        <v>040</v>
      </c>
      <c r="AR1084">
        <v>0</v>
      </c>
      <c r="AS1084">
        <v>0</v>
      </c>
      <c r="AT1084">
        <v>3.4129999999999998</v>
      </c>
      <c r="BB1084" t="str">
        <f>"Y"</f>
        <v>Y</v>
      </c>
      <c r="BD1084" t="str">
        <f>"רחמים זרוק"</f>
        <v>רחמים זרוק</v>
      </c>
    </row>
    <row r="1085" spans="1:56" x14ac:dyDescent="0.3">
      <c r="A1085" s="1">
        <v>44938</v>
      </c>
      <c r="B1085" t="str">
        <f>"SI236000206"</f>
        <v>SI236000206</v>
      </c>
      <c r="C1085" t="str">
        <f>"PR22000629"</f>
        <v>PR22000629</v>
      </c>
      <c r="E1085" t="str">
        <f>"Y"</f>
        <v>Y</v>
      </c>
      <c r="F1085" t="str">
        <f>"חשבוניות מרכזות"</f>
        <v>חשבוניות מרכזות</v>
      </c>
      <c r="G1085" t="str">
        <f>"700065"</f>
        <v>700065</v>
      </c>
      <c r="H1085" t="str">
        <f>"אלתא מערכות בע""מ"</f>
        <v>אלתא מערכות בע"מ</v>
      </c>
      <c r="I1085" t="str">
        <f>"10"</f>
        <v>10</v>
      </c>
      <c r="J1085" t="str">
        <f>"OP-AR03338"</f>
        <v>OP-AR03338</v>
      </c>
      <c r="K1085" t="str">
        <f>"1041G805-001   CONTROL CABLE WC064b"</f>
        <v>1041G805-001   CONTROL CABLE WC064b</v>
      </c>
      <c r="L1085">
        <v>-1</v>
      </c>
      <c r="M1085" t="str">
        <f>"יח"</f>
        <v>יח</v>
      </c>
      <c r="N1085">
        <v>-1</v>
      </c>
      <c r="O1085" t="str">
        <f>"יח"</f>
        <v>יח</v>
      </c>
      <c r="P1085">
        <v>606.66</v>
      </c>
      <c r="Q1085" t="str">
        <f>"$"</f>
        <v>$</v>
      </c>
      <c r="R1085" t="str">
        <f>"הזמנה"</f>
        <v>הזמנה</v>
      </c>
      <c r="S1085">
        <v>0</v>
      </c>
      <c r="T1085">
        <v>-606.66</v>
      </c>
      <c r="U1085">
        <v>0</v>
      </c>
      <c r="V1085">
        <v>-606.66</v>
      </c>
      <c r="W1085" t="str">
        <f>"$"</f>
        <v>$</v>
      </c>
      <c r="X1085">
        <v>0</v>
      </c>
      <c r="Y1085">
        <v>0</v>
      </c>
      <c r="Z1085">
        <v>0</v>
      </c>
      <c r="AA1085" t="str">
        <f>"Y"</f>
        <v>Y</v>
      </c>
      <c r="AC1085">
        <v>0</v>
      </c>
      <c r="AM1085" t="str">
        <f>"10"</f>
        <v>10</v>
      </c>
      <c r="AN1085" t="str">
        <f>"500000"</f>
        <v>500000</v>
      </c>
      <c r="AO1085" t="str">
        <f>"הכנסות  מלקוחות"</f>
        <v>הכנסות  מלקוחות</v>
      </c>
      <c r="AQ1085" t="str">
        <f>"040"</f>
        <v>040</v>
      </c>
      <c r="AR1085">
        <v>0</v>
      </c>
      <c r="AS1085">
        <v>0</v>
      </c>
      <c r="AT1085">
        <v>3.4129999999999998</v>
      </c>
      <c r="BB1085" t="str">
        <f>"Y"</f>
        <v>Y</v>
      </c>
      <c r="BD1085" t="str">
        <f>"רחמים זרוק"</f>
        <v>רחמים זרוק</v>
      </c>
    </row>
    <row r="1086" spans="1:56" x14ac:dyDescent="0.3">
      <c r="A1086" s="1">
        <v>44938</v>
      </c>
      <c r="B1086" t="str">
        <f>"SI236000051"</f>
        <v>SI236000051</v>
      </c>
      <c r="C1086" t="str">
        <f>"PR22000629"</f>
        <v>PR22000629</v>
      </c>
      <c r="E1086" t="str">
        <f>"Y"</f>
        <v>Y</v>
      </c>
      <c r="F1086" t="str">
        <f>"חשבוניות מרכזות"</f>
        <v>חשבוניות מרכזות</v>
      </c>
      <c r="G1086" t="str">
        <f>"700065"</f>
        <v>700065</v>
      </c>
      <c r="H1086" t="str">
        <f>"אלתא מערכות בע""מ"</f>
        <v>אלתא מערכות בע"מ</v>
      </c>
      <c r="I1086" t="str">
        <f>"10"</f>
        <v>10</v>
      </c>
      <c r="J1086" t="str">
        <f>"OP-AR03334"</f>
        <v>OP-AR03334</v>
      </c>
      <c r="K1086" t="str">
        <f>"1041G801-001    HARNESS W801 - CONTROL KVM C2"</f>
        <v>1041G801-001    HARNESS W801 - CONTROL KVM C2</v>
      </c>
      <c r="L1086">
        <v>4</v>
      </c>
      <c r="M1086" t="str">
        <f>"יח"</f>
        <v>יח</v>
      </c>
      <c r="N1086">
        <v>4</v>
      </c>
      <c r="O1086" t="str">
        <f>"יח"</f>
        <v>יח</v>
      </c>
      <c r="P1086">
        <v>565.75</v>
      </c>
      <c r="Q1086" t="str">
        <f>"$"</f>
        <v>$</v>
      </c>
      <c r="R1086" t="str">
        <f>"הזמנה"</f>
        <v>הזמנה</v>
      </c>
      <c r="S1086">
        <v>0</v>
      </c>
      <c r="T1086" s="2">
        <v>2263</v>
      </c>
      <c r="U1086">
        <v>0</v>
      </c>
      <c r="V1086" s="2">
        <v>2263</v>
      </c>
      <c r="W1086" t="str">
        <f>"$"</f>
        <v>$</v>
      </c>
      <c r="X1086">
        <v>0</v>
      </c>
      <c r="Y1086">
        <v>0</v>
      </c>
      <c r="Z1086">
        <v>0</v>
      </c>
      <c r="AA1086" t="str">
        <f>"Y"</f>
        <v>Y</v>
      </c>
      <c r="AC1086">
        <v>0</v>
      </c>
      <c r="AM1086" t="str">
        <f>"10"</f>
        <v>10</v>
      </c>
      <c r="AN1086" t="str">
        <f>"500000"</f>
        <v>500000</v>
      </c>
      <c r="AO1086" t="str">
        <f>"הכנסות  מלקוחות"</f>
        <v>הכנסות  מלקוחות</v>
      </c>
      <c r="AQ1086" t="str">
        <f>"040"</f>
        <v>040</v>
      </c>
      <c r="AR1086">
        <v>0</v>
      </c>
      <c r="AS1086">
        <v>0</v>
      </c>
      <c r="AT1086">
        <v>3.4129999999999998</v>
      </c>
      <c r="BB1086" t="str">
        <f>"Y"</f>
        <v>Y</v>
      </c>
      <c r="BD1086" t="str">
        <f>"רחמים זרוק"</f>
        <v>רחמים זרוק</v>
      </c>
    </row>
    <row r="1087" spans="1:56" x14ac:dyDescent="0.3">
      <c r="A1087" s="1">
        <v>44938</v>
      </c>
      <c r="B1087" t="str">
        <f>"SI236000051"</f>
        <v>SI236000051</v>
      </c>
      <c r="C1087" t="str">
        <f>"PR22000629"</f>
        <v>PR22000629</v>
      </c>
      <c r="E1087" t="str">
        <f>"Y"</f>
        <v>Y</v>
      </c>
      <c r="F1087" t="str">
        <f>"חשבוניות מרכזות"</f>
        <v>חשבוניות מרכזות</v>
      </c>
      <c r="G1087" t="str">
        <f>"700065"</f>
        <v>700065</v>
      </c>
      <c r="H1087" t="str">
        <f>"אלתא מערכות בע""מ"</f>
        <v>אלתא מערכות בע"מ</v>
      </c>
      <c r="I1087" t="str">
        <f>"10"</f>
        <v>10</v>
      </c>
      <c r="J1087" t="str">
        <f>"OP-AR03335"</f>
        <v>OP-AR03335</v>
      </c>
      <c r="K1087" t="str">
        <f>"1041G802-001    CONTROL KVM NOVA (W802)"</f>
        <v>1041G802-001    CONTROL KVM NOVA (W802)</v>
      </c>
      <c r="L1087">
        <v>4</v>
      </c>
      <c r="M1087" t="str">
        <f>"יח"</f>
        <v>יח</v>
      </c>
      <c r="N1087">
        <v>4</v>
      </c>
      <c r="O1087" t="str">
        <f>"יח"</f>
        <v>יח</v>
      </c>
      <c r="P1087">
        <v>585.62</v>
      </c>
      <c r="Q1087" t="str">
        <f>"$"</f>
        <v>$</v>
      </c>
      <c r="R1087" t="str">
        <f>"הזמנה"</f>
        <v>הזמנה</v>
      </c>
      <c r="S1087">
        <v>0</v>
      </c>
      <c r="T1087" s="2">
        <v>2342.48</v>
      </c>
      <c r="U1087">
        <v>0</v>
      </c>
      <c r="V1087" s="2">
        <v>2342.48</v>
      </c>
      <c r="W1087" t="str">
        <f>"$"</f>
        <v>$</v>
      </c>
      <c r="X1087">
        <v>0</v>
      </c>
      <c r="Y1087">
        <v>0</v>
      </c>
      <c r="Z1087">
        <v>0</v>
      </c>
      <c r="AA1087" t="str">
        <f>"Y"</f>
        <v>Y</v>
      </c>
      <c r="AC1087">
        <v>0</v>
      </c>
      <c r="AM1087" t="str">
        <f>"10"</f>
        <v>10</v>
      </c>
      <c r="AN1087" t="str">
        <f>"500000"</f>
        <v>500000</v>
      </c>
      <c r="AO1087" t="str">
        <f>"הכנסות  מלקוחות"</f>
        <v>הכנסות  מלקוחות</v>
      </c>
      <c r="AQ1087" t="str">
        <f>"040"</f>
        <v>040</v>
      </c>
      <c r="AR1087">
        <v>0</v>
      </c>
      <c r="AS1087">
        <v>0</v>
      </c>
      <c r="AT1087">
        <v>3.4129999999999998</v>
      </c>
      <c r="BB1087" t="str">
        <f>"Y"</f>
        <v>Y</v>
      </c>
      <c r="BD1087" t="str">
        <f>"רחמים זרוק"</f>
        <v>רחמים זרוק</v>
      </c>
    </row>
    <row r="1088" spans="1:56" x14ac:dyDescent="0.3">
      <c r="A1088" s="1">
        <v>44938</v>
      </c>
      <c r="B1088" t="str">
        <f>"SI236000051"</f>
        <v>SI236000051</v>
      </c>
      <c r="C1088" t="str">
        <f>"PR22000629"</f>
        <v>PR22000629</v>
      </c>
      <c r="E1088" t="str">
        <f>"Y"</f>
        <v>Y</v>
      </c>
      <c r="F1088" t="str">
        <f>"חשבוניות מרכזות"</f>
        <v>חשבוניות מרכזות</v>
      </c>
      <c r="G1088" t="str">
        <f>"700065"</f>
        <v>700065</v>
      </c>
      <c r="H1088" t="str">
        <f>"אלתא מערכות בע""מ"</f>
        <v>אלתא מערכות בע"מ</v>
      </c>
      <c r="I1088" t="str">
        <f>"10"</f>
        <v>10</v>
      </c>
      <c r="J1088" t="str">
        <f>"OP-AR03336"</f>
        <v>OP-AR03336</v>
      </c>
      <c r="K1088" t="str">
        <f>"1041G803-001    CONTROL CABLE WC064a"</f>
        <v>1041G803-001    CONTROL CABLE WC064a</v>
      </c>
      <c r="L1088">
        <v>2</v>
      </c>
      <c r="M1088" t="str">
        <f>"יח"</f>
        <v>יח</v>
      </c>
      <c r="N1088">
        <v>2</v>
      </c>
      <c r="O1088" t="str">
        <f>"יח"</f>
        <v>יח</v>
      </c>
      <c r="P1088">
        <v>634.75</v>
      </c>
      <c r="Q1088" t="str">
        <f>"$"</f>
        <v>$</v>
      </c>
      <c r="R1088" t="str">
        <f>"הזמנה"</f>
        <v>הזמנה</v>
      </c>
      <c r="S1088">
        <v>0</v>
      </c>
      <c r="T1088" s="2">
        <v>1269.5</v>
      </c>
      <c r="U1088">
        <v>0</v>
      </c>
      <c r="V1088" s="2">
        <v>1269.5</v>
      </c>
      <c r="W1088" t="str">
        <f>"$"</f>
        <v>$</v>
      </c>
      <c r="X1088">
        <v>0</v>
      </c>
      <c r="Y1088">
        <v>0</v>
      </c>
      <c r="Z1088">
        <v>0</v>
      </c>
      <c r="AA1088" t="str">
        <f>"Y"</f>
        <v>Y</v>
      </c>
      <c r="AC1088">
        <v>0</v>
      </c>
      <c r="AM1088" t="str">
        <f>"10"</f>
        <v>10</v>
      </c>
      <c r="AN1088" t="str">
        <f>"500000"</f>
        <v>500000</v>
      </c>
      <c r="AO1088" t="str">
        <f>"הכנסות  מלקוחות"</f>
        <v>הכנסות  מלקוחות</v>
      </c>
      <c r="AQ1088" t="str">
        <f>"040"</f>
        <v>040</v>
      </c>
      <c r="AR1088">
        <v>0</v>
      </c>
      <c r="AS1088">
        <v>0</v>
      </c>
      <c r="AT1088">
        <v>3.4129999999999998</v>
      </c>
      <c r="BB1088" t="str">
        <f>"Y"</f>
        <v>Y</v>
      </c>
      <c r="BD1088" t="str">
        <f>"רחמים זרוק"</f>
        <v>רחמים זרוק</v>
      </c>
    </row>
    <row r="1089" spans="1:56" x14ac:dyDescent="0.3">
      <c r="A1089" s="1">
        <v>44938</v>
      </c>
      <c r="B1089" t="str">
        <f>"SI236000051"</f>
        <v>SI236000051</v>
      </c>
      <c r="C1089" t="str">
        <f>"PR22000629"</f>
        <v>PR22000629</v>
      </c>
      <c r="E1089" t="str">
        <f>"Y"</f>
        <v>Y</v>
      </c>
      <c r="F1089" t="str">
        <f>"חשבוניות מרכזות"</f>
        <v>חשבוניות מרכזות</v>
      </c>
      <c r="G1089" t="str">
        <f>"700065"</f>
        <v>700065</v>
      </c>
      <c r="H1089" t="str">
        <f>"אלתא מערכות בע""מ"</f>
        <v>אלתא מערכות בע"מ</v>
      </c>
      <c r="I1089" t="str">
        <f>"10"</f>
        <v>10</v>
      </c>
      <c r="J1089" t="str">
        <f>"OP-AR03337"</f>
        <v>OP-AR03337</v>
      </c>
      <c r="K1089" t="str">
        <f>"1041G804-001    POWER CABLE WP112 - INTERCOM AND SPEAKER"</f>
        <v>1041G804-001    POWER CABLE WP112 - INTERCOM AND SPEAKER</v>
      </c>
      <c r="L1089">
        <v>2</v>
      </c>
      <c r="M1089" t="str">
        <f>"יח"</f>
        <v>יח</v>
      </c>
      <c r="N1089">
        <v>2</v>
      </c>
      <c r="O1089" t="str">
        <f>"יח"</f>
        <v>יח</v>
      </c>
      <c r="P1089">
        <v>610.11</v>
      </c>
      <c r="Q1089" t="str">
        <f>"$"</f>
        <v>$</v>
      </c>
      <c r="R1089" t="str">
        <f>"הזמנה"</f>
        <v>הזמנה</v>
      </c>
      <c r="S1089">
        <v>0</v>
      </c>
      <c r="T1089" s="2">
        <v>1220.22</v>
      </c>
      <c r="U1089">
        <v>0</v>
      </c>
      <c r="V1089" s="2">
        <v>1220.22</v>
      </c>
      <c r="W1089" t="str">
        <f>"$"</f>
        <v>$</v>
      </c>
      <c r="X1089">
        <v>0</v>
      </c>
      <c r="Y1089">
        <v>0</v>
      </c>
      <c r="Z1089">
        <v>0</v>
      </c>
      <c r="AA1089" t="str">
        <f>"Y"</f>
        <v>Y</v>
      </c>
      <c r="AC1089">
        <v>0</v>
      </c>
      <c r="AM1089" t="str">
        <f>"10"</f>
        <v>10</v>
      </c>
      <c r="AN1089" t="str">
        <f>"500000"</f>
        <v>500000</v>
      </c>
      <c r="AO1089" t="str">
        <f>"הכנסות  מלקוחות"</f>
        <v>הכנסות  מלקוחות</v>
      </c>
      <c r="AQ1089" t="str">
        <f>"040"</f>
        <v>040</v>
      </c>
      <c r="AR1089">
        <v>0</v>
      </c>
      <c r="AS1089">
        <v>0</v>
      </c>
      <c r="AT1089">
        <v>3.4129999999999998</v>
      </c>
      <c r="BB1089" t="str">
        <f>"Y"</f>
        <v>Y</v>
      </c>
      <c r="BD1089" t="str">
        <f>"רחמים זרוק"</f>
        <v>רחמים זרוק</v>
      </c>
    </row>
    <row r="1090" spans="1:56" x14ac:dyDescent="0.3">
      <c r="A1090" s="1">
        <v>44938</v>
      </c>
      <c r="B1090" t="str">
        <f>"SI236000051"</f>
        <v>SI236000051</v>
      </c>
      <c r="C1090" t="str">
        <f>"PR22000629"</f>
        <v>PR22000629</v>
      </c>
      <c r="E1090" t="str">
        <f>"Y"</f>
        <v>Y</v>
      </c>
      <c r="F1090" t="str">
        <f>"חשבוניות מרכזות"</f>
        <v>חשבוניות מרכזות</v>
      </c>
      <c r="G1090" t="str">
        <f>"700065"</f>
        <v>700065</v>
      </c>
      <c r="H1090" t="str">
        <f>"אלתא מערכות בע""מ"</f>
        <v>אלתא מערכות בע"מ</v>
      </c>
      <c r="I1090" t="str">
        <f>"10"</f>
        <v>10</v>
      </c>
      <c r="J1090" t="str">
        <f>"OP-AR03338"</f>
        <v>OP-AR03338</v>
      </c>
      <c r="K1090" t="str">
        <f>"1041G805-001   CONTROL CABLE WC064b"</f>
        <v>1041G805-001   CONTROL CABLE WC064b</v>
      </c>
      <c r="L1090">
        <v>1</v>
      </c>
      <c r="M1090" t="str">
        <f>"יח"</f>
        <v>יח</v>
      </c>
      <c r="N1090">
        <v>1</v>
      </c>
      <c r="O1090" t="str">
        <f>"יח"</f>
        <v>יח</v>
      </c>
      <c r="P1090">
        <v>606.66</v>
      </c>
      <c r="Q1090" t="str">
        <f>"$"</f>
        <v>$</v>
      </c>
      <c r="R1090" t="str">
        <f>"הזמנה"</f>
        <v>הזמנה</v>
      </c>
      <c r="S1090">
        <v>0</v>
      </c>
      <c r="T1090">
        <v>606.66</v>
      </c>
      <c r="U1090">
        <v>0</v>
      </c>
      <c r="V1090">
        <v>606.66</v>
      </c>
      <c r="W1090" t="str">
        <f>"$"</f>
        <v>$</v>
      </c>
      <c r="X1090">
        <v>0</v>
      </c>
      <c r="Y1090">
        <v>0</v>
      </c>
      <c r="Z1090">
        <v>0</v>
      </c>
      <c r="AA1090" t="str">
        <f>"Y"</f>
        <v>Y</v>
      </c>
      <c r="AC1090">
        <v>0</v>
      </c>
      <c r="AM1090" t="str">
        <f>"10"</f>
        <v>10</v>
      </c>
      <c r="AN1090" t="str">
        <f>"500000"</f>
        <v>500000</v>
      </c>
      <c r="AO1090" t="str">
        <f>"הכנסות  מלקוחות"</f>
        <v>הכנסות  מלקוחות</v>
      </c>
      <c r="AQ1090" t="str">
        <f>"040"</f>
        <v>040</v>
      </c>
      <c r="AR1090">
        <v>0</v>
      </c>
      <c r="AS1090">
        <v>0</v>
      </c>
      <c r="AT1090">
        <v>3.4129999999999998</v>
      </c>
      <c r="BB1090" t="str">
        <f>"Y"</f>
        <v>Y</v>
      </c>
      <c r="BD1090" t="str">
        <f>"רחמים זרוק"</f>
        <v>רחמים זרוק</v>
      </c>
    </row>
    <row r="1091" spans="1:56" x14ac:dyDescent="0.3">
      <c r="A1091" s="1">
        <v>44934</v>
      </c>
      <c r="B1091" t="str">
        <f>"SI236000034"</f>
        <v>SI236000034</v>
      </c>
      <c r="E1091" t="str">
        <f>"Y"</f>
        <v>Y</v>
      </c>
      <c r="F1091" t="str">
        <f>"חשבוניות מרכזות"</f>
        <v>חשבוניות מרכזות</v>
      </c>
      <c r="G1091" t="str">
        <f>"700065"</f>
        <v>700065</v>
      </c>
      <c r="H1091" t="str">
        <f>"אלתא מערכות בע""מ"</f>
        <v>אלתא מערכות בע"מ</v>
      </c>
      <c r="I1091" t="str">
        <f>"10"</f>
        <v>10</v>
      </c>
      <c r="J1091" t="str">
        <f>"000"</f>
        <v>000</v>
      </c>
      <c r="K1091" t="str">
        <f>"תוספת עלות לייצור לאחר שינויים ב-RPS8"</f>
        <v>תוספת עלות לייצור לאחר שינויים ב-RPS8</v>
      </c>
      <c r="L1091">
        <v>1</v>
      </c>
      <c r="M1091" t="str">
        <f>"יח"</f>
        <v>יח</v>
      </c>
      <c r="N1091">
        <v>1</v>
      </c>
      <c r="O1091" t="str">
        <f>"יח"</f>
        <v>יח</v>
      </c>
      <c r="P1091" s="2">
        <v>25000</v>
      </c>
      <c r="Q1091" t="str">
        <f>"$"</f>
        <v>$</v>
      </c>
      <c r="R1091" t="str">
        <f>"הזמנה"</f>
        <v>הזמנה</v>
      </c>
      <c r="S1091">
        <v>0</v>
      </c>
      <c r="T1091" s="2">
        <v>25000</v>
      </c>
      <c r="U1091">
        <v>0</v>
      </c>
      <c r="V1091" s="2">
        <v>25000</v>
      </c>
      <c r="W1091" t="str">
        <f>"$"</f>
        <v>$</v>
      </c>
      <c r="X1091">
        <v>0</v>
      </c>
      <c r="Y1091">
        <v>0</v>
      </c>
      <c r="Z1091">
        <v>0</v>
      </c>
      <c r="AA1091" t="str">
        <f>"Y"</f>
        <v>Y</v>
      </c>
      <c r="AB1091" t="str">
        <f>"SO22000061"</f>
        <v>SO22000061</v>
      </c>
      <c r="AC1091">
        <v>8</v>
      </c>
      <c r="AD1091" s="1">
        <v>44612</v>
      </c>
      <c r="AM1091" t="str">
        <f>"10"</f>
        <v>10</v>
      </c>
      <c r="AN1091" t="str">
        <f>"500000"</f>
        <v>500000</v>
      </c>
      <c r="AO1091" t="str">
        <f>"הכנסות  מלקוחות"</f>
        <v>הכנסות  מלקוחות</v>
      </c>
      <c r="AQ1091" t="str">
        <f>"034"</f>
        <v>034</v>
      </c>
      <c r="AR1091">
        <v>0</v>
      </c>
      <c r="AS1091">
        <v>0</v>
      </c>
      <c r="AT1091">
        <v>3.556</v>
      </c>
      <c r="AX1091" t="str">
        <f>"E000356936"</f>
        <v>E000356936</v>
      </c>
      <c r="BD1091" t="str">
        <f>"ערן שלו"</f>
        <v>ערן שלו</v>
      </c>
    </row>
    <row r="1092" spans="1:56" x14ac:dyDescent="0.3">
      <c r="A1092" s="1">
        <v>44934</v>
      </c>
      <c r="B1092" t="str">
        <f>"SI236000033"</f>
        <v>SI236000033</v>
      </c>
      <c r="E1092" t="str">
        <f>"Y"</f>
        <v>Y</v>
      </c>
      <c r="F1092" t="str">
        <f>"חשבוניות מרכזות"</f>
        <v>חשבוניות מרכזות</v>
      </c>
      <c r="G1092" t="str">
        <f>"700065"</f>
        <v>700065</v>
      </c>
      <c r="H1092" t="str">
        <f>"אלתא מערכות בע""מ"</f>
        <v>אלתא מערכות בע"מ</v>
      </c>
      <c r="I1092" t="str">
        <f>"10"</f>
        <v>10</v>
      </c>
      <c r="J1092" t="str">
        <f>"000"</f>
        <v>000</v>
      </c>
      <c r="K1092" t="str">
        <f>"תוספת עבור חומר גלם וש""ע בייצור ה RPU"</f>
        <v>תוספת עבור חומר גלם וש"ע בייצור ה RPU</v>
      </c>
      <c r="L1092">
        <v>1</v>
      </c>
      <c r="M1092" t="str">
        <f>"יח"</f>
        <v>יח</v>
      </c>
      <c r="N1092">
        <v>1</v>
      </c>
      <c r="O1092" t="str">
        <f>"יח"</f>
        <v>יח</v>
      </c>
      <c r="P1092" s="2">
        <v>25000</v>
      </c>
      <c r="Q1092" t="str">
        <f>"$"</f>
        <v>$</v>
      </c>
      <c r="R1092" t="str">
        <f>"הזמנה"</f>
        <v>הזמנה</v>
      </c>
      <c r="S1092">
        <v>0</v>
      </c>
      <c r="T1092" s="2">
        <v>25000</v>
      </c>
      <c r="U1092">
        <v>0</v>
      </c>
      <c r="V1092" s="2">
        <v>25000</v>
      </c>
      <c r="W1092" t="str">
        <f>"$"</f>
        <v>$</v>
      </c>
      <c r="X1092">
        <v>0</v>
      </c>
      <c r="Y1092">
        <v>0</v>
      </c>
      <c r="Z1092">
        <v>0</v>
      </c>
      <c r="AA1092" t="str">
        <f>"Y"</f>
        <v>Y</v>
      </c>
      <c r="AB1092" t="str">
        <f>"SO21000418"</f>
        <v>SO21000418</v>
      </c>
      <c r="AC1092">
        <v>8</v>
      </c>
      <c r="AD1092" s="1">
        <v>44474</v>
      </c>
      <c r="AM1092" t="str">
        <f>"10"</f>
        <v>10</v>
      </c>
      <c r="AN1092" t="str">
        <f>"500000"</f>
        <v>500000</v>
      </c>
      <c r="AO1092" t="str">
        <f>"הכנסות  מלקוחות"</f>
        <v>הכנסות  מלקוחות</v>
      </c>
      <c r="AQ1092" t="str">
        <f>"034"</f>
        <v>034</v>
      </c>
      <c r="AR1092">
        <v>0</v>
      </c>
      <c r="AS1092">
        <v>0</v>
      </c>
      <c r="AT1092">
        <v>3.556</v>
      </c>
      <c r="AX1092" t="str">
        <f>"E000346956"</f>
        <v>E000346956</v>
      </c>
      <c r="BD1092" t="str">
        <f>"ערן שלו"</f>
        <v>ערן שלו</v>
      </c>
    </row>
    <row r="1093" spans="1:56" x14ac:dyDescent="0.3">
      <c r="A1093" s="1">
        <v>44934</v>
      </c>
      <c r="B1093" t="str">
        <f>"SI236000032"</f>
        <v>SI236000032</v>
      </c>
      <c r="E1093" t="str">
        <f>"Y"</f>
        <v>Y</v>
      </c>
      <c r="F1093" t="str">
        <f>"חשבוניות מרכזות"</f>
        <v>חשבוניות מרכזות</v>
      </c>
      <c r="G1093" t="str">
        <f>"700065"</f>
        <v>700065</v>
      </c>
      <c r="H1093" t="str">
        <f>"אלתא מערכות בע""מ"</f>
        <v>אלתא מערכות בע"מ</v>
      </c>
      <c r="I1093" t="str">
        <f>"10"</f>
        <v>10</v>
      </c>
      <c r="J1093" t="str">
        <f>"000"</f>
        <v>000</v>
      </c>
      <c r="K1093" t="str">
        <f>"תוספות לRPU עבור הזמנה E000312785 בקרה"</f>
        <v>תוספות לRPU עבור הזמנה E000312785 בקרה</v>
      </c>
      <c r="L1093">
        <v>1</v>
      </c>
      <c r="M1093" t="str">
        <f>"יח"</f>
        <v>יח</v>
      </c>
      <c r="N1093">
        <v>1</v>
      </c>
      <c r="O1093" t="str">
        <f>"יח"</f>
        <v>יח</v>
      </c>
      <c r="P1093" s="2">
        <v>32780</v>
      </c>
      <c r="Q1093" t="str">
        <f>"$"</f>
        <v>$</v>
      </c>
      <c r="R1093" t="str">
        <f>"הזמנה"</f>
        <v>הזמנה</v>
      </c>
      <c r="S1093">
        <v>0</v>
      </c>
      <c r="T1093" s="2">
        <v>32780</v>
      </c>
      <c r="U1093">
        <v>0</v>
      </c>
      <c r="V1093" s="2">
        <v>32780</v>
      </c>
      <c r="W1093" t="str">
        <f>"$"</f>
        <v>$</v>
      </c>
      <c r="X1093">
        <v>0</v>
      </c>
      <c r="Y1093">
        <v>0</v>
      </c>
      <c r="Z1093">
        <v>0</v>
      </c>
      <c r="AA1093" t="str">
        <f>"Y"</f>
        <v>Y</v>
      </c>
      <c r="AC1093">
        <v>0</v>
      </c>
      <c r="AM1093" t="str">
        <f>"10"</f>
        <v>10</v>
      </c>
      <c r="AN1093" t="str">
        <f>"500000"</f>
        <v>500000</v>
      </c>
      <c r="AO1093" t="str">
        <f>"הכנסות  מלקוחות"</f>
        <v>הכנסות  מלקוחות</v>
      </c>
      <c r="AQ1093" t="str">
        <f>"034"</f>
        <v>034</v>
      </c>
      <c r="AR1093">
        <v>0</v>
      </c>
      <c r="AS1093">
        <v>0</v>
      </c>
      <c r="AT1093">
        <v>3.556</v>
      </c>
      <c r="BB1093" t="str">
        <f>"Y"</f>
        <v>Y</v>
      </c>
      <c r="BD1093" t="str">
        <f>"ערן שלו"</f>
        <v>ערן שלו</v>
      </c>
    </row>
    <row r="1094" spans="1:56" x14ac:dyDescent="0.3">
      <c r="A1094" s="1">
        <v>44934</v>
      </c>
      <c r="B1094" t="str">
        <f>"SI236000032"</f>
        <v>SI236000032</v>
      </c>
      <c r="E1094" t="str">
        <f>"Y"</f>
        <v>Y</v>
      </c>
      <c r="F1094" t="str">
        <f>"חשבוניות מרכזות"</f>
        <v>חשבוניות מרכזות</v>
      </c>
      <c r="G1094" t="str">
        <f>"700065"</f>
        <v>700065</v>
      </c>
      <c r="H1094" t="str">
        <f>"אלתא מערכות בע""מ"</f>
        <v>אלתא מערכות בע"מ</v>
      </c>
      <c r="I1094" t="str">
        <f>"10"</f>
        <v>10</v>
      </c>
      <c r="J1094" t="str">
        <f>"000"</f>
        <v>000</v>
      </c>
      <c r="K1094" t="str">
        <f>"תוספות לRPU עבור הזמנה E000312785 משאבה"</f>
        <v>תוספות לRPU עבור הזמנה E000312785 משאבה</v>
      </c>
      <c r="L1094">
        <v>1</v>
      </c>
      <c r="M1094" t="str">
        <f>"יח"</f>
        <v>יח</v>
      </c>
      <c r="N1094">
        <v>1</v>
      </c>
      <c r="O1094" t="str">
        <f>"יח"</f>
        <v>יח</v>
      </c>
      <c r="P1094" s="2">
        <v>2530</v>
      </c>
      <c r="Q1094" t="str">
        <f>"$"</f>
        <v>$</v>
      </c>
      <c r="R1094" t="str">
        <f>"הזמנה"</f>
        <v>הזמנה</v>
      </c>
      <c r="S1094">
        <v>0</v>
      </c>
      <c r="T1094" s="2">
        <v>2530</v>
      </c>
      <c r="U1094">
        <v>0</v>
      </c>
      <c r="V1094" s="2">
        <v>2530</v>
      </c>
      <c r="W1094" t="str">
        <f>"$"</f>
        <v>$</v>
      </c>
      <c r="X1094">
        <v>0</v>
      </c>
      <c r="Y1094">
        <v>0</v>
      </c>
      <c r="Z1094">
        <v>0</v>
      </c>
      <c r="AA1094" t="str">
        <f>"Y"</f>
        <v>Y</v>
      </c>
      <c r="AC1094">
        <v>0</v>
      </c>
      <c r="AM1094" t="str">
        <f>"10"</f>
        <v>10</v>
      </c>
      <c r="AN1094" t="str">
        <f>"500000"</f>
        <v>500000</v>
      </c>
      <c r="AO1094" t="str">
        <f>"הכנסות  מלקוחות"</f>
        <v>הכנסות  מלקוחות</v>
      </c>
      <c r="AQ1094" t="str">
        <f>"034"</f>
        <v>034</v>
      </c>
      <c r="AR1094">
        <v>0</v>
      </c>
      <c r="AS1094">
        <v>0</v>
      </c>
      <c r="AT1094">
        <v>3.556</v>
      </c>
      <c r="BB1094" t="str">
        <f>"Y"</f>
        <v>Y</v>
      </c>
      <c r="BD1094" t="str">
        <f>"ערן שלו"</f>
        <v>ערן שלו</v>
      </c>
    </row>
    <row r="1095" spans="1:56" x14ac:dyDescent="0.3">
      <c r="A1095" s="1">
        <v>44934</v>
      </c>
      <c r="B1095" t="str">
        <f>"SI236000031"</f>
        <v>SI236000031</v>
      </c>
      <c r="E1095" t="str">
        <f>"Y"</f>
        <v>Y</v>
      </c>
      <c r="F1095" t="str">
        <f>"חשבוניות מרכזות"</f>
        <v>חשבוניות מרכזות</v>
      </c>
      <c r="G1095" t="str">
        <f>"700065"</f>
        <v>700065</v>
      </c>
      <c r="H1095" t="str">
        <f>"אלתא מערכות בע""מ"</f>
        <v>אלתא מערכות בע"מ</v>
      </c>
      <c r="I1095" t="str">
        <f>"10"</f>
        <v>10</v>
      </c>
      <c r="J1095" t="str">
        <f>"000"</f>
        <v>000</v>
      </c>
      <c r="K1095" t="str">
        <f>"NRE FOR 1038C906-001"</f>
        <v>NRE FOR 1038C906-001</v>
      </c>
      <c r="L1095">
        <v>1</v>
      </c>
      <c r="M1095" t="str">
        <f>"יח"</f>
        <v>יח</v>
      </c>
      <c r="N1095">
        <v>1</v>
      </c>
      <c r="O1095" t="str">
        <f>"יח"</f>
        <v>יח</v>
      </c>
      <c r="P1095" s="2">
        <v>16252.5</v>
      </c>
      <c r="Q1095" t="str">
        <f>"$"</f>
        <v>$</v>
      </c>
      <c r="R1095" t="str">
        <f>"הזמנה"</f>
        <v>הזמנה</v>
      </c>
      <c r="S1095">
        <v>0</v>
      </c>
      <c r="T1095" s="2">
        <v>16252.5</v>
      </c>
      <c r="U1095">
        <v>0</v>
      </c>
      <c r="V1095" s="2">
        <v>16252.5</v>
      </c>
      <c r="W1095" t="str">
        <f>"$"</f>
        <v>$</v>
      </c>
      <c r="X1095">
        <v>0</v>
      </c>
      <c r="Y1095">
        <v>0</v>
      </c>
      <c r="Z1095">
        <v>0</v>
      </c>
      <c r="AA1095" t="str">
        <f>"Y"</f>
        <v>Y</v>
      </c>
      <c r="AB1095" t="str">
        <f>"SO20000218"</f>
        <v>SO20000218</v>
      </c>
      <c r="AC1095">
        <v>25</v>
      </c>
      <c r="AD1095" s="1">
        <v>43982</v>
      </c>
      <c r="AM1095" t="str">
        <f>"10"</f>
        <v>10</v>
      </c>
      <c r="AN1095" t="str">
        <f>"500000"</f>
        <v>500000</v>
      </c>
      <c r="AO1095" t="str">
        <f>"הכנסות  מלקוחות"</f>
        <v>הכנסות  מלקוחות</v>
      </c>
      <c r="AQ1095" t="str">
        <f>"034"</f>
        <v>034</v>
      </c>
      <c r="AR1095">
        <v>0</v>
      </c>
      <c r="AS1095">
        <v>0</v>
      </c>
      <c r="AT1095">
        <v>3.556</v>
      </c>
      <c r="AX1095" t="str">
        <f>"E000312785"</f>
        <v>E000312785</v>
      </c>
      <c r="BD1095" t="str">
        <f>"ערן שלו"</f>
        <v>ערן שלו</v>
      </c>
    </row>
    <row r="1096" spans="1:56" x14ac:dyDescent="0.3">
      <c r="A1096" s="1">
        <v>44934</v>
      </c>
      <c r="B1096" t="str">
        <f>"SI236000030"</f>
        <v>SI236000030</v>
      </c>
      <c r="E1096" t="str">
        <f>"Y"</f>
        <v>Y</v>
      </c>
      <c r="F1096" t="str">
        <f>"חשבוניות מרכזות"</f>
        <v>חשבוניות מרכזות</v>
      </c>
      <c r="G1096" t="str">
        <f>"700065"</f>
        <v>700065</v>
      </c>
      <c r="H1096" t="str">
        <f>"אלתא מערכות בע""מ"</f>
        <v>אלתא מערכות בע"מ</v>
      </c>
      <c r="I1096" t="str">
        <f>"10"</f>
        <v>10</v>
      </c>
      <c r="J1096" t="str">
        <f>"OP-ML00197"</f>
        <v>OP-ML00197</v>
      </c>
      <c r="K1096" t="str">
        <f>"1038C816-001 COMPUTER RACK"</f>
        <v>1038C816-001 COMPUTER RACK</v>
      </c>
      <c r="L1096">
        <v>1</v>
      </c>
      <c r="M1096" t="str">
        <f>"יח"</f>
        <v>יח</v>
      </c>
      <c r="N1096">
        <v>1</v>
      </c>
      <c r="O1096" t="str">
        <f>"יח"</f>
        <v>יח</v>
      </c>
      <c r="P1096" s="2">
        <v>47500</v>
      </c>
      <c r="Q1096" t="str">
        <f>"$"</f>
        <v>$</v>
      </c>
      <c r="R1096" t="str">
        <f>"הזמנה"</f>
        <v>הזמנה</v>
      </c>
      <c r="S1096">
        <v>0</v>
      </c>
      <c r="T1096" s="2">
        <v>47500</v>
      </c>
      <c r="U1096">
        <v>0</v>
      </c>
      <c r="V1096" s="2">
        <v>47500</v>
      </c>
      <c r="W1096" t="str">
        <f>"$"</f>
        <v>$</v>
      </c>
      <c r="X1096">
        <v>0</v>
      </c>
      <c r="Y1096">
        <v>0</v>
      </c>
      <c r="Z1096">
        <v>0</v>
      </c>
      <c r="AA1096" t="str">
        <f>"Y"</f>
        <v>Y</v>
      </c>
      <c r="AB1096" t="str">
        <f>"SO21000090"</f>
        <v>SO21000090</v>
      </c>
      <c r="AC1096">
        <v>14</v>
      </c>
      <c r="AD1096" s="1">
        <v>44251</v>
      </c>
      <c r="AE1096" t="str">
        <f>"SH23000248"</f>
        <v>SH23000248</v>
      </c>
      <c r="AF1096" t="str">
        <f>"משלוחים ללקוח"</f>
        <v>משלוחים ללקוח</v>
      </c>
      <c r="AG1096" s="1">
        <v>44976</v>
      </c>
      <c r="AM1096" t="str">
        <f>"10"</f>
        <v>10</v>
      </c>
      <c r="AN1096" t="str">
        <f>"500000"</f>
        <v>500000</v>
      </c>
      <c r="AO1096" t="str">
        <f>"הכנסות  מלקוחות"</f>
        <v>הכנסות  מלקוחות</v>
      </c>
      <c r="AQ1096" t="str">
        <f>"034"</f>
        <v>034</v>
      </c>
      <c r="AR1096">
        <v>0</v>
      </c>
      <c r="AS1096">
        <v>0</v>
      </c>
      <c r="AT1096">
        <v>3.556</v>
      </c>
      <c r="AX1096" t="str">
        <f>"E000332763"</f>
        <v>E000332763</v>
      </c>
      <c r="BD1096" t="str">
        <f>"ערן שלו"</f>
        <v>ערן שלו</v>
      </c>
    </row>
    <row r="1097" spans="1:56" x14ac:dyDescent="0.3">
      <c r="A1097" s="1">
        <v>44934</v>
      </c>
      <c r="B1097" t="str">
        <f>"SI236000029"</f>
        <v>SI236000029</v>
      </c>
      <c r="C1097" t="str">
        <f>"PR22000298"</f>
        <v>PR22000298</v>
      </c>
      <c r="E1097" t="str">
        <f>"Y"</f>
        <v>Y</v>
      </c>
      <c r="F1097" t="str">
        <f>"חשבוניות מרכזות"</f>
        <v>חשבוניות מרכזות</v>
      </c>
      <c r="G1097" t="str">
        <f>"700065"</f>
        <v>700065</v>
      </c>
      <c r="H1097" t="str">
        <f>"אלתא מערכות בע""מ"</f>
        <v>אלתא מערכות בע"מ</v>
      </c>
      <c r="I1097" t="str">
        <f>"10"</f>
        <v>10</v>
      </c>
      <c r="J1097" t="str">
        <f>"OP-ML00215"</f>
        <v>OP-ML00215</v>
      </c>
      <c r="K1097" t="str">
        <f>"M - PDU מק""ט 6930H850-001"</f>
        <v>M - PDU מק"ט 6930H850-001</v>
      </c>
      <c r="L1097">
        <v>1</v>
      </c>
      <c r="M1097" t="str">
        <f>"יח"</f>
        <v>יח</v>
      </c>
      <c r="N1097">
        <v>1</v>
      </c>
      <c r="O1097" t="str">
        <f>"יח"</f>
        <v>יח</v>
      </c>
      <c r="P1097" s="2">
        <v>14757</v>
      </c>
      <c r="Q1097" t="str">
        <f>"$"</f>
        <v>$</v>
      </c>
      <c r="R1097" t="str">
        <f>"הזמנה"</f>
        <v>הזמנה</v>
      </c>
      <c r="S1097">
        <v>0</v>
      </c>
      <c r="T1097" s="2">
        <v>14757</v>
      </c>
      <c r="U1097">
        <v>0</v>
      </c>
      <c r="V1097" s="2">
        <v>14757</v>
      </c>
      <c r="W1097" t="str">
        <f>"$"</f>
        <v>$</v>
      </c>
      <c r="X1097">
        <v>0</v>
      </c>
      <c r="Y1097">
        <v>0</v>
      </c>
      <c r="Z1097">
        <v>0</v>
      </c>
      <c r="AA1097" t="str">
        <f>"Y"</f>
        <v>Y</v>
      </c>
      <c r="AB1097" t="str">
        <f>"SO22000193"</f>
        <v>SO22000193</v>
      </c>
      <c r="AC1097">
        <v>8</v>
      </c>
      <c r="AD1097" s="1">
        <v>44698</v>
      </c>
      <c r="AM1097" t="str">
        <f>"10"</f>
        <v>10</v>
      </c>
      <c r="AN1097" t="str">
        <f>"500000"</f>
        <v>500000</v>
      </c>
      <c r="AO1097" t="str">
        <f>"הכנסות  מלקוחות"</f>
        <v>הכנסות  מלקוחות</v>
      </c>
      <c r="AQ1097" t="str">
        <f>"034"</f>
        <v>034</v>
      </c>
      <c r="AR1097">
        <v>0</v>
      </c>
      <c r="AS1097">
        <v>0</v>
      </c>
      <c r="AT1097">
        <v>3.556</v>
      </c>
      <c r="AX1097" t="str">
        <f>"E000359087"</f>
        <v>E000359087</v>
      </c>
      <c r="BD1097" t="str">
        <f>"ערן שלו"</f>
        <v>ערן שלו</v>
      </c>
    </row>
    <row r="1098" spans="1:56" x14ac:dyDescent="0.3">
      <c r="A1098" s="1">
        <v>44934</v>
      </c>
      <c r="B1098" t="str">
        <f>"SI236000028"</f>
        <v>SI236000028</v>
      </c>
      <c r="E1098" t="str">
        <f>"Y"</f>
        <v>Y</v>
      </c>
      <c r="F1098" t="str">
        <f>"חשבוניות מרכזות"</f>
        <v>חשבוניות מרכזות</v>
      </c>
      <c r="G1098" t="str">
        <f>"700065"</f>
        <v>700065</v>
      </c>
      <c r="H1098" t="str">
        <f>"אלתא מערכות בע""מ"</f>
        <v>אלתא מערכות בע"מ</v>
      </c>
      <c r="I1098" t="str">
        <f>"10"</f>
        <v>10</v>
      </c>
      <c r="J1098" t="str">
        <f>"OP-ML00215"</f>
        <v>OP-ML00215</v>
      </c>
      <c r="K1098" t="str">
        <f>"M - PDU מק""ט 6930H850-001"</f>
        <v>M - PDU מק"ט 6930H850-001</v>
      </c>
      <c r="L1098">
        <v>1</v>
      </c>
      <c r="M1098" t="str">
        <f>"יח"</f>
        <v>יח</v>
      </c>
      <c r="N1098">
        <v>1</v>
      </c>
      <c r="O1098" t="str">
        <f>"יח"</f>
        <v>יח</v>
      </c>
      <c r="P1098" s="2">
        <v>14757</v>
      </c>
      <c r="Q1098" t="str">
        <f>"$"</f>
        <v>$</v>
      </c>
      <c r="R1098" t="str">
        <f>"הזמנה"</f>
        <v>הזמנה</v>
      </c>
      <c r="S1098">
        <v>0</v>
      </c>
      <c r="T1098" s="2">
        <v>14757</v>
      </c>
      <c r="U1098">
        <v>0</v>
      </c>
      <c r="V1098" s="2">
        <v>14757</v>
      </c>
      <c r="W1098" t="str">
        <f>"$"</f>
        <v>$</v>
      </c>
      <c r="X1098">
        <v>0</v>
      </c>
      <c r="Y1098">
        <v>0</v>
      </c>
      <c r="Z1098">
        <v>0</v>
      </c>
      <c r="AA1098" t="str">
        <f>"Y"</f>
        <v>Y</v>
      </c>
      <c r="AB1098" t="str">
        <f>"SO22000193"</f>
        <v>SO22000193</v>
      </c>
      <c r="AC1098">
        <v>9</v>
      </c>
      <c r="AD1098" s="1">
        <v>44698</v>
      </c>
      <c r="AE1098" t="str">
        <f>"SH23000620"</f>
        <v>SH23000620</v>
      </c>
      <c r="AF1098" t="str">
        <f>"משלוחים ללקוח"</f>
        <v>משלוחים ללקוח</v>
      </c>
      <c r="AG1098" s="1">
        <v>45068</v>
      </c>
      <c r="AM1098" t="str">
        <f>"10"</f>
        <v>10</v>
      </c>
      <c r="AN1098" t="str">
        <f>"500000"</f>
        <v>500000</v>
      </c>
      <c r="AO1098" t="str">
        <f>"הכנסות  מלקוחות"</f>
        <v>הכנסות  מלקוחות</v>
      </c>
      <c r="AQ1098" t="str">
        <f>"034"</f>
        <v>034</v>
      </c>
      <c r="AR1098">
        <v>0</v>
      </c>
      <c r="AS1098">
        <v>0</v>
      </c>
      <c r="AT1098">
        <v>3.556</v>
      </c>
      <c r="AX1098" t="str">
        <f>"E000359087"</f>
        <v>E000359087</v>
      </c>
      <c r="BD1098" t="str">
        <f>"ערן שלו"</f>
        <v>ערן שלו</v>
      </c>
    </row>
    <row r="1099" spans="1:56" x14ac:dyDescent="0.3">
      <c r="A1099" s="1">
        <v>44934</v>
      </c>
      <c r="B1099" t="str">
        <f>"SI236000027"</f>
        <v>SI236000027</v>
      </c>
      <c r="E1099" t="str">
        <f>"Y"</f>
        <v>Y</v>
      </c>
      <c r="F1099" t="str">
        <f>"חשבוניות מרכזות"</f>
        <v>חשבוניות מרכזות</v>
      </c>
      <c r="G1099" t="str">
        <f>"700065"</f>
        <v>700065</v>
      </c>
      <c r="H1099" t="str">
        <f>"אלתא מערכות בע""מ"</f>
        <v>אלתא מערכות בע"מ</v>
      </c>
      <c r="I1099" t="str">
        <f>"14"</f>
        <v>14</v>
      </c>
      <c r="J1099" t="str">
        <f>"OP-ML00215"</f>
        <v>OP-ML00215</v>
      </c>
      <c r="K1099" t="str">
        <f>"M - PDU מק""ט 6930H850-001"</f>
        <v>M - PDU מק"ט 6930H850-001</v>
      </c>
      <c r="L1099">
        <v>-9</v>
      </c>
      <c r="M1099" t="str">
        <f>"יח"</f>
        <v>יח</v>
      </c>
      <c r="N1099">
        <v>-9</v>
      </c>
      <c r="O1099" t="str">
        <f>"יח"</f>
        <v>יח</v>
      </c>
      <c r="P1099" s="2">
        <v>14757</v>
      </c>
      <c r="Q1099" t="str">
        <f>"$"</f>
        <v>$</v>
      </c>
      <c r="R1099" t="str">
        <f>"הזמנה"</f>
        <v>הזמנה</v>
      </c>
      <c r="S1099">
        <v>0</v>
      </c>
      <c r="T1099" s="2">
        <v>-132813</v>
      </c>
      <c r="U1099">
        <v>0</v>
      </c>
      <c r="V1099" s="2">
        <v>-132813</v>
      </c>
      <c r="W1099" t="str">
        <f>"$"</f>
        <v>$</v>
      </c>
      <c r="X1099">
        <v>0</v>
      </c>
      <c r="Y1099">
        <v>0</v>
      </c>
      <c r="Z1099">
        <v>0</v>
      </c>
      <c r="AA1099" t="str">
        <f>"Y"</f>
        <v>Y</v>
      </c>
      <c r="AC1099">
        <v>0</v>
      </c>
      <c r="AM1099" t="str">
        <f>"10"</f>
        <v>10</v>
      </c>
      <c r="AN1099" t="str">
        <f>"500000"</f>
        <v>500000</v>
      </c>
      <c r="AO1099" t="str">
        <f>"הכנסות  מלקוחות"</f>
        <v>הכנסות  מלקוחות</v>
      </c>
      <c r="AQ1099" t="str">
        <f>"034"</f>
        <v>034</v>
      </c>
      <c r="AR1099">
        <v>0</v>
      </c>
      <c r="AS1099">
        <v>0</v>
      </c>
      <c r="AT1099">
        <v>3.556</v>
      </c>
      <c r="BB1099" t="str">
        <f>"Y"</f>
        <v>Y</v>
      </c>
      <c r="BD1099" t="str">
        <f>"ערן שלו"</f>
        <v>ערן שלו</v>
      </c>
    </row>
    <row r="1100" spans="1:56" x14ac:dyDescent="0.3">
      <c r="A1100" s="1">
        <v>44934</v>
      </c>
      <c r="B1100" t="str">
        <f>"SI236000026"</f>
        <v>SI236000026</v>
      </c>
      <c r="E1100" t="str">
        <f>"Y"</f>
        <v>Y</v>
      </c>
      <c r="F1100" t="str">
        <f>"חשבוניות מרכזות"</f>
        <v>חשבוניות מרכזות</v>
      </c>
      <c r="G1100" t="str">
        <f>"700065"</f>
        <v>700065</v>
      </c>
      <c r="H1100" t="str">
        <f>"אלתא מערכות בע""מ"</f>
        <v>אלתא מערכות בע"מ</v>
      </c>
      <c r="I1100" t="str">
        <f>"14"</f>
        <v>14</v>
      </c>
      <c r="J1100" t="str">
        <f>"OP-ML00215"</f>
        <v>OP-ML00215</v>
      </c>
      <c r="K1100" t="str">
        <f>"M - PDU מק""ט 6930H850-001"</f>
        <v>M - PDU מק"ט 6930H850-001</v>
      </c>
      <c r="L1100">
        <v>9</v>
      </c>
      <c r="M1100" t="str">
        <f>"יח"</f>
        <v>יח</v>
      </c>
      <c r="N1100">
        <v>9</v>
      </c>
      <c r="O1100" t="str">
        <f>"יח"</f>
        <v>יח</v>
      </c>
      <c r="P1100" s="2">
        <v>14757</v>
      </c>
      <c r="Q1100" t="str">
        <f>"$"</f>
        <v>$</v>
      </c>
      <c r="R1100" t="str">
        <f>"הזמנה"</f>
        <v>הזמנה</v>
      </c>
      <c r="S1100">
        <v>0</v>
      </c>
      <c r="T1100" s="2">
        <v>132813</v>
      </c>
      <c r="U1100">
        <v>0</v>
      </c>
      <c r="V1100" s="2">
        <v>132813</v>
      </c>
      <c r="W1100" t="str">
        <f>"$"</f>
        <v>$</v>
      </c>
      <c r="X1100">
        <v>0</v>
      </c>
      <c r="Y1100">
        <v>0</v>
      </c>
      <c r="Z1100">
        <v>0</v>
      </c>
      <c r="AA1100" t="str">
        <f>"Y"</f>
        <v>Y</v>
      </c>
      <c r="AC1100">
        <v>0</v>
      </c>
      <c r="AM1100" t="str">
        <f>"10"</f>
        <v>10</v>
      </c>
      <c r="AN1100" t="str">
        <f>"500000"</f>
        <v>500000</v>
      </c>
      <c r="AO1100" t="str">
        <f>"הכנסות  מלקוחות"</f>
        <v>הכנסות  מלקוחות</v>
      </c>
      <c r="AQ1100" t="str">
        <f>"034"</f>
        <v>034</v>
      </c>
      <c r="AR1100">
        <v>0</v>
      </c>
      <c r="AS1100">
        <v>0</v>
      </c>
      <c r="AT1100">
        <v>3.556</v>
      </c>
      <c r="BB1100" t="str">
        <f>"Y"</f>
        <v>Y</v>
      </c>
      <c r="BD1100" t="str">
        <f>"ערן שלו"</f>
        <v>ערן שלו</v>
      </c>
    </row>
    <row r="1101" spans="1:56" x14ac:dyDescent="0.3">
      <c r="A1101" s="1">
        <v>44934</v>
      </c>
      <c r="B1101" t="str">
        <f>"SI236000025"</f>
        <v>SI236000025</v>
      </c>
      <c r="E1101" t="str">
        <f>"Y"</f>
        <v>Y</v>
      </c>
      <c r="F1101" t="str">
        <f>"חשבוניות מרכזות"</f>
        <v>חשבוניות מרכזות</v>
      </c>
      <c r="G1101" t="str">
        <f>"700065"</f>
        <v>700065</v>
      </c>
      <c r="H1101" t="str">
        <f>"אלתא מערכות בע""מ"</f>
        <v>אלתא מערכות בע"מ</v>
      </c>
      <c r="I1101" t="str">
        <f>"10"</f>
        <v>10</v>
      </c>
      <c r="J1101" t="str">
        <f>"OP-ML00215"</f>
        <v>OP-ML00215</v>
      </c>
      <c r="K1101" t="str">
        <f>"M - PDU מק""ט 6930H850-001"</f>
        <v>M - PDU מק"ט 6930H850-001</v>
      </c>
      <c r="L1101">
        <v>1</v>
      </c>
      <c r="M1101" t="str">
        <f>"יח"</f>
        <v>יח</v>
      </c>
      <c r="N1101">
        <v>1</v>
      </c>
      <c r="O1101" t="str">
        <f>"יח"</f>
        <v>יח</v>
      </c>
      <c r="P1101" s="2">
        <v>14757</v>
      </c>
      <c r="Q1101" t="str">
        <f>"$"</f>
        <v>$</v>
      </c>
      <c r="R1101" t="str">
        <f>"הזמנה"</f>
        <v>הזמנה</v>
      </c>
      <c r="S1101">
        <v>0</v>
      </c>
      <c r="T1101" s="2">
        <v>14757</v>
      </c>
      <c r="U1101">
        <v>0</v>
      </c>
      <c r="V1101" s="2">
        <v>14757</v>
      </c>
      <c r="W1101" t="str">
        <f>"$"</f>
        <v>$</v>
      </c>
      <c r="X1101">
        <v>0</v>
      </c>
      <c r="Y1101">
        <v>0</v>
      </c>
      <c r="Z1101">
        <v>0</v>
      </c>
      <c r="AA1101" t="str">
        <f>"Y"</f>
        <v>Y</v>
      </c>
      <c r="AB1101" t="str">
        <f>"SO22000193"</f>
        <v>SO22000193</v>
      </c>
      <c r="AC1101">
        <v>10</v>
      </c>
      <c r="AD1101" s="1">
        <v>44698</v>
      </c>
      <c r="AE1101" t="str">
        <f>"SH23000621"</f>
        <v>SH23000621</v>
      </c>
      <c r="AF1101" t="str">
        <f>"משלוחים ללקוח"</f>
        <v>משלוחים ללקוח</v>
      </c>
      <c r="AG1101" s="1">
        <v>45068</v>
      </c>
      <c r="AM1101" t="str">
        <f>"10"</f>
        <v>10</v>
      </c>
      <c r="AN1101" t="str">
        <f>"500000"</f>
        <v>500000</v>
      </c>
      <c r="AO1101" t="str">
        <f>"הכנסות  מלקוחות"</f>
        <v>הכנסות  מלקוחות</v>
      </c>
      <c r="AQ1101" t="str">
        <f>"034"</f>
        <v>034</v>
      </c>
      <c r="AR1101">
        <v>0</v>
      </c>
      <c r="AS1101">
        <v>0</v>
      </c>
      <c r="AT1101">
        <v>3.556</v>
      </c>
      <c r="AX1101" t="str">
        <f>"E000359087"</f>
        <v>E000359087</v>
      </c>
      <c r="BD1101" t="str">
        <f>"ערן שלו"</f>
        <v>ערן שלו</v>
      </c>
    </row>
    <row r="1102" spans="1:56" x14ac:dyDescent="0.3">
      <c r="A1102" s="1">
        <v>44934</v>
      </c>
      <c r="B1102" t="str">
        <f>"SI236000024"</f>
        <v>SI236000024</v>
      </c>
      <c r="E1102" t="str">
        <f>"Y"</f>
        <v>Y</v>
      </c>
      <c r="F1102" t="str">
        <f>"חשבוניות מרכזות"</f>
        <v>חשבוניות מרכזות</v>
      </c>
      <c r="G1102" t="str">
        <f>"700065"</f>
        <v>700065</v>
      </c>
      <c r="H1102" t="str">
        <f>"אלתא מערכות בע""מ"</f>
        <v>אלתא מערכות בע"מ</v>
      </c>
      <c r="I1102" t="str">
        <f>"10"</f>
        <v>10</v>
      </c>
      <c r="J1102" t="str">
        <f>"OP-ML00215"</f>
        <v>OP-ML00215</v>
      </c>
      <c r="K1102" t="str">
        <f>"M - PDU מק""ט 6930H850-001"</f>
        <v>M - PDU מק"ט 6930H850-001</v>
      </c>
      <c r="L1102">
        <v>1</v>
      </c>
      <c r="M1102" t="str">
        <f>"יח"</f>
        <v>יח</v>
      </c>
      <c r="N1102">
        <v>1</v>
      </c>
      <c r="O1102" t="str">
        <f>"יח"</f>
        <v>יח</v>
      </c>
      <c r="P1102" s="2">
        <v>14757</v>
      </c>
      <c r="Q1102" t="str">
        <f>"$"</f>
        <v>$</v>
      </c>
      <c r="R1102" t="str">
        <f>"הזמנה"</f>
        <v>הזמנה</v>
      </c>
      <c r="S1102">
        <v>0</v>
      </c>
      <c r="T1102" s="2">
        <v>14757</v>
      </c>
      <c r="U1102">
        <v>0</v>
      </c>
      <c r="V1102" s="2">
        <v>14757</v>
      </c>
      <c r="W1102" t="str">
        <f>"$"</f>
        <v>$</v>
      </c>
      <c r="X1102">
        <v>0</v>
      </c>
      <c r="Y1102">
        <v>0</v>
      </c>
      <c r="Z1102">
        <v>0</v>
      </c>
      <c r="AA1102" t="str">
        <f>"Y"</f>
        <v>Y</v>
      </c>
      <c r="AB1102" t="str">
        <f>"SO22000193"</f>
        <v>SO22000193</v>
      </c>
      <c r="AC1102">
        <v>11</v>
      </c>
      <c r="AD1102" s="1">
        <v>44698</v>
      </c>
      <c r="AE1102" t="str">
        <f>"SH23000622"</f>
        <v>SH23000622</v>
      </c>
      <c r="AF1102" t="str">
        <f>"משלוחים ללקוח"</f>
        <v>משלוחים ללקוח</v>
      </c>
      <c r="AG1102" s="1">
        <v>45068</v>
      </c>
      <c r="AM1102" t="str">
        <f>"10"</f>
        <v>10</v>
      </c>
      <c r="AN1102" t="str">
        <f>"500000"</f>
        <v>500000</v>
      </c>
      <c r="AO1102" t="str">
        <f>"הכנסות  מלקוחות"</f>
        <v>הכנסות  מלקוחות</v>
      </c>
      <c r="AQ1102" t="str">
        <f>"034"</f>
        <v>034</v>
      </c>
      <c r="AR1102">
        <v>0</v>
      </c>
      <c r="AS1102">
        <v>0</v>
      </c>
      <c r="AT1102">
        <v>3.556</v>
      </c>
      <c r="AX1102" t="str">
        <f>"E000359087"</f>
        <v>E000359087</v>
      </c>
      <c r="BD1102" t="str">
        <f>"ערן שלו"</f>
        <v>ערן שלו</v>
      </c>
    </row>
    <row r="1103" spans="1:56" x14ac:dyDescent="0.3">
      <c r="A1103" s="1">
        <v>44934</v>
      </c>
      <c r="B1103" t="str">
        <f>"SI236000023"</f>
        <v>SI236000023</v>
      </c>
      <c r="E1103" t="str">
        <f>"Y"</f>
        <v>Y</v>
      </c>
      <c r="F1103" t="str">
        <f>"חשבוניות מרכזות"</f>
        <v>חשבוניות מרכזות</v>
      </c>
      <c r="G1103" t="str">
        <f>"700065"</f>
        <v>700065</v>
      </c>
      <c r="H1103" t="str">
        <f>"אלתא מערכות בע""מ"</f>
        <v>אלתא מערכות בע"מ</v>
      </c>
      <c r="I1103" t="str">
        <f>"10"</f>
        <v>10</v>
      </c>
      <c r="J1103" t="str">
        <f>"OP-ML00215"</f>
        <v>OP-ML00215</v>
      </c>
      <c r="K1103" t="str">
        <f>"M - PDU מק""ט 6930H850-001"</f>
        <v>M - PDU מק"ט 6930H850-001</v>
      </c>
      <c r="L1103">
        <v>1</v>
      </c>
      <c r="M1103" t="str">
        <f>"יח"</f>
        <v>יח</v>
      </c>
      <c r="N1103">
        <v>1</v>
      </c>
      <c r="O1103" t="str">
        <f>"יח"</f>
        <v>יח</v>
      </c>
      <c r="P1103" s="2">
        <v>14757</v>
      </c>
      <c r="Q1103" t="str">
        <f>"$"</f>
        <v>$</v>
      </c>
      <c r="R1103" t="str">
        <f>"הזמנה"</f>
        <v>הזמנה</v>
      </c>
      <c r="S1103">
        <v>0</v>
      </c>
      <c r="T1103" s="2">
        <v>14757</v>
      </c>
      <c r="U1103">
        <v>0</v>
      </c>
      <c r="V1103" s="2">
        <v>14757</v>
      </c>
      <c r="W1103" t="str">
        <f>"$"</f>
        <v>$</v>
      </c>
      <c r="X1103">
        <v>0</v>
      </c>
      <c r="Y1103">
        <v>0</v>
      </c>
      <c r="Z1103">
        <v>0</v>
      </c>
      <c r="AA1103" t="str">
        <f>"Y"</f>
        <v>Y</v>
      </c>
      <c r="AB1103" t="str">
        <f>"SO22000193"</f>
        <v>SO22000193</v>
      </c>
      <c r="AC1103">
        <v>12</v>
      </c>
      <c r="AD1103" s="1">
        <v>44698</v>
      </c>
      <c r="AE1103" t="str">
        <f>"SH23000623"</f>
        <v>SH23000623</v>
      </c>
      <c r="AF1103" t="str">
        <f>"משלוחים ללקוח"</f>
        <v>משלוחים ללקוח</v>
      </c>
      <c r="AG1103" s="1">
        <v>45068</v>
      </c>
      <c r="AM1103" t="str">
        <f>"10"</f>
        <v>10</v>
      </c>
      <c r="AN1103" t="str">
        <f>"500000"</f>
        <v>500000</v>
      </c>
      <c r="AO1103" t="str">
        <f>"הכנסות  מלקוחות"</f>
        <v>הכנסות  מלקוחות</v>
      </c>
      <c r="AQ1103" t="str">
        <f>"034"</f>
        <v>034</v>
      </c>
      <c r="AR1103">
        <v>0</v>
      </c>
      <c r="AS1103">
        <v>0</v>
      </c>
      <c r="AT1103">
        <v>3.556</v>
      </c>
      <c r="AX1103" t="str">
        <f>"E000359087"</f>
        <v>E000359087</v>
      </c>
      <c r="BD1103" t="str">
        <f>"ערן שלו"</f>
        <v>ערן שלו</v>
      </c>
    </row>
    <row r="1104" spans="1:56" x14ac:dyDescent="0.3">
      <c r="A1104" s="1">
        <v>44934</v>
      </c>
      <c r="B1104" t="str">
        <f>"SI236000022"</f>
        <v>SI236000022</v>
      </c>
      <c r="E1104" t="str">
        <f>"Y"</f>
        <v>Y</v>
      </c>
      <c r="F1104" t="str">
        <f>"חשבוניות מרכזות"</f>
        <v>חשבוניות מרכזות</v>
      </c>
      <c r="G1104" t="str">
        <f>"700065"</f>
        <v>700065</v>
      </c>
      <c r="H1104" t="str">
        <f>"אלתא מערכות בע""מ"</f>
        <v>אלתא מערכות בע"מ</v>
      </c>
      <c r="I1104" t="str">
        <f>"10"</f>
        <v>10</v>
      </c>
      <c r="J1104" t="str">
        <f>"OP-ML00215"</f>
        <v>OP-ML00215</v>
      </c>
      <c r="K1104" t="str">
        <f>"M - PDU מק""ט 6930H850-001"</f>
        <v>M - PDU מק"ט 6930H850-001</v>
      </c>
      <c r="L1104">
        <v>-1</v>
      </c>
      <c r="M1104" t="str">
        <f>"יח"</f>
        <v>יח</v>
      </c>
      <c r="N1104">
        <v>-1</v>
      </c>
      <c r="O1104" t="str">
        <f>"יח"</f>
        <v>יח</v>
      </c>
      <c r="P1104" s="2">
        <v>14757</v>
      </c>
      <c r="Q1104" t="str">
        <f>"$"</f>
        <v>$</v>
      </c>
      <c r="R1104" t="str">
        <f>"הזמנה"</f>
        <v>הזמנה</v>
      </c>
      <c r="S1104">
        <v>0</v>
      </c>
      <c r="T1104" s="2">
        <v>-14757</v>
      </c>
      <c r="U1104">
        <v>0</v>
      </c>
      <c r="V1104" s="2">
        <v>-14757</v>
      </c>
      <c r="W1104" t="str">
        <f>"$"</f>
        <v>$</v>
      </c>
      <c r="X1104">
        <v>0</v>
      </c>
      <c r="Y1104">
        <v>0</v>
      </c>
      <c r="Z1104">
        <v>0</v>
      </c>
      <c r="AA1104" t="str">
        <f>"Y"</f>
        <v>Y</v>
      </c>
      <c r="AC1104">
        <v>0</v>
      </c>
      <c r="AM1104" t="str">
        <f>"10"</f>
        <v>10</v>
      </c>
      <c r="AN1104" t="str">
        <f>"500000"</f>
        <v>500000</v>
      </c>
      <c r="AO1104" t="str">
        <f>"הכנסות  מלקוחות"</f>
        <v>הכנסות  מלקוחות</v>
      </c>
      <c r="AQ1104" t="str">
        <f>"034"</f>
        <v>034</v>
      </c>
      <c r="AR1104">
        <v>0</v>
      </c>
      <c r="AS1104">
        <v>0</v>
      </c>
      <c r="AT1104">
        <v>3.524</v>
      </c>
      <c r="BB1104" t="str">
        <f>"Y"</f>
        <v>Y</v>
      </c>
      <c r="BD1104" t="str">
        <f>"ערן שלו"</f>
        <v>ערן שלו</v>
      </c>
    </row>
    <row r="1105" spans="1:56" x14ac:dyDescent="0.3">
      <c r="A1105" s="1">
        <v>44934</v>
      </c>
      <c r="B1105" t="str">
        <f>"SI236000021"</f>
        <v>SI236000021</v>
      </c>
      <c r="E1105" t="str">
        <f>"Y"</f>
        <v>Y</v>
      </c>
      <c r="F1105" t="str">
        <f>"חשבוניות מרכזות"</f>
        <v>חשבוניות מרכזות</v>
      </c>
      <c r="G1105" t="str">
        <f>"700065"</f>
        <v>700065</v>
      </c>
      <c r="H1105" t="str">
        <f>"אלתא מערכות בע""מ"</f>
        <v>אלתא מערכות בע"מ</v>
      </c>
      <c r="I1105" t="str">
        <f>"10"</f>
        <v>10</v>
      </c>
      <c r="J1105" t="str">
        <f>"OP-ML00215"</f>
        <v>OP-ML00215</v>
      </c>
      <c r="K1105" t="str">
        <f>"M - PDU מק""ט 6930H850-001"</f>
        <v>M - PDU מק"ט 6930H850-001</v>
      </c>
      <c r="L1105">
        <v>1</v>
      </c>
      <c r="M1105" t="str">
        <f>"יח"</f>
        <v>יח</v>
      </c>
      <c r="N1105">
        <v>1</v>
      </c>
      <c r="O1105" t="str">
        <f>"יח"</f>
        <v>יח</v>
      </c>
      <c r="P1105" s="2">
        <v>14757</v>
      </c>
      <c r="Q1105" t="str">
        <f>"$"</f>
        <v>$</v>
      </c>
      <c r="R1105" t="str">
        <f>"הזמנה"</f>
        <v>הזמנה</v>
      </c>
      <c r="S1105">
        <v>0</v>
      </c>
      <c r="T1105" s="2">
        <v>14757</v>
      </c>
      <c r="U1105">
        <v>0</v>
      </c>
      <c r="V1105" s="2">
        <v>14757</v>
      </c>
      <c r="W1105" t="str">
        <f>"$"</f>
        <v>$</v>
      </c>
      <c r="X1105">
        <v>0</v>
      </c>
      <c r="Y1105">
        <v>0</v>
      </c>
      <c r="Z1105">
        <v>0</v>
      </c>
      <c r="AA1105" t="str">
        <f>"Y"</f>
        <v>Y</v>
      </c>
      <c r="AC1105">
        <v>0</v>
      </c>
      <c r="AM1105" t="str">
        <f>"10"</f>
        <v>10</v>
      </c>
      <c r="AN1105" t="str">
        <f>"500000"</f>
        <v>500000</v>
      </c>
      <c r="AO1105" t="str">
        <f>"הכנסות  מלקוחות"</f>
        <v>הכנסות  מלקוחות</v>
      </c>
      <c r="AQ1105" t="str">
        <f>"034"</f>
        <v>034</v>
      </c>
      <c r="AR1105">
        <v>0</v>
      </c>
      <c r="AS1105">
        <v>0</v>
      </c>
      <c r="AT1105">
        <v>3.524</v>
      </c>
      <c r="BB1105" t="str">
        <f>"Y"</f>
        <v>Y</v>
      </c>
      <c r="BD1105" t="str">
        <f>"ערן שלו"</f>
        <v>ערן שלו</v>
      </c>
    </row>
    <row r="1106" spans="1:56" x14ac:dyDescent="0.3">
      <c r="A1106" s="1">
        <v>44928</v>
      </c>
      <c r="B1106" t="str">
        <f>"SI236000269"</f>
        <v>SI236000269</v>
      </c>
      <c r="C1106" t="str">
        <f>"PR22000694"</f>
        <v>PR22000694</v>
      </c>
      <c r="E1106" t="str">
        <f>"Y"</f>
        <v>Y</v>
      </c>
      <c r="F1106" t="str">
        <f>"חשבוניות מרכזות"</f>
        <v>חשבוניות מרכזות</v>
      </c>
      <c r="G1106" t="str">
        <f>"700065"</f>
        <v>700065</v>
      </c>
      <c r="H1106" t="str">
        <f>"אלתא מערכות בע""מ"</f>
        <v>אלתא מערכות בע"מ</v>
      </c>
      <c r="I1106" t="str">
        <f>"10"</f>
        <v>10</v>
      </c>
      <c r="J1106" t="str">
        <f>"OP-AR02847"</f>
        <v>OP-AR02847</v>
      </c>
      <c r="K1106" t="str">
        <f>"RPU ETH 60M CABLE"</f>
        <v>RPU ETH 60M CABLE</v>
      </c>
      <c r="L1106">
        <v>-1</v>
      </c>
      <c r="M1106" t="str">
        <f>"יח"</f>
        <v>יח</v>
      </c>
      <c r="N1106">
        <v>-1</v>
      </c>
      <c r="O1106" t="str">
        <f>"יח"</f>
        <v>יח</v>
      </c>
      <c r="P1106">
        <v>485</v>
      </c>
      <c r="Q1106" t="str">
        <f>"$"</f>
        <v>$</v>
      </c>
      <c r="R1106" t="str">
        <f>"הזמנה"</f>
        <v>הזמנה</v>
      </c>
      <c r="S1106">
        <v>0</v>
      </c>
      <c r="T1106">
        <v>-485</v>
      </c>
      <c r="U1106">
        <v>0</v>
      </c>
      <c r="V1106">
        <v>-485</v>
      </c>
      <c r="W1106" t="str">
        <f>"$"</f>
        <v>$</v>
      </c>
      <c r="X1106">
        <v>0</v>
      </c>
      <c r="Y1106">
        <v>0</v>
      </c>
      <c r="Z1106">
        <v>0</v>
      </c>
      <c r="AA1106" t="str">
        <f>"Y"</f>
        <v>Y</v>
      </c>
      <c r="AC1106">
        <v>0</v>
      </c>
      <c r="AM1106" t="str">
        <f>"10"</f>
        <v>10</v>
      </c>
      <c r="AN1106" t="str">
        <f>"500000"</f>
        <v>500000</v>
      </c>
      <c r="AO1106" t="str">
        <f>"הכנסות  מלקוחות"</f>
        <v>הכנסות  מלקוחות</v>
      </c>
      <c r="AQ1106" t="str">
        <f>"034"</f>
        <v>034</v>
      </c>
      <c r="AR1106">
        <v>0</v>
      </c>
      <c r="AS1106">
        <v>0</v>
      </c>
      <c r="AT1106">
        <v>3.5190000000000001</v>
      </c>
      <c r="BB1106" t="str">
        <f>"Y"</f>
        <v>Y</v>
      </c>
      <c r="BD1106" t="str">
        <f>"ערן שלו"</f>
        <v>ערן שלו</v>
      </c>
    </row>
    <row r="1107" spans="1:56" x14ac:dyDescent="0.3">
      <c r="A1107" s="1">
        <v>44928</v>
      </c>
      <c r="B1107" t="str">
        <f>"SI236000269"</f>
        <v>SI236000269</v>
      </c>
      <c r="C1107" t="str">
        <f>"PR22000694"</f>
        <v>PR22000694</v>
      </c>
      <c r="E1107" t="str">
        <f>"Y"</f>
        <v>Y</v>
      </c>
      <c r="F1107" t="str">
        <f>"חשבוניות מרכזות"</f>
        <v>חשבוניות מרכזות</v>
      </c>
      <c r="G1107" t="str">
        <f>"700065"</f>
        <v>700065</v>
      </c>
      <c r="H1107" t="str">
        <f>"אלתא מערכות בע""מ"</f>
        <v>אלתא מערכות בע"מ</v>
      </c>
      <c r="I1107" t="str">
        <f>"10"</f>
        <v>10</v>
      </c>
      <c r="J1107" t="str">
        <f>"999"</f>
        <v>999</v>
      </c>
      <c r="K1107" t="str">
        <f>"קיט שדרוג RPU רצועות + חבק לתורן"</f>
        <v>קיט שדרוג RPU רצועות + חבק לתורן</v>
      </c>
      <c r="L1107">
        <v>-0.375</v>
      </c>
      <c r="M1107" t="str">
        <f>"חל"</f>
        <v>חל</v>
      </c>
      <c r="N1107">
        <v>-0.375</v>
      </c>
      <c r="O1107" t="str">
        <f>"חל"</f>
        <v>חל</v>
      </c>
      <c r="P1107" s="2">
        <v>5432</v>
      </c>
      <c r="Q1107" t="str">
        <f>"$"</f>
        <v>$</v>
      </c>
      <c r="R1107" t="str">
        <f>"הזמנה"</f>
        <v>הזמנה</v>
      </c>
      <c r="S1107">
        <v>0</v>
      </c>
      <c r="T1107" s="2">
        <v>-2037</v>
      </c>
      <c r="U1107">
        <v>0</v>
      </c>
      <c r="V1107" s="2">
        <v>-2037</v>
      </c>
      <c r="W1107" t="str">
        <f>"$"</f>
        <v>$</v>
      </c>
      <c r="X1107">
        <v>0</v>
      </c>
      <c r="Y1107">
        <v>0</v>
      </c>
      <c r="Z1107">
        <v>0</v>
      </c>
      <c r="AA1107" t="str">
        <f>"Y"</f>
        <v>Y</v>
      </c>
      <c r="AC1107">
        <v>0</v>
      </c>
      <c r="AM1107" t="str">
        <f>"10"</f>
        <v>10</v>
      </c>
      <c r="AN1107" t="str">
        <f>"500000"</f>
        <v>500000</v>
      </c>
      <c r="AO1107" t="str">
        <f>"הכנסות  מלקוחות"</f>
        <v>הכנסות  מלקוחות</v>
      </c>
      <c r="AQ1107" t="str">
        <f>"034"</f>
        <v>034</v>
      </c>
      <c r="AR1107">
        <v>0</v>
      </c>
      <c r="AS1107">
        <v>0</v>
      </c>
      <c r="AT1107">
        <v>3.5190000000000001</v>
      </c>
      <c r="BB1107" t="str">
        <f>"Y"</f>
        <v>Y</v>
      </c>
      <c r="BD1107" t="str">
        <f>"ערן שלו"</f>
        <v>ערן שלו</v>
      </c>
    </row>
    <row r="1108" spans="1:56" x14ac:dyDescent="0.3">
      <c r="A1108" s="1">
        <v>44928</v>
      </c>
      <c r="B1108" t="str">
        <f>"SI236000269"</f>
        <v>SI236000269</v>
      </c>
      <c r="C1108" t="str">
        <f>"PR22000694"</f>
        <v>PR22000694</v>
      </c>
      <c r="E1108" t="str">
        <f>"Y"</f>
        <v>Y</v>
      </c>
      <c r="F1108" t="str">
        <f>"חשבוניות מרכזות"</f>
        <v>חשבוניות מרכזות</v>
      </c>
      <c r="G1108" t="str">
        <f>"700065"</f>
        <v>700065</v>
      </c>
      <c r="H1108" t="str">
        <f>"אלתא מערכות בע""מ"</f>
        <v>אלתא מערכות בע"מ</v>
      </c>
      <c r="I1108" t="str">
        <f>"10"</f>
        <v>10</v>
      </c>
      <c r="J1108" t="str">
        <f>"999"</f>
        <v>999</v>
      </c>
      <c r="K1108" t="str">
        <f>"יתד הארקה RPU"</f>
        <v>יתד הארקה RPU</v>
      </c>
      <c r="L1108">
        <v>-0.125</v>
      </c>
      <c r="M1108" t="str">
        <f>"חל"</f>
        <v>חל</v>
      </c>
      <c r="N1108">
        <v>-0.125</v>
      </c>
      <c r="O1108" t="str">
        <f>"חל"</f>
        <v>חל</v>
      </c>
      <c r="P1108" s="2">
        <v>13698</v>
      </c>
      <c r="Q1108" t="str">
        <f>"$"</f>
        <v>$</v>
      </c>
      <c r="R1108" t="str">
        <f>"הזמנה"</f>
        <v>הזמנה</v>
      </c>
      <c r="S1108">
        <v>0</v>
      </c>
      <c r="T1108" s="2">
        <v>-1712.25</v>
      </c>
      <c r="U1108">
        <v>0</v>
      </c>
      <c r="V1108" s="2">
        <v>-1712.25</v>
      </c>
      <c r="W1108" t="str">
        <f>"$"</f>
        <v>$</v>
      </c>
      <c r="X1108">
        <v>0</v>
      </c>
      <c r="Y1108">
        <v>0</v>
      </c>
      <c r="Z1108">
        <v>0</v>
      </c>
      <c r="AA1108" t="str">
        <f>"Y"</f>
        <v>Y</v>
      </c>
      <c r="AC1108">
        <v>0</v>
      </c>
      <c r="AM1108" t="str">
        <f>"10"</f>
        <v>10</v>
      </c>
      <c r="AN1108" t="str">
        <f>"500000"</f>
        <v>500000</v>
      </c>
      <c r="AO1108" t="str">
        <f>"הכנסות  מלקוחות"</f>
        <v>הכנסות  מלקוחות</v>
      </c>
      <c r="AQ1108" t="str">
        <f>"034"</f>
        <v>034</v>
      </c>
      <c r="AR1108">
        <v>0</v>
      </c>
      <c r="AS1108">
        <v>0</v>
      </c>
      <c r="AT1108">
        <v>3.5190000000000001</v>
      </c>
      <c r="BB1108" t="str">
        <f>"Y"</f>
        <v>Y</v>
      </c>
      <c r="BD1108" t="str">
        <f>"ערן שלו"</f>
        <v>ערן שלו</v>
      </c>
    </row>
    <row r="1109" spans="1:56" x14ac:dyDescent="0.3">
      <c r="A1109" s="1">
        <v>44928</v>
      </c>
      <c r="B1109" t="str">
        <f>"SI236000269"</f>
        <v>SI236000269</v>
      </c>
      <c r="C1109" t="str">
        <f>"PR22000694"</f>
        <v>PR22000694</v>
      </c>
      <c r="E1109" t="str">
        <f>"Y"</f>
        <v>Y</v>
      </c>
      <c r="F1109" t="str">
        <f>"חשבוניות מרכזות"</f>
        <v>חשבוניות מרכזות</v>
      </c>
      <c r="G1109" t="str">
        <f>"700065"</f>
        <v>700065</v>
      </c>
      <c r="H1109" t="str">
        <f>"אלתא מערכות בע""מ"</f>
        <v>אלתא מערכות בע"מ</v>
      </c>
      <c r="I1109" t="str">
        <f>"10"</f>
        <v>10</v>
      </c>
      <c r="J1109" t="str">
        <f>"999"</f>
        <v>999</v>
      </c>
      <c r="K1109" t="str">
        <f>"חבק נוסף לתורן מד רוח"</f>
        <v>חבק נוסף לתורן מד רוח</v>
      </c>
      <c r="L1109">
        <v>-0.25</v>
      </c>
      <c r="M1109" t="str">
        <f>"חל"</f>
        <v>חל</v>
      </c>
      <c r="N1109">
        <v>-0.25</v>
      </c>
      <c r="O1109" t="str">
        <f>"חל"</f>
        <v>חל</v>
      </c>
      <c r="P1109" s="2">
        <v>2720</v>
      </c>
      <c r="Q1109" t="str">
        <f>"$"</f>
        <v>$</v>
      </c>
      <c r="R1109" t="str">
        <f>"הזמנה"</f>
        <v>הזמנה</v>
      </c>
      <c r="S1109">
        <v>0</v>
      </c>
      <c r="T1109">
        <v>-680</v>
      </c>
      <c r="U1109">
        <v>0</v>
      </c>
      <c r="V1109">
        <v>-680</v>
      </c>
      <c r="W1109" t="str">
        <f>"$"</f>
        <v>$</v>
      </c>
      <c r="X1109">
        <v>0</v>
      </c>
      <c r="Y1109">
        <v>0</v>
      </c>
      <c r="Z1109">
        <v>0</v>
      </c>
      <c r="AA1109" t="str">
        <f>"Y"</f>
        <v>Y</v>
      </c>
      <c r="AC1109">
        <v>0</v>
      </c>
      <c r="AM1109" t="str">
        <f>"10"</f>
        <v>10</v>
      </c>
      <c r="AN1109" t="str">
        <f>"500000"</f>
        <v>500000</v>
      </c>
      <c r="AO1109" t="str">
        <f>"הכנסות  מלקוחות"</f>
        <v>הכנסות  מלקוחות</v>
      </c>
      <c r="AQ1109" t="str">
        <f>"034"</f>
        <v>034</v>
      </c>
      <c r="AR1109">
        <v>0</v>
      </c>
      <c r="AS1109">
        <v>0</v>
      </c>
      <c r="AT1109">
        <v>3.5190000000000001</v>
      </c>
      <c r="BB1109" t="str">
        <f>"Y"</f>
        <v>Y</v>
      </c>
      <c r="BD1109" t="str">
        <f>"ערן שלו"</f>
        <v>ערן שלו</v>
      </c>
    </row>
    <row r="1110" spans="1:56" x14ac:dyDescent="0.3">
      <c r="A1110" s="1">
        <v>44928</v>
      </c>
      <c r="B1110" t="str">
        <f>"SI236000266"</f>
        <v>SI236000266</v>
      </c>
      <c r="C1110" t="str">
        <f>"PR22000694"</f>
        <v>PR22000694</v>
      </c>
      <c r="E1110" t="str">
        <f>"Y"</f>
        <v>Y</v>
      </c>
      <c r="F1110" t="str">
        <f>"חשבוניות מרכזות"</f>
        <v>חשבוניות מרכזות</v>
      </c>
      <c r="G1110" t="str">
        <f>"700065"</f>
        <v>700065</v>
      </c>
      <c r="H1110" t="str">
        <f>"אלתא מערכות בע""מ"</f>
        <v>אלתא מערכות בע"מ</v>
      </c>
      <c r="I1110" t="str">
        <f>"10"</f>
        <v>10</v>
      </c>
      <c r="J1110" t="str">
        <f>"OP-AR02847"</f>
        <v>OP-AR02847</v>
      </c>
      <c r="K1110" t="str">
        <f>"RPU ETH 60M CABLE"</f>
        <v>RPU ETH 60M CABLE</v>
      </c>
      <c r="L1110">
        <v>1</v>
      </c>
      <c r="M1110" t="str">
        <f>"יח"</f>
        <v>יח</v>
      </c>
      <c r="N1110">
        <v>1</v>
      </c>
      <c r="O1110" t="str">
        <f>"יח"</f>
        <v>יח</v>
      </c>
      <c r="P1110">
        <v>485</v>
      </c>
      <c r="Q1110" t="str">
        <f>"$"</f>
        <v>$</v>
      </c>
      <c r="R1110" t="str">
        <f>"הזמנה"</f>
        <v>הזמנה</v>
      </c>
      <c r="S1110">
        <v>0</v>
      </c>
      <c r="T1110">
        <v>485</v>
      </c>
      <c r="U1110">
        <v>0</v>
      </c>
      <c r="V1110">
        <v>485</v>
      </c>
      <c r="W1110" t="str">
        <f>"$"</f>
        <v>$</v>
      </c>
      <c r="X1110">
        <v>0</v>
      </c>
      <c r="Y1110">
        <v>0</v>
      </c>
      <c r="Z1110">
        <v>0</v>
      </c>
      <c r="AA1110" t="str">
        <f>"Y"</f>
        <v>Y</v>
      </c>
      <c r="AC1110">
        <v>0</v>
      </c>
      <c r="AM1110" t="str">
        <f>"10"</f>
        <v>10</v>
      </c>
      <c r="AN1110" t="str">
        <f>"500000"</f>
        <v>500000</v>
      </c>
      <c r="AO1110" t="str">
        <f>"הכנסות  מלקוחות"</f>
        <v>הכנסות  מלקוחות</v>
      </c>
      <c r="AQ1110" t="str">
        <f>"034"</f>
        <v>034</v>
      </c>
      <c r="AR1110">
        <v>0</v>
      </c>
      <c r="AS1110">
        <v>0</v>
      </c>
      <c r="AT1110">
        <v>3.5190000000000001</v>
      </c>
      <c r="BB1110" t="str">
        <f>"Y"</f>
        <v>Y</v>
      </c>
      <c r="BD1110" t="str">
        <f>"ערן שלו"</f>
        <v>ערן שלו</v>
      </c>
    </row>
    <row r="1111" spans="1:56" x14ac:dyDescent="0.3">
      <c r="A1111" s="1">
        <v>44928</v>
      </c>
      <c r="B1111" t="str">
        <f>"SI236000266"</f>
        <v>SI236000266</v>
      </c>
      <c r="C1111" t="str">
        <f>"PR22000694"</f>
        <v>PR22000694</v>
      </c>
      <c r="E1111" t="str">
        <f>"Y"</f>
        <v>Y</v>
      </c>
      <c r="F1111" t="str">
        <f>"חשבוניות מרכזות"</f>
        <v>חשבוניות מרכזות</v>
      </c>
      <c r="G1111" t="str">
        <f>"700065"</f>
        <v>700065</v>
      </c>
      <c r="H1111" t="str">
        <f>"אלתא מערכות בע""מ"</f>
        <v>אלתא מערכות בע"מ</v>
      </c>
      <c r="I1111" t="str">
        <f>"10"</f>
        <v>10</v>
      </c>
      <c r="J1111" t="str">
        <f>"999"</f>
        <v>999</v>
      </c>
      <c r="K1111" t="str">
        <f>"קיט שדרוג RPU רצועות + חבק לתורן"</f>
        <v>קיט שדרוג RPU רצועות + חבק לתורן</v>
      </c>
      <c r="L1111">
        <v>0.375</v>
      </c>
      <c r="M1111" t="str">
        <f>"חל"</f>
        <v>חל</v>
      </c>
      <c r="N1111">
        <v>0.375</v>
      </c>
      <c r="O1111" t="str">
        <f>"חל"</f>
        <v>חל</v>
      </c>
      <c r="P1111" s="2">
        <v>5432</v>
      </c>
      <c r="Q1111" t="str">
        <f>"$"</f>
        <v>$</v>
      </c>
      <c r="R1111" t="str">
        <f>"הזמנה"</f>
        <v>הזמנה</v>
      </c>
      <c r="S1111">
        <v>0</v>
      </c>
      <c r="T1111" s="2">
        <v>2037</v>
      </c>
      <c r="U1111">
        <v>0</v>
      </c>
      <c r="V1111" s="2">
        <v>2037</v>
      </c>
      <c r="W1111" t="str">
        <f>"$"</f>
        <v>$</v>
      </c>
      <c r="X1111">
        <v>0</v>
      </c>
      <c r="Y1111">
        <v>0</v>
      </c>
      <c r="Z1111">
        <v>0</v>
      </c>
      <c r="AA1111" t="str">
        <f>"Y"</f>
        <v>Y</v>
      </c>
      <c r="AC1111">
        <v>0</v>
      </c>
      <c r="AM1111" t="str">
        <f>"10"</f>
        <v>10</v>
      </c>
      <c r="AN1111" t="str">
        <f>"500000"</f>
        <v>500000</v>
      </c>
      <c r="AO1111" t="str">
        <f>"הכנסות  מלקוחות"</f>
        <v>הכנסות  מלקוחות</v>
      </c>
      <c r="AQ1111" t="str">
        <f>"034"</f>
        <v>034</v>
      </c>
      <c r="AR1111">
        <v>0</v>
      </c>
      <c r="AS1111">
        <v>0</v>
      </c>
      <c r="AT1111">
        <v>3.5190000000000001</v>
      </c>
      <c r="BB1111" t="str">
        <f>"Y"</f>
        <v>Y</v>
      </c>
      <c r="BD1111" t="str">
        <f>"ערן שלו"</f>
        <v>ערן שלו</v>
      </c>
    </row>
    <row r="1112" spans="1:56" x14ac:dyDescent="0.3">
      <c r="A1112" s="1">
        <v>44928</v>
      </c>
      <c r="B1112" t="str">
        <f>"SI236000266"</f>
        <v>SI236000266</v>
      </c>
      <c r="C1112" t="str">
        <f>"PR22000694"</f>
        <v>PR22000694</v>
      </c>
      <c r="E1112" t="str">
        <f>"Y"</f>
        <v>Y</v>
      </c>
      <c r="F1112" t="str">
        <f>"חשבוניות מרכזות"</f>
        <v>חשבוניות מרכזות</v>
      </c>
      <c r="G1112" t="str">
        <f>"700065"</f>
        <v>700065</v>
      </c>
      <c r="H1112" t="str">
        <f>"אלתא מערכות בע""מ"</f>
        <v>אלתא מערכות בע"מ</v>
      </c>
      <c r="I1112" t="str">
        <f>"10"</f>
        <v>10</v>
      </c>
      <c r="J1112" t="str">
        <f>"999"</f>
        <v>999</v>
      </c>
      <c r="K1112" t="str">
        <f>"יתד הארקה RPU"</f>
        <v>יתד הארקה RPU</v>
      </c>
      <c r="L1112">
        <v>0.125</v>
      </c>
      <c r="M1112" t="str">
        <f>"חל"</f>
        <v>חל</v>
      </c>
      <c r="N1112">
        <v>0.125</v>
      </c>
      <c r="O1112" t="str">
        <f>"חל"</f>
        <v>חל</v>
      </c>
      <c r="P1112" s="2">
        <v>13698</v>
      </c>
      <c r="Q1112" t="str">
        <f>"$"</f>
        <v>$</v>
      </c>
      <c r="R1112" t="str">
        <f>"הזמנה"</f>
        <v>הזמנה</v>
      </c>
      <c r="S1112">
        <v>0</v>
      </c>
      <c r="T1112" s="2">
        <v>1712.25</v>
      </c>
      <c r="U1112">
        <v>0</v>
      </c>
      <c r="V1112" s="2">
        <v>1712.25</v>
      </c>
      <c r="W1112" t="str">
        <f>"$"</f>
        <v>$</v>
      </c>
      <c r="X1112">
        <v>0</v>
      </c>
      <c r="Y1112">
        <v>0</v>
      </c>
      <c r="Z1112">
        <v>0</v>
      </c>
      <c r="AA1112" t="str">
        <f>"Y"</f>
        <v>Y</v>
      </c>
      <c r="AC1112">
        <v>0</v>
      </c>
      <c r="AM1112" t="str">
        <f>"10"</f>
        <v>10</v>
      </c>
      <c r="AN1112" t="str">
        <f>"500000"</f>
        <v>500000</v>
      </c>
      <c r="AO1112" t="str">
        <f>"הכנסות  מלקוחות"</f>
        <v>הכנסות  מלקוחות</v>
      </c>
      <c r="AQ1112" t="str">
        <f>"034"</f>
        <v>034</v>
      </c>
      <c r="AR1112">
        <v>0</v>
      </c>
      <c r="AS1112">
        <v>0</v>
      </c>
      <c r="AT1112">
        <v>3.5190000000000001</v>
      </c>
      <c r="BB1112" t="str">
        <f>"Y"</f>
        <v>Y</v>
      </c>
      <c r="BD1112" t="str">
        <f>"ערן שלו"</f>
        <v>ערן שלו</v>
      </c>
    </row>
    <row r="1113" spans="1:56" x14ac:dyDescent="0.3">
      <c r="A1113" s="1">
        <v>44928</v>
      </c>
      <c r="B1113" t="str">
        <f>"SI236000266"</f>
        <v>SI236000266</v>
      </c>
      <c r="C1113" t="str">
        <f>"PR22000694"</f>
        <v>PR22000694</v>
      </c>
      <c r="E1113" t="str">
        <f>"Y"</f>
        <v>Y</v>
      </c>
      <c r="F1113" t="str">
        <f>"חשבוניות מרכזות"</f>
        <v>חשבוניות מרכזות</v>
      </c>
      <c r="G1113" t="str">
        <f>"700065"</f>
        <v>700065</v>
      </c>
      <c r="H1113" t="str">
        <f>"אלתא מערכות בע""מ"</f>
        <v>אלתא מערכות בע"מ</v>
      </c>
      <c r="I1113" t="str">
        <f>"10"</f>
        <v>10</v>
      </c>
      <c r="J1113" t="str">
        <f>"999"</f>
        <v>999</v>
      </c>
      <c r="K1113" t="str">
        <f>"חבק נוסף לתורן מד רוח"</f>
        <v>חבק נוסף לתורן מד רוח</v>
      </c>
      <c r="L1113">
        <v>0.25</v>
      </c>
      <c r="M1113" t="str">
        <f>"חל"</f>
        <v>חל</v>
      </c>
      <c r="N1113">
        <v>0.25</v>
      </c>
      <c r="O1113" t="str">
        <f>"חל"</f>
        <v>חל</v>
      </c>
      <c r="P1113" s="2">
        <v>2720</v>
      </c>
      <c r="Q1113" t="str">
        <f>"$"</f>
        <v>$</v>
      </c>
      <c r="R1113" t="str">
        <f>"הזמנה"</f>
        <v>הזמנה</v>
      </c>
      <c r="S1113">
        <v>0</v>
      </c>
      <c r="T1113">
        <v>680</v>
      </c>
      <c r="U1113">
        <v>0</v>
      </c>
      <c r="V1113">
        <v>680</v>
      </c>
      <c r="W1113" t="str">
        <f>"$"</f>
        <v>$</v>
      </c>
      <c r="X1113">
        <v>0</v>
      </c>
      <c r="Y1113">
        <v>0</v>
      </c>
      <c r="Z1113">
        <v>0</v>
      </c>
      <c r="AA1113" t="str">
        <f>"Y"</f>
        <v>Y</v>
      </c>
      <c r="AC1113">
        <v>0</v>
      </c>
      <c r="AM1113" t="str">
        <f>"10"</f>
        <v>10</v>
      </c>
      <c r="AN1113" t="str">
        <f>"500000"</f>
        <v>500000</v>
      </c>
      <c r="AO1113" t="str">
        <f>"הכנסות  מלקוחות"</f>
        <v>הכנסות  מלקוחות</v>
      </c>
      <c r="AQ1113" t="str">
        <f>"034"</f>
        <v>034</v>
      </c>
      <c r="AR1113">
        <v>0</v>
      </c>
      <c r="AS1113">
        <v>0</v>
      </c>
      <c r="AT1113">
        <v>3.5190000000000001</v>
      </c>
      <c r="BB1113" t="str">
        <f>"Y"</f>
        <v>Y</v>
      </c>
      <c r="BD1113" t="str">
        <f>"ערן שלו"</f>
        <v>ערן שלו</v>
      </c>
    </row>
    <row r="1114" spans="1:56" x14ac:dyDescent="0.3">
      <c r="A1114" s="1">
        <v>44928</v>
      </c>
      <c r="B1114" t="str">
        <f>"SI236000265"</f>
        <v>SI236000265</v>
      </c>
      <c r="C1114" t="str">
        <f>"PR22000694"</f>
        <v>PR22000694</v>
      </c>
      <c r="E1114" t="str">
        <f>"Y"</f>
        <v>Y</v>
      </c>
      <c r="F1114" t="str">
        <f>"חשבוניות מרכזות"</f>
        <v>חשבוניות מרכזות</v>
      </c>
      <c r="G1114" t="str">
        <f>"700065"</f>
        <v>700065</v>
      </c>
      <c r="H1114" t="str">
        <f>"אלתא מערכות בע""מ"</f>
        <v>אלתא מערכות בע"מ</v>
      </c>
      <c r="I1114" t="str">
        <f>"10"</f>
        <v>10</v>
      </c>
      <c r="J1114" t="str">
        <f>"OP-AR02847"</f>
        <v>OP-AR02847</v>
      </c>
      <c r="K1114" t="str">
        <f>"RPU ETH 60M CABLE"</f>
        <v>RPU ETH 60M CABLE</v>
      </c>
      <c r="L1114">
        <v>-1</v>
      </c>
      <c r="M1114" t="str">
        <f>"יח"</f>
        <v>יח</v>
      </c>
      <c r="N1114">
        <v>-1</v>
      </c>
      <c r="O1114" t="str">
        <f>"יח"</f>
        <v>יח</v>
      </c>
      <c r="P1114">
        <v>485</v>
      </c>
      <c r="Q1114" t="str">
        <f>"$"</f>
        <v>$</v>
      </c>
      <c r="R1114" t="str">
        <f>"הזמנה"</f>
        <v>הזמנה</v>
      </c>
      <c r="S1114">
        <v>0</v>
      </c>
      <c r="T1114">
        <v>-485</v>
      </c>
      <c r="U1114">
        <v>0</v>
      </c>
      <c r="V1114">
        <v>-485</v>
      </c>
      <c r="W1114" t="str">
        <f>"$"</f>
        <v>$</v>
      </c>
      <c r="X1114">
        <v>0</v>
      </c>
      <c r="Y1114">
        <v>0</v>
      </c>
      <c r="Z1114">
        <v>0</v>
      </c>
      <c r="AA1114" t="str">
        <f>"Y"</f>
        <v>Y</v>
      </c>
      <c r="AC1114">
        <v>0</v>
      </c>
      <c r="AM1114" t="str">
        <f>"10"</f>
        <v>10</v>
      </c>
      <c r="AN1114" t="str">
        <f>"500000"</f>
        <v>500000</v>
      </c>
      <c r="AO1114" t="str">
        <f>"הכנסות  מלקוחות"</f>
        <v>הכנסות  מלקוחות</v>
      </c>
      <c r="AQ1114" t="str">
        <f>"034"</f>
        <v>034</v>
      </c>
      <c r="AR1114">
        <v>0</v>
      </c>
      <c r="AS1114">
        <v>0</v>
      </c>
      <c r="AT1114">
        <v>3.4689999999999999</v>
      </c>
      <c r="BB1114" t="str">
        <f>"Y"</f>
        <v>Y</v>
      </c>
      <c r="BD1114" t="str">
        <f>"ערן שלו"</f>
        <v>ערן שלו</v>
      </c>
    </row>
    <row r="1115" spans="1:56" x14ac:dyDescent="0.3">
      <c r="A1115" s="1">
        <v>44928</v>
      </c>
      <c r="B1115" t="str">
        <f>"SI236000265"</f>
        <v>SI236000265</v>
      </c>
      <c r="C1115" t="str">
        <f>"PR22000694"</f>
        <v>PR22000694</v>
      </c>
      <c r="E1115" t="str">
        <f>"Y"</f>
        <v>Y</v>
      </c>
      <c r="F1115" t="str">
        <f>"חשבוניות מרכזות"</f>
        <v>חשבוניות מרכזות</v>
      </c>
      <c r="G1115" t="str">
        <f>"700065"</f>
        <v>700065</v>
      </c>
      <c r="H1115" t="str">
        <f>"אלתא מערכות בע""מ"</f>
        <v>אלתא מערכות בע"מ</v>
      </c>
      <c r="I1115" t="str">
        <f>"10"</f>
        <v>10</v>
      </c>
      <c r="J1115" t="str">
        <f>"999"</f>
        <v>999</v>
      </c>
      <c r="K1115" t="str">
        <f>"קיט שדרוג RPU רצועות + חבק לתורן"</f>
        <v>קיט שדרוג RPU רצועות + חבק לתורן</v>
      </c>
      <c r="L1115">
        <v>-0.375</v>
      </c>
      <c r="M1115" t="str">
        <f>"חל"</f>
        <v>חל</v>
      </c>
      <c r="N1115">
        <v>-0.375</v>
      </c>
      <c r="O1115" t="str">
        <f>"חל"</f>
        <v>חל</v>
      </c>
      <c r="P1115" s="2">
        <v>5432</v>
      </c>
      <c r="Q1115" t="str">
        <f>"$"</f>
        <v>$</v>
      </c>
      <c r="R1115" t="str">
        <f>"הזמנה"</f>
        <v>הזמנה</v>
      </c>
      <c r="S1115">
        <v>0</v>
      </c>
      <c r="T1115" s="2">
        <v>-2037</v>
      </c>
      <c r="U1115">
        <v>0</v>
      </c>
      <c r="V1115" s="2">
        <v>-2037</v>
      </c>
      <c r="W1115" t="str">
        <f>"$"</f>
        <v>$</v>
      </c>
      <c r="X1115">
        <v>0</v>
      </c>
      <c r="Y1115">
        <v>0</v>
      </c>
      <c r="Z1115">
        <v>0</v>
      </c>
      <c r="AA1115" t="str">
        <f>"Y"</f>
        <v>Y</v>
      </c>
      <c r="AC1115">
        <v>0</v>
      </c>
      <c r="AM1115" t="str">
        <f>"10"</f>
        <v>10</v>
      </c>
      <c r="AN1115" t="str">
        <f>"500000"</f>
        <v>500000</v>
      </c>
      <c r="AO1115" t="str">
        <f>"הכנסות  מלקוחות"</f>
        <v>הכנסות  מלקוחות</v>
      </c>
      <c r="AQ1115" t="str">
        <f>"034"</f>
        <v>034</v>
      </c>
      <c r="AR1115">
        <v>0</v>
      </c>
      <c r="AS1115">
        <v>0</v>
      </c>
      <c r="AT1115">
        <v>3.4689999999999999</v>
      </c>
      <c r="BB1115" t="str">
        <f>"Y"</f>
        <v>Y</v>
      </c>
      <c r="BD1115" t="str">
        <f>"ערן שלו"</f>
        <v>ערן שלו</v>
      </c>
    </row>
    <row r="1116" spans="1:56" x14ac:dyDescent="0.3">
      <c r="A1116" s="1">
        <v>44928</v>
      </c>
      <c r="B1116" t="str">
        <f>"SI236000265"</f>
        <v>SI236000265</v>
      </c>
      <c r="C1116" t="str">
        <f>"PR22000694"</f>
        <v>PR22000694</v>
      </c>
      <c r="E1116" t="str">
        <f>"Y"</f>
        <v>Y</v>
      </c>
      <c r="F1116" t="str">
        <f>"חשבוניות מרכזות"</f>
        <v>חשבוניות מרכזות</v>
      </c>
      <c r="G1116" t="str">
        <f>"700065"</f>
        <v>700065</v>
      </c>
      <c r="H1116" t="str">
        <f>"אלתא מערכות בע""מ"</f>
        <v>אלתא מערכות בע"מ</v>
      </c>
      <c r="I1116" t="str">
        <f>"10"</f>
        <v>10</v>
      </c>
      <c r="J1116" t="str">
        <f>"999"</f>
        <v>999</v>
      </c>
      <c r="K1116" t="str">
        <f>"יתד הארקה RPU"</f>
        <v>יתד הארקה RPU</v>
      </c>
      <c r="L1116">
        <v>-0.125</v>
      </c>
      <c r="M1116" t="str">
        <f>"חל"</f>
        <v>חל</v>
      </c>
      <c r="N1116">
        <v>-0.125</v>
      </c>
      <c r="O1116" t="str">
        <f>"חל"</f>
        <v>חל</v>
      </c>
      <c r="P1116" s="2">
        <v>13698</v>
      </c>
      <c r="Q1116" t="str">
        <f>"$"</f>
        <v>$</v>
      </c>
      <c r="R1116" t="str">
        <f>"הזמנה"</f>
        <v>הזמנה</v>
      </c>
      <c r="S1116">
        <v>0</v>
      </c>
      <c r="T1116" s="2">
        <v>-1712.25</v>
      </c>
      <c r="U1116">
        <v>0</v>
      </c>
      <c r="V1116" s="2">
        <v>-1712.25</v>
      </c>
      <c r="W1116" t="str">
        <f>"$"</f>
        <v>$</v>
      </c>
      <c r="X1116">
        <v>0</v>
      </c>
      <c r="Y1116">
        <v>0</v>
      </c>
      <c r="Z1116">
        <v>0</v>
      </c>
      <c r="AA1116" t="str">
        <f>"Y"</f>
        <v>Y</v>
      </c>
      <c r="AC1116">
        <v>0</v>
      </c>
      <c r="AM1116" t="str">
        <f>"10"</f>
        <v>10</v>
      </c>
      <c r="AN1116" t="str">
        <f>"500000"</f>
        <v>500000</v>
      </c>
      <c r="AO1116" t="str">
        <f>"הכנסות  מלקוחות"</f>
        <v>הכנסות  מלקוחות</v>
      </c>
      <c r="AQ1116" t="str">
        <f>"034"</f>
        <v>034</v>
      </c>
      <c r="AR1116">
        <v>0</v>
      </c>
      <c r="AS1116">
        <v>0</v>
      </c>
      <c r="AT1116">
        <v>3.4689999999999999</v>
      </c>
      <c r="BB1116" t="str">
        <f>"Y"</f>
        <v>Y</v>
      </c>
      <c r="BD1116" t="str">
        <f>"ערן שלו"</f>
        <v>ערן שלו</v>
      </c>
    </row>
    <row r="1117" spans="1:56" x14ac:dyDescent="0.3">
      <c r="A1117" s="1">
        <v>44928</v>
      </c>
      <c r="B1117" t="str">
        <f>"SI236000265"</f>
        <v>SI236000265</v>
      </c>
      <c r="C1117" t="str">
        <f>"PR22000694"</f>
        <v>PR22000694</v>
      </c>
      <c r="E1117" t="str">
        <f>"Y"</f>
        <v>Y</v>
      </c>
      <c r="F1117" t="str">
        <f>"חשבוניות מרכזות"</f>
        <v>חשבוניות מרכזות</v>
      </c>
      <c r="G1117" t="str">
        <f>"700065"</f>
        <v>700065</v>
      </c>
      <c r="H1117" t="str">
        <f>"אלתא מערכות בע""מ"</f>
        <v>אלתא מערכות בע"מ</v>
      </c>
      <c r="I1117" t="str">
        <f>"10"</f>
        <v>10</v>
      </c>
      <c r="J1117" t="str">
        <f>"999"</f>
        <v>999</v>
      </c>
      <c r="K1117" t="str">
        <f>"חבק נוסף לתורן מד רוח"</f>
        <v>חבק נוסף לתורן מד רוח</v>
      </c>
      <c r="L1117">
        <v>-0.25</v>
      </c>
      <c r="M1117" t="str">
        <f>"חל"</f>
        <v>חל</v>
      </c>
      <c r="N1117">
        <v>-0.25</v>
      </c>
      <c r="O1117" t="str">
        <f>"חל"</f>
        <v>חל</v>
      </c>
      <c r="P1117" s="2">
        <v>2720</v>
      </c>
      <c r="Q1117" t="str">
        <f>"$"</f>
        <v>$</v>
      </c>
      <c r="R1117" t="str">
        <f>"הזמנה"</f>
        <v>הזמנה</v>
      </c>
      <c r="S1117">
        <v>0</v>
      </c>
      <c r="T1117">
        <v>-680</v>
      </c>
      <c r="U1117">
        <v>0</v>
      </c>
      <c r="V1117">
        <v>-680</v>
      </c>
      <c r="W1117" t="str">
        <f>"$"</f>
        <v>$</v>
      </c>
      <c r="X1117">
        <v>0</v>
      </c>
      <c r="Y1117">
        <v>0</v>
      </c>
      <c r="Z1117">
        <v>0</v>
      </c>
      <c r="AA1117" t="str">
        <f>"Y"</f>
        <v>Y</v>
      </c>
      <c r="AC1117">
        <v>0</v>
      </c>
      <c r="AM1117" t="str">
        <f>"10"</f>
        <v>10</v>
      </c>
      <c r="AN1117" t="str">
        <f>"500000"</f>
        <v>500000</v>
      </c>
      <c r="AO1117" t="str">
        <f>"הכנסות  מלקוחות"</f>
        <v>הכנסות  מלקוחות</v>
      </c>
      <c r="AQ1117" t="str">
        <f>"034"</f>
        <v>034</v>
      </c>
      <c r="AR1117">
        <v>0</v>
      </c>
      <c r="AS1117">
        <v>0</v>
      </c>
      <c r="AT1117">
        <v>3.4689999999999999</v>
      </c>
      <c r="BB1117" t="str">
        <f>"Y"</f>
        <v>Y</v>
      </c>
      <c r="BD1117" t="str">
        <f>"ערן שלו"</f>
        <v>ערן שלו</v>
      </c>
    </row>
    <row r="1118" spans="1:56" x14ac:dyDescent="0.3">
      <c r="A1118" s="1">
        <v>44928</v>
      </c>
      <c r="B1118" t="str">
        <f>"SI236000261"</f>
        <v>SI236000261</v>
      </c>
      <c r="C1118" t="str">
        <f>"PR22000694"</f>
        <v>PR22000694</v>
      </c>
      <c r="E1118" t="str">
        <f>"Y"</f>
        <v>Y</v>
      </c>
      <c r="F1118" t="str">
        <f>"חשבוניות מרכזות"</f>
        <v>חשבוניות מרכזות</v>
      </c>
      <c r="G1118" t="str">
        <f>"700065"</f>
        <v>700065</v>
      </c>
      <c r="H1118" t="str">
        <f>"אלתא מערכות בע""מ"</f>
        <v>אלתא מערכות בע"מ</v>
      </c>
      <c r="I1118" t="str">
        <f>"10"</f>
        <v>10</v>
      </c>
      <c r="J1118" t="str">
        <f>"OP-AR02847"</f>
        <v>OP-AR02847</v>
      </c>
      <c r="K1118" t="str">
        <f>"RPU ETH 60M CABLE"</f>
        <v>RPU ETH 60M CABLE</v>
      </c>
      <c r="L1118">
        <v>1</v>
      </c>
      <c r="M1118" t="str">
        <f>"יח"</f>
        <v>יח</v>
      </c>
      <c r="N1118">
        <v>1</v>
      </c>
      <c r="O1118" t="str">
        <f>"יח"</f>
        <v>יח</v>
      </c>
      <c r="P1118">
        <v>485</v>
      </c>
      <c r="Q1118" t="str">
        <f>"$"</f>
        <v>$</v>
      </c>
      <c r="R1118" t="str">
        <f>"הזמנה"</f>
        <v>הזמנה</v>
      </c>
      <c r="S1118">
        <v>0</v>
      </c>
      <c r="T1118">
        <v>485</v>
      </c>
      <c r="U1118">
        <v>0</v>
      </c>
      <c r="V1118">
        <v>485</v>
      </c>
      <c r="W1118" t="str">
        <f>"$"</f>
        <v>$</v>
      </c>
      <c r="X1118">
        <v>0</v>
      </c>
      <c r="Y1118">
        <v>0</v>
      </c>
      <c r="Z1118">
        <v>0</v>
      </c>
      <c r="AA1118" t="str">
        <f>"Y"</f>
        <v>Y</v>
      </c>
      <c r="AC1118">
        <v>0</v>
      </c>
      <c r="AM1118" t="str">
        <f>"10"</f>
        <v>10</v>
      </c>
      <c r="AN1118" t="str">
        <f>"500000"</f>
        <v>500000</v>
      </c>
      <c r="AO1118" t="str">
        <f>"הכנסות  מלקוחות"</f>
        <v>הכנסות  מלקוחות</v>
      </c>
      <c r="AQ1118" t="str">
        <f>"034"</f>
        <v>034</v>
      </c>
      <c r="AR1118">
        <v>0</v>
      </c>
      <c r="AS1118">
        <v>0</v>
      </c>
      <c r="AT1118">
        <v>3.4689999999999999</v>
      </c>
      <c r="BB1118" t="str">
        <f>"Y"</f>
        <v>Y</v>
      </c>
      <c r="BD1118" t="str">
        <f>"ערן שלו"</f>
        <v>ערן שלו</v>
      </c>
    </row>
    <row r="1119" spans="1:56" x14ac:dyDescent="0.3">
      <c r="A1119" s="1">
        <v>44928</v>
      </c>
      <c r="B1119" t="str">
        <f>"SI236000261"</f>
        <v>SI236000261</v>
      </c>
      <c r="C1119" t="str">
        <f>"PR22000694"</f>
        <v>PR22000694</v>
      </c>
      <c r="E1119" t="str">
        <f>"Y"</f>
        <v>Y</v>
      </c>
      <c r="F1119" t="str">
        <f>"חשבוניות מרכזות"</f>
        <v>חשבוניות מרכזות</v>
      </c>
      <c r="G1119" t="str">
        <f>"700065"</f>
        <v>700065</v>
      </c>
      <c r="H1119" t="str">
        <f>"אלתא מערכות בע""מ"</f>
        <v>אלתא מערכות בע"מ</v>
      </c>
      <c r="I1119" t="str">
        <f>"10"</f>
        <v>10</v>
      </c>
      <c r="J1119" t="str">
        <f>"999"</f>
        <v>999</v>
      </c>
      <c r="K1119" t="str">
        <f>"קיט שדרוג RPU רצועות + חבק לתורן"</f>
        <v>קיט שדרוג RPU רצועות + חבק לתורן</v>
      </c>
      <c r="L1119">
        <v>0.375</v>
      </c>
      <c r="M1119" t="str">
        <f>"חל"</f>
        <v>חל</v>
      </c>
      <c r="N1119">
        <v>0.375</v>
      </c>
      <c r="O1119" t="str">
        <f>"חל"</f>
        <v>חל</v>
      </c>
      <c r="P1119" s="2">
        <v>5432</v>
      </c>
      <c r="Q1119" t="str">
        <f>"$"</f>
        <v>$</v>
      </c>
      <c r="R1119" t="str">
        <f>"הזמנה"</f>
        <v>הזמנה</v>
      </c>
      <c r="S1119">
        <v>0</v>
      </c>
      <c r="T1119" s="2">
        <v>2037</v>
      </c>
      <c r="U1119">
        <v>0</v>
      </c>
      <c r="V1119" s="2">
        <v>2037</v>
      </c>
      <c r="W1119" t="str">
        <f>"$"</f>
        <v>$</v>
      </c>
      <c r="X1119">
        <v>0</v>
      </c>
      <c r="Y1119">
        <v>0</v>
      </c>
      <c r="Z1119">
        <v>0</v>
      </c>
      <c r="AA1119" t="str">
        <f>"Y"</f>
        <v>Y</v>
      </c>
      <c r="AC1119">
        <v>0</v>
      </c>
      <c r="AM1119" t="str">
        <f>"10"</f>
        <v>10</v>
      </c>
      <c r="AN1119" t="str">
        <f>"500000"</f>
        <v>500000</v>
      </c>
      <c r="AO1119" t="str">
        <f>"הכנסות  מלקוחות"</f>
        <v>הכנסות  מלקוחות</v>
      </c>
      <c r="AQ1119" t="str">
        <f>"034"</f>
        <v>034</v>
      </c>
      <c r="AR1119">
        <v>0</v>
      </c>
      <c r="AS1119">
        <v>0</v>
      </c>
      <c r="AT1119">
        <v>3.4689999999999999</v>
      </c>
      <c r="BB1119" t="str">
        <f>"Y"</f>
        <v>Y</v>
      </c>
      <c r="BD1119" t="str">
        <f>"ערן שלו"</f>
        <v>ערן שלו</v>
      </c>
    </row>
    <row r="1120" spans="1:56" x14ac:dyDescent="0.3">
      <c r="A1120" s="1">
        <v>44928</v>
      </c>
      <c r="B1120" t="str">
        <f>"SI236000261"</f>
        <v>SI236000261</v>
      </c>
      <c r="C1120" t="str">
        <f>"PR22000694"</f>
        <v>PR22000694</v>
      </c>
      <c r="E1120" t="str">
        <f>"Y"</f>
        <v>Y</v>
      </c>
      <c r="F1120" t="str">
        <f>"חשבוניות מרכזות"</f>
        <v>חשבוניות מרכזות</v>
      </c>
      <c r="G1120" t="str">
        <f>"700065"</f>
        <v>700065</v>
      </c>
      <c r="H1120" t="str">
        <f>"אלתא מערכות בע""מ"</f>
        <v>אלתא מערכות בע"מ</v>
      </c>
      <c r="I1120" t="str">
        <f>"10"</f>
        <v>10</v>
      </c>
      <c r="J1120" t="str">
        <f>"999"</f>
        <v>999</v>
      </c>
      <c r="K1120" t="str">
        <f>"יתד הארקה RPU"</f>
        <v>יתד הארקה RPU</v>
      </c>
      <c r="L1120">
        <v>0.125</v>
      </c>
      <c r="M1120" t="str">
        <f>"חל"</f>
        <v>חל</v>
      </c>
      <c r="N1120">
        <v>0.125</v>
      </c>
      <c r="O1120" t="str">
        <f>"חל"</f>
        <v>חל</v>
      </c>
      <c r="P1120" s="2">
        <v>13698</v>
      </c>
      <c r="Q1120" t="str">
        <f>"$"</f>
        <v>$</v>
      </c>
      <c r="R1120" t="str">
        <f>"הזמנה"</f>
        <v>הזמנה</v>
      </c>
      <c r="S1120">
        <v>0</v>
      </c>
      <c r="T1120" s="2">
        <v>1712.25</v>
      </c>
      <c r="U1120">
        <v>0</v>
      </c>
      <c r="V1120" s="2">
        <v>1712.25</v>
      </c>
      <c r="W1120" t="str">
        <f>"$"</f>
        <v>$</v>
      </c>
      <c r="X1120">
        <v>0</v>
      </c>
      <c r="Y1120">
        <v>0</v>
      </c>
      <c r="Z1120">
        <v>0</v>
      </c>
      <c r="AA1120" t="str">
        <f>"Y"</f>
        <v>Y</v>
      </c>
      <c r="AC1120">
        <v>0</v>
      </c>
      <c r="AM1120" t="str">
        <f>"10"</f>
        <v>10</v>
      </c>
      <c r="AN1120" t="str">
        <f>"500000"</f>
        <v>500000</v>
      </c>
      <c r="AO1120" t="str">
        <f>"הכנסות  מלקוחות"</f>
        <v>הכנסות  מלקוחות</v>
      </c>
      <c r="AQ1120" t="str">
        <f>"034"</f>
        <v>034</v>
      </c>
      <c r="AR1120">
        <v>0</v>
      </c>
      <c r="AS1120">
        <v>0</v>
      </c>
      <c r="AT1120">
        <v>3.4689999999999999</v>
      </c>
      <c r="BB1120" t="str">
        <f>"Y"</f>
        <v>Y</v>
      </c>
      <c r="BD1120" t="str">
        <f>"ערן שלו"</f>
        <v>ערן שלו</v>
      </c>
    </row>
    <row r="1121" spans="1:56" x14ac:dyDescent="0.3">
      <c r="A1121" s="1">
        <v>44928</v>
      </c>
      <c r="B1121" t="str">
        <f>"SI236000261"</f>
        <v>SI236000261</v>
      </c>
      <c r="C1121" t="str">
        <f>"PR22000694"</f>
        <v>PR22000694</v>
      </c>
      <c r="E1121" t="str">
        <f>"Y"</f>
        <v>Y</v>
      </c>
      <c r="F1121" t="str">
        <f>"חשבוניות מרכזות"</f>
        <v>חשבוניות מרכזות</v>
      </c>
      <c r="G1121" t="str">
        <f>"700065"</f>
        <v>700065</v>
      </c>
      <c r="H1121" t="str">
        <f>"אלתא מערכות בע""מ"</f>
        <v>אלתא מערכות בע"מ</v>
      </c>
      <c r="I1121" t="str">
        <f>"10"</f>
        <v>10</v>
      </c>
      <c r="J1121" t="str">
        <f>"999"</f>
        <v>999</v>
      </c>
      <c r="K1121" t="str">
        <f>"חבק נוסף לתורן מד רוח"</f>
        <v>חבק נוסף לתורן מד רוח</v>
      </c>
      <c r="L1121">
        <v>0.25</v>
      </c>
      <c r="M1121" t="str">
        <f>"חל"</f>
        <v>חל</v>
      </c>
      <c r="N1121">
        <v>0.25</v>
      </c>
      <c r="O1121" t="str">
        <f>"חל"</f>
        <v>חל</v>
      </c>
      <c r="P1121" s="2">
        <v>2720</v>
      </c>
      <c r="Q1121" t="str">
        <f>"$"</f>
        <v>$</v>
      </c>
      <c r="R1121" t="str">
        <f>"הזמנה"</f>
        <v>הזמנה</v>
      </c>
      <c r="S1121">
        <v>0</v>
      </c>
      <c r="T1121">
        <v>680</v>
      </c>
      <c r="U1121">
        <v>0</v>
      </c>
      <c r="V1121">
        <v>680</v>
      </c>
      <c r="W1121" t="str">
        <f>"$"</f>
        <v>$</v>
      </c>
      <c r="X1121">
        <v>0</v>
      </c>
      <c r="Y1121">
        <v>0</v>
      </c>
      <c r="Z1121">
        <v>0</v>
      </c>
      <c r="AA1121" t="str">
        <f>"Y"</f>
        <v>Y</v>
      </c>
      <c r="AC1121">
        <v>0</v>
      </c>
      <c r="AM1121" t="str">
        <f>"10"</f>
        <v>10</v>
      </c>
      <c r="AN1121" t="str">
        <f>"500000"</f>
        <v>500000</v>
      </c>
      <c r="AO1121" t="str">
        <f>"הכנסות  מלקוחות"</f>
        <v>הכנסות  מלקוחות</v>
      </c>
      <c r="AQ1121" t="str">
        <f>"034"</f>
        <v>034</v>
      </c>
      <c r="AR1121">
        <v>0</v>
      </c>
      <c r="AS1121">
        <v>0</v>
      </c>
      <c r="AT1121">
        <v>3.4689999999999999</v>
      </c>
      <c r="BB1121" t="str">
        <f>"Y"</f>
        <v>Y</v>
      </c>
      <c r="BD1121" t="str">
        <f>"ערן שלו"</f>
        <v>ערן שלו</v>
      </c>
    </row>
    <row r="1122" spans="1:56" x14ac:dyDescent="0.3">
      <c r="A1122" s="1">
        <v>44928</v>
      </c>
      <c r="B1122" t="str">
        <f>"SI236000001"</f>
        <v>SI236000001</v>
      </c>
      <c r="E1122" t="str">
        <f>"Y"</f>
        <v>Y</v>
      </c>
      <c r="F1122" t="str">
        <f>"חשבוניות מרכזות"</f>
        <v>חשבוניות מרכזות</v>
      </c>
      <c r="G1122" t="str">
        <f>"700065"</f>
        <v>700065</v>
      </c>
      <c r="H1122" t="str">
        <f>"אלתא מערכות בע""מ"</f>
        <v>אלתא מערכות בע"מ</v>
      </c>
      <c r="I1122" t="str">
        <f>"10"</f>
        <v>10</v>
      </c>
      <c r="J1122" t="str">
        <f>"000"</f>
        <v>000</v>
      </c>
      <c r="K1122" t="str">
        <f>"שדרוג PBD1 עבור מערכות 4+5 PQ22000552"</f>
        <v>שדרוג PBD1 עבור מערכות 4+5 PQ22000552</v>
      </c>
      <c r="L1122">
        <v>1</v>
      </c>
      <c r="M1122" t="str">
        <f>"יח"</f>
        <v>יח</v>
      </c>
      <c r="N1122">
        <v>1</v>
      </c>
      <c r="O1122" t="str">
        <f>"יח"</f>
        <v>יח</v>
      </c>
      <c r="P1122" s="2">
        <v>2950</v>
      </c>
      <c r="Q1122" t="str">
        <f>"$"</f>
        <v>$</v>
      </c>
      <c r="R1122" t="str">
        <f>"הזמנה"</f>
        <v>הזמנה</v>
      </c>
      <c r="S1122">
        <v>0</v>
      </c>
      <c r="T1122" s="2">
        <v>2950</v>
      </c>
      <c r="U1122">
        <v>0</v>
      </c>
      <c r="V1122" s="2">
        <v>2950</v>
      </c>
      <c r="W1122" t="str">
        <f>"$"</f>
        <v>$</v>
      </c>
      <c r="X1122">
        <v>0</v>
      </c>
      <c r="Y1122">
        <v>0</v>
      </c>
      <c r="Z1122">
        <v>0</v>
      </c>
      <c r="AA1122" t="str">
        <f>"Y"</f>
        <v>Y</v>
      </c>
      <c r="AB1122" t="str">
        <f>"SO22000489"</f>
        <v>SO22000489</v>
      </c>
      <c r="AC1122">
        <v>1</v>
      </c>
      <c r="AD1122" s="1">
        <v>44922</v>
      </c>
      <c r="AM1122" t="str">
        <f>"10"</f>
        <v>10</v>
      </c>
      <c r="AN1122" t="str">
        <f>"500000"</f>
        <v>500000</v>
      </c>
      <c r="AO1122" t="str">
        <f>"הכנסות  מלקוחות"</f>
        <v>הכנסות  מלקוחות</v>
      </c>
      <c r="AQ1122" t="str">
        <f>"040"</f>
        <v>040</v>
      </c>
      <c r="AR1122">
        <v>0</v>
      </c>
      <c r="AS1122">
        <v>0</v>
      </c>
      <c r="AT1122">
        <v>3.5190000000000001</v>
      </c>
      <c r="AX1122" t="str">
        <f>"E000382417"</f>
        <v>E000382417</v>
      </c>
      <c r="BD1122" t="str">
        <f>"רחמים זרוק"</f>
        <v>רחמים זרוק</v>
      </c>
    </row>
    <row r="1123" spans="1:56" x14ac:dyDescent="0.3">
      <c r="A1123" s="1">
        <v>44928</v>
      </c>
      <c r="B1123" t="str">
        <f>"SI236000001"</f>
        <v>SI236000001</v>
      </c>
      <c r="E1123" t="str">
        <f>"Y"</f>
        <v>Y</v>
      </c>
      <c r="F1123" t="str">
        <f>"חשבוניות מרכזות"</f>
        <v>חשבוניות מרכזות</v>
      </c>
      <c r="G1123" t="str">
        <f>"700065"</f>
        <v>700065</v>
      </c>
      <c r="H1123" t="str">
        <f>"אלתא מערכות בע""מ"</f>
        <v>אלתא מערכות בע"מ</v>
      </c>
      <c r="I1123" t="str">
        <f>"10"</f>
        <v>10</v>
      </c>
      <c r="J1123" t="str">
        <f>"000"</f>
        <v>000</v>
      </c>
      <c r="K1123" t="str">
        <f>"מפסק דלת PDB1 מערכת 3 PQ22000500"</f>
        <v>מפסק דלת PDB1 מערכת 3 PQ22000500</v>
      </c>
      <c r="L1123">
        <v>1</v>
      </c>
      <c r="M1123" t="str">
        <f>"יח"</f>
        <v>יח</v>
      </c>
      <c r="N1123">
        <v>1</v>
      </c>
      <c r="O1123" t="str">
        <f>"יח"</f>
        <v>יח</v>
      </c>
      <c r="P1123" s="2">
        <v>2900</v>
      </c>
      <c r="Q1123" t="str">
        <f>"$"</f>
        <v>$</v>
      </c>
      <c r="R1123" t="str">
        <f>"הזמנה"</f>
        <v>הזמנה</v>
      </c>
      <c r="S1123">
        <v>0</v>
      </c>
      <c r="T1123" s="2">
        <v>2900</v>
      </c>
      <c r="U1123">
        <v>0</v>
      </c>
      <c r="V1123" s="2">
        <v>2900</v>
      </c>
      <c r="W1123" t="str">
        <f>"$"</f>
        <v>$</v>
      </c>
      <c r="X1123">
        <v>0</v>
      </c>
      <c r="Y1123">
        <v>0</v>
      </c>
      <c r="Z1123">
        <v>0</v>
      </c>
      <c r="AA1123" t="str">
        <f>"Y"</f>
        <v>Y</v>
      </c>
      <c r="AB1123" t="str">
        <f>"SO22000489"</f>
        <v>SO22000489</v>
      </c>
      <c r="AC1123">
        <v>3</v>
      </c>
      <c r="AD1123" s="1">
        <v>44922</v>
      </c>
      <c r="AM1123" t="str">
        <f>"10"</f>
        <v>10</v>
      </c>
      <c r="AN1123" t="str">
        <f>"500000"</f>
        <v>500000</v>
      </c>
      <c r="AO1123" t="str">
        <f>"הכנסות  מלקוחות"</f>
        <v>הכנסות  מלקוחות</v>
      </c>
      <c r="AQ1123" t="str">
        <f>"040"</f>
        <v>040</v>
      </c>
      <c r="AR1123">
        <v>0</v>
      </c>
      <c r="AS1123">
        <v>0</v>
      </c>
      <c r="AT1123">
        <v>3.5190000000000001</v>
      </c>
      <c r="AX1123" t="str">
        <f>"E000382417"</f>
        <v>E000382417</v>
      </c>
      <c r="BD1123" t="str">
        <f>"רחמים זרוק"</f>
        <v>רחמים זרוק</v>
      </c>
    </row>
    <row r="1124" spans="1:56" x14ac:dyDescent="0.3">
      <c r="A1124" s="1">
        <v>44927</v>
      </c>
      <c r="B1124" t="str">
        <f>"SI236000279"</f>
        <v>SI236000279</v>
      </c>
      <c r="E1124" t="str">
        <f>"Y"</f>
        <v>Y</v>
      </c>
      <c r="F1124" t="str">
        <f>"חשבוניות מרכזות"</f>
        <v>חשבוניות מרכזות</v>
      </c>
      <c r="G1124" t="str">
        <f>"700065"</f>
        <v>700065</v>
      </c>
      <c r="H1124" t="str">
        <f>"אלתא מערכות בע""מ"</f>
        <v>אלתא מערכות בע"מ</v>
      </c>
      <c r="I1124" t="str">
        <f>"10"</f>
        <v>10</v>
      </c>
      <c r="J1124" t="str">
        <f>"CB1100256"</f>
        <v>CB1100256</v>
      </c>
      <c r="K1124" t="str">
        <f>"F/O HARNESS WF387 PSP TO I/O J2"</f>
        <v>F/O HARNESS WF387 PSP TO I/O J2</v>
      </c>
      <c r="L1124">
        <v>-1</v>
      </c>
      <c r="M1124" t="str">
        <f>"יח"</f>
        <v>יח</v>
      </c>
      <c r="N1124">
        <v>-1</v>
      </c>
      <c r="O1124" t="str">
        <f>"יח"</f>
        <v>יח</v>
      </c>
      <c r="P1124">
        <v>0</v>
      </c>
      <c r="Q1124" t="str">
        <f>"$"</f>
        <v>$</v>
      </c>
      <c r="R1124" t="str">
        <f>"הזמנה"</f>
        <v>הזמנה</v>
      </c>
      <c r="S1124">
        <v>0</v>
      </c>
      <c r="T1124">
        <v>0</v>
      </c>
      <c r="U1124">
        <v>0</v>
      </c>
      <c r="V1124">
        <v>0</v>
      </c>
      <c r="W1124" t="str">
        <f>"$"</f>
        <v>$</v>
      </c>
      <c r="X1124">
        <v>0</v>
      </c>
      <c r="Y1124">
        <v>0</v>
      </c>
      <c r="Z1124">
        <v>0</v>
      </c>
      <c r="AA1124" t="str">
        <f>"Y"</f>
        <v>Y</v>
      </c>
      <c r="AC1124">
        <v>0</v>
      </c>
      <c r="AM1124" t="str">
        <f>"10"</f>
        <v>10</v>
      </c>
      <c r="AN1124" t="str">
        <f>"500000"</f>
        <v>500000</v>
      </c>
      <c r="AO1124" t="str">
        <f>"הכנסות  מלקוחות"</f>
        <v>הכנסות  מלקוחות</v>
      </c>
      <c r="AQ1124" t="str">
        <f>"034"</f>
        <v>034</v>
      </c>
      <c r="AR1124">
        <v>0</v>
      </c>
      <c r="AS1124">
        <v>0</v>
      </c>
      <c r="AT1124">
        <v>3.4409999999999998</v>
      </c>
      <c r="BB1124" t="str">
        <f>"Y"</f>
        <v>Y</v>
      </c>
      <c r="BD1124" t="str">
        <f>"ערן שלו"</f>
        <v>ערן שלו</v>
      </c>
    </row>
    <row r="1125" spans="1:56" x14ac:dyDescent="0.3">
      <c r="A1125" s="1">
        <v>44927</v>
      </c>
      <c r="B1125" t="str">
        <f>"SI236000279"</f>
        <v>SI236000279</v>
      </c>
      <c r="E1125" t="str">
        <f>"Y"</f>
        <v>Y</v>
      </c>
      <c r="F1125" t="str">
        <f>"חשבוניות מרכזות"</f>
        <v>חשבוניות מרכזות</v>
      </c>
      <c r="G1125" t="str">
        <f>"700065"</f>
        <v>700065</v>
      </c>
      <c r="H1125" t="str">
        <f>"אלתא מערכות בע""מ"</f>
        <v>אלתא מערכות בע"מ</v>
      </c>
      <c r="I1125" t="str">
        <f>"10"</f>
        <v>10</v>
      </c>
      <c r="J1125" t="str">
        <f>"CB1100257"</f>
        <v>CB1100257</v>
      </c>
      <c r="K1125" t="str">
        <f>"F/O HARNESS WF388 OLM TO I/O J3"</f>
        <v>F/O HARNESS WF388 OLM TO I/O J3</v>
      </c>
      <c r="L1125">
        <v>-1</v>
      </c>
      <c r="M1125" t="str">
        <f>"יח"</f>
        <v>יח</v>
      </c>
      <c r="N1125">
        <v>-1</v>
      </c>
      <c r="O1125" t="str">
        <f>"יח"</f>
        <v>יח</v>
      </c>
      <c r="P1125">
        <v>0</v>
      </c>
      <c r="Q1125" t="str">
        <f>"$"</f>
        <v>$</v>
      </c>
      <c r="R1125" t="str">
        <f>"הזמנה"</f>
        <v>הזמנה</v>
      </c>
      <c r="S1125">
        <v>0</v>
      </c>
      <c r="T1125">
        <v>0</v>
      </c>
      <c r="U1125">
        <v>0</v>
      </c>
      <c r="V1125">
        <v>0</v>
      </c>
      <c r="W1125" t="str">
        <f>"$"</f>
        <v>$</v>
      </c>
      <c r="X1125">
        <v>0</v>
      </c>
      <c r="Y1125">
        <v>0</v>
      </c>
      <c r="Z1125">
        <v>0</v>
      </c>
      <c r="AA1125" t="str">
        <f>"Y"</f>
        <v>Y</v>
      </c>
      <c r="AC1125">
        <v>0</v>
      </c>
      <c r="AM1125" t="str">
        <f>"10"</f>
        <v>10</v>
      </c>
      <c r="AN1125" t="str">
        <f>"500000"</f>
        <v>500000</v>
      </c>
      <c r="AO1125" t="str">
        <f>"הכנסות  מלקוחות"</f>
        <v>הכנסות  מלקוחות</v>
      </c>
      <c r="AQ1125" t="str">
        <f>"034"</f>
        <v>034</v>
      </c>
      <c r="AR1125">
        <v>0</v>
      </c>
      <c r="AS1125">
        <v>0</v>
      </c>
      <c r="AT1125">
        <v>3.4409999999999998</v>
      </c>
      <c r="BB1125" t="str">
        <f>"Y"</f>
        <v>Y</v>
      </c>
      <c r="BD1125" t="str">
        <f>"ערן שלו"</f>
        <v>ערן שלו</v>
      </c>
    </row>
    <row r="1126" spans="1:56" x14ac:dyDescent="0.3">
      <c r="A1126" s="1">
        <v>44927</v>
      </c>
      <c r="B1126" t="str">
        <f>"SI236000279"</f>
        <v>SI236000279</v>
      </c>
      <c r="E1126" t="str">
        <f>"Y"</f>
        <v>Y</v>
      </c>
      <c r="F1126" t="str">
        <f>"חשבוניות מרכזות"</f>
        <v>חשבוניות מרכזות</v>
      </c>
      <c r="G1126" t="str">
        <f>"700065"</f>
        <v>700065</v>
      </c>
      <c r="H1126" t="str">
        <f>"אלתא מערכות בע""מ"</f>
        <v>אלתא מערכות בע"מ</v>
      </c>
      <c r="I1126" t="str">
        <f>"10"</f>
        <v>10</v>
      </c>
      <c r="J1126" t="str">
        <f>"000"</f>
        <v>000</v>
      </c>
      <c r="K1126" t="str">
        <f>"תיקון ובדיקה כבלי CB1100257+C"</f>
        <v>תיקון ובדיקה כבלי CB1100257+C</v>
      </c>
      <c r="L1126">
        <v>-1</v>
      </c>
      <c r="M1126" t="str">
        <f>"יח"</f>
        <v>יח</v>
      </c>
      <c r="N1126">
        <v>-1</v>
      </c>
      <c r="O1126" t="str">
        <f>"יח"</f>
        <v>יח</v>
      </c>
      <c r="P1126" s="2">
        <v>3046</v>
      </c>
      <c r="Q1126" t="str">
        <f>"$"</f>
        <v>$</v>
      </c>
      <c r="R1126" t="str">
        <f>"הזמנה"</f>
        <v>הזמנה</v>
      </c>
      <c r="S1126">
        <v>0</v>
      </c>
      <c r="T1126" s="2">
        <v>-3046</v>
      </c>
      <c r="U1126">
        <v>0</v>
      </c>
      <c r="V1126" s="2">
        <v>-3046</v>
      </c>
      <c r="W1126" t="str">
        <f>"$"</f>
        <v>$</v>
      </c>
      <c r="X1126">
        <v>0</v>
      </c>
      <c r="Y1126">
        <v>0</v>
      </c>
      <c r="Z1126">
        <v>0</v>
      </c>
      <c r="AA1126" t="str">
        <f>"Y"</f>
        <v>Y</v>
      </c>
      <c r="AC1126">
        <v>0</v>
      </c>
      <c r="AM1126" t="str">
        <f>"10"</f>
        <v>10</v>
      </c>
      <c r="AN1126" t="str">
        <f>"500000"</f>
        <v>500000</v>
      </c>
      <c r="AO1126" t="str">
        <f>"הכנסות  מלקוחות"</f>
        <v>הכנסות  מלקוחות</v>
      </c>
      <c r="AQ1126" t="str">
        <f>"034"</f>
        <v>034</v>
      </c>
      <c r="AR1126">
        <v>0</v>
      </c>
      <c r="AS1126">
        <v>0</v>
      </c>
      <c r="AT1126">
        <v>3.4409999999999998</v>
      </c>
      <c r="BB1126" t="str">
        <f>"Y"</f>
        <v>Y</v>
      </c>
      <c r="BD1126" t="str">
        <f>"ערן שלו"</f>
        <v>ערן שלו</v>
      </c>
    </row>
    <row r="1127" spans="1:56" x14ac:dyDescent="0.3">
      <c r="A1127" s="1">
        <v>44927</v>
      </c>
      <c r="B1127" t="str">
        <f>"SI236000278"</f>
        <v>SI236000278</v>
      </c>
      <c r="E1127" t="str">
        <f>"Y"</f>
        <v>Y</v>
      </c>
      <c r="F1127" t="str">
        <f>"חשבוניות מרכזות"</f>
        <v>חשבוניות מרכזות</v>
      </c>
      <c r="G1127" t="str">
        <f>"700065"</f>
        <v>700065</v>
      </c>
      <c r="H1127" t="str">
        <f>"אלתא מערכות בע""מ"</f>
        <v>אלתא מערכות בע"מ</v>
      </c>
      <c r="I1127" t="str">
        <f>"10"</f>
        <v>10</v>
      </c>
      <c r="J1127" t="str">
        <f>"OP-ML00179"</f>
        <v>OP-ML00179</v>
      </c>
      <c r="K1127" t="str">
        <f>"1038C906-001 Radar Power Unit (RPU) Platform"</f>
        <v>1038C906-001 Radar Power Unit (RPU) Platform</v>
      </c>
      <c r="L1127">
        <v>-1</v>
      </c>
      <c r="M1127" t="str">
        <f>"יח"</f>
        <v>יח</v>
      </c>
      <c r="N1127">
        <v>-1</v>
      </c>
      <c r="O1127" t="str">
        <f>"יח"</f>
        <v>יח</v>
      </c>
      <c r="P1127" s="2">
        <v>284970</v>
      </c>
      <c r="Q1127" t="str">
        <f>"$"</f>
        <v>$</v>
      </c>
      <c r="R1127" t="str">
        <f>"ידני"</f>
        <v>ידני</v>
      </c>
      <c r="S1127">
        <v>0</v>
      </c>
      <c r="T1127" s="2">
        <v>-284970</v>
      </c>
      <c r="U1127">
        <v>0</v>
      </c>
      <c r="V1127" s="2">
        <v>-284970</v>
      </c>
      <c r="W1127" t="str">
        <f>"$"</f>
        <v>$</v>
      </c>
      <c r="X1127">
        <v>0</v>
      </c>
      <c r="Y1127">
        <v>0</v>
      </c>
      <c r="Z1127">
        <v>0</v>
      </c>
      <c r="AA1127" t="str">
        <f>"Y"</f>
        <v>Y</v>
      </c>
      <c r="AC1127">
        <v>0</v>
      </c>
      <c r="AM1127" t="str">
        <f>"10"</f>
        <v>10</v>
      </c>
      <c r="AN1127" t="str">
        <f>"500000"</f>
        <v>500000</v>
      </c>
      <c r="AO1127" t="str">
        <f>"הכנסות  מלקוחות"</f>
        <v>הכנסות  מלקוחות</v>
      </c>
      <c r="AQ1127" t="str">
        <f>"034"</f>
        <v>034</v>
      </c>
      <c r="AR1127">
        <v>0</v>
      </c>
      <c r="AS1127">
        <v>0</v>
      </c>
      <c r="AT1127">
        <v>3.3860000000000001</v>
      </c>
      <c r="BB1127" t="str">
        <f>"Y"</f>
        <v>Y</v>
      </c>
      <c r="BD1127" t="str">
        <f>"ערן שלו"</f>
        <v>ערן שלו</v>
      </c>
    </row>
    <row r="1128" spans="1:56" x14ac:dyDescent="0.3">
      <c r="A1128" s="1">
        <v>44925</v>
      </c>
      <c r="B1128" t="str">
        <f>"CR227000072"</f>
        <v>CR227000072</v>
      </c>
      <c r="E1128" t="str">
        <f>"Y"</f>
        <v>Y</v>
      </c>
      <c r="F1128" t="str">
        <f>"חשבוניות זיכוי"</f>
        <v>חשבוניות זיכוי</v>
      </c>
      <c r="G1128" t="str">
        <f>"700065"</f>
        <v>700065</v>
      </c>
      <c r="H1128" t="str">
        <f>"אלתא מערכות בע""מ"</f>
        <v>אלתא מערכות בע"מ</v>
      </c>
      <c r="I1128" t="str">
        <f>"10"</f>
        <v>10</v>
      </c>
      <c r="J1128" t="str">
        <f>"000"</f>
        <v>000</v>
      </c>
      <c r="K1128" t="str">
        <f>"זיכוי אלתא לפי מסמך  51130732312022"</f>
        <v>זיכוי אלתא לפי מסמך  51130732312022</v>
      </c>
      <c r="L1128">
        <v>-1</v>
      </c>
      <c r="M1128" t="str">
        <f>"יח"</f>
        <v>יח</v>
      </c>
      <c r="N1128">
        <v>-1</v>
      </c>
      <c r="O1128" t="str">
        <f>"יח"</f>
        <v>יח</v>
      </c>
      <c r="P1128">
        <v>330</v>
      </c>
      <c r="Q1128" t="str">
        <f>"$"</f>
        <v>$</v>
      </c>
      <c r="R1128" t="str">
        <f>"ידני"</f>
        <v>ידני</v>
      </c>
      <c r="S1128">
        <v>0</v>
      </c>
      <c r="T1128">
        <v>-330</v>
      </c>
      <c r="U1128">
        <v>0</v>
      </c>
      <c r="V1128">
        <v>-330</v>
      </c>
      <c r="W1128" t="str">
        <f>"$"</f>
        <v>$</v>
      </c>
      <c r="X1128">
        <v>0</v>
      </c>
      <c r="Y1128">
        <v>0</v>
      </c>
      <c r="Z1128">
        <v>0</v>
      </c>
      <c r="AA1128" t="str">
        <f>"Y"</f>
        <v>Y</v>
      </c>
      <c r="AC1128">
        <v>0</v>
      </c>
      <c r="AM1128" t="str">
        <f>"10"</f>
        <v>10</v>
      </c>
      <c r="AN1128" t="str">
        <f>"500000"</f>
        <v>500000</v>
      </c>
      <c r="AO1128" t="str">
        <f>"הכנסות  מלקוחות"</f>
        <v>הכנסות  מלקוחות</v>
      </c>
      <c r="AQ1128" t="str">
        <f>"034"</f>
        <v>034</v>
      </c>
      <c r="AR1128">
        <v>0</v>
      </c>
      <c r="AS1128">
        <v>0</v>
      </c>
      <c r="AT1128">
        <v>3.4511400000000001</v>
      </c>
      <c r="BB1128" t="str">
        <f>"Y"</f>
        <v>Y</v>
      </c>
      <c r="BD1128" t="str">
        <f>"ערן שלו"</f>
        <v>ערן שלו</v>
      </c>
    </row>
    <row r="1129" spans="1:56" x14ac:dyDescent="0.3">
      <c r="A1129" s="1">
        <v>44925</v>
      </c>
      <c r="B1129" t="str">
        <f>"CR227000071"</f>
        <v>CR227000071</v>
      </c>
      <c r="E1129" t="str">
        <f>"Y"</f>
        <v>Y</v>
      </c>
      <c r="F1129" t="str">
        <f>"חשבוניות זיכוי"</f>
        <v>חשבוניות זיכוי</v>
      </c>
      <c r="G1129" t="str">
        <f>"700065"</f>
        <v>700065</v>
      </c>
      <c r="H1129" t="str">
        <f>"אלתא מערכות בע""מ"</f>
        <v>אלתא מערכות בע"מ</v>
      </c>
      <c r="I1129" t="str">
        <f>"10"</f>
        <v>10</v>
      </c>
      <c r="J1129" t="str">
        <f>"000"</f>
        <v>000</v>
      </c>
      <c r="K1129" t="str">
        <f>"זיכוי אלתא לפי מסמך  51130732312022"</f>
        <v>זיכוי אלתא לפי מסמך  51130732312022</v>
      </c>
      <c r="L1129">
        <v>1</v>
      </c>
      <c r="M1129" t="str">
        <f>"יח"</f>
        <v>יח</v>
      </c>
      <c r="N1129">
        <v>1</v>
      </c>
      <c r="O1129" t="str">
        <f>"יח"</f>
        <v>יח</v>
      </c>
      <c r="P1129">
        <v>330</v>
      </c>
      <c r="Q1129" t="str">
        <f>"$"</f>
        <v>$</v>
      </c>
      <c r="R1129" t="str">
        <f>"ידני"</f>
        <v>ידני</v>
      </c>
      <c r="S1129">
        <v>0</v>
      </c>
      <c r="T1129">
        <v>330</v>
      </c>
      <c r="U1129">
        <v>0</v>
      </c>
      <c r="V1129">
        <v>330</v>
      </c>
      <c r="W1129" t="str">
        <f>"$"</f>
        <v>$</v>
      </c>
      <c r="X1129">
        <v>0</v>
      </c>
      <c r="Y1129">
        <v>0</v>
      </c>
      <c r="Z1129">
        <v>0</v>
      </c>
      <c r="AA1129" t="str">
        <f>"Y"</f>
        <v>Y</v>
      </c>
      <c r="AC1129">
        <v>0</v>
      </c>
      <c r="AM1129" t="str">
        <f>"10"</f>
        <v>10</v>
      </c>
      <c r="AN1129" t="str">
        <f>"500000"</f>
        <v>500000</v>
      </c>
      <c r="AO1129" t="str">
        <f>"הכנסות  מלקוחות"</f>
        <v>הכנסות  מלקוחות</v>
      </c>
      <c r="AQ1129" t="str">
        <f>"034"</f>
        <v>034</v>
      </c>
      <c r="AR1129">
        <v>0</v>
      </c>
      <c r="AS1129">
        <v>0</v>
      </c>
      <c r="AT1129">
        <v>3.4511400000000001</v>
      </c>
      <c r="BB1129" t="str">
        <f>"Y"</f>
        <v>Y</v>
      </c>
      <c r="BD1129" t="str">
        <f>"ערן שלו"</f>
        <v>ערן שלו</v>
      </c>
    </row>
    <row r="1130" spans="1:56" x14ac:dyDescent="0.3">
      <c r="A1130" s="1">
        <v>44924</v>
      </c>
      <c r="B1130" t="str">
        <f>"SI226001516"</f>
        <v>SI226001516</v>
      </c>
      <c r="C1130" t="str">
        <f>"PR22000442"</f>
        <v>PR22000442</v>
      </c>
      <c r="D1130" t="str">
        <f>"PR22000442"</f>
        <v>PR22000442</v>
      </c>
      <c r="E1130" t="str">
        <f>"Y"</f>
        <v>Y</v>
      </c>
      <c r="F1130" t="str">
        <f>"חשבוניות מרכזות"</f>
        <v>חשבוניות מרכזות</v>
      </c>
      <c r="G1130" t="str">
        <f>"700065"</f>
        <v>700065</v>
      </c>
      <c r="H1130" t="str">
        <f>"אלתא מערכות בע""מ"</f>
        <v>אלתא מערכות בע"מ</v>
      </c>
      <c r="I1130" t="str">
        <f>"10"</f>
        <v>10</v>
      </c>
      <c r="J1130" t="str">
        <f>"OP-AR03160"</f>
        <v>OP-AR03160</v>
      </c>
      <c r="K1130" t="str">
        <f>"9000Y504-001    HARNESS WA004 - FULL TK"</f>
        <v>9000Y504-001    HARNESS WA004 - FULL TK</v>
      </c>
      <c r="L1130">
        <v>1</v>
      </c>
      <c r="M1130" t="str">
        <f>"יח"</f>
        <v>יח</v>
      </c>
      <c r="N1130">
        <v>1</v>
      </c>
      <c r="O1130" t="str">
        <f>"יח"</f>
        <v>יח</v>
      </c>
      <c r="P1130">
        <v>362.11</v>
      </c>
      <c r="Q1130" t="str">
        <f>"$"</f>
        <v>$</v>
      </c>
      <c r="R1130" t="str">
        <f>"הזמנה"</f>
        <v>הזמנה</v>
      </c>
      <c r="S1130">
        <v>0</v>
      </c>
      <c r="T1130">
        <v>362.11</v>
      </c>
      <c r="U1130">
        <v>0</v>
      </c>
      <c r="V1130">
        <v>362.11</v>
      </c>
      <c r="W1130" t="str">
        <f>"$"</f>
        <v>$</v>
      </c>
      <c r="X1130">
        <v>0</v>
      </c>
      <c r="Y1130">
        <v>0</v>
      </c>
      <c r="Z1130">
        <v>0</v>
      </c>
      <c r="AA1130" t="str">
        <f>"Y"</f>
        <v>Y</v>
      </c>
      <c r="AB1130" t="str">
        <f>"SO22000222"</f>
        <v>SO22000222</v>
      </c>
      <c r="AC1130">
        <v>2</v>
      </c>
      <c r="AD1130" s="1">
        <v>44720</v>
      </c>
      <c r="AE1130" t="str">
        <f>"SH22001489"</f>
        <v>SH22001489</v>
      </c>
      <c r="AF1130" t="str">
        <f>"משלוחים ללקוח"</f>
        <v>משלוחים ללקוח</v>
      </c>
      <c r="AG1130" s="1">
        <v>44920</v>
      </c>
      <c r="AM1130" t="str">
        <f>"10"</f>
        <v>10</v>
      </c>
      <c r="AN1130" t="str">
        <f>"500000"</f>
        <v>500000</v>
      </c>
      <c r="AO1130" t="str">
        <f>"הכנסות  מלקוחות"</f>
        <v>הכנסות  מלקוחות</v>
      </c>
      <c r="AQ1130" t="str">
        <f>"040"</f>
        <v>040</v>
      </c>
      <c r="AR1130">
        <v>0</v>
      </c>
      <c r="AS1130">
        <v>0</v>
      </c>
      <c r="AT1130">
        <v>3.524</v>
      </c>
      <c r="AX1130" t="str">
        <f>"E000364757"</f>
        <v>E000364757</v>
      </c>
      <c r="BD1130" t="str">
        <f>"רחמים זרוק"</f>
        <v>רחמים זרוק</v>
      </c>
    </row>
    <row r="1131" spans="1:56" x14ac:dyDescent="0.3">
      <c r="A1131" s="1">
        <v>44924</v>
      </c>
      <c r="B1131" t="str">
        <f>"SI226001515"</f>
        <v>SI226001515</v>
      </c>
      <c r="C1131" t="str">
        <f>"PR22000369"</f>
        <v>PR22000369</v>
      </c>
      <c r="D1131" t="str">
        <f>"PR22000369"</f>
        <v>PR22000369</v>
      </c>
      <c r="E1131" t="str">
        <f>"Y"</f>
        <v>Y</v>
      </c>
      <c r="F1131" t="str">
        <f>"חשבוניות מרכזות"</f>
        <v>חשבוניות מרכזות</v>
      </c>
      <c r="G1131" t="str">
        <f>"700065"</f>
        <v>700065</v>
      </c>
      <c r="H1131" t="str">
        <f>"אלתא מערכות בע""מ"</f>
        <v>אלתא מערכות בע"מ</v>
      </c>
      <c r="I1131" t="str">
        <f>"10"</f>
        <v>10</v>
      </c>
      <c r="J1131" t="str">
        <f>"OP-AR02806"</f>
        <v>OP-AR02806</v>
      </c>
      <c r="K1131" t="str">
        <f>"1037U914-001    TEST NEW LAB CABLE"</f>
        <v>1037U914-001    TEST NEW LAB CABLE</v>
      </c>
      <c r="L1131">
        <v>1</v>
      </c>
      <c r="M1131" t="str">
        <f>"יח"</f>
        <v>יח</v>
      </c>
      <c r="N1131">
        <v>1</v>
      </c>
      <c r="O1131" t="str">
        <f>"יח"</f>
        <v>יח</v>
      </c>
      <c r="P1131">
        <v>628.24</v>
      </c>
      <c r="Q1131" t="str">
        <f>"$"</f>
        <v>$</v>
      </c>
      <c r="R1131" t="str">
        <f>"הזמנה"</f>
        <v>הזמנה</v>
      </c>
      <c r="S1131">
        <v>0</v>
      </c>
      <c r="T1131">
        <v>628.24</v>
      </c>
      <c r="U1131">
        <v>0</v>
      </c>
      <c r="V1131">
        <v>628.24</v>
      </c>
      <c r="W1131" t="str">
        <f>"$"</f>
        <v>$</v>
      </c>
      <c r="X1131">
        <v>0</v>
      </c>
      <c r="Y1131">
        <v>0</v>
      </c>
      <c r="Z1131">
        <v>0</v>
      </c>
      <c r="AA1131" t="str">
        <f>"Y"</f>
        <v>Y</v>
      </c>
      <c r="AB1131" t="str">
        <f>"SO22000194"</f>
        <v>SO22000194</v>
      </c>
      <c r="AC1131">
        <v>5</v>
      </c>
      <c r="AD1131" s="1">
        <v>44698</v>
      </c>
      <c r="AE1131" t="str">
        <f>"SH22001484"</f>
        <v>SH22001484</v>
      </c>
      <c r="AF1131" t="str">
        <f>"משלוחים ללקוח"</f>
        <v>משלוחים ללקוח</v>
      </c>
      <c r="AG1131" s="1">
        <v>44920</v>
      </c>
      <c r="AM1131" t="str">
        <f>"10"</f>
        <v>10</v>
      </c>
      <c r="AN1131" t="str">
        <f>"500000"</f>
        <v>500000</v>
      </c>
      <c r="AO1131" t="str">
        <f>"הכנסות  מלקוחות"</f>
        <v>הכנסות  מלקוחות</v>
      </c>
      <c r="AQ1131" t="str">
        <f>"040"</f>
        <v>040</v>
      </c>
      <c r="AR1131">
        <v>0</v>
      </c>
      <c r="AS1131">
        <v>0</v>
      </c>
      <c r="AT1131">
        <v>3.524</v>
      </c>
      <c r="AX1131" t="str">
        <f>"E000362818"</f>
        <v>E000362818</v>
      </c>
      <c r="BD1131" t="str">
        <f>"רחמים זרוק"</f>
        <v>רחמים זרוק</v>
      </c>
    </row>
    <row r="1132" spans="1:56" x14ac:dyDescent="0.3">
      <c r="A1132" s="1">
        <v>44924</v>
      </c>
      <c r="B1132" t="str">
        <f>"SI226001514"</f>
        <v>SI226001514</v>
      </c>
      <c r="C1132" t="str">
        <f>"PR22000459"</f>
        <v>PR22000459</v>
      </c>
      <c r="D1132" t="str">
        <f>"PR22000459"</f>
        <v>PR22000459</v>
      </c>
      <c r="E1132" t="str">
        <f>"Y"</f>
        <v>Y</v>
      </c>
      <c r="F1132" t="str">
        <f>"חשבוניות מרכזות"</f>
        <v>חשבוניות מרכזות</v>
      </c>
      <c r="G1132" t="str">
        <f>"700065"</f>
        <v>700065</v>
      </c>
      <c r="H1132" t="str">
        <f>"אלתא מערכות בע""מ"</f>
        <v>אלתא מערכות בע"מ</v>
      </c>
      <c r="I1132" t="str">
        <f>"10"</f>
        <v>10</v>
      </c>
      <c r="J1132" t="str">
        <f>"OP-AR03180"</f>
        <v>OP-AR03180</v>
      </c>
      <c r="K1132" t="str">
        <f>"2227B054-001    MPR-RP-IO CABLE ASSY"</f>
        <v>2227B054-001    MPR-RP-IO CABLE ASSY</v>
      </c>
      <c r="L1132">
        <v>2</v>
      </c>
      <c r="M1132" t="str">
        <f>"יח"</f>
        <v>יח</v>
      </c>
      <c r="N1132">
        <v>2</v>
      </c>
      <c r="O1132" t="str">
        <f>"יח"</f>
        <v>יח</v>
      </c>
      <c r="P1132" s="2">
        <v>2320.7600000000002</v>
      </c>
      <c r="Q1132" t="str">
        <f>"$"</f>
        <v>$</v>
      </c>
      <c r="R1132" t="str">
        <f>"הזמנה"</f>
        <v>הזמנה</v>
      </c>
      <c r="S1132">
        <v>0</v>
      </c>
      <c r="T1132" s="2">
        <v>4641.5200000000004</v>
      </c>
      <c r="U1132">
        <v>0</v>
      </c>
      <c r="V1132" s="2">
        <v>4641.5200000000004</v>
      </c>
      <c r="W1132" t="str">
        <f>"$"</f>
        <v>$</v>
      </c>
      <c r="X1132">
        <v>0</v>
      </c>
      <c r="Y1132">
        <v>0</v>
      </c>
      <c r="Z1132">
        <v>0</v>
      </c>
      <c r="AA1132" t="str">
        <f>"Y"</f>
        <v>Y</v>
      </c>
      <c r="AB1132" t="str">
        <f>"SO22000241"</f>
        <v>SO22000241</v>
      </c>
      <c r="AC1132">
        <v>6</v>
      </c>
      <c r="AD1132" s="1">
        <v>44731</v>
      </c>
      <c r="AE1132" t="str">
        <f>"SH22001487"</f>
        <v>SH22001487</v>
      </c>
      <c r="AF1132" t="str">
        <f>"משלוחים ללקוח"</f>
        <v>משלוחים ללקוח</v>
      </c>
      <c r="AG1132" s="1">
        <v>44920</v>
      </c>
      <c r="AM1132" t="str">
        <f>"10"</f>
        <v>10</v>
      </c>
      <c r="AN1132" t="str">
        <f>"500000"</f>
        <v>500000</v>
      </c>
      <c r="AO1132" t="str">
        <f>"הכנסות  מלקוחות"</f>
        <v>הכנסות  מלקוחות</v>
      </c>
      <c r="AQ1132" t="str">
        <f>"040"</f>
        <v>040</v>
      </c>
      <c r="AR1132">
        <v>0</v>
      </c>
      <c r="AS1132">
        <v>0</v>
      </c>
      <c r="AT1132">
        <v>3.524</v>
      </c>
      <c r="AX1132" t="str">
        <f>"E000365938"</f>
        <v>E000365938</v>
      </c>
      <c r="BD1132" t="str">
        <f>"רחמים זרוק"</f>
        <v>רחמים זרוק</v>
      </c>
    </row>
    <row r="1133" spans="1:56" x14ac:dyDescent="0.3">
      <c r="A1133" s="1">
        <v>44924</v>
      </c>
      <c r="B1133" t="str">
        <f>"SI226001514"</f>
        <v>SI226001514</v>
      </c>
      <c r="C1133" t="str">
        <f>"PR22000459"</f>
        <v>PR22000459</v>
      </c>
      <c r="D1133" t="str">
        <f>"PR22000459"</f>
        <v>PR22000459</v>
      </c>
      <c r="E1133" t="str">
        <f>"Y"</f>
        <v>Y</v>
      </c>
      <c r="F1133" t="str">
        <f>"חשבוניות מרכזות"</f>
        <v>חשבוניות מרכזות</v>
      </c>
      <c r="G1133" t="str">
        <f>"700065"</f>
        <v>700065</v>
      </c>
      <c r="H1133" t="str">
        <f>"אלתא מערכות בע""מ"</f>
        <v>אלתא מערכות בע"מ</v>
      </c>
      <c r="I1133" t="str">
        <f>"10"</f>
        <v>10</v>
      </c>
      <c r="J1133" t="str">
        <f>"OP-AR03185"</f>
        <v>OP-AR03185</v>
      </c>
      <c r="K1133" t="str">
        <f>"1038N297-001   GROUND CABLE WN297 - ROD TO PALLET CHASS"</f>
        <v>1038N297-001   GROUND CABLE WN297 - ROD TO PALLET CHASS</v>
      </c>
      <c r="L1133">
        <v>9</v>
      </c>
      <c r="M1133" t="str">
        <f>"יח"</f>
        <v>יח</v>
      </c>
      <c r="N1133">
        <v>9</v>
      </c>
      <c r="O1133" t="str">
        <f>"יח"</f>
        <v>יח</v>
      </c>
      <c r="P1133">
        <v>261.88</v>
      </c>
      <c r="Q1133" t="str">
        <f>"$"</f>
        <v>$</v>
      </c>
      <c r="R1133" t="str">
        <f>"הזמנה"</f>
        <v>הזמנה</v>
      </c>
      <c r="S1133">
        <v>0</v>
      </c>
      <c r="T1133" s="2">
        <v>2356.92</v>
      </c>
      <c r="U1133">
        <v>0</v>
      </c>
      <c r="V1133" s="2">
        <v>2356.92</v>
      </c>
      <c r="W1133" t="str">
        <f>"$"</f>
        <v>$</v>
      </c>
      <c r="X1133">
        <v>0</v>
      </c>
      <c r="Y1133">
        <v>0</v>
      </c>
      <c r="Z1133">
        <v>0</v>
      </c>
      <c r="AA1133" t="str">
        <f>"Y"</f>
        <v>Y</v>
      </c>
      <c r="AB1133" t="str">
        <f>"SO22000241"</f>
        <v>SO22000241</v>
      </c>
      <c r="AC1133">
        <v>12</v>
      </c>
      <c r="AD1133" s="1">
        <v>44731</v>
      </c>
      <c r="AE1133" t="str">
        <f>"SH22001487"</f>
        <v>SH22001487</v>
      </c>
      <c r="AF1133" t="str">
        <f>"משלוחים ללקוח"</f>
        <v>משלוחים ללקוח</v>
      </c>
      <c r="AG1133" s="1">
        <v>44920</v>
      </c>
      <c r="AM1133" t="str">
        <f>"10"</f>
        <v>10</v>
      </c>
      <c r="AN1133" t="str">
        <f>"500000"</f>
        <v>500000</v>
      </c>
      <c r="AO1133" t="str">
        <f>"הכנסות  מלקוחות"</f>
        <v>הכנסות  מלקוחות</v>
      </c>
      <c r="AQ1133" t="str">
        <f>"040"</f>
        <v>040</v>
      </c>
      <c r="AR1133">
        <v>0</v>
      </c>
      <c r="AS1133">
        <v>0</v>
      </c>
      <c r="AT1133">
        <v>3.524</v>
      </c>
      <c r="AX1133" t="str">
        <f>"E000365938"</f>
        <v>E000365938</v>
      </c>
      <c r="BD1133" t="str">
        <f>"רחמים זרוק"</f>
        <v>רחמים זרוק</v>
      </c>
    </row>
    <row r="1134" spans="1:56" x14ac:dyDescent="0.3">
      <c r="A1134" s="1">
        <v>44924</v>
      </c>
      <c r="B1134" t="str">
        <f>"SI226001513"</f>
        <v>SI226001513</v>
      </c>
      <c r="C1134" t="str">
        <f>"PR22000316"</f>
        <v>PR22000316</v>
      </c>
      <c r="E1134" t="str">
        <f>"Y"</f>
        <v>Y</v>
      </c>
      <c r="F1134" t="str">
        <f>"חשבוניות מרכזות"</f>
        <v>חשבוניות מרכזות</v>
      </c>
      <c r="G1134" t="str">
        <f>"700065"</f>
        <v>700065</v>
      </c>
      <c r="H1134" t="str">
        <f>"אלתא מערכות בע""מ"</f>
        <v>אלתא מערכות בע"מ</v>
      </c>
      <c r="I1134" t="str">
        <f>"10"</f>
        <v>10</v>
      </c>
      <c r="J1134" t="str">
        <f>"OP-AR03050"</f>
        <v>OP-AR03050</v>
      </c>
      <c r="K1134" t="str">
        <f>"1023M218-001    CABLE ASSY W201"</f>
        <v>1023M218-001    CABLE ASSY W201</v>
      </c>
      <c r="L1134">
        <v>10</v>
      </c>
      <c r="M1134" t="str">
        <f>"יח"</f>
        <v>יח</v>
      </c>
      <c r="N1134">
        <v>10</v>
      </c>
      <c r="O1134" t="str">
        <f>"יח"</f>
        <v>יח</v>
      </c>
      <c r="P1134">
        <v>628.54</v>
      </c>
      <c r="Q1134" t="str">
        <f>"$"</f>
        <v>$</v>
      </c>
      <c r="R1134" t="str">
        <f>"הזמנה"</f>
        <v>הזמנה</v>
      </c>
      <c r="S1134">
        <v>0</v>
      </c>
      <c r="T1134" s="2">
        <v>6285.4</v>
      </c>
      <c r="U1134">
        <v>0</v>
      </c>
      <c r="V1134" s="2">
        <v>6285.4</v>
      </c>
      <c r="W1134" t="str">
        <f>"$"</f>
        <v>$</v>
      </c>
      <c r="X1134">
        <v>0</v>
      </c>
      <c r="Y1134">
        <v>0</v>
      </c>
      <c r="Z1134">
        <v>0</v>
      </c>
      <c r="AA1134" t="str">
        <f>"Y"</f>
        <v>Y</v>
      </c>
      <c r="AB1134" t="str">
        <f>"SO22000145"</f>
        <v>SO22000145</v>
      </c>
      <c r="AC1134">
        <v>4</v>
      </c>
      <c r="AD1134" s="1">
        <v>44675</v>
      </c>
      <c r="AE1134" t="str">
        <f>"SH22001483"</f>
        <v>SH22001483</v>
      </c>
      <c r="AF1134" t="str">
        <f>"משלוחים ללקוח"</f>
        <v>משלוחים ללקוח</v>
      </c>
      <c r="AG1134" s="1">
        <v>44920</v>
      </c>
      <c r="AM1134" t="str">
        <f>"10"</f>
        <v>10</v>
      </c>
      <c r="AN1134" t="str">
        <f>"500000"</f>
        <v>500000</v>
      </c>
      <c r="AO1134" t="str">
        <f>"הכנסות  מלקוחות"</f>
        <v>הכנסות  מלקוחות</v>
      </c>
      <c r="AQ1134" t="str">
        <f>"040"</f>
        <v>040</v>
      </c>
      <c r="AR1134">
        <v>0</v>
      </c>
      <c r="AS1134">
        <v>0</v>
      </c>
      <c r="AT1134">
        <v>3.524</v>
      </c>
      <c r="AX1134" t="str">
        <f>"E000359811"</f>
        <v>E000359811</v>
      </c>
      <c r="BD1134" t="str">
        <f>"רחמים זרוק"</f>
        <v>רחמים זרוק</v>
      </c>
    </row>
    <row r="1135" spans="1:56" x14ac:dyDescent="0.3">
      <c r="A1135" s="1">
        <v>44924</v>
      </c>
      <c r="B1135" t="str">
        <f>"SI226001512"</f>
        <v>SI226001512</v>
      </c>
      <c r="C1135" t="str">
        <f>"PR22000579"</f>
        <v>PR22000579</v>
      </c>
      <c r="E1135" t="str">
        <f>"Y"</f>
        <v>Y</v>
      </c>
      <c r="F1135" t="str">
        <f>"חשבוניות מרכזות"</f>
        <v>חשבוניות מרכזות</v>
      </c>
      <c r="G1135" t="str">
        <f>"700065"</f>
        <v>700065</v>
      </c>
      <c r="H1135" t="str">
        <f>"אלתא מערכות בע""מ"</f>
        <v>אלתא מערכות בע"מ</v>
      </c>
      <c r="I1135" t="str">
        <f>"10"</f>
        <v>10</v>
      </c>
      <c r="J1135" t="str">
        <f>"OP-AR01664"</f>
        <v>OP-AR01664</v>
      </c>
      <c r="K1135" t="str">
        <f>"6649E012-001 SYSTEM BUNDLE TO RSU - COMMUNICATIO"</f>
        <v>6649E012-001 SYSTEM BUNDLE TO RSU - COMMUNICATIO</v>
      </c>
      <c r="L1135">
        <v>1</v>
      </c>
      <c r="M1135" t="str">
        <f>"יח"</f>
        <v>יח</v>
      </c>
      <c r="N1135">
        <v>1</v>
      </c>
      <c r="O1135" t="str">
        <f>"יח"</f>
        <v>יח</v>
      </c>
      <c r="P1135">
        <v>493.04</v>
      </c>
      <c r="Q1135" t="str">
        <f>"$"</f>
        <v>$</v>
      </c>
      <c r="R1135" t="str">
        <f>"הזמנה"</f>
        <v>הזמנה</v>
      </c>
      <c r="S1135">
        <v>0</v>
      </c>
      <c r="T1135">
        <v>493.04</v>
      </c>
      <c r="U1135">
        <v>0</v>
      </c>
      <c r="V1135">
        <v>493.04</v>
      </c>
      <c r="W1135" t="str">
        <f>"$"</f>
        <v>$</v>
      </c>
      <c r="X1135">
        <v>0</v>
      </c>
      <c r="Y1135">
        <v>0</v>
      </c>
      <c r="Z1135">
        <v>0</v>
      </c>
      <c r="AA1135" t="str">
        <f>"Y"</f>
        <v>Y</v>
      </c>
      <c r="AB1135" t="str">
        <f>"SO22000331"</f>
        <v>SO22000331</v>
      </c>
      <c r="AC1135">
        <v>2</v>
      </c>
      <c r="AD1135" s="1">
        <v>44788</v>
      </c>
      <c r="AE1135" t="str">
        <f>"SH22001482"</f>
        <v>SH22001482</v>
      </c>
      <c r="AF1135" t="str">
        <f>"משלוחים ללקוח"</f>
        <v>משלוחים ללקוח</v>
      </c>
      <c r="AG1135" s="1">
        <v>44920</v>
      </c>
      <c r="AM1135" t="str">
        <f>"10"</f>
        <v>10</v>
      </c>
      <c r="AN1135" t="str">
        <f>"500000"</f>
        <v>500000</v>
      </c>
      <c r="AO1135" t="str">
        <f>"הכנסות  מלקוחות"</f>
        <v>הכנסות  מלקוחות</v>
      </c>
      <c r="AQ1135" t="str">
        <f>"040"</f>
        <v>040</v>
      </c>
      <c r="AR1135">
        <v>0</v>
      </c>
      <c r="AS1135">
        <v>0</v>
      </c>
      <c r="AT1135">
        <v>3.524</v>
      </c>
      <c r="AX1135" t="str">
        <f>"E000372142"</f>
        <v>E000372142</v>
      </c>
      <c r="BD1135" t="str">
        <f>"רחמים זרוק"</f>
        <v>רחמים זרוק</v>
      </c>
    </row>
    <row r="1136" spans="1:56" x14ac:dyDescent="0.3">
      <c r="A1136" s="1">
        <v>44924</v>
      </c>
      <c r="B1136" t="str">
        <f>"SI226001512"</f>
        <v>SI226001512</v>
      </c>
      <c r="C1136" t="str">
        <f>"PR22000579"</f>
        <v>PR22000579</v>
      </c>
      <c r="E1136" t="str">
        <f>"Y"</f>
        <v>Y</v>
      </c>
      <c r="F1136" t="str">
        <f>"חשבוניות מרכזות"</f>
        <v>חשבוניות מרכזות</v>
      </c>
      <c r="G1136" t="str">
        <f>"700065"</f>
        <v>700065</v>
      </c>
      <c r="H1136" t="str">
        <f>"אלתא מערכות בע""מ"</f>
        <v>אלתא מערכות בע"מ</v>
      </c>
      <c r="I1136" t="str">
        <f>"10"</f>
        <v>10</v>
      </c>
      <c r="J1136" t="str">
        <f>"OP-AR01677"</f>
        <v>OP-AR01677</v>
      </c>
      <c r="K1136" t="str">
        <f>"6649E612-001 ANT DGPS TBDM"</f>
        <v>6649E612-001 ANT DGPS TBDM</v>
      </c>
      <c r="L1136">
        <v>1</v>
      </c>
      <c r="M1136" t="str">
        <f>"יח"</f>
        <v>יח</v>
      </c>
      <c r="N1136">
        <v>1</v>
      </c>
      <c r="O1136" t="str">
        <f>"יח"</f>
        <v>יח</v>
      </c>
      <c r="P1136">
        <v>127.43</v>
      </c>
      <c r="Q1136" t="str">
        <f>"$"</f>
        <v>$</v>
      </c>
      <c r="R1136" t="str">
        <f>"הזמנה"</f>
        <v>הזמנה</v>
      </c>
      <c r="S1136">
        <v>0</v>
      </c>
      <c r="T1136">
        <v>127.43</v>
      </c>
      <c r="U1136">
        <v>0</v>
      </c>
      <c r="V1136">
        <v>127.43</v>
      </c>
      <c r="W1136" t="str">
        <f>"$"</f>
        <v>$</v>
      </c>
      <c r="X1136">
        <v>0</v>
      </c>
      <c r="Y1136">
        <v>0</v>
      </c>
      <c r="Z1136">
        <v>0</v>
      </c>
      <c r="AA1136" t="str">
        <f>"Y"</f>
        <v>Y</v>
      </c>
      <c r="AB1136" t="str">
        <f>"SO22000331"</f>
        <v>SO22000331</v>
      </c>
      <c r="AC1136">
        <v>4</v>
      </c>
      <c r="AD1136" s="1">
        <v>44788</v>
      </c>
      <c r="AE1136" t="str">
        <f>"SH22001482"</f>
        <v>SH22001482</v>
      </c>
      <c r="AF1136" t="str">
        <f>"משלוחים ללקוח"</f>
        <v>משלוחים ללקוח</v>
      </c>
      <c r="AG1136" s="1">
        <v>44920</v>
      </c>
      <c r="AM1136" t="str">
        <f>"10"</f>
        <v>10</v>
      </c>
      <c r="AN1136" t="str">
        <f>"500000"</f>
        <v>500000</v>
      </c>
      <c r="AO1136" t="str">
        <f>"הכנסות  מלקוחות"</f>
        <v>הכנסות  מלקוחות</v>
      </c>
      <c r="AQ1136" t="str">
        <f>"040"</f>
        <v>040</v>
      </c>
      <c r="AR1136">
        <v>0</v>
      </c>
      <c r="AS1136">
        <v>0</v>
      </c>
      <c r="AT1136">
        <v>3.524</v>
      </c>
      <c r="AX1136" t="str">
        <f>"E000372142"</f>
        <v>E000372142</v>
      </c>
      <c r="BD1136" t="str">
        <f>"רחמים זרוק"</f>
        <v>רחמים זרוק</v>
      </c>
    </row>
    <row r="1137" spans="1:56" x14ac:dyDescent="0.3">
      <c r="A1137" s="1">
        <v>44924</v>
      </c>
      <c r="B1137" t="str">
        <f>"SI226001511"</f>
        <v>SI226001511</v>
      </c>
      <c r="C1137" t="str">
        <f>"PR22000581"</f>
        <v>PR22000581</v>
      </c>
      <c r="E1137" t="str">
        <f>"Y"</f>
        <v>Y</v>
      </c>
      <c r="F1137" t="str">
        <f>"חשבוניות מרכזות"</f>
        <v>חשבוניות מרכזות</v>
      </c>
      <c r="G1137" t="str">
        <f>"700065"</f>
        <v>700065</v>
      </c>
      <c r="H1137" t="str">
        <f>"אלתא מערכות בע""מ"</f>
        <v>אלתא מערכות בע"מ</v>
      </c>
      <c r="I1137" t="str">
        <f>"10"</f>
        <v>10</v>
      </c>
      <c r="J1137" t="str">
        <f>"OP-AR03263"</f>
        <v>OP-AR03263</v>
      </c>
      <c r="K1137" t="str">
        <f>"1035C390-001    GROUND CABLE 3W090 - UNIT TO RACK-GND"</f>
        <v>1035C390-001    GROUND CABLE 3W090 - UNIT TO RACK-GND</v>
      </c>
      <c r="L1137">
        <v>13</v>
      </c>
      <c r="M1137" t="str">
        <f>"יח"</f>
        <v>יח</v>
      </c>
      <c r="N1137">
        <v>13</v>
      </c>
      <c r="O1137" t="str">
        <f>"יח"</f>
        <v>יח</v>
      </c>
      <c r="P1137">
        <v>67.900000000000006</v>
      </c>
      <c r="Q1137" t="str">
        <f>"$"</f>
        <v>$</v>
      </c>
      <c r="R1137" t="str">
        <f>"הזמנה"</f>
        <v>הזמנה</v>
      </c>
      <c r="S1137">
        <v>0</v>
      </c>
      <c r="T1137">
        <v>882.7</v>
      </c>
      <c r="U1137">
        <v>0</v>
      </c>
      <c r="V1137">
        <v>882.7</v>
      </c>
      <c r="W1137" t="str">
        <f>"$"</f>
        <v>$</v>
      </c>
      <c r="X1137">
        <v>0</v>
      </c>
      <c r="Y1137">
        <v>0</v>
      </c>
      <c r="Z1137">
        <v>0</v>
      </c>
      <c r="AA1137" t="str">
        <f>"Y"</f>
        <v>Y</v>
      </c>
      <c r="AB1137" t="str">
        <f>"SO22000332"</f>
        <v>SO22000332</v>
      </c>
      <c r="AC1137">
        <v>1</v>
      </c>
      <c r="AD1137" s="1">
        <v>44788</v>
      </c>
      <c r="AE1137" t="str">
        <f>"SH22001497"</f>
        <v>SH22001497</v>
      </c>
      <c r="AF1137" t="str">
        <f>"משלוחים ללקוח"</f>
        <v>משלוחים ללקוח</v>
      </c>
      <c r="AG1137" s="1">
        <v>44921</v>
      </c>
      <c r="AM1137" t="str">
        <f>"10"</f>
        <v>10</v>
      </c>
      <c r="AN1137" t="str">
        <f>"500000"</f>
        <v>500000</v>
      </c>
      <c r="AO1137" t="str">
        <f>"הכנסות  מלקוחות"</f>
        <v>הכנסות  מלקוחות</v>
      </c>
      <c r="AQ1137" t="str">
        <f>"040"</f>
        <v>040</v>
      </c>
      <c r="AR1137">
        <v>0</v>
      </c>
      <c r="AS1137">
        <v>0</v>
      </c>
      <c r="AT1137">
        <v>3.524</v>
      </c>
      <c r="AX1137" t="str">
        <f>"E000372167"</f>
        <v>E000372167</v>
      </c>
      <c r="BD1137" t="str">
        <f>"רחמים זרוק"</f>
        <v>רחמים זרוק</v>
      </c>
    </row>
    <row r="1138" spans="1:56" x14ac:dyDescent="0.3">
      <c r="A1138" s="1">
        <v>44924</v>
      </c>
      <c r="B1138" t="str">
        <f>"SI226001510"</f>
        <v>SI226001510</v>
      </c>
      <c r="C1138" t="str">
        <f>"PR22000553"</f>
        <v>PR22000553</v>
      </c>
      <c r="D1138" t="str">
        <f>"PR22000553"</f>
        <v>PR22000553</v>
      </c>
      <c r="E1138" t="str">
        <f>"Y"</f>
        <v>Y</v>
      </c>
      <c r="F1138" t="str">
        <f>"חשבוניות מרכזות"</f>
        <v>חשבוניות מרכזות</v>
      </c>
      <c r="G1138" t="str">
        <f>"700065"</f>
        <v>700065</v>
      </c>
      <c r="H1138" t="str">
        <f>"אלתא מערכות בע""מ"</f>
        <v>אלתא מערכות בע"מ</v>
      </c>
      <c r="I1138" t="str">
        <f>"10"</f>
        <v>10</v>
      </c>
      <c r="J1138" t="str">
        <f>"OP-AR03261"</f>
        <v>OP-AR03261</v>
      </c>
      <c r="K1138" t="str">
        <f>"1018M578-001    HARNESS W5327 RACK 2 PDU TO CSM HOST"</f>
        <v>1018M578-001    HARNESS W5327 RACK 2 PDU TO CSM HOST</v>
      </c>
      <c r="L1138">
        <v>1</v>
      </c>
      <c r="M1138" t="str">
        <f>"יח"</f>
        <v>יח</v>
      </c>
      <c r="N1138">
        <v>1</v>
      </c>
      <c r="O1138" t="str">
        <f>"יח"</f>
        <v>יח</v>
      </c>
      <c r="P1138">
        <v>526.33000000000004</v>
      </c>
      <c r="Q1138" t="str">
        <f>"$"</f>
        <v>$</v>
      </c>
      <c r="R1138" t="str">
        <f>"הזמנה"</f>
        <v>הזמנה</v>
      </c>
      <c r="S1138">
        <v>0</v>
      </c>
      <c r="T1138">
        <v>526.33000000000004</v>
      </c>
      <c r="U1138">
        <v>0</v>
      </c>
      <c r="V1138">
        <v>526.33000000000004</v>
      </c>
      <c r="W1138" t="str">
        <f>"$"</f>
        <v>$</v>
      </c>
      <c r="X1138">
        <v>0</v>
      </c>
      <c r="Y1138">
        <v>0</v>
      </c>
      <c r="Z1138">
        <v>0</v>
      </c>
      <c r="AA1138" t="str">
        <f>"Y"</f>
        <v>Y</v>
      </c>
      <c r="AB1138" t="str">
        <f>"SO22000329"</f>
        <v>SO22000329</v>
      </c>
      <c r="AC1138">
        <v>3</v>
      </c>
      <c r="AD1138" s="1">
        <v>44788</v>
      </c>
      <c r="AE1138" t="str">
        <f>"SH22001485"</f>
        <v>SH22001485</v>
      </c>
      <c r="AF1138" t="str">
        <f>"משלוחים ללקוח"</f>
        <v>משלוחים ללקוח</v>
      </c>
      <c r="AG1138" s="1">
        <v>44920</v>
      </c>
      <c r="AM1138" t="str">
        <f>"10"</f>
        <v>10</v>
      </c>
      <c r="AN1138" t="str">
        <f>"500000"</f>
        <v>500000</v>
      </c>
      <c r="AO1138" t="str">
        <f>"הכנסות  מלקוחות"</f>
        <v>הכנסות  מלקוחות</v>
      </c>
      <c r="AQ1138" t="str">
        <f>"040"</f>
        <v>040</v>
      </c>
      <c r="AR1138">
        <v>0</v>
      </c>
      <c r="AS1138">
        <v>0</v>
      </c>
      <c r="AT1138">
        <v>3.524</v>
      </c>
      <c r="AX1138" t="str">
        <f>"E000370512"</f>
        <v>E000370512</v>
      </c>
      <c r="BD1138" t="str">
        <f>"רחמים זרוק"</f>
        <v>רחמים זרוק</v>
      </c>
    </row>
    <row r="1139" spans="1:56" x14ac:dyDescent="0.3">
      <c r="A1139" s="1">
        <v>44924</v>
      </c>
      <c r="B1139" t="str">
        <f>"SI226001509"</f>
        <v>SI226001509</v>
      </c>
      <c r="C1139" t="str">
        <f>"PR22000231"</f>
        <v>PR22000231</v>
      </c>
      <c r="E1139" t="str">
        <f>"Y"</f>
        <v>Y</v>
      </c>
      <c r="F1139" t="str">
        <f>"חשבוניות מרכזות"</f>
        <v>חשבוניות מרכזות</v>
      </c>
      <c r="G1139" t="str">
        <f>"700065"</f>
        <v>700065</v>
      </c>
      <c r="H1139" t="str">
        <f>"אלתא מערכות בע""מ"</f>
        <v>אלתא מערכות בע"מ</v>
      </c>
      <c r="I1139" t="str">
        <f>"10"</f>
        <v>10</v>
      </c>
      <c r="J1139" t="str">
        <f>"OP-AR03025"</f>
        <v>OP-AR03025</v>
      </c>
      <c r="K1139" t="str">
        <f>"2221B781-001   EXW101 EXC CTRL PWR CABLE ASSY"</f>
        <v>2221B781-001   EXW101 EXC CTRL PWR CABLE ASSY</v>
      </c>
      <c r="L1139">
        <v>1</v>
      </c>
      <c r="M1139" t="str">
        <f>"יח"</f>
        <v>יח</v>
      </c>
      <c r="N1139">
        <v>1</v>
      </c>
      <c r="O1139" t="str">
        <f>"יח"</f>
        <v>יח</v>
      </c>
      <c r="P1139" s="2">
        <v>1100.78</v>
      </c>
      <c r="Q1139" t="str">
        <f>"$"</f>
        <v>$</v>
      </c>
      <c r="R1139" t="str">
        <f>"הזמנה"</f>
        <v>הזמנה</v>
      </c>
      <c r="S1139">
        <v>0</v>
      </c>
      <c r="T1139" s="2">
        <v>1100.78</v>
      </c>
      <c r="U1139">
        <v>0</v>
      </c>
      <c r="V1139" s="2">
        <v>1100.78</v>
      </c>
      <c r="W1139" t="str">
        <f>"$"</f>
        <v>$</v>
      </c>
      <c r="X1139">
        <v>0</v>
      </c>
      <c r="Y1139">
        <v>0</v>
      </c>
      <c r="Z1139">
        <v>0</v>
      </c>
      <c r="AA1139" t="str">
        <f>"Y"</f>
        <v>Y</v>
      </c>
      <c r="AB1139" t="str">
        <f>"SO22000105"</f>
        <v>SO22000105</v>
      </c>
      <c r="AC1139">
        <v>22</v>
      </c>
      <c r="AD1139" s="1">
        <v>44635</v>
      </c>
      <c r="AE1139" t="str">
        <f>"SH22001488"</f>
        <v>SH22001488</v>
      </c>
      <c r="AF1139" t="str">
        <f>"משלוחים ללקוח"</f>
        <v>משלוחים ללקוח</v>
      </c>
      <c r="AG1139" s="1">
        <v>44920</v>
      </c>
      <c r="AM1139" t="str">
        <f>"10"</f>
        <v>10</v>
      </c>
      <c r="AN1139" t="str">
        <f>"500000"</f>
        <v>500000</v>
      </c>
      <c r="AO1139" t="str">
        <f>"הכנסות  מלקוחות"</f>
        <v>הכנסות  מלקוחות</v>
      </c>
      <c r="AQ1139" t="str">
        <f>"040"</f>
        <v>040</v>
      </c>
      <c r="AR1139">
        <v>0</v>
      </c>
      <c r="AS1139">
        <v>0</v>
      </c>
      <c r="AT1139">
        <v>3.524</v>
      </c>
      <c r="AX1139" t="str">
        <f>"E000359029"</f>
        <v>E000359029</v>
      </c>
      <c r="BD1139" t="str">
        <f>"רחמים זרוק"</f>
        <v>רחמים זרוק</v>
      </c>
    </row>
    <row r="1140" spans="1:56" x14ac:dyDescent="0.3">
      <c r="A1140" s="1">
        <v>44924</v>
      </c>
      <c r="B1140" t="str">
        <f>"SI226001508"</f>
        <v>SI226001508</v>
      </c>
      <c r="C1140" t="str">
        <f>"PR22000448"</f>
        <v>PR22000448</v>
      </c>
      <c r="D1140" t="str">
        <f>"PR22000448"</f>
        <v>PR22000448</v>
      </c>
      <c r="E1140" t="str">
        <f>"Y"</f>
        <v>Y</v>
      </c>
      <c r="F1140" t="str">
        <f>"חשבוניות מרכזות"</f>
        <v>חשבוניות מרכזות</v>
      </c>
      <c r="G1140" t="str">
        <f>"700065"</f>
        <v>700065</v>
      </c>
      <c r="H1140" t="str">
        <f>"אלתא מערכות בע""מ"</f>
        <v>אלתא מערכות בע"מ</v>
      </c>
      <c r="I1140" t="str">
        <f>"10"</f>
        <v>10</v>
      </c>
      <c r="J1140" t="str">
        <f>"OP-AR00468"</f>
        <v>OP-AR00468</v>
      </c>
      <c r="K1140" t="str">
        <f>"208V/25A/3PH AC PCU CONTROL BOX"</f>
        <v>208V/25A/3PH AC PCU CONTROL BOX</v>
      </c>
      <c r="L1140">
        <v>1</v>
      </c>
      <c r="M1140" t="str">
        <f>"יח"</f>
        <v>יח</v>
      </c>
      <c r="N1140">
        <v>1</v>
      </c>
      <c r="O1140" t="str">
        <f>"יח"</f>
        <v>יח</v>
      </c>
      <c r="P1140" s="2">
        <v>4350</v>
      </c>
      <c r="Q1140" t="str">
        <f>"$"</f>
        <v>$</v>
      </c>
      <c r="R1140" t="str">
        <f>"הזמנה"</f>
        <v>הזמנה</v>
      </c>
      <c r="S1140">
        <v>0</v>
      </c>
      <c r="T1140" s="2">
        <v>4350</v>
      </c>
      <c r="U1140">
        <v>0</v>
      </c>
      <c r="V1140" s="2">
        <v>4350</v>
      </c>
      <c r="W1140" t="str">
        <f>"$"</f>
        <v>$</v>
      </c>
      <c r="X1140">
        <v>0</v>
      </c>
      <c r="Y1140">
        <v>0</v>
      </c>
      <c r="Z1140">
        <v>0</v>
      </c>
      <c r="AA1140" t="str">
        <f>"Y"</f>
        <v>Y</v>
      </c>
      <c r="AB1140" t="str">
        <f>"SO22000251"</f>
        <v>SO22000251</v>
      </c>
      <c r="AC1140">
        <v>1</v>
      </c>
      <c r="AD1140" s="1">
        <v>44733</v>
      </c>
      <c r="AE1140" t="str">
        <f>"SH22001406"</f>
        <v>SH22001406</v>
      </c>
      <c r="AF1140" t="str">
        <f>"משלוחים ללקוח"</f>
        <v>משלוחים ללקוח</v>
      </c>
      <c r="AG1140" s="1">
        <v>44907</v>
      </c>
      <c r="AM1140" t="str">
        <f>"10"</f>
        <v>10</v>
      </c>
      <c r="AN1140" t="str">
        <f>"500000"</f>
        <v>500000</v>
      </c>
      <c r="AO1140" t="str">
        <f>"הכנסות  מלקוחות"</f>
        <v>הכנסות  מלקוחות</v>
      </c>
      <c r="AQ1140" t="str">
        <f>"034"</f>
        <v>034</v>
      </c>
      <c r="AR1140">
        <v>0</v>
      </c>
      <c r="AS1140">
        <v>0</v>
      </c>
      <c r="AT1140">
        <v>3.524</v>
      </c>
      <c r="AX1140" t="str">
        <f>"E000366344"</f>
        <v>E000366344</v>
      </c>
      <c r="BD1140" t="str">
        <f>"ערן שלו"</f>
        <v>ערן שלו</v>
      </c>
    </row>
    <row r="1141" spans="1:56" x14ac:dyDescent="0.3">
      <c r="A1141" s="1">
        <v>44924</v>
      </c>
      <c r="B1141" t="str">
        <f>"SI226001507"</f>
        <v>SI226001507</v>
      </c>
      <c r="C1141" t="str">
        <f>"PR21000448"</f>
        <v>PR21000448</v>
      </c>
      <c r="E1141" t="str">
        <f>"Y"</f>
        <v>Y</v>
      </c>
      <c r="F1141" t="str">
        <f>"חשבוניות מרכזות"</f>
        <v>חשבוניות מרכזות</v>
      </c>
      <c r="G1141" t="str">
        <f>"700065"</f>
        <v>700065</v>
      </c>
      <c r="H1141" t="str">
        <f>"אלתא מערכות בע""מ"</f>
        <v>אלתא מערכות בע"מ</v>
      </c>
      <c r="I1141" t="str">
        <f>"10"</f>
        <v>10</v>
      </c>
      <c r="J1141" t="str">
        <f>"OP-ML00197"</f>
        <v>OP-ML00197</v>
      </c>
      <c r="K1141" t="str">
        <f>"1038C816-001 COMPUTER RACK"</f>
        <v>1038C816-001 COMPUTER RACK</v>
      </c>
      <c r="L1141">
        <v>1</v>
      </c>
      <c r="M1141" t="str">
        <f>"יח"</f>
        <v>יח</v>
      </c>
      <c r="N1141">
        <v>1</v>
      </c>
      <c r="O1141" t="str">
        <f>"יח"</f>
        <v>יח</v>
      </c>
      <c r="P1141" s="2">
        <v>47500</v>
      </c>
      <c r="Q1141" t="str">
        <f>"$"</f>
        <v>$</v>
      </c>
      <c r="R1141" t="str">
        <f>"הזמנה"</f>
        <v>הזמנה</v>
      </c>
      <c r="S1141">
        <v>0</v>
      </c>
      <c r="T1141" s="2">
        <v>47500</v>
      </c>
      <c r="U1141">
        <v>0</v>
      </c>
      <c r="V1141" s="2">
        <v>47500</v>
      </c>
      <c r="W1141" t="str">
        <f>"$"</f>
        <v>$</v>
      </c>
      <c r="X1141">
        <v>0</v>
      </c>
      <c r="Y1141">
        <v>0</v>
      </c>
      <c r="Z1141">
        <v>0</v>
      </c>
      <c r="AA1141" t="str">
        <f>"Y"</f>
        <v>Y</v>
      </c>
      <c r="AB1141" t="str">
        <f>"SO21000090"</f>
        <v>SO21000090</v>
      </c>
      <c r="AC1141">
        <v>17</v>
      </c>
      <c r="AD1141" s="1">
        <v>44251</v>
      </c>
      <c r="AE1141" t="str">
        <f>"SH22001519"</f>
        <v>SH22001519</v>
      </c>
      <c r="AF1141" t="str">
        <f>"משלוחים ללקוח"</f>
        <v>משלוחים ללקוח</v>
      </c>
      <c r="AG1141" s="1">
        <v>44923</v>
      </c>
      <c r="AM1141" t="str">
        <f>"10"</f>
        <v>10</v>
      </c>
      <c r="AN1141" t="str">
        <f>"500000"</f>
        <v>500000</v>
      </c>
      <c r="AO1141" t="str">
        <f>"הכנסות  מלקוחות"</f>
        <v>הכנסות  מלקוחות</v>
      </c>
      <c r="AQ1141" t="str">
        <f>"034"</f>
        <v>034</v>
      </c>
      <c r="AR1141">
        <v>0</v>
      </c>
      <c r="AS1141">
        <v>0</v>
      </c>
      <c r="AT1141">
        <v>3.524</v>
      </c>
      <c r="AX1141" t="str">
        <f>"E000332763"</f>
        <v>E000332763</v>
      </c>
      <c r="BD1141" t="str">
        <f>"ערן שלו"</f>
        <v>ערן שלו</v>
      </c>
    </row>
    <row r="1142" spans="1:56" x14ac:dyDescent="0.3">
      <c r="A1142" s="1">
        <v>44921</v>
      </c>
      <c r="B1142" t="str">
        <f>"CR227000063"</f>
        <v>CR227000063</v>
      </c>
      <c r="E1142" t="str">
        <f>"Y"</f>
        <v>Y</v>
      </c>
      <c r="F1142" t="str">
        <f>"חשבוניות זיכוי"</f>
        <v>חשבוניות זיכוי</v>
      </c>
      <c r="G1142" t="str">
        <f>"700065"</f>
        <v>700065</v>
      </c>
      <c r="H1142" t="str">
        <f>"אלתא מערכות בע""מ"</f>
        <v>אלתא מערכות בע"מ</v>
      </c>
      <c r="I1142" t="str">
        <f>"10"</f>
        <v>10</v>
      </c>
      <c r="J1142" t="str">
        <f>"000"</f>
        <v>000</v>
      </c>
      <c r="K1142" t="str">
        <f>"זיכוי לערכת מס 1038C906-001 Radar Power Uni  6"</f>
        <v>זיכוי לערכת מס 1038C906-001 Radar Power Uni  6</v>
      </c>
      <c r="L1142">
        <v>-1</v>
      </c>
      <c r="M1142" t="str">
        <f>"יח"</f>
        <v>יח</v>
      </c>
      <c r="N1142">
        <v>-1</v>
      </c>
      <c r="O1142" t="str">
        <f>"יח"</f>
        <v>יח</v>
      </c>
      <c r="P1142" s="2">
        <v>117532</v>
      </c>
      <c r="Q1142" t="str">
        <f>"$"</f>
        <v>$</v>
      </c>
      <c r="R1142" t="str">
        <f>"ידני"</f>
        <v>ידני</v>
      </c>
      <c r="S1142">
        <v>0</v>
      </c>
      <c r="T1142" s="2">
        <v>-117532</v>
      </c>
      <c r="U1142">
        <v>0</v>
      </c>
      <c r="V1142" s="2">
        <v>-117532</v>
      </c>
      <c r="W1142" t="str">
        <f>"$"</f>
        <v>$</v>
      </c>
      <c r="X1142">
        <v>0</v>
      </c>
      <c r="Y1142">
        <v>0</v>
      </c>
      <c r="Z1142">
        <v>0</v>
      </c>
      <c r="AA1142" t="str">
        <f>"Y"</f>
        <v>Y</v>
      </c>
      <c r="AC1142">
        <v>0</v>
      </c>
      <c r="AM1142" t="str">
        <f>"10"</f>
        <v>10</v>
      </c>
      <c r="AN1142" t="str">
        <f>"500000"</f>
        <v>500000</v>
      </c>
      <c r="AO1142" t="str">
        <f>"הכנסות  מלקוחות"</f>
        <v>הכנסות  מלקוחות</v>
      </c>
      <c r="AQ1142" t="str">
        <f>"034"</f>
        <v>034</v>
      </c>
      <c r="AR1142">
        <v>0</v>
      </c>
      <c r="AS1142">
        <v>0</v>
      </c>
      <c r="AT1142">
        <v>3.4380000000000002</v>
      </c>
      <c r="BB1142" t="str">
        <f>"Y"</f>
        <v>Y</v>
      </c>
      <c r="BD1142" t="str">
        <f>"ערן שלו"</f>
        <v>ערן שלו</v>
      </c>
    </row>
    <row r="1143" spans="1:56" x14ac:dyDescent="0.3">
      <c r="A1143" s="1">
        <v>44921</v>
      </c>
      <c r="B1143" t="str">
        <f>"CR227000062"</f>
        <v>CR227000062</v>
      </c>
      <c r="E1143" t="str">
        <f>"Y"</f>
        <v>Y</v>
      </c>
      <c r="F1143" t="str">
        <f>"חשבוניות זיכוי"</f>
        <v>חשבוניות זיכוי</v>
      </c>
      <c r="G1143" t="str">
        <f>"700065"</f>
        <v>700065</v>
      </c>
      <c r="H1143" t="str">
        <f>"אלתא מערכות בע""מ"</f>
        <v>אלתא מערכות בע"מ</v>
      </c>
      <c r="I1143" t="str">
        <f>"10"</f>
        <v>10</v>
      </c>
      <c r="J1143" t="str">
        <f>"000"</f>
        <v>000</v>
      </c>
      <c r="K1143" t="str">
        <f>"זיכוי לערכת מס 1038C906-001 Radar Power Uni  6"</f>
        <v>זיכוי לערכת מס 1038C906-001 Radar Power Uni  6</v>
      </c>
      <c r="L1143">
        <v>1</v>
      </c>
      <c r="M1143" t="str">
        <f>"יח"</f>
        <v>יח</v>
      </c>
      <c r="N1143">
        <v>1</v>
      </c>
      <c r="O1143" t="str">
        <f>"יח"</f>
        <v>יח</v>
      </c>
      <c r="P1143" s="2">
        <v>117532</v>
      </c>
      <c r="Q1143" t="str">
        <f>"$"</f>
        <v>$</v>
      </c>
      <c r="R1143" t="str">
        <f>"ידני"</f>
        <v>ידני</v>
      </c>
      <c r="S1143">
        <v>0</v>
      </c>
      <c r="T1143" s="2">
        <v>117532</v>
      </c>
      <c r="U1143">
        <v>0</v>
      </c>
      <c r="V1143" s="2">
        <v>117532</v>
      </c>
      <c r="W1143" t="str">
        <f>"$"</f>
        <v>$</v>
      </c>
      <c r="X1143">
        <v>0</v>
      </c>
      <c r="Y1143">
        <v>0</v>
      </c>
      <c r="Z1143">
        <v>0</v>
      </c>
      <c r="AA1143" t="str">
        <f>"Y"</f>
        <v>Y</v>
      </c>
      <c r="AC1143">
        <v>0</v>
      </c>
      <c r="AM1143" t="str">
        <f>"10"</f>
        <v>10</v>
      </c>
      <c r="AN1143" t="str">
        <f>"500000"</f>
        <v>500000</v>
      </c>
      <c r="AO1143" t="str">
        <f>"הכנסות  מלקוחות"</f>
        <v>הכנסות  מלקוחות</v>
      </c>
      <c r="AQ1143" t="str">
        <f>"034"</f>
        <v>034</v>
      </c>
      <c r="AR1143">
        <v>0</v>
      </c>
      <c r="AS1143">
        <v>0</v>
      </c>
      <c r="AT1143">
        <v>3.4380000000000002</v>
      </c>
      <c r="BB1143" t="str">
        <f>"Y"</f>
        <v>Y</v>
      </c>
      <c r="BD1143" t="str">
        <f>"ערן שלו"</f>
        <v>ערן שלו</v>
      </c>
    </row>
    <row r="1144" spans="1:56" x14ac:dyDescent="0.3">
      <c r="A1144" s="1">
        <v>44920</v>
      </c>
      <c r="B1144" t="str">
        <f>"SI226001489"</f>
        <v>SI226001489</v>
      </c>
      <c r="C1144" t="str">
        <f>"PR22000316"</f>
        <v>PR22000316</v>
      </c>
      <c r="E1144" t="str">
        <f>"Y"</f>
        <v>Y</v>
      </c>
      <c r="F1144" t="str">
        <f>"חשבוניות מרכזות"</f>
        <v>חשבוניות מרכזות</v>
      </c>
      <c r="G1144" t="str">
        <f>"700065"</f>
        <v>700065</v>
      </c>
      <c r="H1144" t="str">
        <f>"אלתא מערכות בע""מ"</f>
        <v>אלתא מערכות בע"מ</v>
      </c>
      <c r="I1144" t="str">
        <f>"10"</f>
        <v>10</v>
      </c>
      <c r="J1144" t="str">
        <f>"OP-AR03049"</f>
        <v>OP-AR03049</v>
      </c>
      <c r="K1144" t="str">
        <f>"1023M216-002    CABLE ASSY W202"</f>
        <v>1023M216-002    CABLE ASSY W202</v>
      </c>
      <c r="L1144">
        <v>1</v>
      </c>
      <c r="M1144" t="str">
        <f>"יח"</f>
        <v>יח</v>
      </c>
      <c r="N1144">
        <v>1</v>
      </c>
      <c r="O1144" t="str">
        <f>"יח"</f>
        <v>יח</v>
      </c>
      <c r="P1144" s="2">
        <v>1423.84</v>
      </c>
      <c r="Q1144" t="str">
        <f>"$"</f>
        <v>$</v>
      </c>
      <c r="R1144" t="str">
        <f>"הזמנה"</f>
        <v>הזמנה</v>
      </c>
      <c r="S1144">
        <v>0</v>
      </c>
      <c r="T1144" s="2">
        <v>1423.84</v>
      </c>
      <c r="U1144">
        <v>0</v>
      </c>
      <c r="V1144" s="2">
        <v>1423.84</v>
      </c>
      <c r="W1144" t="str">
        <f>"$"</f>
        <v>$</v>
      </c>
      <c r="X1144">
        <v>0</v>
      </c>
      <c r="Y1144">
        <v>0</v>
      </c>
      <c r="Z1144">
        <v>0</v>
      </c>
      <c r="AA1144" t="str">
        <f>"Y"</f>
        <v>Y</v>
      </c>
      <c r="AB1144" t="str">
        <f>"SO22000145"</f>
        <v>SO22000145</v>
      </c>
      <c r="AC1144">
        <v>1</v>
      </c>
      <c r="AD1144" s="1">
        <v>44675</v>
      </c>
      <c r="AE1144" t="str">
        <f>"SH22001476"</f>
        <v>SH22001476</v>
      </c>
      <c r="AF1144" t="str">
        <f>"משלוחים ללקוח"</f>
        <v>משלוחים ללקוח</v>
      </c>
      <c r="AG1144" s="1">
        <v>44917</v>
      </c>
      <c r="AM1144" t="str">
        <f>"10"</f>
        <v>10</v>
      </c>
      <c r="AN1144" t="str">
        <f>"500000"</f>
        <v>500000</v>
      </c>
      <c r="AO1144" t="str">
        <f>"הכנסות  מלקוחות"</f>
        <v>הכנסות  מלקוחות</v>
      </c>
      <c r="AQ1144" t="str">
        <f>"040"</f>
        <v>040</v>
      </c>
      <c r="AR1144">
        <v>0</v>
      </c>
      <c r="AS1144">
        <v>0</v>
      </c>
      <c r="AT1144">
        <v>3.4929999999999999</v>
      </c>
      <c r="AX1144" t="str">
        <f>"E000359811"</f>
        <v>E000359811</v>
      </c>
      <c r="BD1144" t="str">
        <f>"רחמים זרוק"</f>
        <v>רחמים זרוק</v>
      </c>
    </row>
    <row r="1145" spans="1:56" x14ac:dyDescent="0.3">
      <c r="A1145" s="1">
        <v>44920</v>
      </c>
      <c r="B1145" t="str">
        <f>"SI226001488"</f>
        <v>SI226001488</v>
      </c>
      <c r="C1145" t="str">
        <f>"PR22000316"</f>
        <v>PR22000316</v>
      </c>
      <c r="E1145" t="str">
        <f>"Y"</f>
        <v>Y</v>
      </c>
      <c r="F1145" t="str">
        <f>"חשבוניות מרכזות"</f>
        <v>חשבוניות מרכזות</v>
      </c>
      <c r="G1145" t="str">
        <f>"700065"</f>
        <v>700065</v>
      </c>
      <c r="H1145" t="str">
        <f>"אלתא מערכות בע""מ"</f>
        <v>אלתא מערכות בע"מ</v>
      </c>
      <c r="I1145" t="str">
        <f>"10"</f>
        <v>10</v>
      </c>
      <c r="J1145" t="str">
        <f>"OP-AR03049"</f>
        <v>OP-AR03049</v>
      </c>
      <c r="K1145" t="str">
        <f>"1023M216-002    CABLE ASSY W202"</f>
        <v>1023M216-002    CABLE ASSY W202</v>
      </c>
      <c r="L1145">
        <v>-1</v>
      </c>
      <c r="M1145" t="str">
        <f>"יח"</f>
        <v>יח</v>
      </c>
      <c r="N1145">
        <v>-1</v>
      </c>
      <c r="O1145" t="str">
        <f>"יח"</f>
        <v>יח</v>
      </c>
      <c r="P1145" s="2">
        <v>1183.8399999999999</v>
      </c>
      <c r="Q1145" t="str">
        <f>"$"</f>
        <v>$</v>
      </c>
      <c r="R1145" t="str">
        <f>"הזמנה"</f>
        <v>הזמנה</v>
      </c>
      <c r="S1145">
        <v>0</v>
      </c>
      <c r="T1145" s="2">
        <v>-1183.8399999999999</v>
      </c>
      <c r="U1145">
        <v>0</v>
      </c>
      <c r="V1145" s="2">
        <v>-1183.8399999999999</v>
      </c>
      <c r="W1145" t="str">
        <f>"$"</f>
        <v>$</v>
      </c>
      <c r="X1145">
        <v>0</v>
      </c>
      <c r="Y1145">
        <v>0</v>
      </c>
      <c r="Z1145">
        <v>0</v>
      </c>
      <c r="AA1145" t="str">
        <f>"Y"</f>
        <v>Y</v>
      </c>
      <c r="AC1145">
        <v>0</v>
      </c>
      <c r="AM1145" t="str">
        <f>"10"</f>
        <v>10</v>
      </c>
      <c r="AN1145" t="str">
        <f>"500000"</f>
        <v>500000</v>
      </c>
      <c r="AO1145" t="str">
        <f>"הכנסות  מלקוחות"</f>
        <v>הכנסות  מלקוחות</v>
      </c>
      <c r="AQ1145" t="str">
        <f>"040"</f>
        <v>040</v>
      </c>
      <c r="AR1145">
        <v>0</v>
      </c>
      <c r="AS1145">
        <v>0</v>
      </c>
      <c r="AT1145">
        <v>3.4929999999999999</v>
      </c>
      <c r="BB1145" t="str">
        <f>"Y"</f>
        <v>Y</v>
      </c>
      <c r="BD1145" t="str">
        <f>"רחמים זרוק"</f>
        <v>רחמים זרוק</v>
      </c>
    </row>
    <row r="1146" spans="1:56" x14ac:dyDescent="0.3">
      <c r="A1146" s="1">
        <v>44920</v>
      </c>
      <c r="B1146" t="str">
        <f>"SI226001468"</f>
        <v>SI226001468</v>
      </c>
      <c r="C1146" t="str">
        <f>"PR22000316"</f>
        <v>PR22000316</v>
      </c>
      <c r="E1146" t="str">
        <f>"Y"</f>
        <v>Y</v>
      </c>
      <c r="F1146" t="str">
        <f>"חשבוניות מרכזות"</f>
        <v>חשבוניות מרכזות</v>
      </c>
      <c r="G1146" t="str">
        <f>"700065"</f>
        <v>700065</v>
      </c>
      <c r="H1146" t="str">
        <f>"אלתא מערכות בע""מ"</f>
        <v>אלתא מערכות בע"מ</v>
      </c>
      <c r="I1146" t="str">
        <f>"10"</f>
        <v>10</v>
      </c>
      <c r="J1146" t="str">
        <f>"OP-AR03049"</f>
        <v>OP-AR03049</v>
      </c>
      <c r="K1146" t="str">
        <f>"1023M216-002    CABLE ASSY W202"</f>
        <v>1023M216-002    CABLE ASSY W202</v>
      </c>
      <c r="L1146">
        <v>1</v>
      </c>
      <c r="M1146" t="str">
        <f>"יח"</f>
        <v>יח</v>
      </c>
      <c r="N1146">
        <v>1</v>
      </c>
      <c r="O1146" t="str">
        <f>"יח"</f>
        <v>יח</v>
      </c>
      <c r="P1146" s="2">
        <v>1183.8399999999999</v>
      </c>
      <c r="Q1146" t="str">
        <f>"$"</f>
        <v>$</v>
      </c>
      <c r="R1146" t="str">
        <f>"הזמנה"</f>
        <v>הזמנה</v>
      </c>
      <c r="S1146">
        <v>0</v>
      </c>
      <c r="T1146" s="2">
        <v>1183.8399999999999</v>
      </c>
      <c r="U1146">
        <v>0</v>
      </c>
      <c r="V1146" s="2">
        <v>1183.8399999999999</v>
      </c>
      <c r="W1146" t="str">
        <f>"$"</f>
        <v>$</v>
      </c>
      <c r="X1146">
        <v>0</v>
      </c>
      <c r="Y1146">
        <v>0</v>
      </c>
      <c r="Z1146">
        <v>0</v>
      </c>
      <c r="AA1146" t="str">
        <f>"Y"</f>
        <v>Y</v>
      </c>
      <c r="AC1146">
        <v>0</v>
      </c>
      <c r="AM1146" t="str">
        <f>"10"</f>
        <v>10</v>
      </c>
      <c r="AN1146" t="str">
        <f>"500000"</f>
        <v>500000</v>
      </c>
      <c r="AO1146" t="str">
        <f>"הכנסות  מלקוחות"</f>
        <v>הכנסות  מלקוחות</v>
      </c>
      <c r="AQ1146" t="str">
        <f>"040"</f>
        <v>040</v>
      </c>
      <c r="AR1146">
        <v>0</v>
      </c>
      <c r="AS1146">
        <v>0</v>
      </c>
      <c r="AT1146">
        <v>3.4929999999999999</v>
      </c>
      <c r="BB1146" t="str">
        <f>"Y"</f>
        <v>Y</v>
      </c>
      <c r="BD1146" t="str">
        <f>"רחמים זרוק"</f>
        <v>רחמים זרוק</v>
      </c>
    </row>
    <row r="1147" spans="1:56" x14ac:dyDescent="0.3">
      <c r="A1147" s="1">
        <v>44917</v>
      </c>
      <c r="B1147" t="str">
        <f>"SI226001487"</f>
        <v>SI226001487</v>
      </c>
      <c r="C1147" t="str">
        <f>"PR22000859"</f>
        <v>PR22000859</v>
      </c>
      <c r="E1147" t="str">
        <f>"Y"</f>
        <v>Y</v>
      </c>
      <c r="F1147" t="str">
        <f>"חשבוניות מרכזות"</f>
        <v>חשבוניות מרכזות</v>
      </c>
      <c r="G1147" t="str">
        <f>"700065"</f>
        <v>700065</v>
      </c>
      <c r="H1147" t="str">
        <f>"אלתא מערכות בע""מ"</f>
        <v>אלתא מערכות בע"מ</v>
      </c>
      <c r="I1147" t="str">
        <f>"10"</f>
        <v>10</v>
      </c>
      <c r="J1147" t="str">
        <f>"000"</f>
        <v>000</v>
      </c>
      <c r="K1147" t="str">
        <f>"החלפת פריטים בחדר חשמל"</f>
        <v>החלפת פריטים בחדר חשמל</v>
      </c>
      <c r="L1147">
        <v>1</v>
      </c>
      <c r="M1147" t="str">
        <f>"יח"</f>
        <v>יח</v>
      </c>
      <c r="N1147">
        <v>1</v>
      </c>
      <c r="O1147" t="str">
        <f>"יח"</f>
        <v>יח</v>
      </c>
      <c r="P1147" s="2">
        <v>1362</v>
      </c>
      <c r="Q1147" t="str">
        <f>"$"</f>
        <v>$</v>
      </c>
      <c r="R1147" t="str">
        <f>"הזמנה"</f>
        <v>הזמנה</v>
      </c>
      <c r="S1147">
        <v>0</v>
      </c>
      <c r="T1147" s="2">
        <v>1362</v>
      </c>
      <c r="U1147">
        <v>0</v>
      </c>
      <c r="V1147" s="2">
        <v>1362</v>
      </c>
      <c r="W1147" t="str">
        <f>"$"</f>
        <v>$</v>
      </c>
      <c r="X1147">
        <v>0</v>
      </c>
      <c r="Y1147">
        <v>0</v>
      </c>
      <c r="Z1147">
        <v>0</v>
      </c>
      <c r="AA1147" t="str">
        <f>"Y"</f>
        <v>Y</v>
      </c>
      <c r="AB1147" t="str">
        <f>"SO22000447"</f>
        <v>SO22000447</v>
      </c>
      <c r="AC1147">
        <v>1</v>
      </c>
      <c r="AD1147" s="1">
        <v>44901</v>
      </c>
      <c r="AE1147" t="str">
        <f>"SH22001410"</f>
        <v>SH22001410</v>
      </c>
      <c r="AF1147" t="str">
        <f>"משלוחים ללקוח"</f>
        <v>משלוחים ללקוח</v>
      </c>
      <c r="AG1147" s="1">
        <v>44908</v>
      </c>
      <c r="AM1147" t="str">
        <f>"10"</f>
        <v>10</v>
      </c>
      <c r="AN1147" t="str">
        <f>"500000"</f>
        <v>500000</v>
      </c>
      <c r="AO1147" t="str">
        <f>"הכנסות  מלקוחות"</f>
        <v>הכנסות  מלקוחות</v>
      </c>
      <c r="AQ1147" t="str">
        <f>"007"</f>
        <v>007</v>
      </c>
      <c r="AR1147">
        <v>0</v>
      </c>
      <c r="AS1147">
        <v>0</v>
      </c>
      <c r="AT1147">
        <v>3.4769999999999999</v>
      </c>
      <c r="AX1147" t="str">
        <f>"E000380200"</f>
        <v>E000380200</v>
      </c>
      <c r="BD1147" t="str">
        <f>"רוני דידי"</f>
        <v>רוני דידי</v>
      </c>
    </row>
    <row r="1148" spans="1:56" x14ac:dyDescent="0.3">
      <c r="A1148" s="1">
        <v>44917</v>
      </c>
      <c r="B1148" t="str">
        <f>"SI226001486"</f>
        <v>SI226001486</v>
      </c>
      <c r="C1148" t="str">
        <f>"PR22000480"</f>
        <v>PR22000480</v>
      </c>
      <c r="D1148" t="str">
        <f>"PR22000480"</f>
        <v>PR22000480</v>
      </c>
      <c r="E1148" t="str">
        <f>"Y"</f>
        <v>Y</v>
      </c>
      <c r="F1148" t="str">
        <f>"חשבוניות מרכזות"</f>
        <v>חשבוניות מרכזות</v>
      </c>
      <c r="G1148" t="str">
        <f>"700065"</f>
        <v>700065</v>
      </c>
      <c r="H1148" t="str">
        <f>"אלתא מערכות בע""מ"</f>
        <v>אלתא מערכות בע"מ</v>
      </c>
      <c r="I1148" t="str">
        <f>"10"</f>
        <v>10</v>
      </c>
      <c r="J1148" t="str">
        <f>"OP-AR00467"</f>
        <v>OP-AR00467</v>
      </c>
      <c r="K1148" t="str">
        <f>"AC PCU CONTROL BOX"</f>
        <v>AC PCU CONTROL BOX</v>
      </c>
      <c r="L1148">
        <v>1</v>
      </c>
      <c r="M1148" t="str">
        <f>"יח"</f>
        <v>יח</v>
      </c>
      <c r="N1148">
        <v>1</v>
      </c>
      <c r="O1148" t="str">
        <f>"יח"</f>
        <v>יח</v>
      </c>
      <c r="P1148" s="2">
        <v>4250</v>
      </c>
      <c r="Q1148" t="str">
        <f>"$"</f>
        <v>$</v>
      </c>
      <c r="R1148" t="str">
        <f>"הזמנה"</f>
        <v>הזמנה</v>
      </c>
      <c r="S1148">
        <v>0</v>
      </c>
      <c r="T1148" s="2">
        <v>4250</v>
      </c>
      <c r="U1148">
        <v>0</v>
      </c>
      <c r="V1148" s="2">
        <v>4250</v>
      </c>
      <c r="W1148" t="str">
        <f>"$"</f>
        <v>$</v>
      </c>
      <c r="X1148">
        <v>0</v>
      </c>
      <c r="Y1148">
        <v>0</v>
      </c>
      <c r="Z1148">
        <v>0</v>
      </c>
      <c r="AA1148" t="str">
        <f>"Y"</f>
        <v>Y</v>
      </c>
      <c r="AB1148" t="str">
        <f>"SO22000265"</f>
        <v>SO22000265</v>
      </c>
      <c r="AC1148">
        <v>1</v>
      </c>
      <c r="AD1148" s="1">
        <v>44745</v>
      </c>
      <c r="AE1148" t="str">
        <f>"SH22001403"</f>
        <v>SH22001403</v>
      </c>
      <c r="AF1148" t="str">
        <f>"משלוחים ללקוח"</f>
        <v>משלוחים ללקוח</v>
      </c>
      <c r="AG1148" s="1">
        <v>44907</v>
      </c>
      <c r="AM1148" t="str">
        <f>"10"</f>
        <v>10</v>
      </c>
      <c r="AN1148" t="str">
        <f>"500000"</f>
        <v>500000</v>
      </c>
      <c r="AO1148" t="str">
        <f>"הכנסות  מלקוחות"</f>
        <v>הכנסות  מלקוחות</v>
      </c>
      <c r="AQ1148" t="str">
        <f>"034"</f>
        <v>034</v>
      </c>
      <c r="AR1148">
        <v>0</v>
      </c>
      <c r="AS1148">
        <v>0</v>
      </c>
      <c r="AT1148">
        <v>3.4769999999999999</v>
      </c>
      <c r="AX1148" t="str">
        <f>"E000367143"</f>
        <v>E000367143</v>
      </c>
      <c r="BD1148" t="str">
        <f>"ערן שלו"</f>
        <v>ערן שלו</v>
      </c>
    </row>
    <row r="1149" spans="1:56" x14ac:dyDescent="0.3">
      <c r="A1149" s="1">
        <v>44917</v>
      </c>
      <c r="B1149" t="str">
        <f>"SI226001485"</f>
        <v>SI226001485</v>
      </c>
      <c r="C1149" t="str">
        <f>"PR22000447"</f>
        <v>PR22000447</v>
      </c>
      <c r="D1149" t="str">
        <f>"PR22000447"</f>
        <v>PR22000447</v>
      </c>
      <c r="E1149" t="str">
        <f>"Y"</f>
        <v>Y</v>
      </c>
      <c r="F1149" t="str">
        <f>"חשבוניות מרכזות"</f>
        <v>חשבוניות מרכזות</v>
      </c>
      <c r="G1149" t="str">
        <f>"700065"</f>
        <v>700065</v>
      </c>
      <c r="H1149" t="str">
        <f>"אלתא מערכות בע""מ"</f>
        <v>אלתא מערכות בע"מ</v>
      </c>
      <c r="I1149" t="str">
        <f>"10"</f>
        <v>10</v>
      </c>
      <c r="J1149" t="str">
        <f>"OP-AR00467"</f>
        <v>OP-AR00467</v>
      </c>
      <c r="K1149" t="str">
        <f>"AC PCU CONTROL BOX"</f>
        <v>AC PCU CONTROL BOX</v>
      </c>
      <c r="L1149">
        <v>1</v>
      </c>
      <c r="M1149" t="str">
        <f>"יח"</f>
        <v>יח</v>
      </c>
      <c r="N1149">
        <v>1</v>
      </c>
      <c r="O1149" t="str">
        <f>"יח"</f>
        <v>יח</v>
      </c>
      <c r="P1149" s="2">
        <v>4250</v>
      </c>
      <c r="Q1149" t="str">
        <f>"$"</f>
        <v>$</v>
      </c>
      <c r="R1149" t="str">
        <f>"הזמנה"</f>
        <v>הזמנה</v>
      </c>
      <c r="S1149">
        <v>0</v>
      </c>
      <c r="T1149" s="2">
        <v>4250</v>
      </c>
      <c r="U1149">
        <v>0</v>
      </c>
      <c r="V1149" s="2">
        <v>4250</v>
      </c>
      <c r="W1149" t="str">
        <f>"$"</f>
        <v>$</v>
      </c>
      <c r="X1149">
        <v>0</v>
      </c>
      <c r="Y1149">
        <v>0</v>
      </c>
      <c r="Z1149">
        <v>0</v>
      </c>
      <c r="AA1149" t="str">
        <f>"Y"</f>
        <v>Y</v>
      </c>
      <c r="AB1149" t="str">
        <f>"SO22000244"</f>
        <v>SO22000244</v>
      </c>
      <c r="AC1149">
        <v>1</v>
      </c>
      <c r="AD1149" s="1">
        <v>44731</v>
      </c>
      <c r="AE1149" t="str">
        <f>"SH22001396"</f>
        <v>SH22001396</v>
      </c>
      <c r="AF1149" t="str">
        <f>"משלוחים ללקוח"</f>
        <v>משלוחים ללקוח</v>
      </c>
      <c r="AG1149" s="1">
        <v>44903</v>
      </c>
      <c r="AM1149" t="str">
        <f>"10"</f>
        <v>10</v>
      </c>
      <c r="AN1149" t="str">
        <f>"500000"</f>
        <v>500000</v>
      </c>
      <c r="AO1149" t="str">
        <f>"הכנסות  מלקוחות"</f>
        <v>הכנסות  מלקוחות</v>
      </c>
      <c r="AQ1149" t="str">
        <f>"034"</f>
        <v>034</v>
      </c>
      <c r="AR1149">
        <v>0</v>
      </c>
      <c r="AS1149">
        <v>0</v>
      </c>
      <c r="AT1149">
        <v>3.4769999999999999</v>
      </c>
      <c r="AX1149" t="str">
        <f>"E000366175"</f>
        <v>E000366175</v>
      </c>
      <c r="BD1149" t="str">
        <f>"ערן שלו"</f>
        <v>ערן שלו</v>
      </c>
    </row>
    <row r="1150" spans="1:56" x14ac:dyDescent="0.3">
      <c r="A1150" s="1">
        <v>44915</v>
      </c>
      <c r="B1150" t="str">
        <f>"SI226001517"</f>
        <v>SI226001517</v>
      </c>
      <c r="C1150" t="str">
        <f>"PR21000449"</f>
        <v>PR21000449</v>
      </c>
      <c r="E1150" t="str">
        <f>"Y"</f>
        <v>Y</v>
      </c>
      <c r="F1150" t="str">
        <f>"חשבוניות מרכזות"</f>
        <v>חשבוניות מרכזות</v>
      </c>
      <c r="G1150" t="str">
        <f>"700065"</f>
        <v>700065</v>
      </c>
      <c r="H1150" t="str">
        <f>"אלתא מערכות בע""מ"</f>
        <v>אלתא מערכות בע"מ</v>
      </c>
      <c r="I1150" t="str">
        <f>"10"</f>
        <v>10</v>
      </c>
      <c r="J1150" t="str">
        <f>"OP-AR02710"</f>
        <v>OP-AR02710</v>
      </c>
      <c r="K1150" t="str">
        <f>"CABLE ASSY W11  -  MADR"</f>
        <v>CABLE ASSY W11  -  MADR</v>
      </c>
      <c r="L1150">
        <v>1</v>
      </c>
      <c r="M1150" t="str">
        <f>"יח"</f>
        <v>יח</v>
      </c>
      <c r="N1150">
        <v>1</v>
      </c>
      <c r="O1150" t="str">
        <f>"יח"</f>
        <v>יח</v>
      </c>
      <c r="P1150">
        <v>250</v>
      </c>
      <c r="Q1150" t="str">
        <f>"$"</f>
        <v>$</v>
      </c>
      <c r="R1150" t="str">
        <f>"הזמנה"</f>
        <v>הזמנה</v>
      </c>
      <c r="S1150">
        <v>0</v>
      </c>
      <c r="T1150">
        <v>250</v>
      </c>
      <c r="U1150">
        <v>0</v>
      </c>
      <c r="V1150">
        <v>250</v>
      </c>
      <c r="W1150" t="str">
        <f>"$"</f>
        <v>$</v>
      </c>
      <c r="X1150">
        <v>0</v>
      </c>
      <c r="Y1150">
        <v>0</v>
      </c>
      <c r="Z1150">
        <v>0</v>
      </c>
      <c r="AA1150" t="str">
        <f>"Y"</f>
        <v>Y</v>
      </c>
      <c r="AB1150" t="str">
        <f>"SO22000467"</f>
        <v>SO22000467</v>
      </c>
      <c r="AC1150">
        <v>1</v>
      </c>
      <c r="AD1150" s="1">
        <v>44915</v>
      </c>
      <c r="AE1150" t="str">
        <f>"SH22001463"</f>
        <v>SH22001463</v>
      </c>
      <c r="AF1150" t="str">
        <f>"משלוחים ללקוח"</f>
        <v>משלוחים ללקוח</v>
      </c>
      <c r="AG1150" s="1">
        <v>44915</v>
      </c>
      <c r="AM1150" t="str">
        <f>"10"</f>
        <v>10</v>
      </c>
      <c r="AN1150" t="str">
        <f>"500000"</f>
        <v>500000</v>
      </c>
      <c r="AO1150" t="str">
        <f>"הכנסות  מלקוחות"</f>
        <v>הכנסות  מלקוחות</v>
      </c>
      <c r="AQ1150" t="str">
        <f>"040"</f>
        <v>040</v>
      </c>
      <c r="AR1150">
        <v>0</v>
      </c>
      <c r="AS1150">
        <v>0</v>
      </c>
      <c r="AT1150">
        <v>3.4689999999999999</v>
      </c>
      <c r="AX1150" t="str">
        <f>"E000382006"</f>
        <v>E000382006</v>
      </c>
      <c r="BD1150" t="str">
        <f>"רחמים זרוק"</f>
        <v>רחמים זרוק</v>
      </c>
    </row>
    <row r="1151" spans="1:56" x14ac:dyDescent="0.3">
      <c r="A1151" s="1">
        <v>44915</v>
      </c>
      <c r="B1151" t="str">
        <f>"SI226001458"</f>
        <v>SI226001458</v>
      </c>
      <c r="C1151" t="str">
        <f>"PR21000449"</f>
        <v>PR21000449</v>
      </c>
      <c r="E1151" t="str">
        <f>"Y"</f>
        <v>Y</v>
      </c>
      <c r="F1151" t="str">
        <f>"חשבוניות מרכזות"</f>
        <v>חשבוניות מרכזות</v>
      </c>
      <c r="G1151" t="str">
        <f>"700065"</f>
        <v>700065</v>
      </c>
      <c r="H1151" t="str">
        <f>"אלתא מערכות בע""מ"</f>
        <v>אלתא מערכות בע"מ</v>
      </c>
      <c r="I1151" t="str">
        <f>"10"</f>
        <v>10</v>
      </c>
      <c r="J1151" t="str">
        <f>"OP-AR02710"</f>
        <v>OP-AR02710</v>
      </c>
      <c r="K1151" t="str">
        <f>"CABLE ASSY W11  -  MADR"</f>
        <v>CABLE ASSY W11  -  MADR</v>
      </c>
      <c r="L1151">
        <v>-1</v>
      </c>
      <c r="M1151" t="str">
        <f>"יח"</f>
        <v>יח</v>
      </c>
      <c r="N1151">
        <v>-1</v>
      </c>
      <c r="O1151" t="str">
        <f>"יח"</f>
        <v>יח</v>
      </c>
      <c r="P1151">
        <v>250</v>
      </c>
      <c r="Q1151" t="str">
        <f>"$"</f>
        <v>$</v>
      </c>
      <c r="R1151" t="str">
        <f>"הזמנה"</f>
        <v>הזמנה</v>
      </c>
      <c r="S1151">
        <v>0</v>
      </c>
      <c r="T1151">
        <v>-250</v>
      </c>
      <c r="U1151">
        <v>0</v>
      </c>
      <c r="V1151">
        <v>-250</v>
      </c>
      <c r="W1151" t="str">
        <f>"$"</f>
        <v>$</v>
      </c>
      <c r="X1151">
        <v>0</v>
      </c>
      <c r="Y1151">
        <v>0</v>
      </c>
      <c r="Z1151">
        <v>0</v>
      </c>
      <c r="AA1151" t="str">
        <f>"Y"</f>
        <v>Y</v>
      </c>
      <c r="AC1151">
        <v>0</v>
      </c>
      <c r="AM1151" t="str">
        <f>"10"</f>
        <v>10</v>
      </c>
      <c r="AN1151" t="str">
        <f>"500000"</f>
        <v>500000</v>
      </c>
      <c r="AO1151" t="str">
        <f>"הכנסות  מלקוחות"</f>
        <v>הכנסות  מלקוחות</v>
      </c>
      <c r="AQ1151" t="str">
        <f>"040"</f>
        <v>040</v>
      </c>
      <c r="AR1151">
        <v>0</v>
      </c>
      <c r="AS1151">
        <v>0</v>
      </c>
      <c r="AT1151">
        <v>3.46</v>
      </c>
      <c r="BB1151" t="str">
        <f>"Y"</f>
        <v>Y</v>
      </c>
      <c r="BD1151" t="str">
        <f>"רחמים זרוק"</f>
        <v>רחמים זרוק</v>
      </c>
    </row>
    <row r="1152" spans="1:56" x14ac:dyDescent="0.3">
      <c r="A1152" s="1">
        <v>44915</v>
      </c>
      <c r="B1152" t="str">
        <f>"SI226001436"</f>
        <v>SI226001436</v>
      </c>
      <c r="C1152" t="str">
        <f>"PR21000449"</f>
        <v>PR21000449</v>
      </c>
      <c r="E1152" t="str">
        <f>"Y"</f>
        <v>Y</v>
      </c>
      <c r="F1152" t="str">
        <f>"חשבוניות מרכזות"</f>
        <v>חשבוניות מרכזות</v>
      </c>
      <c r="G1152" t="str">
        <f>"700065"</f>
        <v>700065</v>
      </c>
      <c r="H1152" t="str">
        <f>"אלתא מערכות בע""מ"</f>
        <v>אלתא מערכות בע"מ</v>
      </c>
      <c r="I1152" t="str">
        <f>"10"</f>
        <v>10</v>
      </c>
      <c r="J1152" t="str">
        <f>"OP-AR02710"</f>
        <v>OP-AR02710</v>
      </c>
      <c r="K1152" t="str">
        <f>"CABLE ASSY W11  -  MADR"</f>
        <v>CABLE ASSY W11  -  MADR</v>
      </c>
      <c r="L1152">
        <v>1</v>
      </c>
      <c r="M1152" t="str">
        <f>"יח"</f>
        <v>יח</v>
      </c>
      <c r="N1152">
        <v>1</v>
      </c>
      <c r="O1152" t="str">
        <f>"יח"</f>
        <v>יח</v>
      </c>
      <c r="P1152">
        <v>250</v>
      </c>
      <c r="Q1152" t="str">
        <f>"$"</f>
        <v>$</v>
      </c>
      <c r="R1152" t="str">
        <f>"הזמנה"</f>
        <v>הזמנה</v>
      </c>
      <c r="S1152">
        <v>0</v>
      </c>
      <c r="T1152">
        <v>250</v>
      </c>
      <c r="U1152">
        <v>0</v>
      </c>
      <c r="V1152">
        <v>250</v>
      </c>
      <c r="W1152" t="str">
        <f>"$"</f>
        <v>$</v>
      </c>
      <c r="X1152">
        <v>0</v>
      </c>
      <c r="Y1152">
        <v>0</v>
      </c>
      <c r="Z1152">
        <v>0</v>
      </c>
      <c r="AA1152" t="str">
        <f>"Y"</f>
        <v>Y</v>
      </c>
      <c r="AC1152">
        <v>0</v>
      </c>
      <c r="AM1152" t="str">
        <f>"10"</f>
        <v>10</v>
      </c>
      <c r="AN1152" t="str">
        <f>"500000"</f>
        <v>500000</v>
      </c>
      <c r="AO1152" t="str">
        <f>"הכנסות  מלקוחות"</f>
        <v>הכנסות  מלקוחות</v>
      </c>
      <c r="AQ1152" t="str">
        <f>"040"</f>
        <v>040</v>
      </c>
      <c r="AR1152">
        <v>0</v>
      </c>
      <c r="AS1152">
        <v>0</v>
      </c>
      <c r="AT1152">
        <v>3.46</v>
      </c>
      <c r="BB1152" t="str">
        <f>"Y"</f>
        <v>Y</v>
      </c>
      <c r="BD1152" t="str">
        <f>"רחמים זרוק"</f>
        <v>רחמים זרוק</v>
      </c>
    </row>
    <row r="1153" spans="1:56" x14ac:dyDescent="0.3">
      <c r="A1153" s="1">
        <v>44914</v>
      </c>
      <c r="B1153" t="str">
        <f>"SI226001412"</f>
        <v>SI226001412</v>
      </c>
      <c r="E1153" t="str">
        <f>"Y"</f>
        <v>Y</v>
      </c>
      <c r="F1153" t="str">
        <f>"חשבוניות מרכזות"</f>
        <v>חשבוניות מרכזות</v>
      </c>
      <c r="G1153" t="str">
        <f>"700065"</f>
        <v>700065</v>
      </c>
      <c r="H1153" t="str">
        <f>"אלתא מערכות בע""מ"</f>
        <v>אלתא מערכות בע"מ</v>
      </c>
      <c r="I1153" t="str">
        <f>"10"</f>
        <v>10</v>
      </c>
      <c r="J1153" t="str">
        <f>"000"</f>
        <v>000</v>
      </c>
      <c r="K1153" t="str">
        <f>"תוספות ושינוי מהדורות בהזמנה"</f>
        <v>תוספות ושינוי מהדורות בהזמנה</v>
      </c>
      <c r="L1153">
        <v>1</v>
      </c>
      <c r="M1153" t="str">
        <f>"יח"</f>
        <v>יח</v>
      </c>
      <c r="N1153">
        <v>1</v>
      </c>
      <c r="O1153" t="str">
        <f>"יח"</f>
        <v>יח</v>
      </c>
      <c r="P1153">
        <v>95</v>
      </c>
      <c r="Q1153" t="str">
        <f>"$"</f>
        <v>$</v>
      </c>
      <c r="R1153" t="str">
        <f>"ידני"</f>
        <v>ידני</v>
      </c>
      <c r="S1153">
        <v>0</v>
      </c>
      <c r="T1153">
        <v>95</v>
      </c>
      <c r="U1153">
        <v>0</v>
      </c>
      <c r="V1153">
        <v>95</v>
      </c>
      <c r="W1153" t="str">
        <f>"$"</f>
        <v>$</v>
      </c>
      <c r="X1153">
        <v>0</v>
      </c>
      <c r="Y1153">
        <v>0</v>
      </c>
      <c r="Z1153">
        <v>0</v>
      </c>
      <c r="AA1153" t="str">
        <f>"Y"</f>
        <v>Y</v>
      </c>
      <c r="AB1153" t="str">
        <f>"SO22000105"</f>
        <v>SO22000105</v>
      </c>
      <c r="AC1153">
        <v>25</v>
      </c>
      <c r="AD1153" s="1">
        <v>44635</v>
      </c>
      <c r="AM1153" t="str">
        <f>"10"</f>
        <v>10</v>
      </c>
      <c r="AN1153" t="str">
        <f>"500000"</f>
        <v>500000</v>
      </c>
      <c r="AO1153" t="str">
        <f>"הכנסות  מלקוחות"</f>
        <v>הכנסות  מלקוחות</v>
      </c>
      <c r="AQ1153" t="str">
        <f>"040"</f>
        <v>040</v>
      </c>
      <c r="AR1153">
        <v>0</v>
      </c>
      <c r="AS1153">
        <v>0</v>
      </c>
      <c r="AT1153">
        <v>3.4409999999999998</v>
      </c>
      <c r="AX1153" t="str">
        <f>"E000359029"</f>
        <v>E000359029</v>
      </c>
      <c r="BD1153" t="str">
        <f>"רחמים זרוק"</f>
        <v>רחמים זרוק</v>
      </c>
    </row>
    <row r="1154" spans="1:56" x14ac:dyDescent="0.3">
      <c r="A1154" s="1">
        <v>44913</v>
      </c>
      <c r="B1154" t="str">
        <f>"SI226001483"</f>
        <v>SI226001483</v>
      </c>
      <c r="C1154" t="str">
        <f>"PR22000369"</f>
        <v>PR22000369</v>
      </c>
      <c r="D1154" t="str">
        <f>"PR22000369"</f>
        <v>PR22000369</v>
      </c>
      <c r="E1154" t="str">
        <f>"Y"</f>
        <v>Y</v>
      </c>
      <c r="F1154" t="str">
        <f>"חשבוניות מרכזות"</f>
        <v>חשבוניות מרכזות</v>
      </c>
      <c r="G1154" t="str">
        <f>"700065"</f>
        <v>700065</v>
      </c>
      <c r="H1154" t="str">
        <f>"אלתא מערכות בע""מ"</f>
        <v>אלתא מערכות בע"מ</v>
      </c>
      <c r="I1154" t="str">
        <f>"10"</f>
        <v>10</v>
      </c>
      <c r="J1154" t="str">
        <f>"OP-AR03134"</f>
        <v>OP-AR03134</v>
      </c>
      <c r="K1154" t="str">
        <f>"1034E635-001    Maintenance Burn cable"</f>
        <v>1034E635-001    Maintenance Burn cable</v>
      </c>
      <c r="L1154">
        <v>5</v>
      </c>
      <c r="M1154" t="str">
        <f>"יח"</f>
        <v>יח</v>
      </c>
      <c r="N1154">
        <v>5</v>
      </c>
      <c r="O1154" t="str">
        <f>"יח"</f>
        <v>יח</v>
      </c>
      <c r="P1154">
        <v>335.04</v>
      </c>
      <c r="Q1154" t="str">
        <f>"$"</f>
        <v>$</v>
      </c>
      <c r="R1154" t="str">
        <f>"הזמנה"</f>
        <v>הזמנה</v>
      </c>
      <c r="S1154">
        <v>0</v>
      </c>
      <c r="T1154" s="2">
        <v>1675.2</v>
      </c>
      <c r="U1154">
        <v>0</v>
      </c>
      <c r="V1154" s="2">
        <v>1675.2</v>
      </c>
      <c r="W1154" t="str">
        <f>"$"</f>
        <v>$</v>
      </c>
      <c r="X1154">
        <v>0</v>
      </c>
      <c r="Y1154">
        <v>0</v>
      </c>
      <c r="Z1154">
        <v>0</v>
      </c>
      <c r="AA1154" t="str">
        <f>"Y"</f>
        <v>Y</v>
      </c>
      <c r="AB1154" t="str">
        <f>"SO22000194"</f>
        <v>SO22000194</v>
      </c>
      <c r="AC1154">
        <v>3</v>
      </c>
      <c r="AD1154" s="1">
        <v>44698</v>
      </c>
      <c r="AE1154" t="str">
        <f>"SH22001434"</f>
        <v>SH22001434</v>
      </c>
      <c r="AF1154" t="str">
        <f>"משלוחים ללקוח"</f>
        <v>משלוחים ללקוח</v>
      </c>
      <c r="AG1154" s="1">
        <v>44909</v>
      </c>
      <c r="AM1154" t="str">
        <f>"10"</f>
        <v>10</v>
      </c>
      <c r="AN1154" t="str">
        <f>"500000"</f>
        <v>500000</v>
      </c>
      <c r="AO1154" t="str">
        <f>"הכנסות  מלקוחות"</f>
        <v>הכנסות  מלקוחות</v>
      </c>
      <c r="AQ1154" t="str">
        <f>"040"</f>
        <v>040</v>
      </c>
      <c r="AR1154">
        <v>0</v>
      </c>
      <c r="AS1154">
        <v>0</v>
      </c>
      <c r="AT1154">
        <v>3.4510000000000001</v>
      </c>
      <c r="AX1154" t="str">
        <f>"E000362818"</f>
        <v>E000362818</v>
      </c>
      <c r="BD1154" t="str">
        <f>"רחמים זרוק"</f>
        <v>רחמים זרוק</v>
      </c>
    </row>
    <row r="1155" spans="1:56" x14ac:dyDescent="0.3">
      <c r="A1155" s="1">
        <v>44913</v>
      </c>
      <c r="B1155" t="str">
        <f>"SI226001483"</f>
        <v>SI226001483</v>
      </c>
      <c r="C1155" t="str">
        <f>"PR22000369"</f>
        <v>PR22000369</v>
      </c>
      <c r="D1155" t="str">
        <f>"PR22000369"</f>
        <v>PR22000369</v>
      </c>
      <c r="E1155" t="str">
        <f>"Y"</f>
        <v>Y</v>
      </c>
      <c r="F1155" t="str">
        <f>"חשבוניות מרכזות"</f>
        <v>חשבוניות מרכזות</v>
      </c>
      <c r="G1155" t="str">
        <f>"700065"</f>
        <v>700065</v>
      </c>
      <c r="H1155" t="str">
        <f>"אלתא מערכות בע""מ"</f>
        <v>אלתא מערכות בע"מ</v>
      </c>
      <c r="I1155" t="str">
        <f>"10"</f>
        <v>10</v>
      </c>
      <c r="J1155" t="str">
        <f>"OP-AR02806"</f>
        <v>OP-AR02806</v>
      </c>
      <c r="K1155" t="str">
        <f>"1037U914-001    TEST NEW LAB CABLE"</f>
        <v>1037U914-001    TEST NEW LAB CABLE</v>
      </c>
      <c r="L1155">
        <v>4</v>
      </c>
      <c r="M1155" t="str">
        <f>"יח"</f>
        <v>יח</v>
      </c>
      <c r="N1155">
        <v>4</v>
      </c>
      <c r="O1155" t="str">
        <f>"יח"</f>
        <v>יח</v>
      </c>
      <c r="P1155">
        <v>628.24</v>
      </c>
      <c r="Q1155" t="str">
        <f>"$"</f>
        <v>$</v>
      </c>
      <c r="R1155" t="str">
        <f>"הזמנה"</f>
        <v>הזמנה</v>
      </c>
      <c r="S1155">
        <v>0</v>
      </c>
      <c r="T1155" s="2">
        <v>2512.96</v>
      </c>
      <c r="U1155">
        <v>0</v>
      </c>
      <c r="V1155" s="2">
        <v>2512.96</v>
      </c>
      <c r="W1155" t="str">
        <f>"$"</f>
        <v>$</v>
      </c>
      <c r="X1155">
        <v>0</v>
      </c>
      <c r="Y1155">
        <v>0</v>
      </c>
      <c r="Z1155">
        <v>0</v>
      </c>
      <c r="AA1155" t="str">
        <f>"Y"</f>
        <v>Y</v>
      </c>
      <c r="AB1155" t="str">
        <f>"SO22000194"</f>
        <v>SO22000194</v>
      </c>
      <c r="AC1155">
        <v>5</v>
      </c>
      <c r="AD1155" s="1">
        <v>44698</v>
      </c>
      <c r="AE1155" t="str">
        <f>"SH22001434"</f>
        <v>SH22001434</v>
      </c>
      <c r="AF1155" t="str">
        <f>"משלוחים ללקוח"</f>
        <v>משלוחים ללקוח</v>
      </c>
      <c r="AG1155" s="1">
        <v>44909</v>
      </c>
      <c r="AM1155" t="str">
        <f>"10"</f>
        <v>10</v>
      </c>
      <c r="AN1155" t="str">
        <f>"500000"</f>
        <v>500000</v>
      </c>
      <c r="AO1155" t="str">
        <f>"הכנסות  מלקוחות"</f>
        <v>הכנסות  מלקוחות</v>
      </c>
      <c r="AQ1155" t="str">
        <f>"040"</f>
        <v>040</v>
      </c>
      <c r="AR1155">
        <v>0</v>
      </c>
      <c r="AS1155">
        <v>0</v>
      </c>
      <c r="AT1155">
        <v>3.4510000000000001</v>
      </c>
      <c r="AX1155" t="str">
        <f>"E000362818"</f>
        <v>E000362818</v>
      </c>
      <c r="BD1155" t="str">
        <f>"רחמים זרוק"</f>
        <v>רחמים זרוק</v>
      </c>
    </row>
    <row r="1156" spans="1:56" x14ac:dyDescent="0.3">
      <c r="A1156" s="1">
        <v>44913</v>
      </c>
      <c r="B1156" t="str">
        <f>"SI226001482"</f>
        <v>SI226001482</v>
      </c>
      <c r="C1156" t="str">
        <f>"PR22000630"</f>
        <v>PR22000630</v>
      </c>
      <c r="D1156" t="str">
        <f>"PR22000630"</f>
        <v>PR22000630</v>
      </c>
      <c r="E1156" t="str">
        <f>"Y"</f>
        <v>Y</v>
      </c>
      <c r="F1156" t="str">
        <f>"חשבוניות מרכזות"</f>
        <v>חשבוניות מרכזות</v>
      </c>
      <c r="G1156" t="str">
        <f>"700065"</f>
        <v>700065</v>
      </c>
      <c r="H1156" t="str">
        <f>"אלתא מערכות בע""מ"</f>
        <v>אלתא מערכות בע"מ</v>
      </c>
      <c r="I1156" t="str">
        <f>"10"</f>
        <v>10</v>
      </c>
      <c r="J1156" t="str">
        <f>"OP-AR03342"</f>
        <v>OP-AR03342</v>
      </c>
      <c r="K1156" t="str">
        <f>"1041M392-001    POWER CABLE WV092 - PDB1 TO RECTIFIER (L"</f>
        <v>1041M392-001    POWER CABLE WV092 - PDB1 TO RECTIFIER (L</v>
      </c>
      <c r="L1156">
        <v>6</v>
      </c>
      <c r="M1156" t="str">
        <f>"יח"</f>
        <v>יח</v>
      </c>
      <c r="N1156">
        <v>6</v>
      </c>
      <c r="O1156" t="str">
        <f>"יח"</f>
        <v>יח</v>
      </c>
      <c r="P1156">
        <v>192.73</v>
      </c>
      <c r="Q1156" t="str">
        <f>"$"</f>
        <v>$</v>
      </c>
      <c r="R1156" t="str">
        <f>"הזמנה"</f>
        <v>הזמנה</v>
      </c>
      <c r="S1156">
        <v>0</v>
      </c>
      <c r="T1156" s="2">
        <v>1156.3800000000001</v>
      </c>
      <c r="U1156">
        <v>0</v>
      </c>
      <c r="V1156" s="2">
        <v>1156.3800000000001</v>
      </c>
      <c r="W1156" t="str">
        <f>"$"</f>
        <v>$</v>
      </c>
      <c r="X1156">
        <v>0</v>
      </c>
      <c r="Y1156">
        <v>0</v>
      </c>
      <c r="Z1156">
        <v>0</v>
      </c>
      <c r="AA1156" t="str">
        <f>"Y"</f>
        <v>Y</v>
      </c>
      <c r="AB1156" t="str">
        <f>"SO22000377"</f>
        <v>SO22000377</v>
      </c>
      <c r="AC1156">
        <v>2</v>
      </c>
      <c r="AD1156" s="1">
        <v>44847</v>
      </c>
      <c r="AE1156" t="str">
        <f>"SH22001428"</f>
        <v>SH22001428</v>
      </c>
      <c r="AF1156" t="str">
        <f>"משלוחים ללקוח"</f>
        <v>משלוחים ללקוח</v>
      </c>
      <c r="AG1156" s="1">
        <v>44909</v>
      </c>
      <c r="AM1156" t="str">
        <f>"10"</f>
        <v>10</v>
      </c>
      <c r="AN1156" t="str">
        <f>"500000"</f>
        <v>500000</v>
      </c>
      <c r="AO1156" t="str">
        <f>"הכנסות  מלקוחות"</f>
        <v>הכנסות  מלקוחות</v>
      </c>
      <c r="AQ1156" t="str">
        <f>"040"</f>
        <v>040</v>
      </c>
      <c r="AR1156">
        <v>0</v>
      </c>
      <c r="AS1156">
        <v>0</v>
      </c>
      <c r="AT1156">
        <v>3.4510000000000001</v>
      </c>
      <c r="AX1156" t="str">
        <f>"E000375287"</f>
        <v>E000375287</v>
      </c>
      <c r="BD1156" t="str">
        <f>"רחמים זרוק"</f>
        <v>רחמים זרוק</v>
      </c>
    </row>
    <row r="1157" spans="1:56" x14ac:dyDescent="0.3">
      <c r="A1157" s="1">
        <v>44913</v>
      </c>
      <c r="B1157" t="str">
        <f>"SI226001482"</f>
        <v>SI226001482</v>
      </c>
      <c r="C1157" t="str">
        <f>"PR22000630"</f>
        <v>PR22000630</v>
      </c>
      <c r="D1157" t="str">
        <f>"PR22000630"</f>
        <v>PR22000630</v>
      </c>
      <c r="E1157" t="str">
        <f>"Y"</f>
        <v>Y</v>
      </c>
      <c r="F1157" t="str">
        <f>"חשבוניות מרכזות"</f>
        <v>חשבוניות מרכזות</v>
      </c>
      <c r="G1157" t="str">
        <f>"700065"</f>
        <v>700065</v>
      </c>
      <c r="H1157" t="str">
        <f>"אלתא מערכות בע""מ"</f>
        <v>אלתא מערכות בע"מ</v>
      </c>
      <c r="I1157" t="str">
        <f>"10"</f>
        <v>10</v>
      </c>
      <c r="J1157" t="str">
        <f>"OP-AR03343"</f>
        <v>OP-AR03343</v>
      </c>
      <c r="K1157" t="str">
        <f>"1041M393-001    POWER CABLE WV093 - PDB1 TO RECTIFIER (L"</f>
        <v>1041M393-001    POWER CABLE WV093 - PDB1 TO RECTIFIER (L</v>
      </c>
      <c r="L1157">
        <v>6</v>
      </c>
      <c r="M1157" t="str">
        <f>"יח"</f>
        <v>יח</v>
      </c>
      <c r="N1157">
        <v>6</v>
      </c>
      <c r="O1157" t="str">
        <f>"יח"</f>
        <v>יח</v>
      </c>
      <c r="P1157">
        <v>192.73</v>
      </c>
      <c r="Q1157" t="str">
        <f>"$"</f>
        <v>$</v>
      </c>
      <c r="R1157" t="str">
        <f>"הזמנה"</f>
        <v>הזמנה</v>
      </c>
      <c r="S1157">
        <v>0</v>
      </c>
      <c r="T1157" s="2">
        <v>1156.3800000000001</v>
      </c>
      <c r="U1157">
        <v>0</v>
      </c>
      <c r="V1157" s="2">
        <v>1156.3800000000001</v>
      </c>
      <c r="W1157" t="str">
        <f>"$"</f>
        <v>$</v>
      </c>
      <c r="X1157">
        <v>0</v>
      </c>
      <c r="Y1157">
        <v>0</v>
      </c>
      <c r="Z1157">
        <v>0</v>
      </c>
      <c r="AA1157" t="str">
        <f>"Y"</f>
        <v>Y</v>
      </c>
      <c r="AB1157" t="str">
        <f>"SO22000377"</f>
        <v>SO22000377</v>
      </c>
      <c r="AC1157">
        <v>3</v>
      </c>
      <c r="AD1157" s="1">
        <v>44847</v>
      </c>
      <c r="AE1157" t="str">
        <f>"SH22001428"</f>
        <v>SH22001428</v>
      </c>
      <c r="AF1157" t="str">
        <f>"משלוחים ללקוח"</f>
        <v>משלוחים ללקוח</v>
      </c>
      <c r="AG1157" s="1">
        <v>44909</v>
      </c>
      <c r="AM1157" t="str">
        <f>"10"</f>
        <v>10</v>
      </c>
      <c r="AN1157" t="str">
        <f>"500000"</f>
        <v>500000</v>
      </c>
      <c r="AO1157" t="str">
        <f>"הכנסות  מלקוחות"</f>
        <v>הכנסות  מלקוחות</v>
      </c>
      <c r="AQ1157" t="str">
        <f>"040"</f>
        <v>040</v>
      </c>
      <c r="AR1157">
        <v>0</v>
      </c>
      <c r="AS1157">
        <v>0</v>
      </c>
      <c r="AT1157">
        <v>3.4510000000000001</v>
      </c>
      <c r="AX1157" t="str">
        <f>"E000375287"</f>
        <v>E000375287</v>
      </c>
      <c r="BD1157" t="str">
        <f>"רחמים זרוק"</f>
        <v>רחמים זרוק</v>
      </c>
    </row>
    <row r="1158" spans="1:56" x14ac:dyDescent="0.3">
      <c r="A1158" s="1">
        <v>44913</v>
      </c>
      <c r="B1158" t="str">
        <f>"SI226001482"</f>
        <v>SI226001482</v>
      </c>
      <c r="C1158" t="str">
        <f>"PR22000630"</f>
        <v>PR22000630</v>
      </c>
      <c r="D1158" t="str">
        <f>"PR22000630"</f>
        <v>PR22000630</v>
      </c>
      <c r="E1158" t="str">
        <f>"Y"</f>
        <v>Y</v>
      </c>
      <c r="F1158" t="str">
        <f>"חשבוניות מרכזות"</f>
        <v>חשבוניות מרכזות</v>
      </c>
      <c r="G1158" t="str">
        <f>"700065"</f>
        <v>700065</v>
      </c>
      <c r="H1158" t="str">
        <f>"אלתא מערכות בע""מ"</f>
        <v>אלתא מערכות בע"מ</v>
      </c>
      <c r="I1158" t="str">
        <f>"10"</f>
        <v>10</v>
      </c>
      <c r="J1158" t="str">
        <f>"OP-AR03344"</f>
        <v>OP-AR03344</v>
      </c>
      <c r="K1158" t="str">
        <f>"1041M394-001    POWER CABLE WV094 - PDB1 TO RECTIFIER (N"</f>
        <v>1041M394-001    POWER CABLE WV094 - PDB1 TO RECTIFIER (N</v>
      </c>
      <c r="L1158">
        <v>6</v>
      </c>
      <c r="M1158" t="str">
        <f>"יח"</f>
        <v>יח</v>
      </c>
      <c r="N1158">
        <v>6</v>
      </c>
      <c r="O1158" t="str">
        <f>"יח"</f>
        <v>יח</v>
      </c>
      <c r="P1158">
        <v>192.73</v>
      </c>
      <c r="Q1158" t="str">
        <f>"$"</f>
        <v>$</v>
      </c>
      <c r="R1158" t="str">
        <f>"הזמנה"</f>
        <v>הזמנה</v>
      </c>
      <c r="S1158">
        <v>0</v>
      </c>
      <c r="T1158" s="2">
        <v>1156.3800000000001</v>
      </c>
      <c r="U1158">
        <v>0</v>
      </c>
      <c r="V1158" s="2">
        <v>1156.3800000000001</v>
      </c>
      <c r="W1158" t="str">
        <f>"$"</f>
        <v>$</v>
      </c>
      <c r="X1158">
        <v>0</v>
      </c>
      <c r="Y1158">
        <v>0</v>
      </c>
      <c r="Z1158">
        <v>0</v>
      </c>
      <c r="AA1158" t="str">
        <f>"Y"</f>
        <v>Y</v>
      </c>
      <c r="AB1158" t="str">
        <f>"SO22000377"</f>
        <v>SO22000377</v>
      </c>
      <c r="AC1158">
        <v>4</v>
      </c>
      <c r="AD1158" s="1">
        <v>44847</v>
      </c>
      <c r="AE1158" t="str">
        <f>"SH22001428"</f>
        <v>SH22001428</v>
      </c>
      <c r="AF1158" t="str">
        <f>"משלוחים ללקוח"</f>
        <v>משלוחים ללקוח</v>
      </c>
      <c r="AG1158" s="1">
        <v>44909</v>
      </c>
      <c r="AM1158" t="str">
        <f>"10"</f>
        <v>10</v>
      </c>
      <c r="AN1158" t="str">
        <f>"500000"</f>
        <v>500000</v>
      </c>
      <c r="AO1158" t="str">
        <f>"הכנסות  מלקוחות"</f>
        <v>הכנסות  מלקוחות</v>
      </c>
      <c r="AQ1158" t="str">
        <f>"040"</f>
        <v>040</v>
      </c>
      <c r="AR1158">
        <v>0</v>
      </c>
      <c r="AS1158">
        <v>0</v>
      </c>
      <c r="AT1158">
        <v>3.4510000000000001</v>
      </c>
      <c r="AX1158" t="str">
        <f>"E000375287"</f>
        <v>E000375287</v>
      </c>
      <c r="BD1158" t="str">
        <f>"רחמים זרוק"</f>
        <v>רחמים זרוק</v>
      </c>
    </row>
    <row r="1159" spans="1:56" x14ac:dyDescent="0.3">
      <c r="A1159" s="1">
        <v>44913</v>
      </c>
      <c r="B1159" t="str">
        <f>"SI226001482"</f>
        <v>SI226001482</v>
      </c>
      <c r="C1159" t="str">
        <f>"PR22000630"</f>
        <v>PR22000630</v>
      </c>
      <c r="D1159" t="str">
        <f>"PR22000630"</f>
        <v>PR22000630</v>
      </c>
      <c r="E1159" t="str">
        <f>"Y"</f>
        <v>Y</v>
      </c>
      <c r="F1159" t="str">
        <f>"חשבוניות מרכזות"</f>
        <v>חשבוניות מרכזות</v>
      </c>
      <c r="G1159" t="str">
        <f>"700065"</f>
        <v>700065</v>
      </c>
      <c r="H1159" t="str">
        <f>"אלתא מערכות בע""מ"</f>
        <v>אלתא מערכות בע"מ</v>
      </c>
      <c r="I1159" t="str">
        <f>"10"</f>
        <v>10</v>
      </c>
      <c r="J1159" t="str">
        <f>"OP-AR03345"</f>
        <v>OP-AR03345</v>
      </c>
      <c r="K1159" t="str">
        <f>"1041M395-001    POWER CABLE WV095 - PDB1 TO RECTIFIER (G"</f>
        <v>1041M395-001    POWER CABLE WV095 - PDB1 TO RECTIFIER (G</v>
      </c>
      <c r="L1159">
        <v>6</v>
      </c>
      <c r="M1159" t="str">
        <f>"יח"</f>
        <v>יח</v>
      </c>
      <c r="N1159">
        <v>6</v>
      </c>
      <c r="O1159" t="str">
        <f>"יח"</f>
        <v>יח</v>
      </c>
      <c r="P1159">
        <v>212.01</v>
      </c>
      <c r="Q1159" t="str">
        <f>"$"</f>
        <v>$</v>
      </c>
      <c r="R1159" t="str">
        <f>"הזמנה"</f>
        <v>הזמנה</v>
      </c>
      <c r="S1159">
        <v>0</v>
      </c>
      <c r="T1159" s="2">
        <v>1272.06</v>
      </c>
      <c r="U1159">
        <v>0</v>
      </c>
      <c r="V1159" s="2">
        <v>1272.06</v>
      </c>
      <c r="W1159" t="str">
        <f>"$"</f>
        <v>$</v>
      </c>
      <c r="X1159">
        <v>0</v>
      </c>
      <c r="Y1159">
        <v>0</v>
      </c>
      <c r="Z1159">
        <v>0</v>
      </c>
      <c r="AA1159" t="str">
        <f>"Y"</f>
        <v>Y</v>
      </c>
      <c r="AB1159" t="str">
        <f>"SO22000377"</f>
        <v>SO22000377</v>
      </c>
      <c r="AC1159">
        <v>5</v>
      </c>
      <c r="AD1159" s="1">
        <v>44847</v>
      </c>
      <c r="AE1159" t="str">
        <f>"SH22001428"</f>
        <v>SH22001428</v>
      </c>
      <c r="AF1159" t="str">
        <f>"משלוחים ללקוח"</f>
        <v>משלוחים ללקוח</v>
      </c>
      <c r="AG1159" s="1">
        <v>44909</v>
      </c>
      <c r="AM1159" t="str">
        <f>"10"</f>
        <v>10</v>
      </c>
      <c r="AN1159" t="str">
        <f>"500000"</f>
        <v>500000</v>
      </c>
      <c r="AO1159" t="str">
        <f>"הכנסות  מלקוחות"</f>
        <v>הכנסות  מלקוחות</v>
      </c>
      <c r="AQ1159" t="str">
        <f>"040"</f>
        <v>040</v>
      </c>
      <c r="AR1159">
        <v>0</v>
      </c>
      <c r="AS1159">
        <v>0</v>
      </c>
      <c r="AT1159">
        <v>3.4510000000000001</v>
      </c>
      <c r="AX1159" t="str">
        <f>"E000375287"</f>
        <v>E000375287</v>
      </c>
      <c r="BD1159" t="str">
        <f>"רחמים זרוק"</f>
        <v>רחמים זרוק</v>
      </c>
    </row>
    <row r="1160" spans="1:56" x14ac:dyDescent="0.3">
      <c r="A1160" s="1">
        <v>44913</v>
      </c>
      <c r="B1160" t="str">
        <f>"SI226001481"</f>
        <v>SI226001481</v>
      </c>
      <c r="C1160" t="str">
        <f>"PR22000445"</f>
        <v>PR22000445</v>
      </c>
      <c r="E1160" t="str">
        <f>"Y"</f>
        <v>Y</v>
      </c>
      <c r="F1160" t="str">
        <f>"חשבוניות מרכזות"</f>
        <v>חשבוניות מרכזות</v>
      </c>
      <c r="G1160" t="str">
        <f>"700065"</f>
        <v>700065</v>
      </c>
      <c r="H1160" t="str">
        <f>"אלתא מערכות בע""מ"</f>
        <v>אלתא מערכות בע"מ</v>
      </c>
      <c r="I1160" t="str">
        <f>"10"</f>
        <v>10</v>
      </c>
      <c r="J1160" t="str">
        <f>"OP-AR03169"</f>
        <v>OP-AR03169</v>
      </c>
      <c r="K1160" t="str">
        <f>"1037T171-001   HARNESS WB171 - INTERCONNECTION PANEL TO"</f>
        <v>1037T171-001   HARNESS WB171 - INTERCONNECTION PANEL TO</v>
      </c>
      <c r="L1160">
        <v>1</v>
      </c>
      <c r="M1160" t="str">
        <f>"יח"</f>
        <v>יח</v>
      </c>
      <c r="N1160">
        <v>1</v>
      </c>
      <c r="O1160" t="str">
        <f>"יח"</f>
        <v>יח</v>
      </c>
      <c r="P1160" s="2">
        <v>7490.89</v>
      </c>
      <c r="Q1160" t="str">
        <f>"$"</f>
        <v>$</v>
      </c>
      <c r="R1160" t="str">
        <f>"הזמנה"</f>
        <v>הזמנה</v>
      </c>
      <c r="S1160">
        <v>0</v>
      </c>
      <c r="T1160" s="2">
        <v>7490.89</v>
      </c>
      <c r="U1160">
        <v>0</v>
      </c>
      <c r="V1160" s="2">
        <v>7490.89</v>
      </c>
      <c r="W1160" t="str">
        <f>"$"</f>
        <v>$</v>
      </c>
      <c r="X1160">
        <v>0</v>
      </c>
      <c r="Y1160">
        <v>0</v>
      </c>
      <c r="Z1160">
        <v>0</v>
      </c>
      <c r="AA1160" t="str">
        <f>"Y"</f>
        <v>Y</v>
      </c>
      <c r="AB1160" t="str">
        <f>"SO22000221"</f>
        <v>SO22000221</v>
      </c>
      <c r="AC1160">
        <v>9</v>
      </c>
      <c r="AD1160" s="1">
        <v>44720</v>
      </c>
      <c r="AE1160" t="str">
        <f>"SH22001427"</f>
        <v>SH22001427</v>
      </c>
      <c r="AF1160" t="str">
        <f>"משלוחים ללקוח"</f>
        <v>משלוחים ללקוח</v>
      </c>
      <c r="AG1160" s="1">
        <v>44909</v>
      </c>
      <c r="AM1160" t="str">
        <f>"10"</f>
        <v>10</v>
      </c>
      <c r="AN1160" t="str">
        <f>"500000"</f>
        <v>500000</v>
      </c>
      <c r="AO1160" t="str">
        <f>"הכנסות  מלקוחות"</f>
        <v>הכנסות  מלקוחות</v>
      </c>
      <c r="AQ1160" t="str">
        <f>"034"</f>
        <v>034</v>
      </c>
      <c r="AR1160">
        <v>0</v>
      </c>
      <c r="AS1160">
        <v>0</v>
      </c>
      <c r="AT1160">
        <v>3.4510000000000001</v>
      </c>
      <c r="AX1160" t="str">
        <f>"E000364016"</f>
        <v>E000364016</v>
      </c>
      <c r="BD1160" t="str">
        <f>"ערן שלו"</f>
        <v>ערן שלו</v>
      </c>
    </row>
    <row r="1161" spans="1:56" x14ac:dyDescent="0.3">
      <c r="A1161" s="1">
        <v>44913</v>
      </c>
      <c r="B1161" t="str">
        <f>"SI226001481"</f>
        <v>SI226001481</v>
      </c>
      <c r="C1161" t="str">
        <f>"PR22000445"</f>
        <v>PR22000445</v>
      </c>
      <c r="E1161" t="str">
        <f>"Y"</f>
        <v>Y</v>
      </c>
      <c r="F1161" t="str">
        <f>"חשבוניות מרכזות"</f>
        <v>חשבוניות מרכזות</v>
      </c>
      <c r="G1161" t="str">
        <f>"700065"</f>
        <v>700065</v>
      </c>
      <c r="H1161" t="str">
        <f>"אלתא מערכות בע""מ"</f>
        <v>אלתא מערכות בע"מ</v>
      </c>
      <c r="I1161" t="str">
        <f>"10"</f>
        <v>10</v>
      </c>
      <c r="J1161" t="str">
        <f>"OP-AR03170"</f>
        <v>OP-AR03170</v>
      </c>
      <c r="K1161" t="str">
        <f>"1037T181-001   HARNESS WB181 - INTERCONNECTION PANEL TO"</f>
        <v>1037T181-001   HARNESS WB181 - INTERCONNECTION PANEL TO</v>
      </c>
      <c r="L1161">
        <v>1</v>
      </c>
      <c r="M1161" t="str">
        <f>"יח"</f>
        <v>יח</v>
      </c>
      <c r="N1161">
        <v>1</v>
      </c>
      <c r="O1161" t="str">
        <f>"יח"</f>
        <v>יח</v>
      </c>
      <c r="P1161" s="2">
        <v>5982.25</v>
      </c>
      <c r="Q1161" t="str">
        <f>"$"</f>
        <v>$</v>
      </c>
      <c r="R1161" t="str">
        <f>"הזמנה"</f>
        <v>הזמנה</v>
      </c>
      <c r="S1161">
        <v>0</v>
      </c>
      <c r="T1161" s="2">
        <v>5982.25</v>
      </c>
      <c r="U1161">
        <v>0</v>
      </c>
      <c r="V1161" s="2">
        <v>5982.25</v>
      </c>
      <c r="W1161" t="str">
        <f>"$"</f>
        <v>$</v>
      </c>
      <c r="X1161">
        <v>0</v>
      </c>
      <c r="Y1161">
        <v>0</v>
      </c>
      <c r="Z1161">
        <v>0</v>
      </c>
      <c r="AA1161" t="str">
        <f>"Y"</f>
        <v>Y</v>
      </c>
      <c r="AB1161" t="str">
        <f>"SO22000221"</f>
        <v>SO22000221</v>
      </c>
      <c r="AC1161">
        <v>10</v>
      </c>
      <c r="AD1161" s="1">
        <v>44720</v>
      </c>
      <c r="AE1161" t="str">
        <f>"SH22001427"</f>
        <v>SH22001427</v>
      </c>
      <c r="AF1161" t="str">
        <f>"משלוחים ללקוח"</f>
        <v>משלוחים ללקוח</v>
      </c>
      <c r="AG1161" s="1">
        <v>44909</v>
      </c>
      <c r="AM1161" t="str">
        <f>"10"</f>
        <v>10</v>
      </c>
      <c r="AN1161" t="str">
        <f>"500000"</f>
        <v>500000</v>
      </c>
      <c r="AO1161" t="str">
        <f>"הכנסות  מלקוחות"</f>
        <v>הכנסות  מלקוחות</v>
      </c>
      <c r="AQ1161" t="str">
        <f>"034"</f>
        <v>034</v>
      </c>
      <c r="AR1161">
        <v>0</v>
      </c>
      <c r="AS1161">
        <v>0</v>
      </c>
      <c r="AT1161">
        <v>3.4510000000000001</v>
      </c>
      <c r="AX1161" t="str">
        <f>"E000364016"</f>
        <v>E000364016</v>
      </c>
      <c r="BD1161" t="str">
        <f>"ערן שלו"</f>
        <v>ערן שלו</v>
      </c>
    </row>
    <row r="1162" spans="1:56" x14ac:dyDescent="0.3">
      <c r="A1162" s="1">
        <v>44913</v>
      </c>
      <c r="B1162" t="str">
        <f>"SI226001480"</f>
        <v>SI226001480</v>
      </c>
      <c r="C1162" t="str">
        <f>"PR22000231"</f>
        <v>PR22000231</v>
      </c>
      <c r="E1162" t="str">
        <f>"Y"</f>
        <v>Y</v>
      </c>
      <c r="F1162" t="str">
        <f>"חשבוניות מרכזות"</f>
        <v>חשבוניות מרכזות</v>
      </c>
      <c r="G1162" t="str">
        <f>"700065"</f>
        <v>700065</v>
      </c>
      <c r="H1162" t="str">
        <f>"אלתא מערכות בע""מ"</f>
        <v>אלתא מערכות בע"מ</v>
      </c>
      <c r="I1162" t="str">
        <f>"10"</f>
        <v>10</v>
      </c>
      <c r="J1162" t="str">
        <f>"OP-AR03025"</f>
        <v>OP-AR03025</v>
      </c>
      <c r="K1162" t="str">
        <f>"2221B781-001   EXW101 EXC CTRL PWR CABLE ASSY"</f>
        <v>2221B781-001   EXW101 EXC CTRL PWR CABLE ASSY</v>
      </c>
      <c r="L1162">
        <v>1</v>
      </c>
      <c r="M1162" t="str">
        <f>"יח"</f>
        <v>יח</v>
      </c>
      <c r="N1162">
        <v>1</v>
      </c>
      <c r="O1162" t="str">
        <f>"יח"</f>
        <v>יח</v>
      </c>
      <c r="P1162" s="2">
        <v>1100.78</v>
      </c>
      <c r="Q1162" t="str">
        <f>"$"</f>
        <v>$</v>
      </c>
      <c r="R1162" t="str">
        <f>"הזמנה"</f>
        <v>הזמנה</v>
      </c>
      <c r="S1162">
        <v>0</v>
      </c>
      <c r="T1162" s="2">
        <v>1100.78</v>
      </c>
      <c r="U1162">
        <v>0</v>
      </c>
      <c r="V1162" s="2">
        <v>1100.78</v>
      </c>
      <c r="W1162" t="str">
        <f>"$"</f>
        <v>$</v>
      </c>
      <c r="X1162">
        <v>0</v>
      </c>
      <c r="Y1162">
        <v>0</v>
      </c>
      <c r="Z1162">
        <v>0</v>
      </c>
      <c r="AA1162" t="str">
        <f>"Y"</f>
        <v>Y</v>
      </c>
      <c r="AB1162" t="str">
        <f>"SO22000105"</f>
        <v>SO22000105</v>
      </c>
      <c r="AC1162">
        <v>22</v>
      </c>
      <c r="AD1162" s="1">
        <v>44635</v>
      </c>
      <c r="AE1162" t="str">
        <f>"SH22001442"</f>
        <v>SH22001442</v>
      </c>
      <c r="AF1162" t="str">
        <f>"משלוחים ללקוח"</f>
        <v>משלוחים ללקוח</v>
      </c>
      <c r="AG1162" s="1">
        <v>44910</v>
      </c>
      <c r="AM1162" t="str">
        <f>"10"</f>
        <v>10</v>
      </c>
      <c r="AN1162" t="str">
        <f>"500000"</f>
        <v>500000</v>
      </c>
      <c r="AO1162" t="str">
        <f>"הכנסות  מלקוחות"</f>
        <v>הכנסות  מלקוחות</v>
      </c>
      <c r="AQ1162" t="str">
        <f>"040"</f>
        <v>040</v>
      </c>
      <c r="AR1162">
        <v>0</v>
      </c>
      <c r="AS1162">
        <v>0</v>
      </c>
      <c r="AT1162">
        <v>3.4510000000000001</v>
      </c>
      <c r="AX1162" t="str">
        <f>"E000359029"</f>
        <v>E000359029</v>
      </c>
      <c r="BD1162" t="str">
        <f>"רחמים זרוק"</f>
        <v>רחמים זרוק</v>
      </c>
    </row>
    <row r="1163" spans="1:56" x14ac:dyDescent="0.3">
      <c r="A1163" s="1">
        <v>44913</v>
      </c>
      <c r="B1163" t="str">
        <f>"SI226001479"</f>
        <v>SI226001479</v>
      </c>
      <c r="C1163" t="str">
        <f>"PR22000356"</f>
        <v>PR22000356</v>
      </c>
      <c r="E1163" t="str">
        <f>"Y"</f>
        <v>Y</v>
      </c>
      <c r="F1163" t="str">
        <f>"חשבוניות מרכזות"</f>
        <v>חשבוניות מרכזות</v>
      </c>
      <c r="G1163" t="str">
        <f>"700065"</f>
        <v>700065</v>
      </c>
      <c r="H1163" t="str">
        <f>"אלתא מערכות בע""מ"</f>
        <v>אלתא מערכות בע"מ</v>
      </c>
      <c r="I1163" t="str">
        <f>"10"</f>
        <v>10</v>
      </c>
      <c r="J1163" t="str">
        <f>"OP-AR03131"</f>
        <v>OP-AR03131</v>
      </c>
      <c r="K1163" t="str">
        <f>"4043B120-001   HARNESS W120 - SATCOM M-C CABLE"</f>
        <v>4043B120-001   HARNESS W120 - SATCOM M-C CABLE</v>
      </c>
      <c r="L1163">
        <v>5</v>
      </c>
      <c r="M1163" t="str">
        <f>"יח"</f>
        <v>יח</v>
      </c>
      <c r="N1163">
        <v>5</v>
      </c>
      <c r="O1163" t="str">
        <f>"יח"</f>
        <v>יח</v>
      </c>
      <c r="P1163" s="2">
        <v>1006.78</v>
      </c>
      <c r="Q1163" t="str">
        <f>"$"</f>
        <v>$</v>
      </c>
      <c r="R1163" t="str">
        <f>"הזמנה"</f>
        <v>הזמנה</v>
      </c>
      <c r="S1163">
        <v>0</v>
      </c>
      <c r="T1163" s="2">
        <v>5033.8999999999996</v>
      </c>
      <c r="U1163">
        <v>0</v>
      </c>
      <c r="V1163" s="2">
        <v>5033.8999999999996</v>
      </c>
      <c r="W1163" t="str">
        <f>"$"</f>
        <v>$</v>
      </c>
      <c r="X1163">
        <v>0</v>
      </c>
      <c r="Y1163">
        <v>0</v>
      </c>
      <c r="Z1163">
        <v>0</v>
      </c>
      <c r="AA1163" t="str">
        <f>"Y"</f>
        <v>Y</v>
      </c>
      <c r="AB1163" t="str">
        <f>"SO22000180"</f>
        <v>SO22000180</v>
      </c>
      <c r="AC1163">
        <v>4</v>
      </c>
      <c r="AD1163" s="1">
        <v>44696</v>
      </c>
      <c r="AE1163" t="str">
        <f>"SH22001436"</f>
        <v>SH22001436</v>
      </c>
      <c r="AF1163" t="str">
        <f>"משלוחים ללקוח"</f>
        <v>משלוחים ללקוח</v>
      </c>
      <c r="AG1163" s="1">
        <v>44909</v>
      </c>
      <c r="AM1163" t="str">
        <f>"10"</f>
        <v>10</v>
      </c>
      <c r="AN1163" t="str">
        <f>"500000"</f>
        <v>500000</v>
      </c>
      <c r="AO1163" t="str">
        <f>"הכנסות  מלקוחות"</f>
        <v>הכנסות  מלקוחות</v>
      </c>
      <c r="AQ1163" t="str">
        <f>"040"</f>
        <v>040</v>
      </c>
      <c r="AR1163">
        <v>0</v>
      </c>
      <c r="AS1163">
        <v>0</v>
      </c>
      <c r="AT1163">
        <v>3.4510000000000001</v>
      </c>
      <c r="AX1163" t="str">
        <f>"E000364014"</f>
        <v>E000364014</v>
      </c>
      <c r="BD1163" t="str">
        <f>"רחמים זרוק"</f>
        <v>רחמים זרוק</v>
      </c>
    </row>
    <row r="1164" spans="1:56" x14ac:dyDescent="0.3">
      <c r="A1164" s="1">
        <v>44913</v>
      </c>
      <c r="B1164" t="str">
        <f>"SI226001478"</f>
        <v>SI226001478</v>
      </c>
      <c r="C1164" t="str">
        <f>"PR22000553"</f>
        <v>PR22000553</v>
      </c>
      <c r="D1164" t="str">
        <f>"PR22000553"</f>
        <v>PR22000553</v>
      </c>
      <c r="E1164" t="str">
        <f>"Y"</f>
        <v>Y</v>
      </c>
      <c r="F1164" t="str">
        <f>"חשבוניות מרכזות"</f>
        <v>חשבוניות מרכזות</v>
      </c>
      <c r="G1164" t="str">
        <f>"700065"</f>
        <v>700065</v>
      </c>
      <c r="H1164" t="str">
        <f>"אלתא מערכות בע""מ"</f>
        <v>אלתא מערכות בע"מ</v>
      </c>
      <c r="I1164" t="str">
        <f>"10"</f>
        <v>10</v>
      </c>
      <c r="J1164" t="str">
        <f>"OP-AR02235"</f>
        <v>OP-AR02235</v>
      </c>
      <c r="K1164" t="str">
        <f>"1036C426-001   HARNESS W426 - EPU - PDU1 CONTROL"</f>
        <v>1036C426-001   HARNESS W426 - EPU - PDU1 CONTROL</v>
      </c>
      <c r="L1164">
        <v>2</v>
      </c>
      <c r="M1164" t="str">
        <f>"יח"</f>
        <v>יח</v>
      </c>
      <c r="N1164">
        <v>2</v>
      </c>
      <c r="O1164" t="str">
        <f>"יח"</f>
        <v>יח</v>
      </c>
      <c r="P1164" s="2">
        <v>3307.94</v>
      </c>
      <c r="Q1164" t="str">
        <f>"$"</f>
        <v>$</v>
      </c>
      <c r="R1164" t="str">
        <f>"הזמנה"</f>
        <v>הזמנה</v>
      </c>
      <c r="S1164">
        <v>0</v>
      </c>
      <c r="T1164" s="2">
        <v>6615.88</v>
      </c>
      <c r="U1164">
        <v>0</v>
      </c>
      <c r="V1164" s="2">
        <v>6615.88</v>
      </c>
      <c r="W1164" t="str">
        <f>"$"</f>
        <v>$</v>
      </c>
      <c r="X1164">
        <v>0</v>
      </c>
      <c r="Y1164">
        <v>0</v>
      </c>
      <c r="Z1164">
        <v>0</v>
      </c>
      <c r="AA1164" t="str">
        <f>"Y"</f>
        <v>Y</v>
      </c>
      <c r="AB1164" t="str">
        <f>"SO22000329"</f>
        <v>SO22000329</v>
      </c>
      <c r="AC1164">
        <v>2</v>
      </c>
      <c r="AD1164" s="1">
        <v>44788</v>
      </c>
      <c r="AE1164" t="str">
        <f>"SH22001435"</f>
        <v>SH22001435</v>
      </c>
      <c r="AF1164" t="str">
        <f>"משלוחים ללקוח"</f>
        <v>משלוחים ללקוח</v>
      </c>
      <c r="AG1164" s="1">
        <v>44909</v>
      </c>
      <c r="AM1164" t="str">
        <f>"10"</f>
        <v>10</v>
      </c>
      <c r="AN1164" t="str">
        <f>"500000"</f>
        <v>500000</v>
      </c>
      <c r="AO1164" t="str">
        <f>"הכנסות  מלקוחות"</f>
        <v>הכנסות  מלקוחות</v>
      </c>
      <c r="AQ1164" t="str">
        <f>"040"</f>
        <v>040</v>
      </c>
      <c r="AR1164">
        <v>0</v>
      </c>
      <c r="AS1164">
        <v>0</v>
      </c>
      <c r="AT1164">
        <v>3.4510000000000001</v>
      </c>
      <c r="AX1164" t="str">
        <f>"E000370512"</f>
        <v>E000370512</v>
      </c>
      <c r="BD1164" t="str">
        <f>"רחמים זרוק"</f>
        <v>רחמים זרוק</v>
      </c>
    </row>
    <row r="1165" spans="1:56" x14ac:dyDescent="0.3">
      <c r="A1165" s="1">
        <v>44913</v>
      </c>
      <c r="B1165" t="str">
        <f>"SI226001477"</f>
        <v>SI226001477</v>
      </c>
      <c r="C1165" t="str">
        <f>"PR22000316"</f>
        <v>PR22000316</v>
      </c>
      <c r="E1165" t="str">
        <f>"Y"</f>
        <v>Y</v>
      </c>
      <c r="F1165" t="str">
        <f>"חשבוניות מרכזות"</f>
        <v>חשבוניות מרכזות</v>
      </c>
      <c r="G1165" t="str">
        <f>"700065"</f>
        <v>700065</v>
      </c>
      <c r="H1165" t="str">
        <f>"אלתא מערכות בע""מ"</f>
        <v>אלתא מערכות בע"מ</v>
      </c>
      <c r="I1165" t="str">
        <f>"10"</f>
        <v>10</v>
      </c>
      <c r="J1165" t="str">
        <f>"OP-AR03050"</f>
        <v>OP-AR03050</v>
      </c>
      <c r="K1165" t="str">
        <f>"1023M218-001    CABLE ASSY W201"</f>
        <v>1023M218-001    CABLE ASSY W201</v>
      </c>
      <c r="L1165">
        <v>10</v>
      </c>
      <c r="M1165" t="str">
        <f>"יח"</f>
        <v>יח</v>
      </c>
      <c r="N1165">
        <v>10</v>
      </c>
      <c r="O1165" t="str">
        <f>"יח"</f>
        <v>יח</v>
      </c>
      <c r="P1165">
        <v>628.54</v>
      </c>
      <c r="Q1165" t="str">
        <f>"$"</f>
        <v>$</v>
      </c>
      <c r="R1165" t="str">
        <f>"הזמנה"</f>
        <v>הזמנה</v>
      </c>
      <c r="S1165">
        <v>0</v>
      </c>
      <c r="T1165" s="2">
        <v>6285.4</v>
      </c>
      <c r="U1165">
        <v>0</v>
      </c>
      <c r="V1165" s="2">
        <v>6285.4</v>
      </c>
      <c r="W1165" t="str">
        <f>"$"</f>
        <v>$</v>
      </c>
      <c r="X1165">
        <v>0</v>
      </c>
      <c r="Y1165">
        <v>0</v>
      </c>
      <c r="Z1165">
        <v>0</v>
      </c>
      <c r="AA1165" t="str">
        <f>"Y"</f>
        <v>Y</v>
      </c>
      <c r="AB1165" t="str">
        <f>"SO22000145"</f>
        <v>SO22000145</v>
      </c>
      <c r="AC1165">
        <v>4</v>
      </c>
      <c r="AD1165" s="1">
        <v>44675</v>
      </c>
      <c r="AE1165" t="str">
        <f>"SH22001433"</f>
        <v>SH22001433</v>
      </c>
      <c r="AF1165" t="str">
        <f>"משלוחים ללקוח"</f>
        <v>משלוחים ללקוח</v>
      </c>
      <c r="AG1165" s="1">
        <v>44909</v>
      </c>
      <c r="AM1165" t="str">
        <f>"10"</f>
        <v>10</v>
      </c>
      <c r="AN1165" t="str">
        <f>"500000"</f>
        <v>500000</v>
      </c>
      <c r="AO1165" t="str">
        <f>"הכנסות  מלקוחות"</f>
        <v>הכנסות  מלקוחות</v>
      </c>
      <c r="AQ1165" t="str">
        <f>"040"</f>
        <v>040</v>
      </c>
      <c r="AR1165">
        <v>0</v>
      </c>
      <c r="AS1165">
        <v>0</v>
      </c>
      <c r="AT1165">
        <v>3.4510000000000001</v>
      </c>
      <c r="AX1165" t="str">
        <f>"E000359811"</f>
        <v>E000359811</v>
      </c>
      <c r="BD1165" t="str">
        <f>"רחמים זרוק"</f>
        <v>רחמים זרוק</v>
      </c>
    </row>
    <row r="1166" spans="1:56" x14ac:dyDescent="0.3">
      <c r="A1166" s="1">
        <v>44913</v>
      </c>
      <c r="B1166" t="str">
        <f>"SI226001476"</f>
        <v>SI226001476</v>
      </c>
      <c r="C1166" t="str">
        <f>"PR22000524"</f>
        <v>PR22000524</v>
      </c>
      <c r="D1166" t="str">
        <f>"PR22000524"</f>
        <v>PR22000524</v>
      </c>
      <c r="E1166" t="str">
        <f>"Y"</f>
        <v>Y</v>
      </c>
      <c r="F1166" t="str">
        <f>"חשבוניות מרכזות"</f>
        <v>חשבוניות מרכזות</v>
      </c>
      <c r="G1166" t="str">
        <f>"700065"</f>
        <v>700065</v>
      </c>
      <c r="H1166" t="str">
        <f>"אלתא מערכות בע""מ"</f>
        <v>אלתא מערכות בע"מ</v>
      </c>
      <c r="I1166" t="str">
        <f>"10"</f>
        <v>10</v>
      </c>
      <c r="J1166" t="str">
        <f>"OP-AR03219"</f>
        <v>OP-AR03219</v>
      </c>
      <c r="K1166" t="str">
        <f>"2015F975-001    CABLE ASSY 12V ATX"</f>
        <v>2015F975-001    CABLE ASSY 12V ATX</v>
      </c>
      <c r="L1166">
        <v>2</v>
      </c>
      <c r="M1166" t="str">
        <f>"יח"</f>
        <v>יח</v>
      </c>
      <c r="N1166">
        <v>2</v>
      </c>
      <c r="O1166" t="str">
        <f>"יח"</f>
        <v>יח</v>
      </c>
      <c r="P1166">
        <v>66.31</v>
      </c>
      <c r="Q1166" t="str">
        <f>"$"</f>
        <v>$</v>
      </c>
      <c r="R1166" t="str">
        <f>"הזמנה"</f>
        <v>הזמנה</v>
      </c>
      <c r="S1166">
        <v>0</v>
      </c>
      <c r="T1166">
        <v>132.62</v>
      </c>
      <c r="U1166">
        <v>0</v>
      </c>
      <c r="V1166">
        <v>132.62</v>
      </c>
      <c r="W1166" t="str">
        <f>"$"</f>
        <v>$</v>
      </c>
      <c r="X1166">
        <v>0</v>
      </c>
      <c r="Y1166">
        <v>0</v>
      </c>
      <c r="Z1166">
        <v>0</v>
      </c>
      <c r="AA1166" t="str">
        <f>"Y"</f>
        <v>Y</v>
      </c>
      <c r="AB1166" t="str">
        <f>"SO22000286"</f>
        <v>SO22000286</v>
      </c>
      <c r="AC1166">
        <v>5</v>
      </c>
      <c r="AD1166" s="1">
        <v>44762</v>
      </c>
      <c r="AE1166" t="str">
        <f>"SH22001429"</f>
        <v>SH22001429</v>
      </c>
      <c r="AF1166" t="str">
        <f>"משלוחים ללקוח"</f>
        <v>משלוחים ללקוח</v>
      </c>
      <c r="AG1166" s="1">
        <v>44909</v>
      </c>
      <c r="AM1166" t="str">
        <f>"10"</f>
        <v>10</v>
      </c>
      <c r="AN1166" t="str">
        <f>"500000"</f>
        <v>500000</v>
      </c>
      <c r="AO1166" t="str">
        <f>"הכנסות  מלקוחות"</f>
        <v>הכנסות  מלקוחות</v>
      </c>
      <c r="AQ1166" t="str">
        <f>"040"</f>
        <v>040</v>
      </c>
      <c r="AR1166">
        <v>0</v>
      </c>
      <c r="AS1166">
        <v>0</v>
      </c>
      <c r="AT1166">
        <v>3.4510000000000001</v>
      </c>
      <c r="AX1166" t="str">
        <f>"E000368650"</f>
        <v>E000368650</v>
      </c>
      <c r="BD1166" t="str">
        <f>"רחמים זרוק"</f>
        <v>רחמים זרוק</v>
      </c>
    </row>
    <row r="1167" spans="1:56" x14ac:dyDescent="0.3">
      <c r="A1167" s="1">
        <v>44913</v>
      </c>
      <c r="B1167" t="str">
        <f>"SI226001476"</f>
        <v>SI226001476</v>
      </c>
      <c r="C1167" t="str">
        <f>"PR22000524"</f>
        <v>PR22000524</v>
      </c>
      <c r="D1167" t="str">
        <f>"PR22000524"</f>
        <v>PR22000524</v>
      </c>
      <c r="E1167" t="str">
        <f>"Y"</f>
        <v>Y</v>
      </c>
      <c r="F1167" t="str">
        <f>"חשבוניות מרכזות"</f>
        <v>חשבוניות מרכזות</v>
      </c>
      <c r="G1167" t="str">
        <f>"700065"</f>
        <v>700065</v>
      </c>
      <c r="H1167" t="str">
        <f>"אלתא מערכות בע""מ"</f>
        <v>אלתא מערכות בע"מ</v>
      </c>
      <c r="I1167" t="str">
        <f>"10"</f>
        <v>10</v>
      </c>
      <c r="J1167" t="str">
        <f>"OP-AR03219"</f>
        <v>OP-AR03219</v>
      </c>
      <c r="K1167" t="str">
        <f>"2015F975-001    CABLE ASSY 12V ATX"</f>
        <v>2015F975-001    CABLE ASSY 12V ATX</v>
      </c>
      <c r="L1167">
        <v>3</v>
      </c>
      <c r="M1167" t="str">
        <f>"יח"</f>
        <v>יח</v>
      </c>
      <c r="N1167">
        <v>3</v>
      </c>
      <c r="O1167" t="str">
        <f>"יח"</f>
        <v>יח</v>
      </c>
      <c r="P1167">
        <v>66.31</v>
      </c>
      <c r="Q1167" t="str">
        <f>"$"</f>
        <v>$</v>
      </c>
      <c r="R1167" t="str">
        <f>"הזמנה"</f>
        <v>הזמנה</v>
      </c>
      <c r="S1167">
        <v>0</v>
      </c>
      <c r="T1167">
        <v>198.93</v>
      </c>
      <c r="U1167">
        <v>0</v>
      </c>
      <c r="V1167">
        <v>198.93</v>
      </c>
      <c r="W1167" t="str">
        <f>"$"</f>
        <v>$</v>
      </c>
      <c r="X1167">
        <v>0</v>
      </c>
      <c r="Y1167">
        <v>0</v>
      </c>
      <c r="Z1167">
        <v>0</v>
      </c>
      <c r="AA1167" t="str">
        <f>"Y"</f>
        <v>Y</v>
      </c>
      <c r="AB1167" t="str">
        <f>"SO22000286"</f>
        <v>SO22000286</v>
      </c>
      <c r="AC1167">
        <v>7</v>
      </c>
      <c r="AD1167" s="1">
        <v>44762</v>
      </c>
      <c r="AE1167" t="str">
        <f>"SH22001429"</f>
        <v>SH22001429</v>
      </c>
      <c r="AF1167" t="str">
        <f>"משלוחים ללקוח"</f>
        <v>משלוחים ללקוח</v>
      </c>
      <c r="AG1167" s="1">
        <v>44909</v>
      </c>
      <c r="AM1167" t="str">
        <f>"10"</f>
        <v>10</v>
      </c>
      <c r="AN1167" t="str">
        <f>"500000"</f>
        <v>500000</v>
      </c>
      <c r="AO1167" t="str">
        <f>"הכנסות  מלקוחות"</f>
        <v>הכנסות  מלקוחות</v>
      </c>
      <c r="AQ1167" t="str">
        <f>"040"</f>
        <v>040</v>
      </c>
      <c r="AR1167">
        <v>0</v>
      </c>
      <c r="AS1167">
        <v>0</v>
      </c>
      <c r="AT1167">
        <v>3.4510000000000001</v>
      </c>
      <c r="AX1167" t="str">
        <f>"E000368650"</f>
        <v>E000368650</v>
      </c>
      <c r="BD1167" t="str">
        <f>"רחמים זרוק"</f>
        <v>רחמים זרוק</v>
      </c>
    </row>
    <row r="1168" spans="1:56" x14ac:dyDescent="0.3">
      <c r="A1168" s="1">
        <v>44913</v>
      </c>
      <c r="B1168" t="str">
        <f>"SI226001475"</f>
        <v>SI226001475</v>
      </c>
      <c r="C1168" t="str">
        <f>"PR22000442"</f>
        <v>PR22000442</v>
      </c>
      <c r="D1168" t="str">
        <f>"PR22000442"</f>
        <v>PR22000442</v>
      </c>
      <c r="E1168" t="str">
        <f>"Y"</f>
        <v>Y</v>
      </c>
      <c r="F1168" t="str">
        <f>"חשבוניות מרכזות"</f>
        <v>חשבוניות מרכזות</v>
      </c>
      <c r="G1168" t="str">
        <f>"700065"</f>
        <v>700065</v>
      </c>
      <c r="H1168" t="str">
        <f>"אלתא מערכות בע""מ"</f>
        <v>אלתא מערכות בע"מ</v>
      </c>
      <c r="I1168" t="str">
        <f>"10"</f>
        <v>10</v>
      </c>
      <c r="J1168" t="str">
        <f>"OP-AR03159"</f>
        <v>OP-AR03159</v>
      </c>
      <c r="K1168" t="str">
        <f>"9000Y503-001    HARNESS WA003 - FULL TK"</f>
        <v>9000Y503-001    HARNESS WA003 - FULL TK</v>
      </c>
      <c r="L1168">
        <v>2</v>
      </c>
      <c r="M1168" t="str">
        <f>"יח"</f>
        <v>יח</v>
      </c>
      <c r="N1168">
        <v>2</v>
      </c>
      <c r="O1168" t="str">
        <f>"יח"</f>
        <v>יח</v>
      </c>
      <c r="P1168">
        <v>602.53</v>
      </c>
      <c r="Q1168" t="str">
        <f>"$"</f>
        <v>$</v>
      </c>
      <c r="R1168" t="str">
        <f>"הזמנה"</f>
        <v>הזמנה</v>
      </c>
      <c r="S1168">
        <v>0</v>
      </c>
      <c r="T1168" s="2">
        <v>1205.06</v>
      </c>
      <c r="U1168">
        <v>0</v>
      </c>
      <c r="V1168" s="2">
        <v>1205.06</v>
      </c>
      <c r="W1168" t="str">
        <f>"$"</f>
        <v>$</v>
      </c>
      <c r="X1168">
        <v>0</v>
      </c>
      <c r="Y1168">
        <v>0</v>
      </c>
      <c r="Z1168">
        <v>0</v>
      </c>
      <c r="AA1168" t="str">
        <f>"Y"</f>
        <v>Y</v>
      </c>
      <c r="AB1168" t="str">
        <f>"SO22000222"</f>
        <v>SO22000222</v>
      </c>
      <c r="AC1168">
        <v>1</v>
      </c>
      <c r="AD1168" s="1">
        <v>44720</v>
      </c>
      <c r="AE1168" t="str">
        <f>"SH22001431"</f>
        <v>SH22001431</v>
      </c>
      <c r="AF1168" t="str">
        <f>"משלוחים ללקוח"</f>
        <v>משלוחים ללקוח</v>
      </c>
      <c r="AG1168" s="1">
        <v>44909</v>
      </c>
      <c r="AM1168" t="str">
        <f>"10"</f>
        <v>10</v>
      </c>
      <c r="AN1168" t="str">
        <f>"500000"</f>
        <v>500000</v>
      </c>
      <c r="AO1168" t="str">
        <f>"הכנסות  מלקוחות"</f>
        <v>הכנסות  מלקוחות</v>
      </c>
      <c r="AQ1168" t="str">
        <f>"040"</f>
        <v>040</v>
      </c>
      <c r="AR1168">
        <v>0</v>
      </c>
      <c r="AS1168">
        <v>0</v>
      </c>
      <c r="AT1168">
        <v>3.4510000000000001</v>
      </c>
      <c r="AX1168" t="str">
        <f>"E000364757"</f>
        <v>E000364757</v>
      </c>
      <c r="BD1168" t="str">
        <f>"רחמים זרוק"</f>
        <v>רחמים זרוק</v>
      </c>
    </row>
    <row r="1169" spans="1:56" x14ac:dyDescent="0.3">
      <c r="A1169" s="1">
        <v>44913</v>
      </c>
      <c r="B1169" t="str">
        <f>"SI226001475"</f>
        <v>SI226001475</v>
      </c>
      <c r="C1169" t="str">
        <f>"PR22000442"</f>
        <v>PR22000442</v>
      </c>
      <c r="D1169" t="str">
        <f>"PR22000442"</f>
        <v>PR22000442</v>
      </c>
      <c r="E1169" t="str">
        <f>"Y"</f>
        <v>Y</v>
      </c>
      <c r="F1169" t="str">
        <f>"חשבוניות מרכזות"</f>
        <v>חשבוניות מרכזות</v>
      </c>
      <c r="G1169" t="str">
        <f>"700065"</f>
        <v>700065</v>
      </c>
      <c r="H1169" t="str">
        <f>"אלתא מערכות בע""מ"</f>
        <v>אלתא מערכות בע"מ</v>
      </c>
      <c r="I1169" t="str">
        <f>"10"</f>
        <v>10</v>
      </c>
      <c r="J1169" t="str">
        <f>"OP-AR03159"</f>
        <v>OP-AR03159</v>
      </c>
      <c r="K1169" t="str">
        <f>"9000Y503-001    HARNESS WA003 - FULL TK"</f>
        <v>9000Y503-001    HARNESS WA003 - FULL TK</v>
      </c>
      <c r="L1169">
        <v>2</v>
      </c>
      <c r="M1169" t="str">
        <f>"יח"</f>
        <v>יח</v>
      </c>
      <c r="N1169">
        <v>2</v>
      </c>
      <c r="O1169" t="str">
        <f>"יח"</f>
        <v>יח</v>
      </c>
      <c r="P1169">
        <v>602.53</v>
      </c>
      <c r="Q1169" t="str">
        <f>"$"</f>
        <v>$</v>
      </c>
      <c r="R1169" t="str">
        <f>"הזמנה"</f>
        <v>הזמנה</v>
      </c>
      <c r="S1169">
        <v>0</v>
      </c>
      <c r="T1169" s="2">
        <v>1205.06</v>
      </c>
      <c r="U1169">
        <v>0</v>
      </c>
      <c r="V1169" s="2">
        <v>1205.06</v>
      </c>
      <c r="W1169" t="str">
        <f>"$"</f>
        <v>$</v>
      </c>
      <c r="X1169">
        <v>0</v>
      </c>
      <c r="Y1169">
        <v>0</v>
      </c>
      <c r="Z1169">
        <v>0</v>
      </c>
      <c r="AA1169" t="str">
        <f>"Y"</f>
        <v>Y</v>
      </c>
      <c r="AB1169" t="str">
        <f>"SO22000222"</f>
        <v>SO22000222</v>
      </c>
      <c r="AC1169">
        <v>4</v>
      </c>
      <c r="AD1169" s="1">
        <v>44720</v>
      </c>
      <c r="AE1169" t="str">
        <f>"SH22001431"</f>
        <v>SH22001431</v>
      </c>
      <c r="AF1169" t="str">
        <f>"משלוחים ללקוח"</f>
        <v>משלוחים ללקוח</v>
      </c>
      <c r="AG1169" s="1">
        <v>44909</v>
      </c>
      <c r="AM1169" t="str">
        <f>"10"</f>
        <v>10</v>
      </c>
      <c r="AN1169" t="str">
        <f>"500000"</f>
        <v>500000</v>
      </c>
      <c r="AO1169" t="str">
        <f>"הכנסות  מלקוחות"</f>
        <v>הכנסות  מלקוחות</v>
      </c>
      <c r="AQ1169" t="str">
        <f>"040"</f>
        <v>040</v>
      </c>
      <c r="AR1169">
        <v>0</v>
      </c>
      <c r="AS1169">
        <v>0</v>
      </c>
      <c r="AT1169">
        <v>3.4510000000000001</v>
      </c>
      <c r="AX1169" t="str">
        <f>"E000364757"</f>
        <v>E000364757</v>
      </c>
      <c r="BD1169" t="str">
        <f>"רחמים זרוק"</f>
        <v>רחמים זרוק</v>
      </c>
    </row>
    <row r="1170" spans="1:56" x14ac:dyDescent="0.3">
      <c r="A1170" s="1">
        <v>44913</v>
      </c>
      <c r="B1170" t="str">
        <f>"SI226001474"</f>
        <v>SI226001474</v>
      </c>
      <c r="C1170" t="str">
        <f>"PR22000607"</f>
        <v>PR22000607</v>
      </c>
      <c r="D1170" t="str">
        <f>"PR22000607"</f>
        <v>PR22000607</v>
      </c>
      <c r="E1170" t="str">
        <f>"Y"</f>
        <v>Y</v>
      </c>
      <c r="F1170" t="str">
        <f>"חשבוניות מרכזות"</f>
        <v>חשבוניות מרכזות</v>
      </c>
      <c r="G1170" t="str">
        <f>"700065"</f>
        <v>700065</v>
      </c>
      <c r="H1170" t="str">
        <f>"אלתא מערכות בע""מ"</f>
        <v>אלתא מערכות בע"מ</v>
      </c>
      <c r="I1170" t="str">
        <f>"10"</f>
        <v>10</v>
      </c>
      <c r="J1170" t="str">
        <f>"OP-AR03328"</f>
        <v>OP-AR03328</v>
      </c>
      <c r="K1170" t="str">
        <f>"2223B640-001    ELM-2054 ADAR ATE COMM AND UUT POWER TO"</f>
        <v>2223B640-001    ELM-2054 ADAR ATE COMM AND UUT POWER TO</v>
      </c>
      <c r="L1170">
        <v>3</v>
      </c>
      <c r="M1170" t="str">
        <f>"יח"</f>
        <v>יח</v>
      </c>
      <c r="N1170">
        <v>3</v>
      </c>
      <c r="O1170" t="str">
        <f>"יח"</f>
        <v>יח</v>
      </c>
      <c r="P1170">
        <v>345.8</v>
      </c>
      <c r="Q1170" t="str">
        <f>"$"</f>
        <v>$</v>
      </c>
      <c r="R1170" t="str">
        <f>"הזמנה"</f>
        <v>הזמנה</v>
      </c>
      <c r="S1170">
        <v>0</v>
      </c>
      <c r="T1170" s="2">
        <v>1037.4000000000001</v>
      </c>
      <c r="U1170">
        <v>0</v>
      </c>
      <c r="V1170" s="2">
        <v>1037.4000000000001</v>
      </c>
      <c r="W1170" t="str">
        <f>"$"</f>
        <v>$</v>
      </c>
      <c r="X1170">
        <v>0</v>
      </c>
      <c r="Y1170">
        <v>0</v>
      </c>
      <c r="Z1170">
        <v>0</v>
      </c>
      <c r="AA1170" t="str">
        <f>"Y"</f>
        <v>Y</v>
      </c>
      <c r="AB1170" t="str">
        <f>"SO22000354"</f>
        <v>SO22000354</v>
      </c>
      <c r="AC1170">
        <v>4</v>
      </c>
      <c r="AD1170" s="1">
        <v>44816</v>
      </c>
      <c r="AE1170" t="str">
        <f>"SH22001432"</f>
        <v>SH22001432</v>
      </c>
      <c r="AF1170" t="str">
        <f>"משלוחים ללקוח"</f>
        <v>משלוחים ללקוח</v>
      </c>
      <c r="AG1170" s="1">
        <v>44909</v>
      </c>
      <c r="AM1170" t="str">
        <f>"10"</f>
        <v>10</v>
      </c>
      <c r="AN1170" t="str">
        <f>"500000"</f>
        <v>500000</v>
      </c>
      <c r="AO1170" t="str">
        <f>"הכנסות  מלקוחות"</f>
        <v>הכנסות  מלקוחות</v>
      </c>
      <c r="AQ1170" t="str">
        <f>"040"</f>
        <v>040</v>
      </c>
      <c r="AR1170">
        <v>0</v>
      </c>
      <c r="AS1170">
        <v>0</v>
      </c>
      <c r="AT1170">
        <v>3.4510000000000001</v>
      </c>
      <c r="AX1170" t="str">
        <f>"E000373403"</f>
        <v>E000373403</v>
      </c>
      <c r="BD1170" t="str">
        <f>"רחמים זרוק"</f>
        <v>רחמים זרוק</v>
      </c>
    </row>
    <row r="1171" spans="1:56" x14ac:dyDescent="0.3">
      <c r="A1171" s="1">
        <v>44913</v>
      </c>
      <c r="B1171" t="str">
        <f>"SI226001473"</f>
        <v>SI226001473</v>
      </c>
      <c r="C1171" t="str">
        <f>"PR22000440"</f>
        <v>PR22000440</v>
      </c>
      <c r="E1171" t="str">
        <f>"Y"</f>
        <v>Y</v>
      </c>
      <c r="F1171" t="str">
        <f>"חשבוניות מרכזות"</f>
        <v>חשבוניות מרכזות</v>
      </c>
      <c r="G1171" t="str">
        <f>"700065"</f>
        <v>700065</v>
      </c>
      <c r="H1171" t="str">
        <f>"אלתא מערכות בע""מ"</f>
        <v>אלתא מערכות בע"מ</v>
      </c>
      <c r="I1171" t="str">
        <f>"10"</f>
        <v>10</v>
      </c>
      <c r="J1171" t="str">
        <f>"OP-AR03011"</f>
        <v>OP-AR03011</v>
      </c>
      <c r="K1171" t="str">
        <f>"2083B310-002   VPW2 CABLE ASSY"</f>
        <v>2083B310-002   VPW2 CABLE ASSY</v>
      </c>
      <c r="L1171">
        <v>1</v>
      </c>
      <c r="M1171" t="str">
        <f>"יח"</f>
        <v>יח</v>
      </c>
      <c r="N1171">
        <v>1</v>
      </c>
      <c r="O1171" t="str">
        <f>"יח"</f>
        <v>יח</v>
      </c>
      <c r="P1171" s="2">
        <v>1022.92</v>
      </c>
      <c r="Q1171" t="str">
        <f>"$"</f>
        <v>$</v>
      </c>
      <c r="R1171" t="str">
        <f>"הזמנה"</f>
        <v>הזמנה</v>
      </c>
      <c r="S1171">
        <v>0</v>
      </c>
      <c r="T1171" s="2">
        <v>1022.92</v>
      </c>
      <c r="U1171">
        <v>0</v>
      </c>
      <c r="V1171" s="2">
        <v>1022.92</v>
      </c>
      <c r="W1171" t="str">
        <f>"$"</f>
        <v>$</v>
      </c>
      <c r="X1171">
        <v>0</v>
      </c>
      <c r="Y1171">
        <v>0</v>
      </c>
      <c r="Z1171">
        <v>0</v>
      </c>
      <c r="AA1171" t="str">
        <f>"Y"</f>
        <v>Y</v>
      </c>
      <c r="AB1171" t="str">
        <f>"SO22000214"</f>
        <v>SO22000214</v>
      </c>
      <c r="AC1171">
        <v>3</v>
      </c>
      <c r="AD1171" s="1">
        <v>44714</v>
      </c>
      <c r="AE1171" t="str">
        <f>"SH22001437"</f>
        <v>SH22001437</v>
      </c>
      <c r="AF1171" t="str">
        <f>"משלוחים ללקוח"</f>
        <v>משלוחים ללקוח</v>
      </c>
      <c r="AG1171" s="1">
        <v>44909</v>
      </c>
      <c r="AM1171" t="str">
        <f>"10"</f>
        <v>10</v>
      </c>
      <c r="AN1171" t="str">
        <f>"500000"</f>
        <v>500000</v>
      </c>
      <c r="AO1171" t="str">
        <f>"הכנסות  מלקוחות"</f>
        <v>הכנסות  מלקוחות</v>
      </c>
      <c r="AQ1171" t="str">
        <f>"040"</f>
        <v>040</v>
      </c>
      <c r="AR1171">
        <v>0</v>
      </c>
      <c r="AS1171">
        <v>0</v>
      </c>
      <c r="AT1171">
        <v>3.4510000000000001</v>
      </c>
      <c r="AX1171" t="str">
        <f>"E000365713"</f>
        <v>E000365713</v>
      </c>
      <c r="BD1171" t="str">
        <f>"רחמים זרוק"</f>
        <v>רחמים זרוק</v>
      </c>
    </row>
    <row r="1172" spans="1:56" x14ac:dyDescent="0.3">
      <c r="A1172" s="1">
        <v>44913</v>
      </c>
      <c r="B1172" t="str">
        <f>"SI226001472"</f>
        <v>SI226001472</v>
      </c>
      <c r="C1172" t="str">
        <f>"PR22000624"</f>
        <v>PR22000624</v>
      </c>
      <c r="E1172" t="str">
        <f>"Y"</f>
        <v>Y</v>
      </c>
      <c r="F1172" t="str">
        <f>"חשבוניות מרכזות"</f>
        <v>חשבוניות מרכזות</v>
      </c>
      <c r="G1172" t="str">
        <f>"700065"</f>
        <v>700065</v>
      </c>
      <c r="H1172" t="str">
        <f>"אלתא מערכות בע""מ"</f>
        <v>אלתא מערכות בע"מ</v>
      </c>
      <c r="I1172" t="str">
        <f>"10"</f>
        <v>10</v>
      </c>
      <c r="J1172" t="str">
        <f>"OP-AR03142"</f>
        <v>OP-AR03142</v>
      </c>
      <c r="K1172" t="str">
        <f>"2216B034-001    NMS RFD CABLE ASSY"</f>
        <v>2216B034-001    NMS RFD CABLE ASSY</v>
      </c>
      <c r="L1172">
        <v>2</v>
      </c>
      <c r="M1172" t="str">
        <f>"יח"</f>
        <v>יח</v>
      </c>
      <c r="N1172">
        <v>2</v>
      </c>
      <c r="O1172" t="str">
        <f>"יח"</f>
        <v>יח</v>
      </c>
      <c r="P1172">
        <v>325.39999999999998</v>
      </c>
      <c r="Q1172" t="str">
        <f>"$"</f>
        <v>$</v>
      </c>
      <c r="R1172" t="str">
        <f>"הזמנה"</f>
        <v>הזמנה</v>
      </c>
      <c r="S1172">
        <v>0</v>
      </c>
      <c r="T1172">
        <v>650.79999999999995</v>
      </c>
      <c r="U1172">
        <v>0</v>
      </c>
      <c r="V1172">
        <v>650.79999999999995</v>
      </c>
      <c r="W1172" t="str">
        <f>"$"</f>
        <v>$</v>
      </c>
      <c r="X1172">
        <v>0</v>
      </c>
      <c r="Y1172">
        <v>0</v>
      </c>
      <c r="Z1172">
        <v>0</v>
      </c>
      <c r="AA1172" t="str">
        <f>"Y"</f>
        <v>Y</v>
      </c>
      <c r="AB1172" t="str">
        <f>"SO22000367"</f>
        <v>SO22000367</v>
      </c>
      <c r="AC1172">
        <v>5</v>
      </c>
      <c r="AD1172" s="1">
        <v>44819</v>
      </c>
      <c r="AE1172" t="str">
        <f>"SH22001438"</f>
        <v>SH22001438</v>
      </c>
      <c r="AF1172" t="str">
        <f>"משלוחים ללקוח"</f>
        <v>משלוחים ללקוח</v>
      </c>
      <c r="AG1172" s="1">
        <v>44909</v>
      </c>
      <c r="AM1172" t="str">
        <f>"10"</f>
        <v>10</v>
      </c>
      <c r="AN1172" t="str">
        <f>"500000"</f>
        <v>500000</v>
      </c>
      <c r="AO1172" t="str">
        <f>"הכנסות  מלקוחות"</f>
        <v>הכנסות  מלקוחות</v>
      </c>
      <c r="AQ1172" t="str">
        <f>"040"</f>
        <v>040</v>
      </c>
      <c r="AR1172">
        <v>0</v>
      </c>
      <c r="AS1172">
        <v>0</v>
      </c>
      <c r="AT1172">
        <v>3.4510000000000001</v>
      </c>
      <c r="AX1172" t="str">
        <f>"E000374418"</f>
        <v>E000374418</v>
      </c>
      <c r="BD1172" t="str">
        <f>"רחמים זרוק"</f>
        <v>רחמים זרוק</v>
      </c>
    </row>
    <row r="1173" spans="1:56" x14ac:dyDescent="0.3">
      <c r="A1173" s="1">
        <v>44913</v>
      </c>
      <c r="B1173" t="str">
        <f>"SI226001471"</f>
        <v>SI226001471</v>
      </c>
      <c r="C1173" t="str">
        <f>"PR22000526"</f>
        <v>PR22000526</v>
      </c>
      <c r="D1173" t="str">
        <f>"PR22000526"</f>
        <v>PR22000526</v>
      </c>
      <c r="E1173" t="str">
        <f>"Y"</f>
        <v>Y</v>
      </c>
      <c r="F1173" t="str">
        <f>"חשבוניות מרכזות"</f>
        <v>חשבוניות מרכזות</v>
      </c>
      <c r="G1173" t="str">
        <f>"700065"</f>
        <v>700065</v>
      </c>
      <c r="H1173" t="str">
        <f>"אלתא מערכות בע""מ"</f>
        <v>אלתא מערכות בע"מ</v>
      </c>
      <c r="I1173" t="str">
        <f>"10"</f>
        <v>10</v>
      </c>
      <c r="J1173" t="str">
        <f>"OP-AR03189"</f>
        <v>OP-AR03189</v>
      </c>
      <c r="K1173" t="str">
        <f>"1023B598-001    WV098 CABLE ASSY"</f>
        <v>1023B598-001    WV098 CABLE ASSY</v>
      </c>
      <c r="L1173">
        <v>1</v>
      </c>
      <c r="M1173" t="str">
        <f>"יח"</f>
        <v>יח</v>
      </c>
      <c r="N1173">
        <v>1</v>
      </c>
      <c r="O1173" t="str">
        <f>"יח"</f>
        <v>יח</v>
      </c>
      <c r="P1173">
        <v>872.22</v>
      </c>
      <c r="Q1173" t="str">
        <f>"$"</f>
        <v>$</v>
      </c>
      <c r="R1173" t="str">
        <f>"הזמנה"</f>
        <v>הזמנה</v>
      </c>
      <c r="S1173">
        <v>0</v>
      </c>
      <c r="T1173">
        <v>872.22</v>
      </c>
      <c r="U1173">
        <v>0</v>
      </c>
      <c r="V1173">
        <v>872.22</v>
      </c>
      <c r="W1173" t="str">
        <f>"$"</f>
        <v>$</v>
      </c>
      <c r="X1173">
        <v>0</v>
      </c>
      <c r="Y1173">
        <v>0</v>
      </c>
      <c r="Z1173">
        <v>0</v>
      </c>
      <c r="AA1173" t="str">
        <f>"Y"</f>
        <v>Y</v>
      </c>
      <c r="AB1173" t="str">
        <f>"SO22000285"</f>
        <v>SO22000285</v>
      </c>
      <c r="AC1173">
        <v>1</v>
      </c>
      <c r="AD1173" s="1">
        <v>44762</v>
      </c>
      <c r="AE1173" t="str">
        <f>"SH22001430"</f>
        <v>SH22001430</v>
      </c>
      <c r="AF1173" t="str">
        <f>"משלוחים ללקוח"</f>
        <v>משלוחים ללקוח</v>
      </c>
      <c r="AG1173" s="1">
        <v>44909</v>
      </c>
      <c r="AM1173" t="str">
        <f>"10"</f>
        <v>10</v>
      </c>
      <c r="AN1173" t="str">
        <f>"500000"</f>
        <v>500000</v>
      </c>
      <c r="AO1173" t="str">
        <f>"הכנסות  מלקוחות"</f>
        <v>הכנסות  מלקוחות</v>
      </c>
      <c r="AQ1173" t="str">
        <f>"040"</f>
        <v>040</v>
      </c>
      <c r="AR1173">
        <v>0</v>
      </c>
      <c r="AS1173">
        <v>0</v>
      </c>
      <c r="AT1173">
        <v>3.4510000000000001</v>
      </c>
      <c r="AX1173" t="str">
        <f>"E000369413"</f>
        <v>E000369413</v>
      </c>
      <c r="BD1173" t="str">
        <f>"רחמים זרוק"</f>
        <v>רחמים זרוק</v>
      </c>
    </row>
    <row r="1174" spans="1:56" x14ac:dyDescent="0.3">
      <c r="A1174" s="1">
        <v>44913</v>
      </c>
      <c r="B1174" t="str">
        <f>"SI226001470"</f>
        <v>SI226001470</v>
      </c>
      <c r="C1174" t="str">
        <f>"PR22000607"</f>
        <v>PR22000607</v>
      </c>
      <c r="D1174" t="str">
        <f>"PR22000607"</f>
        <v>PR22000607</v>
      </c>
      <c r="E1174" t="str">
        <f>"Y"</f>
        <v>Y</v>
      </c>
      <c r="F1174" t="str">
        <f>"חשבוניות מרכזות"</f>
        <v>חשבוניות מרכזות</v>
      </c>
      <c r="G1174" t="str">
        <f>"700065"</f>
        <v>700065</v>
      </c>
      <c r="H1174" t="str">
        <f>"אלתא מערכות בע""מ"</f>
        <v>אלתא מערכות בע"מ</v>
      </c>
      <c r="I1174" t="str">
        <f>"10"</f>
        <v>10</v>
      </c>
      <c r="J1174" t="str">
        <f>"OP-AR03325"</f>
        <v>OP-AR03325</v>
      </c>
      <c r="K1174" t="str">
        <f>"2223B634-001    ELM2054-ATE CHAMBER TO DRAWER HARNESS"</f>
        <v>2223B634-001    ELM2054-ATE CHAMBER TO DRAWER HARNESS</v>
      </c>
      <c r="L1174">
        <v>3</v>
      </c>
      <c r="M1174" t="str">
        <f>"יח"</f>
        <v>יח</v>
      </c>
      <c r="N1174">
        <v>3</v>
      </c>
      <c r="O1174" t="str">
        <f>"יח"</f>
        <v>יח</v>
      </c>
      <c r="P1174">
        <v>632.5</v>
      </c>
      <c r="Q1174" t="str">
        <f>"$"</f>
        <v>$</v>
      </c>
      <c r="R1174" t="str">
        <f>"הזמנה"</f>
        <v>הזמנה</v>
      </c>
      <c r="S1174">
        <v>0</v>
      </c>
      <c r="T1174" s="2">
        <v>1897.5</v>
      </c>
      <c r="U1174">
        <v>0</v>
      </c>
      <c r="V1174" s="2">
        <v>1897.5</v>
      </c>
      <c r="W1174" t="str">
        <f>"$"</f>
        <v>$</v>
      </c>
      <c r="X1174">
        <v>0</v>
      </c>
      <c r="Y1174">
        <v>0</v>
      </c>
      <c r="Z1174">
        <v>0</v>
      </c>
      <c r="AA1174" t="str">
        <f>"Y"</f>
        <v>Y</v>
      </c>
      <c r="AB1174" t="str">
        <f>"SO22000354"</f>
        <v>SO22000354</v>
      </c>
      <c r="AC1174">
        <v>1</v>
      </c>
      <c r="AD1174" s="1">
        <v>44816</v>
      </c>
      <c r="AE1174" t="str">
        <f>"SH22001439"</f>
        <v>SH22001439</v>
      </c>
      <c r="AF1174" t="str">
        <f>"משלוחים ללקוח"</f>
        <v>משלוחים ללקוח</v>
      </c>
      <c r="AG1174" s="1">
        <v>44909</v>
      </c>
      <c r="AM1174" t="str">
        <f>"10"</f>
        <v>10</v>
      </c>
      <c r="AN1174" t="str">
        <f>"500000"</f>
        <v>500000</v>
      </c>
      <c r="AO1174" t="str">
        <f>"הכנסות  מלקוחות"</f>
        <v>הכנסות  מלקוחות</v>
      </c>
      <c r="AQ1174" t="str">
        <f>"040"</f>
        <v>040</v>
      </c>
      <c r="AR1174">
        <v>0</v>
      </c>
      <c r="AS1174">
        <v>0</v>
      </c>
      <c r="AT1174">
        <v>3.4510000000000001</v>
      </c>
      <c r="AX1174" t="str">
        <f>"E000373403"</f>
        <v>E000373403</v>
      </c>
      <c r="BD1174" t="str">
        <f>"רחמים זרוק"</f>
        <v>רחמים זרוק</v>
      </c>
    </row>
    <row r="1175" spans="1:56" x14ac:dyDescent="0.3">
      <c r="A1175" s="1">
        <v>44913</v>
      </c>
      <c r="B1175" t="str">
        <f>"SI226001469"</f>
        <v>SI226001469</v>
      </c>
      <c r="C1175" t="str">
        <f>"PR22000222"</f>
        <v>PR22000222</v>
      </c>
      <c r="E1175" t="str">
        <f>"Y"</f>
        <v>Y</v>
      </c>
      <c r="F1175" t="str">
        <f>"חשבוניות מרכזות"</f>
        <v>חשבוניות מרכזות</v>
      </c>
      <c r="G1175" t="str">
        <f>"700065"</f>
        <v>700065</v>
      </c>
      <c r="H1175" t="str">
        <f>"אלתא מערכות בע""מ"</f>
        <v>אלתא מערכות בע"מ</v>
      </c>
      <c r="I1175" t="str">
        <f>"10"</f>
        <v>10</v>
      </c>
      <c r="J1175" t="str">
        <f>"OP-AR01234"</f>
        <v>OP-AR01234</v>
      </c>
      <c r="K1175" t="str">
        <f>"PDU 4 CHANNELS"</f>
        <v>PDU 4 CHANNELS</v>
      </c>
      <c r="L1175">
        <v>1</v>
      </c>
      <c r="M1175" t="str">
        <f>"יח"</f>
        <v>יח</v>
      </c>
      <c r="N1175">
        <v>1</v>
      </c>
      <c r="O1175" t="str">
        <f>"יח"</f>
        <v>יח</v>
      </c>
      <c r="P1175" s="2">
        <v>5826</v>
      </c>
      <c r="Q1175" t="str">
        <f>"$"</f>
        <v>$</v>
      </c>
      <c r="R1175" t="str">
        <f>"הזמנה"</f>
        <v>הזמנה</v>
      </c>
      <c r="S1175">
        <v>0</v>
      </c>
      <c r="T1175" s="2">
        <v>5826</v>
      </c>
      <c r="U1175">
        <v>0</v>
      </c>
      <c r="V1175" s="2">
        <v>5826</v>
      </c>
      <c r="W1175" t="str">
        <f>"$"</f>
        <v>$</v>
      </c>
      <c r="X1175">
        <v>0</v>
      </c>
      <c r="Y1175">
        <v>0</v>
      </c>
      <c r="Z1175">
        <v>0</v>
      </c>
      <c r="AA1175" t="str">
        <f>"Y"</f>
        <v>Y</v>
      </c>
      <c r="AB1175" t="str">
        <f>"SO22000106"</f>
        <v>SO22000106</v>
      </c>
      <c r="AC1175">
        <v>2</v>
      </c>
      <c r="AD1175" s="1">
        <v>44635</v>
      </c>
      <c r="AE1175" t="str">
        <f>"SH22001170"</f>
        <v>SH22001170</v>
      </c>
      <c r="AF1175" t="str">
        <f>"משלוחים ללקוח"</f>
        <v>משלוחים ללקוח</v>
      </c>
      <c r="AG1175" s="1">
        <v>44832</v>
      </c>
      <c r="AM1175" t="str">
        <f>"10"</f>
        <v>10</v>
      </c>
      <c r="AN1175" t="str">
        <f>"500000"</f>
        <v>500000</v>
      </c>
      <c r="AO1175" t="str">
        <f>"הכנסות  מלקוחות"</f>
        <v>הכנסות  מלקוחות</v>
      </c>
      <c r="AQ1175" t="str">
        <f>"034"</f>
        <v>034</v>
      </c>
      <c r="AR1175">
        <v>0</v>
      </c>
      <c r="AS1175">
        <v>0</v>
      </c>
      <c r="AT1175">
        <v>3.4510000000000001</v>
      </c>
      <c r="AX1175" t="str">
        <f>"E000358122"</f>
        <v>E000358122</v>
      </c>
      <c r="BD1175" t="str">
        <f>"ערן שלו"</f>
        <v>ערן שלו</v>
      </c>
    </row>
    <row r="1176" spans="1:56" x14ac:dyDescent="0.3">
      <c r="A1176" s="1">
        <v>44907</v>
      </c>
      <c r="B1176" t="str">
        <f>"SI226001386"</f>
        <v>SI226001386</v>
      </c>
      <c r="C1176" t="str">
        <f>"PR22000459"</f>
        <v>PR22000459</v>
      </c>
      <c r="D1176" t="str">
        <f>"PR22000459"</f>
        <v>PR22000459</v>
      </c>
      <c r="E1176" t="str">
        <f>"Y"</f>
        <v>Y</v>
      </c>
      <c r="F1176" t="str">
        <f>"חשבוניות מרכזות"</f>
        <v>חשבוניות מרכזות</v>
      </c>
      <c r="G1176" t="str">
        <f>"700065"</f>
        <v>700065</v>
      </c>
      <c r="H1176" t="str">
        <f>"אלתא מערכות בע""מ"</f>
        <v>אלתא מערכות בע"מ</v>
      </c>
      <c r="I1176" t="str">
        <f>"10"</f>
        <v>10</v>
      </c>
      <c r="J1176" t="str">
        <f>"OP-AR03183"</f>
        <v>OP-AR03183</v>
      </c>
      <c r="K1176" t="str">
        <f>"1025R629-001   HARNESS WC07 - CONTROL CABLE MOTOR"</f>
        <v>1025R629-001   HARNESS WC07 - CONTROL CABLE MOTOR</v>
      </c>
      <c r="L1176">
        <v>1</v>
      </c>
      <c r="M1176" t="str">
        <f>"יח"</f>
        <v>יח</v>
      </c>
      <c r="N1176">
        <v>1</v>
      </c>
      <c r="O1176" t="str">
        <f>"יח"</f>
        <v>יח</v>
      </c>
      <c r="P1176">
        <v>252.15</v>
      </c>
      <c r="Q1176" t="str">
        <f>"$"</f>
        <v>$</v>
      </c>
      <c r="R1176" t="str">
        <f>"הזמנה"</f>
        <v>הזמנה</v>
      </c>
      <c r="S1176">
        <v>0</v>
      </c>
      <c r="T1176">
        <v>252.15</v>
      </c>
      <c r="U1176">
        <v>0</v>
      </c>
      <c r="V1176">
        <v>252.15</v>
      </c>
      <c r="W1176" t="str">
        <f>"$"</f>
        <v>$</v>
      </c>
      <c r="X1176">
        <v>0</v>
      </c>
      <c r="Y1176">
        <v>0</v>
      </c>
      <c r="Z1176">
        <v>0</v>
      </c>
      <c r="AA1176" t="str">
        <f>"Y"</f>
        <v>Y</v>
      </c>
      <c r="AB1176" t="str">
        <f>"SO22000241"</f>
        <v>SO22000241</v>
      </c>
      <c r="AC1176">
        <v>10</v>
      </c>
      <c r="AD1176" s="1">
        <v>44731</v>
      </c>
      <c r="AE1176" t="str">
        <f>"SH22001317"</f>
        <v>SH22001317</v>
      </c>
      <c r="AF1176" t="str">
        <f>"משלוחים ללקוח"</f>
        <v>משלוחים ללקוח</v>
      </c>
      <c r="AG1176" s="1">
        <v>44887</v>
      </c>
      <c r="AM1176" t="str">
        <f>"10"</f>
        <v>10</v>
      </c>
      <c r="AN1176" t="str">
        <f>"500000"</f>
        <v>500000</v>
      </c>
      <c r="AO1176" t="str">
        <f>"הכנסות  מלקוחות"</f>
        <v>הכנסות  מלקוחות</v>
      </c>
      <c r="AQ1176" t="str">
        <f>"040"</f>
        <v>040</v>
      </c>
      <c r="AR1176">
        <v>0</v>
      </c>
      <c r="AS1176">
        <v>0</v>
      </c>
      <c r="AT1176">
        <v>3.42</v>
      </c>
      <c r="AX1176" t="str">
        <f>"E000365938"</f>
        <v>E000365938</v>
      </c>
      <c r="BD1176" t="str">
        <f>"רחמים זרוק"</f>
        <v>רחמים זרוק</v>
      </c>
    </row>
    <row r="1177" spans="1:56" x14ac:dyDescent="0.3">
      <c r="A1177" s="1">
        <v>44907</v>
      </c>
      <c r="B1177" t="str">
        <f>"SI226001386"</f>
        <v>SI226001386</v>
      </c>
      <c r="C1177" t="str">
        <f>"PR22000459"</f>
        <v>PR22000459</v>
      </c>
      <c r="D1177" t="str">
        <f>"PR22000459"</f>
        <v>PR22000459</v>
      </c>
      <c r="E1177" t="str">
        <f>"Y"</f>
        <v>Y</v>
      </c>
      <c r="F1177" t="str">
        <f>"חשבוניות מרכזות"</f>
        <v>חשבוניות מרכזות</v>
      </c>
      <c r="G1177" t="str">
        <f>"700065"</f>
        <v>700065</v>
      </c>
      <c r="H1177" t="str">
        <f>"אלתא מערכות בע""מ"</f>
        <v>אלתא מערכות בע"מ</v>
      </c>
      <c r="I1177" t="str">
        <f>"10"</f>
        <v>10</v>
      </c>
      <c r="J1177" t="str">
        <f>"OP-AR03184"</f>
        <v>OP-AR03184</v>
      </c>
      <c r="K1177" t="str">
        <f>"1037R620-001    WL4 North Finder Indoor Cable"</f>
        <v>1037R620-001    WL4 North Finder Indoor Cable</v>
      </c>
      <c r="L1177">
        <v>1</v>
      </c>
      <c r="M1177" t="str">
        <f>"יח"</f>
        <v>יח</v>
      </c>
      <c r="N1177">
        <v>1</v>
      </c>
      <c r="O1177" t="str">
        <f>"יח"</f>
        <v>יח</v>
      </c>
      <c r="P1177">
        <v>525.54999999999995</v>
      </c>
      <c r="Q1177" t="str">
        <f>"$"</f>
        <v>$</v>
      </c>
      <c r="R1177" t="str">
        <f>"הזמנה"</f>
        <v>הזמנה</v>
      </c>
      <c r="S1177">
        <v>0</v>
      </c>
      <c r="T1177">
        <v>525.54999999999995</v>
      </c>
      <c r="U1177">
        <v>0</v>
      </c>
      <c r="V1177">
        <v>525.54999999999995</v>
      </c>
      <c r="W1177" t="str">
        <f>"$"</f>
        <v>$</v>
      </c>
      <c r="X1177">
        <v>0</v>
      </c>
      <c r="Y1177">
        <v>0</v>
      </c>
      <c r="Z1177">
        <v>0</v>
      </c>
      <c r="AA1177" t="str">
        <f>"Y"</f>
        <v>Y</v>
      </c>
      <c r="AB1177" t="str">
        <f>"SO22000241"</f>
        <v>SO22000241</v>
      </c>
      <c r="AC1177">
        <v>11</v>
      </c>
      <c r="AD1177" s="1">
        <v>44731</v>
      </c>
      <c r="AE1177" t="str">
        <f>"SH22001317"</f>
        <v>SH22001317</v>
      </c>
      <c r="AF1177" t="str">
        <f>"משלוחים ללקוח"</f>
        <v>משלוחים ללקוח</v>
      </c>
      <c r="AG1177" s="1">
        <v>44887</v>
      </c>
      <c r="AM1177" t="str">
        <f>"10"</f>
        <v>10</v>
      </c>
      <c r="AN1177" t="str">
        <f>"500000"</f>
        <v>500000</v>
      </c>
      <c r="AO1177" t="str">
        <f>"הכנסות  מלקוחות"</f>
        <v>הכנסות  מלקוחות</v>
      </c>
      <c r="AQ1177" t="str">
        <f>"040"</f>
        <v>040</v>
      </c>
      <c r="AR1177">
        <v>0</v>
      </c>
      <c r="AS1177">
        <v>0</v>
      </c>
      <c r="AT1177">
        <v>3.42</v>
      </c>
      <c r="AX1177" t="str">
        <f>"E000365938"</f>
        <v>E000365938</v>
      </c>
      <c r="BD1177" t="str">
        <f>"רחמים זרוק"</f>
        <v>רחמים זרוק</v>
      </c>
    </row>
    <row r="1178" spans="1:56" x14ac:dyDescent="0.3">
      <c r="A1178" s="1">
        <v>44907</v>
      </c>
      <c r="B1178" t="str">
        <f>"SI226001386"</f>
        <v>SI226001386</v>
      </c>
      <c r="C1178" t="str">
        <f>"PR22000459"</f>
        <v>PR22000459</v>
      </c>
      <c r="D1178" t="str">
        <f>"PR22000459"</f>
        <v>PR22000459</v>
      </c>
      <c r="E1178" t="str">
        <f>"Y"</f>
        <v>Y</v>
      </c>
      <c r="F1178" t="str">
        <f>"חשבוניות מרכזות"</f>
        <v>חשבוניות מרכזות</v>
      </c>
      <c r="G1178" t="str">
        <f>"700065"</f>
        <v>700065</v>
      </c>
      <c r="H1178" t="str">
        <f>"אלתא מערכות בע""מ"</f>
        <v>אלתא מערכות בע"מ</v>
      </c>
      <c r="I1178" t="str">
        <f>"10"</f>
        <v>10</v>
      </c>
      <c r="J1178" t="str">
        <f>"OP-AR03188"</f>
        <v>OP-AR03188</v>
      </c>
      <c r="K1178" t="str">
        <f>"1023B597-001    WV097 CABLE ASSY"</f>
        <v>1023B597-001    WV097 CABLE ASSY</v>
      </c>
      <c r="L1178">
        <v>2</v>
      </c>
      <c r="M1178" t="str">
        <f>"יח"</f>
        <v>יח</v>
      </c>
      <c r="N1178">
        <v>2</v>
      </c>
      <c r="O1178" t="str">
        <f>"יח"</f>
        <v>יח</v>
      </c>
      <c r="P1178">
        <v>651.22</v>
      </c>
      <c r="Q1178" t="str">
        <f>"$"</f>
        <v>$</v>
      </c>
      <c r="R1178" t="str">
        <f>"הזמנה"</f>
        <v>הזמנה</v>
      </c>
      <c r="S1178">
        <v>0</v>
      </c>
      <c r="T1178" s="2">
        <v>1302.44</v>
      </c>
      <c r="U1178">
        <v>0</v>
      </c>
      <c r="V1178" s="2">
        <v>1302.44</v>
      </c>
      <c r="W1178" t="str">
        <f>"$"</f>
        <v>$</v>
      </c>
      <c r="X1178">
        <v>0</v>
      </c>
      <c r="Y1178">
        <v>0</v>
      </c>
      <c r="Z1178">
        <v>0</v>
      </c>
      <c r="AA1178" t="str">
        <f>"Y"</f>
        <v>Y</v>
      </c>
      <c r="AB1178" t="str">
        <f>"SO22000241"</f>
        <v>SO22000241</v>
      </c>
      <c r="AC1178">
        <v>14</v>
      </c>
      <c r="AD1178" s="1">
        <v>44731</v>
      </c>
      <c r="AE1178" t="str">
        <f>"SH22001317"</f>
        <v>SH22001317</v>
      </c>
      <c r="AF1178" t="str">
        <f>"משלוחים ללקוח"</f>
        <v>משלוחים ללקוח</v>
      </c>
      <c r="AG1178" s="1">
        <v>44887</v>
      </c>
      <c r="AM1178" t="str">
        <f>"10"</f>
        <v>10</v>
      </c>
      <c r="AN1178" t="str">
        <f>"500000"</f>
        <v>500000</v>
      </c>
      <c r="AO1178" t="str">
        <f>"הכנסות  מלקוחות"</f>
        <v>הכנסות  מלקוחות</v>
      </c>
      <c r="AQ1178" t="str">
        <f>"040"</f>
        <v>040</v>
      </c>
      <c r="AR1178">
        <v>0</v>
      </c>
      <c r="AS1178">
        <v>0</v>
      </c>
      <c r="AT1178">
        <v>3.42</v>
      </c>
      <c r="AX1178" t="str">
        <f>"E000365938"</f>
        <v>E000365938</v>
      </c>
      <c r="BD1178" t="str">
        <f>"רחמים זרוק"</f>
        <v>רחמים זרוק</v>
      </c>
    </row>
    <row r="1179" spans="1:56" x14ac:dyDescent="0.3">
      <c r="A1179" s="1">
        <v>44907</v>
      </c>
      <c r="B1179" t="str">
        <f>"SI226001386"</f>
        <v>SI226001386</v>
      </c>
      <c r="C1179" t="str">
        <f>"PR22000459"</f>
        <v>PR22000459</v>
      </c>
      <c r="D1179" t="str">
        <f>"PR22000459"</f>
        <v>PR22000459</v>
      </c>
      <c r="E1179" t="str">
        <f>"Y"</f>
        <v>Y</v>
      </c>
      <c r="F1179" t="str">
        <f>"חשבוניות מרכזות"</f>
        <v>חשבוניות מרכזות</v>
      </c>
      <c r="G1179" t="str">
        <f>"700065"</f>
        <v>700065</v>
      </c>
      <c r="H1179" t="str">
        <f>"אלתא מערכות בע""מ"</f>
        <v>אלתא מערכות בע"מ</v>
      </c>
      <c r="I1179" t="str">
        <f>"10"</f>
        <v>10</v>
      </c>
      <c r="J1179" t="str">
        <f>"OP-AR03189"</f>
        <v>OP-AR03189</v>
      </c>
      <c r="K1179" t="str">
        <f>"1023B598-001    WV098 CABLE ASSY"</f>
        <v>1023B598-001    WV098 CABLE ASSY</v>
      </c>
      <c r="L1179">
        <v>1</v>
      </c>
      <c r="M1179" t="str">
        <f>"יח"</f>
        <v>יח</v>
      </c>
      <c r="N1179">
        <v>1</v>
      </c>
      <c r="O1179" t="str">
        <f>"יח"</f>
        <v>יח</v>
      </c>
      <c r="P1179">
        <v>872.22</v>
      </c>
      <c r="Q1179" t="str">
        <f>"$"</f>
        <v>$</v>
      </c>
      <c r="R1179" t="str">
        <f>"הזמנה"</f>
        <v>הזמנה</v>
      </c>
      <c r="S1179">
        <v>0</v>
      </c>
      <c r="T1179">
        <v>872.22</v>
      </c>
      <c r="U1179">
        <v>0</v>
      </c>
      <c r="V1179">
        <v>872.22</v>
      </c>
      <c r="W1179" t="str">
        <f>"$"</f>
        <v>$</v>
      </c>
      <c r="X1179">
        <v>0</v>
      </c>
      <c r="Y1179">
        <v>0</v>
      </c>
      <c r="Z1179">
        <v>0</v>
      </c>
      <c r="AA1179" t="str">
        <f>"Y"</f>
        <v>Y</v>
      </c>
      <c r="AB1179" t="str">
        <f>"SO22000241"</f>
        <v>SO22000241</v>
      </c>
      <c r="AC1179">
        <v>15</v>
      </c>
      <c r="AD1179" s="1">
        <v>44731</v>
      </c>
      <c r="AE1179" t="str">
        <f>"SH22001317"</f>
        <v>SH22001317</v>
      </c>
      <c r="AF1179" t="str">
        <f>"משלוחים ללקוח"</f>
        <v>משלוחים ללקוח</v>
      </c>
      <c r="AG1179" s="1">
        <v>44887</v>
      </c>
      <c r="AM1179" t="str">
        <f>"10"</f>
        <v>10</v>
      </c>
      <c r="AN1179" t="str">
        <f>"500000"</f>
        <v>500000</v>
      </c>
      <c r="AO1179" t="str">
        <f>"הכנסות  מלקוחות"</f>
        <v>הכנסות  מלקוחות</v>
      </c>
      <c r="AQ1179" t="str">
        <f>"040"</f>
        <v>040</v>
      </c>
      <c r="AR1179">
        <v>0</v>
      </c>
      <c r="AS1179">
        <v>0</v>
      </c>
      <c r="AT1179">
        <v>3.42</v>
      </c>
      <c r="AX1179" t="str">
        <f>"E000365938"</f>
        <v>E000365938</v>
      </c>
      <c r="BD1179" t="str">
        <f>"רחמים זרוק"</f>
        <v>רחמים זרוק</v>
      </c>
    </row>
    <row r="1180" spans="1:56" x14ac:dyDescent="0.3">
      <c r="A1180" s="1">
        <v>44907</v>
      </c>
      <c r="B1180" t="str">
        <f>"SI226001385"</f>
        <v>SI226001385</v>
      </c>
      <c r="C1180" t="str">
        <f>"PR22000526"</f>
        <v>PR22000526</v>
      </c>
      <c r="D1180" t="str">
        <f>"PR22000526"</f>
        <v>PR22000526</v>
      </c>
      <c r="E1180" t="str">
        <f>"Y"</f>
        <v>Y</v>
      </c>
      <c r="F1180" t="str">
        <f>"חשבוניות מרכזות"</f>
        <v>חשבוניות מרכזות</v>
      </c>
      <c r="G1180" t="str">
        <f>"700065"</f>
        <v>700065</v>
      </c>
      <c r="H1180" t="str">
        <f>"אלתא מערכות בע""מ"</f>
        <v>אלתא מערכות בע"מ</v>
      </c>
      <c r="I1180" t="str">
        <f>"10"</f>
        <v>10</v>
      </c>
      <c r="J1180" t="str">
        <f>"CB1100227"</f>
        <v>CB1100227</v>
      </c>
      <c r="K1180" t="str">
        <f>"AC SUPPLY CONTROL BOX 230V FEED CABLE"</f>
        <v>AC SUPPLY CONTROL BOX 230V FEED CABLE</v>
      </c>
      <c r="L1180">
        <v>2</v>
      </c>
      <c r="M1180" t="str">
        <f>"יח"</f>
        <v>יח</v>
      </c>
      <c r="N1180">
        <v>2</v>
      </c>
      <c r="O1180" t="str">
        <f>"יח"</f>
        <v>יח</v>
      </c>
      <c r="P1180">
        <v>578</v>
      </c>
      <c r="Q1180" t="str">
        <f>"$"</f>
        <v>$</v>
      </c>
      <c r="R1180" t="str">
        <f>"הזמנה"</f>
        <v>הזמנה</v>
      </c>
      <c r="S1180">
        <v>0</v>
      </c>
      <c r="T1180" s="2">
        <v>1156</v>
      </c>
      <c r="U1180">
        <v>0</v>
      </c>
      <c r="V1180" s="2">
        <v>1156</v>
      </c>
      <c r="W1180" t="str">
        <f>"$"</f>
        <v>$</v>
      </c>
      <c r="X1180">
        <v>0</v>
      </c>
      <c r="Y1180">
        <v>0</v>
      </c>
      <c r="Z1180">
        <v>0</v>
      </c>
      <c r="AA1180" t="str">
        <f>"Y"</f>
        <v>Y</v>
      </c>
      <c r="AB1180" t="str">
        <f>"SO22000285"</f>
        <v>SO22000285</v>
      </c>
      <c r="AC1180">
        <v>2</v>
      </c>
      <c r="AD1180" s="1">
        <v>44762</v>
      </c>
      <c r="AE1180" t="str">
        <f>"SH22001309"</f>
        <v>SH22001309</v>
      </c>
      <c r="AF1180" t="str">
        <f>"משלוחים ללקוח"</f>
        <v>משלוחים ללקוח</v>
      </c>
      <c r="AG1180" s="1">
        <v>44887</v>
      </c>
      <c r="AM1180" t="str">
        <f>"10"</f>
        <v>10</v>
      </c>
      <c r="AN1180" t="str">
        <f>"500000"</f>
        <v>500000</v>
      </c>
      <c r="AO1180" t="str">
        <f>"הכנסות  מלקוחות"</f>
        <v>הכנסות  מלקוחות</v>
      </c>
      <c r="AQ1180" t="str">
        <f>"040"</f>
        <v>040</v>
      </c>
      <c r="AR1180">
        <v>0</v>
      </c>
      <c r="AS1180">
        <v>0</v>
      </c>
      <c r="AT1180">
        <v>3.42</v>
      </c>
      <c r="AX1180" t="str">
        <f>"E000369413"</f>
        <v>E000369413</v>
      </c>
      <c r="BD1180" t="str">
        <f>"רחמים זרוק"</f>
        <v>רחמים זרוק</v>
      </c>
    </row>
    <row r="1181" spans="1:56" x14ac:dyDescent="0.3">
      <c r="A1181" s="1">
        <v>44907</v>
      </c>
      <c r="B1181" t="str">
        <f>"SI226001385"</f>
        <v>SI226001385</v>
      </c>
      <c r="C1181" t="str">
        <f>"PR22000526"</f>
        <v>PR22000526</v>
      </c>
      <c r="D1181" t="str">
        <f>"PR22000526"</f>
        <v>PR22000526</v>
      </c>
      <c r="E1181" t="str">
        <f>"Y"</f>
        <v>Y</v>
      </c>
      <c r="F1181" t="str">
        <f>"חשבוניות מרכזות"</f>
        <v>חשבוניות מרכזות</v>
      </c>
      <c r="G1181" t="str">
        <f>"700065"</f>
        <v>700065</v>
      </c>
      <c r="H1181" t="str">
        <f>"אלתא מערכות בע""מ"</f>
        <v>אלתא מערכות בע"מ</v>
      </c>
      <c r="I1181" t="str">
        <f>"10"</f>
        <v>10</v>
      </c>
      <c r="J1181" t="str">
        <f>"CB1100229"</f>
        <v>CB1100229</v>
      </c>
      <c r="K1181" t="str">
        <f>"AC SUPPLY CONTROL BOX 115V 32A FEED CABLE"</f>
        <v>AC SUPPLY CONTROL BOX 115V 32A FEED CABLE</v>
      </c>
      <c r="L1181">
        <v>2</v>
      </c>
      <c r="M1181" t="str">
        <f>"יח"</f>
        <v>יח</v>
      </c>
      <c r="N1181">
        <v>2</v>
      </c>
      <c r="O1181" t="str">
        <f>"יח"</f>
        <v>יח</v>
      </c>
      <c r="P1181">
        <v>688</v>
      </c>
      <c r="Q1181" t="str">
        <f>"$"</f>
        <v>$</v>
      </c>
      <c r="R1181" t="str">
        <f>"הזמנה"</f>
        <v>הזמנה</v>
      </c>
      <c r="S1181">
        <v>0</v>
      </c>
      <c r="T1181" s="2">
        <v>1376</v>
      </c>
      <c r="U1181">
        <v>0</v>
      </c>
      <c r="V1181" s="2">
        <v>1376</v>
      </c>
      <c r="W1181" t="str">
        <f>"$"</f>
        <v>$</v>
      </c>
      <c r="X1181">
        <v>0</v>
      </c>
      <c r="Y1181">
        <v>0</v>
      </c>
      <c r="Z1181">
        <v>0</v>
      </c>
      <c r="AA1181" t="str">
        <f>"Y"</f>
        <v>Y</v>
      </c>
      <c r="AB1181" t="str">
        <f>"SO22000285"</f>
        <v>SO22000285</v>
      </c>
      <c r="AC1181">
        <v>3</v>
      </c>
      <c r="AD1181" s="1">
        <v>44762</v>
      </c>
      <c r="AE1181" t="str">
        <f>"SH22001309"</f>
        <v>SH22001309</v>
      </c>
      <c r="AF1181" t="str">
        <f>"משלוחים ללקוח"</f>
        <v>משלוחים ללקוח</v>
      </c>
      <c r="AG1181" s="1">
        <v>44887</v>
      </c>
      <c r="AM1181" t="str">
        <f>"10"</f>
        <v>10</v>
      </c>
      <c r="AN1181" t="str">
        <f>"500000"</f>
        <v>500000</v>
      </c>
      <c r="AO1181" t="str">
        <f>"הכנסות  מלקוחות"</f>
        <v>הכנסות  מלקוחות</v>
      </c>
      <c r="AQ1181" t="str">
        <f>"040"</f>
        <v>040</v>
      </c>
      <c r="AR1181">
        <v>0</v>
      </c>
      <c r="AS1181">
        <v>0</v>
      </c>
      <c r="AT1181">
        <v>3.42</v>
      </c>
      <c r="AX1181" t="str">
        <f>"E000369413"</f>
        <v>E000369413</v>
      </c>
      <c r="BD1181" t="str">
        <f>"רחמים זרוק"</f>
        <v>רחמים זרוק</v>
      </c>
    </row>
    <row r="1182" spans="1:56" x14ac:dyDescent="0.3">
      <c r="A1182" s="1">
        <v>44907</v>
      </c>
      <c r="B1182" t="str">
        <f>"SI226001384"</f>
        <v>SI226001384</v>
      </c>
      <c r="C1182" t="str">
        <f>"PR22000630"</f>
        <v>PR22000630</v>
      </c>
      <c r="D1182" t="str">
        <f>"PR22000630"</f>
        <v>PR22000630</v>
      </c>
      <c r="E1182" t="str">
        <f>"Y"</f>
        <v>Y</v>
      </c>
      <c r="F1182" t="str">
        <f>"חשבוניות מרכזות"</f>
        <v>חשבוניות מרכזות</v>
      </c>
      <c r="G1182" t="str">
        <f>"700065"</f>
        <v>700065</v>
      </c>
      <c r="H1182" t="str">
        <f>"אלתא מערכות בע""מ"</f>
        <v>אלתא מערכות בע"מ</v>
      </c>
      <c r="I1182" t="str">
        <f>"10"</f>
        <v>10</v>
      </c>
      <c r="J1182" t="str">
        <f>"OP-AR03341"</f>
        <v>OP-AR03341</v>
      </c>
      <c r="K1182" t="str">
        <f>"1041M391-001    POWER CABLE WV091 - PDB1 TO RECTIFIER (L"</f>
        <v>1041M391-001    POWER CABLE WV091 - PDB1 TO RECTIFIER (L</v>
      </c>
      <c r="L1182">
        <v>6</v>
      </c>
      <c r="M1182" t="str">
        <f>"יח"</f>
        <v>יח</v>
      </c>
      <c r="N1182">
        <v>6</v>
      </c>
      <c r="O1182" t="str">
        <f>"יח"</f>
        <v>יח</v>
      </c>
      <c r="P1182">
        <v>192.73</v>
      </c>
      <c r="Q1182" t="str">
        <f>"$"</f>
        <v>$</v>
      </c>
      <c r="R1182" t="str">
        <f>"ידני"</f>
        <v>ידני</v>
      </c>
      <c r="S1182">
        <v>0</v>
      </c>
      <c r="T1182" s="2">
        <v>1156.3800000000001</v>
      </c>
      <c r="U1182">
        <v>0</v>
      </c>
      <c r="V1182" s="2">
        <v>1156.3800000000001</v>
      </c>
      <c r="W1182" t="str">
        <f>"$"</f>
        <v>$</v>
      </c>
      <c r="X1182">
        <v>0</v>
      </c>
      <c r="Y1182">
        <v>0</v>
      </c>
      <c r="Z1182">
        <v>0</v>
      </c>
      <c r="AA1182" t="str">
        <f>"Y"</f>
        <v>Y</v>
      </c>
      <c r="AB1182" t="str">
        <f>"SO22000377"</f>
        <v>SO22000377</v>
      </c>
      <c r="AC1182">
        <v>1</v>
      </c>
      <c r="AD1182" s="1">
        <v>44847</v>
      </c>
      <c r="AE1182" t="str">
        <f>"SH22001310"</f>
        <v>SH22001310</v>
      </c>
      <c r="AF1182" t="str">
        <f>"משלוחים ללקוח"</f>
        <v>משלוחים ללקוח</v>
      </c>
      <c r="AG1182" s="1">
        <v>44887</v>
      </c>
      <c r="AM1182" t="str">
        <f>"10"</f>
        <v>10</v>
      </c>
      <c r="AN1182" t="str">
        <f>"500000"</f>
        <v>500000</v>
      </c>
      <c r="AO1182" t="str">
        <f>"הכנסות  מלקוחות"</f>
        <v>הכנסות  מלקוחות</v>
      </c>
      <c r="AQ1182" t="str">
        <f>"040"</f>
        <v>040</v>
      </c>
      <c r="AR1182">
        <v>0</v>
      </c>
      <c r="AS1182">
        <v>0</v>
      </c>
      <c r="AT1182">
        <v>3.42</v>
      </c>
      <c r="AX1182" t="str">
        <f>"E000375287"</f>
        <v>E000375287</v>
      </c>
      <c r="BD1182" t="str">
        <f>"רחמים זרוק"</f>
        <v>רחמים זרוק</v>
      </c>
    </row>
    <row r="1183" spans="1:56" x14ac:dyDescent="0.3">
      <c r="A1183" s="1">
        <v>44906</v>
      </c>
      <c r="B1183" t="str">
        <f>"SI226001383"</f>
        <v>SI226001383</v>
      </c>
      <c r="E1183" t="str">
        <f>"Y"</f>
        <v>Y</v>
      </c>
      <c r="F1183" t="str">
        <f>"חשבוניות מרכזות"</f>
        <v>חשבוניות מרכזות</v>
      </c>
      <c r="G1183" t="str">
        <f>"700065"</f>
        <v>700065</v>
      </c>
      <c r="H1183" t="str">
        <f>"אלתא מערכות בע""מ"</f>
        <v>אלתא מערכות בע"מ</v>
      </c>
      <c r="I1183" t="str">
        <f>"10"</f>
        <v>10</v>
      </c>
      <c r="J1183" t="str">
        <f>"000"</f>
        <v>000</v>
      </c>
      <c r="K1183" t="str">
        <f>"צוות טכנאים בצכיה"</f>
        <v>צוות טכנאים בצכיה</v>
      </c>
      <c r="L1183">
        <v>1</v>
      </c>
      <c r="M1183" t="str">
        <f>"יח"</f>
        <v>יח</v>
      </c>
      <c r="N1183">
        <v>1</v>
      </c>
      <c r="O1183" t="str">
        <f>"יח"</f>
        <v>יח</v>
      </c>
      <c r="P1183" s="2">
        <v>4800</v>
      </c>
      <c r="Q1183" t="str">
        <f>"$"</f>
        <v>$</v>
      </c>
      <c r="R1183" t="str">
        <f>"הזמנה"</f>
        <v>הזמנה</v>
      </c>
      <c r="S1183">
        <v>0</v>
      </c>
      <c r="T1183" s="2">
        <v>4800</v>
      </c>
      <c r="U1183">
        <v>0</v>
      </c>
      <c r="V1183" s="2">
        <v>4800</v>
      </c>
      <c r="W1183" t="str">
        <f>"$"</f>
        <v>$</v>
      </c>
      <c r="X1183">
        <v>0</v>
      </c>
      <c r="Y1183">
        <v>0</v>
      </c>
      <c r="Z1183">
        <v>0</v>
      </c>
      <c r="AA1183" t="str">
        <f>"Y"</f>
        <v>Y</v>
      </c>
      <c r="AB1183" t="str">
        <f>"SO22000444"</f>
        <v>SO22000444</v>
      </c>
      <c r="AC1183">
        <v>1</v>
      </c>
      <c r="AD1183" s="1">
        <v>44901</v>
      </c>
      <c r="AM1183" t="str">
        <f>"10"</f>
        <v>10</v>
      </c>
      <c r="AN1183" t="str">
        <f>"500000"</f>
        <v>500000</v>
      </c>
      <c r="AO1183" t="str">
        <f>"הכנסות  מלקוחות"</f>
        <v>הכנסות  מלקוחות</v>
      </c>
      <c r="AQ1183" t="str">
        <f>"007"</f>
        <v>007</v>
      </c>
      <c r="AR1183">
        <v>0</v>
      </c>
      <c r="AS1183">
        <v>0</v>
      </c>
      <c r="AT1183">
        <v>3.42</v>
      </c>
      <c r="AX1183" t="str">
        <f>"E000379921"</f>
        <v>E000379921</v>
      </c>
      <c r="BD1183" t="str">
        <f>"רוני דידי"</f>
        <v>רוני דידי</v>
      </c>
    </row>
    <row r="1184" spans="1:56" x14ac:dyDescent="0.3">
      <c r="A1184" s="1">
        <v>44902</v>
      </c>
      <c r="B1184" t="str">
        <f>"SI226001375"</f>
        <v>SI226001375</v>
      </c>
      <c r="E1184" t="str">
        <f>"Y"</f>
        <v>Y</v>
      </c>
      <c r="F1184" t="str">
        <f>"חשבוניות מרכזות"</f>
        <v>חשבוניות מרכזות</v>
      </c>
      <c r="G1184" t="str">
        <f>"700065"</f>
        <v>700065</v>
      </c>
      <c r="H1184" t="str">
        <f>"אלתא מערכות בע""מ"</f>
        <v>אלתא מערכות בע"מ</v>
      </c>
      <c r="I1184" t="str">
        <f>"10"</f>
        <v>10</v>
      </c>
      <c r="J1184" t="str">
        <f>"000"</f>
        <v>000</v>
      </c>
      <c r="K1184" t="str">
        <f>"ביצוע אנליזה תרמית ליחידת PDB1 1033H520"</f>
        <v>ביצוע אנליזה תרמית ליחידת PDB1 1033H520</v>
      </c>
      <c r="L1184">
        <v>1</v>
      </c>
      <c r="M1184" t="str">
        <f>"יח"</f>
        <v>יח</v>
      </c>
      <c r="N1184">
        <v>1</v>
      </c>
      <c r="O1184" t="str">
        <f>"יח"</f>
        <v>יח</v>
      </c>
      <c r="P1184" s="2">
        <v>7777.77</v>
      </c>
      <c r="Q1184" t="str">
        <f>"$"</f>
        <v>$</v>
      </c>
      <c r="R1184" t="str">
        <f>"הזמנה"</f>
        <v>הזמנה</v>
      </c>
      <c r="S1184">
        <v>0</v>
      </c>
      <c r="T1184" s="2">
        <v>7777.77</v>
      </c>
      <c r="U1184">
        <v>0</v>
      </c>
      <c r="V1184" s="2">
        <v>7777.77</v>
      </c>
      <c r="W1184" t="str">
        <f>"$"</f>
        <v>$</v>
      </c>
      <c r="X1184">
        <v>0</v>
      </c>
      <c r="Y1184">
        <v>0</v>
      </c>
      <c r="Z1184">
        <v>0</v>
      </c>
      <c r="AA1184" t="str">
        <f>"Y"</f>
        <v>Y</v>
      </c>
      <c r="AB1184" t="str">
        <f>"SO22000441"</f>
        <v>SO22000441</v>
      </c>
      <c r="AC1184">
        <v>4</v>
      </c>
      <c r="AD1184" s="1">
        <v>44900</v>
      </c>
      <c r="AM1184" t="str">
        <f>"10"</f>
        <v>10</v>
      </c>
      <c r="AN1184" t="str">
        <f>"500000"</f>
        <v>500000</v>
      </c>
      <c r="AO1184" t="str">
        <f>"הכנסות  מלקוחות"</f>
        <v>הכנסות  מלקוחות</v>
      </c>
      <c r="AQ1184" t="str">
        <f>"034"</f>
        <v>034</v>
      </c>
      <c r="AR1184">
        <v>0</v>
      </c>
      <c r="AS1184">
        <v>0</v>
      </c>
      <c r="AT1184">
        <v>3.4079999999999999</v>
      </c>
      <c r="AX1184" t="str">
        <f>"E000377788"</f>
        <v>E000377788</v>
      </c>
      <c r="BD1184" t="str">
        <f>"ערן שלו"</f>
        <v>ערן שלו</v>
      </c>
    </row>
    <row r="1185" spans="1:56" x14ac:dyDescent="0.3">
      <c r="A1185" s="1">
        <v>44902</v>
      </c>
      <c r="B1185" t="str">
        <f>"SI226001374"</f>
        <v>SI226001374</v>
      </c>
      <c r="E1185" t="str">
        <f>"Y"</f>
        <v>Y</v>
      </c>
      <c r="F1185" t="str">
        <f>"חשבוניות מרכזות"</f>
        <v>חשבוניות מרכזות</v>
      </c>
      <c r="G1185" t="str">
        <f>"700065"</f>
        <v>700065</v>
      </c>
      <c r="H1185" t="str">
        <f>"אלתא מערכות בע""מ"</f>
        <v>אלתא מערכות בע"מ</v>
      </c>
      <c r="I1185" t="str">
        <f>"10"</f>
        <v>10</v>
      </c>
      <c r="J1185" t="str">
        <f>"000"</f>
        <v>000</v>
      </c>
      <c r="K1185" t="str">
        <f>"תוספת ליצור יחידות PDB1 בודדו"</f>
        <v>תוספת ליצור יחידות PDB1 בודדו</v>
      </c>
      <c r="L1185">
        <v>1</v>
      </c>
      <c r="M1185" t="str">
        <f>"יח"</f>
        <v>יח</v>
      </c>
      <c r="N1185">
        <v>1</v>
      </c>
      <c r="O1185" t="str">
        <f>"יח"</f>
        <v>יח</v>
      </c>
      <c r="P1185" s="2">
        <v>4000</v>
      </c>
      <c r="Q1185" t="str">
        <f>"$"</f>
        <v>$</v>
      </c>
      <c r="R1185" t="str">
        <f>"הזמנה"</f>
        <v>הזמנה</v>
      </c>
      <c r="S1185">
        <v>0</v>
      </c>
      <c r="T1185" s="2">
        <v>4000</v>
      </c>
      <c r="U1185">
        <v>0</v>
      </c>
      <c r="V1185" s="2">
        <v>4000</v>
      </c>
      <c r="W1185" t="str">
        <f>"$"</f>
        <v>$</v>
      </c>
      <c r="X1185">
        <v>0</v>
      </c>
      <c r="Y1185">
        <v>0</v>
      </c>
      <c r="Z1185">
        <v>0</v>
      </c>
      <c r="AA1185" t="str">
        <f>"Y"</f>
        <v>Y</v>
      </c>
      <c r="AB1185" t="str">
        <f>"SO22000441"</f>
        <v>SO22000441</v>
      </c>
      <c r="AC1185">
        <v>1</v>
      </c>
      <c r="AD1185" s="1">
        <v>44900</v>
      </c>
      <c r="AM1185" t="str">
        <f>"10"</f>
        <v>10</v>
      </c>
      <c r="AN1185" t="str">
        <f>"500000"</f>
        <v>500000</v>
      </c>
      <c r="AO1185" t="str">
        <f>"הכנסות  מלקוחות"</f>
        <v>הכנסות  מלקוחות</v>
      </c>
      <c r="AQ1185" t="str">
        <f>"034"</f>
        <v>034</v>
      </c>
      <c r="AR1185">
        <v>0</v>
      </c>
      <c r="AS1185">
        <v>0</v>
      </c>
      <c r="AT1185">
        <v>3.4079999999999999</v>
      </c>
      <c r="AX1185" t="str">
        <f>"E000377788"</f>
        <v>E000377788</v>
      </c>
      <c r="BD1185" t="str">
        <f>"ערן שלו"</f>
        <v>ערן שלו</v>
      </c>
    </row>
    <row r="1186" spans="1:56" x14ac:dyDescent="0.3">
      <c r="A1186" s="1">
        <v>44902</v>
      </c>
      <c r="B1186" t="str">
        <f>"SI226001373"</f>
        <v>SI226001373</v>
      </c>
      <c r="E1186" t="str">
        <f>"Y"</f>
        <v>Y</v>
      </c>
      <c r="F1186" t="str">
        <f>"חשבוניות מרכזות"</f>
        <v>חשבוניות מרכזות</v>
      </c>
      <c r="G1186" t="str">
        <f>"700065"</f>
        <v>700065</v>
      </c>
      <c r="H1186" t="str">
        <f>"אלתא מערכות בע""מ"</f>
        <v>אלתא מערכות בע"מ</v>
      </c>
      <c r="I1186" t="str">
        <f>"10"</f>
        <v>10</v>
      </c>
      <c r="J1186" t="str">
        <f>"000"</f>
        <v>000</v>
      </c>
      <c r="K1186" t="str">
        <f>"NRE"</f>
        <v>NRE</v>
      </c>
      <c r="L1186">
        <v>1</v>
      </c>
      <c r="M1186" t="str">
        <f>"יח"</f>
        <v>יח</v>
      </c>
      <c r="N1186">
        <v>1</v>
      </c>
      <c r="O1186" t="str">
        <f>"יח"</f>
        <v>יח</v>
      </c>
      <c r="P1186" s="2">
        <v>5625</v>
      </c>
      <c r="Q1186" t="str">
        <f>"$"</f>
        <v>$</v>
      </c>
      <c r="R1186" t="str">
        <f>"ידני"</f>
        <v>ידני</v>
      </c>
      <c r="S1186">
        <v>0</v>
      </c>
      <c r="T1186" s="2">
        <v>5625</v>
      </c>
      <c r="U1186">
        <v>0</v>
      </c>
      <c r="V1186" s="2">
        <v>5625</v>
      </c>
      <c r="W1186" t="str">
        <f>"$"</f>
        <v>$</v>
      </c>
      <c r="X1186">
        <v>0</v>
      </c>
      <c r="Y1186">
        <v>0</v>
      </c>
      <c r="Z1186">
        <v>0</v>
      </c>
      <c r="AA1186" t="str">
        <f>"Y"</f>
        <v>Y</v>
      </c>
      <c r="AB1186" t="str">
        <f>"SO21000090"</f>
        <v>SO21000090</v>
      </c>
      <c r="AC1186">
        <v>2</v>
      </c>
      <c r="AD1186" s="1">
        <v>44251</v>
      </c>
      <c r="AM1186" t="str">
        <f>"10"</f>
        <v>10</v>
      </c>
      <c r="AN1186" t="str">
        <f>"500000"</f>
        <v>500000</v>
      </c>
      <c r="AO1186" t="str">
        <f>"הכנסות  מלקוחות"</f>
        <v>הכנסות  מלקוחות</v>
      </c>
      <c r="AQ1186" t="str">
        <f>"034"</f>
        <v>034</v>
      </c>
      <c r="AR1186">
        <v>0</v>
      </c>
      <c r="AS1186">
        <v>0</v>
      </c>
      <c r="AT1186">
        <v>3.4079999999999999</v>
      </c>
      <c r="AX1186" t="str">
        <f>"E000332763"</f>
        <v>E000332763</v>
      </c>
      <c r="BD1186" t="str">
        <f>"ערן שלו"</f>
        <v>ערן שלו</v>
      </c>
    </row>
    <row r="1187" spans="1:56" x14ac:dyDescent="0.3">
      <c r="A1187" s="1">
        <v>44902</v>
      </c>
      <c r="B1187" t="str">
        <f>"SI226001368"</f>
        <v>SI226001368</v>
      </c>
      <c r="C1187" t="str">
        <f>"PR22000576"</f>
        <v>PR22000576</v>
      </c>
      <c r="E1187" t="str">
        <f>"Y"</f>
        <v>Y</v>
      </c>
      <c r="F1187" t="str">
        <f>"חשבוניות מרכזות"</f>
        <v>חשבוניות מרכזות</v>
      </c>
      <c r="G1187" t="str">
        <f>"700065"</f>
        <v>700065</v>
      </c>
      <c r="H1187" t="str">
        <f>"אלתא מערכות בע""מ"</f>
        <v>אלתא מערכות בע"מ</v>
      </c>
      <c r="I1187" t="str">
        <f>"10"</f>
        <v>10</v>
      </c>
      <c r="J1187" t="str">
        <f>"cust00891"</f>
        <v>cust00891</v>
      </c>
      <c r="K1187" t="str">
        <f>"1038H185-001 אלתא"</f>
        <v>1038H185-001 אלתא</v>
      </c>
      <c r="L1187">
        <v>1</v>
      </c>
      <c r="M1187" t="str">
        <f>"יח"</f>
        <v>יח</v>
      </c>
      <c r="N1187">
        <v>1</v>
      </c>
      <c r="O1187" t="str">
        <f>"יח"</f>
        <v>יח</v>
      </c>
      <c r="P1187" s="2">
        <v>1955</v>
      </c>
      <c r="Q1187" t="str">
        <f>"$"</f>
        <v>$</v>
      </c>
      <c r="R1187" t="str">
        <f>"הזמנה"</f>
        <v>הזמנה</v>
      </c>
      <c r="S1187">
        <v>0</v>
      </c>
      <c r="T1187" s="2">
        <v>1955</v>
      </c>
      <c r="U1187">
        <v>0</v>
      </c>
      <c r="V1187" s="2">
        <v>1955</v>
      </c>
      <c r="W1187" t="str">
        <f>"$"</f>
        <v>$</v>
      </c>
      <c r="X1187">
        <v>0</v>
      </c>
      <c r="Y1187">
        <v>0</v>
      </c>
      <c r="Z1187">
        <v>0</v>
      </c>
      <c r="AA1187" t="str">
        <f>"Y"</f>
        <v>Y</v>
      </c>
      <c r="AB1187" t="str">
        <f>"SO22000326"</f>
        <v>SO22000326</v>
      </c>
      <c r="AC1187">
        <v>1</v>
      </c>
      <c r="AD1187" s="1">
        <v>44788</v>
      </c>
      <c r="AE1187" t="str">
        <f>"SH22001129"</f>
        <v>SH22001129</v>
      </c>
      <c r="AF1187" t="str">
        <f>"משלוחים ללקוח"</f>
        <v>משלוחים ללקוח</v>
      </c>
      <c r="AG1187" s="1">
        <v>44818</v>
      </c>
      <c r="AM1187" t="str">
        <f>"10"</f>
        <v>10</v>
      </c>
      <c r="AN1187" t="str">
        <f>"500000"</f>
        <v>500000</v>
      </c>
      <c r="AO1187" t="str">
        <f>"הכנסות  מלקוחות"</f>
        <v>הכנסות  מלקוחות</v>
      </c>
      <c r="AQ1187" t="str">
        <f>"034"</f>
        <v>034</v>
      </c>
      <c r="AR1187">
        <v>0</v>
      </c>
      <c r="AS1187">
        <v>0</v>
      </c>
      <c r="AT1187">
        <v>3.4079999999999999</v>
      </c>
      <c r="AX1187" t="str">
        <f>"E000371868"</f>
        <v>E000371868</v>
      </c>
      <c r="BD1187" t="str">
        <f>"ערן שלו"</f>
        <v>ערן שלו</v>
      </c>
    </row>
    <row r="1188" spans="1:56" x14ac:dyDescent="0.3">
      <c r="A1188" s="1">
        <v>44901</v>
      </c>
      <c r="B1188" t="str">
        <f>"SI226001347"</f>
        <v>SI226001347</v>
      </c>
      <c r="E1188" t="str">
        <f>"Y"</f>
        <v>Y</v>
      </c>
      <c r="F1188" t="str">
        <f>"חשבוניות מרכזות"</f>
        <v>חשבוניות מרכזות</v>
      </c>
      <c r="G1188" t="str">
        <f>"700065"</f>
        <v>700065</v>
      </c>
      <c r="H1188" t="str">
        <f>"אלתא מערכות בע""מ"</f>
        <v>אלתא מערכות בע"מ</v>
      </c>
      <c r="I1188" t="str">
        <f>"10"</f>
        <v>10</v>
      </c>
      <c r="J1188" t="str">
        <f>"000"</f>
        <v>000</v>
      </c>
      <c r="K1188" t="str">
        <f>"תוספות לRPU עבור הזמנה E000312785 משאבה 05"</f>
        <v>תוספות לRPU עבור הזמנה E000312785 משאבה 05</v>
      </c>
      <c r="L1188">
        <v>1</v>
      </c>
      <c r="M1188" t="str">
        <f>"יח"</f>
        <v>יח</v>
      </c>
      <c r="N1188">
        <v>1</v>
      </c>
      <c r="O1188" t="str">
        <f>"יח"</f>
        <v>יח</v>
      </c>
      <c r="P1188" s="2">
        <v>2530</v>
      </c>
      <c r="Q1188" t="str">
        <f>"$"</f>
        <v>$</v>
      </c>
      <c r="R1188" t="str">
        <f>"ידני"</f>
        <v>ידני</v>
      </c>
      <c r="S1188">
        <v>0</v>
      </c>
      <c r="T1188" s="2">
        <v>2530</v>
      </c>
      <c r="U1188">
        <v>0</v>
      </c>
      <c r="V1188" s="2">
        <v>2530</v>
      </c>
      <c r="W1188" t="str">
        <f>"$"</f>
        <v>$</v>
      </c>
      <c r="X1188">
        <v>0</v>
      </c>
      <c r="Y1188">
        <v>0</v>
      </c>
      <c r="Z1188">
        <v>0</v>
      </c>
      <c r="AA1188" t="str">
        <f>"Y"</f>
        <v>Y</v>
      </c>
      <c r="AB1188" t="str">
        <f>"SO21000055"</f>
        <v>SO21000055</v>
      </c>
      <c r="AC1188">
        <v>14</v>
      </c>
      <c r="AD1188" s="1">
        <v>44228</v>
      </c>
      <c r="AM1188" t="str">
        <f>"10"</f>
        <v>10</v>
      </c>
      <c r="AN1188" t="str">
        <f>"500000"</f>
        <v>500000</v>
      </c>
      <c r="AO1188" t="str">
        <f>"הכנסות  מלקוחות"</f>
        <v>הכנסות  מלקוחות</v>
      </c>
      <c r="AQ1188" t="str">
        <f>"034"</f>
        <v>034</v>
      </c>
      <c r="AR1188">
        <v>0</v>
      </c>
      <c r="AS1188">
        <v>0</v>
      </c>
      <c r="AT1188">
        <v>3.3860000000000001</v>
      </c>
      <c r="AX1188" t="str">
        <f>"E000331489"</f>
        <v>E000331489</v>
      </c>
      <c r="BD1188" t="str">
        <f>"ערן שלו"</f>
        <v>ערן שלו</v>
      </c>
    </row>
    <row r="1189" spans="1:56" x14ac:dyDescent="0.3">
      <c r="A1189" s="1">
        <v>44901</v>
      </c>
      <c r="B1189" t="str">
        <f>"SI226001340"</f>
        <v>SI226001340</v>
      </c>
      <c r="E1189" t="str">
        <f>"Y"</f>
        <v>Y</v>
      </c>
      <c r="F1189" t="str">
        <f>"חשבוניות מרכזות"</f>
        <v>חשבוניות מרכזות</v>
      </c>
      <c r="G1189" t="str">
        <f>"700065"</f>
        <v>700065</v>
      </c>
      <c r="H1189" t="str">
        <f>"אלתא מערכות בע""מ"</f>
        <v>אלתא מערכות בע"מ</v>
      </c>
      <c r="I1189" t="str">
        <f>"10"</f>
        <v>10</v>
      </c>
      <c r="J1189" t="str">
        <f>"OP-ML00179"</f>
        <v>OP-ML00179</v>
      </c>
      <c r="K1189" t="str">
        <f>"1038C906-001 Radar Power Unit (RPU) Platform"</f>
        <v>1038C906-001 Radar Power Unit (RPU) Platform</v>
      </c>
      <c r="L1189">
        <v>-1</v>
      </c>
      <c r="M1189" t="str">
        <f>"יח"</f>
        <v>יח</v>
      </c>
      <c r="N1189">
        <v>-1</v>
      </c>
      <c r="O1189" t="str">
        <f>"יח"</f>
        <v>יח</v>
      </c>
      <c r="P1189" s="2">
        <v>284970</v>
      </c>
      <c r="Q1189" t="str">
        <f>"$"</f>
        <v>$</v>
      </c>
      <c r="R1189" t="str">
        <f>"הזמנה"</f>
        <v>הזמנה</v>
      </c>
      <c r="S1189">
        <v>0</v>
      </c>
      <c r="T1189" s="2">
        <v>-284970</v>
      </c>
      <c r="U1189">
        <v>0</v>
      </c>
      <c r="V1189" s="2">
        <v>-284970</v>
      </c>
      <c r="W1189" t="str">
        <f>"$"</f>
        <v>$</v>
      </c>
      <c r="X1189">
        <v>0</v>
      </c>
      <c r="Y1189">
        <v>0</v>
      </c>
      <c r="Z1189">
        <v>0</v>
      </c>
      <c r="AA1189" t="str">
        <f>"Y"</f>
        <v>Y</v>
      </c>
      <c r="AC1189">
        <v>0</v>
      </c>
      <c r="AM1189" t="str">
        <f>"10"</f>
        <v>10</v>
      </c>
      <c r="AN1189" t="str">
        <f>"500000"</f>
        <v>500000</v>
      </c>
      <c r="AO1189" t="str">
        <f>"הכנסות  מלקוחות"</f>
        <v>הכנסות  מלקוחות</v>
      </c>
      <c r="AQ1189" t="str">
        <f>"034"</f>
        <v>034</v>
      </c>
      <c r="AR1189">
        <v>0</v>
      </c>
      <c r="AS1189">
        <v>0</v>
      </c>
      <c r="AT1189">
        <v>3.379</v>
      </c>
      <c r="BB1189" t="str">
        <f>"Y"</f>
        <v>Y</v>
      </c>
      <c r="BD1189" t="str">
        <f>"ערן שלו"</f>
        <v>ערן שלו</v>
      </c>
    </row>
    <row r="1190" spans="1:56" x14ac:dyDescent="0.3">
      <c r="A1190" s="1">
        <v>44901</v>
      </c>
      <c r="B1190" t="str">
        <f>"SI226001339"</f>
        <v>SI226001339</v>
      </c>
      <c r="E1190" t="str">
        <f>"Y"</f>
        <v>Y</v>
      </c>
      <c r="F1190" t="str">
        <f>"חשבוניות מרכזות"</f>
        <v>חשבוניות מרכזות</v>
      </c>
      <c r="G1190" t="str">
        <f>"700065"</f>
        <v>700065</v>
      </c>
      <c r="H1190" t="str">
        <f>"אלתא מערכות בע""מ"</f>
        <v>אלתא מערכות בע"מ</v>
      </c>
      <c r="I1190" t="str">
        <f>"10"</f>
        <v>10</v>
      </c>
      <c r="J1190" t="str">
        <f>"000"</f>
        <v>000</v>
      </c>
      <c r="K1190" t="str">
        <f>"NRE FOR 1038C906-001"</f>
        <v>NRE FOR 1038C906-001</v>
      </c>
      <c r="L1190">
        <v>-1</v>
      </c>
      <c r="M1190" t="str">
        <f>"יח"</f>
        <v>יח</v>
      </c>
      <c r="N1190">
        <v>-1</v>
      </c>
      <c r="O1190" t="str">
        <f>"יח"</f>
        <v>יח</v>
      </c>
      <c r="P1190" s="2">
        <v>16252.5</v>
      </c>
      <c r="Q1190" t="str">
        <f>"$"</f>
        <v>$</v>
      </c>
      <c r="R1190" t="str">
        <f>"הזמנה"</f>
        <v>הזמנה</v>
      </c>
      <c r="S1190">
        <v>0</v>
      </c>
      <c r="T1190" s="2">
        <v>-16252.5</v>
      </c>
      <c r="U1190">
        <v>0</v>
      </c>
      <c r="V1190" s="2">
        <v>-16252.5</v>
      </c>
      <c r="W1190" t="str">
        <f>"$"</f>
        <v>$</v>
      </c>
      <c r="X1190">
        <v>0</v>
      </c>
      <c r="Y1190">
        <v>0</v>
      </c>
      <c r="Z1190">
        <v>0</v>
      </c>
      <c r="AA1190" t="str">
        <f>"Y"</f>
        <v>Y</v>
      </c>
      <c r="AC1190">
        <v>0</v>
      </c>
      <c r="AM1190" t="str">
        <f>"10"</f>
        <v>10</v>
      </c>
      <c r="AN1190" t="str">
        <f>"500000"</f>
        <v>500000</v>
      </c>
      <c r="AO1190" t="str">
        <f>"הכנסות  מלקוחות"</f>
        <v>הכנסות  מלקוחות</v>
      </c>
      <c r="AQ1190" t="str">
        <f>"034"</f>
        <v>034</v>
      </c>
      <c r="AR1190">
        <v>0</v>
      </c>
      <c r="AS1190">
        <v>0</v>
      </c>
      <c r="AT1190">
        <v>3.379</v>
      </c>
      <c r="BB1190" t="str">
        <f>"Y"</f>
        <v>Y</v>
      </c>
      <c r="BD1190" t="str">
        <f>"ערן שלו"</f>
        <v>ערן שלו</v>
      </c>
    </row>
    <row r="1191" spans="1:56" x14ac:dyDescent="0.3">
      <c r="A1191" s="1">
        <v>44901</v>
      </c>
      <c r="B1191" t="str">
        <f>"SI226001337"</f>
        <v>SI226001337</v>
      </c>
      <c r="E1191" t="str">
        <f>"Y"</f>
        <v>Y</v>
      </c>
      <c r="F1191" t="str">
        <f>"חשבוניות מרכזות"</f>
        <v>חשבוניות מרכזות</v>
      </c>
      <c r="G1191" t="str">
        <f>"700065"</f>
        <v>700065</v>
      </c>
      <c r="H1191" t="str">
        <f>"אלתא מערכות בע""מ"</f>
        <v>אלתא מערכות בע"מ</v>
      </c>
      <c r="I1191" t="str">
        <f>"10"</f>
        <v>10</v>
      </c>
      <c r="J1191" t="str">
        <f>"000"</f>
        <v>000</v>
      </c>
      <c r="K1191" t="str">
        <f>"NRE FOR 1038C906-001"</f>
        <v>NRE FOR 1038C906-001</v>
      </c>
      <c r="L1191">
        <v>1</v>
      </c>
      <c r="M1191" t="str">
        <f>"יח"</f>
        <v>יח</v>
      </c>
      <c r="N1191">
        <v>1</v>
      </c>
      <c r="O1191" t="str">
        <f>"יח"</f>
        <v>יח</v>
      </c>
      <c r="P1191" s="2">
        <v>16252.5</v>
      </c>
      <c r="Q1191" t="str">
        <f>"$"</f>
        <v>$</v>
      </c>
      <c r="R1191" t="str">
        <f>"הזמנה"</f>
        <v>הזמנה</v>
      </c>
      <c r="S1191">
        <v>0</v>
      </c>
      <c r="T1191" s="2">
        <v>16252.5</v>
      </c>
      <c r="U1191">
        <v>0</v>
      </c>
      <c r="V1191" s="2">
        <v>16252.5</v>
      </c>
      <c r="W1191" t="str">
        <f>"$"</f>
        <v>$</v>
      </c>
      <c r="X1191">
        <v>0</v>
      </c>
      <c r="Y1191">
        <v>0</v>
      </c>
      <c r="Z1191">
        <v>0</v>
      </c>
      <c r="AA1191" t="str">
        <f>"Y"</f>
        <v>Y</v>
      </c>
      <c r="AC1191">
        <v>0</v>
      </c>
      <c r="AM1191" t="str">
        <f>"10"</f>
        <v>10</v>
      </c>
      <c r="AN1191" t="str">
        <f>"500000"</f>
        <v>500000</v>
      </c>
      <c r="AO1191" t="str">
        <f>"הכנסות  מלקוחות"</f>
        <v>הכנסות  מלקוחות</v>
      </c>
      <c r="AQ1191" t="str">
        <f>"034"</f>
        <v>034</v>
      </c>
      <c r="AR1191">
        <v>0</v>
      </c>
      <c r="AS1191">
        <v>0</v>
      </c>
      <c r="AT1191">
        <v>3.379</v>
      </c>
      <c r="BB1191" t="str">
        <f>"Y"</f>
        <v>Y</v>
      </c>
      <c r="BD1191" t="str">
        <f>"ערן שלו"</f>
        <v>ערן שלו</v>
      </c>
    </row>
    <row r="1192" spans="1:56" x14ac:dyDescent="0.3">
      <c r="A1192" s="1">
        <v>44901</v>
      </c>
      <c r="B1192" t="str">
        <f>"SI226001336"</f>
        <v>SI226001336</v>
      </c>
      <c r="E1192" t="str">
        <f>"Y"</f>
        <v>Y</v>
      </c>
      <c r="F1192" t="str">
        <f>"חשבוניות מרכזות"</f>
        <v>חשבוניות מרכזות</v>
      </c>
      <c r="G1192" t="str">
        <f>"700065"</f>
        <v>700065</v>
      </c>
      <c r="H1192" t="str">
        <f>"אלתא מערכות בע""מ"</f>
        <v>אלתא מערכות בע"מ</v>
      </c>
      <c r="I1192" t="str">
        <f>"10"</f>
        <v>10</v>
      </c>
      <c r="J1192" t="str">
        <f>"OP-ML00179"</f>
        <v>OP-ML00179</v>
      </c>
      <c r="K1192" t="str">
        <f>"1038C906-001 Radar Power Unit (RPU) Platform"</f>
        <v>1038C906-001 Radar Power Unit (RPU) Platform</v>
      </c>
      <c r="L1192">
        <v>1</v>
      </c>
      <c r="M1192" t="str">
        <f>"יח"</f>
        <v>יח</v>
      </c>
      <c r="N1192">
        <v>1</v>
      </c>
      <c r="O1192" t="str">
        <f>"יח"</f>
        <v>יח</v>
      </c>
      <c r="P1192" s="2">
        <v>284970</v>
      </c>
      <c r="Q1192" t="str">
        <f>"$"</f>
        <v>$</v>
      </c>
      <c r="R1192" t="str">
        <f>"הזמנה"</f>
        <v>הזמנה</v>
      </c>
      <c r="S1192">
        <v>0</v>
      </c>
      <c r="T1192" s="2">
        <v>284970</v>
      </c>
      <c r="U1192">
        <v>0</v>
      </c>
      <c r="V1192" s="2">
        <v>284970</v>
      </c>
      <c r="W1192" t="str">
        <f>"$"</f>
        <v>$</v>
      </c>
      <c r="X1192">
        <v>0</v>
      </c>
      <c r="Y1192">
        <v>0</v>
      </c>
      <c r="Z1192">
        <v>0</v>
      </c>
      <c r="AA1192" t="str">
        <f>"Y"</f>
        <v>Y</v>
      </c>
      <c r="AC1192">
        <v>0</v>
      </c>
      <c r="AM1192" t="str">
        <f>"10"</f>
        <v>10</v>
      </c>
      <c r="AN1192" t="str">
        <f>"500000"</f>
        <v>500000</v>
      </c>
      <c r="AO1192" t="str">
        <f>"הכנסות  מלקוחות"</f>
        <v>הכנסות  מלקוחות</v>
      </c>
      <c r="AQ1192" t="str">
        <f>"034"</f>
        <v>034</v>
      </c>
      <c r="AR1192">
        <v>0</v>
      </c>
      <c r="AS1192">
        <v>0</v>
      </c>
      <c r="AT1192">
        <v>3.379</v>
      </c>
      <c r="BB1192" t="str">
        <f>"Y"</f>
        <v>Y</v>
      </c>
      <c r="BD1192" t="str">
        <f>"ערן שלו"</f>
        <v>ערן שלו</v>
      </c>
    </row>
    <row r="1193" spans="1:56" x14ac:dyDescent="0.3">
      <c r="A1193" s="1">
        <v>44900</v>
      </c>
      <c r="B1193" t="str">
        <f>"SI226001342"</f>
        <v>SI226001342</v>
      </c>
      <c r="E1193" t="str">
        <f>"Y"</f>
        <v>Y</v>
      </c>
      <c r="F1193" t="str">
        <f>"חשבוניות מרכזות"</f>
        <v>חשבוניות מרכזות</v>
      </c>
      <c r="G1193" t="str">
        <f>"700065"</f>
        <v>700065</v>
      </c>
      <c r="H1193" t="str">
        <f>"אלתא מערכות בע""מ"</f>
        <v>אלתא מערכות בע"מ</v>
      </c>
      <c r="I1193" t="str">
        <f>"10"</f>
        <v>10</v>
      </c>
      <c r="J1193" t="str">
        <f>"000"</f>
        <v>000</v>
      </c>
      <c r="K1193" t="str">
        <f>"NRE FOR 1038C906-001"</f>
        <v>NRE FOR 1038C906-001</v>
      </c>
      <c r="L1193">
        <v>1</v>
      </c>
      <c r="M1193" t="str">
        <f>"יח"</f>
        <v>יח</v>
      </c>
      <c r="N1193">
        <v>1</v>
      </c>
      <c r="O1193" t="str">
        <f>"יח"</f>
        <v>יח</v>
      </c>
      <c r="P1193" s="2">
        <v>16252.5</v>
      </c>
      <c r="Q1193" t="str">
        <f>"$"</f>
        <v>$</v>
      </c>
      <c r="R1193" t="str">
        <f>"ידני"</f>
        <v>ידני</v>
      </c>
      <c r="S1193">
        <v>0</v>
      </c>
      <c r="T1193" s="2">
        <v>16252.5</v>
      </c>
      <c r="U1193">
        <v>0</v>
      </c>
      <c r="V1193" s="2">
        <v>16252.5</v>
      </c>
      <c r="W1193" t="str">
        <f>"$"</f>
        <v>$</v>
      </c>
      <c r="X1193">
        <v>0</v>
      </c>
      <c r="Y1193">
        <v>0</v>
      </c>
      <c r="Z1193">
        <v>0</v>
      </c>
      <c r="AA1193" t="str">
        <f>"Y"</f>
        <v>Y</v>
      </c>
      <c r="AC1193">
        <v>0</v>
      </c>
      <c r="AM1193" t="str">
        <f>"10"</f>
        <v>10</v>
      </c>
      <c r="AN1193" t="str">
        <f>"500000"</f>
        <v>500000</v>
      </c>
      <c r="AO1193" t="str">
        <f>"הכנסות  מלקוחות"</f>
        <v>הכנסות  מלקוחות</v>
      </c>
      <c r="AQ1193" t="str">
        <f>"034"</f>
        <v>034</v>
      </c>
      <c r="AR1193">
        <v>0</v>
      </c>
      <c r="AS1193">
        <v>0</v>
      </c>
      <c r="AT1193">
        <v>3.3860000000000001</v>
      </c>
      <c r="BB1193" t="str">
        <f>"Y"</f>
        <v>Y</v>
      </c>
      <c r="BD1193" t="str">
        <f>"ערן שלו"</f>
        <v>ערן שלו</v>
      </c>
    </row>
    <row r="1194" spans="1:56" x14ac:dyDescent="0.3">
      <c r="A1194" s="1">
        <v>44900</v>
      </c>
      <c r="B1194" t="str">
        <f>"SI226001341"</f>
        <v>SI226001341</v>
      </c>
      <c r="E1194" t="str">
        <f>"Y"</f>
        <v>Y</v>
      </c>
      <c r="F1194" t="str">
        <f>"חשבוניות מרכזות"</f>
        <v>חשבוניות מרכזות</v>
      </c>
      <c r="G1194" t="str">
        <f>"700065"</f>
        <v>700065</v>
      </c>
      <c r="H1194" t="str">
        <f>"אלתא מערכות בע""מ"</f>
        <v>אלתא מערכות בע"מ</v>
      </c>
      <c r="I1194" t="str">
        <f>"10"</f>
        <v>10</v>
      </c>
      <c r="J1194" t="str">
        <f>"OP-ML00179"</f>
        <v>OP-ML00179</v>
      </c>
      <c r="K1194" t="str">
        <f>"1038C906-001 Radar Power Unit (RPU) Platform"</f>
        <v>1038C906-001 Radar Power Unit (RPU) Platform</v>
      </c>
      <c r="L1194">
        <v>1</v>
      </c>
      <c r="M1194" t="str">
        <f>"יח"</f>
        <v>יח</v>
      </c>
      <c r="N1194">
        <v>1</v>
      </c>
      <c r="O1194" t="str">
        <f>"יח"</f>
        <v>יח</v>
      </c>
      <c r="P1194" s="2">
        <v>284970</v>
      </c>
      <c r="Q1194" t="str">
        <f>"$"</f>
        <v>$</v>
      </c>
      <c r="R1194" t="str">
        <f>"ידני"</f>
        <v>ידני</v>
      </c>
      <c r="S1194">
        <v>0</v>
      </c>
      <c r="T1194" s="2">
        <v>284970</v>
      </c>
      <c r="U1194">
        <v>0</v>
      </c>
      <c r="V1194" s="2">
        <v>284970</v>
      </c>
      <c r="W1194" t="str">
        <f>"$"</f>
        <v>$</v>
      </c>
      <c r="X1194">
        <v>0</v>
      </c>
      <c r="Y1194">
        <v>0</v>
      </c>
      <c r="Z1194">
        <v>0</v>
      </c>
      <c r="AA1194" t="str">
        <f>"Y"</f>
        <v>Y</v>
      </c>
      <c r="AC1194">
        <v>0</v>
      </c>
      <c r="AM1194" t="str">
        <f>"10"</f>
        <v>10</v>
      </c>
      <c r="AN1194" t="str">
        <f>"500000"</f>
        <v>500000</v>
      </c>
      <c r="AO1194" t="str">
        <f>"הכנסות  מלקוחות"</f>
        <v>הכנסות  מלקוחות</v>
      </c>
      <c r="AQ1194" t="str">
        <f>"034"</f>
        <v>034</v>
      </c>
      <c r="AR1194">
        <v>0</v>
      </c>
      <c r="AS1194">
        <v>0</v>
      </c>
      <c r="AT1194">
        <v>3.3860000000000001</v>
      </c>
      <c r="BB1194" t="str">
        <f>"Y"</f>
        <v>Y</v>
      </c>
      <c r="BD1194" t="str">
        <f>"ערן שלו"</f>
        <v>ערן שלו</v>
      </c>
    </row>
    <row r="1195" spans="1:56" x14ac:dyDescent="0.3">
      <c r="A1195" s="1">
        <v>44900</v>
      </c>
      <c r="B1195" t="str">
        <f>"SI226001335"</f>
        <v>SI226001335</v>
      </c>
      <c r="E1195" t="str">
        <f>"Y"</f>
        <v>Y</v>
      </c>
      <c r="F1195" t="str">
        <f>"חשבוניות מרכזות"</f>
        <v>חשבוניות מרכזות</v>
      </c>
      <c r="G1195" t="str">
        <f>"700065"</f>
        <v>700065</v>
      </c>
      <c r="H1195" t="str">
        <f>"אלתא מערכות בע""מ"</f>
        <v>אלתא מערכות בע"מ</v>
      </c>
      <c r="I1195" t="str">
        <f>"10"</f>
        <v>10</v>
      </c>
      <c r="J1195" t="str">
        <f>"OP-ML00179"</f>
        <v>OP-ML00179</v>
      </c>
      <c r="K1195" t="str">
        <f>"1038C906-001 Radar Power Unit (RPU) Platform"</f>
        <v>1038C906-001 Radar Power Unit (RPU) Platform</v>
      </c>
      <c r="L1195">
        <v>-1</v>
      </c>
      <c r="M1195" t="str">
        <f>"יח"</f>
        <v>יח</v>
      </c>
      <c r="N1195">
        <v>-1</v>
      </c>
      <c r="O1195" t="str">
        <f>"יח"</f>
        <v>יח</v>
      </c>
      <c r="P1195" s="2">
        <v>284970</v>
      </c>
      <c r="Q1195" t="str">
        <f>"$"</f>
        <v>$</v>
      </c>
      <c r="R1195" t="str">
        <f>"הזמנה"</f>
        <v>הזמנה</v>
      </c>
      <c r="S1195">
        <v>0</v>
      </c>
      <c r="T1195" s="2">
        <v>-284970</v>
      </c>
      <c r="U1195">
        <v>0</v>
      </c>
      <c r="V1195" s="2">
        <v>-284970</v>
      </c>
      <c r="W1195" t="str">
        <f>"$"</f>
        <v>$</v>
      </c>
      <c r="X1195">
        <v>0</v>
      </c>
      <c r="Y1195">
        <v>0</v>
      </c>
      <c r="Z1195">
        <v>0</v>
      </c>
      <c r="AA1195" t="str">
        <f>"Y"</f>
        <v>Y</v>
      </c>
      <c r="AC1195">
        <v>0</v>
      </c>
      <c r="AM1195" t="str">
        <f>"10"</f>
        <v>10</v>
      </c>
      <c r="AN1195" t="str">
        <f>"500000"</f>
        <v>500000</v>
      </c>
      <c r="AO1195" t="str">
        <f>"הכנסות  מלקוחות"</f>
        <v>הכנסות  מלקוחות</v>
      </c>
      <c r="AQ1195" t="str">
        <f>"034"</f>
        <v>034</v>
      </c>
      <c r="AR1195">
        <v>0</v>
      </c>
      <c r="AS1195">
        <v>0</v>
      </c>
      <c r="AT1195">
        <v>3.379</v>
      </c>
      <c r="BB1195" t="str">
        <f>"Y"</f>
        <v>Y</v>
      </c>
      <c r="BD1195" t="str">
        <f>"ערן שלו"</f>
        <v>ערן שלו</v>
      </c>
    </row>
    <row r="1196" spans="1:56" x14ac:dyDescent="0.3">
      <c r="A1196" s="1">
        <v>44900</v>
      </c>
      <c r="B1196" t="str">
        <f>"SI226001335"</f>
        <v>SI226001335</v>
      </c>
      <c r="E1196" t="str">
        <f>"Y"</f>
        <v>Y</v>
      </c>
      <c r="F1196" t="str">
        <f>"חשבוניות מרכזות"</f>
        <v>חשבוניות מרכזות</v>
      </c>
      <c r="G1196" t="str">
        <f>"700065"</f>
        <v>700065</v>
      </c>
      <c r="H1196" t="str">
        <f>"אלתא מערכות בע""מ"</f>
        <v>אלתא מערכות בע"מ</v>
      </c>
      <c r="I1196" t="str">
        <f>"10"</f>
        <v>10</v>
      </c>
      <c r="J1196" t="str">
        <f>"000"</f>
        <v>000</v>
      </c>
      <c r="K1196" t="str">
        <f>"NRE FOR 1038C906-001"</f>
        <v>NRE FOR 1038C906-001</v>
      </c>
      <c r="L1196">
        <v>-1</v>
      </c>
      <c r="M1196" t="str">
        <f>"יח"</f>
        <v>יח</v>
      </c>
      <c r="N1196">
        <v>-1</v>
      </c>
      <c r="O1196" t="str">
        <f>"יח"</f>
        <v>יח</v>
      </c>
      <c r="P1196" s="2">
        <v>16252.5</v>
      </c>
      <c r="Q1196" t="str">
        <f>"$"</f>
        <v>$</v>
      </c>
      <c r="R1196" t="str">
        <f>"הזמנה"</f>
        <v>הזמנה</v>
      </c>
      <c r="S1196">
        <v>0</v>
      </c>
      <c r="T1196" s="2">
        <v>-16252.5</v>
      </c>
      <c r="U1196">
        <v>0</v>
      </c>
      <c r="V1196" s="2">
        <v>-16252.5</v>
      </c>
      <c r="W1196" t="str">
        <f>"$"</f>
        <v>$</v>
      </c>
      <c r="X1196">
        <v>0</v>
      </c>
      <c r="Y1196">
        <v>0</v>
      </c>
      <c r="Z1196">
        <v>0</v>
      </c>
      <c r="AA1196" t="str">
        <f>"Y"</f>
        <v>Y</v>
      </c>
      <c r="AC1196">
        <v>0</v>
      </c>
      <c r="AM1196" t="str">
        <f>"10"</f>
        <v>10</v>
      </c>
      <c r="AN1196" t="str">
        <f>"500000"</f>
        <v>500000</v>
      </c>
      <c r="AO1196" t="str">
        <f>"הכנסות  מלקוחות"</f>
        <v>הכנסות  מלקוחות</v>
      </c>
      <c r="AQ1196" t="str">
        <f>"034"</f>
        <v>034</v>
      </c>
      <c r="AR1196">
        <v>0</v>
      </c>
      <c r="AS1196">
        <v>0</v>
      </c>
      <c r="AT1196">
        <v>3.379</v>
      </c>
      <c r="BB1196" t="str">
        <f>"Y"</f>
        <v>Y</v>
      </c>
      <c r="BD1196" t="str">
        <f>"ערן שלו"</f>
        <v>ערן שלו</v>
      </c>
    </row>
    <row r="1197" spans="1:56" x14ac:dyDescent="0.3">
      <c r="A1197" s="1">
        <v>44900</v>
      </c>
      <c r="B1197" t="str">
        <f>"SI226001334"</f>
        <v>SI226001334</v>
      </c>
      <c r="E1197" t="str">
        <f>"Y"</f>
        <v>Y</v>
      </c>
      <c r="F1197" t="str">
        <f>"חשבוניות מרכזות"</f>
        <v>חשבוניות מרכזות</v>
      </c>
      <c r="G1197" t="str">
        <f>"700065"</f>
        <v>700065</v>
      </c>
      <c r="H1197" t="str">
        <f>"אלתא מערכות בע""מ"</f>
        <v>אלתא מערכות בע"מ</v>
      </c>
      <c r="I1197" t="str">
        <f>"10"</f>
        <v>10</v>
      </c>
      <c r="J1197" t="str">
        <f>"000"</f>
        <v>000</v>
      </c>
      <c r="K1197" t="str">
        <f>"תוספת עלות לייצור לאחר שינויים ב-RPS7"</f>
        <v>תוספת עלות לייצור לאחר שינויים ב-RPS7</v>
      </c>
      <c r="L1197">
        <v>1</v>
      </c>
      <c r="M1197" t="str">
        <f>"יח"</f>
        <v>יח</v>
      </c>
      <c r="N1197">
        <v>1</v>
      </c>
      <c r="O1197" t="str">
        <f>"יח"</f>
        <v>יח</v>
      </c>
      <c r="P1197" s="2">
        <v>25000</v>
      </c>
      <c r="Q1197" t="str">
        <f>"$"</f>
        <v>$</v>
      </c>
      <c r="R1197" t="str">
        <f>"הזמנה"</f>
        <v>הזמנה</v>
      </c>
      <c r="S1197">
        <v>0</v>
      </c>
      <c r="T1197" s="2">
        <v>25000</v>
      </c>
      <c r="U1197">
        <v>0</v>
      </c>
      <c r="V1197" s="2">
        <v>25000</v>
      </c>
      <c r="W1197" t="str">
        <f>"$"</f>
        <v>$</v>
      </c>
      <c r="X1197">
        <v>0</v>
      </c>
      <c r="Y1197">
        <v>0</v>
      </c>
      <c r="Z1197">
        <v>0</v>
      </c>
      <c r="AA1197" t="str">
        <f>"Y"</f>
        <v>Y</v>
      </c>
      <c r="AB1197" t="str">
        <f>"SO22000061"</f>
        <v>SO22000061</v>
      </c>
      <c r="AC1197">
        <v>7</v>
      </c>
      <c r="AD1197" s="1">
        <v>44612</v>
      </c>
      <c r="AM1197" t="str">
        <f>"10"</f>
        <v>10</v>
      </c>
      <c r="AN1197" t="str">
        <f>"500000"</f>
        <v>500000</v>
      </c>
      <c r="AO1197" t="str">
        <f>"הכנסות  מלקוחות"</f>
        <v>הכנסות  מלקוחות</v>
      </c>
      <c r="AQ1197" t="str">
        <f>"034"</f>
        <v>034</v>
      </c>
      <c r="AR1197">
        <v>0</v>
      </c>
      <c r="AS1197">
        <v>0</v>
      </c>
      <c r="AT1197">
        <v>3.379</v>
      </c>
      <c r="AX1197" t="str">
        <f>"E000356936"</f>
        <v>E000356936</v>
      </c>
      <c r="BD1197" t="str">
        <f>"ערן שלו"</f>
        <v>ערן שלו</v>
      </c>
    </row>
    <row r="1198" spans="1:56" x14ac:dyDescent="0.3">
      <c r="A1198" s="1">
        <v>44900</v>
      </c>
      <c r="B1198" t="str">
        <f>"SI226001333"</f>
        <v>SI226001333</v>
      </c>
      <c r="E1198" t="str">
        <f>"Y"</f>
        <v>Y</v>
      </c>
      <c r="F1198" t="str">
        <f>"חשבוניות מרכזות"</f>
        <v>חשבוניות מרכזות</v>
      </c>
      <c r="G1198" t="str">
        <f>"700065"</f>
        <v>700065</v>
      </c>
      <c r="H1198" t="str">
        <f>"אלתא מערכות בע""מ"</f>
        <v>אלתא מערכות בע"מ</v>
      </c>
      <c r="I1198" t="str">
        <f>"10"</f>
        <v>10</v>
      </c>
      <c r="J1198" t="str">
        <f>"000"</f>
        <v>000</v>
      </c>
      <c r="K1198" t="str">
        <f>"תוספת עבור חומר גלם וש""ע בייצור ה RPU"</f>
        <v>תוספת עבור חומר גלם וש"ע בייצור ה RPU</v>
      </c>
      <c r="L1198">
        <v>1</v>
      </c>
      <c r="M1198" t="str">
        <f>"יח"</f>
        <v>יח</v>
      </c>
      <c r="N1198">
        <v>1</v>
      </c>
      <c r="O1198" t="str">
        <f>"יח"</f>
        <v>יח</v>
      </c>
      <c r="P1198" s="2">
        <v>25000</v>
      </c>
      <c r="Q1198" t="str">
        <f>"$"</f>
        <v>$</v>
      </c>
      <c r="R1198" t="str">
        <f>"הזמנה"</f>
        <v>הזמנה</v>
      </c>
      <c r="S1198">
        <v>0</v>
      </c>
      <c r="T1198" s="2">
        <v>25000</v>
      </c>
      <c r="U1198">
        <v>0</v>
      </c>
      <c r="V1198" s="2">
        <v>25000</v>
      </c>
      <c r="W1198" t="str">
        <f>"$"</f>
        <v>$</v>
      </c>
      <c r="X1198">
        <v>0</v>
      </c>
      <c r="Y1198">
        <v>0</v>
      </c>
      <c r="Z1198">
        <v>0</v>
      </c>
      <c r="AA1198" t="str">
        <f>"Y"</f>
        <v>Y</v>
      </c>
      <c r="AB1198" t="str">
        <f>"SO21000418"</f>
        <v>SO21000418</v>
      </c>
      <c r="AC1198">
        <v>9</v>
      </c>
      <c r="AD1198" s="1">
        <v>44474</v>
      </c>
      <c r="AM1198" t="str">
        <f>"10"</f>
        <v>10</v>
      </c>
      <c r="AN1198" t="str">
        <f>"500000"</f>
        <v>500000</v>
      </c>
      <c r="AO1198" t="str">
        <f>"הכנסות  מלקוחות"</f>
        <v>הכנסות  מלקוחות</v>
      </c>
      <c r="AQ1198" t="str">
        <f>"034"</f>
        <v>034</v>
      </c>
      <c r="AR1198">
        <v>0</v>
      </c>
      <c r="AS1198">
        <v>0</v>
      </c>
      <c r="AT1198">
        <v>3.379</v>
      </c>
      <c r="AX1198" t="str">
        <f>"E000346956"</f>
        <v>E000346956</v>
      </c>
      <c r="BD1198" t="str">
        <f>"ערן שלו"</f>
        <v>ערן שלו</v>
      </c>
    </row>
    <row r="1199" spans="1:56" x14ac:dyDescent="0.3">
      <c r="A1199" s="1">
        <v>44900</v>
      </c>
      <c r="B1199" t="str">
        <f>"SI226001332"</f>
        <v>SI226001332</v>
      </c>
      <c r="E1199" t="str">
        <f>"Y"</f>
        <v>Y</v>
      </c>
      <c r="F1199" t="str">
        <f>"חשבוניות מרכזות"</f>
        <v>חשבוניות מרכזות</v>
      </c>
      <c r="G1199" t="str">
        <f>"700065"</f>
        <v>700065</v>
      </c>
      <c r="H1199" t="str">
        <f>"אלתא מערכות בע""מ"</f>
        <v>אלתא מערכות בע"מ</v>
      </c>
      <c r="I1199" t="str">
        <f>"10"</f>
        <v>10</v>
      </c>
      <c r="J1199" t="str">
        <f>"000"</f>
        <v>000</v>
      </c>
      <c r="K1199" t="str">
        <f>"תוספות לRPU עבור הזמנה E000312785 בקרה"</f>
        <v>תוספות לRPU עבור הזמנה E000312785 בקרה</v>
      </c>
      <c r="L1199">
        <v>1</v>
      </c>
      <c r="M1199" t="str">
        <f>"יח"</f>
        <v>יח</v>
      </c>
      <c r="N1199">
        <v>1</v>
      </c>
      <c r="O1199" t="str">
        <f>"יח"</f>
        <v>יח</v>
      </c>
      <c r="P1199" s="2">
        <v>32780</v>
      </c>
      <c r="Q1199" t="str">
        <f>"$"</f>
        <v>$</v>
      </c>
      <c r="R1199" t="str">
        <f>"הזמנה"</f>
        <v>הזמנה</v>
      </c>
      <c r="S1199">
        <v>0</v>
      </c>
      <c r="T1199" s="2">
        <v>32780</v>
      </c>
      <c r="U1199">
        <v>0</v>
      </c>
      <c r="V1199" s="2">
        <v>32780</v>
      </c>
      <c r="W1199" t="str">
        <f>"$"</f>
        <v>$</v>
      </c>
      <c r="X1199">
        <v>0</v>
      </c>
      <c r="Y1199">
        <v>0</v>
      </c>
      <c r="Z1199">
        <v>0</v>
      </c>
      <c r="AA1199" t="str">
        <f>"Y"</f>
        <v>Y</v>
      </c>
      <c r="AB1199" t="str">
        <f>"SO21000055"</f>
        <v>SO21000055</v>
      </c>
      <c r="AC1199">
        <v>10</v>
      </c>
      <c r="AD1199" s="1">
        <v>44228</v>
      </c>
      <c r="AM1199" t="str">
        <f>"10"</f>
        <v>10</v>
      </c>
      <c r="AN1199" t="str">
        <f>"500000"</f>
        <v>500000</v>
      </c>
      <c r="AO1199" t="str">
        <f>"הכנסות  מלקוחות"</f>
        <v>הכנסות  מלקוחות</v>
      </c>
      <c r="AQ1199" t="str">
        <f>"034"</f>
        <v>034</v>
      </c>
      <c r="AR1199">
        <v>0</v>
      </c>
      <c r="AS1199">
        <v>0</v>
      </c>
      <c r="AT1199">
        <v>3.379</v>
      </c>
      <c r="AX1199" t="str">
        <f>"E000331489"</f>
        <v>E000331489</v>
      </c>
      <c r="BD1199" t="str">
        <f>"ערן שלו"</f>
        <v>ערן שלו</v>
      </c>
    </row>
    <row r="1200" spans="1:56" x14ac:dyDescent="0.3">
      <c r="A1200" s="1">
        <v>44900</v>
      </c>
      <c r="B1200" t="str">
        <f>"SI226001332"</f>
        <v>SI226001332</v>
      </c>
      <c r="E1200" t="str">
        <f>"Y"</f>
        <v>Y</v>
      </c>
      <c r="F1200" t="str">
        <f>"חשבוניות מרכזות"</f>
        <v>חשבוניות מרכזות</v>
      </c>
      <c r="G1200" t="str">
        <f>"700065"</f>
        <v>700065</v>
      </c>
      <c r="H1200" t="str">
        <f>"אלתא מערכות בע""מ"</f>
        <v>אלתא מערכות בע"מ</v>
      </c>
      <c r="I1200" t="str">
        <f>"10"</f>
        <v>10</v>
      </c>
      <c r="J1200" t="str">
        <f>"000"</f>
        <v>000</v>
      </c>
      <c r="K1200" t="str">
        <f>"תוספות לRPU עבור הזמנה E000312785 משאבה"</f>
        <v>תוספות לRPU עבור הזמנה E000312785 משאבה</v>
      </c>
      <c r="L1200">
        <v>1</v>
      </c>
      <c r="M1200" t="str">
        <f>"יח"</f>
        <v>יח</v>
      </c>
      <c r="N1200">
        <v>1</v>
      </c>
      <c r="O1200" t="str">
        <f>"יח"</f>
        <v>יח</v>
      </c>
      <c r="P1200" s="2">
        <v>2530</v>
      </c>
      <c r="Q1200" t="str">
        <f>"$"</f>
        <v>$</v>
      </c>
      <c r="R1200" t="str">
        <f>"הזמנה"</f>
        <v>הזמנה</v>
      </c>
      <c r="S1200">
        <v>0</v>
      </c>
      <c r="T1200" s="2">
        <v>2530</v>
      </c>
      <c r="U1200">
        <v>0</v>
      </c>
      <c r="V1200" s="2">
        <v>2530</v>
      </c>
      <c r="W1200" t="str">
        <f>"$"</f>
        <v>$</v>
      </c>
      <c r="X1200">
        <v>0</v>
      </c>
      <c r="Y1200">
        <v>0</v>
      </c>
      <c r="Z1200">
        <v>0</v>
      </c>
      <c r="AA1200" t="str">
        <f>"Y"</f>
        <v>Y</v>
      </c>
      <c r="AB1200" t="str">
        <f>"SO21000055"</f>
        <v>SO21000055</v>
      </c>
      <c r="AC1200">
        <v>15</v>
      </c>
      <c r="AD1200" s="1">
        <v>44228</v>
      </c>
      <c r="AM1200" t="str">
        <f>"10"</f>
        <v>10</v>
      </c>
      <c r="AN1200" t="str">
        <f>"500000"</f>
        <v>500000</v>
      </c>
      <c r="AO1200" t="str">
        <f>"הכנסות  מלקוחות"</f>
        <v>הכנסות  מלקוחות</v>
      </c>
      <c r="AQ1200" t="str">
        <f>"034"</f>
        <v>034</v>
      </c>
      <c r="AR1200">
        <v>0</v>
      </c>
      <c r="AS1200">
        <v>0</v>
      </c>
      <c r="AT1200">
        <v>3.379</v>
      </c>
      <c r="AX1200" t="str">
        <f>"E000331489"</f>
        <v>E000331489</v>
      </c>
      <c r="BD1200" t="str">
        <f>"ערן שלו"</f>
        <v>ערן שלו</v>
      </c>
    </row>
    <row r="1201" spans="1:56" x14ac:dyDescent="0.3">
      <c r="A1201" s="1">
        <v>44900</v>
      </c>
      <c r="B1201" t="str">
        <f>"SI226001331"</f>
        <v>SI226001331</v>
      </c>
      <c r="E1201" t="str">
        <f>"Y"</f>
        <v>Y</v>
      </c>
      <c r="F1201" t="str">
        <f>"חשבוניות מרכזות"</f>
        <v>חשבוניות מרכזות</v>
      </c>
      <c r="G1201" t="str">
        <f>"700065"</f>
        <v>700065</v>
      </c>
      <c r="H1201" t="str">
        <f>"אלתא מערכות בע""מ"</f>
        <v>אלתא מערכות בע"מ</v>
      </c>
      <c r="I1201" t="str">
        <f>"10"</f>
        <v>10</v>
      </c>
      <c r="J1201" t="str">
        <f>"OP-ML00179"</f>
        <v>OP-ML00179</v>
      </c>
      <c r="K1201" t="str">
        <f>"1038C906-001 Radar Power Unit (RPU) Platform"</f>
        <v>1038C906-001 Radar Power Unit (RPU) Platform</v>
      </c>
      <c r="L1201">
        <v>1</v>
      </c>
      <c r="M1201" t="str">
        <f>"יח"</f>
        <v>יח</v>
      </c>
      <c r="N1201">
        <v>1</v>
      </c>
      <c r="O1201" t="str">
        <f>"יח"</f>
        <v>יח</v>
      </c>
      <c r="P1201" s="2">
        <v>284970</v>
      </c>
      <c r="Q1201" t="str">
        <f>"$"</f>
        <v>$</v>
      </c>
      <c r="R1201" t="str">
        <f>"הזמנה"</f>
        <v>הזמנה</v>
      </c>
      <c r="S1201">
        <v>0</v>
      </c>
      <c r="T1201" s="2">
        <v>284970</v>
      </c>
      <c r="U1201">
        <v>0</v>
      </c>
      <c r="V1201" s="2">
        <v>284970</v>
      </c>
      <c r="W1201" t="str">
        <f>"$"</f>
        <v>$</v>
      </c>
      <c r="X1201">
        <v>0</v>
      </c>
      <c r="Y1201">
        <v>0</v>
      </c>
      <c r="Z1201">
        <v>0</v>
      </c>
      <c r="AA1201" t="str">
        <f>"Y"</f>
        <v>Y</v>
      </c>
      <c r="AC1201">
        <v>0</v>
      </c>
      <c r="AM1201" t="str">
        <f>"10"</f>
        <v>10</v>
      </c>
      <c r="AN1201" t="str">
        <f>"500000"</f>
        <v>500000</v>
      </c>
      <c r="AO1201" t="str">
        <f>"הכנסות  מלקוחות"</f>
        <v>הכנסות  מלקוחות</v>
      </c>
      <c r="AQ1201" t="str">
        <f>"034"</f>
        <v>034</v>
      </c>
      <c r="AR1201">
        <v>0</v>
      </c>
      <c r="AS1201">
        <v>0</v>
      </c>
      <c r="AT1201">
        <v>3.379</v>
      </c>
      <c r="BB1201" t="str">
        <f>"Y"</f>
        <v>Y</v>
      </c>
      <c r="BD1201" t="str">
        <f>"ערן שלו"</f>
        <v>ערן שלו</v>
      </c>
    </row>
    <row r="1202" spans="1:56" x14ac:dyDescent="0.3">
      <c r="A1202" s="1">
        <v>44900</v>
      </c>
      <c r="B1202" t="str">
        <f>"SI226001331"</f>
        <v>SI226001331</v>
      </c>
      <c r="E1202" t="str">
        <f>"Y"</f>
        <v>Y</v>
      </c>
      <c r="F1202" t="str">
        <f>"חשבוניות מרכזות"</f>
        <v>חשבוניות מרכזות</v>
      </c>
      <c r="G1202" t="str">
        <f>"700065"</f>
        <v>700065</v>
      </c>
      <c r="H1202" t="str">
        <f>"אלתא מערכות בע""מ"</f>
        <v>אלתא מערכות בע"מ</v>
      </c>
      <c r="I1202" t="str">
        <f>"10"</f>
        <v>10</v>
      </c>
      <c r="J1202" t="str">
        <f>"000"</f>
        <v>000</v>
      </c>
      <c r="K1202" t="str">
        <f>"NRE FOR 1038C906-001"</f>
        <v>NRE FOR 1038C906-001</v>
      </c>
      <c r="L1202">
        <v>1</v>
      </c>
      <c r="M1202" t="str">
        <f>"יח"</f>
        <v>יח</v>
      </c>
      <c r="N1202">
        <v>1</v>
      </c>
      <c r="O1202" t="str">
        <f>"יח"</f>
        <v>יח</v>
      </c>
      <c r="P1202" s="2">
        <v>16252.5</v>
      </c>
      <c r="Q1202" t="str">
        <f>"$"</f>
        <v>$</v>
      </c>
      <c r="R1202" t="str">
        <f>"הזמנה"</f>
        <v>הזמנה</v>
      </c>
      <c r="S1202">
        <v>0</v>
      </c>
      <c r="T1202" s="2">
        <v>16252.5</v>
      </c>
      <c r="U1202">
        <v>0</v>
      </c>
      <c r="V1202" s="2">
        <v>16252.5</v>
      </c>
      <c r="W1202" t="str">
        <f>"$"</f>
        <v>$</v>
      </c>
      <c r="X1202">
        <v>0</v>
      </c>
      <c r="Y1202">
        <v>0</v>
      </c>
      <c r="Z1202">
        <v>0</v>
      </c>
      <c r="AA1202" t="str">
        <f>"Y"</f>
        <v>Y</v>
      </c>
      <c r="AC1202">
        <v>0</v>
      </c>
      <c r="AM1202" t="str">
        <f>"10"</f>
        <v>10</v>
      </c>
      <c r="AN1202" t="str">
        <f>"500000"</f>
        <v>500000</v>
      </c>
      <c r="AO1202" t="str">
        <f>"הכנסות  מלקוחות"</f>
        <v>הכנסות  מלקוחות</v>
      </c>
      <c r="AQ1202" t="str">
        <f>"034"</f>
        <v>034</v>
      </c>
      <c r="AR1202">
        <v>0</v>
      </c>
      <c r="AS1202">
        <v>0</v>
      </c>
      <c r="AT1202">
        <v>3.379</v>
      </c>
      <c r="BB1202" t="str">
        <f>"Y"</f>
        <v>Y</v>
      </c>
      <c r="BD1202" t="str">
        <f>"ערן שלו"</f>
        <v>ערן שלו</v>
      </c>
    </row>
    <row r="1203" spans="1:56" x14ac:dyDescent="0.3">
      <c r="A1203" s="1">
        <v>44896</v>
      </c>
      <c r="B1203" t="str">
        <f>"SI226001538"</f>
        <v>SI226001538</v>
      </c>
      <c r="C1203" t="str">
        <f>"PR21000284"</f>
        <v>PR21000284</v>
      </c>
      <c r="E1203" t="str">
        <f>"Y"</f>
        <v>Y</v>
      </c>
      <c r="F1203" t="str">
        <f>"חשבוניות מרכזות"</f>
        <v>חשבוניות מרכזות</v>
      </c>
      <c r="G1203" t="str">
        <f>"700065"</f>
        <v>700065</v>
      </c>
      <c r="H1203" t="str">
        <f>"אלתא מערכות בע""מ"</f>
        <v>אלתא מערכות בע"מ</v>
      </c>
      <c r="I1203" t="str">
        <f>"10"</f>
        <v>10</v>
      </c>
      <c r="J1203" t="str">
        <f>"OP-AR02134"</f>
        <v>OP-AR02134</v>
      </c>
      <c r="K1203" t="str">
        <f>"RMY-01 POWER SYSTEM"</f>
        <v>RMY-01 POWER SYSTEM</v>
      </c>
      <c r="L1203">
        <v>-3</v>
      </c>
      <c r="M1203" t="str">
        <f>"יח"</f>
        <v>יח</v>
      </c>
      <c r="N1203">
        <v>-3</v>
      </c>
      <c r="O1203" t="str">
        <f>"יח"</f>
        <v>יח</v>
      </c>
      <c r="P1203" s="2">
        <v>17713</v>
      </c>
      <c r="Q1203" t="str">
        <f>"$"</f>
        <v>$</v>
      </c>
      <c r="R1203" t="str">
        <f>"הזמנה"</f>
        <v>הזמנה</v>
      </c>
      <c r="S1203">
        <v>0</v>
      </c>
      <c r="T1203" s="2">
        <v>-53139</v>
      </c>
      <c r="U1203">
        <v>0</v>
      </c>
      <c r="V1203" s="2">
        <v>-53139</v>
      </c>
      <c r="W1203" t="str">
        <f>"$"</f>
        <v>$</v>
      </c>
      <c r="X1203">
        <v>0</v>
      </c>
      <c r="Y1203">
        <v>0</v>
      </c>
      <c r="Z1203">
        <v>0</v>
      </c>
      <c r="AA1203" t="str">
        <f>"Y"</f>
        <v>Y</v>
      </c>
      <c r="AC1203">
        <v>0</v>
      </c>
      <c r="AM1203" t="str">
        <f>"10"</f>
        <v>10</v>
      </c>
      <c r="AN1203" t="str">
        <f>"500000"</f>
        <v>500000</v>
      </c>
      <c r="AO1203" t="str">
        <f>"הכנסות  מלקוחות"</f>
        <v>הכנסות  מלקוחות</v>
      </c>
      <c r="AQ1203" t="str">
        <f>"034"</f>
        <v>034</v>
      </c>
      <c r="AR1203">
        <v>0</v>
      </c>
      <c r="AS1203">
        <v>0</v>
      </c>
      <c r="AT1203">
        <v>3.11</v>
      </c>
      <c r="BB1203" t="str">
        <f>"Y"</f>
        <v>Y</v>
      </c>
      <c r="BD1203" t="str">
        <f>"ערן שלו"</f>
        <v>ערן שלו</v>
      </c>
    </row>
    <row r="1204" spans="1:56" x14ac:dyDescent="0.3">
      <c r="A1204" s="1">
        <v>44896</v>
      </c>
      <c r="B1204" t="str">
        <f>"SI226001497"</f>
        <v>SI226001497</v>
      </c>
      <c r="E1204" t="str">
        <f>"Y"</f>
        <v>Y</v>
      </c>
      <c r="F1204" t="str">
        <f>"חשבוניות מרכזות"</f>
        <v>חשבוניות מרכזות</v>
      </c>
      <c r="G1204" t="str">
        <f>"700065"</f>
        <v>700065</v>
      </c>
      <c r="H1204" t="str">
        <f>"אלתא מערכות בע""מ"</f>
        <v>אלתא מערכות בע"מ</v>
      </c>
      <c r="I1204" t="str">
        <f>"10"</f>
        <v>10</v>
      </c>
      <c r="J1204" t="str">
        <f>"OP-ML00215"</f>
        <v>OP-ML00215</v>
      </c>
      <c r="K1204" t="str">
        <f>"M - PDU מק""ט 6930H850-001"</f>
        <v>M - PDU מק"ט 6930H850-001</v>
      </c>
      <c r="L1204">
        <v>-1</v>
      </c>
      <c r="M1204" t="str">
        <f>"יח"</f>
        <v>יח</v>
      </c>
      <c r="N1204">
        <v>-1</v>
      </c>
      <c r="O1204" t="str">
        <f>"יח"</f>
        <v>יח</v>
      </c>
      <c r="P1204" s="2">
        <v>14757</v>
      </c>
      <c r="Q1204" t="str">
        <f>"$"</f>
        <v>$</v>
      </c>
      <c r="R1204" t="str">
        <f>"הזמנה"</f>
        <v>הזמנה</v>
      </c>
      <c r="S1204">
        <v>0</v>
      </c>
      <c r="T1204" s="2">
        <v>-14757</v>
      </c>
      <c r="U1204">
        <v>0</v>
      </c>
      <c r="V1204" s="2">
        <v>-14757</v>
      </c>
      <c r="W1204" t="str">
        <f>"$"</f>
        <v>$</v>
      </c>
      <c r="X1204">
        <v>0</v>
      </c>
      <c r="Y1204">
        <v>0</v>
      </c>
      <c r="Z1204">
        <v>0</v>
      </c>
      <c r="AA1204" t="str">
        <f>"Y"</f>
        <v>Y</v>
      </c>
      <c r="AC1204">
        <v>0</v>
      </c>
      <c r="AM1204" t="str">
        <f>"10"</f>
        <v>10</v>
      </c>
      <c r="AN1204" t="str">
        <f>"500000"</f>
        <v>500000</v>
      </c>
      <c r="AO1204" t="str">
        <f>"הכנסות  מלקוחות"</f>
        <v>הכנסות  מלקוחות</v>
      </c>
      <c r="AQ1204" t="str">
        <f>"034"</f>
        <v>034</v>
      </c>
      <c r="AR1204">
        <v>0</v>
      </c>
      <c r="AS1204">
        <v>0</v>
      </c>
      <c r="AT1204">
        <v>3.54</v>
      </c>
      <c r="BB1204" t="str">
        <f>"Y"</f>
        <v>Y</v>
      </c>
      <c r="BD1204" t="str">
        <f>"ערן שלו"</f>
        <v>ערן שלו</v>
      </c>
    </row>
    <row r="1205" spans="1:56" x14ac:dyDescent="0.3">
      <c r="A1205" s="1">
        <v>44896</v>
      </c>
      <c r="B1205" t="str">
        <f>"SI226001496"</f>
        <v>SI226001496</v>
      </c>
      <c r="E1205" t="str">
        <f>"Y"</f>
        <v>Y</v>
      </c>
      <c r="F1205" t="str">
        <f>"חשבוניות מרכזות"</f>
        <v>חשבוניות מרכזות</v>
      </c>
      <c r="G1205" t="str">
        <f>"700065"</f>
        <v>700065</v>
      </c>
      <c r="H1205" t="str">
        <f>"אלתא מערכות בע""מ"</f>
        <v>אלתא מערכות בע"מ</v>
      </c>
      <c r="I1205" t="str">
        <f>"10"</f>
        <v>10</v>
      </c>
      <c r="J1205" t="str">
        <f>"OP-ML00215"</f>
        <v>OP-ML00215</v>
      </c>
      <c r="K1205" t="str">
        <f>"M - PDU מק""ט 6930H850-001"</f>
        <v>M - PDU מק"ט 6930H850-001</v>
      </c>
      <c r="L1205">
        <v>-1</v>
      </c>
      <c r="M1205" t="str">
        <f>"יח"</f>
        <v>יח</v>
      </c>
      <c r="N1205">
        <v>-1</v>
      </c>
      <c r="O1205" t="str">
        <f>"יח"</f>
        <v>יח</v>
      </c>
      <c r="P1205" s="2">
        <v>14757</v>
      </c>
      <c r="Q1205" t="str">
        <f>"$"</f>
        <v>$</v>
      </c>
      <c r="R1205" t="str">
        <f>"הזמנה"</f>
        <v>הזמנה</v>
      </c>
      <c r="S1205">
        <v>0</v>
      </c>
      <c r="T1205" s="2">
        <v>-14757</v>
      </c>
      <c r="U1205">
        <v>0</v>
      </c>
      <c r="V1205" s="2">
        <v>-14757</v>
      </c>
      <c r="W1205" t="str">
        <f>"$"</f>
        <v>$</v>
      </c>
      <c r="X1205">
        <v>0</v>
      </c>
      <c r="Y1205">
        <v>0</v>
      </c>
      <c r="Z1205">
        <v>0</v>
      </c>
      <c r="AA1205" t="str">
        <f>"Y"</f>
        <v>Y</v>
      </c>
      <c r="AC1205">
        <v>0</v>
      </c>
      <c r="AM1205" t="str">
        <f>"10"</f>
        <v>10</v>
      </c>
      <c r="AN1205" t="str">
        <f>"500000"</f>
        <v>500000</v>
      </c>
      <c r="AO1205" t="str">
        <f>"הכנסות  מלקוחות"</f>
        <v>הכנסות  מלקוחות</v>
      </c>
      <c r="AQ1205" t="str">
        <f>"034"</f>
        <v>034</v>
      </c>
      <c r="AR1205">
        <v>0</v>
      </c>
      <c r="AS1205">
        <v>0</v>
      </c>
      <c r="AT1205">
        <v>3.415</v>
      </c>
      <c r="BB1205" t="str">
        <f>"Y"</f>
        <v>Y</v>
      </c>
      <c r="BD1205" t="str">
        <f>"ערן שלו"</f>
        <v>ערן שלו</v>
      </c>
    </row>
    <row r="1206" spans="1:56" x14ac:dyDescent="0.3">
      <c r="A1206" s="1">
        <v>44896</v>
      </c>
      <c r="B1206" t="str">
        <f>"CR227000074"</f>
        <v>CR227000074</v>
      </c>
      <c r="E1206" t="str">
        <f>"Y"</f>
        <v>Y</v>
      </c>
      <c r="F1206" t="str">
        <f>"חשבוניות זיכוי"</f>
        <v>חשבוניות זיכוי</v>
      </c>
      <c r="G1206" t="str">
        <f>"700065"</f>
        <v>700065</v>
      </c>
      <c r="H1206" t="str">
        <f>"אלתא מערכות בע""מ"</f>
        <v>אלתא מערכות בע"מ</v>
      </c>
      <c r="I1206" t="str">
        <f>"10"</f>
        <v>10</v>
      </c>
      <c r="J1206" t="str">
        <f>"000"</f>
        <v>000</v>
      </c>
      <c r="K1206" t="str">
        <f>"לפי זיכוי מס  51129189372022"</f>
        <v>לפי זיכוי מס  51129189372022</v>
      </c>
      <c r="L1206">
        <v>-1</v>
      </c>
      <c r="M1206" t="str">
        <f>"יח"</f>
        <v>יח</v>
      </c>
      <c r="N1206">
        <v>-1</v>
      </c>
      <c r="O1206" t="str">
        <f>"יח"</f>
        <v>יח</v>
      </c>
      <c r="P1206" s="2">
        <v>1950</v>
      </c>
      <c r="Q1206" t="str">
        <f>"$"</f>
        <v>$</v>
      </c>
      <c r="R1206" t="str">
        <f>"ידני"</f>
        <v>ידני</v>
      </c>
      <c r="S1206">
        <v>0</v>
      </c>
      <c r="T1206" s="2">
        <v>-1950</v>
      </c>
      <c r="U1206">
        <v>0</v>
      </c>
      <c r="V1206" s="2">
        <v>-1950</v>
      </c>
      <c r="W1206" t="str">
        <f>"$"</f>
        <v>$</v>
      </c>
      <c r="X1206">
        <v>0</v>
      </c>
      <c r="Y1206">
        <v>0</v>
      </c>
      <c r="Z1206">
        <v>0</v>
      </c>
      <c r="AA1206" t="str">
        <f>"Y"</f>
        <v>Y</v>
      </c>
      <c r="AC1206">
        <v>0</v>
      </c>
      <c r="AM1206" t="str">
        <f>"10"</f>
        <v>10</v>
      </c>
      <c r="AN1206" t="str">
        <f>"500000"</f>
        <v>500000</v>
      </c>
      <c r="AO1206" t="str">
        <f>"הכנסות  מלקוחות"</f>
        <v>הכנסות  מלקוחות</v>
      </c>
      <c r="AQ1206" t="str">
        <f>"034"</f>
        <v>034</v>
      </c>
      <c r="AR1206">
        <v>0</v>
      </c>
      <c r="AS1206">
        <v>0</v>
      </c>
      <c r="AT1206">
        <v>3.1929919999999998</v>
      </c>
      <c r="BB1206" t="str">
        <f>"Y"</f>
        <v>Y</v>
      </c>
      <c r="BD1206" t="str">
        <f>"ערן שלו"</f>
        <v>ערן שלו</v>
      </c>
    </row>
    <row r="1207" spans="1:56" x14ac:dyDescent="0.3">
      <c r="A1207" s="1">
        <v>44896</v>
      </c>
      <c r="B1207" t="str">
        <f>"CR227000073"</f>
        <v>CR227000073</v>
      </c>
      <c r="E1207" t="str">
        <f>"Y"</f>
        <v>Y</v>
      </c>
      <c r="F1207" t="str">
        <f>"חשבוניות זיכוי"</f>
        <v>חשבוניות זיכוי</v>
      </c>
      <c r="G1207" t="str">
        <f>"700065"</f>
        <v>700065</v>
      </c>
      <c r="H1207" t="str">
        <f>"אלתא מערכות בע""מ"</f>
        <v>אלתא מערכות בע"מ</v>
      </c>
      <c r="I1207" t="str">
        <f>"10"</f>
        <v>10</v>
      </c>
      <c r="J1207" t="str">
        <f>"000"</f>
        <v>000</v>
      </c>
      <c r="K1207" t="str">
        <f>"זיכוי לחשבונית אלתא מס מסמך  51130732312022"</f>
        <v>זיכוי לחשבונית אלתא מס מסמך  51130732312022</v>
      </c>
      <c r="L1207">
        <v>1</v>
      </c>
      <c r="M1207" t="str">
        <f>"יח"</f>
        <v>יח</v>
      </c>
      <c r="N1207">
        <v>1</v>
      </c>
      <c r="O1207" t="str">
        <f>"יח"</f>
        <v>יח</v>
      </c>
      <c r="P1207">
        <v>330</v>
      </c>
      <c r="Q1207" t="str">
        <f>"$"</f>
        <v>$</v>
      </c>
      <c r="R1207" t="str">
        <f>"ידני"</f>
        <v>ידני</v>
      </c>
      <c r="S1207">
        <v>0</v>
      </c>
      <c r="T1207">
        <v>330</v>
      </c>
      <c r="U1207">
        <v>0</v>
      </c>
      <c r="V1207">
        <v>330</v>
      </c>
      <c r="W1207" t="str">
        <f>"$"</f>
        <v>$</v>
      </c>
      <c r="X1207">
        <v>0</v>
      </c>
      <c r="Y1207">
        <v>0</v>
      </c>
      <c r="Z1207">
        <v>0</v>
      </c>
      <c r="AA1207" t="str">
        <f>"Y"</f>
        <v>Y</v>
      </c>
      <c r="AC1207">
        <v>0</v>
      </c>
      <c r="AM1207" t="str">
        <f>"10"</f>
        <v>10</v>
      </c>
      <c r="AN1207" t="str">
        <f>"500000"</f>
        <v>500000</v>
      </c>
      <c r="AO1207" t="str">
        <f>"הכנסות  מלקוחות"</f>
        <v>הכנסות  מלקוחות</v>
      </c>
      <c r="AQ1207" t="str">
        <f>"034"</f>
        <v>034</v>
      </c>
      <c r="AR1207">
        <v>0</v>
      </c>
      <c r="AS1207">
        <v>0</v>
      </c>
      <c r="AT1207">
        <v>3.4511400000000001</v>
      </c>
      <c r="BD1207" t="str">
        <f>"ערן שלו"</f>
        <v>ערן שלו</v>
      </c>
    </row>
    <row r="1208" spans="1:56" x14ac:dyDescent="0.3">
      <c r="A1208" s="1">
        <v>44895</v>
      </c>
      <c r="B1208" t="str">
        <f>"SI226001325"</f>
        <v>SI226001325</v>
      </c>
      <c r="C1208" t="str">
        <f>"PR22000579"</f>
        <v>PR22000579</v>
      </c>
      <c r="E1208" t="str">
        <f>"Y"</f>
        <v>Y</v>
      </c>
      <c r="F1208" t="str">
        <f>"חשבוניות מרכזות"</f>
        <v>חשבוניות מרכזות</v>
      </c>
      <c r="G1208" t="str">
        <f>"700065"</f>
        <v>700065</v>
      </c>
      <c r="H1208" t="str">
        <f>"אלתא מערכות בע""מ"</f>
        <v>אלתא מערכות בע"מ</v>
      </c>
      <c r="I1208" t="str">
        <f>"10"</f>
        <v>10</v>
      </c>
      <c r="J1208" t="str">
        <f>"OP-AR01663"</f>
        <v>OP-AR01663</v>
      </c>
      <c r="K1208" t="str">
        <f>"6649E011-001 SYSTEM BUNDLE TO RSU - POWER"</f>
        <v>6649E011-001 SYSTEM BUNDLE TO RSU - POWER</v>
      </c>
      <c r="L1208">
        <v>-1</v>
      </c>
      <c r="M1208" t="str">
        <f>"יח"</f>
        <v>יח</v>
      </c>
      <c r="N1208">
        <v>-1</v>
      </c>
      <c r="O1208" t="str">
        <f>"יח"</f>
        <v>יח</v>
      </c>
      <c r="P1208">
        <v>352.43</v>
      </c>
      <c r="Q1208" t="str">
        <f>"$"</f>
        <v>$</v>
      </c>
      <c r="R1208" t="str">
        <f>"הזמנה"</f>
        <v>הזמנה</v>
      </c>
      <c r="S1208">
        <v>0</v>
      </c>
      <c r="T1208">
        <v>-352.43</v>
      </c>
      <c r="U1208">
        <v>0</v>
      </c>
      <c r="V1208">
        <v>-352.43</v>
      </c>
      <c r="W1208" t="str">
        <f>"$"</f>
        <v>$</v>
      </c>
      <c r="X1208">
        <v>0</v>
      </c>
      <c r="Y1208">
        <v>0</v>
      </c>
      <c r="Z1208">
        <v>0</v>
      </c>
      <c r="AA1208" t="str">
        <f>"Y"</f>
        <v>Y</v>
      </c>
      <c r="AC1208">
        <v>0</v>
      </c>
      <c r="AM1208" t="str">
        <f>"10"</f>
        <v>10</v>
      </c>
      <c r="AN1208" t="str">
        <f>"500000"</f>
        <v>500000</v>
      </c>
      <c r="AO1208" t="str">
        <f>"הכנסות  מלקוחות"</f>
        <v>הכנסות  מלקוחות</v>
      </c>
      <c r="AQ1208" t="str">
        <f>"040"</f>
        <v>040</v>
      </c>
      <c r="AR1208">
        <v>0</v>
      </c>
      <c r="AS1208">
        <v>0</v>
      </c>
      <c r="AT1208">
        <v>3.431</v>
      </c>
      <c r="BB1208" t="str">
        <f>"Y"</f>
        <v>Y</v>
      </c>
      <c r="BD1208" t="str">
        <f>"רחמים זרוק"</f>
        <v>רחמים זרוק</v>
      </c>
    </row>
    <row r="1209" spans="1:56" x14ac:dyDescent="0.3">
      <c r="A1209" s="1">
        <v>44895</v>
      </c>
      <c r="B1209" t="str">
        <f>"SI226001310"</f>
        <v>SI226001310</v>
      </c>
      <c r="E1209" t="str">
        <f>"Y"</f>
        <v>Y</v>
      </c>
      <c r="F1209" t="str">
        <f>"חשבוניות מרכזות"</f>
        <v>חשבוניות מרכזות</v>
      </c>
      <c r="G1209" t="str">
        <f>"700065"</f>
        <v>700065</v>
      </c>
      <c r="H1209" t="str">
        <f>"אלתא מערכות בע""מ"</f>
        <v>אלתא מערכות בע"מ</v>
      </c>
      <c r="I1209" t="str">
        <f>"10"</f>
        <v>10</v>
      </c>
      <c r="J1209" t="str">
        <f>"000"</f>
        <v>000</v>
      </c>
      <c r="K1209" t="str">
        <f>"תשלום עבור רכישת בולמים למסדים"</f>
        <v>תשלום עבור רכישת בולמים למסדים</v>
      </c>
      <c r="L1209">
        <v>1</v>
      </c>
      <c r="M1209" t="str">
        <f>"יח"</f>
        <v>יח</v>
      </c>
      <c r="N1209">
        <v>1</v>
      </c>
      <c r="O1209" t="str">
        <f>"יח"</f>
        <v>יח</v>
      </c>
      <c r="P1209" s="2">
        <v>7000</v>
      </c>
      <c r="Q1209" t="str">
        <f>"$"</f>
        <v>$</v>
      </c>
      <c r="R1209" t="str">
        <f>"הזמנה"</f>
        <v>הזמנה</v>
      </c>
      <c r="S1209">
        <v>0</v>
      </c>
      <c r="T1209" s="2">
        <v>7000</v>
      </c>
      <c r="U1209">
        <v>0</v>
      </c>
      <c r="V1209" s="2">
        <v>7000</v>
      </c>
      <c r="W1209" t="str">
        <f>"$"</f>
        <v>$</v>
      </c>
      <c r="X1209">
        <v>0</v>
      </c>
      <c r="Y1209">
        <v>0</v>
      </c>
      <c r="Z1209">
        <v>0</v>
      </c>
      <c r="AA1209" t="str">
        <f>"Y"</f>
        <v>Y</v>
      </c>
      <c r="AB1209" t="str">
        <f>"SO22000436"</f>
        <v>SO22000436</v>
      </c>
      <c r="AC1209">
        <v>1</v>
      </c>
      <c r="AD1209" s="1">
        <v>44894</v>
      </c>
      <c r="AM1209" t="str">
        <f>"10"</f>
        <v>10</v>
      </c>
      <c r="AN1209" t="str">
        <f>"500000"</f>
        <v>500000</v>
      </c>
      <c r="AO1209" t="str">
        <f>"הכנסות  מלקוחות"</f>
        <v>הכנסות  מלקוחות</v>
      </c>
      <c r="AQ1209" t="str">
        <f>"007"</f>
        <v>007</v>
      </c>
      <c r="AR1209">
        <v>0</v>
      </c>
      <c r="AS1209">
        <v>0</v>
      </c>
      <c r="AT1209">
        <v>3.4409999999999998</v>
      </c>
      <c r="AX1209" t="str">
        <f>"E000378114"</f>
        <v>E000378114</v>
      </c>
      <c r="BD1209" t="str">
        <f>"רוני דידי"</f>
        <v>רוני דידי</v>
      </c>
    </row>
    <row r="1210" spans="1:56" x14ac:dyDescent="0.3">
      <c r="A1210" s="1">
        <v>44895</v>
      </c>
      <c r="B1210" t="str">
        <f>"SI226001309"</f>
        <v>SI226001309</v>
      </c>
      <c r="E1210" t="str">
        <f>"Y"</f>
        <v>Y</v>
      </c>
      <c r="F1210" t="str">
        <f>"חשבוניות מרכזות"</f>
        <v>חשבוניות מרכזות</v>
      </c>
      <c r="G1210" t="str">
        <f>"700065"</f>
        <v>700065</v>
      </c>
      <c r="H1210" t="str">
        <f>"אלתא מערכות בע""מ"</f>
        <v>אלתא מערכות בע"מ</v>
      </c>
      <c r="I1210" t="str">
        <f>"10"</f>
        <v>10</v>
      </c>
      <c r="J1210" t="str">
        <f>"CB1100256"</f>
        <v>CB1100256</v>
      </c>
      <c r="K1210" t="str">
        <f>"F/O HARNESS WF387 PSP TO I/O J2"</f>
        <v>F/O HARNESS WF387 PSP TO I/O J2</v>
      </c>
      <c r="L1210">
        <v>1</v>
      </c>
      <c r="M1210" t="str">
        <f>"יח"</f>
        <v>יח</v>
      </c>
      <c r="N1210">
        <v>1</v>
      </c>
      <c r="O1210" t="str">
        <f>"יח"</f>
        <v>יח</v>
      </c>
      <c r="P1210">
        <v>0</v>
      </c>
      <c r="Q1210" t="str">
        <f>"$"</f>
        <v>$</v>
      </c>
      <c r="R1210" t="str">
        <f>"הזמנה"</f>
        <v>הזמנה</v>
      </c>
      <c r="S1210">
        <v>0</v>
      </c>
      <c r="T1210">
        <v>0</v>
      </c>
      <c r="U1210">
        <v>0</v>
      </c>
      <c r="V1210">
        <v>0</v>
      </c>
      <c r="W1210" t="str">
        <f>"$"</f>
        <v>$</v>
      </c>
      <c r="X1210">
        <v>0</v>
      </c>
      <c r="Y1210">
        <v>0</v>
      </c>
      <c r="Z1210">
        <v>0</v>
      </c>
      <c r="AA1210" t="str">
        <f>"Y"</f>
        <v>Y</v>
      </c>
      <c r="AC1210">
        <v>0</v>
      </c>
      <c r="AM1210" t="str">
        <f>"10"</f>
        <v>10</v>
      </c>
      <c r="AN1210" t="str">
        <f>"500000"</f>
        <v>500000</v>
      </c>
      <c r="AO1210" t="str">
        <f>"הכנסות  מלקוחות"</f>
        <v>הכנסות  מלקוחות</v>
      </c>
      <c r="AQ1210" t="str">
        <f>"034"</f>
        <v>034</v>
      </c>
      <c r="AR1210">
        <v>0</v>
      </c>
      <c r="AS1210">
        <v>0</v>
      </c>
      <c r="AT1210">
        <v>3.4409999999999998</v>
      </c>
      <c r="BB1210" t="str">
        <f>"Y"</f>
        <v>Y</v>
      </c>
      <c r="BD1210" t="str">
        <f>"ערן שלו"</f>
        <v>ערן שלו</v>
      </c>
    </row>
    <row r="1211" spans="1:56" x14ac:dyDescent="0.3">
      <c r="A1211" s="1">
        <v>44895</v>
      </c>
      <c r="B1211" t="str">
        <f>"SI226001309"</f>
        <v>SI226001309</v>
      </c>
      <c r="E1211" t="str">
        <f>"Y"</f>
        <v>Y</v>
      </c>
      <c r="F1211" t="str">
        <f>"חשבוניות מרכזות"</f>
        <v>חשבוניות מרכזות</v>
      </c>
      <c r="G1211" t="str">
        <f>"700065"</f>
        <v>700065</v>
      </c>
      <c r="H1211" t="str">
        <f>"אלתא מערכות בע""מ"</f>
        <v>אלתא מערכות בע"מ</v>
      </c>
      <c r="I1211" t="str">
        <f>"10"</f>
        <v>10</v>
      </c>
      <c r="J1211" t="str">
        <f>"CB1100257"</f>
        <v>CB1100257</v>
      </c>
      <c r="K1211" t="str">
        <f>"F/O HARNESS WF388 OLM TO I/O J3"</f>
        <v>F/O HARNESS WF388 OLM TO I/O J3</v>
      </c>
      <c r="L1211">
        <v>1</v>
      </c>
      <c r="M1211" t="str">
        <f>"יח"</f>
        <v>יח</v>
      </c>
      <c r="N1211">
        <v>1</v>
      </c>
      <c r="O1211" t="str">
        <f>"יח"</f>
        <v>יח</v>
      </c>
      <c r="P1211">
        <v>0</v>
      </c>
      <c r="Q1211" t="str">
        <f>"$"</f>
        <v>$</v>
      </c>
      <c r="R1211" t="str">
        <f>"הזמנה"</f>
        <v>הזמנה</v>
      </c>
      <c r="S1211">
        <v>0</v>
      </c>
      <c r="T1211">
        <v>0</v>
      </c>
      <c r="U1211">
        <v>0</v>
      </c>
      <c r="V1211">
        <v>0</v>
      </c>
      <c r="W1211" t="str">
        <f>"$"</f>
        <v>$</v>
      </c>
      <c r="X1211">
        <v>0</v>
      </c>
      <c r="Y1211">
        <v>0</v>
      </c>
      <c r="Z1211">
        <v>0</v>
      </c>
      <c r="AA1211" t="str">
        <f>"Y"</f>
        <v>Y</v>
      </c>
      <c r="AC1211">
        <v>0</v>
      </c>
      <c r="AM1211" t="str">
        <f>"10"</f>
        <v>10</v>
      </c>
      <c r="AN1211" t="str">
        <f>"500000"</f>
        <v>500000</v>
      </c>
      <c r="AO1211" t="str">
        <f>"הכנסות  מלקוחות"</f>
        <v>הכנסות  מלקוחות</v>
      </c>
      <c r="AQ1211" t="str">
        <f>"034"</f>
        <v>034</v>
      </c>
      <c r="AR1211">
        <v>0</v>
      </c>
      <c r="AS1211">
        <v>0</v>
      </c>
      <c r="AT1211">
        <v>3.4409999999999998</v>
      </c>
      <c r="BB1211" t="str">
        <f>"Y"</f>
        <v>Y</v>
      </c>
      <c r="BD1211" t="str">
        <f>"ערן שלו"</f>
        <v>ערן שלו</v>
      </c>
    </row>
    <row r="1212" spans="1:56" x14ac:dyDescent="0.3">
      <c r="A1212" s="1">
        <v>44895</v>
      </c>
      <c r="B1212" t="str">
        <f>"SI226001309"</f>
        <v>SI226001309</v>
      </c>
      <c r="E1212" t="str">
        <f>"Y"</f>
        <v>Y</v>
      </c>
      <c r="F1212" t="str">
        <f>"חשבוניות מרכזות"</f>
        <v>חשבוניות מרכזות</v>
      </c>
      <c r="G1212" t="str">
        <f>"700065"</f>
        <v>700065</v>
      </c>
      <c r="H1212" t="str">
        <f>"אלתא מערכות בע""מ"</f>
        <v>אלתא מערכות בע"מ</v>
      </c>
      <c r="I1212" t="str">
        <f>"10"</f>
        <v>10</v>
      </c>
      <c r="J1212" t="str">
        <f>"000"</f>
        <v>000</v>
      </c>
      <c r="K1212" t="str">
        <f>"תיקון ובדיקה כבלי CB1100257+C"</f>
        <v>תיקון ובדיקה כבלי CB1100257+C</v>
      </c>
      <c r="L1212">
        <v>1</v>
      </c>
      <c r="M1212" t="str">
        <f>"יח"</f>
        <v>יח</v>
      </c>
      <c r="N1212">
        <v>1</v>
      </c>
      <c r="O1212" t="str">
        <f>"יח"</f>
        <v>יח</v>
      </c>
      <c r="P1212" s="2">
        <v>3046</v>
      </c>
      <c r="Q1212" t="str">
        <f>"$"</f>
        <v>$</v>
      </c>
      <c r="R1212" t="str">
        <f>"הזמנה"</f>
        <v>הזמנה</v>
      </c>
      <c r="S1212">
        <v>0</v>
      </c>
      <c r="T1212" s="2">
        <v>3046</v>
      </c>
      <c r="U1212">
        <v>0</v>
      </c>
      <c r="V1212" s="2">
        <v>3046</v>
      </c>
      <c r="W1212" t="str">
        <f>"$"</f>
        <v>$</v>
      </c>
      <c r="X1212">
        <v>0</v>
      </c>
      <c r="Y1212">
        <v>0</v>
      </c>
      <c r="Z1212">
        <v>0</v>
      </c>
      <c r="AA1212" t="str">
        <f>"Y"</f>
        <v>Y</v>
      </c>
      <c r="AC1212">
        <v>0</v>
      </c>
      <c r="AM1212" t="str">
        <f>"10"</f>
        <v>10</v>
      </c>
      <c r="AN1212" t="str">
        <f>"500000"</f>
        <v>500000</v>
      </c>
      <c r="AO1212" t="str">
        <f>"הכנסות  מלקוחות"</f>
        <v>הכנסות  מלקוחות</v>
      </c>
      <c r="AQ1212" t="str">
        <f>"034"</f>
        <v>034</v>
      </c>
      <c r="AR1212">
        <v>0</v>
      </c>
      <c r="AS1212">
        <v>0</v>
      </c>
      <c r="AT1212">
        <v>3.4409999999999998</v>
      </c>
      <c r="BB1212" t="str">
        <f>"Y"</f>
        <v>Y</v>
      </c>
      <c r="BD1212" t="str">
        <f>"ערן שלו"</f>
        <v>ערן שלו</v>
      </c>
    </row>
    <row r="1213" spans="1:56" x14ac:dyDescent="0.3">
      <c r="A1213" s="1">
        <v>44895</v>
      </c>
      <c r="B1213" t="str">
        <f>"SI226001308"</f>
        <v>SI226001308</v>
      </c>
      <c r="E1213" t="str">
        <f>"Y"</f>
        <v>Y</v>
      </c>
      <c r="F1213" t="str">
        <f>"חשבוניות מרכזות"</f>
        <v>חשבוניות מרכזות</v>
      </c>
      <c r="G1213" t="str">
        <f>"700065"</f>
        <v>700065</v>
      </c>
      <c r="H1213" t="str">
        <f>"אלתא מערכות בע""מ"</f>
        <v>אלתא מערכות בע"מ</v>
      </c>
      <c r="I1213" t="str">
        <f>"10"</f>
        <v>10</v>
      </c>
      <c r="J1213" t="str">
        <f>"000"</f>
        <v>000</v>
      </c>
      <c r="K1213" t="str">
        <f>"NRE- אימות פיתוח MADR COMPUTER RACK"</f>
        <v>NRE- אימות פיתוח MADR COMPUTER RACK</v>
      </c>
      <c r="L1213">
        <v>1</v>
      </c>
      <c r="M1213" t="str">
        <f>"יח"</f>
        <v>יח</v>
      </c>
      <c r="N1213">
        <v>1</v>
      </c>
      <c r="O1213" t="str">
        <f>"יח"</f>
        <v>יח</v>
      </c>
      <c r="P1213" s="2">
        <v>13000</v>
      </c>
      <c r="Q1213" t="str">
        <f>"$"</f>
        <v>$</v>
      </c>
      <c r="R1213" t="str">
        <f>"ידני"</f>
        <v>ידני</v>
      </c>
      <c r="S1213">
        <v>0</v>
      </c>
      <c r="T1213" s="2">
        <v>13000</v>
      </c>
      <c r="U1213">
        <v>0</v>
      </c>
      <c r="V1213" s="2">
        <v>13000</v>
      </c>
      <c r="W1213" t="str">
        <f>"$"</f>
        <v>$</v>
      </c>
      <c r="X1213">
        <v>0</v>
      </c>
      <c r="Y1213">
        <v>0</v>
      </c>
      <c r="Z1213">
        <v>0</v>
      </c>
      <c r="AA1213" t="str">
        <f>"Y"</f>
        <v>Y</v>
      </c>
      <c r="AB1213" t="str">
        <f>"SO21000090"</f>
        <v>SO21000090</v>
      </c>
      <c r="AC1213">
        <v>2</v>
      </c>
      <c r="AD1213" s="1">
        <v>44251</v>
      </c>
      <c r="AM1213" t="str">
        <f>"10"</f>
        <v>10</v>
      </c>
      <c r="AN1213" t="str">
        <f>"500000"</f>
        <v>500000</v>
      </c>
      <c r="AO1213" t="str">
        <f>"הכנסות  מלקוחות"</f>
        <v>הכנסות  מלקוחות</v>
      </c>
      <c r="AQ1213" t="str">
        <f>"034"</f>
        <v>034</v>
      </c>
      <c r="AR1213">
        <v>0</v>
      </c>
      <c r="AS1213">
        <v>0</v>
      </c>
      <c r="AT1213">
        <v>3.4409999999999998</v>
      </c>
      <c r="AX1213" t="str">
        <f>"E000332763"</f>
        <v>E000332763</v>
      </c>
      <c r="BD1213" t="str">
        <f>"ערן שלו"</f>
        <v>ערן שלו</v>
      </c>
    </row>
    <row r="1214" spans="1:56" x14ac:dyDescent="0.3">
      <c r="A1214" s="1">
        <v>44895</v>
      </c>
      <c r="B1214" t="str">
        <f>"SI226001307"</f>
        <v>SI226001307</v>
      </c>
      <c r="E1214" t="str">
        <f>"Y"</f>
        <v>Y</v>
      </c>
      <c r="F1214" t="str">
        <f>"חשבוניות מרכזות"</f>
        <v>חשבוניות מרכזות</v>
      </c>
      <c r="G1214" t="str">
        <f>"700065"</f>
        <v>700065</v>
      </c>
      <c r="H1214" t="str">
        <f>"אלתא מערכות בע""מ"</f>
        <v>אלתא מערכות בע"מ</v>
      </c>
      <c r="I1214" t="str">
        <f>"10"</f>
        <v>10</v>
      </c>
      <c r="J1214" t="str">
        <f>"000"</f>
        <v>000</v>
      </c>
      <c r="K1214" t="str">
        <f>"תשלום עבור אנליזה טרמית"</f>
        <v>תשלום עבור אנליזה טרמית</v>
      </c>
      <c r="L1214">
        <v>1</v>
      </c>
      <c r="M1214" t="str">
        <f>"יח"</f>
        <v>יח</v>
      </c>
      <c r="N1214">
        <v>1</v>
      </c>
      <c r="O1214" t="str">
        <f>"יח"</f>
        <v>יח</v>
      </c>
      <c r="P1214" s="2">
        <v>11000</v>
      </c>
      <c r="Q1214" t="str">
        <f>"$"</f>
        <v>$</v>
      </c>
      <c r="R1214" t="str">
        <f>"הזמנה"</f>
        <v>הזמנה</v>
      </c>
      <c r="S1214">
        <v>0</v>
      </c>
      <c r="T1214" s="2">
        <v>11000</v>
      </c>
      <c r="U1214">
        <v>0</v>
      </c>
      <c r="V1214" s="2">
        <v>11000</v>
      </c>
      <c r="W1214" t="str">
        <f>"$"</f>
        <v>$</v>
      </c>
      <c r="X1214">
        <v>0</v>
      </c>
      <c r="Y1214">
        <v>0</v>
      </c>
      <c r="Z1214">
        <v>0</v>
      </c>
      <c r="AA1214" t="str">
        <f>"Y"</f>
        <v>Y</v>
      </c>
      <c r="AB1214" t="str">
        <f>"SO22000387"</f>
        <v>SO22000387</v>
      </c>
      <c r="AC1214">
        <v>1</v>
      </c>
      <c r="AD1214" s="1">
        <v>44860</v>
      </c>
      <c r="AM1214" t="str">
        <f>"10"</f>
        <v>10</v>
      </c>
      <c r="AN1214" t="str">
        <f>"500000"</f>
        <v>500000</v>
      </c>
      <c r="AO1214" t="str">
        <f>"הכנסות  מלקוחות"</f>
        <v>הכנסות  מלקוחות</v>
      </c>
      <c r="AQ1214" t="str">
        <f>"007"</f>
        <v>007</v>
      </c>
      <c r="AR1214">
        <v>0</v>
      </c>
      <c r="AS1214">
        <v>0</v>
      </c>
      <c r="AT1214">
        <v>3.4409999999999998</v>
      </c>
      <c r="AX1214" t="str">
        <f>"E000376687"</f>
        <v>E000376687</v>
      </c>
      <c r="BD1214" t="str">
        <f>"רוני דידי"</f>
        <v>רוני דידי</v>
      </c>
    </row>
    <row r="1215" spans="1:56" x14ac:dyDescent="0.3">
      <c r="A1215" s="1">
        <v>44895</v>
      </c>
      <c r="B1215" t="str">
        <f>"SI226001278"</f>
        <v>SI226001278</v>
      </c>
      <c r="C1215" t="str">
        <f>"PR22000579"</f>
        <v>PR22000579</v>
      </c>
      <c r="E1215" t="str">
        <f>"Y"</f>
        <v>Y</v>
      </c>
      <c r="F1215" t="str">
        <f>"חשבוניות מרכזות"</f>
        <v>חשבוניות מרכזות</v>
      </c>
      <c r="G1215" t="str">
        <f>"700065"</f>
        <v>700065</v>
      </c>
      <c r="H1215" t="str">
        <f>"אלתא מערכות בע""מ"</f>
        <v>אלתא מערכות בע"מ</v>
      </c>
      <c r="I1215" t="str">
        <f>"10"</f>
        <v>10</v>
      </c>
      <c r="J1215" t="str">
        <f>"OP-AR01663"</f>
        <v>OP-AR01663</v>
      </c>
      <c r="K1215" t="str">
        <f>"6649E011-001 SYSTEM BUNDLE TO RSU - POWER"</f>
        <v>6649E011-001 SYSTEM BUNDLE TO RSU - POWER</v>
      </c>
      <c r="L1215">
        <v>1</v>
      </c>
      <c r="M1215" t="str">
        <f>"יח"</f>
        <v>יח</v>
      </c>
      <c r="N1215">
        <v>1</v>
      </c>
      <c r="O1215" t="str">
        <f>"יח"</f>
        <v>יח</v>
      </c>
      <c r="P1215">
        <v>352.43</v>
      </c>
      <c r="Q1215" t="str">
        <f>"$"</f>
        <v>$</v>
      </c>
      <c r="R1215" t="str">
        <f>"הזמנה"</f>
        <v>הזמנה</v>
      </c>
      <c r="S1215">
        <v>0</v>
      </c>
      <c r="T1215">
        <v>352.43</v>
      </c>
      <c r="U1215">
        <v>0</v>
      </c>
      <c r="V1215">
        <v>352.43</v>
      </c>
      <c r="W1215" t="str">
        <f>"$"</f>
        <v>$</v>
      </c>
      <c r="X1215">
        <v>0</v>
      </c>
      <c r="Y1215">
        <v>0</v>
      </c>
      <c r="Z1215">
        <v>0</v>
      </c>
      <c r="AA1215" t="str">
        <f>"Y"</f>
        <v>Y</v>
      </c>
      <c r="AC1215">
        <v>0</v>
      </c>
      <c r="AM1215" t="str">
        <f>"10"</f>
        <v>10</v>
      </c>
      <c r="AN1215" t="str">
        <f>"500000"</f>
        <v>500000</v>
      </c>
      <c r="AO1215" t="str">
        <f>"הכנסות  מלקוחות"</f>
        <v>הכנסות  מלקוחות</v>
      </c>
      <c r="AQ1215" t="str">
        <f>"040"</f>
        <v>040</v>
      </c>
      <c r="AR1215">
        <v>0</v>
      </c>
      <c r="AS1215">
        <v>0</v>
      </c>
      <c r="AT1215">
        <v>3.431</v>
      </c>
      <c r="BB1215" t="str">
        <f>"Y"</f>
        <v>Y</v>
      </c>
      <c r="BD1215" t="str">
        <f>"רחמים זרוק"</f>
        <v>רחמים זרוק</v>
      </c>
    </row>
    <row r="1216" spans="1:56" x14ac:dyDescent="0.3">
      <c r="A1216" s="1">
        <v>44893</v>
      </c>
      <c r="B1216" t="str">
        <f>"SI226001279"</f>
        <v>SI226001279</v>
      </c>
      <c r="C1216" t="str">
        <f>"PR20000702"</f>
        <v>PR20000702</v>
      </c>
      <c r="E1216" t="str">
        <f>"Y"</f>
        <v>Y</v>
      </c>
      <c r="F1216" t="str">
        <f>"חשבוניות מרכזות"</f>
        <v>חשבוניות מרכזות</v>
      </c>
      <c r="G1216" t="str">
        <f>"700065"</f>
        <v>700065</v>
      </c>
      <c r="H1216" t="str">
        <f>"אלתא מערכות בע""מ"</f>
        <v>אלתא מערכות בע"מ</v>
      </c>
      <c r="I1216" t="str">
        <f>"10"</f>
        <v>10</v>
      </c>
      <c r="J1216" t="str">
        <f>"OP-ML00179"</f>
        <v>OP-ML00179</v>
      </c>
      <c r="K1216" t="str">
        <f>"1038C906-001 Radar Power Unit (RPU) Platform"</f>
        <v>1038C906-001 Radar Power Unit (RPU) Platform</v>
      </c>
      <c r="L1216">
        <v>1</v>
      </c>
      <c r="M1216" t="str">
        <f>"יח"</f>
        <v>יח</v>
      </c>
      <c r="N1216">
        <v>1</v>
      </c>
      <c r="O1216" t="str">
        <f>"יח"</f>
        <v>יח</v>
      </c>
      <c r="P1216" s="2">
        <v>284970</v>
      </c>
      <c r="Q1216" t="str">
        <f>"$"</f>
        <v>$</v>
      </c>
      <c r="R1216" t="str">
        <f>"הזמנה"</f>
        <v>הזמנה</v>
      </c>
      <c r="S1216">
        <v>0</v>
      </c>
      <c r="T1216" s="2">
        <v>284970</v>
      </c>
      <c r="U1216">
        <v>0</v>
      </c>
      <c r="V1216" s="2">
        <v>284970</v>
      </c>
      <c r="W1216" t="str">
        <f>"$"</f>
        <v>$</v>
      </c>
      <c r="X1216">
        <v>0</v>
      </c>
      <c r="Y1216">
        <v>0</v>
      </c>
      <c r="Z1216">
        <v>0</v>
      </c>
      <c r="AA1216" t="str">
        <f>"Y"</f>
        <v>Y</v>
      </c>
      <c r="AB1216" t="str">
        <f>"SO20000218"</f>
        <v>SO20000218</v>
      </c>
      <c r="AC1216">
        <v>5</v>
      </c>
      <c r="AD1216" s="1">
        <v>43982</v>
      </c>
      <c r="AE1216" t="str">
        <f>"SH22001358"</f>
        <v>SH22001358</v>
      </c>
      <c r="AF1216" t="str">
        <f>"משלוחים ללקוח"</f>
        <v>משלוחים ללקוח</v>
      </c>
      <c r="AG1216" s="1">
        <v>44893</v>
      </c>
      <c r="AM1216" t="str">
        <f>"10"</f>
        <v>10</v>
      </c>
      <c r="AN1216" t="str">
        <f>"500000"</f>
        <v>500000</v>
      </c>
      <c r="AO1216" t="str">
        <f>"הכנסות  מלקוחות"</f>
        <v>הכנסות  מלקוחות</v>
      </c>
      <c r="AQ1216" t="str">
        <f>"034"</f>
        <v>034</v>
      </c>
      <c r="AR1216">
        <v>0</v>
      </c>
      <c r="AS1216">
        <v>0</v>
      </c>
      <c r="AT1216">
        <v>3.4380000000000002</v>
      </c>
      <c r="AX1216" t="str">
        <f>"E000312785"</f>
        <v>E000312785</v>
      </c>
      <c r="BD1216" t="str">
        <f>"ערן שלו"</f>
        <v>ערן שלו</v>
      </c>
    </row>
    <row r="1217" spans="1:56" x14ac:dyDescent="0.3">
      <c r="A1217" s="1">
        <v>44893</v>
      </c>
      <c r="B1217" t="str">
        <f>"SI226001275"</f>
        <v>SI226001275</v>
      </c>
      <c r="E1217" t="str">
        <f>"Y"</f>
        <v>Y</v>
      </c>
      <c r="F1217" t="str">
        <f>"חשבוניות מרכזות"</f>
        <v>חשבוניות מרכזות</v>
      </c>
      <c r="G1217" t="str">
        <f>"700065"</f>
        <v>700065</v>
      </c>
      <c r="H1217" t="str">
        <f>"אלתא מערכות בע""מ"</f>
        <v>אלתא מערכות בע"מ</v>
      </c>
      <c r="I1217" t="str">
        <f>"10"</f>
        <v>10</v>
      </c>
      <c r="J1217" t="str">
        <f>"OP-ML00197"</f>
        <v>OP-ML00197</v>
      </c>
      <c r="K1217" t="str">
        <f>"1038C816-001 COMPUTER RACK"</f>
        <v>1038C816-001 COMPUTER RACK</v>
      </c>
      <c r="L1217">
        <v>1</v>
      </c>
      <c r="M1217" t="str">
        <f>"יח"</f>
        <v>יח</v>
      </c>
      <c r="N1217">
        <v>1</v>
      </c>
      <c r="O1217" t="str">
        <f>"יח"</f>
        <v>יח</v>
      </c>
      <c r="P1217" s="2">
        <v>47500</v>
      </c>
      <c r="Q1217" t="str">
        <f>"$"</f>
        <v>$</v>
      </c>
      <c r="R1217" t="str">
        <f>"הזמנה"</f>
        <v>הזמנה</v>
      </c>
      <c r="S1217">
        <v>0</v>
      </c>
      <c r="T1217" s="2">
        <v>47500</v>
      </c>
      <c r="U1217">
        <v>0</v>
      </c>
      <c r="V1217" s="2">
        <v>47500</v>
      </c>
      <c r="W1217" t="str">
        <f>"$"</f>
        <v>$</v>
      </c>
      <c r="X1217">
        <v>0</v>
      </c>
      <c r="Y1217">
        <v>0</v>
      </c>
      <c r="Z1217">
        <v>0</v>
      </c>
      <c r="AA1217" t="str">
        <f>"Y"</f>
        <v>Y</v>
      </c>
      <c r="AB1217" t="str">
        <f>"SO21000090"</f>
        <v>SO21000090</v>
      </c>
      <c r="AC1217">
        <v>16</v>
      </c>
      <c r="AD1217" s="1">
        <v>44251</v>
      </c>
      <c r="AE1217" t="str">
        <f>"SH22001360"</f>
        <v>SH22001360</v>
      </c>
      <c r="AF1217" t="str">
        <f>"משלוחים ללקוח"</f>
        <v>משלוחים ללקוח</v>
      </c>
      <c r="AG1217" s="1">
        <v>44893</v>
      </c>
      <c r="AM1217" t="str">
        <f>"10"</f>
        <v>10</v>
      </c>
      <c r="AN1217" t="str">
        <f>"500000"</f>
        <v>500000</v>
      </c>
      <c r="AO1217" t="str">
        <f>"הכנסות  מלקוחות"</f>
        <v>הכנסות  מלקוחות</v>
      </c>
      <c r="AQ1217" t="str">
        <f>"034"</f>
        <v>034</v>
      </c>
      <c r="AR1217">
        <v>0</v>
      </c>
      <c r="AS1217">
        <v>0</v>
      </c>
      <c r="AT1217">
        <v>3.4380000000000002</v>
      </c>
      <c r="AX1217" t="str">
        <f>"E000332763"</f>
        <v>E000332763</v>
      </c>
      <c r="BD1217" t="str">
        <f>"ערן שלו"</f>
        <v>ערן שלו</v>
      </c>
    </row>
    <row r="1218" spans="1:56" x14ac:dyDescent="0.3">
      <c r="A1218" s="1">
        <v>44893</v>
      </c>
      <c r="B1218" t="str">
        <f>"CR227000070"</f>
        <v>CR227000070</v>
      </c>
      <c r="E1218" t="str">
        <f>"Y"</f>
        <v>Y</v>
      </c>
      <c r="F1218" t="str">
        <f>"חשבוניות זיכוי"</f>
        <v>חשבוניות זיכוי</v>
      </c>
      <c r="G1218" t="str">
        <f>"700065"</f>
        <v>700065</v>
      </c>
      <c r="H1218" t="str">
        <f>"אלתא מערכות בע""מ"</f>
        <v>אלתא מערכות בע"מ</v>
      </c>
      <c r="I1218" t="str">
        <f>"10"</f>
        <v>10</v>
      </c>
      <c r="J1218" t="str">
        <f>"000"</f>
        <v>000</v>
      </c>
      <c r="K1218" t="str">
        <f>"זיכוי לערכת מס 1038C906-001 Radar Power Uni  6"</f>
        <v>זיכוי לערכת מס 1038C906-001 Radar Power Uni  6</v>
      </c>
      <c r="L1218">
        <v>1</v>
      </c>
      <c r="M1218" t="str">
        <f>"יח"</f>
        <v>יח</v>
      </c>
      <c r="N1218">
        <v>1</v>
      </c>
      <c r="O1218" t="str">
        <f>"יח"</f>
        <v>יח</v>
      </c>
      <c r="P1218" s="2">
        <v>117532</v>
      </c>
      <c r="Q1218" t="str">
        <f>"$"</f>
        <v>$</v>
      </c>
      <c r="R1218" t="str">
        <f>"ידני"</f>
        <v>ידני</v>
      </c>
      <c r="S1218">
        <v>0</v>
      </c>
      <c r="T1218" s="2">
        <v>117532</v>
      </c>
      <c r="U1218">
        <v>0</v>
      </c>
      <c r="V1218" s="2">
        <v>117532</v>
      </c>
      <c r="W1218" t="str">
        <f>"$"</f>
        <v>$</v>
      </c>
      <c r="X1218">
        <v>0</v>
      </c>
      <c r="Y1218">
        <v>0</v>
      </c>
      <c r="Z1218">
        <v>0</v>
      </c>
      <c r="AA1218" t="str">
        <f>"Y"</f>
        <v>Y</v>
      </c>
      <c r="AC1218">
        <v>0</v>
      </c>
      <c r="AM1218" t="str">
        <f>"10"</f>
        <v>10</v>
      </c>
      <c r="AN1218" t="str">
        <f>"500000"</f>
        <v>500000</v>
      </c>
      <c r="AO1218" t="str">
        <f>"הכנסות  מלקוחות"</f>
        <v>הכנסות  מלקוחות</v>
      </c>
      <c r="AQ1218" t="str">
        <f>"034"</f>
        <v>034</v>
      </c>
      <c r="AR1218">
        <v>0</v>
      </c>
      <c r="AS1218">
        <v>0</v>
      </c>
      <c r="AT1218">
        <v>3.4380000000000002</v>
      </c>
      <c r="BD1218" t="str">
        <f>"ערן שלו"</f>
        <v>ערן שלו</v>
      </c>
    </row>
    <row r="1219" spans="1:56" x14ac:dyDescent="0.3">
      <c r="A1219" s="1">
        <v>44893</v>
      </c>
      <c r="B1219" t="str">
        <f>"CR227000069"</f>
        <v>CR227000069</v>
      </c>
      <c r="E1219" t="str">
        <f>"Y"</f>
        <v>Y</v>
      </c>
      <c r="F1219" t="str">
        <f>"חשבוניות זיכוי"</f>
        <v>חשבוניות זיכוי</v>
      </c>
      <c r="G1219" t="str">
        <f>"700065"</f>
        <v>700065</v>
      </c>
      <c r="H1219" t="str">
        <f>"אלתא מערכות בע""מ"</f>
        <v>אלתא מערכות בע"מ</v>
      </c>
      <c r="I1219" t="str">
        <f>"10"</f>
        <v>10</v>
      </c>
      <c r="J1219" t="str">
        <f>"000"</f>
        <v>000</v>
      </c>
      <c r="K1219" t="str">
        <f>"זיכוי לערכת מס 1038C906-001 Radar Power Uni  6"</f>
        <v>זיכוי לערכת מס 1038C906-001 Radar Power Uni  6</v>
      </c>
      <c r="L1219">
        <v>-1</v>
      </c>
      <c r="M1219" t="str">
        <f>"יח"</f>
        <v>יח</v>
      </c>
      <c r="N1219">
        <v>-1</v>
      </c>
      <c r="O1219" t="str">
        <f>"יח"</f>
        <v>יח</v>
      </c>
      <c r="P1219" s="2">
        <v>117532</v>
      </c>
      <c r="Q1219" t="str">
        <f>"$"</f>
        <v>$</v>
      </c>
      <c r="R1219" t="str">
        <f>"ידני"</f>
        <v>ידני</v>
      </c>
      <c r="S1219">
        <v>0</v>
      </c>
      <c r="T1219" s="2">
        <v>-117532</v>
      </c>
      <c r="U1219">
        <v>0</v>
      </c>
      <c r="V1219" s="2">
        <v>-117532</v>
      </c>
      <c r="W1219" t="str">
        <f>"$"</f>
        <v>$</v>
      </c>
      <c r="X1219">
        <v>0</v>
      </c>
      <c r="Y1219">
        <v>0</v>
      </c>
      <c r="Z1219">
        <v>0</v>
      </c>
      <c r="AA1219" t="str">
        <f>"Y"</f>
        <v>Y</v>
      </c>
      <c r="AC1219">
        <v>0</v>
      </c>
      <c r="AM1219" t="str">
        <f>"10"</f>
        <v>10</v>
      </c>
      <c r="AN1219" t="str">
        <f>"500000"</f>
        <v>500000</v>
      </c>
      <c r="AO1219" t="str">
        <f>"הכנסות  מלקוחות"</f>
        <v>הכנסות  מלקוחות</v>
      </c>
      <c r="AQ1219" t="str">
        <f>"034"</f>
        <v>034</v>
      </c>
      <c r="AR1219">
        <v>0</v>
      </c>
      <c r="AS1219">
        <v>0</v>
      </c>
      <c r="AT1219">
        <v>3.4380000000000002</v>
      </c>
      <c r="BB1219" t="str">
        <f>"Y"</f>
        <v>Y</v>
      </c>
      <c r="BD1219" t="str">
        <f>"ערן שלו"</f>
        <v>ערן שלו</v>
      </c>
    </row>
    <row r="1220" spans="1:56" x14ac:dyDescent="0.3">
      <c r="A1220" s="1">
        <v>44893</v>
      </c>
      <c r="B1220" t="str">
        <f>"CR227000068"</f>
        <v>CR227000068</v>
      </c>
      <c r="E1220" t="str">
        <f>"Y"</f>
        <v>Y</v>
      </c>
      <c r="F1220" t="str">
        <f>"חשבוניות זיכוי"</f>
        <v>חשבוניות זיכוי</v>
      </c>
      <c r="G1220" t="str">
        <f>"700065"</f>
        <v>700065</v>
      </c>
      <c r="H1220" t="str">
        <f>"אלתא מערכות בע""מ"</f>
        <v>אלתא מערכות בע"מ</v>
      </c>
      <c r="I1220" t="str">
        <f>"10"</f>
        <v>10</v>
      </c>
      <c r="J1220" t="str">
        <f>"000"</f>
        <v>000</v>
      </c>
      <c r="K1220" t="str">
        <f>"זיכוי לערכת מס 1038C906-001 Radar Power Uni  6"</f>
        <v>זיכוי לערכת מס 1038C906-001 Radar Power Uni  6</v>
      </c>
      <c r="L1220">
        <v>-1</v>
      </c>
      <c r="M1220" t="str">
        <f>"יח"</f>
        <v>יח</v>
      </c>
      <c r="N1220">
        <v>-1</v>
      </c>
      <c r="O1220" t="str">
        <f>"יח"</f>
        <v>יח</v>
      </c>
      <c r="P1220" s="2">
        <v>117532</v>
      </c>
      <c r="Q1220" t="str">
        <f>"$"</f>
        <v>$</v>
      </c>
      <c r="R1220" t="str">
        <f>"ידני"</f>
        <v>ידני</v>
      </c>
      <c r="S1220">
        <v>0</v>
      </c>
      <c r="T1220" s="2">
        <v>-117532</v>
      </c>
      <c r="U1220">
        <v>0</v>
      </c>
      <c r="V1220" s="2">
        <v>-117532</v>
      </c>
      <c r="W1220" t="str">
        <f>"$"</f>
        <v>$</v>
      </c>
      <c r="X1220">
        <v>0</v>
      </c>
      <c r="Y1220">
        <v>0</v>
      </c>
      <c r="Z1220">
        <v>0</v>
      </c>
      <c r="AA1220" t="str">
        <f>"Y"</f>
        <v>Y</v>
      </c>
      <c r="AC1220">
        <v>0</v>
      </c>
      <c r="AM1220" t="str">
        <f>"10"</f>
        <v>10</v>
      </c>
      <c r="AN1220" t="str">
        <f>"500000"</f>
        <v>500000</v>
      </c>
      <c r="AO1220" t="str">
        <f>"הכנסות  מלקוחות"</f>
        <v>הכנסות  מלקוחות</v>
      </c>
      <c r="AQ1220" t="str">
        <f>"034"</f>
        <v>034</v>
      </c>
      <c r="AR1220">
        <v>0</v>
      </c>
      <c r="AS1220">
        <v>0</v>
      </c>
      <c r="AT1220">
        <v>3.4380000000000002</v>
      </c>
      <c r="BB1220" t="str">
        <f>"Y"</f>
        <v>Y</v>
      </c>
      <c r="BD1220" t="str">
        <f>"ערן שלו"</f>
        <v>ערן שלו</v>
      </c>
    </row>
    <row r="1221" spans="1:56" x14ac:dyDescent="0.3">
      <c r="A1221" s="1">
        <v>44893</v>
      </c>
      <c r="B1221" t="str">
        <f>"CR227000067"</f>
        <v>CR227000067</v>
      </c>
      <c r="E1221" t="str">
        <f>"Y"</f>
        <v>Y</v>
      </c>
      <c r="F1221" t="str">
        <f>"חשבוניות זיכוי"</f>
        <v>חשבוניות זיכוי</v>
      </c>
      <c r="G1221" t="str">
        <f>"700065"</f>
        <v>700065</v>
      </c>
      <c r="H1221" t="str">
        <f>"אלתא מערכות בע""מ"</f>
        <v>אלתא מערכות בע"מ</v>
      </c>
      <c r="I1221" t="str">
        <f>"10"</f>
        <v>10</v>
      </c>
      <c r="J1221" t="str">
        <f>"000"</f>
        <v>000</v>
      </c>
      <c r="K1221" t="str">
        <f>"זיכוי לערכת מס 1038C906-001 Radar Power Uni  6"</f>
        <v>זיכוי לערכת מס 1038C906-001 Radar Power Uni  6</v>
      </c>
      <c r="L1221">
        <v>1</v>
      </c>
      <c r="M1221" t="str">
        <f>"יח"</f>
        <v>יח</v>
      </c>
      <c r="N1221">
        <v>1</v>
      </c>
      <c r="O1221" t="str">
        <f>"יח"</f>
        <v>יח</v>
      </c>
      <c r="P1221" s="2">
        <v>117532</v>
      </c>
      <c r="Q1221" t="str">
        <f>"$"</f>
        <v>$</v>
      </c>
      <c r="R1221" t="str">
        <f>"ידני"</f>
        <v>ידני</v>
      </c>
      <c r="S1221">
        <v>0</v>
      </c>
      <c r="T1221" s="2">
        <v>117532</v>
      </c>
      <c r="U1221">
        <v>0</v>
      </c>
      <c r="V1221" s="2">
        <v>117532</v>
      </c>
      <c r="W1221" t="str">
        <f>"$"</f>
        <v>$</v>
      </c>
      <c r="X1221">
        <v>0</v>
      </c>
      <c r="Y1221">
        <v>0</v>
      </c>
      <c r="Z1221">
        <v>0</v>
      </c>
      <c r="AA1221" t="str">
        <f>"Y"</f>
        <v>Y</v>
      </c>
      <c r="AC1221">
        <v>0</v>
      </c>
      <c r="AM1221" t="str">
        <f>"10"</f>
        <v>10</v>
      </c>
      <c r="AN1221" t="str">
        <f>"500000"</f>
        <v>500000</v>
      </c>
      <c r="AO1221" t="str">
        <f>"הכנסות  מלקוחות"</f>
        <v>הכנסות  מלקוחות</v>
      </c>
      <c r="AQ1221" t="str">
        <f>"034"</f>
        <v>034</v>
      </c>
      <c r="AR1221">
        <v>0</v>
      </c>
      <c r="AS1221">
        <v>0</v>
      </c>
      <c r="AT1221">
        <v>3.4380000000000002</v>
      </c>
      <c r="BB1221" t="str">
        <f>"Y"</f>
        <v>Y</v>
      </c>
      <c r="BD1221" t="str">
        <f>"ערן שלו"</f>
        <v>ערן שלו</v>
      </c>
    </row>
    <row r="1222" spans="1:56" x14ac:dyDescent="0.3">
      <c r="A1222" s="1">
        <v>44893</v>
      </c>
      <c r="B1222" t="str">
        <f>"CR227000066"</f>
        <v>CR227000066</v>
      </c>
      <c r="E1222" t="str">
        <f>"Y"</f>
        <v>Y</v>
      </c>
      <c r="F1222" t="str">
        <f>"חשבוניות זיכוי"</f>
        <v>חשבוניות זיכוי</v>
      </c>
      <c r="G1222" t="str">
        <f>"700065"</f>
        <v>700065</v>
      </c>
      <c r="H1222" t="str">
        <f>"אלתא מערכות בע""מ"</f>
        <v>אלתא מערכות בע"מ</v>
      </c>
      <c r="I1222" t="str">
        <f>"10"</f>
        <v>10</v>
      </c>
      <c r="J1222" t="str">
        <f>"000"</f>
        <v>000</v>
      </c>
      <c r="K1222" t="str">
        <f>"זיכוי לערכת מס 1038C906-001 Radar Power Uni  6"</f>
        <v>זיכוי לערכת מס 1038C906-001 Radar Power Uni  6</v>
      </c>
      <c r="L1222">
        <v>1</v>
      </c>
      <c r="M1222" t="str">
        <f>"יח"</f>
        <v>יח</v>
      </c>
      <c r="N1222">
        <v>1</v>
      </c>
      <c r="O1222" t="str">
        <f>"יח"</f>
        <v>יח</v>
      </c>
      <c r="P1222" s="2">
        <v>117532</v>
      </c>
      <c r="Q1222" t="str">
        <f>"$"</f>
        <v>$</v>
      </c>
      <c r="R1222" t="str">
        <f>"ידני"</f>
        <v>ידני</v>
      </c>
      <c r="S1222">
        <v>0</v>
      </c>
      <c r="T1222" s="2">
        <v>117532</v>
      </c>
      <c r="U1222">
        <v>0</v>
      </c>
      <c r="V1222" s="2">
        <v>117532</v>
      </c>
      <c r="W1222" t="str">
        <f>"$"</f>
        <v>$</v>
      </c>
      <c r="X1222">
        <v>0</v>
      </c>
      <c r="Y1222">
        <v>0</v>
      </c>
      <c r="Z1222">
        <v>0</v>
      </c>
      <c r="AA1222" t="str">
        <f>"Y"</f>
        <v>Y</v>
      </c>
      <c r="AC1222">
        <v>0</v>
      </c>
      <c r="AM1222" t="str">
        <f>"10"</f>
        <v>10</v>
      </c>
      <c r="AN1222" t="str">
        <f>"500000"</f>
        <v>500000</v>
      </c>
      <c r="AO1222" t="str">
        <f>"הכנסות  מלקוחות"</f>
        <v>הכנסות  מלקוחות</v>
      </c>
      <c r="AQ1222" t="str">
        <f>"034"</f>
        <v>034</v>
      </c>
      <c r="AR1222">
        <v>0</v>
      </c>
      <c r="AS1222">
        <v>0</v>
      </c>
      <c r="AT1222">
        <v>3.4380000000000002</v>
      </c>
      <c r="BB1222" t="str">
        <f>"Y"</f>
        <v>Y</v>
      </c>
      <c r="BD1222" t="str">
        <f>"ערן שלו"</f>
        <v>ערן שלו</v>
      </c>
    </row>
    <row r="1223" spans="1:56" x14ac:dyDescent="0.3">
      <c r="A1223" s="1">
        <v>44893</v>
      </c>
      <c r="B1223" t="str">
        <f>"CR227000065"</f>
        <v>CR227000065</v>
      </c>
      <c r="E1223" t="str">
        <f>"Y"</f>
        <v>Y</v>
      </c>
      <c r="F1223" t="str">
        <f>"חשבוניות זיכוי"</f>
        <v>חשבוניות זיכוי</v>
      </c>
      <c r="G1223" t="str">
        <f>"700065"</f>
        <v>700065</v>
      </c>
      <c r="H1223" t="str">
        <f>"אלתא מערכות בע""מ"</f>
        <v>אלתא מערכות בע"מ</v>
      </c>
      <c r="I1223" t="str">
        <f>"10"</f>
        <v>10</v>
      </c>
      <c r="J1223" t="str">
        <f>"000"</f>
        <v>000</v>
      </c>
      <c r="K1223" t="str">
        <f>"זיכוי לערכת מס 1038C906-001 Radar Power Uni  6"</f>
        <v>זיכוי לערכת מס 1038C906-001 Radar Power Uni  6</v>
      </c>
      <c r="L1223">
        <v>-1</v>
      </c>
      <c r="M1223" t="str">
        <f>"יח"</f>
        <v>יח</v>
      </c>
      <c r="N1223">
        <v>-1</v>
      </c>
      <c r="O1223" t="str">
        <f>"יח"</f>
        <v>יח</v>
      </c>
      <c r="P1223" s="2">
        <v>117532</v>
      </c>
      <c r="Q1223" t="str">
        <f>"$"</f>
        <v>$</v>
      </c>
      <c r="R1223" t="str">
        <f>"ידני"</f>
        <v>ידני</v>
      </c>
      <c r="S1223">
        <v>0</v>
      </c>
      <c r="T1223" s="2">
        <v>-117532</v>
      </c>
      <c r="U1223">
        <v>0</v>
      </c>
      <c r="V1223" s="2">
        <v>-117532</v>
      </c>
      <c r="W1223" t="str">
        <f>"$"</f>
        <v>$</v>
      </c>
      <c r="X1223">
        <v>0</v>
      </c>
      <c r="Y1223">
        <v>0</v>
      </c>
      <c r="Z1223">
        <v>0</v>
      </c>
      <c r="AA1223" t="str">
        <f>"Y"</f>
        <v>Y</v>
      </c>
      <c r="AC1223">
        <v>0</v>
      </c>
      <c r="AM1223" t="str">
        <f>"10"</f>
        <v>10</v>
      </c>
      <c r="AN1223" t="str">
        <f>"500000"</f>
        <v>500000</v>
      </c>
      <c r="AO1223" t="str">
        <f>"הכנסות  מלקוחות"</f>
        <v>הכנסות  מלקוחות</v>
      </c>
      <c r="AQ1223" t="str">
        <f>"034"</f>
        <v>034</v>
      </c>
      <c r="AR1223">
        <v>0</v>
      </c>
      <c r="AS1223">
        <v>0</v>
      </c>
      <c r="AT1223">
        <v>3.4380000000000002</v>
      </c>
      <c r="BB1223" t="str">
        <f>"Y"</f>
        <v>Y</v>
      </c>
      <c r="BD1223" t="str">
        <f>"ערן שלו"</f>
        <v>ערן שלו</v>
      </c>
    </row>
    <row r="1224" spans="1:56" x14ac:dyDescent="0.3">
      <c r="A1224" s="1">
        <v>44893</v>
      </c>
      <c r="B1224" t="str">
        <f>"CR227000064"</f>
        <v>CR227000064</v>
      </c>
      <c r="E1224" t="str">
        <f>"Y"</f>
        <v>Y</v>
      </c>
      <c r="F1224" t="str">
        <f>"חשבוניות זיכוי"</f>
        <v>חשבוניות זיכוי</v>
      </c>
      <c r="G1224" t="str">
        <f>"700065"</f>
        <v>700065</v>
      </c>
      <c r="H1224" t="str">
        <f>"אלתא מערכות בע""מ"</f>
        <v>אלתא מערכות בע"מ</v>
      </c>
      <c r="I1224" t="str">
        <f>"10"</f>
        <v>10</v>
      </c>
      <c r="J1224" t="str">
        <f>"000"</f>
        <v>000</v>
      </c>
      <c r="K1224" t="str">
        <f>"זיכוי לערכת מס 1038C906-001 Radar Power Uni  6"</f>
        <v>זיכוי לערכת מס 1038C906-001 Radar Power Uni  6</v>
      </c>
      <c r="L1224">
        <v>1</v>
      </c>
      <c r="M1224" t="str">
        <f>"יח"</f>
        <v>יח</v>
      </c>
      <c r="N1224">
        <v>1</v>
      </c>
      <c r="O1224" t="str">
        <f>"יח"</f>
        <v>יח</v>
      </c>
      <c r="P1224" s="2">
        <v>117532</v>
      </c>
      <c r="Q1224" t="str">
        <f>"$"</f>
        <v>$</v>
      </c>
      <c r="R1224" t="str">
        <f>"ידני"</f>
        <v>ידני</v>
      </c>
      <c r="S1224">
        <v>0</v>
      </c>
      <c r="T1224" s="2">
        <v>117532</v>
      </c>
      <c r="U1224">
        <v>0</v>
      </c>
      <c r="V1224" s="2">
        <v>117532</v>
      </c>
      <c r="W1224" t="str">
        <f>"$"</f>
        <v>$</v>
      </c>
      <c r="X1224">
        <v>0</v>
      </c>
      <c r="Y1224">
        <v>0</v>
      </c>
      <c r="Z1224">
        <v>0</v>
      </c>
      <c r="AA1224" t="str">
        <f>"Y"</f>
        <v>Y</v>
      </c>
      <c r="AC1224">
        <v>0</v>
      </c>
      <c r="AM1224" t="str">
        <f>"10"</f>
        <v>10</v>
      </c>
      <c r="AN1224" t="str">
        <f>"500000"</f>
        <v>500000</v>
      </c>
      <c r="AO1224" t="str">
        <f>"הכנסות  מלקוחות"</f>
        <v>הכנסות  מלקוחות</v>
      </c>
      <c r="AQ1224" t="str">
        <f>"034"</f>
        <v>034</v>
      </c>
      <c r="AR1224">
        <v>0</v>
      </c>
      <c r="AS1224">
        <v>0</v>
      </c>
      <c r="AT1224">
        <v>3.4380000000000002</v>
      </c>
      <c r="BB1224" t="str">
        <f>"Y"</f>
        <v>Y</v>
      </c>
      <c r="BD1224" t="str">
        <f>"ערן שלו"</f>
        <v>ערן שלו</v>
      </c>
    </row>
    <row r="1225" spans="1:56" x14ac:dyDescent="0.3">
      <c r="A1225" s="1">
        <v>44892</v>
      </c>
      <c r="B1225" t="str">
        <f>"SI226001326"</f>
        <v>SI226001326</v>
      </c>
      <c r="C1225" t="str">
        <f>"PR22000579"</f>
        <v>PR22000579</v>
      </c>
      <c r="E1225" t="str">
        <f>"Y"</f>
        <v>Y</v>
      </c>
      <c r="F1225" t="str">
        <f>"חשבוניות מרכזות"</f>
        <v>חשבוניות מרכזות</v>
      </c>
      <c r="G1225" t="str">
        <f>"700065"</f>
        <v>700065</v>
      </c>
      <c r="H1225" t="str">
        <f>"אלתא מערכות בע""מ"</f>
        <v>אלתא מערכות בע"מ</v>
      </c>
      <c r="I1225" t="str">
        <f>"10"</f>
        <v>10</v>
      </c>
      <c r="J1225" t="str">
        <f>"OP-AR01663"</f>
        <v>OP-AR01663</v>
      </c>
      <c r="K1225" t="str">
        <f>"6649E011-001 SYSTEM BUNDLE TO RSU - POWER"</f>
        <v>6649E011-001 SYSTEM BUNDLE TO RSU - POWER</v>
      </c>
      <c r="L1225">
        <v>1</v>
      </c>
      <c r="M1225" t="str">
        <f>"יח"</f>
        <v>יח</v>
      </c>
      <c r="N1225">
        <v>1</v>
      </c>
      <c r="O1225" t="str">
        <f>"יח"</f>
        <v>יח</v>
      </c>
      <c r="P1225">
        <v>352.43</v>
      </c>
      <c r="Q1225" t="str">
        <f>"$"</f>
        <v>$</v>
      </c>
      <c r="R1225" t="str">
        <f>"הזמנה"</f>
        <v>הזמנה</v>
      </c>
      <c r="S1225">
        <v>0</v>
      </c>
      <c r="T1225">
        <v>352.43</v>
      </c>
      <c r="U1225">
        <v>0</v>
      </c>
      <c r="V1225">
        <v>352.43</v>
      </c>
      <c r="W1225" t="str">
        <f>"$"</f>
        <v>$</v>
      </c>
      <c r="X1225">
        <v>0</v>
      </c>
      <c r="Y1225">
        <v>0</v>
      </c>
      <c r="Z1225">
        <v>0</v>
      </c>
      <c r="AA1225" t="str">
        <f>"Y"</f>
        <v>Y</v>
      </c>
      <c r="AB1225" t="str">
        <f>"SO22000331"</f>
        <v>SO22000331</v>
      </c>
      <c r="AC1225">
        <v>1</v>
      </c>
      <c r="AD1225" s="1">
        <v>44788</v>
      </c>
      <c r="AE1225" t="str">
        <f>"SH22001316"</f>
        <v>SH22001316</v>
      </c>
      <c r="AF1225" t="str">
        <f>"משלוחים ללקוח"</f>
        <v>משלוחים ללקוח</v>
      </c>
      <c r="AG1225" s="1">
        <v>44887</v>
      </c>
      <c r="AM1225" t="str">
        <f>"10"</f>
        <v>10</v>
      </c>
      <c r="AN1225" t="str">
        <f>"500000"</f>
        <v>500000</v>
      </c>
      <c r="AO1225" t="str">
        <f>"הכנסות  מלקוחות"</f>
        <v>הכנסות  מלקוחות</v>
      </c>
      <c r="AQ1225" t="str">
        <f>"040"</f>
        <v>040</v>
      </c>
      <c r="AR1225">
        <v>0</v>
      </c>
      <c r="AS1225">
        <v>0</v>
      </c>
      <c r="AT1225">
        <v>3.419</v>
      </c>
      <c r="AX1225" t="str">
        <f>"E000372142"</f>
        <v>E000372142</v>
      </c>
      <c r="BD1225" t="str">
        <f>"רחמים זרוק"</f>
        <v>רחמים זרוק</v>
      </c>
    </row>
    <row r="1226" spans="1:56" x14ac:dyDescent="0.3">
      <c r="A1226" s="1">
        <v>44892</v>
      </c>
      <c r="B1226" t="str">
        <f>"SI226001290"</f>
        <v>SI226001290</v>
      </c>
      <c r="C1226" t="str">
        <f>"PR22000369"</f>
        <v>PR22000369</v>
      </c>
      <c r="D1226" t="str">
        <f>"PR22000369"</f>
        <v>PR22000369</v>
      </c>
      <c r="E1226" t="str">
        <f>"Y"</f>
        <v>Y</v>
      </c>
      <c r="F1226" t="str">
        <f>"חשבוניות מרכזות"</f>
        <v>חשבוניות מרכזות</v>
      </c>
      <c r="G1226" t="str">
        <f>"700065"</f>
        <v>700065</v>
      </c>
      <c r="H1226" t="str">
        <f>"אלתא מערכות בע""מ"</f>
        <v>אלתא מערכות בע"מ</v>
      </c>
      <c r="I1226" t="str">
        <f>"10"</f>
        <v>10</v>
      </c>
      <c r="J1226" t="str">
        <f>"OP-AR03132"</f>
        <v>OP-AR03132</v>
      </c>
      <c r="K1226" t="str">
        <f>"1022Y356-001    CABLE ASSY WL10"</f>
        <v>1022Y356-001    CABLE ASSY WL10</v>
      </c>
      <c r="L1226">
        <v>3</v>
      </c>
      <c r="M1226" t="str">
        <f>"יח"</f>
        <v>יח</v>
      </c>
      <c r="N1226">
        <v>3</v>
      </c>
      <c r="O1226" t="str">
        <f>"יח"</f>
        <v>יח</v>
      </c>
      <c r="P1226">
        <v>182.13</v>
      </c>
      <c r="Q1226" t="str">
        <f>"$"</f>
        <v>$</v>
      </c>
      <c r="R1226" t="str">
        <f>"הזמנה"</f>
        <v>הזמנה</v>
      </c>
      <c r="S1226">
        <v>0</v>
      </c>
      <c r="T1226">
        <v>546.39</v>
      </c>
      <c r="U1226">
        <v>0</v>
      </c>
      <c r="V1226">
        <v>546.39</v>
      </c>
      <c r="W1226" t="str">
        <f>"$"</f>
        <v>$</v>
      </c>
      <c r="X1226">
        <v>0</v>
      </c>
      <c r="Y1226">
        <v>0</v>
      </c>
      <c r="Z1226">
        <v>0</v>
      </c>
      <c r="AA1226" t="str">
        <f>"Y"</f>
        <v>Y</v>
      </c>
      <c r="AB1226" t="str">
        <f>"SO22000194"</f>
        <v>SO22000194</v>
      </c>
      <c r="AC1226">
        <v>1</v>
      </c>
      <c r="AD1226" s="1">
        <v>44698</v>
      </c>
      <c r="AE1226" t="str">
        <f>"SH22001307"</f>
        <v>SH22001307</v>
      </c>
      <c r="AF1226" t="str">
        <f>"משלוחים ללקוח"</f>
        <v>משלוחים ללקוח</v>
      </c>
      <c r="AG1226" s="1">
        <v>44887</v>
      </c>
      <c r="AM1226" t="str">
        <f>"10"</f>
        <v>10</v>
      </c>
      <c r="AN1226" t="str">
        <f>"500000"</f>
        <v>500000</v>
      </c>
      <c r="AO1226" t="str">
        <f>"הכנסות  מלקוחות"</f>
        <v>הכנסות  מלקוחות</v>
      </c>
      <c r="AQ1226" t="str">
        <f>"040"</f>
        <v>040</v>
      </c>
      <c r="AR1226">
        <v>0</v>
      </c>
      <c r="AS1226">
        <v>0</v>
      </c>
      <c r="AT1226">
        <v>3.419</v>
      </c>
      <c r="AX1226" t="str">
        <f>"E000362818"</f>
        <v>E000362818</v>
      </c>
      <c r="BD1226" t="str">
        <f>"רחמים זרוק"</f>
        <v>רחמים זרוק</v>
      </c>
    </row>
    <row r="1227" spans="1:56" x14ac:dyDescent="0.3">
      <c r="A1227" s="1">
        <v>44892</v>
      </c>
      <c r="B1227" t="str">
        <f>"SI226001290"</f>
        <v>SI226001290</v>
      </c>
      <c r="C1227" t="str">
        <f>"PR22000369"</f>
        <v>PR22000369</v>
      </c>
      <c r="D1227" t="str">
        <f>"PR22000369"</f>
        <v>PR22000369</v>
      </c>
      <c r="E1227" t="str">
        <f>"Y"</f>
        <v>Y</v>
      </c>
      <c r="F1227" t="str">
        <f>"חשבוניות מרכזות"</f>
        <v>חשבוניות מרכזות</v>
      </c>
      <c r="G1227" t="str">
        <f>"700065"</f>
        <v>700065</v>
      </c>
      <c r="H1227" t="str">
        <f>"אלתא מערכות בע""מ"</f>
        <v>אלתא מערכות בע"מ</v>
      </c>
      <c r="I1227" t="str">
        <f>"10"</f>
        <v>10</v>
      </c>
      <c r="J1227" t="str">
        <f>"OP-AR03133"</f>
        <v>OP-AR03133</v>
      </c>
      <c r="K1227" t="str">
        <f>"1022Y539-001    CABLE ASSY WL11"</f>
        <v>1022Y539-001    CABLE ASSY WL11</v>
      </c>
      <c r="L1227">
        <v>5</v>
      </c>
      <c r="M1227" t="str">
        <f>"יח"</f>
        <v>יח</v>
      </c>
      <c r="N1227">
        <v>5</v>
      </c>
      <c r="O1227" t="str">
        <f>"יח"</f>
        <v>יח</v>
      </c>
      <c r="P1227">
        <v>325.97000000000003</v>
      </c>
      <c r="Q1227" t="str">
        <f>"$"</f>
        <v>$</v>
      </c>
      <c r="R1227" t="str">
        <f>"הזמנה"</f>
        <v>הזמנה</v>
      </c>
      <c r="S1227">
        <v>0</v>
      </c>
      <c r="T1227" s="2">
        <v>1629.85</v>
      </c>
      <c r="U1227">
        <v>0</v>
      </c>
      <c r="V1227" s="2">
        <v>1629.85</v>
      </c>
      <c r="W1227" t="str">
        <f>"$"</f>
        <v>$</v>
      </c>
      <c r="X1227">
        <v>0</v>
      </c>
      <c r="Y1227">
        <v>0</v>
      </c>
      <c r="Z1227">
        <v>0</v>
      </c>
      <c r="AA1227" t="str">
        <f>"Y"</f>
        <v>Y</v>
      </c>
      <c r="AB1227" t="str">
        <f>"SO22000194"</f>
        <v>SO22000194</v>
      </c>
      <c r="AC1227">
        <v>2</v>
      </c>
      <c r="AD1227" s="1">
        <v>44698</v>
      </c>
      <c r="AE1227" t="str">
        <f>"SH22001307"</f>
        <v>SH22001307</v>
      </c>
      <c r="AF1227" t="str">
        <f>"משלוחים ללקוח"</f>
        <v>משלוחים ללקוח</v>
      </c>
      <c r="AG1227" s="1">
        <v>44887</v>
      </c>
      <c r="AM1227" t="str">
        <f>"10"</f>
        <v>10</v>
      </c>
      <c r="AN1227" t="str">
        <f>"500000"</f>
        <v>500000</v>
      </c>
      <c r="AO1227" t="str">
        <f>"הכנסות  מלקוחות"</f>
        <v>הכנסות  מלקוחות</v>
      </c>
      <c r="AQ1227" t="str">
        <f>"040"</f>
        <v>040</v>
      </c>
      <c r="AR1227">
        <v>0</v>
      </c>
      <c r="AS1227">
        <v>0</v>
      </c>
      <c r="AT1227">
        <v>3.419</v>
      </c>
      <c r="AX1227" t="str">
        <f>"E000362818"</f>
        <v>E000362818</v>
      </c>
      <c r="BD1227" t="str">
        <f>"רחמים זרוק"</f>
        <v>רחמים זרוק</v>
      </c>
    </row>
    <row r="1228" spans="1:56" x14ac:dyDescent="0.3">
      <c r="A1228" s="1">
        <v>44892</v>
      </c>
      <c r="B1228" t="str">
        <f>"SI226001290"</f>
        <v>SI226001290</v>
      </c>
      <c r="C1228" t="str">
        <f>"PR22000369"</f>
        <v>PR22000369</v>
      </c>
      <c r="D1228" t="str">
        <f>"PR22000369"</f>
        <v>PR22000369</v>
      </c>
      <c r="E1228" t="str">
        <f>"Y"</f>
        <v>Y</v>
      </c>
      <c r="F1228" t="str">
        <f>"חשבוניות מרכזות"</f>
        <v>חשבוניות מרכזות</v>
      </c>
      <c r="G1228" t="str">
        <f>"700065"</f>
        <v>700065</v>
      </c>
      <c r="H1228" t="str">
        <f>"אלתא מערכות בע""מ"</f>
        <v>אלתא מערכות בע"מ</v>
      </c>
      <c r="I1228" t="str">
        <f>"10"</f>
        <v>10</v>
      </c>
      <c r="J1228" t="str">
        <f>"OP-AR02804"</f>
        <v>OP-AR02804</v>
      </c>
      <c r="K1228" t="str">
        <f>"1034Y298-001    J6 ROB CABLE"</f>
        <v>1034Y298-001    J6 ROB CABLE</v>
      </c>
      <c r="L1228">
        <v>12</v>
      </c>
      <c r="M1228" t="str">
        <f>"יח"</f>
        <v>יח</v>
      </c>
      <c r="N1228">
        <v>12</v>
      </c>
      <c r="O1228" t="str">
        <f>"יח"</f>
        <v>יח</v>
      </c>
      <c r="P1228">
        <v>415.85</v>
      </c>
      <c r="Q1228" t="str">
        <f>"$"</f>
        <v>$</v>
      </c>
      <c r="R1228" t="str">
        <f>"הזמנה"</f>
        <v>הזמנה</v>
      </c>
      <c r="S1228">
        <v>0</v>
      </c>
      <c r="T1228" s="2">
        <v>4990.2</v>
      </c>
      <c r="U1228">
        <v>0</v>
      </c>
      <c r="V1228" s="2">
        <v>4990.2</v>
      </c>
      <c r="W1228" t="str">
        <f>"$"</f>
        <v>$</v>
      </c>
      <c r="X1228">
        <v>0</v>
      </c>
      <c r="Y1228">
        <v>0</v>
      </c>
      <c r="Z1228">
        <v>0</v>
      </c>
      <c r="AA1228" t="str">
        <f>"Y"</f>
        <v>Y</v>
      </c>
      <c r="AB1228" t="str">
        <f>"SO22000194"</f>
        <v>SO22000194</v>
      </c>
      <c r="AC1228">
        <v>4</v>
      </c>
      <c r="AD1228" s="1">
        <v>44698</v>
      </c>
      <c r="AE1228" t="str">
        <f>"SH22001307"</f>
        <v>SH22001307</v>
      </c>
      <c r="AF1228" t="str">
        <f>"משלוחים ללקוח"</f>
        <v>משלוחים ללקוח</v>
      </c>
      <c r="AG1228" s="1">
        <v>44887</v>
      </c>
      <c r="AM1228" t="str">
        <f>"10"</f>
        <v>10</v>
      </c>
      <c r="AN1228" t="str">
        <f>"500000"</f>
        <v>500000</v>
      </c>
      <c r="AO1228" t="str">
        <f>"הכנסות  מלקוחות"</f>
        <v>הכנסות  מלקוחות</v>
      </c>
      <c r="AQ1228" t="str">
        <f>"040"</f>
        <v>040</v>
      </c>
      <c r="AR1228">
        <v>0</v>
      </c>
      <c r="AS1228">
        <v>0</v>
      </c>
      <c r="AT1228">
        <v>3.419</v>
      </c>
      <c r="AX1228" t="str">
        <f>"E000362818"</f>
        <v>E000362818</v>
      </c>
      <c r="BD1228" t="str">
        <f>"רחמים זרוק"</f>
        <v>רחמים זרוק</v>
      </c>
    </row>
    <row r="1229" spans="1:56" x14ac:dyDescent="0.3">
      <c r="A1229" s="1">
        <v>44892</v>
      </c>
      <c r="B1229" t="str">
        <f>"SI226001289"</f>
        <v>SI226001289</v>
      </c>
      <c r="C1229" t="str">
        <f>"PR22000479"</f>
        <v>PR22000479</v>
      </c>
      <c r="E1229" t="str">
        <f>"Y"</f>
        <v>Y</v>
      </c>
      <c r="F1229" t="str">
        <f>"חשבוניות מרכזות"</f>
        <v>חשבוניות מרכזות</v>
      </c>
      <c r="G1229" t="str">
        <f>"700065"</f>
        <v>700065</v>
      </c>
      <c r="H1229" t="str">
        <f>"אלתא מערכות בע""מ"</f>
        <v>אלתא מערכות בע"מ</v>
      </c>
      <c r="I1229" t="str">
        <f>"10"</f>
        <v>10</v>
      </c>
      <c r="J1229" t="str">
        <f>"OP-AR03201"</f>
        <v>OP-AR03201</v>
      </c>
      <c r="K1229" t="str">
        <f>"2014E737-002   BCU IFFMC ETH. CABLE"</f>
        <v>2014E737-002   BCU IFFMC ETH. CABLE</v>
      </c>
      <c r="L1229">
        <v>10</v>
      </c>
      <c r="M1229" t="str">
        <f>"יח"</f>
        <v>יח</v>
      </c>
      <c r="N1229">
        <v>10</v>
      </c>
      <c r="O1229" t="str">
        <f>"יח"</f>
        <v>יח</v>
      </c>
      <c r="P1229">
        <v>131.24</v>
      </c>
      <c r="Q1229" t="str">
        <f>"$"</f>
        <v>$</v>
      </c>
      <c r="R1229" t="str">
        <f>"הזמנה"</f>
        <v>הזמנה</v>
      </c>
      <c r="S1229">
        <v>0</v>
      </c>
      <c r="T1229" s="2">
        <v>1312.4</v>
      </c>
      <c r="U1229">
        <v>0</v>
      </c>
      <c r="V1229" s="2">
        <v>1312.4</v>
      </c>
      <c r="W1229" t="str">
        <f>"$"</f>
        <v>$</v>
      </c>
      <c r="X1229">
        <v>0</v>
      </c>
      <c r="Y1229">
        <v>0</v>
      </c>
      <c r="Z1229">
        <v>0</v>
      </c>
      <c r="AA1229" t="str">
        <f>"Y"</f>
        <v>Y</v>
      </c>
      <c r="AB1229" t="str">
        <f>"SO22000243"</f>
        <v>SO22000243</v>
      </c>
      <c r="AC1229">
        <v>1</v>
      </c>
      <c r="AD1229" s="1">
        <v>44731</v>
      </c>
      <c r="AE1229" t="str">
        <f>"SH22001308"</f>
        <v>SH22001308</v>
      </c>
      <c r="AF1229" t="str">
        <f>"משלוחים ללקוח"</f>
        <v>משלוחים ללקוח</v>
      </c>
      <c r="AG1229" s="1">
        <v>44887</v>
      </c>
      <c r="AM1229" t="str">
        <f>"10"</f>
        <v>10</v>
      </c>
      <c r="AN1229" t="str">
        <f>"500000"</f>
        <v>500000</v>
      </c>
      <c r="AO1229" t="str">
        <f>"הכנסות  מלקוחות"</f>
        <v>הכנסות  מלקוחות</v>
      </c>
      <c r="AQ1229" t="str">
        <f>"040"</f>
        <v>040</v>
      </c>
      <c r="AR1229">
        <v>0</v>
      </c>
      <c r="AS1229">
        <v>0</v>
      </c>
      <c r="AT1229">
        <v>3.419</v>
      </c>
      <c r="AX1229" t="str">
        <f>"E000367370"</f>
        <v>E000367370</v>
      </c>
      <c r="BD1229" t="str">
        <f>"רחמים זרוק"</f>
        <v>רחמים זרוק</v>
      </c>
    </row>
    <row r="1230" spans="1:56" x14ac:dyDescent="0.3">
      <c r="A1230" s="1">
        <v>44892</v>
      </c>
      <c r="B1230" t="str">
        <f>"SI226001289"</f>
        <v>SI226001289</v>
      </c>
      <c r="C1230" t="str">
        <f>"PR22000479"</f>
        <v>PR22000479</v>
      </c>
      <c r="E1230" t="str">
        <f>"Y"</f>
        <v>Y</v>
      </c>
      <c r="F1230" t="str">
        <f>"חשבוניות מרכזות"</f>
        <v>חשבוניות מרכזות</v>
      </c>
      <c r="G1230" t="str">
        <f>"700065"</f>
        <v>700065</v>
      </c>
      <c r="H1230" t="str">
        <f>"אלתא מערכות בע""מ"</f>
        <v>אלתא מערכות בע"מ</v>
      </c>
      <c r="I1230" t="str">
        <f>"10"</f>
        <v>10</v>
      </c>
      <c r="J1230" t="str">
        <f>"OP-AR03202"</f>
        <v>OP-AR03202</v>
      </c>
      <c r="K1230" t="str">
        <f>"2060B170-001   CABLE ASSY CRW21"</f>
        <v>2060B170-001   CABLE ASSY CRW21</v>
      </c>
      <c r="L1230">
        <v>1</v>
      </c>
      <c r="M1230" t="str">
        <f>"יח"</f>
        <v>יח</v>
      </c>
      <c r="N1230">
        <v>1</v>
      </c>
      <c r="O1230" t="str">
        <f>"יח"</f>
        <v>יח</v>
      </c>
      <c r="P1230">
        <v>261.23</v>
      </c>
      <c r="Q1230" t="str">
        <f>"$"</f>
        <v>$</v>
      </c>
      <c r="R1230" t="str">
        <f>"הזמנה"</f>
        <v>הזמנה</v>
      </c>
      <c r="S1230">
        <v>0</v>
      </c>
      <c r="T1230">
        <v>261.23</v>
      </c>
      <c r="U1230">
        <v>0</v>
      </c>
      <c r="V1230">
        <v>261.23</v>
      </c>
      <c r="W1230" t="str">
        <f>"$"</f>
        <v>$</v>
      </c>
      <c r="X1230">
        <v>0</v>
      </c>
      <c r="Y1230">
        <v>0</v>
      </c>
      <c r="Z1230">
        <v>0</v>
      </c>
      <c r="AA1230" t="str">
        <f>"Y"</f>
        <v>Y</v>
      </c>
      <c r="AB1230" t="str">
        <f>"SO22000243"</f>
        <v>SO22000243</v>
      </c>
      <c r="AC1230">
        <v>2</v>
      </c>
      <c r="AD1230" s="1">
        <v>44731</v>
      </c>
      <c r="AE1230" t="str">
        <f>"SH22001308"</f>
        <v>SH22001308</v>
      </c>
      <c r="AF1230" t="str">
        <f>"משלוחים ללקוח"</f>
        <v>משלוחים ללקוח</v>
      </c>
      <c r="AG1230" s="1">
        <v>44887</v>
      </c>
      <c r="AM1230" t="str">
        <f>"10"</f>
        <v>10</v>
      </c>
      <c r="AN1230" t="str">
        <f>"500000"</f>
        <v>500000</v>
      </c>
      <c r="AO1230" t="str">
        <f>"הכנסות  מלקוחות"</f>
        <v>הכנסות  מלקוחות</v>
      </c>
      <c r="AQ1230" t="str">
        <f>"040"</f>
        <v>040</v>
      </c>
      <c r="AR1230">
        <v>0</v>
      </c>
      <c r="AS1230">
        <v>0</v>
      </c>
      <c r="AT1230">
        <v>3.419</v>
      </c>
      <c r="AX1230" t="str">
        <f>"E000367370"</f>
        <v>E000367370</v>
      </c>
      <c r="BD1230" t="str">
        <f>"רחמים זרוק"</f>
        <v>רחמים זרוק</v>
      </c>
    </row>
    <row r="1231" spans="1:56" x14ac:dyDescent="0.3">
      <c r="A1231" s="1">
        <v>44892</v>
      </c>
      <c r="B1231" t="str">
        <f>"SI226001289"</f>
        <v>SI226001289</v>
      </c>
      <c r="C1231" t="str">
        <f>"PR22000479"</f>
        <v>PR22000479</v>
      </c>
      <c r="E1231" t="str">
        <f>"Y"</f>
        <v>Y</v>
      </c>
      <c r="F1231" t="str">
        <f>"חשבוניות מרכזות"</f>
        <v>חשבוניות מרכזות</v>
      </c>
      <c r="G1231" t="str">
        <f>"700065"</f>
        <v>700065</v>
      </c>
      <c r="H1231" t="str">
        <f>"אלתא מערכות בע""מ"</f>
        <v>אלתא מערכות בע"מ</v>
      </c>
      <c r="I1231" t="str">
        <f>"10"</f>
        <v>10</v>
      </c>
      <c r="J1231" t="str">
        <f>"OP-AR03011"</f>
        <v>OP-AR03011</v>
      </c>
      <c r="K1231" t="str">
        <f>"2083B310-002   VPW2 CABLE ASSY"</f>
        <v>2083B310-002   VPW2 CABLE ASSY</v>
      </c>
      <c r="L1231">
        <v>1</v>
      </c>
      <c r="M1231" t="str">
        <f>"יח"</f>
        <v>יח</v>
      </c>
      <c r="N1231">
        <v>1</v>
      </c>
      <c r="O1231" t="str">
        <f>"יח"</f>
        <v>יח</v>
      </c>
      <c r="P1231" s="2">
        <v>1022.92</v>
      </c>
      <c r="Q1231" t="str">
        <f>"$"</f>
        <v>$</v>
      </c>
      <c r="R1231" t="str">
        <f>"הזמנה"</f>
        <v>הזמנה</v>
      </c>
      <c r="S1231">
        <v>0</v>
      </c>
      <c r="T1231" s="2">
        <v>1022.92</v>
      </c>
      <c r="U1231">
        <v>0</v>
      </c>
      <c r="V1231" s="2">
        <v>1022.92</v>
      </c>
      <c r="W1231" t="str">
        <f>"$"</f>
        <v>$</v>
      </c>
      <c r="X1231">
        <v>0</v>
      </c>
      <c r="Y1231">
        <v>0</v>
      </c>
      <c r="Z1231">
        <v>0</v>
      </c>
      <c r="AA1231" t="str">
        <f>"Y"</f>
        <v>Y</v>
      </c>
      <c r="AB1231" t="str">
        <f>"SO22000243"</f>
        <v>SO22000243</v>
      </c>
      <c r="AC1231">
        <v>4</v>
      </c>
      <c r="AD1231" s="1">
        <v>44731</v>
      </c>
      <c r="AE1231" t="str">
        <f>"SH22001308"</f>
        <v>SH22001308</v>
      </c>
      <c r="AF1231" t="str">
        <f>"משלוחים ללקוח"</f>
        <v>משלוחים ללקוח</v>
      </c>
      <c r="AG1231" s="1">
        <v>44887</v>
      </c>
      <c r="AM1231" t="str">
        <f>"10"</f>
        <v>10</v>
      </c>
      <c r="AN1231" t="str">
        <f>"500000"</f>
        <v>500000</v>
      </c>
      <c r="AO1231" t="str">
        <f>"הכנסות  מלקוחות"</f>
        <v>הכנסות  מלקוחות</v>
      </c>
      <c r="AQ1231" t="str">
        <f>"040"</f>
        <v>040</v>
      </c>
      <c r="AR1231">
        <v>0</v>
      </c>
      <c r="AS1231">
        <v>0</v>
      </c>
      <c r="AT1231">
        <v>3.419</v>
      </c>
      <c r="AX1231" t="str">
        <f>"E000367370"</f>
        <v>E000367370</v>
      </c>
      <c r="BD1231" t="str">
        <f>"רחמים זרוק"</f>
        <v>רחמים זרוק</v>
      </c>
    </row>
    <row r="1232" spans="1:56" x14ac:dyDescent="0.3">
      <c r="A1232" s="1">
        <v>44892</v>
      </c>
      <c r="B1232" t="str">
        <f>"SI226001289"</f>
        <v>SI226001289</v>
      </c>
      <c r="C1232" t="str">
        <f>"PR22000479"</f>
        <v>PR22000479</v>
      </c>
      <c r="E1232" t="str">
        <f>"Y"</f>
        <v>Y</v>
      </c>
      <c r="F1232" t="str">
        <f>"חשבוניות מרכזות"</f>
        <v>חשבוניות מרכזות</v>
      </c>
      <c r="G1232" t="str">
        <f>"700065"</f>
        <v>700065</v>
      </c>
      <c r="H1232" t="str">
        <f>"אלתא מערכות בע""מ"</f>
        <v>אלתא מערכות בע"מ</v>
      </c>
      <c r="I1232" t="str">
        <f>"10"</f>
        <v>10</v>
      </c>
      <c r="J1232" t="str">
        <f>"OP-AR03203"</f>
        <v>OP-AR03203</v>
      </c>
      <c r="K1232" t="str">
        <f>"2083B312-001   VPW3 CABLE ASSY"</f>
        <v>2083B312-001   VPW3 CABLE ASSY</v>
      </c>
      <c r="L1232">
        <v>1</v>
      </c>
      <c r="M1232" t="str">
        <f>"יח"</f>
        <v>יח</v>
      </c>
      <c r="N1232">
        <v>1</v>
      </c>
      <c r="O1232" t="str">
        <f>"יח"</f>
        <v>יח</v>
      </c>
      <c r="P1232">
        <v>684.11</v>
      </c>
      <c r="Q1232" t="str">
        <f>"$"</f>
        <v>$</v>
      </c>
      <c r="R1232" t="str">
        <f>"הזמנה"</f>
        <v>הזמנה</v>
      </c>
      <c r="S1232">
        <v>0</v>
      </c>
      <c r="T1232">
        <v>684.11</v>
      </c>
      <c r="U1232">
        <v>0</v>
      </c>
      <c r="V1232">
        <v>684.11</v>
      </c>
      <c r="W1232" t="str">
        <f>"$"</f>
        <v>$</v>
      </c>
      <c r="X1232">
        <v>0</v>
      </c>
      <c r="Y1232">
        <v>0</v>
      </c>
      <c r="Z1232">
        <v>0</v>
      </c>
      <c r="AA1232" t="str">
        <f>"Y"</f>
        <v>Y</v>
      </c>
      <c r="AB1232" t="str">
        <f>"SO22000243"</f>
        <v>SO22000243</v>
      </c>
      <c r="AC1232">
        <v>5</v>
      </c>
      <c r="AD1232" s="1">
        <v>44731</v>
      </c>
      <c r="AE1232" t="str">
        <f>"SH22001308"</f>
        <v>SH22001308</v>
      </c>
      <c r="AF1232" t="str">
        <f>"משלוחים ללקוח"</f>
        <v>משלוחים ללקוח</v>
      </c>
      <c r="AG1232" s="1">
        <v>44887</v>
      </c>
      <c r="AM1232" t="str">
        <f>"10"</f>
        <v>10</v>
      </c>
      <c r="AN1232" t="str">
        <f>"500000"</f>
        <v>500000</v>
      </c>
      <c r="AO1232" t="str">
        <f>"הכנסות  מלקוחות"</f>
        <v>הכנסות  מלקוחות</v>
      </c>
      <c r="AQ1232" t="str">
        <f>"040"</f>
        <v>040</v>
      </c>
      <c r="AR1232">
        <v>0</v>
      </c>
      <c r="AS1232">
        <v>0</v>
      </c>
      <c r="AT1232">
        <v>3.419</v>
      </c>
      <c r="AX1232" t="str">
        <f>"E000367370"</f>
        <v>E000367370</v>
      </c>
      <c r="BD1232" t="str">
        <f>"רחמים זרוק"</f>
        <v>רחמים זרוק</v>
      </c>
    </row>
    <row r="1233" spans="1:56" x14ac:dyDescent="0.3">
      <c r="A1233" s="1">
        <v>44892</v>
      </c>
      <c r="B1233" t="str">
        <f>"SI226001288"</f>
        <v>SI226001288</v>
      </c>
      <c r="C1233" t="str">
        <f>"PR22000374"</f>
        <v>PR22000374</v>
      </c>
      <c r="E1233" t="str">
        <f>"Y"</f>
        <v>Y</v>
      </c>
      <c r="F1233" t="str">
        <f>"חשבוניות מרכזות"</f>
        <v>חשבוניות מרכזות</v>
      </c>
      <c r="G1233" t="str">
        <f>"700065"</f>
        <v>700065</v>
      </c>
      <c r="H1233" t="str">
        <f>"אלתא מערכות בע""מ"</f>
        <v>אלתא מערכות בע"מ</v>
      </c>
      <c r="I1233" t="str">
        <f>"10"</f>
        <v>10</v>
      </c>
      <c r="J1233" t="str">
        <f>"OP-AR03135"</f>
        <v>OP-AR03135</v>
      </c>
      <c r="K1233" t="str">
        <f>"1039B413-001    HARNESS WR013 - RED FALCON COMM"</f>
        <v>1039B413-001    HARNESS WR013 - RED FALCON COMM</v>
      </c>
      <c r="L1233">
        <v>4</v>
      </c>
      <c r="M1233" t="str">
        <f>"יח"</f>
        <v>יח</v>
      </c>
      <c r="N1233">
        <v>4</v>
      </c>
      <c r="O1233" t="str">
        <f>"יח"</f>
        <v>יח</v>
      </c>
      <c r="P1233" s="2">
        <v>1245.1099999999999</v>
      </c>
      <c r="Q1233" t="str">
        <f>"$"</f>
        <v>$</v>
      </c>
      <c r="R1233" t="str">
        <f>"הזמנה"</f>
        <v>הזמנה</v>
      </c>
      <c r="S1233">
        <v>0</v>
      </c>
      <c r="T1233" s="2">
        <v>4980.4399999999996</v>
      </c>
      <c r="U1233">
        <v>0</v>
      </c>
      <c r="V1233" s="2">
        <v>4980.4399999999996</v>
      </c>
      <c r="W1233" t="str">
        <f>"$"</f>
        <v>$</v>
      </c>
      <c r="X1233">
        <v>0</v>
      </c>
      <c r="Y1233">
        <v>0</v>
      </c>
      <c r="Z1233">
        <v>0</v>
      </c>
      <c r="AA1233" t="str">
        <f>"Y"</f>
        <v>Y</v>
      </c>
      <c r="AB1233" t="str">
        <f>"SO22000195"</f>
        <v>SO22000195</v>
      </c>
      <c r="AC1233">
        <v>3</v>
      </c>
      <c r="AD1233" s="1">
        <v>44698</v>
      </c>
      <c r="AE1233" t="str">
        <f>"SH22001311"</f>
        <v>SH22001311</v>
      </c>
      <c r="AF1233" t="str">
        <f>"משלוחים ללקוח"</f>
        <v>משלוחים ללקוח</v>
      </c>
      <c r="AG1233" s="1">
        <v>44887</v>
      </c>
      <c r="AM1233" t="str">
        <f>"10"</f>
        <v>10</v>
      </c>
      <c r="AN1233" t="str">
        <f>"500000"</f>
        <v>500000</v>
      </c>
      <c r="AO1233" t="str">
        <f>"הכנסות  מלקוחות"</f>
        <v>הכנסות  מלקוחות</v>
      </c>
      <c r="AQ1233" t="str">
        <f>"040"</f>
        <v>040</v>
      </c>
      <c r="AR1233">
        <v>0</v>
      </c>
      <c r="AS1233">
        <v>0</v>
      </c>
      <c r="AT1233">
        <v>3.419</v>
      </c>
      <c r="AX1233" t="str">
        <f>"E000364002"</f>
        <v>E000364002</v>
      </c>
      <c r="BD1233" t="str">
        <f>"רחמים זרוק"</f>
        <v>רחמים זרוק</v>
      </c>
    </row>
    <row r="1234" spans="1:56" x14ac:dyDescent="0.3">
      <c r="A1234" s="1">
        <v>44892</v>
      </c>
      <c r="B1234" t="str">
        <f>"SI226001288"</f>
        <v>SI226001288</v>
      </c>
      <c r="C1234" t="str">
        <f>"PR22000374"</f>
        <v>PR22000374</v>
      </c>
      <c r="E1234" t="str">
        <f>"Y"</f>
        <v>Y</v>
      </c>
      <c r="F1234" t="str">
        <f>"חשבוניות מרכזות"</f>
        <v>חשבוניות מרכזות</v>
      </c>
      <c r="G1234" t="str">
        <f>"700065"</f>
        <v>700065</v>
      </c>
      <c r="H1234" t="str">
        <f>"אלתא מערכות בע""מ"</f>
        <v>אלתא מערכות בע"מ</v>
      </c>
      <c r="I1234" t="str">
        <f>"10"</f>
        <v>10</v>
      </c>
      <c r="J1234" t="str">
        <f>"OP-AR03011"</f>
        <v>OP-AR03011</v>
      </c>
      <c r="K1234" t="str">
        <f>"2083B310-002   VPW2 CABLE ASSY"</f>
        <v>2083B310-002   VPW2 CABLE ASSY</v>
      </c>
      <c r="L1234">
        <v>1</v>
      </c>
      <c r="M1234" t="str">
        <f>"יח"</f>
        <v>יח</v>
      </c>
      <c r="N1234">
        <v>1</v>
      </c>
      <c r="O1234" t="str">
        <f>"יח"</f>
        <v>יח</v>
      </c>
      <c r="P1234" s="2">
        <v>1022.92</v>
      </c>
      <c r="Q1234" t="str">
        <f>"$"</f>
        <v>$</v>
      </c>
      <c r="R1234" t="str">
        <f>"הזמנה"</f>
        <v>הזמנה</v>
      </c>
      <c r="S1234">
        <v>0</v>
      </c>
      <c r="T1234" s="2">
        <v>1022.92</v>
      </c>
      <c r="U1234">
        <v>0</v>
      </c>
      <c r="V1234" s="2">
        <v>1022.92</v>
      </c>
      <c r="W1234" t="str">
        <f>"$"</f>
        <v>$</v>
      </c>
      <c r="X1234">
        <v>0</v>
      </c>
      <c r="Y1234">
        <v>0</v>
      </c>
      <c r="Z1234">
        <v>0</v>
      </c>
      <c r="AA1234" t="str">
        <f>"Y"</f>
        <v>Y</v>
      </c>
      <c r="AB1234" t="str">
        <f>"SO22000195"</f>
        <v>SO22000195</v>
      </c>
      <c r="AC1234">
        <v>8</v>
      </c>
      <c r="AD1234" s="1">
        <v>44698</v>
      </c>
      <c r="AE1234" t="str">
        <f>"SH22001311"</f>
        <v>SH22001311</v>
      </c>
      <c r="AF1234" t="str">
        <f>"משלוחים ללקוח"</f>
        <v>משלוחים ללקוח</v>
      </c>
      <c r="AG1234" s="1">
        <v>44887</v>
      </c>
      <c r="AM1234" t="str">
        <f>"10"</f>
        <v>10</v>
      </c>
      <c r="AN1234" t="str">
        <f>"500000"</f>
        <v>500000</v>
      </c>
      <c r="AO1234" t="str">
        <f>"הכנסות  מלקוחות"</f>
        <v>הכנסות  מלקוחות</v>
      </c>
      <c r="AQ1234" t="str">
        <f>"040"</f>
        <v>040</v>
      </c>
      <c r="AR1234">
        <v>0</v>
      </c>
      <c r="AS1234">
        <v>0</v>
      </c>
      <c r="AT1234">
        <v>3.419</v>
      </c>
      <c r="AX1234" t="str">
        <f>"E000364002"</f>
        <v>E000364002</v>
      </c>
      <c r="BD1234" t="str">
        <f>"רחמים זרוק"</f>
        <v>רחמים זרוק</v>
      </c>
    </row>
    <row r="1235" spans="1:56" x14ac:dyDescent="0.3">
      <c r="A1235" s="1">
        <v>44892</v>
      </c>
      <c r="B1235" t="str">
        <f>"SI226001287"</f>
        <v>SI226001287</v>
      </c>
      <c r="C1235" t="str">
        <f>"PR22000269"</f>
        <v>PR22000269</v>
      </c>
      <c r="E1235" t="str">
        <f>"Y"</f>
        <v>Y</v>
      </c>
      <c r="F1235" t="str">
        <f>"חשבוניות מרכזות"</f>
        <v>חשבוניות מרכזות</v>
      </c>
      <c r="G1235" t="str">
        <f>"700065"</f>
        <v>700065</v>
      </c>
      <c r="H1235" t="str">
        <f>"אלתא מערכות בע""מ"</f>
        <v>אלתא מערכות בע"מ</v>
      </c>
      <c r="I1235" t="str">
        <f>"10"</f>
        <v>10</v>
      </c>
      <c r="J1235" t="str">
        <f>"OP-AR02912"</f>
        <v>OP-AR02912</v>
      </c>
      <c r="K1235" t="str">
        <f>"1038A608-001    GU (VR9/MCM) TEST CABLE"</f>
        <v>1038A608-001    GU (VR9/MCM) TEST CABLE</v>
      </c>
      <c r="L1235">
        <v>1</v>
      </c>
      <c r="M1235" t="str">
        <f>"יח"</f>
        <v>יח</v>
      </c>
      <c r="N1235">
        <v>1</v>
      </c>
      <c r="O1235" t="str">
        <f>"יח"</f>
        <v>יח</v>
      </c>
      <c r="P1235">
        <v>714.27</v>
      </c>
      <c r="Q1235" t="str">
        <f>"$"</f>
        <v>$</v>
      </c>
      <c r="R1235" t="str">
        <f>"הזמנה"</f>
        <v>הזמנה</v>
      </c>
      <c r="S1235">
        <v>0</v>
      </c>
      <c r="T1235">
        <v>714.27</v>
      </c>
      <c r="U1235">
        <v>0</v>
      </c>
      <c r="V1235">
        <v>714.27</v>
      </c>
      <c r="W1235" t="str">
        <f>"$"</f>
        <v>$</v>
      </c>
      <c r="X1235">
        <v>0</v>
      </c>
      <c r="Y1235">
        <v>0</v>
      </c>
      <c r="Z1235">
        <v>0</v>
      </c>
      <c r="AA1235" t="str">
        <f>"Y"</f>
        <v>Y</v>
      </c>
      <c r="AB1235" t="str">
        <f>"SO22000120"</f>
        <v>SO22000120</v>
      </c>
      <c r="AC1235">
        <v>3</v>
      </c>
      <c r="AD1235" s="1">
        <v>44648</v>
      </c>
      <c r="AE1235" t="str">
        <f>"SH22001313"</f>
        <v>SH22001313</v>
      </c>
      <c r="AF1235" t="str">
        <f>"משלוחים ללקוח"</f>
        <v>משלוחים ללקוח</v>
      </c>
      <c r="AG1235" s="1">
        <v>44887</v>
      </c>
      <c r="AM1235" t="str">
        <f>"10"</f>
        <v>10</v>
      </c>
      <c r="AN1235" t="str">
        <f>"500000"</f>
        <v>500000</v>
      </c>
      <c r="AO1235" t="str">
        <f>"הכנסות  מלקוחות"</f>
        <v>הכנסות  מלקוחות</v>
      </c>
      <c r="AQ1235" t="str">
        <f>"040"</f>
        <v>040</v>
      </c>
      <c r="AR1235">
        <v>0</v>
      </c>
      <c r="AS1235">
        <v>0</v>
      </c>
      <c r="AT1235">
        <v>3.419</v>
      </c>
      <c r="AX1235" t="str">
        <f>"E000361090"</f>
        <v>E000361090</v>
      </c>
      <c r="BD1235" t="str">
        <f>"רחמים זרוק"</f>
        <v>רחמים זרוק</v>
      </c>
    </row>
    <row r="1236" spans="1:56" x14ac:dyDescent="0.3">
      <c r="A1236" s="1">
        <v>44892</v>
      </c>
      <c r="B1236" t="str">
        <f>"SI226001286"</f>
        <v>SI226001286</v>
      </c>
      <c r="C1236" t="str">
        <f>"PR22000524"</f>
        <v>PR22000524</v>
      </c>
      <c r="D1236" t="str">
        <f>"PR22000524"</f>
        <v>PR22000524</v>
      </c>
      <c r="E1236" t="str">
        <f>"Y"</f>
        <v>Y</v>
      </c>
      <c r="F1236" t="str">
        <f>"חשבוניות מרכזות"</f>
        <v>חשבוניות מרכזות</v>
      </c>
      <c r="G1236" t="str">
        <f>"700065"</f>
        <v>700065</v>
      </c>
      <c r="H1236" t="str">
        <f>"אלתא מערכות בע""מ"</f>
        <v>אלתא מערכות בע"מ</v>
      </c>
      <c r="I1236" t="str">
        <f>"10"</f>
        <v>10</v>
      </c>
      <c r="J1236" t="str">
        <f>"OP-AR03218"</f>
        <v>OP-AR03218</v>
      </c>
      <c r="K1236" t="str">
        <f>"2015F648-001    CABLE ASSY USB-B"</f>
        <v>2015F648-001    CABLE ASSY USB-B</v>
      </c>
      <c r="L1236">
        <v>4</v>
      </c>
      <c r="M1236" t="str">
        <f>"יח"</f>
        <v>יח</v>
      </c>
      <c r="N1236">
        <v>4</v>
      </c>
      <c r="O1236" t="str">
        <f>"יח"</f>
        <v>יח</v>
      </c>
      <c r="P1236">
        <v>231.03</v>
      </c>
      <c r="Q1236" t="str">
        <f>"$"</f>
        <v>$</v>
      </c>
      <c r="R1236" t="str">
        <f>"הזמנה"</f>
        <v>הזמנה</v>
      </c>
      <c r="S1236">
        <v>0</v>
      </c>
      <c r="T1236">
        <v>924.12</v>
      </c>
      <c r="U1236">
        <v>0</v>
      </c>
      <c r="V1236">
        <v>924.12</v>
      </c>
      <c r="W1236" t="str">
        <f>"$"</f>
        <v>$</v>
      </c>
      <c r="X1236">
        <v>0</v>
      </c>
      <c r="Y1236">
        <v>0</v>
      </c>
      <c r="Z1236">
        <v>0</v>
      </c>
      <c r="AA1236" t="str">
        <f>"Y"</f>
        <v>Y</v>
      </c>
      <c r="AB1236" t="str">
        <f>"SO22000286"</f>
        <v>SO22000286</v>
      </c>
      <c r="AC1236">
        <v>4</v>
      </c>
      <c r="AD1236" s="1">
        <v>44762</v>
      </c>
      <c r="AE1236" t="str">
        <f>"SH22001314"</f>
        <v>SH22001314</v>
      </c>
      <c r="AF1236" t="str">
        <f>"משלוחים ללקוח"</f>
        <v>משלוחים ללקוח</v>
      </c>
      <c r="AG1236" s="1">
        <v>44887</v>
      </c>
      <c r="AM1236" t="str">
        <f>"10"</f>
        <v>10</v>
      </c>
      <c r="AN1236" t="str">
        <f>"500000"</f>
        <v>500000</v>
      </c>
      <c r="AO1236" t="str">
        <f>"הכנסות  מלקוחות"</f>
        <v>הכנסות  מלקוחות</v>
      </c>
      <c r="AQ1236" t="str">
        <f>"040"</f>
        <v>040</v>
      </c>
      <c r="AR1236">
        <v>0</v>
      </c>
      <c r="AS1236">
        <v>0</v>
      </c>
      <c r="AT1236">
        <v>3.419</v>
      </c>
      <c r="AX1236" t="str">
        <f>"E000368650"</f>
        <v>E000368650</v>
      </c>
      <c r="BD1236" t="str">
        <f>"רחמים זרוק"</f>
        <v>רחמים זרוק</v>
      </c>
    </row>
    <row r="1237" spans="1:56" x14ac:dyDescent="0.3">
      <c r="A1237" s="1">
        <v>44892</v>
      </c>
      <c r="B1237" t="str">
        <f>"SI226001286"</f>
        <v>SI226001286</v>
      </c>
      <c r="C1237" t="str">
        <f>"PR22000524"</f>
        <v>PR22000524</v>
      </c>
      <c r="D1237" t="str">
        <f>"PR22000524"</f>
        <v>PR22000524</v>
      </c>
      <c r="E1237" t="str">
        <f>"Y"</f>
        <v>Y</v>
      </c>
      <c r="F1237" t="str">
        <f>"חשבוניות מרכזות"</f>
        <v>חשבוניות מרכזות</v>
      </c>
      <c r="G1237" t="str">
        <f>"700065"</f>
        <v>700065</v>
      </c>
      <c r="H1237" t="str">
        <f>"אלתא מערכות בע""מ"</f>
        <v>אלתא מערכות בע"מ</v>
      </c>
      <c r="I1237" t="str">
        <f>"10"</f>
        <v>10</v>
      </c>
      <c r="J1237" t="str">
        <f>"OP-AR03220"</f>
        <v>OP-AR03220</v>
      </c>
      <c r="K1237" t="str">
        <f>"2025E410-001    CABLE ASSY USB2-4"</f>
        <v>2025E410-001    CABLE ASSY USB2-4</v>
      </c>
      <c r="L1237">
        <v>2</v>
      </c>
      <c r="M1237" t="str">
        <f>"יח"</f>
        <v>יח</v>
      </c>
      <c r="N1237">
        <v>2</v>
      </c>
      <c r="O1237" t="str">
        <f>"יח"</f>
        <v>יח</v>
      </c>
      <c r="P1237">
        <v>193.78</v>
      </c>
      <c r="Q1237" t="str">
        <f>"$"</f>
        <v>$</v>
      </c>
      <c r="R1237" t="str">
        <f>"הזמנה"</f>
        <v>הזמנה</v>
      </c>
      <c r="S1237">
        <v>0</v>
      </c>
      <c r="T1237">
        <v>387.56</v>
      </c>
      <c r="U1237">
        <v>0</v>
      </c>
      <c r="V1237">
        <v>387.56</v>
      </c>
      <c r="W1237" t="str">
        <f>"$"</f>
        <v>$</v>
      </c>
      <c r="X1237">
        <v>0</v>
      </c>
      <c r="Y1237">
        <v>0</v>
      </c>
      <c r="Z1237">
        <v>0</v>
      </c>
      <c r="AA1237" t="str">
        <f>"Y"</f>
        <v>Y</v>
      </c>
      <c r="AB1237" t="str">
        <f>"SO22000286"</f>
        <v>SO22000286</v>
      </c>
      <c r="AC1237">
        <v>6</v>
      </c>
      <c r="AD1237" s="1">
        <v>44762</v>
      </c>
      <c r="AE1237" t="str">
        <f>"SH22001314"</f>
        <v>SH22001314</v>
      </c>
      <c r="AF1237" t="str">
        <f>"משלוחים ללקוח"</f>
        <v>משלוחים ללקוח</v>
      </c>
      <c r="AG1237" s="1">
        <v>44887</v>
      </c>
      <c r="AM1237" t="str">
        <f>"10"</f>
        <v>10</v>
      </c>
      <c r="AN1237" t="str">
        <f>"500000"</f>
        <v>500000</v>
      </c>
      <c r="AO1237" t="str">
        <f>"הכנסות  מלקוחות"</f>
        <v>הכנסות  מלקוחות</v>
      </c>
      <c r="AQ1237" t="str">
        <f>"040"</f>
        <v>040</v>
      </c>
      <c r="AR1237">
        <v>0</v>
      </c>
      <c r="AS1237">
        <v>0</v>
      </c>
      <c r="AT1237">
        <v>3.419</v>
      </c>
      <c r="AX1237" t="str">
        <f>"E000368650"</f>
        <v>E000368650</v>
      </c>
      <c r="BD1237" t="str">
        <f>"רחמים זרוק"</f>
        <v>רחמים זרוק</v>
      </c>
    </row>
    <row r="1238" spans="1:56" x14ac:dyDescent="0.3">
      <c r="A1238" s="1">
        <v>44892</v>
      </c>
      <c r="B1238" t="str">
        <f>"SI226001285"</f>
        <v>SI226001285</v>
      </c>
      <c r="C1238" t="str">
        <f>"PR22000528"</f>
        <v>PR22000528</v>
      </c>
      <c r="E1238" t="str">
        <f>"Y"</f>
        <v>Y</v>
      </c>
      <c r="F1238" t="str">
        <f>"חשבוניות מרכזות"</f>
        <v>חשבוניות מרכזות</v>
      </c>
      <c r="G1238" t="str">
        <f>"700065"</f>
        <v>700065</v>
      </c>
      <c r="H1238" t="str">
        <f>"אלתא מערכות בע""מ"</f>
        <v>אלתא מערכות בע"מ</v>
      </c>
      <c r="I1238" t="str">
        <f>"10"</f>
        <v>10</v>
      </c>
      <c r="J1238" t="str">
        <f>"OP-AR03222"</f>
        <v>OP-AR03222</v>
      </c>
      <c r="K1238" t="str">
        <f>"2068B572-002    CABLE ASSY FPGA W1"</f>
        <v>2068B572-002    CABLE ASSY FPGA W1</v>
      </c>
      <c r="L1238">
        <v>5</v>
      </c>
      <c r="M1238" t="str">
        <f>"יח"</f>
        <v>יח</v>
      </c>
      <c r="N1238">
        <v>5</v>
      </c>
      <c r="O1238" t="str">
        <f>"יח"</f>
        <v>יח</v>
      </c>
      <c r="P1238">
        <v>156.33000000000001</v>
      </c>
      <c r="Q1238" t="str">
        <f>"$"</f>
        <v>$</v>
      </c>
      <c r="R1238" t="str">
        <f>"הזמנה"</f>
        <v>הזמנה</v>
      </c>
      <c r="S1238">
        <v>0</v>
      </c>
      <c r="T1238">
        <v>781.65</v>
      </c>
      <c r="U1238">
        <v>0</v>
      </c>
      <c r="V1238">
        <v>781.65</v>
      </c>
      <c r="W1238" t="str">
        <f>"$"</f>
        <v>$</v>
      </c>
      <c r="X1238">
        <v>0</v>
      </c>
      <c r="Y1238">
        <v>0</v>
      </c>
      <c r="Z1238">
        <v>0</v>
      </c>
      <c r="AA1238" t="str">
        <f>"Y"</f>
        <v>Y</v>
      </c>
      <c r="AB1238" t="str">
        <f>"SO22000289"</f>
        <v>SO22000289</v>
      </c>
      <c r="AC1238">
        <v>1</v>
      </c>
      <c r="AD1238" s="1">
        <v>44763</v>
      </c>
      <c r="AE1238" t="str">
        <f>"SH22001318"</f>
        <v>SH22001318</v>
      </c>
      <c r="AF1238" t="str">
        <f>"משלוחים ללקוח"</f>
        <v>משלוחים ללקוח</v>
      </c>
      <c r="AG1238" s="1">
        <v>44887</v>
      </c>
      <c r="AM1238" t="str">
        <f>"10"</f>
        <v>10</v>
      </c>
      <c r="AN1238" t="str">
        <f>"500000"</f>
        <v>500000</v>
      </c>
      <c r="AO1238" t="str">
        <f>"הכנסות  מלקוחות"</f>
        <v>הכנסות  מלקוחות</v>
      </c>
      <c r="AQ1238" t="str">
        <f>"040"</f>
        <v>040</v>
      </c>
      <c r="AR1238">
        <v>0</v>
      </c>
      <c r="AS1238">
        <v>0</v>
      </c>
      <c r="AT1238">
        <v>3.419</v>
      </c>
      <c r="AX1238" t="str">
        <f>"E000369810"</f>
        <v>E000369810</v>
      </c>
      <c r="BD1238" t="str">
        <f>"רחמים זרוק"</f>
        <v>רחמים זרוק</v>
      </c>
    </row>
    <row r="1239" spans="1:56" x14ac:dyDescent="0.3">
      <c r="A1239" s="1">
        <v>44892</v>
      </c>
      <c r="B1239" t="str">
        <f>"SI226001284"</f>
        <v>SI226001284</v>
      </c>
      <c r="C1239" t="str">
        <f>"PR22000440"</f>
        <v>PR22000440</v>
      </c>
      <c r="E1239" t="str">
        <f>"Y"</f>
        <v>Y</v>
      </c>
      <c r="F1239" t="str">
        <f>"חשבוניות מרכזות"</f>
        <v>חשבוניות מרכזות</v>
      </c>
      <c r="G1239" t="str">
        <f>"700065"</f>
        <v>700065</v>
      </c>
      <c r="H1239" t="str">
        <f>"אלתא מערכות בע""מ"</f>
        <v>אלתא מערכות בע"מ</v>
      </c>
      <c r="I1239" t="str">
        <f>"10"</f>
        <v>10</v>
      </c>
      <c r="J1239" t="str">
        <f>"OP-AR03157"</f>
        <v>OP-AR03157</v>
      </c>
      <c r="K1239" t="str">
        <f>"2212B750-001    MULT PS TO PANEL"</f>
        <v>2212B750-001    MULT PS TO PANEL</v>
      </c>
      <c r="L1239">
        <v>1</v>
      </c>
      <c r="M1239" t="str">
        <f>"יח"</f>
        <v>יח</v>
      </c>
      <c r="N1239">
        <v>1</v>
      </c>
      <c r="O1239" t="str">
        <f>"יח"</f>
        <v>יח</v>
      </c>
      <c r="P1239">
        <v>402.73</v>
      </c>
      <c r="Q1239" t="str">
        <f>"$"</f>
        <v>$</v>
      </c>
      <c r="R1239" t="str">
        <f>"הזמנה"</f>
        <v>הזמנה</v>
      </c>
      <c r="S1239">
        <v>0</v>
      </c>
      <c r="T1239">
        <v>402.73</v>
      </c>
      <c r="U1239">
        <v>0</v>
      </c>
      <c r="V1239">
        <v>402.73</v>
      </c>
      <c r="W1239" t="str">
        <f>"$"</f>
        <v>$</v>
      </c>
      <c r="X1239">
        <v>0</v>
      </c>
      <c r="Y1239">
        <v>0</v>
      </c>
      <c r="Z1239">
        <v>0</v>
      </c>
      <c r="AA1239" t="str">
        <f>"Y"</f>
        <v>Y</v>
      </c>
      <c r="AB1239" t="str">
        <f>"SO22000214"</f>
        <v>SO22000214</v>
      </c>
      <c r="AC1239">
        <v>4</v>
      </c>
      <c r="AD1239" s="1">
        <v>44714</v>
      </c>
      <c r="AE1239" t="str">
        <f>"SH22001319"</f>
        <v>SH22001319</v>
      </c>
      <c r="AF1239" t="str">
        <f>"משלוחים ללקוח"</f>
        <v>משלוחים ללקוח</v>
      </c>
      <c r="AG1239" s="1">
        <v>44887</v>
      </c>
      <c r="AM1239" t="str">
        <f>"10"</f>
        <v>10</v>
      </c>
      <c r="AN1239" t="str">
        <f>"500000"</f>
        <v>500000</v>
      </c>
      <c r="AO1239" t="str">
        <f>"הכנסות  מלקוחות"</f>
        <v>הכנסות  מלקוחות</v>
      </c>
      <c r="AQ1239" t="str">
        <f>"040"</f>
        <v>040</v>
      </c>
      <c r="AR1239">
        <v>0</v>
      </c>
      <c r="AS1239">
        <v>0</v>
      </c>
      <c r="AT1239">
        <v>3.419</v>
      </c>
      <c r="AX1239" t="str">
        <f>"E000365713"</f>
        <v>E000365713</v>
      </c>
      <c r="BD1239" t="str">
        <f>"רחמים זרוק"</f>
        <v>רחמים זרוק</v>
      </c>
    </row>
    <row r="1240" spans="1:56" x14ac:dyDescent="0.3">
      <c r="A1240" s="1">
        <v>44892</v>
      </c>
      <c r="B1240" t="str">
        <f>"SI226001284"</f>
        <v>SI226001284</v>
      </c>
      <c r="C1240" t="str">
        <f>"PR22000440"</f>
        <v>PR22000440</v>
      </c>
      <c r="E1240" t="str">
        <f>"Y"</f>
        <v>Y</v>
      </c>
      <c r="F1240" t="str">
        <f>"חשבוניות מרכזות"</f>
        <v>חשבוניות מרכזות</v>
      </c>
      <c r="G1240" t="str">
        <f>"700065"</f>
        <v>700065</v>
      </c>
      <c r="H1240" t="str">
        <f>"אלתא מערכות בע""מ"</f>
        <v>אלתא מערכות בע"מ</v>
      </c>
      <c r="I1240" t="str">
        <f>"10"</f>
        <v>10</v>
      </c>
      <c r="J1240" t="str">
        <f>"OP-AR03157"</f>
        <v>OP-AR03157</v>
      </c>
      <c r="K1240" t="str">
        <f>"2212B750-001    MULT PS TO PANEL"</f>
        <v>2212B750-001    MULT PS TO PANEL</v>
      </c>
      <c r="L1240">
        <v>1</v>
      </c>
      <c r="M1240" t="str">
        <f>"יח"</f>
        <v>יח</v>
      </c>
      <c r="N1240">
        <v>1</v>
      </c>
      <c r="O1240" t="str">
        <f>"יח"</f>
        <v>יח</v>
      </c>
      <c r="P1240">
        <v>402.73</v>
      </c>
      <c r="Q1240" t="str">
        <f>"$"</f>
        <v>$</v>
      </c>
      <c r="R1240" t="str">
        <f>"הזמנה"</f>
        <v>הזמנה</v>
      </c>
      <c r="S1240">
        <v>0</v>
      </c>
      <c r="T1240">
        <v>402.73</v>
      </c>
      <c r="U1240">
        <v>0</v>
      </c>
      <c r="V1240">
        <v>402.73</v>
      </c>
      <c r="W1240" t="str">
        <f>"$"</f>
        <v>$</v>
      </c>
      <c r="X1240">
        <v>0</v>
      </c>
      <c r="Y1240">
        <v>0</v>
      </c>
      <c r="Z1240">
        <v>0</v>
      </c>
      <c r="AA1240" t="str">
        <f>"Y"</f>
        <v>Y</v>
      </c>
      <c r="AB1240" t="str">
        <f>"SO22000214"</f>
        <v>SO22000214</v>
      </c>
      <c r="AC1240">
        <v>5</v>
      </c>
      <c r="AD1240" s="1">
        <v>44714</v>
      </c>
      <c r="AE1240" t="str">
        <f>"SH22001319"</f>
        <v>SH22001319</v>
      </c>
      <c r="AF1240" t="str">
        <f>"משלוחים ללקוח"</f>
        <v>משלוחים ללקוח</v>
      </c>
      <c r="AG1240" s="1">
        <v>44887</v>
      </c>
      <c r="AM1240" t="str">
        <f>"10"</f>
        <v>10</v>
      </c>
      <c r="AN1240" t="str">
        <f>"500000"</f>
        <v>500000</v>
      </c>
      <c r="AO1240" t="str">
        <f>"הכנסות  מלקוחות"</f>
        <v>הכנסות  מלקוחות</v>
      </c>
      <c r="AQ1240" t="str">
        <f>"040"</f>
        <v>040</v>
      </c>
      <c r="AR1240">
        <v>0</v>
      </c>
      <c r="AS1240">
        <v>0</v>
      </c>
      <c r="AT1240">
        <v>3.419</v>
      </c>
      <c r="AX1240" t="str">
        <f>"E000365713"</f>
        <v>E000365713</v>
      </c>
      <c r="BD1240" t="str">
        <f>"רחמים זרוק"</f>
        <v>רחמים זרוק</v>
      </c>
    </row>
    <row r="1241" spans="1:56" x14ac:dyDescent="0.3">
      <c r="A1241" s="1">
        <v>44892</v>
      </c>
      <c r="B1241" t="str">
        <f>"SI226001284"</f>
        <v>SI226001284</v>
      </c>
      <c r="C1241" t="str">
        <f>"PR22000440"</f>
        <v>PR22000440</v>
      </c>
      <c r="E1241" t="str">
        <f>"Y"</f>
        <v>Y</v>
      </c>
      <c r="F1241" t="str">
        <f>"חשבוניות מרכזות"</f>
        <v>חשבוניות מרכזות</v>
      </c>
      <c r="G1241" t="str">
        <f>"700065"</f>
        <v>700065</v>
      </c>
      <c r="H1241" t="str">
        <f>"אלתא מערכות בע""מ"</f>
        <v>אלתא מערכות בע"מ</v>
      </c>
      <c r="I1241" t="str">
        <f>"10"</f>
        <v>10</v>
      </c>
      <c r="J1241" t="str">
        <f>"OP-AR01937"</f>
        <v>OP-AR01937</v>
      </c>
      <c r="K1241" t="str">
        <f>"1023B599-001  WV099 ELEVATION AXIS WARING SWIT"</f>
        <v>1023B599-001  WV099 ELEVATION AXIS WARING SWIT</v>
      </c>
      <c r="L1241">
        <v>5</v>
      </c>
      <c r="M1241" t="str">
        <f>"יח"</f>
        <v>יח</v>
      </c>
      <c r="N1241">
        <v>5</v>
      </c>
      <c r="O1241" t="str">
        <f>"יח"</f>
        <v>יח</v>
      </c>
      <c r="P1241" s="2">
        <v>1101.68</v>
      </c>
      <c r="Q1241" t="str">
        <f>"$"</f>
        <v>$</v>
      </c>
      <c r="R1241" t="str">
        <f>"הזמנה"</f>
        <v>הזמנה</v>
      </c>
      <c r="S1241">
        <v>0</v>
      </c>
      <c r="T1241" s="2">
        <v>5508.4</v>
      </c>
      <c r="U1241">
        <v>0</v>
      </c>
      <c r="V1241" s="2">
        <v>5508.4</v>
      </c>
      <c r="W1241" t="str">
        <f>"$"</f>
        <v>$</v>
      </c>
      <c r="X1241">
        <v>0</v>
      </c>
      <c r="Y1241">
        <v>0</v>
      </c>
      <c r="Z1241">
        <v>0</v>
      </c>
      <c r="AA1241" t="str">
        <f>"Y"</f>
        <v>Y</v>
      </c>
      <c r="AB1241" t="str">
        <f>"SO22000214"</f>
        <v>SO22000214</v>
      </c>
      <c r="AC1241">
        <v>9</v>
      </c>
      <c r="AD1241" s="1">
        <v>44714</v>
      </c>
      <c r="AE1241" t="str">
        <f>"SH22001319"</f>
        <v>SH22001319</v>
      </c>
      <c r="AF1241" t="str">
        <f>"משלוחים ללקוח"</f>
        <v>משלוחים ללקוח</v>
      </c>
      <c r="AG1241" s="1">
        <v>44887</v>
      </c>
      <c r="AM1241" t="str">
        <f>"10"</f>
        <v>10</v>
      </c>
      <c r="AN1241" t="str">
        <f>"500000"</f>
        <v>500000</v>
      </c>
      <c r="AO1241" t="str">
        <f>"הכנסות  מלקוחות"</f>
        <v>הכנסות  מלקוחות</v>
      </c>
      <c r="AQ1241" t="str">
        <f>"040"</f>
        <v>040</v>
      </c>
      <c r="AR1241">
        <v>0</v>
      </c>
      <c r="AS1241">
        <v>0</v>
      </c>
      <c r="AT1241">
        <v>3.419</v>
      </c>
      <c r="AX1241" t="str">
        <f>"E000365713"</f>
        <v>E000365713</v>
      </c>
      <c r="BD1241" t="str">
        <f>"רחמים זרוק"</f>
        <v>רחמים זרוק</v>
      </c>
    </row>
    <row r="1242" spans="1:56" x14ac:dyDescent="0.3">
      <c r="A1242" s="1">
        <v>44892</v>
      </c>
      <c r="B1242" t="str">
        <f>"SI226001284"</f>
        <v>SI226001284</v>
      </c>
      <c r="C1242" t="str">
        <f>"PR22000440"</f>
        <v>PR22000440</v>
      </c>
      <c r="E1242" t="str">
        <f>"Y"</f>
        <v>Y</v>
      </c>
      <c r="F1242" t="str">
        <f>"חשבוניות מרכזות"</f>
        <v>חשבוניות מרכזות</v>
      </c>
      <c r="G1242" t="str">
        <f>"700065"</f>
        <v>700065</v>
      </c>
      <c r="H1242" t="str">
        <f>"אלתא מערכות בע""מ"</f>
        <v>אלתא מערכות בע"מ</v>
      </c>
      <c r="I1242" t="str">
        <f>"10"</f>
        <v>10</v>
      </c>
      <c r="J1242" t="str">
        <f>"OP-AR01937"</f>
        <v>OP-AR01937</v>
      </c>
      <c r="K1242" t="str">
        <f>"1023B599-001  WV099 ELEVATION AXIS WARING SWIT"</f>
        <v>1023B599-001  WV099 ELEVATION AXIS WARING SWIT</v>
      </c>
      <c r="L1242">
        <v>4</v>
      </c>
      <c r="M1242" t="str">
        <f>"יח"</f>
        <v>יח</v>
      </c>
      <c r="N1242">
        <v>4</v>
      </c>
      <c r="O1242" t="str">
        <f>"יח"</f>
        <v>יח</v>
      </c>
      <c r="P1242" s="2">
        <v>1101.68</v>
      </c>
      <c r="Q1242" t="str">
        <f>"$"</f>
        <v>$</v>
      </c>
      <c r="R1242" t="str">
        <f>"הזמנה"</f>
        <v>הזמנה</v>
      </c>
      <c r="S1242">
        <v>0</v>
      </c>
      <c r="T1242" s="2">
        <v>4406.72</v>
      </c>
      <c r="U1242">
        <v>0</v>
      </c>
      <c r="V1242" s="2">
        <v>4406.72</v>
      </c>
      <c r="W1242" t="str">
        <f>"$"</f>
        <v>$</v>
      </c>
      <c r="X1242">
        <v>0</v>
      </c>
      <c r="Y1242">
        <v>0</v>
      </c>
      <c r="Z1242">
        <v>0</v>
      </c>
      <c r="AA1242" t="str">
        <f>"Y"</f>
        <v>Y</v>
      </c>
      <c r="AB1242" t="str">
        <f>"SO22000214"</f>
        <v>SO22000214</v>
      </c>
      <c r="AC1242">
        <v>10</v>
      </c>
      <c r="AD1242" s="1">
        <v>44714</v>
      </c>
      <c r="AE1242" t="str">
        <f>"SH22001319"</f>
        <v>SH22001319</v>
      </c>
      <c r="AF1242" t="str">
        <f>"משלוחים ללקוח"</f>
        <v>משלוחים ללקוח</v>
      </c>
      <c r="AG1242" s="1">
        <v>44887</v>
      </c>
      <c r="AM1242" t="str">
        <f>"10"</f>
        <v>10</v>
      </c>
      <c r="AN1242" t="str">
        <f>"500000"</f>
        <v>500000</v>
      </c>
      <c r="AO1242" t="str">
        <f>"הכנסות  מלקוחות"</f>
        <v>הכנסות  מלקוחות</v>
      </c>
      <c r="AQ1242" t="str">
        <f>"040"</f>
        <v>040</v>
      </c>
      <c r="AR1242">
        <v>0</v>
      </c>
      <c r="AS1242">
        <v>0</v>
      </c>
      <c r="AT1242">
        <v>3.419</v>
      </c>
      <c r="AX1242" t="str">
        <f>"E000365713"</f>
        <v>E000365713</v>
      </c>
      <c r="BD1242" t="str">
        <f>"רחמים זרוק"</f>
        <v>רחמים זרוק</v>
      </c>
    </row>
    <row r="1243" spans="1:56" x14ac:dyDescent="0.3">
      <c r="A1243" s="1">
        <v>44892</v>
      </c>
      <c r="B1243" t="str">
        <f>"SI226001283"</f>
        <v>SI226001283</v>
      </c>
      <c r="C1243" t="str">
        <f>"PR22000445"</f>
        <v>PR22000445</v>
      </c>
      <c r="E1243" t="str">
        <f>"Y"</f>
        <v>Y</v>
      </c>
      <c r="F1243" t="str">
        <f>"חשבוניות מרכזות"</f>
        <v>חשבוניות מרכזות</v>
      </c>
      <c r="G1243" t="str">
        <f>"700065"</f>
        <v>700065</v>
      </c>
      <c r="H1243" t="str">
        <f>"אלתא מערכות בע""מ"</f>
        <v>אלתא מערכות בע"מ</v>
      </c>
      <c r="I1243" t="str">
        <f>"10"</f>
        <v>10</v>
      </c>
      <c r="J1243" t="str">
        <f>"OP-AR03162"</f>
        <v>OP-AR03162</v>
      </c>
      <c r="K1243" t="str">
        <f>"1018U224-001   HARNESS WD002 - DS RCS TO EPRCU/S"</f>
        <v>1018U224-001   HARNESS WD002 - DS RCS TO EPRCU/S</v>
      </c>
      <c r="L1243">
        <v>1</v>
      </c>
      <c r="M1243" t="str">
        <f>"יח"</f>
        <v>יח</v>
      </c>
      <c r="N1243">
        <v>1</v>
      </c>
      <c r="O1243" t="str">
        <f>"יח"</f>
        <v>יח</v>
      </c>
      <c r="P1243">
        <v>920.05</v>
      </c>
      <c r="Q1243" t="str">
        <f>"$"</f>
        <v>$</v>
      </c>
      <c r="R1243" t="str">
        <f>"הזמנה"</f>
        <v>הזמנה</v>
      </c>
      <c r="S1243">
        <v>0</v>
      </c>
      <c r="T1243">
        <v>920.05</v>
      </c>
      <c r="U1243">
        <v>0</v>
      </c>
      <c r="V1243">
        <v>920.05</v>
      </c>
      <c r="W1243" t="str">
        <f>"$"</f>
        <v>$</v>
      </c>
      <c r="X1243">
        <v>0</v>
      </c>
      <c r="Y1243">
        <v>0</v>
      </c>
      <c r="Z1243">
        <v>0</v>
      </c>
      <c r="AA1243" t="str">
        <f>"Y"</f>
        <v>Y</v>
      </c>
      <c r="AB1243" t="str">
        <f>"SO22000221"</f>
        <v>SO22000221</v>
      </c>
      <c r="AC1243">
        <v>2</v>
      </c>
      <c r="AD1243" s="1">
        <v>44720</v>
      </c>
      <c r="AE1243" t="str">
        <f>"SH22001320"</f>
        <v>SH22001320</v>
      </c>
      <c r="AF1243" t="str">
        <f>"משלוחים ללקוח"</f>
        <v>משלוחים ללקוח</v>
      </c>
      <c r="AG1243" s="1">
        <v>44887</v>
      </c>
      <c r="AM1243" t="str">
        <f>"10"</f>
        <v>10</v>
      </c>
      <c r="AN1243" t="str">
        <f>"500000"</f>
        <v>500000</v>
      </c>
      <c r="AO1243" t="str">
        <f>"הכנסות  מלקוחות"</f>
        <v>הכנסות  מלקוחות</v>
      </c>
      <c r="AQ1243" t="str">
        <f>"034"</f>
        <v>034</v>
      </c>
      <c r="AR1243">
        <v>0</v>
      </c>
      <c r="AS1243">
        <v>0</v>
      </c>
      <c r="AT1243">
        <v>3.4409999999999998</v>
      </c>
      <c r="AX1243" t="str">
        <f>"E000364016"</f>
        <v>E000364016</v>
      </c>
      <c r="BD1243" t="str">
        <f>"ערן שלו"</f>
        <v>ערן שלו</v>
      </c>
    </row>
    <row r="1244" spans="1:56" x14ac:dyDescent="0.3">
      <c r="A1244" s="1">
        <v>44892</v>
      </c>
      <c r="B1244" t="str">
        <f>"SI226001283"</f>
        <v>SI226001283</v>
      </c>
      <c r="C1244" t="str">
        <f>"PR22000445"</f>
        <v>PR22000445</v>
      </c>
      <c r="E1244" t="str">
        <f>"Y"</f>
        <v>Y</v>
      </c>
      <c r="F1244" t="str">
        <f>"חשבוניות מרכזות"</f>
        <v>חשבוניות מרכזות</v>
      </c>
      <c r="G1244" t="str">
        <f>"700065"</f>
        <v>700065</v>
      </c>
      <c r="H1244" t="str">
        <f>"אלתא מערכות בע""מ"</f>
        <v>אלתא מערכות בע"מ</v>
      </c>
      <c r="I1244" t="str">
        <f>"10"</f>
        <v>10</v>
      </c>
      <c r="J1244" t="str">
        <f>"OP-AR03163"</f>
        <v>OP-AR03163</v>
      </c>
      <c r="K1244" t="str">
        <f>"1018U225-001   HARNESS WD003 - DS RCS TO EPRCU/P"</f>
        <v>1018U225-001   HARNESS WD003 - DS RCS TO EPRCU/P</v>
      </c>
      <c r="L1244">
        <v>2</v>
      </c>
      <c r="M1244" t="str">
        <f>"יח"</f>
        <v>יח</v>
      </c>
      <c r="N1244">
        <v>2</v>
      </c>
      <c r="O1244" t="str">
        <f>"יח"</f>
        <v>יח</v>
      </c>
      <c r="P1244">
        <v>920.02</v>
      </c>
      <c r="Q1244" t="str">
        <f>"$"</f>
        <v>$</v>
      </c>
      <c r="R1244" t="str">
        <f>"הזמנה"</f>
        <v>הזמנה</v>
      </c>
      <c r="S1244">
        <v>0</v>
      </c>
      <c r="T1244" s="2">
        <v>1840.04</v>
      </c>
      <c r="U1244">
        <v>0</v>
      </c>
      <c r="V1244" s="2">
        <v>1840.04</v>
      </c>
      <c r="W1244" t="str">
        <f>"$"</f>
        <v>$</v>
      </c>
      <c r="X1244">
        <v>0</v>
      </c>
      <c r="Y1244">
        <v>0</v>
      </c>
      <c r="Z1244">
        <v>0</v>
      </c>
      <c r="AA1244" t="str">
        <f>"Y"</f>
        <v>Y</v>
      </c>
      <c r="AB1244" t="str">
        <f>"SO22000221"</f>
        <v>SO22000221</v>
      </c>
      <c r="AC1244">
        <v>3</v>
      </c>
      <c r="AD1244" s="1">
        <v>44720</v>
      </c>
      <c r="AE1244" t="str">
        <f>"SH22001320"</f>
        <v>SH22001320</v>
      </c>
      <c r="AF1244" t="str">
        <f>"משלוחים ללקוח"</f>
        <v>משלוחים ללקוח</v>
      </c>
      <c r="AG1244" s="1">
        <v>44887</v>
      </c>
      <c r="AM1244" t="str">
        <f>"10"</f>
        <v>10</v>
      </c>
      <c r="AN1244" t="str">
        <f>"500000"</f>
        <v>500000</v>
      </c>
      <c r="AO1244" t="str">
        <f>"הכנסות  מלקוחות"</f>
        <v>הכנסות  מלקוחות</v>
      </c>
      <c r="AQ1244" t="str">
        <f>"034"</f>
        <v>034</v>
      </c>
      <c r="AR1244">
        <v>0</v>
      </c>
      <c r="AS1244">
        <v>0</v>
      </c>
      <c r="AT1244">
        <v>3.4409999999999998</v>
      </c>
      <c r="AX1244" t="str">
        <f>"E000364016"</f>
        <v>E000364016</v>
      </c>
      <c r="BD1244" t="str">
        <f>"ערן שלו"</f>
        <v>ערן שלו</v>
      </c>
    </row>
    <row r="1245" spans="1:56" x14ac:dyDescent="0.3">
      <c r="A1245" s="1">
        <v>44892</v>
      </c>
      <c r="B1245" t="str">
        <f>"SI226001282"</f>
        <v>SI226001282</v>
      </c>
      <c r="C1245" t="str">
        <f>"PR22000525"</f>
        <v>PR22000525</v>
      </c>
      <c r="D1245" t="str">
        <f>"PR22000525"</f>
        <v>PR22000525</v>
      </c>
      <c r="E1245" t="str">
        <f>"Y"</f>
        <v>Y</v>
      </c>
      <c r="F1245" t="str">
        <f>"חשבוניות מרכזות"</f>
        <v>חשבוניות מרכזות</v>
      </c>
      <c r="G1245" t="str">
        <f>"700065"</f>
        <v>700065</v>
      </c>
      <c r="H1245" t="str">
        <f>"אלתא מערכות בע""מ"</f>
        <v>אלתא מערכות בע"מ</v>
      </c>
      <c r="I1245" t="str">
        <f>"10"</f>
        <v>10</v>
      </c>
      <c r="J1245" t="str">
        <f>"OP-AR03221"</f>
        <v>OP-AR03221</v>
      </c>
      <c r="K1245" t="str">
        <f>"1027C394-001    WSA126 PDB2 TO PS-P1 CABLE 6.8M ASSY"</f>
        <v>1027C394-001    WSA126 PDB2 TO PS-P1 CABLE 6.8M ASSY</v>
      </c>
      <c r="L1245">
        <v>3</v>
      </c>
      <c r="M1245" t="str">
        <f>"יח"</f>
        <v>יח</v>
      </c>
      <c r="N1245">
        <v>3</v>
      </c>
      <c r="O1245" t="str">
        <f>"יח"</f>
        <v>יח</v>
      </c>
      <c r="P1245">
        <v>663.71</v>
      </c>
      <c r="Q1245" t="str">
        <f>"$"</f>
        <v>$</v>
      </c>
      <c r="R1245" t="str">
        <f>"הזמנה"</f>
        <v>הזמנה</v>
      </c>
      <c r="S1245">
        <v>0</v>
      </c>
      <c r="T1245" s="2">
        <v>1991.13</v>
      </c>
      <c r="U1245">
        <v>0</v>
      </c>
      <c r="V1245" s="2">
        <v>1991.13</v>
      </c>
      <c r="W1245" t="str">
        <f>"$"</f>
        <v>$</v>
      </c>
      <c r="X1245">
        <v>0</v>
      </c>
      <c r="Y1245">
        <v>0</v>
      </c>
      <c r="Z1245">
        <v>0</v>
      </c>
      <c r="AA1245" t="str">
        <f>"Y"</f>
        <v>Y</v>
      </c>
      <c r="AB1245" t="str">
        <f>"SO22000287"</f>
        <v>SO22000287</v>
      </c>
      <c r="AC1245">
        <v>1</v>
      </c>
      <c r="AD1245" s="1">
        <v>44762</v>
      </c>
      <c r="AE1245" t="str">
        <f>"SH22001321"</f>
        <v>SH22001321</v>
      </c>
      <c r="AF1245" t="str">
        <f>"משלוחים ללקוח"</f>
        <v>משלוחים ללקוח</v>
      </c>
      <c r="AG1245" s="1">
        <v>44887</v>
      </c>
      <c r="AM1245" t="str">
        <f>"10"</f>
        <v>10</v>
      </c>
      <c r="AN1245" t="str">
        <f>"500000"</f>
        <v>500000</v>
      </c>
      <c r="AO1245" t="str">
        <f>"הכנסות  מלקוחות"</f>
        <v>הכנסות  מלקוחות</v>
      </c>
      <c r="AQ1245" t="str">
        <f>"040"</f>
        <v>040</v>
      </c>
      <c r="AR1245">
        <v>0</v>
      </c>
      <c r="AS1245">
        <v>0</v>
      </c>
      <c r="AT1245">
        <v>3.419</v>
      </c>
      <c r="AX1245" t="str">
        <f>"E000368032"</f>
        <v>E000368032</v>
      </c>
      <c r="BD1245" t="str">
        <f>"רחמים זרוק"</f>
        <v>רחמים זרוק</v>
      </c>
    </row>
    <row r="1246" spans="1:56" x14ac:dyDescent="0.3">
      <c r="A1246" s="1">
        <v>44892</v>
      </c>
      <c r="B1246" t="str">
        <f>"SI226001269"</f>
        <v>SI226001269</v>
      </c>
      <c r="C1246" t="str">
        <f>"PR22000343"</f>
        <v>PR22000343</v>
      </c>
      <c r="D1246" t="str">
        <f>"PR22000343"</f>
        <v>PR22000343</v>
      </c>
      <c r="E1246" t="str">
        <f>"Y"</f>
        <v>Y</v>
      </c>
      <c r="F1246" t="str">
        <f>"חשבוניות מרכזות"</f>
        <v>חשבוניות מרכזות</v>
      </c>
      <c r="G1246" t="str">
        <f>"700065"</f>
        <v>700065</v>
      </c>
      <c r="H1246" t="str">
        <f>"אלתא מערכות בע""מ"</f>
        <v>אלתא מערכות בע"מ</v>
      </c>
      <c r="I1246" t="str">
        <f>"10"</f>
        <v>10</v>
      </c>
      <c r="J1246" t="str">
        <f>"OP-AR03130"</f>
        <v>OP-AR03130</v>
      </c>
      <c r="K1246" t="str">
        <f>"3033L225-001   HARNESS W011 - AVIONIC INTERFACE/RFI-FILTER"</f>
        <v>3033L225-001   HARNESS W011 - AVIONIC INTERFACE/RFI-FILTER</v>
      </c>
      <c r="L1246">
        <v>57</v>
      </c>
      <c r="M1246" t="str">
        <f>"יח"</f>
        <v>יח</v>
      </c>
      <c r="N1246">
        <v>57</v>
      </c>
      <c r="O1246" t="str">
        <f>"יח"</f>
        <v>יח</v>
      </c>
      <c r="P1246">
        <v>565.87</v>
      </c>
      <c r="Q1246" t="str">
        <f>"$"</f>
        <v>$</v>
      </c>
      <c r="R1246" t="str">
        <f>"הזמנה"</f>
        <v>הזמנה</v>
      </c>
      <c r="S1246">
        <v>0</v>
      </c>
      <c r="T1246" s="2">
        <v>32254.59</v>
      </c>
      <c r="U1246">
        <v>0</v>
      </c>
      <c r="V1246" s="2">
        <v>32254.59</v>
      </c>
      <c r="W1246" t="str">
        <f>"$"</f>
        <v>$</v>
      </c>
      <c r="X1246">
        <v>0</v>
      </c>
      <c r="Y1246">
        <v>0</v>
      </c>
      <c r="Z1246">
        <v>0</v>
      </c>
      <c r="AA1246" t="str">
        <f>"Y"</f>
        <v>Y</v>
      </c>
      <c r="AB1246" t="str">
        <f>"SO22000170"</f>
        <v>SO22000170</v>
      </c>
      <c r="AC1246">
        <v>2</v>
      </c>
      <c r="AD1246" s="1">
        <v>44691</v>
      </c>
      <c r="AE1246" t="str">
        <f>"SH22001312"</f>
        <v>SH22001312</v>
      </c>
      <c r="AF1246" t="str">
        <f>"משלוחים ללקוח"</f>
        <v>משלוחים ללקוח</v>
      </c>
      <c r="AG1246" s="1">
        <v>44887</v>
      </c>
      <c r="AM1246" t="str">
        <f>"10"</f>
        <v>10</v>
      </c>
      <c r="AN1246" t="str">
        <f>"500000"</f>
        <v>500000</v>
      </c>
      <c r="AO1246" t="str">
        <f>"הכנסות  מלקוחות"</f>
        <v>הכנסות  מלקוחות</v>
      </c>
      <c r="AQ1246" t="str">
        <f>"040"</f>
        <v>040</v>
      </c>
      <c r="AR1246">
        <v>0</v>
      </c>
      <c r="AS1246">
        <v>0</v>
      </c>
      <c r="AT1246">
        <v>3.419</v>
      </c>
      <c r="AX1246" t="str">
        <f>"E000364006"</f>
        <v>E000364006</v>
      </c>
      <c r="BD1246" t="str">
        <f>"רחמים זרוק"</f>
        <v>רחמים זרוק</v>
      </c>
    </row>
    <row r="1247" spans="1:56" x14ac:dyDescent="0.3">
      <c r="A1247" s="1">
        <v>44889</v>
      </c>
      <c r="B1247" t="str">
        <f>"SI226001330"</f>
        <v>SI226001330</v>
      </c>
      <c r="C1247" t="str">
        <f>"PR22000459"</f>
        <v>PR22000459</v>
      </c>
      <c r="D1247" t="str">
        <f>"PR22000459"</f>
        <v>PR22000459</v>
      </c>
      <c r="E1247" t="str">
        <f>"Y"</f>
        <v>Y</v>
      </c>
      <c r="F1247" t="str">
        <f>"חשבוניות מרכזות"</f>
        <v>חשבוניות מרכזות</v>
      </c>
      <c r="G1247" t="str">
        <f>"700065"</f>
        <v>700065</v>
      </c>
      <c r="H1247" t="str">
        <f>"אלתא מערכות בע""מ"</f>
        <v>אלתא מערכות בע"מ</v>
      </c>
      <c r="I1247" t="str">
        <f>"10"</f>
        <v>10</v>
      </c>
      <c r="J1247" t="str">
        <f>"OP-AR03181"</f>
        <v>OP-AR03181</v>
      </c>
      <c r="K1247" t="str">
        <f>"1025R610-001   HARNESS WP10 - POWER CABLE MOTOR 220V"</f>
        <v>1025R610-001   HARNESS WP10 - POWER CABLE MOTOR 220V</v>
      </c>
      <c r="L1247">
        <v>1</v>
      </c>
      <c r="M1247" t="str">
        <f>"יח"</f>
        <v>יח</v>
      </c>
      <c r="N1247">
        <v>1</v>
      </c>
      <c r="O1247" t="str">
        <f>"יח"</f>
        <v>יח</v>
      </c>
      <c r="P1247">
        <v>392.83</v>
      </c>
      <c r="Q1247" t="str">
        <f>"$"</f>
        <v>$</v>
      </c>
      <c r="R1247" t="str">
        <f>"הזמנה"</f>
        <v>הזמנה</v>
      </c>
      <c r="S1247">
        <v>0</v>
      </c>
      <c r="T1247">
        <v>392.83</v>
      </c>
      <c r="U1247">
        <v>0</v>
      </c>
      <c r="V1247">
        <v>392.83</v>
      </c>
      <c r="W1247" t="str">
        <f>"$"</f>
        <v>$</v>
      </c>
      <c r="X1247">
        <v>0</v>
      </c>
      <c r="Y1247">
        <v>0</v>
      </c>
      <c r="Z1247">
        <v>0</v>
      </c>
      <c r="AA1247" t="str">
        <f>"Y"</f>
        <v>Y</v>
      </c>
      <c r="AB1247" t="str">
        <f>"SO22000241"</f>
        <v>SO22000241</v>
      </c>
      <c r="AC1247">
        <v>8</v>
      </c>
      <c r="AD1247" s="1">
        <v>44731</v>
      </c>
      <c r="AE1247" t="str">
        <f>"SH22001225"</f>
        <v>SH22001225</v>
      </c>
      <c r="AF1247" t="str">
        <f>"משלוחים ללקוח"</f>
        <v>משלוחים ללקוח</v>
      </c>
      <c r="AG1247" s="1">
        <v>44859</v>
      </c>
      <c r="AM1247" t="str">
        <f>"10"</f>
        <v>10</v>
      </c>
      <c r="AN1247" t="str">
        <f>"500000"</f>
        <v>500000</v>
      </c>
      <c r="AO1247" t="str">
        <f>"הכנסות  מלקוחות"</f>
        <v>הכנסות  מלקוחות</v>
      </c>
      <c r="AQ1247" t="str">
        <f>"040"</f>
        <v>040</v>
      </c>
      <c r="AR1247">
        <v>0</v>
      </c>
      <c r="AS1247">
        <v>0</v>
      </c>
      <c r="AT1247">
        <v>3.42</v>
      </c>
      <c r="AX1247" t="str">
        <f>"E000365938"</f>
        <v>E000365938</v>
      </c>
      <c r="BD1247" t="str">
        <f>"רחמים זרוק"</f>
        <v>רחמים זרוק</v>
      </c>
    </row>
    <row r="1248" spans="1:56" x14ac:dyDescent="0.3">
      <c r="A1248" s="1">
        <v>44889</v>
      </c>
      <c r="B1248" t="str">
        <f>"SI226001330"</f>
        <v>SI226001330</v>
      </c>
      <c r="C1248" t="str">
        <f>"PR22000459"</f>
        <v>PR22000459</v>
      </c>
      <c r="D1248" t="str">
        <f>"PR22000459"</f>
        <v>PR22000459</v>
      </c>
      <c r="E1248" t="str">
        <f>"Y"</f>
        <v>Y</v>
      </c>
      <c r="F1248" t="str">
        <f>"חשבוניות מרכזות"</f>
        <v>חשבוניות מרכזות</v>
      </c>
      <c r="G1248" t="str">
        <f>"700065"</f>
        <v>700065</v>
      </c>
      <c r="H1248" t="str">
        <f>"אלתא מערכות בע""מ"</f>
        <v>אלתא מערכות בע"מ</v>
      </c>
      <c r="I1248" t="str">
        <f>"10"</f>
        <v>10</v>
      </c>
      <c r="J1248" t="str">
        <f>"OP-AR03185"</f>
        <v>OP-AR03185</v>
      </c>
      <c r="K1248" t="str">
        <f>"1038N297-001   GROUND CABLE WN297 - ROD TO PALLET CHASS"</f>
        <v>1038N297-001   GROUND CABLE WN297 - ROD TO PALLET CHASS</v>
      </c>
      <c r="L1248">
        <v>5</v>
      </c>
      <c r="M1248" t="str">
        <f>"יח"</f>
        <v>יח</v>
      </c>
      <c r="N1248">
        <v>5</v>
      </c>
      <c r="O1248" t="str">
        <f>"יח"</f>
        <v>יח</v>
      </c>
      <c r="P1248">
        <v>261.88</v>
      </c>
      <c r="Q1248" t="str">
        <f>"$"</f>
        <v>$</v>
      </c>
      <c r="R1248" t="str">
        <f>"הזמנה"</f>
        <v>הזמנה</v>
      </c>
      <c r="S1248">
        <v>0</v>
      </c>
      <c r="T1248" s="2">
        <v>1309.4000000000001</v>
      </c>
      <c r="U1248">
        <v>0</v>
      </c>
      <c r="V1248" s="2">
        <v>1309.4000000000001</v>
      </c>
      <c r="W1248" t="str">
        <f>"$"</f>
        <v>$</v>
      </c>
      <c r="X1248">
        <v>0</v>
      </c>
      <c r="Y1248">
        <v>0</v>
      </c>
      <c r="Z1248">
        <v>0</v>
      </c>
      <c r="AA1248" t="str">
        <f>"Y"</f>
        <v>Y</v>
      </c>
      <c r="AB1248" t="str">
        <f>"SO22000241"</f>
        <v>SO22000241</v>
      </c>
      <c r="AC1248">
        <v>12</v>
      </c>
      <c r="AD1248" s="1">
        <v>44731</v>
      </c>
      <c r="AE1248" t="str">
        <f>"SH22001225"</f>
        <v>SH22001225</v>
      </c>
      <c r="AF1248" t="str">
        <f>"משלוחים ללקוח"</f>
        <v>משלוחים ללקוח</v>
      </c>
      <c r="AG1248" s="1">
        <v>44859</v>
      </c>
      <c r="AM1248" t="str">
        <f>"10"</f>
        <v>10</v>
      </c>
      <c r="AN1248" t="str">
        <f>"500000"</f>
        <v>500000</v>
      </c>
      <c r="AO1248" t="str">
        <f>"הכנסות  מלקוחות"</f>
        <v>הכנסות  מלקוחות</v>
      </c>
      <c r="AQ1248" t="str">
        <f>"040"</f>
        <v>040</v>
      </c>
      <c r="AR1248">
        <v>0</v>
      </c>
      <c r="AS1248">
        <v>0</v>
      </c>
      <c r="AT1248">
        <v>3.42</v>
      </c>
      <c r="AX1248" t="str">
        <f>"E000365938"</f>
        <v>E000365938</v>
      </c>
      <c r="BD1248" t="str">
        <f>"רחמים זרוק"</f>
        <v>רחמים זרוק</v>
      </c>
    </row>
    <row r="1249" spans="1:56" x14ac:dyDescent="0.3">
      <c r="A1249" s="1">
        <v>44889</v>
      </c>
      <c r="B1249" t="str">
        <f>"SI226001330"</f>
        <v>SI226001330</v>
      </c>
      <c r="C1249" t="str">
        <f>"PR22000459"</f>
        <v>PR22000459</v>
      </c>
      <c r="D1249" t="str">
        <f>"PR22000459"</f>
        <v>PR22000459</v>
      </c>
      <c r="E1249" t="str">
        <f>"Y"</f>
        <v>Y</v>
      </c>
      <c r="F1249" t="str">
        <f>"חשבוניות מרכזות"</f>
        <v>חשבוניות מרכזות</v>
      </c>
      <c r="G1249" t="str">
        <f>"700065"</f>
        <v>700065</v>
      </c>
      <c r="H1249" t="str">
        <f>"אלתא מערכות בע""מ"</f>
        <v>אלתא מערכות בע"מ</v>
      </c>
      <c r="I1249" t="str">
        <f>"10"</f>
        <v>10</v>
      </c>
      <c r="J1249" t="str">
        <f>"OP-AR03187"</f>
        <v>OP-AR03187</v>
      </c>
      <c r="K1249" t="str">
        <f>"1023B536-001    WV036 CONTROL - CU GROUP TO BFU &amp; CAMERA"</f>
        <v>1023B536-001    WV036 CONTROL - CU GROUP TO BFU &amp; CAMERA</v>
      </c>
      <c r="L1249">
        <v>2</v>
      </c>
      <c r="M1249" t="str">
        <f>"יח"</f>
        <v>יח</v>
      </c>
      <c r="N1249">
        <v>2</v>
      </c>
      <c r="O1249" t="str">
        <f>"יח"</f>
        <v>יח</v>
      </c>
      <c r="P1249">
        <v>901.54</v>
      </c>
      <c r="Q1249" t="str">
        <f>"$"</f>
        <v>$</v>
      </c>
      <c r="R1249" t="str">
        <f>"הזמנה"</f>
        <v>הזמנה</v>
      </c>
      <c r="S1249">
        <v>0</v>
      </c>
      <c r="T1249" s="2">
        <v>1803.08</v>
      </c>
      <c r="U1249">
        <v>0</v>
      </c>
      <c r="V1249" s="2">
        <v>1803.08</v>
      </c>
      <c r="W1249" t="str">
        <f>"$"</f>
        <v>$</v>
      </c>
      <c r="X1249">
        <v>0</v>
      </c>
      <c r="Y1249">
        <v>0</v>
      </c>
      <c r="Z1249">
        <v>0</v>
      </c>
      <c r="AA1249" t="str">
        <f>"Y"</f>
        <v>Y</v>
      </c>
      <c r="AB1249" t="str">
        <f>"SO22000241"</f>
        <v>SO22000241</v>
      </c>
      <c r="AC1249">
        <v>13</v>
      </c>
      <c r="AD1249" s="1">
        <v>44731</v>
      </c>
      <c r="AE1249" t="str">
        <f>"SH22001225"</f>
        <v>SH22001225</v>
      </c>
      <c r="AF1249" t="str">
        <f>"משלוחים ללקוח"</f>
        <v>משלוחים ללקוח</v>
      </c>
      <c r="AG1249" s="1">
        <v>44859</v>
      </c>
      <c r="AM1249" t="str">
        <f>"10"</f>
        <v>10</v>
      </c>
      <c r="AN1249" t="str">
        <f>"500000"</f>
        <v>500000</v>
      </c>
      <c r="AO1249" t="str">
        <f>"הכנסות  מלקוחות"</f>
        <v>הכנסות  מלקוחות</v>
      </c>
      <c r="AQ1249" t="str">
        <f>"040"</f>
        <v>040</v>
      </c>
      <c r="AR1249">
        <v>0</v>
      </c>
      <c r="AS1249">
        <v>0</v>
      </c>
      <c r="AT1249">
        <v>3.42</v>
      </c>
      <c r="AX1249" t="str">
        <f>"E000365938"</f>
        <v>E000365938</v>
      </c>
      <c r="BD1249" t="str">
        <f>"רחמים זרוק"</f>
        <v>רחמים זרוק</v>
      </c>
    </row>
    <row r="1250" spans="1:56" x14ac:dyDescent="0.3">
      <c r="A1250" s="1">
        <v>44889</v>
      </c>
      <c r="B1250" t="str">
        <f>"SI226001329"</f>
        <v>SI226001329</v>
      </c>
      <c r="C1250" t="str">
        <f>"PR22000459"</f>
        <v>PR22000459</v>
      </c>
      <c r="E1250" t="str">
        <f>"Y"</f>
        <v>Y</v>
      </c>
      <c r="F1250" t="str">
        <f>"חשבוניות מרכזות"</f>
        <v>חשבוניות מרכזות</v>
      </c>
      <c r="G1250" t="str">
        <f>"700065"</f>
        <v>700065</v>
      </c>
      <c r="H1250" t="str">
        <f>"אלתא מערכות בע""מ"</f>
        <v>אלתא מערכות בע"מ</v>
      </c>
      <c r="I1250" t="str">
        <f>"10"</f>
        <v>10</v>
      </c>
      <c r="J1250" t="str">
        <f>"OP-AR03181"</f>
        <v>OP-AR03181</v>
      </c>
      <c r="K1250" t="str">
        <f>"1025R610-001   HARNESS WP10 - POWER CABLE MOTOR 220V"</f>
        <v>1025R610-001   HARNESS WP10 - POWER CABLE MOTOR 220V</v>
      </c>
      <c r="L1250">
        <v>-1</v>
      </c>
      <c r="M1250" t="str">
        <f>"יח"</f>
        <v>יח</v>
      </c>
      <c r="N1250">
        <v>-1</v>
      </c>
      <c r="O1250" t="str">
        <f>"יח"</f>
        <v>יח</v>
      </c>
      <c r="P1250">
        <v>392.83</v>
      </c>
      <c r="Q1250" t="str">
        <f>"$"</f>
        <v>$</v>
      </c>
      <c r="R1250" t="str">
        <f>"הזמנה"</f>
        <v>הזמנה</v>
      </c>
      <c r="S1250">
        <v>0</v>
      </c>
      <c r="T1250">
        <v>-392.83</v>
      </c>
      <c r="U1250">
        <v>0</v>
      </c>
      <c r="V1250">
        <v>-392.83</v>
      </c>
      <c r="W1250" t="str">
        <f>"$"</f>
        <v>$</v>
      </c>
      <c r="X1250">
        <v>0</v>
      </c>
      <c r="Y1250">
        <v>0</v>
      </c>
      <c r="Z1250">
        <v>0</v>
      </c>
      <c r="AA1250" t="str">
        <f>"Y"</f>
        <v>Y</v>
      </c>
      <c r="AC1250">
        <v>0</v>
      </c>
      <c r="AM1250" t="str">
        <f>"10"</f>
        <v>10</v>
      </c>
      <c r="AN1250" t="str">
        <f>"500000"</f>
        <v>500000</v>
      </c>
      <c r="AO1250" t="str">
        <f>"הכנסות  מלקוחות"</f>
        <v>הכנסות  מלקוחות</v>
      </c>
      <c r="AQ1250" t="str">
        <f>"040"</f>
        <v>040</v>
      </c>
      <c r="AR1250">
        <v>0</v>
      </c>
      <c r="AS1250">
        <v>0</v>
      </c>
      <c r="AT1250">
        <v>3.464</v>
      </c>
      <c r="BB1250" t="str">
        <f>"Y"</f>
        <v>Y</v>
      </c>
      <c r="BD1250" t="str">
        <f>"רחמים זרוק"</f>
        <v>רחמים זרוק</v>
      </c>
    </row>
    <row r="1251" spans="1:56" x14ac:dyDescent="0.3">
      <c r="A1251" s="1">
        <v>44889</v>
      </c>
      <c r="B1251" t="str">
        <f>"SI226001329"</f>
        <v>SI226001329</v>
      </c>
      <c r="C1251" t="str">
        <f>"PR22000459"</f>
        <v>PR22000459</v>
      </c>
      <c r="E1251" t="str">
        <f>"Y"</f>
        <v>Y</v>
      </c>
      <c r="F1251" t="str">
        <f>"חשבוניות מרכזות"</f>
        <v>חשבוניות מרכזות</v>
      </c>
      <c r="G1251" t="str">
        <f>"700065"</f>
        <v>700065</v>
      </c>
      <c r="H1251" t="str">
        <f>"אלתא מערכות בע""מ"</f>
        <v>אלתא מערכות בע"מ</v>
      </c>
      <c r="I1251" t="str">
        <f>"10"</f>
        <v>10</v>
      </c>
      <c r="J1251" t="str">
        <f>"OP-AR03185"</f>
        <v>OP-AR03185</v>
      </c>
      <c r="K1251" t="str">
        <f>"1038N297-001   GROUND CABLE WN297 - ROD TO PALLET CHASS"</f>
        <v>1038N297-001   GROUND CABLE WN297 - ROD TO PALLET CHASS</v>
      </c>
      <c r="L1251">
        <v>-5</v>
      </c>
      <c r="M1251" t="str">
        <f>"יח"</f>
        <v>יח</v>
      </c>
      <c r="N1251">
        <v>-5</v>
      </c>
      <c r="O1251" t="str">
        <f>"יח"</f>
        <v>יח</v>
      </c>
      <c r="P1251">
        <v>261.88</v>
      </c>
      <c r="Q1251" t="str">
        <f>"$"</f>
        <v>$</v>
      </c>
      <c r="R1251" t="str">
        <f>"הזמנה"</f>
        <v>הזמנה</v>
      </c>
      <c r="S1251">
        <v>0</v>
      </c>
      <c r="T1251" s="2">
        <v>-1309.4000000000001</v>
      </c>
      <c r="U1251">
        <v>0</v>
      </c>
      <c r="V1251" s="2">
        <v>-1309.4000000000001</v>
      </c>
      <c r="W1251" t="str">
        <f>"$"</f>
        <v>$</v>
      </c>
      <c r="X1251">
        <v>0</v>
      </c>
      <c r="Y1251">
        <v>0</v>
      </c>
      <c r="Z1251">
        <v>0</v>
      </c>
      <c r="AA1251" t="str">
        <f>"Y"</f>
        <v>Y</v>
      </c>
      <c r="AC1251">
        <v>0</v>
      </c>
      <c r="AM1251" t="str">
        <f>"10"</f>
        <v>10</v>
      </c>
      <c r="AN1251" t="str">
        <f>"500000"</f>
        <v>500000</v>
      </c>
      <c r="AO1251" t="str">
        <f>"הכנסות  מלקוחות"</f>
        <v>הכנסות  מלקוחות</v>
      </c>
      <c r="AQ1251" t="str">
        <f>"040"</f>
        <v>040</v>
      </c>
      <c r="AR1251">
        <v>0</v>
      </c>
      <c r="AS1251">
        <v>0</v>
      </c>
      <c r="AT1251">
        <v>3.464</v>
      </c>
      <c r="BB1251" t="str">
        <f>"Y"</f>
        <v>Y</v>
      </c>
      <c r="BD1251" t="str">
        <f>"רחמים זרוק"</f>
        <v>רחמים זרוק</v>
      </c>
    </row>
    <row r="1252" spans="1:56" x14ac:dyDescent="0.3">
      <c r="A1252" s="1">
        <v>44889</v>
      </c>
      <c r="B1252" t="str">
        <f>"SI226001329"</f>
        <v>SI226001329</v>
      </c>
      <c r="C1252" t="str">
        <f>"PR22000459"</f>
        <v>PR22000459</v>
      </c>
      <c r="E1252" t="str">
        <f>"Y"</f>
        <v>Y</v>
      </c>
      <c r="F1252" t="str">
        <f>"חשבוניות מרכזות"</f>
        <v>חשבוניות מרכזות</v>
      </c>
      <c r="G1252" t="str">
        <f>"700065"</f>
        <v>700065</v>
      </c>
      <c r="H1252" t="str">
        <f>"אלתא מערכות בע""מ"</f>
        <v>אלתא מערכות בע"מ</v>
      </c>
      <c r="I1252" t="str">
        <f>"10"</f>
        <v>10</v>
      </c>
      <c r="J1252" t="str">
        <f>"OP-AR03187"</f>
        <v>OP-AR03187</v>
      </c>
      <c r="K1252" t="str">
        <f>"1023B536-001    WV036 CONTROL - CU GROUP TO BFU &amp; CAMERA"</f>
        <v>1023B536-001    WV036 CONTROL - CU GROUP TO BFU &amp; CAMERA</v>
      </c>
      <c r="L1252">
        <v>-2</v>
      </c>
      <c r="M1252" t="str">
        <f>"יח"</f>
        <v>יח</v>
      </c>
      <c r="N1252">
        <v>-2</v>
      </c>
      <c r="O1252" t="str">
        <f>"יח"</f>
        <v>יח</v>
      </c>
      <c r="P1252">
        <v>901.54</v>
      </c>
      <c r="Q1252" t="str">
        <f>"$"</f>
        <v>$</v>
      </c>
      <c r="R1252" t="str">
        <f>"הזמנה"</f>
        <v>הזמנה</v>
      </c>
      <c r="S1252">
        <v>0</v>
      </c>
      <c r="T1252" s="2">
        <v>-1803.08</v>
      </c>
      <c r="U1252">
        <v>0</v>
      </c>
      <c r="V1252" s="2">
        <v>-1803.08</v>
      </c>
      <c r="W1252" t="str">
        <f>"$"</f>
        <v>$</v>
      </c>
      <c r="X1252">
        <v>0</v>
      </c>
      <c r="Y1252">
        <v>0</v>
      </c>
      <c r="Z1252">
        <v>0</v>
      </c>
      <c r="AA1252" t="str">
        <f>"Y"</f>
        <v>Y</v>
      </c>
      <c r="AC1252">
        <v>0</v>
      </c>
      <c r="AM1252" t="str">
        <f>"10"</f>
        <v>10</v>
      </c>
      <c r="AN1252" t="str">
        <f>"500000"</f>
        <v>500000</v>
      </c>
      <c r="AO1252" t="str">
        <f>"הכנסות  מלקוחות"</f>
        <v>הכנסות  מלקוחות</v>
      </c>
      <c r="AQ1252" t="str">
        <f>"040"</f>
        <v>040</v>
      </c>
      <c r="AR1252">
        <v>0</v>
      </c>
      <c r="AS1252">
        <v>0</v>
      </c>
      <c r="AT1252">
        <v>3.464</v>
      </c>
      <c r="BB1252" t="str">
        <f>"Y"</f>
        <v>Y</v>
      </c>
      <c r="BD1252" t="str">
        <f>"רחמים זרוק"</f>
        <v>רחמים זרוק</v>
      </c>
    </row>
    <row r="1253" spans="1:56" x14ac:dyDescent="0.3">
      <c r="A1253" s="1">
        <v>44889</v>
      </c>
      <c r="B1253" t="str">
        <f>"SI226001252"</f>
        <v>SI226001252</v>
      </c>
      <c r="C1253" t="str">
        <f>"PR22000459"</f>
        <v>PR22000459</v>
      </c>
      <c r="E1253" t="str">
        <f>"Y"</f>
        <v>Y</v>
      </c>
      <c r="F1253" t="str">
        <f>"חשבוניות מרכזות"</f>
        <v>חשבוניות מרכזות</v>
      </c>
      <c r="G1253" t="str">
        <f>"700065"</f>
        <v>700065</v>
      </c>
      <c r="H1253" t="str">
        <f>"אלתא מערכות בע""מ"</f>
        <v>אלתא מערכות בע"מ</v>
      </c>
      <c r="I1253" t="str">
        <f>"10"</f>
        <v>10</v>
      </c>
      <c r="J1253" t="str">
        <f>"OP-AR03181"</f>
        <v>OP-AR03181</v>
      </c>
      <c r="K1253" t="str">
        <f>"1025R610-001   HARNESS WP10 - POWER CABLE MOTOR 220V"</f>
        <v>1025R610-001   HARNESS WP10 - POWER CABLE MOTOR 220V</v>
      </c>
      <c r="L1253">
        <v>1</v>
      </c>
      <c r="M1253" t="str">
        <f>"יח"</f>
        <v>יח</v>
      </c>
      <c r="N1253">
        <v>1</v>
      </c>
      <c r="O1253" t="str">
        <f>"יח"</f>
        <v>יח</v>
      </c>
      <c r="P1253">
        <v>392.83</v>
      </c>
      <c r="Q1253" t="str">
        <f>"$"</f>
        <v>$</v>
      </c>
      <c r="R1253" t="str">
        <f>"הזמנה"</f>
        <v>הזמנה</v>
      </c>
      <c r="S1253">
        <v>0</v>
      </c>
      <c r="T1253">
        <v>392.83</v>
      </c>
      <c r="U1253">
        <v>0</v>
      </c>
      <c r="V1253">
        <v>392.83</v>
      </c>
      <c r="W1253" t="str">
        <f>"$"</f>
        <v>$</v>
      </c>
      <c r="X1253">
        <v>0</v>
      </c>
      <c r="Y1253">
        <v>0</v>
      </c>
      <c r="Z1253">
        <v>0</v>
      </c>
      <c r="AA1253" t="str">
        <f>"Y"</f>
        <v>Y</v>
      </c>
      <c r="AC1253">
        <v>0</v>
      </c>
      <c r="AM1253" t="str">
        <f>"10"</f>
        <v>10</v>
      </c>
      <c r="AN1253" t="str">
        <f>"500000"</f>
        <v>500000</v>
      </c>
      <c r="AO1253" t="str">
        <f>"הכנסות  מלקוחות"</f>
        <v>הכנסות  מלקוחות</v>
      </c>
      <c r="AQ1253" t="str">
        <f>"040"</f>
        <v>040</v>
      </c>
      <c r="AR1253">
        <v>0</v>
      </c>
      <c r="AS1253">
        <v>0</v>
      </c>
      <c r="AT1253">
        <v>3.464</v>
      </c>
      <c r="BB1253" t="str">
        <f>"Y"</f>
        <v>Y</v>
      </c>
      <c r="BD1253" t="str">
        <f>"רחמים זרוק"</f>
        <v>רחמים זרוק</v>
      </c>
    </row>
    <row r="1254" spans="1:56" x14ac:dyDescent="0.3">
      <c r="A1254" s="1">
        <v>44889</v>
      </c>
      <c r="B1254" t="str">
        <f>"SI226001252"</f>
        <v>SI226001252</v>
      </c>
      <c r="C1254" t="str">
        <f>"PR22000459"</f>
        <v>PR22000459</v>
      </c>
      <c r="E1254" t="str">
        <f>"Y"</f>
        <v>Y</v>
      </c>
      <c r="F1254" t="str">
        <f>"חשבוניות מרכזות"</f>
        <v>חשבוניות מרכזות</v>
      </c>
      <c r="G1254" t="str">
        <f>"700065"</f>
        <v>700065</v>
      </c>
      <c r="H1254" t="str">
        <f>"אלתא מערכות בע""מ"</f>
        <v>אלתא מערכות בע"מ</v>
      </c>
      <c r="I1254" t="str">
        <f>"10"</f>
        <v>10</v>
      </c>
      <c r="J1254" t="str">
        <f>"OP-AR03185"</f>
        <v>OP-AR03185</v>
      </c>
      <c r="K1254" t="str">
        <f>"1038N297-001   GROUND CABLE WN297 - ROD TO PALLET CHASS"</f>
        <v>1038N297-001   GROUND CABLE WN297 - ROD TO PALLET CHASS</v>
      </c>
      <c r="L1254">
        <v>5</v>
      </c>
      <c r="M1254" t="str">
        <f>"יח"</f>
        <v>יח</v>
      </c>
      <c r="N1254">
        <v>5</v>
      </c>
      <c r="O1254" t="str">
        <f>"יח"</f>
        <v>יח</v>
      </c>
      <c r="P1254">
        <v>261.88</v>
      </c>
      <c r="Q1254" t="str">
        <f>"$"</f>
        <v>$</v>
      </c>
      <c r="R1254" t="str">
        <f>"הזמנה"</f>
        <v>הזמנה</v>
      </c>
      <c r="S1254">
        <v>0</v>
      </c>
      <c r="T1254" s="2">
        <v>1309.4000000000001</v>
      </c>
      <c r="U1254">
        <v>0</v>
      </c>
      <c r="V1254" s="2">
        <v>1309.4000000000001</v>
      </c>
      <c r="W1254" t="str">
        <f>"$"</f>
        <v>$</v>
      </c>
      <c r="X1254">
        <v>0</v>
      </c>
      <c r="Y1254">
        <v>0</v>
      </c>
      <c r="Z1254">
        <v>0</v>
      </c>
      <c r="AA1254" t="str">
        <f>"Y"</f>
        <v>Y</v>
      </c>
      <c r="AC1254">
        <v>0</v>
      </c>
      <c r="AM1254" t="str">
        <f>"10"</f>
        <v>10</v>
      </c>
      <c r="AN1254" t="str">
        <f>"500000"</f>
        <v>500000</v>
      </c>
      <c r="AO1254" t="str">
        <f>"הכנסות  מלקוחות"</f>
        <v>הכנסות  מלקוחות</v>
      </c>
      <c r="AQ1254" t="str">
        <f>"040"</f>
        <v>040</v>
      </c>
      <c r="AR1254">
        <v>0</v>
      </c>
      <c r="AS1254">
        <v>0</v>
      </c>
      <c r="AT1254">
        <v>3.464</v>
      </c>
      <c r="BB1254" t="str">
        <f>"Y"</f>
        <v>Y</v>
      </c>
      <c r="BD1254" t="str">
        <f>"רחמים זרוק"</f>
        <v>רחמים זרוק</v>
      </c>
    </row>
    <row r="1255" spans="1:56" x14ac:dyDescent="0.3">
      <c r="A1255" s="1">
        <v>44889</v>
      </c>
      <c r="B1255" t="str">
        <f>"SI226001252"</f>
        <v>SI226001252</v>
      </c>
      <c r="C1255" t="str">
        <f>"PR22000459"</f>
        <v>PR22000459</v>
      </c>
      <c r="E1255" t="str">
        <f>"Y"</f>
        <v>Y</v>
      </c>
      <c r="F1255" t="str">
        <f>"חשבוניות מרכזות"</f>
        <v>חשבוניות מרכזות</v>
      </c>
      <c r="G1255" t="str">
        <f>"700065"</f>
        <v>700065</v>
      </c>
      <c r="H1255" t="str">
        <f>"אלתא מערכות בע""מ"</f>
        <v>אלתא מערכות בע"מ</v>
      </c>
      <c r="I1255" t="str">
        <f>"10"</f>
        <v>10</v>
      </c>
      <c r="J1255" t="str">
        <f>"OP-AR03187"</f>
        <v>OP-AR03187</v>
      </c>
      <c r="K1255" t="str">
        <f>"1023B536-001    WV036 CONTROL - CU GROUP TO BFU &amp; CAMERA"</f>
        <v>1023B536-001    WV036 CONTROL - CU GROUP TO BFU &amp; CAMERA</v>
      </c>
      <c r="L1255">
        <v>2</v>
      </c>
      <c r="M1255" t="str">
        <f>"יח"</f>
        <v>יח</v>
      </c>
      <c r="N1255">
        <v>2</v>
      </c>
      <c r="O1255" t="str">
        <f>"יח"</f>
        <v>יח</v>
      </c>
      <c r="P1255">
        <v>901.54</v>
      </c>
      <c r="Q1255" t="str">
        <f>"$"</f>
        <v>$</v>
      </c>
      <c r="R1255" t="str">
        <f>"הזמנה"</f>
        <v>הזמנה</v>
      </c>
      <c r="S1255">
        <v>0</v>
      </c>
      <c r="T1255" s="2">
        <v>1803.08</v>
      </c>
      <c r="U1255">
        <v>0</v>
      </c>
      <c r="V1255" s="2">
        <v>1803.08</v>
      </c>
      <c r="W1255" t="str">
        <f>"$"</f>
        <v>$</v>
      </c>
      <c r="X1255">
        <v>0</v>
      </c>
      <c r="Y1255">
        <v>0</v>
      </c>
      <c r="Z1255">
        <v>0</v>
      </c>
      <c r="AA1255" t="str">
        <f>"Y"</f>
        <v>Y</v>
      </c>
      <c r="AC1255">
        <v>0</v>
      </c>
      <c r="AM1255" t="str">
        <f>"10"</f>
        <v>10</v>
      </c>
      <c r="AN1255" t="str">
        <f>"500000"</f>
        <v>500000</v>
      </c>
      <c r="AO1255" t="str">
        <f>"הכנסות  מלקוחות"</f>
        <v>הכנסות  מלקוחות</v>
      </c>
      <c r="AQ1255" t="str">
        <f>"040"</f>
        <v>040</v>
      </c>
      <c r="AR1255">
        <v>0</v>
      </c>
      <c r="AS1255">
        <v>0</v>
      </c>
      <c r="AT1255">
        <v>3.464</v>
      </c>
      <c r="BB1255" t="str">
        <f>"Y"</f>
        <v>Y</v>
      </c>
      <c r="BD1255" t="str">
        <f>"רחמים זרוק"</f>
        <v>רחמים זרוק</v>
      </c>
    </row>
    <row r="1256" spans="1:56" x14ac:dyDescent="0.3">
      <c r="A1256" s="1">
        <v>44887</v>
      </c>
      <c r="B1256" t="str">
        <f>"SI226001306"</f>
        <v>SI226001306</v>
      </c>
      <c r="C1256" t="str">
        <f>"PR22000231"</f>
        <v>PR22000231</v>
      </c>
      <c r="E1256" t="str">
        <f>"Y"</f>
        <v>Y</v>
      </c>
      <c r="F1256" t="str">
        <f>"חשבוניות מרכזות"</f>
        <v>חשבוניות מרכזות</v>
      </c>
      <c r="G1256" t="str">
        <f>"700065"</f>
        <v>700065</v>
      </c>
      <c r="H1256" t="str">
        <f>"אלתא מערכות בע""מ"</f>
        <v>אלתא מערכות בע"מ</v>
      </c>
      <c r="I1256" t="str">
        <f>"10"</f>
        <v>10</v>
      </c>
      <c r="J1256" t="str">
        <f>"OP-AR03027"</f>
        <v>OP-AR03027</v>
      </c>
      <c r="K1256" t="str">
        <f>"2221B852-001   RHW102 CTRL CABLE ASSY"</f>
        <v>2221B852-001   RHW102 CTRL CABLE ASSY</v>
      </c>
      <c r="L1256">
        <v>1</v>
      </c>
      <c r="M1256" t="str">
        <f>"יח"</f>
        <v>יח</v>
      </c>
      <c r="N1256">
        <v>1</v>
      </c>
      <c r="O1256" t="str">
        <f>"יח"</f>
        <v>יח</v>
      </c>
      <c r="P1256" s="2">
        <v>1124.52</v>
      </c>
      <c r="Q1256" t="str">
        <f>"$"</f>
        <v>$</v>
      </c>
      <c r="R1256" t="str">
        <f>"הזמנה"</f>
        <v>הזמנה</v>
      </c>
      <c r="S1256">
        <v>0</v>
      </c>
      <c r="T1256" s="2">
        <v>1124.52</v>
      </c>
      <c r="U1256">
        <v>0</v>
      </c>
      <c r="V1256" s="2">
        <v>1124.52</v>
      </c>
      <c r="W1256" t="str">
        <f>"$"</f>
        <v>$</v>
      </c>
      <c r="X1256">
        <v>0</v>
      </c>
      <c r="Y1256">
        <v>0</v>
      </c>
      <c r="Z1256">
        <v>0</v>
      </c>
      <c r="AA1256" t="str">
        <f>"Y"</f>
        <v>Y</v>
      </c>
      <c r="AB1256" t="str">
        <f>"SO22000105"</f>
        <v>SO22000105</v>
      </c>
      <c r="AC1256">
        <v>24</v>
      </c>
      <c r="AD1256" s="1">
        <v>44635</v>
      </c>
      <c r="AE1256" t="str">
        <f>"SH22001322"</f>
        <v>SH22001322</v>
      </c>
      <c r="AF1256" t="str">
        <f>"משלוחים ללקוח"</f>
        <v>משלוחים ללקוח</v>
      </c>
      <c r="AG1256" s="1">
        <v>44887</v>
      </c>
      <c r="AM1256" t="str">
        <f>"10"</f>
        <v>10</v>
      </c>
      <c r="AN1256" t="str">
        <f>"500000"</f>
        <v>500000</v>
      </c>
      <c r="AO1256" t="str">
        <f>"הכנסות  מלקוחות"</f>
        <v>הכנסות  מלקוחות</v>
      </c>
      <c r="AQ1256" t="str">
        <f>"040"</f>
        <v>040</v>
      </c>
      <c r="AR1256">
        <v>0</v>
      </c>
      <c r="AS1256">
        <v>0</v>
      </c>
      <c r="AT1256">
        <v>3.4750000000000001</v>
      </c>
      <c r="AX1256" t="str">
        <f>"E000359029"</f>
        <v>E000359029</v>
      </c>
      <c r="BD1256" t="str">
        <f>"רחמים זרוק"</f>
        <v>רחמים זרוק</v>
      </c>
    </row>
    <row r="1257" spans="1:56" x14ac:dyDescent="0.3">
      <c r="A1257" s="1">
        <v>44887</v>
      </c>
      <c r="B1257" t="str">
        <f>"SI226001280"</f>
        <v>SI226001280</v>
      </c>
      <c r="C1257" t="str">
        <f>"PR22000442"</f>
        <v>PR22000442</v>
      </c>
      <c r="D1257" t="str">
        <f>"PR22000442"</f>
        <v>PR22000442</v>
      </c>
      <c r="E1257" t="str">
        <f>"Y"</f>
        <v>Y</v>
      </c>
      <c r="F1257" t="str">
        <f>"חשבוניות מרכזות"</f>
        <v>חשבוניות מרכזות</v>
      </c>
      <c r="G1257" t="str">
        <f>"700065"</f>
        <v>700065</v>
      </c>
      <c r="H1257" t="str">
        <f>"אלתא מערכות בע""מ"</f>
        <v>אלתא מערכות בע"מ</v>
      </c>
      <c r="I1257" t="str">
        <f>"10"</f>
        <v>10</v>
      </c>
      <c r="J1257" t="str">
        <f>"OP-AR03161"</f>
        <v>OP-AR03161</v>
      </c>
      <c r="K1257" t="str">
        <f>"9000Y505-001    HARNESS WA005 - FULL TK"</f>
        <v>9000Y505-001    HARNESS WA005 - FULL TK</v>
      </c>
      <c r="L1257">
        <v>2</v>
      </c>
      <c r="M1257" t="str">
        <f>"יח"</f>
        <v>יח</v>
      </c>
      <c r="N1257">
        <v>2</v>
      </c>
      <c r="O1257" t="str">
        <f>"יח"</f>
        <v>יח</v>
      </c>
      <c r="P1257">
        <v>351.16</v>
      </c>
      <c r="Q1257" t="str">
        <f>"$"</f>
        <v>$</v>
      </c>
      <c r="R1257" t="str">
        <f>"הזמנה"</f>
        <v>הזמנה</v>
      </c>
      <c r="S1257">
        <v>0</v>
      </c>
      <c r="T1257">
        <v>702.32</v>
      </c>
      <c r="U1257">
        <v>0</v>
      </c>
      <c r="V1257">
        <v>702.32</v>
      </c>
      <c r="W1257" t="str">
        <f>"$"</f>
        <v>$</v>
      </c>
      <c r="X1257">
        <v>0</v>
      </c>
      <c r="Y1257">
        <v>0</v>
      </c>
      <c r="Z1257">
        <v>0</v>
      </c>
      <c r="AA1257" t="str">
        <f>"Y"</f>
        <v>Y</v>
      </c>
      <c r="AB1257" t="str">
        <f>"SO22000222"</f>
        <v>SO22000222</v>
      </c>
      <c r="AC1257">
        <v>3</v>
      </c>
      <c r="AD1257" s="1">
        <v>44720</v>
      </c>
      <c r="AE1257" t="str">
        <f>"SH22001323"</f>
        <v>SH22001323</v>
      </c>
      <c r="AF1257" t="str">
        <f>"משלוחים ללקוח"</f>
        <v>משלוחים ללקוח</v>
      </c>
      <c r="AG1257" s="1">
        <v>44887</v>
      </c>
      <c r="AM1257" t="str">
        <f>"10"</f>
        <v>10</v>
      </c>
      <c r="AN1257" t="str">
        <f>"500000"</f>
        <v>500000</v>
      </c>
      <c r="AO1257" t="str">
        <f>"הכנסות  מלקוחות"</f>
        <v>הכנסות  מלקוחות</v>
      </c>
      <c r="AQ1257" t="str">
        <f>"040"</f>
        <v>040</v>
      </c>
      <c r="AR1257">
        <v>0</v>
      </c>
      <c r="AS1257">
        <v>0</v>
      </c>
      <c r="AT1257">
        <v>3.4750000000000001</v>
      </c>
      <c r="AX1257" t="str">
        <f>"E000364757"</f>
        <v>E000364757</v>
      </c>
      <c r="BD1257" t="str">
        <f>"רחמים זרוק"</f>
        <v>רחמים זרוק</v>
      </c>
    </row>
    <row r="1258" spans="1:56" x14ac:dyDescent="0.3">
      <c r="A1258" s="1">
        <v>44887</v>
      </c>
      <c r="B1258" t="str">
        <f>"SI226001280"</f>
        <v>SI226001280</v>
      </c>
      <c r="C1258" t="str">
        <f>"PR22000442"</f>
        <v>PR22000442</v>
      </c>
      <c r="D1258" t="str">
        <f>"PR22000442"</f>
        <v>PR22000442</v>
      </c>
      <c r="E1258" t="str">
        <f>"Y"</f>
        <v>Y</v>
      </c>
      <c r="F1258" t="str">
        <f>"חשבוניות מרכזות"</f>
        <v>חשבוניות מרכזות</v>
      </c>
      <c r="G1258" t="str">
        <f>"700065"</f>
        <v>700065</v>
      </c>
      <c r="H1258" t="str">
        <f>"אלתא מערכות בע""מ"</f>
        <v>אלתא מערכות בע"מ</v>
      </c>
      <c r="I1258" t="str">
        <f>"10"</f>
        <v>10</v>
      </c>
      <c r="J1258" t="str">
        <f>"OP-AR03161"</f>
        <v>OP-AR03161</v>
      </c>
      <c r="K1258" t="str">
        <f>"9000Y505-001    HARNESS WA005 - FULL TK"</f>
        <v>9000Y505-001    HARNESS WA005 - FULL TK</v>
      </c>
      <c r="L1258">
        <v>1</v>
      </c>
      <c r="M1258" t="str">
        <f>"יח"</f>
        <v>יח</v>
      </c>
      <c r="N1258">
        <v>1</v>
      </c>
      <c r="O1258" t="str">
        <f>"יח"</f>
        <v>יח</v>
      </c>
      <c r="P1258">
        <v>351.16</v>
      </c>
      <c r="Q1258" t="str">
        <f>"$"</f>
        <v>$</v>
      </c>
      <c r="R1258" t="str">
        <f>"הזמנה"</f>
        <v>הזמנה</v>
      </c>
      <c r="S1258">
        <v>0</v>
      </c>
      <c r="T1258">
        <v>351.16</v>
      </c>
      <c r="U1258">
        <v>0</v>
      </c>
      <c r="V1258">
        <v>351.16</v>
      </c>
      <c r="W1258" t="str">
        <f>"$"</f>
        <v>$</v>
      </c>
      <c r="X1258">
        <v>0</v>
      </c>
      <c r="Y1258">
        <v>0</v>
      </c>
      <c r="Z1258">
        <v>0</v>
      </c>
      <c r="AA1258" t="str">
        <f>"Y"</f>
        <v>Y</v>
      </c>
      <c r="AB1258" t="str">
        <f>"SO22000222"</f>
        <v>SO22000222</v>
      </c>
      <c r="AC1258">
        <v>5</v>
      </c>
      <c r="AD1258" s="1">
        <v>44720</v>
      </c>
      <c r="AE1258" t="str">
        <f>"SH22001323"</f>
        <v>SH22001323</v>
      </c>
      <c r="AF1258" t="str">
        <f>"משלוחים ללקוח"</f>
        <v>משלוחים ללקוח</v>
      </c>
      <c r="AG1258" s="1">
        <v>44887</v>
      </c>
      <c r="AM1258" t="str">
        <f>"10"</f>
        <v>10</v>
      </c>
      <c r="AN1258" t="str">
        <f>"500000"</f>
        <v>500000</v>
      </c>
      <c r="AO1258" t="str">
        <f>"הכנסות  מלקוחות"</f>
        <v>הכנסות  מלקוחות</v>
      </c>
      <c r="AQ1258" t="str">
        <f>"040"</f>
        <v>040</v>
      </c>
      <c r="AR1258">
        <v>0</v>
      </c>
      <c r="AS1258">
        <v>0</v>
      </c>
      <c r="AT1258">
        <v>3.4750000000000001</v>
      </c>
      <c r="AX1258" t="str">
        <f>"E000364757"</f>
        <v>E000364757</v>
      </c>
      <c r="BD1258" t="str">
        <f>"רחמים זרוק"</f>
        <v>רחמים זרוק</v>
      </c>
    </row>
    <row r="1259" spans="1:56" x14ac:dyDescent="0.3">
      <c r="A1259" s="1">
        <v>44886</v>
      </c>
      <c r="B1259" t="str">
        <f>"SI226001324"</f>
        <v>SI226001324</v>
      </c>
      <c r="C1259" t="str">
        <f>"PR22000680"</f>
        <v>PR22000680</v>
      </c>
      <c r="D1259" t="str">
        <f>"PR22000680"</f>
        <v>PR22000680</v>
      </c>
      <c r="E1259" t="str">
        <f>"Y"</f>
        <v>Y</v>
      </c>
      <c r="F1259" t="str">
        <f>"חשבוניות מרכזות"</f>
        <v>חשבוניות מרכזות</v>
      </c>
      <c r="G1259" t="str">
        <f>"700065"</f>
        <v>700065</v>
      </c>
      <c r="H1259" t="str">
        <f>"אלתא מערכות בע""מ"</f>
        <v>אלתא מערכות בע"מ</v>
      </c>
      <c r="I1259" t="str">
        <f>"10"</f>
        <v>10</v>
      </c>
      <c r="J1259" t="str">
        <f>"PS9900047"</f>
        <v>PS9900047</v>
      </c>
      <c r="K1259" t="str">
        <f>"Flatpack 2 380/3000 HE"</f>
        <v>Flatpack 2 380/3000 HE</v>
      </c>
      <c r="L1259">
        <v>16</v>
      </c>
      <c r="M1259" t="str">
        <f>"יח"</f>
        <v>יח</v>
      </c>
      <c r="N1259">
        <v>16</v>
      </c>
      <c r="O1259" t="str">
        <f>"יח"</f>
        <v>יח</v>
      </c>
      <c r="P1259">
        <v>617.4</v>
      </c>
      <c r="Q1259" t="str">
        <f>"$"</f>
        <v>$</v>
      </c>
      <c r="R1259" t="str">
        <f>"הזמנה"</f>
        <v>הזמנה</v>
      </c>
      <c r="S1259">
        <v>0</v>
      </c>
      <c r="T1259" s="2">
        <v>9878.4</v>
      </c>
      <c r="U1259">
        <v>0</v>
      </c>
      <c r="V1259" s="2">
        <v>9878.4</v>
      </c>
      <c r="W1259" t="str">
        <f>"$"</f>
        <v>$</v>
      </c>
      <c r="X1259">
        <v>0</v>
      </c>
      <c r="Y1259">
        <v>0</v>
      </c>
      <c r="Z1259">
        <v>0</v>
      </c>
      <c r="AA1259" t="str">
        <f>"Y"</f>
        <v>Y</v>
      </c>
      <c r="AB1259" t="str">
        <f>"SO22000394"</f>
        <v>SO22000394</v>
      </c>
      <c r="AC1259">
        <v>1</v>
      </c>
      <c r="AD1259" s="1">
        <v>44867</v>
      </c>
      <c r="AE1259" t="str">
        <f>"SH22001248"</f>
        <v>SH22001248</v>
      </c>
      <c r="AF1259" t="str">
        <f>"משלוחים ללקוח"</f>
        <v>משלוחים ללקוח</v>
      </c>
      <c r="AG1259" s="1">
        <v>44868</v>
      </c>
      <c r="AM1259" t="str">
        <f>"10"</f>
        <v>10</v>
      </c>
      <c r="AN1259" t="str">
        <f>"500000"</f>
        <v>500000</v>
      </c>
      <c r="AO1259" t="str">
        <f>"הכנסות  מלקוחות"</f>
        <v>הכנסות  מלקוחות</v>
      </c>
      <c r="AQ1259" t="str">
        <f>"007"</f>
        <v>007</v>
      </c>
      <c r="AR1259">
        <v>0</v>
      </c>
      <c r="AS1259">
        <v>0</v>
      </c>
      <c r="AT1259">
        <v>3.464</v>
      </c>
      <c r="AX1259" t="str">
        <f>"E000377420"</f>
        <v>E000377420</v>
      </c>
      <c r="BD1259" t="str">
        <f>"רוני דידי"</f>
        <v>רוני דידי</v>
      </c>
    </row>
    <row r="1260" spans="1:56" x14ac:dyDescent="0.3">
      <c r="A1260" s="1">
        <v>44886</v>
      </c>
      <c r="B1260" t="str">
        <f>"SI226001322"</f>
        <v>SI226001322</v>
      </c>
      <c r="C1260" t="str">
        <f>"PR22000680"</f>
        <v>PR22000680</v>
      </c>
      <c r="E1260" t="str">
        <f>"Y"</f>
        <v>Y</v>
      </c>
      <c r="F1260" t="str">
        <f>"חשבוניות מרכזות"</f>
        <v>חשבוניות מרכזות</v>
      </c>
      <c r="G1260" t="str">
        <f>"700065"</f>
        <v>700065</v>
      </c>
      <c r="H1260" t="str">
        <f>"אלתא מערכות בע""מ"</f>
        <v>אלתא מערכות בע"מ</v>
      </c>
      <c r="I1260" t="str">
        <f>"10"</f>
        <v>10</v>
      </c>
      <c r="J1260" t="str">
        <f>"PS9900047"</f>
        <v>PS9900047</v>
      </c>
      <c r="K1260" t="str">
        <f>"Flatpack 2 380/3000 HE"</f>
        <v>Flatpack 2 380/3000 HE</v>
      </c>
      <c r="L1260">
        <v>-16</v>
      </c>
      <c r="M1260" t="str">
        <f>"יח"</f>
        <v>יח</v>
      </c>
      <c r="N1260">
        <v>-16</v>
      </c>
      <c r="O1260" t="str">
        <f>"יח"</f>
        <v>יח</v>
      </c>
      <c r="P1260">
        <v>617.4</v>
      </c>
      <c r="Q1260" t="str">
        <f>"$"</f>
        <v>$</v>
      </c>
      <c r="R1260" t="str">
        <f>"הזמנה"</f>
        <v>הזמנה</v>
      </c>
      <c r="S1260">
        <v>10</v>
      </c>
      <c r="T1260" s="2">
        <v>-8890.56</v>
      </c>
      <c r="U1260">
        <v>0</v>
      </c>
      <c r="V1260" s="2">
        <v>-8890.56</v>
      </c>
      <c r="W1260" t="str">
        <f>"$"</f>
        <v>$</v>
      </c>
      <c r="X1260">
        <v>0</v>
      </c>
      <c r="Y1260">
        <v>0</v>
      </c>
      <c r="Z1260">
        <v>0</v>
      </c>
      <c r="AA1260" t="str">
        <f>"Y"</f>
        <v>Y</v>
      </c>
      <c r="AC1260">
        <v>0</v>
      </c>
      <c r="AM1260" t="str">
        <f>"10"</f>
        <v>10</v>
      </c>
      <c r="AN1260" t="str">
        <f>"500000"</f>
        <v>500000</v>
      </c>
      <c r="AO1260" t="str">
        <f>"הכנסות  מלקוחות"</f>
        <v>הכנסות  מלקוחות</v>
      </c>
      <c r="AQ1260" t="str">
        <f>"007"</f>
        <v>007</v>
      </c>
      <c r="AR1260">
        <v>0</v>
      </c>
      <c r="AS1260">
        <v>0</v>
      </c>
      <c r="AT1260">
        <v>3.464</v>
      </c>
      <c r="BB1260" t="str">
        <f>"Y"</f>
        <v>Y</v>
      </c>
      <c r="BD1260" t="str">
        <f>"רוני דידי"</f>
        <v>רוני דידי</v>
      </c>
    </row>
    <row r="1261" spans="1:56" x14ac:dyDescent="0.3">
      <c r="A1261" s="1">
        <v>44886</v>
      </c>
      <c r="B1261" t="str">
        <f>"SI226001251"</f>
        <v>SI226001251</v>
      </c>
      <c r="C1261" t="str">
        <f>"PR22000680"</f>
        <v>PR22000680</v>
      </c>
      <c r="E1261" t="str">
        <f>"Y"</f>
        <v>Y</v>
      </c>
      <c r="F1261" t="str">
        <f>"חשבוניות מרכזות"</f>
        <v>חשבוניות מרכזות</v>
      </c>
      <c r="G1261" t="str">
        <f>"700065"</f>
        <v>700065</v>
      </c>
      <c r="H1261" t="str">
        <f>"אלתא מערכות בע""מ"</f>
        <v>אלתא מערכות בע"מ</v>
      </c>
      <c r="I1261" t="str">
        <f>"10"</f>
        <v>10</v>
      </c>
      <c r="J1261" t="str">
        <f>"PS9900047"</f>
        <v>PS9900047</v>
      </c>
      <c r="K1261" t="str">
        <f>"Flatpack 2 380/3000 HE"</f>
        <v>Flatpack 2 380/3000 HE</v>
      </c>
      <c r="L1261">
        <v>16</v>
      </c>
      <c r="M1261" t="str">
        <f>"יח"</f>
        <v>יח</v>
      </c>
      <c r="N1261">
        <v>16</v>
      </c>
      <c r="O1261" t="str">
        <f>"יח"</f>
        <v>יח</v>
      </c>
      <c r="P1261">
        <v>617.4</v>
      </c>
      <c r="Q1261" t="str">
        <f>"$"</f>
        <v>$</v>
      </c>
      <c r="R1261" t="str">
        <f>"הזמנה"</f>
        <v>הזמנה</v>
      </c>
      <c r="S1261">
        <v>10</v>
      </c>
      <c r="T1261" s="2">
        <v>8890.56</v>
      </c>
      <c r="U1261">
        <v>0</v>
      </c>
      <c r="V1261" s="2">
        <v>8890.56</v>
      </c>
      <c r="W1261" t="str">
        <f>"$"</f>
        <v>$</v>
      </c>
      <c r="X1261">
        <v>0</v>
      </c>
      <c r="Y1261">
        <v>0</v>
      </c>
      <c r="Z1261">
        <v>0</v>
      </c>
      <c r="AA1261" t="str">
        <f>"Y"</f>
        <v>Y</v>
      </c>
      <c r="AC1261">
        <v>0</v>
      </c>
      <c r="AM1261" t="str">
        <f>"10"</f>
        <v>10</v>
      </c>
      <c r="AN1261" t="str">
        <f>"500000"</f>
        <v>500000</v>
      </c>
      <c r="AO1261" t="str">
        <f>"הכנסות  מלקוחות"</f>
        <v>הכנסות  מלקוחות</v>
      </c>
      <c r="AQ1261" t="str">
        <f>"007"</f>
        <v>007</v>
      </c>
      <c r="AR1261">
        <v>0</v>
      </c>
      <c r="AS1261">
        <v>0</v>
      </c>
      <c r="AT1261">
        <v>3.464</v>
      </c>
      <c r="BB1261" t="str">
        <f>"Y"</f>
        <v>Y</v>
      </c>
      <c r="BD1261" t="str">
        <f>"רוני דידי"</f>
        <v>רוני דידי</v>
      </c>
    </row>
    <row r="1262" spans="1:56" x14ac:dyDescent="0.3">
      <c r="A1262" s="1">
        <v>44886</v>
      </c>
      <c r="B1262" t="str">
        <f>"SI226001250"</f>
        <v>SI226001250</v>
      </c>
      <c r="C1262" t="str">
        <f>"PR22000245"</f>
        <v>PR22000245</v>
      </c>
      <c r="E1262" t="str">
        <f>"Y"</f>
        <v>Y</v>
      </c>
      <c r="F1262" t="str">
        <f>"חשבוניות מרכזות"</f>
        <v>חשבוניות מרכזות</v>
      </c>
      <c r="G1262" t="str">
        <f>"700065"</f>
        <v>700065</v>
      </c>
      <c r="H1262" t="str">
        <f>"אלתא מערכות בע""מ"</f>
        <v>אלתא מערכות בע"מ</v>
      </c>
      <c r="I1262" t="str">
        <f>"10"</f>
        <v>10</v>
      </c>
      <c r="J1262" t="str">
        <f>"PS9900057"</f>
        <v>PS9900057</v>
      </c>
      <c r="K1262" t="str">
        <f>"TSI-T2S-ETH-BRAVO-2C-HVDC"</f>
        <v>TSI-T2S-ETH-BRAVO-2C-HVDC</v>
      </c>
      <c r="L1262">
        <v>3</v>
      </c>
      <c r="M1262" t="str">
        <f>"יח"</f>
        <v>יח</v>
      </c>
      <c r="N1262">
        <v>3</v>
      </c>
      <c r="O1262" t="str">
        <f>"יח"</f>
        <v>יח</v>
      </c>
      <c r="P1262">
        <v>426</v>
      </c>
      <c r="Q1262" t="str">
        <f>"$"</f>
        <v>$</v>
      </c>
      <c r="R1262" t="str">
        <f>"הזמנה"</f>
        <v>הזמנה</v>
      </c>
      <c r="S1262">
        <v>0</v>
      </c>
      <c r="T1262" s="2">
        <v>1278</v>
      </c>
      <c r="U1262">
        <v>0</v>
      </c>
      <c r="V1262" s="2">
        <v>1278</v>
      </c>
      <c r="W1262" t="str">
        <f>"$"</f>
        <v>$</v>
      </c>
      <c r="X1262">
        <v>0</v>
      </c>
      <c r="Y1262">
        <v>0</v>
      </c>
      <c r="Z1262">
        <v>0</v>
      </c>
      <c r="AA1262" t="str">
        <f>"Y"</f>
        <v>Y</v>
      </c>
      <c r="AB1262" t="str">
        <f>"SO22000113"</f>
        <v>SO22000113</v>
      </c>
      <c r="AC1262">
        <v>22</v>
      </c>
      <c r="AD1262" s="1">
        <v>44641</v>
      </c>
      <c r="AE1262" t="str">
        <f>"SH22001274"</f>
        <v>SH22001274</v>
      </c>
      <c r="AF1262" t="str">
        <f>"משלוחים ללקוח"</f>
        <v>משלוחים ללקוח</v>
      </c>
      <c r="AG1262" s="1">
        <v>44875</v>
      </c>
      <c r="AM1262" t="str">
        <f>"10"</f>
        <v>10</v>
      </c>
      <c r="AN1262" t="str">
        <f>"500000"</f>
        <v>500000</v>
      </c>
      <c r="AO1262" t="str">
        <f>"הכנסות  מלקוחות"</f>
        <v>הכנסות  מלקוחות</v>
      </c>
      <c r="AQ1262" t="str">
        <f>"007"</f>
        <v>007</v>
      </c>
      <c r="AR1262">
        <v>0</v>
      </c>
      <c r="AS1262">
        <v>0</v>
      </c>
      <c r="AT1262">
        <v>3.464</v>
      </c>
      <c r="AX1262" t="str">
        <f>"E000360545"</f>
        <v>E000360545</v>
      </c>
      <c r="BD1262" t="str">
        <f>"רוני דידי"</f>
        <v>רוני דידי</v>
      </c>
    </row>
    <row r="1263" spans="1:56" x14ac:dyDescent="0.3">
      <c r="A1263" s="1">
        <v>44881</v>
      </c>
      <c r="B1263" t="str">
        <f>"SI226001187"</f>
        <v>SI226001187</v>
      </c>
      <c r="E1263" t="str">
        <f>"Y"</f>
        <v>Y</v>
      </c>
      <c r="F1263" t="str">
        <f>"חשבוניות מרכזות"</f>
        <v>חשבוניות מרכזות</v>
      </c>
      <c r="G1263" t="str">
        <f>"700065"</f>
        <v>700065</v>
      </c>
      <c r="H1263" t="str">
        <f>"אלתא מערכות בע""מ"</f>
        <v>אלתא מערכות בע"מ</v>
      </c>
      <c r="I1263" t="str">
        <f>"10"</f>
        <v>10</v>
      </c>
      <c r="J1263" t="str">
        <f>"OP-KR00001"</f>
        <v>OP-KR00001</v>
      </c>
      <c r="K1263" t="str">
        <f>"MDN SHELTER 1039P040-001"</f>
        <v>MDN SHELTER 1039P040-001</v>
      </c>
      <c r="L1263">
        <v>1</v>
      </c>
      <c r="M1263" t="str">
        <f>"יח"</f>
        <v>יח</v>
      </c>
      <c r="N1263">
        <v>1</v>
      </c>
      <c r="O1263" t="str">
        <f>"יח"</f>
        <v>יח</v>
      </c>
      <c r="P1263" s="2">
        <v>375070.73</v>
      </c>
      <c r="Q1263" t="str">
        <f>"$"</f>
        <v>$</v>
      </c>
      <c r="R1263" t="str">
        <f>"הזמנה"</f>
        <v>הזמנה</v>
      </c>
      <c r="S1263">
        <v>0</v>
      </c>
      <c r="T1263" s="2">
        <v>375070.73</v>
      </c>
      <c r="U1263">
        <v>0</v>
      </c>
      <c r="V1263" s="2">
        <v>375070.73</v>
      </c>
      <c r="W1263" t="str">
        <f>"$"</f>
        <v>$</v>
      </c>
      <c r="X1263">
        <v>0</v>
      </c>
      <c r="Y1263">
        <v>0</v>
      </c>
      <c r="Z1263">
        <v>0</v>
      </c>
      <c r="AA1263" t="str">
        <f>"Y"</f>
        <v>Y</v>
      </c>
      <c r="AB1263" t="str">
        <f>"SO21000120"</f>
        <v>SO21000120</v>
      </c>
      <c r="AC1263">
        <v>3</v>
      </c>
      <c r="AD1263" s="1">
        <v>44269</v>
      </c>
      <c r="AE1263" t="str">
        <f>"SH22001380"</f>
        <v>SH22001380</v>
      </c>
      <c r="AF1263" t="str">
        <f>"משלוחים ללקוח"</f>
        <v>משלוחים ללקוח</v>
      </c>
      <c r="AG1263" s="1">
        <v>44900</v>
      </c>
      <c r="AM1263" t="str">
        <f>"10"</f>
        <v>10</v>
      </c>
      <c r="AN1263" t="str">
        <f>"500000"</f>
        <v>500000</v>
      </c>
      <c r="AO1263" t="str">
        <f>"הכנסות  מלקוחות"</f>
        <v>הכנסות  מלקוחות</v>
      </c>
      <c r="AQ1263" t="str">
        <f>"007"</f>
        <v>007</v>
      </c>
      <c r="AR1263">
        <v>0</v>
      </c>
      <c r="AS1263">
        <v>0</v>
      </c>
      <c r="AT1263">
        <v>3.4350000000000001</v>
      </c>
      <c r="AX1263" t="str">
        <f>"E000331858"</f>
        <v>E000331858</v>
      </c>
      <c r="BD1263" t="str">
        <f>"רוני דידי"</f>
        <v>רוני דידי</v>
      </c>
    </row>
    <row r="1264" spans="1:56" x14ac:dyDescent="0.3">
      <c r="A1264" s="1">
        <v>44881</v>
      </c>
      <c r="B1264" t="str">
        <f>"SI226001186"</f>
        <v>SI226001186</v>
      </c>
      <c r="E1264" t="str">
        <f>"Y"</f>
        <v>Y</v>
      </c>
      <c r="F1264" t="str">
        <f>"חשבוניות מרכזות"</f>
        <v>חשבוניות מרכזות</v>
      </c>
      <c r="G1264" t="str">
        <f>"700065"</f>
        <v>700065</v>
      </c>
      <c r="H1264" t="str">
        <f>"אלתא מערכות בע""מ"</f>
        <v>אלתא מערכות בע"מ</v>
      </c>
      <c r="I1264" t="str">
        <f>"10"</f>
        <v>10</v>
      </c>
      <c r="J1264" t="str">
        <f>"OP-AR02041"</f>
        <v>OP-AR02041</v>
      </c>
      <c r="K1264" t="str">
        <f>"PDB1 1038C860-001"</f>
        <v>PDB1 1038C860-001</v>
      </c>
      <c r="L1264">
        <v>1</v>
      </c>
      <c r="M1264" t="str">
        <f>"יח"</f>
        <v>יח</v>
      </c>
      <c r="N1264">
        <v>1</v>
      </c>
      <c r="O1264" t="str">
        <f>"יח"</f>
        <v>יח</v>
      </c>
      <c r="P1264" s="2">
        <v>41000</v>
      </c>
      <c r="Q1264" t="str">
        <f>"$"</f>
        <v>$</v>
      </c>
      <c r="R1264" t="str">
        <f>"הזמנה"</f>
        <v>הזמנה</v>
      </c>
      <c r="S1264">
        <v>0</v>
      </c>
      <c r="T1264" s="2">
        <v>41000</v>
      </c>
      <c r="U1264">
        <v>0</v>
      </c>
      <c r="V1264" s="2">
        <v>41000</v>
      </c>
      <c r="W1264" t="str">
        <f>"$"</f>
        <v>$</v>
      </c>
      <c r="X1264">
        <v>0</v>
      </c>
      <c r="Y1264">
        <v>0</v>
      </c>
      <c r="Z1264">
        <v>0</v>
      </c>
      <c r="AA1264" t="str">
        <f>"Y"</f>
        <v>Y</v>
      </c>
      <c r="AB1264" t="str">
        <f>"SO22000016"</f>
        <v>SO22000016</v>
      </c>
      <c r="AC1264">
        <v>4</v>
      </c>
      <c r="AD1264" s="1">
        <v>44574</v>
      </c>
      <c r="AM1264" t="str">
        <f>"10"</f>
        <v>10</v>
      </c>
      <c r="AN1264" t="str">
        <f>"500000"</f>
        <v>500000</v>
      </c>
      <c r="AO1264" t="str">
        <f>"הכנסות  מלקוחות"</f>
        <v>הכנסות  מלקוחות</v>
      </c>
      <c r="AQ1264" t="str">
        <f>"007"</f>
        <v>007</v>
      </c>
      <c r="AR1264">
        <v>0</v>
      </c>
      <c r="AS1264">
        <v>0</v>
      </c>
      <c r="AT1264">
        <v>3.4350000000000001</v>
      </c>
      <c r="AX1264" t="str">
        <f>"E000355064"</f>
        <v>E000355064</v>
      </c>
      <c r="BD1264" t="str">
        <f>"רוני דידי"</f>
        <v>רוני דידי</v>
      </c>
    </row>
    <row r="1265" spans="1:56" x14ac:dyDescent="0.3">
      <c r="A1265" s="1">
        <v>44881</v>
      </c>
      <c r="B1265" t="str">
        <f>"SI226001185"</f>
        <v>SI226001185</v>
      </c>
      <c r="E1265" t="str">
        <f>"Y"</f>
        <v>Y</v>
      </c>
      <c r="F1265" t="str">
        <f>"חשבוניות מרכזות"</f>
        <v>חשבוניות מרכזות</v>
      </c>
      <c r="G1265" t="str">
        <f>"700065"</f>
        <v>700065</v>
      </c>
      <c r="H1265" t="str">
        <f>"אלתא מערכות בע""מ"</f>
        <v>אלתא מערכות בע"מ</v>
      </c>
      <c r="I1265" t="str">
        <f>"10"</f>
        <v>10</v>
      </c>
      <c r="J1265" t="str">
        <f>"OP-AR02041"</f>
        <v>OP-AR02041</v>
      </c>
      <c r="K1265" t="str">
        <f>"PDB1 1038C860-001"</f>
        <v>PDB1 1038C860-001</v>
      </c>
      <c r="L1265">
        <v>1</v>
      </c>
      <c r="M1265" t="str">
        <f>"יח"</f>
        <v>יח</v>
      </c>
      <c r="N1265">
        <v>1</v>
      </c>
      <c r="O1265" t="str">
        <f>"יח"</f>
        <v>יח</v>
      </c>
      <c r="P1265" s="2">
        <v>41000</v>
      </c>
      <c r="Q1265" t="str">
        <f>"$"</f>
        <v>$</v>
      </c>
      <c r="R1265" t="str">
        <f>"הזמנה"</f>
        <v>הזמנה</v>
      </c>
      <c r="S1265">
        <v>0</v>
      </c>
      <c r="T1265" s="2">
        <v>41000</v>
      </c>
      <c r="U1265">
        <v>0</v>
      </c>
      <c r="V1265" s="2">
        <v>41000</v>
      </c>
      <c r="W1265" t="str">
        <f>"$"</f>
        <v>$</v>
      </c>
      <c r="X1265">
        <v>0</v>
      </c>
      <c r="Y1265">
        <v>0</v>
      </c>
      <c r="Z1265">
        <v>0</v>
      </c>
      <c r="AA1265" t="str">
        <f>"Y"</f>
        <v>Y</v>
      </c>
      <c r="AC1265">
        <v>0</v>
      </c>
      <c r="AM1265" t="str">
        <f>"10"</f>
        <v>10</v>
      </c>
      <c r="AN1265" t="str">
        <f>"500000"</f>
        <v>500000</v>
      </c>
      <c r="AO1265" t="str">
        <f>"הכנסות  מלקוחות"</f>
        <v>הכנסות  מלקוחות</v>
      </c>
      <c r="AQ1265" t="str">
        <f>"007"</f>
        <v>007</v>
      </c>
      <c r="AR1265">
        <v>0</v>
      </c>
      <c r="AS1265">
        <v>0</v>
      </c>
      <c r="AT1265">
        <v>3.4350000000000001</v>
      </c>
      <c r="BB1265" t="str">
        <f>"Y"</f>
        <v>Y</v>
      </c>
      <c r="BD1265" t="str">
        <f>"רוני דידי"</f>
        <v>רוני דידי</v>
      </c>
    </row>
    <row r="1266" spans="1:56" x14ac:dyDescent="0.3">
      <c r="A1266" s="1">
        <v>44881</v>
      </c>
      <c r="B1266" t="str">
        <f>"SI226001184"</f>
        <v>SI226001184</v>
      </c>
      <c r="E1266" t="str">
        <f>"Y"</f>
        <v>Y</v>
      </c>
      <c r="F1266" t="str">
        <f>"חשבוניות מרכזות"</f>
        <v>חשבוניות מרכזות</v>
      </c>
      <c r="G1266" t="str">
        <f>"700065"</f>
        <v>700065</v>
      </c>
      <c r="H1266" t="str">
        <f>"אלתא מערכות בע""מ"</f>
        <v>אלתא מערכות בע"מ</v>
      </c>
      <c r="I1266" t="str">
        <f>"10"</f>
        <v>10</v>
      </c>
      <c r="J1266" t="str">
        <f>"OP-AR02041"</f>
        <v>OP-AR02041</v>
      </c>
      <c r="K1266" t="str">
        <f>"PDB1 1038C860-001"</f>
        <v>PDB1 1038C860-001</v>
      </c>
      <c r="L1266">
        <v>1</v>
      </c>
      <c r="M1266" t="str">
        <f>"יח"</f>
        <v>יח</v>
      </c>
      <c r="N1266">
        <v>1</v>
      </c>
      <c r="O1266" t="str">
        <f>"יח"</f>
        <v>יח</v>
      </c>
      <c r="P1266" s="2">
        <v>41000</v>
      </c>
      <c r="Q1266" t="str">
        <f>"$"</f>
        <v>$</v>
      </c>
      <c r="R1266" t="str">
        <f>"הזמנה"</f>
        <v>הזמנה</v>
      </c>
      <c r="S1266">
        <v>0</v>
      </c>
      <c r="T1266" s="2">
        <v>41000</v>
      </c>
      <c r="U1266">
        <v>0</v>
      </c>
      <c r="V1266" s="2">
        <v>41000</v>
      </c>
      <c r="W1266" t="str">
        <f>"$"</f>
        <v>$</v>
      </c>
      <c r="X1266">
        <v>0</v>
      </c>
      <c r="Y1266">
        <v>0</v>
      </c>
      <c r="Z1266">
        <v>0</v>
      </c>
      <c r="AA1266" t="str">
        <f>"Y"</f>
        <v>Y</v>
      </c>
      <c r="AB1266" t="str">
        <f>"SO22000016"</f>
        <v>SO22000016</v>
      </c>
      <c r="AC1266">
        <v>1</v>
      </c>
      <c r="AD1266" s="1">
        <v>44574</v>
      </c>
      <c r="AM1266" t="str">
        <f>"10"</f>
        <v>10</v>
      </c>
      <c r="AN1266" t="str">
        <f>"500000"</f>
        <v>500000</v>
      </c>
      <c r="AO1266" t="str">
        <f>"הכנסות  מלקוחות"</f>
        <v>הכנסות  מלקוחות</v>
      </c>
      <c r="AQ1266" t="str">
        <f>"007"</f>
        <v>007</v>
      </c>
      <c r="AR1266">
        <v>0</v>
      </c>
      <c r="AS1266">
        <v>0</v>
      </c>
      <c r="AT1266">
        <v>3.4350000000000001</v>
      </c>
      <c r="AX1266" t="str">
        <f>"E000355064"</f>
        <v>E000355064</v>
      </c>
      <c r="BD1266" t="str">
        <f>"רוני דידי"</f>
        <v>רוני דידי</v>
      </c>
    </row>
    <row r="1267" spans="1:56" x14ac:dyDescent="0.3">
      <c r="A1267" s="1">
        <v>44881</v>
      </c>
      <c r="B1267" t="str">
        <f>"SI226001183"</f>
        <v>SI226001183</v>
      </c>
      <c r="E1267" t="str">
        <f>"Y"</f>
        <v>Y</v>
      </c>
      <c r="F1267" t="str">
        <f>"חשבוניות מרכזות"</f>
        <v>חשבוניות מרכזות</v>
      </c>
      <c r="G1267" t="str">
        <f>"700065"</f>
        <v>700065</v>
      </c>
      <c r="H1267" t="str">
        <f>"אלתא מערכות בע""מ"</f>
        <v>אלתא מערכות בע"מ</v>
      </c>
      <c r="I1267" t="str">
        <f>"05"</f>
        <v>05</v>
      </c>
      <c r="J1267" t="str">
        <f>"OP-PD02880"</f>
        <v>OP-PD02880</v>
      </c>
      <c r="K1267" t="str">
        <f>"POWER DISTRIBUTION BOARD 06/07-SOCD"</f>
        <v>POWER DISTRIBUTION BOARD 06/07-SOCD</v>
      </c>
      <c r="L1267">
        <v>2</v>
      </c>
      <c r="M1267" t="str">
        <f>"יח"</f>
        <v>יח</v>
      </c>
      <c r="N1267">
        <v>2</v>
      </c>
      <c r="O1267" t="str">
        <f>"יח"</f>
        <v>יח</v>
      </c>
      <c r="P1267" s="2">
        <v>47244</v>
      </c>
      <c r="Q1267" t="str">
        <f>"$"</f>
        <v>$</v>
      </c>
      <c r="R1267" t="str">
        <f>"הזמנה"</f>
        <v>הזמנה</v>
      </c>
      <c r="S1267">
        <v>0</v>
      </c>
      <c r="T1267" s="2">
        <v>94488</v>
      </c>
      <c r="U1267">
        <v>0</v>
      </c>
      <c r="V1267" s="2">
        <v>94488</v>
      </c>
      <c r="W1267" t="str">
        <f>"$"</f>
        <v>$</v>
      </c>
      <c r="X1267">
        <v>0</v>
      </c>
      <c r="Y1267">
        <v>0</v>
      </c>
      <c r="Z1267">
        <v>0</v>
      </c>
      <c r="AA1267" t="str">
        <f>"Y"</f>
        <v>Y</v>
      </c>
      <c r="AB1267" t="str">
        <f>"SO21000184"</f>
        <v>SO21000184</v>
      </c>
      <c r="AC1267">
        <v>21</v>
      </c>
      <c r="AD1267" s="1">
        <v>44307</v>
      </c>
      <c r="AE1267" t="str">
        <f>"SH23000188"</f>
        <v>SH23000188</v>
      </c>
      <c r="AF1267" t="str">
        <f>"משלוחים ללקוח"</f>
        <v>משלוחים ללקוח</v>
      </c>
      <c r="AG1267" s="1">
        <v>44965</v>
      </c>
      <c r="AM1267" t="str">
        <f>"10"</f>
        <v>10</v>
      </c>
      <c r="AN1267" t="str">
        <f>"500000"</f>
        <v>500000</v>
      </c>
      <c r="AO1267" t="str">
        <f>"הכנסות  מלקוחות"</f>
        <v>הכנסות  מלקוחות</v>
      </c>
      <c r="AQ1267" t="str">
        <f>"034"</f>
        <v>034</v>
      </c>
      <c r="AR1267">
        <v>0</v>
      </c>
      <c r="AS1267">
        <v>0</v>
      </c>
      <c r="AT1267">
        <v>3.4350000000000001</v>
      </c>
      <c r="AX1267" t="str">
        <f>"E000336430"</f>
        <v>E000336430</v>
      </c>
      <c r="BD1267" t="str">
        <f>"ערן שלו"</f>
        <v>ערן שלו</v>
      </c>
    </row>
    <row r="1268" spans="1:56" x14ac:dyDescent="0.3">
      <c r="A1268" s="1">
        <v>44881</v>
      </c>
      <c r="B1268" t="str">
        <f>"SI226001182"</f>
        <v>SI226001182</v>
      </c>
      <c r="E1268" t="str">
        <f>"Y"</f>
        <v>Y</v>
      </c>
      <c r="F1268" t="str">
        <f>"חשבוניות מרכזות"</f>
        <v>חשבוניות מרכזות</v>
      </c>
      <c r="G1268" t="str">
        <f>"700065"</f>
        <v>700065</v>
      </c>
      <c r="H1268" t="str">
        <f>"אלתא מערכות בע""מ"</f>
        <v>אלתא מערכות בע"מ</v>
      </c>
      <c r="I1268" t="str">
        <f>"05"</f>
        <v>05</v>
      </c>
      <c r="J1268" t="str">
        <f>"OP-PD02881"</f>
        <v>OP-PD02881</v>
      </c>
      <c r="K1268" t="str">
        <f>"POWER DISTRIBUTION BOARD 09-SOCD"</f>
        <v>POWER DISTRIBUTION BOARD 09-SOCD</v>
      </c>
      <c r="L1268">
        <v>1</v>
      </c>
      <c r="M1268" t="str">
        <f>"יח"</f>
        <v>יח</v>
      </c>
      <c r="N1268">
        <v>1</v>
      </c>
      <c r="O1268" t="str">
        <f>"יח"</f>
        <v>יח</v>
      </c>
      <c r="P1268" s="2">
        <v>39999.300000000003</v>
      </c>
      <c r="Q1268" t="str">
        <f>"$"</f>
        <v>$</v>
      </c>
      <c r="R1268" t="str">
        <f>"הזמנה"</f>
        <v>הזמנה</v>
      </c>
      <c r="S1268">
        <v>0</v>
      </c>
      <c r="T1268" s="2">
        <v>39999.300000000003</v>
      </c>
      <c r="U1268">
        <v>0</v>
      </c>
      <c r="V1268" s="2">
        <v>39999.300000000003</v>
      </c>
      <c r="W1268" t="str">
        <f>"$"</f>
        <v>$</v>
      </c>
      <c r="X1268">
        <v>0</v>
      </c>
      <c r="Y1268">
        <v>0</v>
      </c>
      <c r="Z1268">
        <v>0</v>
      </c>
      <c r="AA1268" t="str">
        <f>"Y"</f>
        <v>Y</v>
      </c>
      <c r="AB1268" t="str">
        <f>"SO21000184"</f>
        <v>SO21000184</v>
      </c>
      <c r="AC1268">
        <v>13</v>
      </c>
      <c r="AD1268" s="1">
        <v>44307</v>
      </c>
      <c r="AE1268" t="str">
        <f>"SH23000187"</f>
        <v>SH23000187</v>
      </c>
      <c r="AF1268" t="str">
        <f>"משלוחים ללקוח"</f>
        <v>משלוחים ללקוח</v>
      </c>
      <c r="AG1268" s="1">
        <v>44965</v>
      </c>
      <c r="AM1268" t="str">
        <f>"10"</f>
        <v>10</v>
      </c>
      <c r="AN1268" t="str">
        <f>"500000"</f>
        <v>500000</v>
      </c>
      <c r="AO1268" t="str">
        <f>"הכנסות  מלקוחות"</f>
        <v>הכנסות  מלקוחות</v>
      </c>
      <c r="AQ1268" t="str">
        <f>"034"</f>
        <v>034</v>
      </c>
      <c r="AR1268">
        <v>0</v>
      </c>
      <c r="AS1268">
        <v>0</v>
      </c>
      <c r="AT1268">
        <v>3.4350000000000001</v>
      </c>
      <c r="AX1268" t="str">
        <f>"E000336430"</f>
        <v>E000336430</v>
      </c>
      <c r="BD1268" t="str">
        <f>"ערן שלו"</f>
        <v>ערן שלו</v>
      </c>
    </row>
    <row r="1269" spans="1:56" x14ac:dyDescent="0.3">
      <c r="A1269" s="1">
        <v>44881</v>
      </c>
      <c r="B1269" t="str">
        <f>"SI226001181"</f>
        <v>SI226001181</v>
      </c>
      <c r="E1269" t="str">
        <f>"Y"</f>
        <v>Y</v>
      </c>
      <c r="F1269" t="str">
        <f>"חשבוניות מרכזות"</f>
        <v>חשבוניות מרכזות</v>
      </c>
      <c r="G1269" t="str">
        <f>"700065"</f>
        <v>700065</v>
      </c>
      <c r="H1269" t="str">
        <f>"אלתא מערכות בע""מ"</f>
        <v>אלתא מערכות בע"מ</v>
      </c>
      <c r="I1269" t="str">
        <f>"10"</f>
        <v>10</v>
      </c>
      <c r="J1269" t="str">
        <f>"999"</f>
        <v>999</v>
      </c>
      <c r="K1269" t="str">
        <f>"תשלום עבור הגדלת תכולה MDN-2"</f>
        <v>תשלום עבור הגדלת תכולה MDN-2</v>
      </c>
      <c r="L1269">
        <v>0.5</v>
      </c>
      <c r="M1269" t="str">
        <f>"חל"</f>
        <v>חל</v>
      </c>
      <c r="N1269">
        <v>0.5</v>
      </c>
      <c r="O1269" t="str">
        <f>"חל"</f>
        <v>חל</v>
      </c>
      <c r="P1269" s="2">
        <v>66816.399999999994</v>
      </c>
      <c r="Q1269" t="str">
        <f>"$"</f>
        <v>$</v>
      </c>
      <c r="R1269" t="str">
        <f>"הזמנה"</f>
        <v>הזמנה</v>
      </c>
      <c r="S1269">
        <v>0</v>
      </c>
      <c r="T1269" s="2">
        <v>33408.199999999997</v>
      </c>
      <c r="U1269">
        <v>0</v>
      </c>
      <c r="V1269" s="2">
        <v>33408.199999999997</v>
      </c>
      <c r="W1269" t="str">
        <f>"$"</f>
        <v>$</v>
      </c>
      <c r="X1269">
        <v>0</v>
      </c>
      <c r="Y1269">
        <v>0</v>
      </c>
      <c r="Z1269">
        <v>0</v>
      </c>
      <c r="AA1269" t="str">
        <f>"Y"</f>
        <v>Y</v>
      </c>
      <c r="AB1269" t="str">
        <f>"SO21000528"</f>
        <v>SO21000528</v>
      </c>
      <c r="AC1269">
        <v>2</v>
      </c>
      <c r="AD1269" s="1">
        <v>44553</v>
      </c>
      <c r="AM1269" t="str">
        <f>"10"</f>
        <v>10</v>
      </c>
      <c r="AN1269" t="str">
        <f>"500000"</f>
        <v>500000</v>
      </c>
      <c r="AO1269" t="str">
        <f>"הכנסות  מלקוחות"</f>
        <v>הכנסות  מלקוחות</v>
      </c>
      <c r="AQ1269" t="str">
        <f>"007"</f>
        <v>007</v>
      </c>
      <c r="AR1269">
        <v>0</v>
      </c>
      <c r="AS1269">
        <v>0</v>
      </c>
      <c r="AT1269">
        <v>3.4350000000000001</v>
      </c>
      <c r="AX1269" t="str">
        <f>"E000351119"</f>
        <v>E000351119</v>
      </c>
      <c r="BD1269" t="str">
        <f>"רוני דידי"</f>
        <v>רוני דידי</v>
      </c>
    </row>
    <row r="1270" spans="1:56" x14ac:dyDescent="0.3">
      <c r="A1270" s="1">
        <v>44881</v>
      </c>
      <c r="B1270" t="str">
        <f>"SI226001180"</f>
        <v>SI226001180</v>
      </c>
      <c r="E1270" t="str">
        <f>"Y"</f>
        <v>Y</v>
      </c>
      <c r="F1270" t="str">
        <f>"חשבוניות מרכזות"</f>
        <v>חשבוניות מרכזות</v>
      </c>
      <c r="G1270" t="str">
        <f>"700065"</f>
        <v>700065</v>
      </c>
      <c r="H1270" t="str">
        <f>"אלתא מערכות בע""מ"</f>
        <v>אלתא מערכות בע"מ</v>
      </c>
      <c r="I1270" t="str">
        <f>"10"</f>
        <v>10</v>
      </c>
      <c r="J1270" t="str">
        <f>"OP-ML00215"</f>
        <v>OP-ML00215</v>
      </c>
      <c r="K1270" t="str">
        <f>"M - PDU מק""ט 6930H850-001"</f>
        <v>M - PDU מק"ט 6930H850-001</v>
      </c>
      <c r="L1270">
        <v>-1</v>
      </c>
      <c r="M1270" t="str">
        <f>"יח"</f>
        <v>יח</v>
      </c>
      <c r="N1270">
        <v>-1</v>
      </c>
      <c r="O1270" t="str">
        <f>"יח"</f>
        <v>יח</v>
      </c>
      <c r="P1270" s="2">
        <v>14757</v>
      </c>
      <c r="Q1270" t="str">
        <f>"$"</f>
        <v>$</v>
      </c>
      <c r="R1270" t="str">
        <f>"הזמנה"</f>
        <v>הזמנה</v>
      </c>
      <c r="S1270">
        <v>0</v>
      </c>
      <c r="T1270" s="2">
        <v>-14757</v>
      </c>
      <c r="U1270">
        <v>0</v>
      </c>
      <c r="V1270" s="2">
        <v>-14757</v>
      </c>
      <c r="W1270" t="str">
        <f>"$"</f>
        <v>$</v>
      </c>
      <c r="X1270">
        <v>0</v>
      </c>
      <c r="Y1270">
        <v>0</v>
      </c>
      <c r="Z1270">
        <v>0</v>
      </c>
      <c r="AA1270" t="str">
        <f>"Y"</f>
        <v>Y</v>
      </c>
      <c r="AC1270">
        <v>0</v>
      </c>
      <c r="AM1270" t="str">
        <f>"10"</f>
        <v>10</v>
      </c>
      <c r="AN1270" t="str">
        <f>"500000"</f>
        <v>500000</v>
      </c>
      <c r="AO1270" t="str">
        <f>"הכנסות  מלקוחות"</f>
        <v>הכנסות  מלקוחות</v>
      </c>
      <c r="AQ1270" t="str">
        <f>"034"</f>
        <v>034</v>
      </c>
      <c r="AR1270">
        <v>0</v>
      </c>
      <c r="AS1270">
        <v>0</v>
      </c>
      <c r="AT1270">
        <v>3.4350000000000001</v>
      </c>
      <c r="BB1270" t="str">
        <f>"Y"</f>
        <v>Y</v>
      </c>
      <c r="BD1270" t="str">
        <f>"ערן שלו"</f>
        <v>ערן שלו</v>
      </c>
    </row>
    <row r="1271" spans="1:56" x14ac:dyDescent="0.3">
      <c r="A1271" s="1">
        <v>44881</v>
      </c>
      <c r="B1271" t="str">
        <f>"SI226001179"</f>
        <v>SI226001179</v>
      </c>
      <c r="E1271" t="str">
        <f>"Y"</f>
        <v>Y</v>
      </c>
      <c r="F1271" t="str">
        <f>"חשבוניות מרכזות"</f>
        <v>חשבוניות מרכזות</v>
      </c>
      <c r="G1271" t="str">
        <f>"700065"</f>
        <v>700065</v>
      </c>
      <c r="H1271" t="str">
        <f>"אלתא מערכות בע""מ"</f>
        <v>אלתא מערכות בע"מ</v>
      </c>
      <c r="I1271" t="str">
        <f>"10"</f>
        <v>10</v>
      </c>
      <c r="J1271" t="str">
        <f>"OP-ML00215"</f>
        <v>OP-ML00215</v>
      </c>
      <c r="K1271" t="str">
        <f>"M - PDU מק""ט 6930H850-001"</f>
        <v>M - PDU מק"ט 6930H850-001</v>
      </c>
      <c r="L1271">
        <v>1</v>
      </c>
      <c r="M1271" t="str">
        <f>"יח"</f>
        <v>יח</v>
      </c>
      <c r="N1271">
        <v>1</v>
      </c>
      <c r="O1271" t="str">
        <f>"יח"</f>
        <v>יח</v>
      </c>
      <c r="P1271" s="2">
        <v>14757</v>
      </c>
      <c r="Q1271" t="str">
        <f>"$"</f>
        <v>$</v>
      </c>
      <c r="R1271" t="str">
        <f>"הזמנה"</f>
        <v>הזמנה</v>
      </c>
      <c r="S1271">
        <v>0</v>
      </c>
      <c r="T1271" s="2">
        <v>14757</v>
      </c>
      <c r="U1271">
        <v>0</v>
      </c>
      <c r="V1271" s="2">
        <v>14757</v>
      </c>
      <c r="W1271" t="str">
        <f>"$"</f>
        <v>$</v>
      </c>
      <c r="X1271">
        <v>0</v>
      </c>
      <c r="Y1271">
        <v>0</v>
      </c>
      <c r="Z1271">
        <v>0</v>
      </c>
      <c r="AA1271" t="str">
        <f>"Y"</f>
        <v>Y</v>
      </c>
      <c r="AC1271">
        <v>0</v>
      </c>
      <c r="AM1271" t="str">
        <f>"10"</f>
        <v>10</v>
      </c>
      <c r="AN1271" t="str">
        <f>"500000"</f>
        <v>500000</v>
      </c>
      <c r="AO1271" t="str">
        <f>"הכנסות  מלקוחות"</f>
        <v>הכנסות  מלקוחות</v>
      </c>
      <c r="AQ1271" t="str">
        <f>"034"</f>
        <v>034</v>
      </c>
      <c r="AR1271">
        <v>0</v>
      </c>
      <c r="AS1271">
        <v>0</v>
      </c>
      <c r="AT1271">
        <v>3.4350000000000001</v>
      </c>
      <c r="BB1271" t="str">
        <f>"Y"</f>
        <v>Y</v>
      </c>
      <c r="BD1271" t="str">
        <f>"ערן שלו"</f>
        <v>ערן שלו</v>
      </c>
    </row>
    <row r="1272" spans="1:56" x14ac:dyDescent="0.3">
      <c r="A1272" s="1">
        <v>44880</v>
      </c>
      <c r="B1272" t="str">
        <f>"SI226001381"</f>
        <v>SI226001381</v>
      </c>
      <c r="E1272" t="str">
        <f>"Y"</f>
        <v>Y</v>
      </c>
      <c r="F1272" t="str">
        <f>"חשבוניות מרכזות"</f>
        <v>חשבוניות מרכזות</v>
      </c>
      <c r="G1272" t="str">
        <f>"700065"</f>
        <v>700065</v>
      </c>
      <c r="H1272" t="str">
        <f>"אלתא מערכות בע""מ"</f>
        <v>אלתא מערכות בע"מ</v>
      </c>
      <c r="I1272" t="str">
        <f>"10"</f>
        <v>10</v>
      </c>
      <c r="J1272" t="str">
        <f>"000"</f>
        <v>000</v>
      </c>
      <c r="K1272" t="str">
        <f>"צוות טכנאים בצכיה - 8-11/11/22"</f>
        <v>צוות טכנאים בצכיה - 8-11/11/22</v>
      </c>
      <c r="L1272">
        <v>1</v>
      </c>
      <c r="M1272" t="str">
        <f>"יח"</f>
        <v>יח</v>
      </c>
      <c r="N1272">
        <v>1</v>
      </c>
      <c r="O1272" t="str">
        <f>"יח"</f>
        <v>יח</v>
      </c>
      <c r="P1272" s="2">
        <v>9600</v>
      </c>
      <c r="Q1272" t="str">
        <f>"$"</f>
        <v>$</v>
      </c>
      <c r="R1272" t="str">
        <f>"ידני"</f>
        <v>ידני</v>
      </c>
      <c r="S1272">
        <v>0</v>
      </c>
      <c r="T1272" s="2">
        <v>9600</v>
      </c>
      <c r="U1272">
        <v>0</v>
      </c>
      <c r="V1272" s="2">
        <v>9600</v>
      </c>
      <c r="W1272" t="str">
        <f>"$"</f>
        <v>$</v>
      </c>
      <c r="X1272">
        <v>0</v>
      </c>
      <c r="Y1272">
        <v>0</v>
      </c>
      <c r="Z1272">
        <v>0</v>
      </c>
      <c r="AA1272" t="str">
        <f>"Y"</f>
        <v>Y</v>
      </c>
      <c r="AB1272" t="str">
        <f>"SO22000445"</f>
        <v>SO22000445</v>
      </c>
      <c r="AC1272">
        <v>1</v>
      </c>
      <c r="AD1272" s="1">
        <v>44901</v>
      </c>
      <c r="AM1272" t="str">
        <f>"10"</f>
        <v>10</v>
      </c>
      <c r="AN1272" t="str">
        <f>"500000"</f>
        <v>500000</v>
      </c>
      <c r="AO1272" t="str">
        <f>"הכנסות  מלקוחות"</f>
        <v>הכנסות  מלקוחות</v>
      </c>
      <c r="AQ1272" t="str">
        <f>"007"</f>
        <v>007</v>
      </c>
      <c r="AR1272">
        <v>0</v>
      </c>
      <c r="AS1272">
        <v>0</v>
      </c>
      <c r="AT1272">
        <v>3.4350000000000001</v>
      </c>
      <c r="AX1272" t="str">
        <f>"E000379736"</f>
        <v>E000379736</v>
      </c>
      <c r="BD1272" t="str">
        <f>"רוני דידי"</f>
        <v>רוני דידי</v>
      </c>
    </row>
    <row r="1273" spans="1:56" x14ac:dyDescent="0.3">
      <c r="A1273" s="1">
        <v>44874</v>
      </c>
      <c r="B1273" t="str">
        <f>"SI226001328"</f>
        <v>SI226001328</v>
      </c>
      <c r="C1273" t="str">
        <f>"PR19000400"</f>
        <v>PR19000400</v>
      </c>
      <c r="D1273" t="str">
        <f>"PR19000400"</f>
        <v>PR19000400</v>
      </c>
      <c r="E1273" t="str">
        <f>"Y"</f>
        <v>Y</v>
      </c>
      <c r="F1273" t="str">
        <f>"חשבוניות מרכזות"</f>
        <v>חשבוניות מרכזות</v>
      </c>
      <c r="G1273" t="str">
        <f>"700065"</f>
        <v>700065</v>
      </c>
      <c r="H1273" t="str">
        <f>"אלתא מערכות בע""מ"</f>
        <v>אלתא מערכות בע"מ</v>
      </c>
      <c r="I1273" t="str">
        <f>"10"</f>
        <v>10</v>
      </c>
      <c r="J1273" t="str">
        <f>"CB1500001"</f>
        <v>CB1500001</v>
      </c>
      <c r="K1273" t="str">
        <f>"כבל תקן ימי XTCuZ1-K (AS) 0,6/1 kV 3X95 2003095"</f>
        <v>כבל תקן ימי XTCuZ1-K (AS) 0,6/1 kV 3X95 2003095</v>
      </c>
      <c r="L1273">
        <v>50</v>
      </c>
      <c r="M1273" t="str">
        <f>"מטר"</f>
        <v>מטר</v>
      </c>
      <c r="N1273">
        <v>50</v>
      </c>
      <c r="O1273" t="str">
        <f>"מטר"</f>
        <v>מטר</v>
      </c>
      <c r="P1273">
        <v>66</v>
      </c>
      <c r="Q1273" t="str">
        <f>"$"</f>
        <v>$</v>
      </c>
      <c r="R1273" t="str">
        <f>"הזמנה"</f>
        <v>הזמנה</v>
      </c>
      <c r="S1273">
        <v>0</v>
      </c>
      <c r="T1273" s="2">
        <v>3300</v>
      </c>
      <c r="U1273">
        <v>0</v>
      </c>
      <c r="V1273" s="2">
        <v>3300</v>
      </c>
      <c r="W1273" t="str">
        <f>"$"</f>
        <v>$</v>
      </c>
      <c r="X1273">
        <v>0</v>
      </c>
      <c r="Y1273">
        <v>0</v>
      </c>
      <c r="Z1273">
        <v>0</v>
      </c>
      <c r="AA1273" t="str">
        <f>"Y"</f>
        <v>Y</v>
      </c>
      <c r="AB1273" t="str">
        <f>"SO22000328"</f>
        <v>SO22000328</v>
      </c>
      <c r="AC1273">
        <v>1</v>
      </c>
      <c r="AD1273" s="1">
        <v>44788</v>
      </c>
      <c r="AE1273" t="str">
        <f>"SH22001243"</f>
        <v>SH22001243</v>
      </c>
      <c r="AF1273" t="str">
        <f>"משלוחים ללקוח"</f>
        <v>משלוחים ללקוח</v>
      </c>
      <c r="AG1273" s="1">
        <v>44867</v>
      </c>
      <c r="AM1273" t="str">
        <f>"10"</f>
        <v>10</v>
      </c>
      <c r="AN1273" t="str">
        <f>"500000"</f>
        <v>500000</v>
      </c>
      <c r="AO1273" t="str">
        <f>"הכנסות  מלקוחות"</f>
        <v>הכנסות  מלקוחות</v>
      </c>
      <c r="AQ1273" t="str">
        <f>"034"</f>
        <v>034</v>
      </c>
      <c r="AR1273">
        <v>0</v>
      </c>
      <c r="AS1273">
        <v>0</v>
      </c>
      <c r="AT1273">
        <v>3.5430000000000001</v>
      </c>
      <c r="AX1273" t="str">
        <f>"E000371756"</f>
        <v>E000371756</v>
      </c>
      <c r="BD1273" t="str">
        <f>"ערן שלו"</f>
        <v>ערן שלו</v>
      </c>
    </row>
    <row r="1274" spans="1:56" x14ac:dyDescent="0.3">
      <c r="A1274" s="1">
        <v>44874</v>
      </c>
      <c r="B1274" t="str">
        <f>"SI226001327"</f>
        <v>SI226001327</v>
      </c>
      <c r="C1274" t="str">
        <f>"PR19000400"</f>
        <v>PR19000400</v>
      </c>
      <c r="E1274" t="str">
        <f>"Y"</f>
        <v>Y</v>
      </c>
      <c r="F1274" t="str">
        <f>"חשבוניות מרכזות"</f>
        <v>חשבוניות מרכזות</v>
      </c>
      <c r="G1274" t="str">
        <f>"700065"</f>
        <v>700065</v>
      </c>
      <c r="H1274" t="str">
        <f>"אלתא מערכות בע""מ"</f>
        <v>אלתא מערכות בע"מ</v>
      </c>
      <c r="I1274" t="str">
        <f>"10"</f>
        <v>10</v>
      </c>
      <c r="J1274" t="str">
        <f>"CB1500001"</f>
        <v>CB1500001</v>
      </c>
      <c r="K1274" t="str">
        <f>"כבל תקן ימי XTCuZ1-K (AS) 0,6/1 kV 3X95 2003095"</f>
        <v>כבל תקן ימי XTCuZ1-K (AS) 0,6/1 kV 3X95 2003095</v>
      </c>
      <c r="L1274">
        <v>-50</v>
      </c>
      <c r="M1274" t="str">
        <f>"מטר"</f>
        <v>מטר</v>
      </c>
      <c r="N1274">
        <v>-50</v>
      </c>
      <c r="O1274" t="str">
        <f>"מטר"</f>
        <v>מטר</v>
      </c>
      <c r="P1274">
        <v>66</v>
      </c>
      <c r="Q1274" t="str">
        <f>"$"</f>
        <v>$</v>
      </c>
      <c r="R1274" t="str">
        <f>"הזמנה"</f>
        <v>הזמנה</v>
      </c>
      <c r="S1274">
        <v>0</v>
      </c>
      <c r="T1274" s="2">
        <v>-3300</v>
      </c>
      <c r="U1274">
        <v>0</v>
      </c>
      <c r="V1274" s="2">
        <v>-3300</v>
      </c>
      <c r="W1274" t="str">
        <f>"$"</f>
        <v>$</v>
      </c>
      <c r="X1274">
        <v>0</v>
      </c>
      <c r="Y1274">
        <v>0</v>
      </c>
      <c r="Z1274">
        <v>0</v>
      </c>
      <c r="AA1274" t="str">
        <f>"Y"</f>
        <v>Y</v>
      </c>
      <c r="AC1274">
        <v>0</v>
      </c>
      <c r="AM1274" t="str">
        <f>"10"</f>
        <v>10</v>
      </c>
      <c r="AN1274" t="str">
        <f>"500000"</f>
        <v>500000</v>
      </c>
      <c r="AO1274" t="str">
        <f>"הכנסות  מלקוחות"</f>
        <v>הכנסות  מלקוחות</v>
      </c>
      <c r="AQ1274" t="str">
        <f>"034"</f>
        <v>034</v>
      </c>
      <c r="AR1274">
        <v>0</v>
      </c>
      <c r="AS1274">
        <v>0</v>
      </c>
      <c r="AT1274">
        <v>3.5640000000000001</v>
      </c>
      <c r="BB1274" t="str">
        <f>"Y"</f>
        <v>Y</v>
      </c>
      <c r="BD1274" t="str">
        <f>"ערן שלו"</f>
        <v>ערן שלו</v>
      </c>
    </row>
    <row r="1275" spans="1:56" x14ac:dyDescent="0.3">
      <c r="A1275" s="1">
        <v>44874</v>
      </c>
      <c r="B1275" t="str">
        <f>"SI226001291"</f>
        <v>SI226001291</v>
      </c>
      <c r="C1275" t="str">
        <f>"PR19000400"</f>
        <v>PR19000400</v>
      </c>
      <c r="E1275" t="str">
        <f>"Y"</f>
        <v>Y</v>
      </c>
      <c r="F1275" t="str">
        <f>"חשבוניות מרכזות"</f>
        <v>חשבוניות מרכזות</v>
      </c>
      <c r="G1275" t="str">
        <f>"700065"</f>
        <v>700065</v>
      </c>
      <c r="H1275" t="str">
        <f>"אלתא מערכות בע""מ"</f>
        <v>אלתא מערכות בע"מ</v>
      </c>
      <c r="I1275" t="str">
        <f>"10"</f>
        <v>10</v>
      </c>
      <c r="J1275" t="str">
        <f>"CB1500001"</f>
        <v>CB1500001</v>
      </c>
      <c r="K1275" t="str">
        <f>"כבל תקן ימי XTCuZ1-K (AS) 0,6/1 kV 3X95 2003095"</f>
        <v>כבל תקן ימי XTCuZ1-K (AS) 0,6/1 kV 3X95 2003095</v>
      </c>
      <c r="L1275">
        <v>50</v>
      </c>
      <c r="M1275" t="str">
        <f>"מטר"</f>
        <v>מטר</v>
      </c>
      <c r="N1275">
        <v>50</v>
      </c>
      <c r="O1275" t="str">
        <f>"מטר"</f>
        <v>מטר</v>
      </c>
      <c r="P1275">
        <v>66</v>
      </c>
      <c r="Q1275" t="str">
        <f>"$"</f>
        <v>$</v>
      </c>
      <c r="R1275" t="str">
        <f>"הזמנה"</f>
        <v>הזמנה</v>
      </c>
      <c r="S1275">
        <v>0</v>
      </c>
      <c r="T1275" s="2">
        <v>3300</v>
      </c>
      <c r="U1275">
        <v>0</v>
      </c>
      <c r="V1275" s="2">
        <v>3300</v>
      </c>
      <c r="W1275" t="str">
        <f>"$"</f>
        <v>$</v>
      </c>
      <c r="X1275">
        <v>0</v>
      </c>
      <c r="Y1275">
        <v>0</v>
      </c>
      <c r="Z1275">
        <v>0</v>
      </c>
      <c r="AA1275" t="str">
        <f>"Y"</f>
        <v>Y</v>
      </c>
      <c r="AC1275">
        <v>0</v>
      </c>
      <c r="AM1275" t="str">
        <f>"10"</f>
        <v>10</v>
      </c>
      <c r="AN1275" t="str">
        <f>"500000"</f>
        <v>500000</v>
      </c>
      <c r="AO1275" t="str">
        <f>"הכנסות  מלקוחות"</f>
        <v>הכנסות  מלקוחות</v>
      </c>
      <c r="AQ1275" t="str">
        <f>"034"</f>
        <v>034</v>
      </c>
      <c r="AR1275">
        <v>0</v>
      </c>
      <c r="AS1275">
        <v>0</v>
      </c>
      <c r="AT1275">
        <v>3.5640000000000001</v>
      </c>
      <c r="BB1275" t="str">
        <f>"Y"</f>
        <v>Y</v>
      </c>
      <c r="BD1275" t="str">
        <f>"ערן שלו"</f>
        <v>ערן שלו</v>
      </c>
    </row>
    <row r="1276" spans="1:56" x14ac:dyDescent="0.3">
      <c r="A1276" s="1">
        <v>44868</v>
      </c>
      <c r="B1276" t="str">
        <f>"SI226001159"</f>
        <v>SI226001159</v>
      </c>
      <c r="E1276" t="str">
        <f>"Y"</f>
        <v>Y</v>
      </c>
      <c r="F1276" t="str">
        <f>"חשבוניות מרכזות"</f>
        <v>חשבוניות מרכזות</v>
      </c>
      <c r="G1276" t="str">
        <f>"700065"</f>
        <v>700065</v>
      </c>
      <c r="H1276" t="str">
        <f>"אלתא מערכות בע""מ"</f>
        <v>אלתא מערכות בע"מ</v>
      </c>
      <c r="I1276" t="str">
        <f>"10"</f>
        <v>10</v>
      </c>
      <c r="J1276" t="str">
        <f>"OP-ML00179"</f>
        <v>OP-ML00179</v>
      </c>
      <c r="K1276" t="str">
        <f>"1038C906-001 Radar Power Unit (RPU) Platform"</f>
        <v>1038C906-001 Radar Power Unit (RPU) Platform</v>
      </c>
      <c r="L1276">
        <v>1</v>
      </c>
      <c r="M1276" t="str">
        <f>"יח"</f>
        <v>יח</v>
      </c>
      <c r="N1276">
        <v>1</v>
      </c>
      <c r="O1276" t="str">
        <f>"יח"</f>
        <v>יח</v>
      </c>
      <c r="P1276" s="2">
        <v>284970</v>
      </c>
      <c r="Q1276" t="str">
        <f>"$"</f>
        <v>$</v>
      </c>
      <c r="R1276" t="str">
        <f>"הזמנה"</f>
        <v>הזמנה</v>
      </c>
      <c r="S1276">
        <v>0</v>
      </c>
      <c r="T1276" s="2">
        <v>284970</v>
      </c>
      <c r="U1276">
        <v>0</v>
      </c>
      <c r="V1276" s="2">
        <v>284970</v>
      </c>
      <c r="W1276" t="str">
        <f>"$"</f>
        <v>$</v>
      </c>
      <c r="X1276">
        <v>0</v>
      </c>
      <c r="Y1276">
        <v>0</v>
      </c>
      <c r="Z1276">
        <v>0</v>
      </c>
      <c r="AA1276" t="str">
        <f>"Y"</f>
        <v>Y</v>
      </c>
      <c r="AB1276" t="str">
        <f>"SO20000218"</f>
        <v>SO20000218</v>
      </c>
      <c r="AC1276">
        <v>6</v>
      </c>
      <c r="AD1276" s="1">
        <v>43982</v>
      </c>
      <c r="AM1276" t="str">
        <f>"10"</f>
        <v>10</v>
      </c>
      <c r="AN1276" t="str">
        <f>"500000"</f>
        <v>500000</v>
      </c>
      <c r="AO1276" t="str">
        <f>"הכנסות  מלקוחות"</f>
        <v>הכנסות  מלקוחות</v>
      </c>
      <c r="AQ1276" t="str">
        <f>"034"</f>
        <v>034</v>
      </c>
      <c r="AR1276">
        <v>0</v>
      </c>
      <c r="AS1276">
        <v>0</v>
      </c>
      <c r="AT1276">
        <v>3.54</v>
      </c>
      <c r="AX1276" t="str">
        <f>"E000312785"</f>
        <v>E000312785</v>
      </c>
      <c r="BD1276" t="str">
        <f>"ערן שלו"</f>
        <v>ערן שלו</v>
      </c>
    </row>
    <row r="1277" spans="1:56" x14ac:dyDescent="0.3">
      <c r="A1277" s="1">
        <v>44868</v>
      </c>
      <c r="B1277" t="str">
        <f>"SI226001157"</f>
        <v>SI226001157</v>
      </c>
      <c r="E1277" t="str">
        <f>"Y"</f>
        <v>Y</v>
      </c>
      <c r="F1277" t="str">
        <f>"חשבוניות מרכזות"</f>
        <v>חשבוניות מרכזות</v>
      </c>
      <c r="G1277" t="str">
        <f>"700065"</f>
        <v>700065</v>
      </c>
      <c r="H1277" t="str">
        <f>"אלתא מערכות בע""מ"</f>
        <v>אלתא מערכות בע"מ</v>
      </c>
      <c r="I1277" t="str">
        <f>"10"</f>
        <v>10</v>
      </c>
      <c r="J1277" t="str">
        <f>"OP-ML00197"</f>
        <v>OP-ML00197</v>
      </c>
      <c r="K1277" t="str">
        <f>"1038C816-001 COMPUTER RACK"</f>
        <v>1038C816-001 COMPUTER RACK</v>
      </c>
      <c r="L1277">
        <v>1</v>
      </c>
      <c r="M1277" t="str">
        <f>"יח"</f>
        <v>יח</v>
      </c>
      <c r="N1277">
        <v>1</v>
      </c>
      <c r="O1277" t="str">
        <f>"יח"</f>
        <v>יח</v>
      </c>
      <c r="P1277" s="2">
        <v>47500</v>
      </c>
      <c r="Q1277" t="str">
        <f>"$"</f>
        <v>$</v>
      </c>
      <c r="R1277" t="str">
        <f>"הזמנה"</f>
        <v>הזמנה</v>
      </c>
      <c r="S1277">
        <v>0</v>
      </c>
      <c r="T1277" s="2">
        <v>47500</v>
      </c>
      <c r="U1277">
        <v>0</v>
      </c>
      <c r="V1277" s="2">
        <v>47500</v>
      </c>
      <c r="W1277" t="str">
        <f>"$"</f>
        <v>$</v>
      </c>
      <c r="X1277">
        <v>0</v>
      </c>
      <c r="Y1277">
        <v>0</v>
      </c>
      <c r="Z1277">
        <v>0</v>
      </c>
      <c r="AA1277" t="str">
        <f>"Y"</f>
        <v>Y</v>
      </c>
      <c r="AB1277" t="str">
        <f>"SO21000090"</f>
        <v>SO21000090</v>
      </c>
      <c r="AC1277">
        <v>15</v>
      </c>
      <c r="AD1277" s="1">
        <v>44251</v>
      </c>
      <c r="AE1277" t="str">
        <f>"SH22001285"</f>
        <v>SH22001285</v>
      </c>
      <c r="AF1277" t="str">
        <f>"משלוחים ללקוח"</f>
        <v>משלוחים ללקוח</v>
      </c>
      <c r="AG1277" s="1">
        <v>44880</v>
      </c>
      <c r="AM1277" t="str">
        <f>"10"</f>
        <v>10</v>
      </c>
      <c r="AN1277" t="str">
        <f>"500000"</f>
        <v>500000</v>
      </c>
      <c r="AO1277" t="str">
        <f>"הכנסות  מלקוחות"</f>
        <v>הכנסות  מלקוחות</v>
      </c>
      <c r="AQ1277" t="str">
        <f>"034"</f>
        <v>034</v>
      </c>
      <c r="AR1277">
        <v>0</v>
      </c>
      <c r="AS1277">
        <v>0</v>
      </c>
      <c r="AT1277">
        <v>3.54</v>
      </c>
      <c r="AX1277" t="str">
        <f>"E000332763"</f>
        <v>E000332763</v>
      </c>
      <c r="BD1277" t="str">
        <f>"ערן שלו"</f>
        <v>ערן שלו</v>
      </c>
    </row>
    <row r="1278" spans="1:56" x14ac:dyDescent="0.3">
      <c r="A1278" s="1">
        <v>44868</v>
      </c>
      <c r="B1278" t="str">
        <f>"SI226001156"</f>
        <v>SI226001156</v>
      </c>
      <c r="E1278" t="str">
        <f>"Y"</f>
        <v>Y</v>
      </c>
      <c r="F1278" t="str">
        <f>"חשבוניות מרכזות"</f>
        <v>חשבוניות מרכזות</v>
      </c>
      <c r="G1278" t="str">
        <f>"700065"</f>
        <v>700065</v>
      </c>
      <c r="H1278" t="str">
        <f>"אלתא מערכות בע""מ"</f>
        <v>אלתא מערכות בע"מ</v>
      </c>
      <c r="I1278" t="str">
        <f>"10"</f>
        <v>10</v>
      </c>
      <c r="J1278" t="str">
        <f>"000"</f>
        <v>000</v>
      </c>
      <c r="K1278" t="str">
        <f>"תוספת עלות לייצור לאחר שינויים ב-RPS5"</f>
        <v>תוספת עלות לייצור לאחר שינויים ב-RPS5</v>
      </c>
      <c r="L1278">
        <v>1</v>
      </c>
      <c r="M1278" t="str">
        <f>"יח"</f>
        <v>יח</v>
      </c>
      <c r="N1278">
        <v>1</v>
      </c>
      <c r="O1278" t="str">
        <f>"יח"</f>
        <v>יח</v>
      </c>
      <c r="P1278" s="2">
        <v>25000</v>
      </c>
      <c r="Q1278" t="str">
        <f>"$"</f>
        <v>$</v>
      </c>
      <c r="R1278" t="str">
        <f>"הזמנה"</f>
        <v>הזמנה</v>
      </c>
      <c r="S1278">
        <v>0</v>
      </c>
      <c r="T1278" s="2">
        <v>25000</v>
      </c>
      <c r="U1278">
        <v>0</v>
      </c>
      <c r="V1278" s="2">
        <v>25000</v>
      </c>
      <c r="W1278" t="str">
        <f>"$"</f>
        <v>$</v>
      </c>
      <c r="X1278">
        <v>0</v>
      </c>
      <c r="Y1278">
        <v>0</v>
      </c>
      <c r="Z1278">
        <v>0</v>
      </c>
      <c r="AA1278" t="str">
        <f>"Y"</f>
        <v>Y</v>
      </c>
      <c r="AB1278" t="str">
        <f>"SO22000061"</f>
        <v>SO22000061</v>
      </c>
      <c r="AC1278">
        <v>6</v>
      </c>
      <c r="AD1278" s="1">
        <v>44612</v>
      </c>
      <c r="AM1278" t="str">
        <f>"10"</f>
        <v>10</v>
      </c>
      <c r="AN1278" t="str">
        <f>"500000"</f>
        <v>500000</v>
      </c>
      <c r="AO1278" t="str">
        <f>"הכנסות  מלקוחות"</f>
        <v>הכנסות  מלקוחות</v>
      </c>
      <c r="AQ1278" t="str">
        <f>"034"</f>
        <v>034</v>
      </c>
      <c r="AR1278">
        <v>0</v>
      </c>
      <c r="AS1278">
        <v>0</v>
      </c>
      <c r="AT1278">
        <v>3.54</v>
      </c>
      <c r="AX1278" t="str">
        <f>"E000356936"</f>
        <v>E000356936</v>
      </c>
      <c r="BD1278" t="str">
        <f>"ערן שלו"</f>
        <v>ערן שלו</v>
      </c>
    </row>
    <row r="1279" spans="1:56" x14ac:dyDescent="0.3">
      <c r="A1279" s="1">
        <v>44868</v>
      </c>
      <c r="B1279" t="str">
        <f>"SI226001155"</f>
        <v>SI226001155</v>
      </c>
      <c r="E1279" t="str">
        <f>"Y"</f>
        <v>Y</v>
      </c>
      <c r="F1279" t="str">
        <f>"חשבוניות מרכזות"</f>
        <v>חשבוניות מרכזות</v>
      </c>
      <c r="G1279" t="str">
        <f>"700065"</f>
        <v>700065</v>
      </c>
      <c r="H1279" t="str">
        <f>"אלתא מערכות בע""מ"</f>
        <v>אלתא מערכות בע"מ</v>
      </c>
      <c r="I1279" t="str">
        <f>"10"</f>
        <v>10</v>
      </c>
      <c r="J1279" t="str">
        <f>"OP-ML00215"</f>
        <v>OP-ML00215</v>
      </c>
      <c r="K1279" t="str">
        <f>"M - PDU מק""ט 6930H850-001"</f>
        <v>M - PDU מק"ט 6930H850-001</v>
      </c>
      <c r="L1279">
        <v>1</v>
      </c>
      <c r="M1279" t="str">
        <f>"יח"</f>
        <v>יח</v>
      </c>
      <c r="N1279">
        <v>1</v>
      </c>
      <c r="O1279" t="str">
        <f>"יח"</f>
        <v>יח</v>
      </c>
      <c r="P1279" s="2">
        <v>14757</v>
      </c>
      <c r="Q1279" t="str">
        <f>"$"</f>
        <v>$</v>
      </c>
      <c r="R1279" t="str">
        <f>"הזמנה"</f>
        <v>הזמנה</v>
      </c>
      <c r="S1279">
        <v>0</v>
      </c>
      <c r="T1279" s="2">
        <v>14757</v>
      </c>
      <c r="U1279">
        <v>0</v>
      </c>
      <c r="V1279" s="2">
        <v>14757</v>
      </c>
      <c r="W1279" t="str">
        <f>"$"</f>
        <v>$</v>
      </c>
      <c r="X1279">
        <v>0</v>
      </c>
      <c r="Y1279">
        <v>0</v>
      </c>
      <c r="Z1279">
        <v>0</v>
      </c>
      <c r="AA1279" t="str">
        <f>"Y"</f>
        <v>Y</v>
      </c>
      <c r="AC1279">
        <v>0</v>
      </c>
      <c r="AM1279" t="str">
        <f>"10"</f>
        <v>10</v>
      </c>
      <c r="AN1279" t="str">
        <f>"500000"</f>
        <v>500000</v>
      </c>
      <c r="AO1279" t="str">
        <f>"הכנסות  מלקוחות"</f>
        <v>הכנסות  מלקוחות</v>
      </c>
      <c r="AQ1279" t="str">
        <f>"034"</f>
        <v>034</v>
      </c>
      <c r="AR1279">
        <v>0</v>
      </c>
      <c r="AS1279">
        <v>0</v>
      </c>
      <c r="AT1279">
        <v>3.54</v>
      </c>
      <c r="BB1279" t="str">
        <f>"Y"</f>
        <v>Y</v>
      </c>
      <c r="BD1279" t="str">
        <f>"ערן שלו"</f>
        <v>ערן שלו</v>
      </c>
    </row>
    <row r="1280" spans="1:56" x14ac:dyDescent="0.3">
      <c r="A1280" s="1">
        <v>44868</v>
      </c>
      <c r="B1280" t="str">
        <f>"CR227000061"</f>
        <v>CR227000061</v>
      </c>
      <c r="E1280" t="str">
        <f>"Y"</f>
        <v>Y</v>
      </c>
      <c r="F1280" t="str">
        <f>"חשבוניות זיכוי"</f>
        <v>חשבוניות זיכוי</v>
      </c>
      <c r="G1280" t="str">
        <f>"700065"</f>
        <v>700065</v>
      </c>
      <c r="H1280" t="str">
        <f>"אלתא מערכות בע""מ"</f>
        <v>אלתא מערכות בע"מ</v>
      </c>
      <c r="I1280" t="str">
        <f>"10"</f>
        <v>10</v>
      </c>
      <c r="J1280" t="str">
        <f>"000"</f>
        <v>000</v>
      </c>
      <c r="K1280" t="str">
        <f>"יכוי בגין מערכת Platform (RPU)1038C906-001 Radar Power Unit"</f>
        <v>יכוי בגין מערכת Platform (RPU)1038C906-001 Radar Power Unit</v>
      </c>
      <c r="L1280">
        <v>1</v>
      </c>
      <c r="M1280" t="str">
        <f>"יח"</f>
        <v>יח</v>
      </c>
      <c r="N1280">
        <v>1</v>
      </c>
      <c r="O1280" t="str">
        <f>"יח"</f>
        <v>יח</v>
      </c>
      <c r="P1280" s="2">
        <v>117532</v>
      </c>
      <c r="Q1280" t="str">
        <f>"$"</f>
        <v>$</v>
      </c>
      <c r="R1280" t="str">
        <f>"ידני"</f>
        <v>ידני</v>
      </c>
      <c r="S1280">
        <v>0</v>
      </c>
      <c r="T1280" s="2">
        <v>117532</v>
      </c>
      <c r="U1280">
        <v>0</v>
      </c>
      <c r="V1280" s="2">
        <v>117532</v>
      </c>
      <c r="W1280" t="str">
        <f>"$"</f>
        <v>$</v>
      </c>
      <c r="X1280">
        <v>0</v>
      </c>
      <c r="Y1280">
        <v>0</v>
      </c>
      <c r="Z1280">
        <v>0</v>
      </c>
      <c r="AA1280" t="str">
        <f>"Y"</f>
        <v>Y</v>
      </c>
      <c r="AC1280">
        <v>0</v>
      </c>
      <c r="AM1280" t="str">
        <f>"10"</f>
        <v>10</v>
      </c>
      <c r="AN1280" t="str">
        <f>"500000"</f>
        <v>500000</v>
      </c>
      <c r="AO1280" t="str">
        <f>"הכנסות  מלקוחות"</f>
        <v>הכנסות  מלקוחות</v>
      </c>
      <c r="AQ1280" t="str">
        <f>"034"</f>
        <v>034</v>
      </c>
      <c r="AR1280">
        <v>0</v>
      </c>
      <c r="AS1280">
        <v>0</v>
      </c>
      <c r="AT1280">
        <v>3.54</v>
      </c>
      <c r="BD1280" t="str">
        <f>"ערן שלו"</f>
        <v>ערן שלו</v>
      </c>
    </row>
    <row r="1281" spans="1:56" x14ac:dyDescent="0.3">
      <c r="A1281" s="1">
        <v>44867</v>
      </c>
      <c r="B1281" t="str">
        <f>"SI226001371"</f>
        <v>SI226001371</v>
      </c>
      <c r="C1281" t="str">
        <f>"PR22000210"</f>
        <v>PR22000210</v>
      </c>
      <c r="E1281" t="str">
        <f>"Y"</f>
        <v>Y</v>
      </c>
      <c r="F1281" t="str">
        <f>"חשבוניות מרכזות"</f>
        <v>חשבוניות מרכזות</v>
      </c>
      <c r="G1281" t="str">
        <f>"700065"</f>
        <v>700065</v>
      </c>
      <c r="H1281" t="str">
        <f>"אלתא מערכות בע""מ"</f>
        <v>אלתא מערכות בע"מ</v>
      </c>
      <c r="I1281" t="str">
        <f>"10"</f>
        <v>10</v>
      </c>
      <c r="J1281" t="str">
        <f>"OP-AR03030"</f>
        <v>OP-AR03030</v>
      </c>
      <c r="K1281" t="str">
        <f>"1040U430-001 CABLE ASSY WP305  - LRIR"</f>
        <v>1040U430-001 CABLE ASSY WP305  - LRIR</v>
      </c>
      <c r="L1281">
        <v>1</v>
      </c>
      <c r="M1281" t="str">
        <f>"יח"</f>
        <v>יח</v>
      </c>
      <c r="N1281">
        <v>1</v>
      </c>
      <c r="O1281" t="str">
        <f>"יח"</f>
        <v>יח</v>
      </c>
      <c r="P1281">
        <v>855</v>
      </c>
      <c r="Q1281" t="str">
        <f>"$"</f>
        <v>$</v>
      </c>
      <c r="R1281" t="str">
        <f>"ידני"</f>
        <v>ידני</v>
      </c>
      <c r="S1281">
        <v>0</v>
      </c>
      <c r="T1281">
        <v>855</v>
      </c>
      <c r="U1281">
        <v>0</v>
      </c>
      <c r="V1281">
        <v>855</v>
      </c>
      <c r="W1281" t="str">
        <f>"$"</f>
        <v>$</v>
      </c>
      <c r="X1281">
        <v>0</v>
      </c>
      <c r="Y1281">
        <v>0</v>
      </c>
      <c r="Z1281">
        <v>0</v>
      </c>
      <c r="AA1281" t="str">
        <f>"Y"</f>
        <v>Y</v>
      </c>
      <c r="AB1281" t="str">
        <f>"SO22000131"</f>
        <v>SO22000131</v>
      </c>
      <c r="AC1281">
        <v>1</v>
      </c>
      <c r="AD1281" s="1">
        <v>44662</v>
      </c>
      <c r="AE1281" t="str">
        <f>"SH22000452"</f>
        <v>SH22000452</v>
      </c>
      <c r="AF1281" t="str">
        <f>"משלוחים ללקוח"</f>
        <v>משלוחים ללקוח</v>
      </c>
      <c r="AG1281" s="1">
        <v>44677</v>
      </c>
      <c r="AM1281" t="str">
        <f>"10"</f>
        <v>10</v>
      </c>
      <c r="AN1281" t="str">
        <f>"500000"</f>
        <v>500000</v>
      </c>
      <c r="AO1281" t="str">
        <f>"הכנסות  מלקוחות"</f>
        <v>הכנסות  מלקוחות</v>
      </c>
      <c r="AQ1281" t="str">
        <f>"007"</f>
        <v>007</v>
      </c>
      <c r="AR1281">
        <v>0</v>
      </c>
      <c r="AS1281">
        <v>0</v>
      </c>
      <c r="AT1281">
        <v>3.54</v>
      </c>
      <c r="AX1281" t="str">
        <f>"E000362567"</f>
        <v>E000362567</v>
      </c>
      <c r="BD1281" t="str">
        <f>"רוני דידי"</f>
        <v>רוני דידי</v>
      </c>
    </row>
    <row r="1282" spans="1:56" x14ac:dyDescent="0.3">
      <c r="A1282" s="1">
        <v>44867</v>
      </c>
      <c r="B1282" t="str">
        <f>"SI226001371"</f>
        <v>SI226001371</v>
      </c>
      <c r="C1282" t="str">
        <f>"PR22000210"</f>
        <v>PR22000210</v>
      </c>
      <c r="E1282" t="str">
        <f>"Y"</f>
        <v>Y</v>
      </c>
      <c r="F1282" t="str">
        <f>"חשבוניות מרכזות"</f>
        <v>חשבוניות מרכזות</v>
      </c>
      <c r="G1282" t="str">
        <f>"700065"</f>
        <v>700065</v>
      </c>
      <c r="H1282" t="str">
        <f>"אלתא מערכות בע""מ"</f>
        <v>אלתא מערכות בע"מ</v>
      </c>
      <c r="I1282" t="str">
        <f>"10"</f>
        <v>10</v>
      </c>
      <c r="J1282" t="str">
        <f>"OP-AR03031"</f>
        <v>OP-AR03031</v>
      </c>
      <c r="K1282" t="str">
        <f>"1040U431-001 CABLE ASSY WP306  - LRIR"</f>
        <v>1040U431-001 CABLE ASSY WP306  - LRIR</v>
      </c>
      <c r="L1282">
        <v>1</v>
      </c>
      <c r="M1282" t="str">
        <f>"יח"</f>
        <v>יח</v>
      </c>
      <c r="N1282">
        <v>1</v>
      </c>
      <c r="O1282" t="str">
        <f>"יח"</f>
        <v>יח</v>
      </c>
      <c r="P1282">
        <v>965</v>
      </c>
      <c r="Q1282" t="str">
        <f>"$"</f>
        <v>$</v>
      </c>
      <c r="R1282" t="str">
        <f>"ידני"</f>
        <v>ידני</v>
      </c>
      <c r="S1282">
        <v>0</v>
      </c>
      <c r="T1282">
        <v>965</v>
      </c>
      <c r="U1282">
        <v>0</v>
      </c>
      <c r="V1282">
        <v>965</v>
      </c>
      <c r="W1282" t="str">
        <f>"$"</f>
        <v>$</v>
      </c>
      <c r="X1282">
        <v>0</v>
      </c>
      <c r="Y1282">
        <v>0</v>
      </c>
      <c r="Z1282">
        <v>0</v>
      </c>
      <c r="AA1282" t="str">
        <f>"Y"</f>
        <v>Y</v>
      </c>
      <c r="AB1282" t="str">
        <f>"SO22000131"</f>
        <v>SO22000131</v>
      </c>
      <c r="AC1282">
        <v>2</v>
      </c>
      <c r="AD1282" s="1">
        <v>44662</v>
      </c>
      <c r="AE1282" t="str">
        <f>"SH22000452"</f>
        <v>SH22000452</v>
      </c>
      <c r="AF1282" t="str">
        <f>"משלוחים ללקוח"</f>
        <v>משלוחים ללקוח</v>
      </c>
      <c r="AG1282" s="1">
        <v>44677</v>
      </c>
      <c r="AM1282" t="str">
        <f>"10"</f>
        <v>10</v>
      </c>
      <c r="AN1282" t="str">
        <f>"500000"</f>
        <v>500000</v>
      </c>
      <c r="AO1282" t="str">
        <f>"הכנסות  מלקוחות"</f>
        <v>הכנסות  מלקוחות</v>
      </c>
      <c r="AQ1282" t="str">
        <f>"007"</f>
        <v>007</v>
      </c>
      <c r="AR1282">
        <v>0</v>
      </c>
      <c r="AS1282">
        <v>0</v>
      </c>
      <c r="AT1282">
        <v>3.54</v>
      </c>
      <c r="AX1282" t="str">
        <f>"E000362567"</f>
        <v>E000362567</v>
      </c>
      <c r="BD1282" t="str">
        <f>"רוני דידי"</f>
        <v>רוני דידי</v>
      </c>
    </row>
    <row r="1283" spans="1:56" x14ac:dyDescent="0.3">
      <c r="A1283" s="1">
        <v>44867</v>
      </c>
      <c r="B1283" t="str">
        <f>"SI226001301"</f>
        <v>SI226001301</v>
      </c>
      <c r="C1283" t="str">
        <f>"PR22000440"</f>
        <v>PR22000440</v>
      </c>
      <c r="E1283" t="str">
        <f>"Y"</f>
        <v>Y</v>
      </c>
      <c r="F1283" t="str">
        <f>"חשבוניות מרכזות"</f>
        <v>חשבוניות מרכזות</v>
      </c>
      <c r="G1283" t="str">
        <f>"700065"</f>
        <v>700065</v>
      </c>
      <c r="H1283" t="str">
        <f>"אלתא מערכות בע""מ"</f>
        <v>אלתא מערכות בע"מ</v>
      </c>
      <c r="I1283" t="str">
        <f>"10"</f>
        <v>10</v>
      </c>
      <c r="J1283" t="str">
        <f>"OP-AR03158"</f>
        <v>OP-AR03158</v>
      </c>
      <c r="K1283" t="str">
        <f>"2212B752-001    SNGL PS TO PANEL"</f>
        <v>2212B752-001    SNGL PS TO PANEL</v>
      </c>
      <c r="L1283">
        <v>1</v>
      </c>
      <c r="M1283" t="str">
        <f>"יח"</f>
        <v>יח</v>
      </c>
      <c r="N1283">
        <v>1</v>
      </c>
      <c r="O1283" t="str">
        <f>"יח"</f>
        <v>יח</v>
      </c>
      <c r="P1283">
        <v>212.02</v>
      </c>
      <c r="Q1283" t="str">
        <f>"$"</f>
        <v>$</v>
      </c>
      <c r="R1283" t="str">
        <f>"הזמנה"</f>
        <v>הזמנה</v>
      </c>
      <c r="S1283">
        <v>0</v>
      </c>
      <c r="T1283">
        <v>212.02</v>
      </c>
      <c r="U1283">
        <v>0</v>
      </c>
      <c r="V1283">
        <v>212.02</v>
      </c>
      <c r="W1283" t="str">
        <f>"$"</f>
        <v>$</v>
      </c>
      <c r="X1283">
        <v>0</v>
      </c>
      <c r="Y1283">
        <v>0</v>
      </c>
      <c r="Z1283">
        <v>0</v>
      </c>
      <c r="AA1283" t="str">
        <f>"Y"</f>
        <v>Y</v>
      </c>
      <c r="AB1283" t="str">
        <f>"SO22000214"</f>
        <v>SO22000214</v>
      </c>
      <c r="AC1283">
        <v>6</v>
      </c>
      <c r="AD1283" s="1">
        <v>44714</v>
      </c>
      <c r="AE1283" t="str">
        <f>"SH22001220"</f>
        <v>SH22001220</v>
      </c>
      <c r="AF1283" t="str">
        <f>"משלוחים ללקוח"</f>
        <v>משלוחים ללקוח</v>
      </c>
      <c r="AG1283" s="1">
        <v>44859</v>
      </c>
      <c r="AM1283" t="str">
        <f>"10"</f>
        <v>10</v>
      </c>
      <c r="AN1283" t="str">
        <f>"500000"</f>
        <v>500000</v>
      </c>
      <c r="AO1283" t="str">
        <f>"הכנסות  מלקוחות"</f>
        <v>הכנסות  מלקוחות</v>
      </c>
      <c r="AQ1283" t="str">
        <f>"040"</f>
        <v>040</v>
      </c>
      <c r="AR1283">
        <v>0</v>
      </c>
      <c r="AS1283">
        <v>0</v>
      </c>
      <c r="AT1283">
        <v>3.54</v>
      </c>
      <c r="AX1283" t="str">
        <f>"E000365713"</f>
        <v>E000365713</v>
      </c>
      <c r="BD1283" t="str">
        <f>"רחמים זרוק"</f>
        <v>רחמים זרוק</v>
      </c>
    </row>
    <row r="1284" spans="1:56" x14ac:dyDescent="0.3">
      <c r="A1284" s="1">
        <v>44867</v>
      </c>
      <c r="B1284" t="str">
        <f>"SI226001301"</f>
        <v>SI226001301</v>
      </c>
      <c r="C1284" t="str">
        <f>"PR22000440"</f>
        <v>PR22000440</v>
      </c>
      <c r="E1284" t="str">
        <f>"Y"</f>
        <v>Y</v>
      </c>
      <c r="F1284" t="str">
        <f>"חשבוניות מרכזות"</f>
        <v>חשבוניות מרכזות</v>
      </c>
      <c r="G1284" t="str">
        <f>"700065"</f>
        <v>700065</v>
      </c>
      <c r="H1284" t="str">
        <f>"אלתא מערכות בע""מ"</f>
        <v>אלתא מערכות בע"מ</v>
      </c>
      <c r="I1284" t="str">
        <f>"10"</f>
        <v>10</v>
      </c>
      <c r="J1284" t="str">
        <f>"OP-AR03158"</f>
        <v>OP-AR03158</v>
      </c>
      <c r="K1284" t="str">
        <f>"2212B752-001    SNGL PS TO PANEL"</f>
        <v>2212B752-001    SNGL PS TO PANEL</v>
      </c>
      <c r="L1284">
        <v>1</v>
      </c>
      <c r="M1284" t="str">
        <f>"יח"</f>
        <v>יח</v>
      </c>
      <c r="N1284">
        <v>1</v>
      </c>
      <c r="O1284" t="str">
        <f>"יח"</f>
        <v>יח</v>
      </c>
      <c r="P1284">
        <v>212.02</v>
      </c>
      <c r="Q1284" t="str">
        <f>"$"</f>
        <v>$</v>
      </c>
      <c r="R1284" t="str">
        <f>"הזמנה"</f>
        <v>הזמנה</v>
      </c>
      <c r="S1284">
        <v>0</v>
      </c>
      <c r="T1284">
        <v>212.02</v>
      </c>
      <c r="U1284">
        <v>0</v>
      </c>
      <c r="V1284">
        <v>212.02</v>
      </c>
      <c r="W1284" t="str">
        <f>"$"</f>
        <v>$</v>
      </c>
      <c r="X1284">
        <v>0</v>
      </c>
      <c r="Y1284">
        <v>0</v>
      </c>
      <c r="Z1284">
        <v>0</v>
      </c>
      <c r="AA1284" t="str">
        <f>"Y"</f>
        <v>Y</v>
      </c>
      <c r="AB1284" t="str">
        <f>"SO22000214"</f>
        <v>SO22000214</v>
      </c>
      <c r="AC1284">
        <v>7</v>
      </c>
      <c r="AD1284" s="1">
        <v>44714</v>
      </c>
      <c r="AE1284" t="str">
        <f>"SH22001220"</f>
        <v>SH22001220</v>
      </c>
      <c r="AF1284" t="str">
        <f>"משלוחים ללקוח"</f>
        <v>משלוחים ללקוח</v>
      </c>
      <c r="AG1284" s="1">
        <v>44859</v>
      </c>
      <c r="AM1284" t="str">
        <f>"10"</f>
        <v>10</v>
      </c>
      <c r="AN1284" t="str">
        <f>"500000"</f>
        <v>500000</v>
      </c>
      <c r="AO1284" t="str">
        <f>"הכנסות  מלקוחות"</f>
        <v>הכנסות  מלקוחות</v>
      </c>
      <c r="AQ1284" t="str">
        <f>"040"</f>
        <v>040</v>
      </c>
      <c r="AR1284">
        <v>0</v>
      </c>
      <c r="AS1284">
        <v>0</v>
      </c>
      <c r="AT1284">
        <v>3.54</v>
      </c>
      <c r="AX1284" t="str">
        <f>"E000365713"</f>
        <v>E000365713</v>
      </c>
      <c r="BD1284" t="str">
        <f>"רחמים זרוק"</f>
        <v>רחמים זרוק</v>
      </c>
    </row>
    <row r="1285" spans="1:56" x14ac:dyDescent="0.3">
      <c r="A1285" s="1">
        <v>44867</v>
      </c>
      <c r="B1285" t="str">
        <f>"SI226001298"</f>
        <v>SI226001298</v>
      </c>
      <c r="C1285" t="str">
        <f>"PR22000231"</f>
        <v>PR22000231</v>
      </c>
      <c r="E1285" t="str">
        <f>"Y"</f>
        <v>Y</v>
      </c>
      <c r="F1285" t="str">
        <f>"חשבוניות מרכזות"</f>
        <v>חשבוניות מרכזות</v>
      </c>
      <c r="G1285" t="str">
        <f>"700065"</f>
        <v>700065</v>
      </c>
      <c r="H1285" t="str">
        <f>"אלתא מערכות בע""מ"</f>
        <v>אלתא מערכות בע"מ</v>
      </c>
      <c r="I1285" t="str">
        <f>"10"</f>
        <v>10</v>
      </c>
      <c r="J1285" t="str">
        <f>"OP-AR03011"</f>
        <v>OP-AR03011</v>
      </c>
      <c r="K1285" t="str">
        <f>"2083B310-002   VPW2 CABLE ASSY"</f>
        <v>2083B310-002   VPW2 CABLE ASSY</v>
      </c>
      <c r="L1285">
        <v>1</v>
      </c>
      <c r="M1285" t="str">
        <f>"יח"</f>
        <v>יח</v>
      </c>
      <c r="N1285">
        <v>1</v>
      </c>
      <c r="O1285" t="str">
        <f>"יח"</f>
        <v>יח</v>
      </c>
      <c r="P1285" s="2">
        <v>1022.92</v>
      </c>
      <c r="Q1285" t="str">
        <f>"$"</f>
        <v>$</v>
      </c>
      <c r="R1285" t="str">
        <f>"הזמנה"</f>
        <v>הזמנה</v>
      </c>
      <c r="S1285">
        <v>0</v>
      </c>
      <c r="T1285" s="2">
        <v>1022.92</v>
      </c>
      <c r="U1285">
        <v>0</v>
      </c>
      <c r="V1285" s="2">
        <v>1022.92</v>
      </c>
      <c r="W1285" t="str">
        <f>"$"</f>
        <v>$</v>
      </c>
      <c r="X1285">
        <v>0</v>
      </c>
      <c r="Y1285">
        <v>0</v>
      </c>
      <c r="Z1285">
        <v>0</v>
      </c>
      <c r="AA1285" t="str">
        <f>"Y"</f>
        <v>Y</v>
      </c>
      <c r="AB1285" t="str">
        <f>"SO22000105"</f>
        <v>SO22000105</v>
      </c>
      <c r="AC1285">
        <v>2</v>
      </c>
      <c r="AD1285" s="1">
        <v>44635</v>
      </c>
      <c r="AE1285" t="str">
        <f>"SH22001226"</f>
        <v>SH22001226</v>
      </c>
      <c r="AF1285" t="str">
        <f>"משלוחים ללקוח"</f>
        <v>משלוחים ללקוח</v>
      </c>
      <c r="AG1285" s="1">
        <v>44859</v>
      </c>
      <c r="AM1285" t="str">
        <f>"10"</f>
        <v>10</v>
      </c>
      <c r="AN1285" t="str">
        <f>"500000"</f>
        <v>500000</v>
      </c>
      <c r="AO1285" t="str">
        <f>"הכנסות  מלקוחות"</f>
        <v>הכנסות  מלקוחות</v>
      </c>
      <c r="AQ1285" t="str">
        <f>"040"</f>
        <v>040</v>
      </c>
      <c r="AR1285">
        <v>0</v>
      </c>
      <c r="AS1285">
        <v>0</v>
      </c>
      <c r="AT1285">
        <v>3.54</v>
      </c>
      <c r="AX1285" t="str">
        <f>"E000359029"</f>
        <v>E000359029</v>
      </c>
      <c r="BD1285" t="str">
        <f>"רחמים זרוק"</f>
        <v>רחמים זרוק</v>
      </c>
    </row>
    <row r="1286" spans="1:56" x14ac:dyDescent="0.3">
      <c r="A1286" s="1">
        <v>44867</v>
      </c>
      <c r="B1286" t="str">
        <f>"SI226001298"</f>
        <v>SI226001298</v>
      </c>
      <c r="C1286" t="str">
        <f>"PR22000231"</f>
        <v>PR22000231</v>
      </c>
      <c r="E1286" t="str">
        <f>"Y"</f>
        <v>Y</v>
      </c>
      <c r="F1286" t="str">
        <f>"חשבוניות מרכזות"</f>
        <v>חשבוניות מרכזות</v>
      </c>
      <c r="G1286" t="str">
        <f>"700065"</f>
        <v>700065</v>
      </c>
      <c r="H1286" t="str">
        <f>"אלתא מערכות בע""מ"</f>
        <v>אלתא מערכות בע"מ</v>
      </c>
      <c r="I1286" t="str">
        <f>"10"</f>
        <v>10</v>
      </c>
      <c r="J1286" t="str">
        <f>"OP-AR03026"</f>
        <v>OP-AR03026</v>
      </c>
      <c r="K1286" t="str">
        <f>"2221B851-001   RHW101 PS CABLE ASSY"</f>
        <v>2221B851-001   RHW101 PS CABLE ASSY</v>
      </c>
      <c r="L1286">
        <v>1</v>
      </c>
      <c r="M1286" t="str">
        <f>"יח"</f>
        <v>יח</v>
      </c>
      <c r="N1286">
        <v>1</v>
      </c>
      <c r="O1286" t="str">
        <f>"יח"</f>
        <v>יח</v>
      </c>
      <c r="P1286">
        <v>309.68</v>
      </c>
      <c r="Q1286" t="str">
        <f>"$"</f>
        <v>$</v>
      </c>
      <c r="R1286" t="str">
        <f>"הזמנה"</f>
        <v>הזמנה</v>
      </c>
      <c r="S1286">
        <v>0</v>
      </c>
      <c r="T1286">
        <v>309.68</v>
      </c>
      <c r="U1286">
        <v>0</v>
      </c>
      <c r="V1286">
        <v>309.68</v>
      </c>
      <c r="W1286" t="str">
        <f>"$"</f>
        <v>$</v>
      </c>
      <c r="X1286">
        <v>0</v>
      </c>
      <c r="Y1286">
        <v>0</v>
      </c>
      <c r="Z1286">
        <v>0</v>
      </c>
      <c r="AA1286" t="str">
        <f>"Y"</f>
        <v>Y</v>
      </c>
      <c r="AB1286" t="str">
        <f>"SO22000105"</f>
        <v>SO22000105</v>
      </c>
      <c r="AC1286">
        <v>23</v>
      </c>
      <c r="AD1286" s="1">
        <v>44635</v>
      </c>
      <c r="AE1286" t="str">
        <f>"SH22001226"</f>
        <v>SH22001226</v>
      </c>
      <c r="AF1286" t="str">
        <f>"משלוחים ללקוח"</f>
        <v>משלוחים ללקוח</v>
      </c>
      <c r="AG1286" s="1">
        <v>44859</v>
      </c>
      <c r="AM1286" t="str">
        <f>"10"</f>
        <v>10</v>
      </c>
      <c r="AN1286" t="str">
        <f>"500000"</f>
        <v>500000</v>
      </c>
      <c r="AO1286" t="str">
        <f>"הכנסות  מלקוחות"</f>
        <v>הכנסות  מלקוחות</v>
      </c>
      <c r="AQ1286" t="str">
        <f>"040"</f>
        <v>040</v>
      </c>
      <c r="AR1286">
        <v>0</v>
      </c>
      <c r="AS1286">
        <v>0</v>
      </c>
      <c r="AT1286">
        <v>3.54</v>
      </c>
      <c r="AX1286" t="str">
        <f>"E000359029"</f>
        <v>E000359029</v>
      </c>
      <c r="BD1286" t="str">
        <f>"רחמים זרוק"</f>
        <v>רחמים זרוק</v>
      </c>
    </row>
    <row r="1287" spans="1:56" x14ac:dyDescent="0.3">
      <c r="A1287" s="1">
        <v>44867</v>
      </c>
      <c r="B1287" t="str">
        <f>"SI226001297"</f>
        <v>SI226001297</v>
      </c>
      <c r="C1287" t="str">
        <f>"PR22000479"</f>
        <v>PR22000479</v>
      </c>
      <c r="E1287" t="str">
        <f>"Y"</f>
        <v>Y</v>
      </c>
      <c r="F1287" t="str">
        <f>"חשבוניות מרכזות"</f>
        <v>חשבוניות מרכזות</v>
      </c>
      <c r="G1287" t="str">
        <f>"700065"</f>
        <v>700065</v>
      </c>
      <c r="H1287" t="str">
        <f>"אלתא מערכות בע""מ"</f>
        <v>אלתא מערכות בע"מ</v>
      </c>
      <c r="I1287" t="str">
        <f>"10"</f>
        <v>10</v>
      </c>
      <c r="J1287" t="str">
        <f>"OP-AR02086"</f>
        <v>OP-AR02086</v>
      </c>
      <c r="K1287" t="str">
        <f>"2060B171-001  CABLE ASSY CRW22"</f>
        <v>2060B171-001  CABLE ASSY CRW22</v>
      </c>
      <c r="L1287">
        <v>1</v>
      </c>
      <c r="M1287" t="str">
        <f>"יח"</f>
        <v>יח</v>
      </c>
      <c r="N1287">
        <v>1</v>
      </c>
      <c r="O1287" t="str">
        <f>"יח"</f>
        <v>יח</v>
      </c>
      <c r="P1287">
        <v>623.46</v>
      </c>
      <c r="Q1287" t="str">
        <f>"$"</f>
        <v>$</v>
      </c>
      <c r="R1287" t="str">
        <f>"הזמנה"</f>
        <v>הזמנה</v>
      </c>
      <c r="S1287">
        <v>0</v>
      </c>
      <c r="T1287">
        <v>623.46</v>
      </c>
      <c r="U1287">
        <v>0</v>
      </c>
      <c r="V1287">
        <v>623.46</v>
      </c>
      <c r="W1287" t="str">
        <f>"$"</f>
        <v>$</v>
      </c>
      <c r="X1287">
        <v>0</v>
      </c>
      <c r="Y1287">
        <v>0</v>
      </c>
      <c r="Z1287">
        <v>0</v>
      </c>
      <c r="AA1287" t="str">
        <f>"Y"</f>
        <v>Y</v>
      </c>
      <c r="AB1287" t="str">
        <f>"SO22000243"</f>
        <v>SO22000243</v>
      </c>
      <c r="AC1287">
        <v>3</v>
      </c>
      <c r="AD1287" s="1">
        <v>44731</v>
      </c>
      <c r="AE1287" t="str">
        <f>"SH22001227"</f>
        <v>SH22001227</v>
      </c>
      <c r="AF1287" t="str">
        <f>"משלוחים ללקוח"</f>
        <v>משלוחים ללקוח</v>
      </c>
      <c r="AG1287" s="1">
        <v>44859</v>
      </c>
      <c r="AM1287" t="str">
        <f>"10"</f>
        <v>10</v>
      </c>
      <c r="AN1287" t="str">
        <f>"500000"</f>
        <v>500000</v>
      </c>
      <c r="AO1287" t="str">
        <f>"הכנסות  מלקוחות"</f>
        <v>הכנסות  מלקוחות</v>
      </c>
      <c r="AQ1287" t="str">
        <f>"040"</f>
        <v>040</v>
      </c>
      <c r="AR1287">
        <v>0</v>
      </c>
      <c r="AS1287">
        <v>0</v>
      </c>
      <c r="AT1287">
        <v>3.54</v>
      </c>
      <c r="AX1287" t="str">
        <f>"E000367370"</f>
        <v>E000367370</v>
      </c>
      <c r="BD1287" t="str">
        <f>"רחמים זרוק"</f>
        <v>רחמים זרוק</v>
      </c>
    </row>
    <row r="1288" spans="1:56" x14ac:dyDescent="0.3">
      <c r="A1288" s="1">
        <v>44867</v>
      </c>
      <c r="B1288" t="str">
        <f>"SI226001293"</f>
        <v>SI226001293</v>
      </c>
      <c r="C1288" t="str">
        <f>"PR22000440"</f>
        <v>PR22000440</v>
      </c>
      <c r="E1288" t="str">
        <f>"Y"</f>
        <v>Y</v>
      </c>
      <c r="F1288" t="str">
        <f>"חשבוניות מרכזות"</f>
        <v>חשבוניות מרכזות</v>
      </c>
      <c r="G1288" t="str">
        <f>"700065"</f>
        <v>700065</v>
      </c>
      <c r="H1288" t="str">
        <f>"אלתא מערכות בע""מ"</f>
        <v>אלתא מערכות בע"מ</v>
      </c>
      <c r="I1288" t="str">
        <f>"10"</f>
        <v>10</v>
      </c>
      <c r="J1288" t="str">
        <f>"OP-AR03155"</f>
        <v>OP-AR03155</v>
      </c>
      <c r="K1288" t="str">
        <f>"1021M777-002    CABLE ASSY W8"</f>
        <v>1021M777-002    CABLE ASSY W8</v>
      </c>
      <c r="L1288">
        <v>1</v>
      </c>
      <c r="M1288" t="str">
        <f>"יח"</f>
        <v>יח</v>
      </c>
      <c r="N1288">
        <v>1</v>
      </c>
      <c r="O1288" t="str">
        <f>"יח"</f>
        <v>יח</v>
      </c>
      <c r="P1288">
        <v>215.32</v>
      </c>
      <c r="Q1288" t="str">
        <f>"$"</f>
        <v>$</v>
      </c>
      <c r="R1288" t="str">
        <f>"הזמנה"</f>
        <v>הזמנה</v>
      </c>
      <c r="S1288">
        <v>0</v>
      </c>
      <c r="T1288">
        <v>215.32</v>
      </c>
      <c r="U1288">
        <v>0</v>
      </c>
      <c r="V1288">
        <v>215.32</v>
      </c>
      <c r="W1288" t="str">
        <f>"$"</f>
        <v>$</v>
      </c>
      <c r="X1288">
        <v>0</v>
      </c>
      <c r="Y1288">
        <v>0</v>
      </c>
      <c r="Z1288">
        <v>0</v>
      </c>
      <c r="AA1288" t="str">
        <f>"Y"</f>
        <v>Y</v>
      </c>
      <c r="AB1288" t="str">
        <f>"SO22000214"</f>
        <v>SO22000214</v>
      </c>
      <c r="AC1288">
        <v>1</v>
      </c>
      <c r="AD1288" s="1">
        <v>44714</v>
      </c>
      <c r="AE1288" t="str">
        <f>"SH22001233"</f>
        <v>SH22001233</v>
      </c>
      <c r="AF1288" t="str">
        <f>"משלוחים ללקוח"</f>
        <v>משלוחים ללקוח</v>
      </c>
      <c r="AG1288" s="1">
        <v>44860</v>
      </c>
      <c r="AM1288" t="str">
        <f>"10"</f>
        <v>10</v>
      </c>
      <c r="AN1288" t="str">
        <f>"500000"</f>
        <v>500000</v>
      </c>
      <c r="AO1288" t="str">
        <f>"הכנסות  מלקוחות"</f>
        <v>הכנסות  מלקוחות</v>
      </c>
      <c r="AQ1288" t="str">
        <f>"040"</f>
        <v>040</v>
      </c>
      <c r="AR1288">
        <v>0</v>
      </c>
      <c r="AS1288">
        <v>0</v>
      </c>
      <c r="AT1288">
        <v>3.54</v>
      </c>
      <c r="AX1288" t="str">
        <f>"E000365713"</f>
        <v>E000365713</v>
      </c>
      <c r="BD1288" t="str">
        <f>"רחמים זרוק"</f>
        <v>רחמים זרוק</v>
      </c>
    </row>
    <row r="1289" spans="1:56" x14ac:dyDescent="0.3">
      <c r="A1289" s="1">
        <v>44867</v>
      </c>
      <c r="B1289" t="str">
        <f>"SI226001293"</f>
        <v>SI226001293</v>
      </c>
      <c r="C1289" t="str">
        <f>"PR22000440"</f>
        <v>PR22000440</v>
      </c>
      <c r="E1289" t="str">
        <f>"Y"</f>
        <v>Y</v>
      </c>
      <c r="F1289" t="str">
        <f>"חשבוניות מרכזות"</f>
        <v>חשבוניות מרכזות</v>
      </c>
      <c r="G1289" t="str">
        <f>"700065"</f>
        <v>700065</v>
      </c>
      <c r="H1289" t="str">
        <f>"אלתא מערכות בע""מ"</f>
        <v>אלתא מערכות בע"מ</v>
      </c>
      <c r="I1289" t="str">
        <f>"10"</f>
        <v>10</v>
      </c>
      <c r="J1289" t="str">
        <f>"OP-AR03156"</f>
        <v>OP-AR03156</v>
      </c>
      <c r="K1289" t="str">
        <f>"2011E142-001    CABLE ASSY VGA"</f>
        <v>2011E142-001    CABLE ASSY VGA</v>
      </c>
      <c r="L1289">
        <v>1</v>
      </c>
      <c r="M1289" t="str">
        <f>"יח"</f>
        <v>יח</v>
      </c>
      <c r="N1289">
        <v>1</v>
      </c>
      <c r="O1289" t="str">
        <f>"יח"</f>
        <v>יח</v>
      </c>
      <c r="P1289">
        <v>213.22</v>
      </c>
      <c r="Q1289" t="str">
        <f>"$"</f>
        <v>$</v>
      </c>
      <c r="R1289" t="str">
        <f>"הזמנה"</f>
        <v>הזמנה</v>
      </c>
      <c r="S1289">
        <v>0</v>
      </c>
      <c r="T1289">
        <v>213.22</v>
      </c>
      <c r="U1289">
        <v>0</v>
      </c>
      <c r="V1289">
        <v>213.22</v>
      </c>
      <c r="W1289" t="str">
        <f>"$"</f>
        <v>$</v>
      </c>
      <c r="X1289">
        <v>0</v>
      </c>
      <c r="Y1289">
        <v>0</v>
      </c>
      <c r="Z1289">
        <v>0</v>
      </c>
      <c r="AA1289" t="str">
        <f>"Y"</f>
        <v>Y</v>
      </c>
      <c r="AB1289" t="str">
        <f>"SO22000214"</f>
        <v>SO22000214</v>
      </c>
      <c r="AC1289">
        <v>2</v>
      </c>
      <c r="AD1289" s="1">
        <v>44714</v>
      </c>
      <c r="AE1289" t="str">
        <f>"SH22001233"</f>
        <v>SH22001233</v>
      </c>
      <c r="AF1289" t="str">
        <f>"משלוחים ללקוח"</f>
        <v>משלוחים ללקוח</v>
      </c>
      <c r="AG1289" s="1">
        <v>44860</v>
      </c>
      <c r="AM1289" t="str">
        <f>"10"</f>
        <v>10</v>
      </c>
      <c r="AN1289" t="str">
        <f>"500000"</f>
        <v>500000</v>
      </c>
      <c r="AO1289" t="str">
        <f>"הכנסות  מלקוחות"</f>
        <v>הכנסות  מלקוחות</v>
      </c>
      <c r="AQ1289" t="str">
        <f>"040"</f>
        <v>040</v>
      </c>
      <c r="AR1289">
        <v>0</v>
      </c>
      <c r="AS1289">
        <v>0</v>
      </c>
      <c r="AT1289">
        <v>3.54</v>
      </c>
      <c r="AX1289" t="str">
        <f>"E000365713"</f>
        <v>E000365713</v>
      </c>
      <c r="BD1289" t="str">
        <f>"רחמים זרוק"</f>
        <v>רחמים זרוק</v>
      </c>
    </row>
    <row r="1290" spans="1:56" x14ac:dyDescent="0.3">
      <c r="A1290" s="1">
        <v>44867</v>
      </c>
      <c r="B1290" t="str">
        <f>"SI226001292"</f>
        <v>SI226001292</v>
      </c>
      <c r="C1290" t="str">
        <f>"PR22000445"</f>
        <v>PR22000445</v>
      </c>
      <c r="E1290" t="str">
        <f>"Y"</f>
        <v>Y</v>
      </c>
      <c r="F1290" t="str">
        <f>"חשבוניות מרכזות"</f>
        <v>חשבוניות מרכזות</v>
      </c>
      <c r="G1290" t="str">
        <f>"700065"</f>
        <v>700065</v>
      </c>
      <c r="H1290" t="str">
        <f>"אלתא מערכות בע""מ"</f>
        <v>אלתא מערכות בע"מ</v>
      </c>
      <c r="I1290" t="str">
        <f>"10"</f>
        <v>10</v>
      </c>
      <c r="J1290" t="str">
        <f>"OP-AR02890"</f>
        <v>OP-AR02890</v>
      </c>
      <c r="K1290" t="str">
        <f>"1023F916-001   WEXT16 CTRL LRC SHELTER TO IFF SYS"</f>
        <v>1023F916-001   WEXT16 CTRL LRC SHELTER TO IFF SYS</v>
      </c>
      <c r="L1290">
        <v>2</v>
      </c>
      <c r="M1290" t="str">
        <f>"יח"</f>
        <v>יח</v>
      </c>
      <c r="N1290">
        <v>2</v>
      </c>
      <c r="O1290" t="str">
        <f>"יח"</f>
        <v>יח</v>
      </c>
      <c r="P1290" s="2">
        <v>5412.37</v>
      </c>
      <c r="Q1290" t="str">
        <f>"$"</f>
        <v>$</v>
      </c>
      <c r="R1290" t="str">
        <f>"הזמנה"</f>
        <v>הזמנה</v>
      </c>
      <c r="S1290">
        <v>0</v>
      </c>
      <c r="T1290" s="2">
        <v>10824.74</v>
      </c>
      <c r="U1290">
        <v>0</v>
      </c>
      <c r="V1290" s="2">
        <v>10824.74</v>
      </c>
      <c r="W1290" t="str">
        <f>"$"</f>
        <v>$</v>
      </c>
      <c r="X1290">
        <v>0</v>
      </c>
      <c r="Y1290">
        <v>0</v>
      </c>
      <c r="Z1290">
        <v>0</v>
      </c>
      <c r="AA1290" t="str">
        <f>"Y"</f>
        <v>Y</v>
      </c>
      <c r="AB1290" t="str">
        <f>"SO22000221"</f>
        <v>SO22000221</v>
      </c>
      <c r="AC1290">
        <v>1</v>
      </c>
      <c r="AD1290" s="1">
        <v>44720</v>
      </c>
      <c r="AE1290" t="str">
        <f>"SH22001240"</f>
        <v>SH22001240</v>
      </c>
      <c r="AF1290" t="str">
        <f>"משלוחים ללקוח"</f>
        <v>משלוחים ללקוח</v>
      </c>
      <c r="AG1290" s="1">
        <v>44864</v>
      </c>
      <c r="AM1290" t="str">
        <f>"10"</f>
        <v>10</v>
      </c>
      <c r="AN1290" t="str">
        <f>"500000"</f>
        <v>500000</v>
      </c>
      <c r="AO1290" t="str">
        <f>"הכנסות  מלקוחות"</f>
        <v>הכנסות  מלקוחות</v>
      </c>
      <c r="AQ1290" t="str">
        <f>"034"</f>
        <v>034</v>
      </c>
      <c r="AR1290">
        <v>0</v>
      </c>
      <c r="AS1290">
        <v>0</v>
      </c>
      <c r="AT1290">
        <v>3.54</v>
      </c>
      <c r="AX1290" t="str">
        <f>"E000364016"</f>
        <v>E000364016</v>
      </c>
      <c r="BD1290" t="str">
        <f>"ערן שלו"</f>
        <v>ערן שלו</v>
      </c>
    </row>
    <row r="1291" spans="1:56" x14ac:dyDescent="0.3">
      <c r="A1291" s="1">
        <v>44866</v>
      </c>
      <c r="B1291" t="str">
        <f>"SI226001377"</f>
        <v>SI226001377</v>
      </c>
      <c r="C1291" t="str">
        <f>"PR21000189"</f>
        <v>PR21000189</v>
      </c>
      <c r="E1291" t="str">
        <f>"Y"</f>
        <v>Y</v>
      </c>
      <c r="F1291" t="str">
        <f>"חשבוניות מרכזות"</f>
        <v>חשבוניות מרכזות</v>
      </c>
      <c r="G1291" t="str">
        <f>"700065"</f>
        <v>700065</v>
      </c>
      <c r="H1291" t="str">
        <f>"אלתא מערכות בע""מ"</f>
        <v>אלתא מערכות בע"מ</v>
      </c>
      <c r="I1291" t="str">
        <f>"10"</f>
        <v>10</v>
      </c>
      <c r="J1291" t="str">
        <f>"OP-AR01025-01"</f>
        <v>OP-AR01025-01</v>
      </c>
      <c r="K1291" t="str">
        <f>"BATTERY BOX 1029P520-001אפור"</f>
        <v>BATTERY BOX 1029P520-001אפור</v>
      </c>
      <c r="L1291">
        <v>-1</v>
      </c>
      <c r="M1291" t="str">
        <f>"יח"</f>
        <v>יח</v>
      </c>
      <c r="N1291">
        <v>-1</v>
      </c>
      <c r="O1291" t="str">
        <f>"יח"</f>
        <v>יח</v>
      </c>
      <c r="P1291" s="2">
        <v>5750</v>
      </c>
      <c r="Q1291" t="str">
        <f>"$"</f>
        <v>$</v>
      </c>
      <c r="R1291" t="str">
        <f>"הזמנה"</f>
        <v>הזמנה</v>
      </c>
      <c r="S1291">
        <v>0</v>
      </c>
      <c r="T1291" s="2">
        <v>-5750</v>
      </c>
      <c r="U1291">
        <v>0</v>
      </c>
      <c r="V1291" s="2">
        <v>-5750</v>
      </c>
      <c r="W1291" t="str">
        <f>"$"</f>
        <v>$</v>
      </c>
      <c r="X1291">
        <v>0</v>
      </c>
      <c r="Y1291">
        <v>0</v>
      </c>
      <c r="Z1291">
        <v>0</v>
      </c>
      <c r="AA1291" t="str">
        <f>"Y"</f>
        <v>Y</v>
      </c>
      <c r="AC1291">
        <v>0</v>
      </c>
      <c r="AM1291" t="str">
        <f>"10"</f>
        <v>10</v>
      </c>
      <c r="AN1291" t="str">
        <f>"500000"</f>
        <v>500000</v>
      </c>
      <c r="AO1291" t="str">
        <f>"הכנסות  מלקוחות"</f>
        <v>הכנסות  מלקוחות</v>
      </c>
      <c r="AQ1291" t="str">
        <f>"034"</f>
        <v>034</v>
      </c>
      <c r="AR1291">
        <v>0</v>
      </c>
      <c r="AS1291">
        <v>0</v>
      </c>
      <c r="AT1291">
        <v>3.32</v>
      </c>
      <c r="BB1291" t="str">
        <f>"Y"</f>
        <v>Y</v>
      </c>
      <c r="BD1291" t="str">
        <f>"ערן שלו"</f>
        <v>ערן שלו</v>
      </c>
    </row>
    <row r="1292" spans="1:56" x14ac:dyDescent="0.3">
      <c r="A1292" s="1">
        <v>44866</v>
      </c>
      <c r="B1292" t="str">
        <f>"SI226001376"</f>
        <v>SI226001376</v>
      </c>
      <c r="C1292" t="str">
        <f>"PR22000374"</f>
        <v>PR22000374</v>
      </c>
      <c r="E1292" t="str">
        <f>"Y"</f>
        <v>Y</v>
      </c>
      <c r="F1292" t="str">
        <f>"חשבוניות מרכזות"</f>
        <v>חשבוניות מרכזות</v>
      </c>
      <c r="G1292" t="str">
        <f>"700065"</f>
        <v>700065</v>
      </c>
      <c r="H1292" t="str">
        <f>"אלתא מערכות בע""מ"</f>
        <v>אלתא מערכות בע"מ</v>
      </c>
      <c r="I1292" t="str">
        <f>"10"</f>
        <v>10</v>
      </c>
      <c r="J1292" t="str">
        <f>"OP-AR03138"</f>
        <v>OP-AR03138</v>
      </c>
      <c r="K1292" t="str">
        <f>"2215D097-001    HARNESS W097 - AARDVARK PROGRAMMING"</f>
        <v>2215D097-001    HARNESS W097 - AARDVARK PROGRAMMING</v>
      </c>
      <c r="L1292">
        <v>6</v>
      </c>
      <c r="M1292" t="str">
        <f>"יח"</f>
        <v>יח</v>
      </c>
      <c r="N1292">
        <v>6</v>
      </c>
      <c r="O1292" t="str">
        <f>"יח"</f>
        <v>יח</v>
      </c>
      <c r="P1292">
        <v>277.14</v>
      </c>
      <c r="Q1292" t="str">
        <f>"$"</f>
        <v>$</v>
      </c>
      <c r="R1292" t="str">
        <f>"הזמנה"</f>
        <v>הזמנה</v>
      </c>
      <c r="S1292">
        <v>0</v>
      </c>
      <c r="T1292" s="2">
        <v>1662.84</v>
      </c>
      <c r="U1292">
        <v>0</v>
      </c>
      <c r="V1292" s="2">
        <v>1662.84</v>
      </c>
      <c r="W1292" t="str">
        <f>"$"</f>
        <v>$</v>
      </c>
      <c r="X1292">
        <v>0</v>
      </c>
      <c r="Y1292">
        <v>0</v>
      </c>
      <c r="Z1292">
        <v>0</v>
      </c>
      <c r="AA1292" t="str">
        <f>"Y"</f>
        <v>Y</v>
      </c>
      <c r="AB1292" t="str">
        <f>"SO22000195"</f>
        <v>SO22000195</v>
      </c>
      <c r="AC1292">
        <v>6</v>
      </c>
      <c r="AD1292" s="1">
        <v>44698</v>
      </c>
      <c r="AE1292" t="str">
        <f>"SH22001164"</f>
        <v>SH22001164</v>
      </c>
      <c r="AF1292" t="str">
        <f>"משלוחים ללקוח"</f>
        <v>משלוחים ללקוח</v>
      </c>
      <c r="AG1292" s="1">
        <v>44832</v>
      </c>
      <c r="AM1292" t="str">
        <f>"10"</f>
        <v>10</v>
      </c>
      <c r="AN1292" t="str">
        <f>"500000"</f>
        <v>500000</v>
      </c>
      <c r="AO1292" t="str">
        <f>"הכנסות  מלקוחות"</f>
        <v>הכנסות  מלקוחות</v>
      </c>
      <c r="AQ1292" t="str">
        <f>"040"</f>
        <v>040</v>
      </c>
      <c r="AR1292">
        <v>0</v>
      </c>
      <c r="AS1292">
        <v>0</v>
      </c>
      <c r="AT1292">
        <v>3.53</v>
      </c>
      <c r="AX1292" t="str">
        <f>"E000364002"</f>
        <v>E000364002</v>
      </c>
      <c r="BD1292" t="str">
        <f>"רחמים זרוק"</f>
        <v>רחמים זרוק</v>
      </c>
    </row>
    <row r="1293" spans="1:56" x14ac:dyDescent="0.3">
      <c r="A1293" s="1">
        <v>44866</v>
      </c>
      <c r="B1293" t="str">
        <f>"SI226001370"</f>
        <v>SI226001370</v>
      </c>
      <c r="C1293" t="str">
        <f>"PR22000210"</f>
        <v>PR22000210</v>
      </c>
      <c r="E1293" t="str">
        <f>"Y"</f>
        <v>Y</v>
      </c>
      <c r="F1293" t="str">
        <f>"חשבוניות מרכזות"</f>
        <v>חשבוניות מרכזות</v>
      </c>
      <c r="G1293" t="str">
        <f>"700065"</f>
        <v>700065</v>
      </c>
      <c r="H1293" t="str">
        <f>"אלתא מערכות בע""מ"</f>
        <v>אלתא מערכות בע"מ</v>
      </c>
      <c r="I1293" t="str">
        <f>"10"</f>
        <v>10</v>
      </c>
      <c r="J1293" t="str">
        <f>"OP-AR03030"</f>
        <v>OP-AR03030</v>
      </c>
      <c r="K1293" t="str">
        <f>"1040U430-001 CABLE ASSY WP305  - LRIR"</f>
        <v>1040U430-001 CABLE ASSY WP305  - LRIR</v>
      </c>
      <c r="L1293">
        <v>-1</v>
      </c>
      <c r="M1293" t="str">
        <f>"יח"</f>
        <v>יח</v>
      </c>
      <c r="N1293">
        <v>-1</v>
      </c>
      <c r="O1293" t="str">
        <f>"יח"</f>
        <v>יח</v>
      </c>
      <c r="P1293">
        <v>855</v>
      </c>
      <c r="Q1293" t="str">
        <f>"$"</f>
        <v>$</v>
      </c>
      <c r="R1293" t="str">
        <f>"הזמנה"</f>
        <v>הזמנה</v>
      </c>
      <c r="S1293">
        <v>0</v>
      </c>
      <c r="T1293">
        <v>-855</v>
      </c>
      <c r="U1293">
        <v>0</v>
      </c>
      <c r="V1293">
        <v>-855</v>
      </c>
      <c r="W1293" t="str">
        <f>"$"</f>
        <v>$</v>
      </c>
      <c r="X1293">
        <v>0</v>
      </c>
      <c r="Y1293">
        <v>0</v>
      </c>
      <c r="Z1293">
        <v>0</v>
      </c>
      <c r="AA1293" t="str">
        <f>"Y"</f>
        <v>Y</v>
      </c>
      <c r="AC1293">
        <v>0</v>
      </c>
      <c r="AM1293" t="str">
        <f>"10"</f>
        <v>10</v>
      </c>
      <c r="AN1293" t="str">
        <f>"500000"</f>
        <v>500000</v>
      </c>
      <c r="AO1293" t="str">
        <f>"הכנסות  מלקוחות"</f>
        <v>הכנסות  מלקוחות</v>
      </c>
      <c r="AQ1293" t="str">
        <f>"007"</f>
        <v>007</v>
      </c>
      <c r="AR1293">
        <v>0</v>
      </c>
      <c r="AS1293">
        <v>0</v>
      </c>
      <c r="AT1293">
        <v>3.3250000000000002</v>
      </c>
      <c r="BB1293" t="str">
        <f>"Y"</f>
        <v>Y</v>
      </c>
      <c r="BD1293" t="str">
        <f>"רוני דידי"</f>
        <v>רוני דידי</v>
      </c>
    </row>
    <row r="1294" spans="1:56" x14ac:dyDescent="0.3">
      <c r="A1294" s="1">
        <v>44866</v>
      </c>
      <c r="B1294" t="str">
        <f>"SI226001370"</f>
        <v>SI226001370</v>
      </c>
      <c r="C1294" t="str">
        <f>"PR22000210"</f>
        <v>PR22000210</v>
      </c>
      <c r="E1294" t="str">
        <f>"Y"</f>
        <v>Y</v>
      </c>
      <c r="F1294" t="str">
        <f>"חשבוניות מרכזות"</f>
        <v>חשבוניות מרכזות</v>
      </c>
      <c r="G1294" t="str">
        <f>"700065"</f>
        <v>700065</v>
      </c>
      <c r="H1294" t="str">
        <f>"אלתא מערכות בע""מ"</f>
        <v>אלתא מערכות בע"מ</v>
      </c>
      <c r="I1294" t="str">
        <f>"10"</f>
        <v>10</v>
      </c>
      <c r="J1294" t="str">
        <f>"OP-AR03031"</f>
        <v>OP-AR03031</v>
      </c>
      <c r="K1294" t="str">
        <f>"1040U431-001 CABLE ASSY WP306  - LRIR"</f>
        <v>1040U431-001 CABLE ASSY WP306  - LRIR</v>
      </c>
      <c r="L1294">
        <v>-1</v>
      </c>
      <c r="M1294" t="str">
        <f>"יח"</f>
        <v>יח</v>
      </c>
      <c r="N1294">
        <v>-1</v>
      </c>
      <c r="O1294" t="str">
        <f>"יח"</f>
        <v>יח</v>
      </c>
      <c r="P1294">
        <v>965</v>
      </c>
      <c r="Q1294" t="str">
        <f>"$"</f>
        <v>$</v>
      </c>
      <c r="R1294" t="str">
        <f>"הזמנה"</f>
        <v>הזמנה</v>
      </c>
      <c r="S1294">
        <v>0</v>
      </c>
      <c r="T1294">
        <v>-965</v>
      </c>
      <c r="U1294">
        <v>0</v>
      </c>
      <c r="V1294">
        <v>-965</v>
      </c>
      <c r="W1294" t="str">
        <f>"$"</f>
        <v>$</v>
      </c>
      <c r="X1294">
        <v>0</v>
      </c>
      <c r="Y1294">
        <v>0</v>
      </c>
      <c r="Z1294">
        <v>0</v>
      </c>
      <c r="AA1294" t="str">
        <f>"Y"</f>
        <v>Y</v>
      </c>
      <c r="AC1294">
        <v>0</v>
      </c>
      <c r="AM1294" t="str">
        <f>"10"</f>
        <v>10</v>
      </c>
      <c r="AN1294" t="str">
        <f>"500000"</f>
        <v>500000</v>
      </c>
      <c r="AO1294" t="str">
        <f>"הכנסות  מלקוחות"</f>
        <v>הכנסות  מלקוחות</v>
      </c>
      <c r="AQ1294" t="str">
        <f>"007"</f>
        <v>007</v>
      </c>
      <c r="AR1294">
        <v>0</v>
      </c>
      <c r="AS1294">
        <v>0</v>
      </c>
      <c r="AT1294">
        <v>3.3250000000000002</v>
      </c>
      <c r="BB1294" t="str">
        <f>"Y"</f>
        <v>Y</v>
      </c>
      <c r="BD1294" t="str">
        <f>"רוני דידי"</f>
        <v>רוני דידי</v>
      </c>
    </row>
    <row r="1295" spans="1:56" x14ac:dyDescent="0.3">
      <c r="A1295" s="1">
        <v>44866</v>
      </c>
      <c r="B1295" t="str">
        <f>"SI226001369"</f>
        <v>SI226001369</v>
      </c>
      <c r="C1295" t="str">
        <f>"PR22000374"</f>
        <v>PR22000374</v>
      </c>
      <c r="E1295" t="str">
        <f>"Y"</f>
        <v>Y</v>
      </c>
      <c r="F1295" t="str">
        <f>"חשבוניות מרכזות"</f>
        <v>חשבוניות מרכזות</v>
      </c>
      <c r="G1295" t="str">
        <f>"700065"</f>
        <v>700065</v>
      </c>
      <c r="H1295" t="str">
        <f>"אלתא מערכות בע""מ"</f>
        <v>אלתא מערכות בע"מ</v>
      </c>
      <c r="I1295" t="str">
        <f>"10"</f>
        <v>10</v>
      </c>
      <c r="J1295" t="str">
        <f>"OP-AR03138"</f>
        <v>OP-AR03138</v>
      </c>
      <c r="K1295" t="str">
        <f>"2215D097-001    HARNESS W097 - AARDVARK PROGRAMMING"</f>
        <v>2215D097-001    HARNESS W097 - AARDVARK PROGRAMMING</v>
      </c>
      <c r="L1295">
        <v>-6</v>
      </c>
      <c r="M1295" t="str">
        <f>"יח"</f>
        <v>יח</v>
      </c>
      <c r="N1295">
        <v>-6</v>
      </c>
      <c r="O1295" t="str">
        <f>"יח"</f>
        <v>יח</v>
      </c>
      <c r="P1295" s="2">
        <v>1662.84</v>
      </c>
      <c r="Q1295" t="str">
        <f>"$"</f>
        <v>$</v>
      </c>
      <c r="R1295" t="str">
        <f>"הזמנה"</f>
        <v>הזמנה</v>
      </c>
      <c r="S1295">
        <v>0</v>
      </c>
      <c r="T1295" s="2">
        <v>-9977.0400000000009</v>
      </c>
      <c r="U1295">
        <v>0</v>
      </c>
      <c r="V1295" s="2">
        <v>-9977.0400000000009</v>
      </c>
      <c r="W1295" t="str">
        <f>"$"</f>
        <v>$</v>
      </c>
      <c r="X1295">
        <v>0</v>
      </c>
      <c r="Y1295">
        <v>0</v>
      </c>
      <c r="Z1295">
        <v>0</v>
      </c>
      <c r="AA1295" t="str">
        <f>"Y"</f>
        <v>Y</v>
      </c>
      <c r="AC1295">
        <v>0</v>
      </c>
      <c r="AM1295" t="str">
        <f>"10"</f>
        <v>10</v>
      </c>
      <c r="AN1295" t="str">
        <f>"500000"</f>
        <v>500000</v>
      </c>
      <c r="AO1295" t="str">
        <f>"הכנסות  מלקוחות"</f>
        <v>הכנסות  מלקוחות</v>
      </c>
      <c r="AQ1295" t="str">
        <f>"040"</f>
        <v>040</v>
      </c>
      <c r="AR1295">
        <v>0</v>
      </c>
      <c r="AS1295">
        <v>0</v>
      </c>
      <c r="AT1295">
        <v>3.5430000000000001</v>
      </c>
      <c r="BB1295" t="str">
        <f>"Y"</f>
        <v>Y</v>
      </c>
      <c r="BD1295" t="str">
        <f>"רחמים זרוק"</f>
        <v>רחמים זרוק</v>
      </c>
    </row>
    <row r="1296" spans="1:56" x14ac:dyDescent="0.3">
      <c r="A1296" s="1">
        <v>44866</v>
      </c>
      <c r="B1296" t="str">
        <f>"SI226001367"</f>
        <v>SI226001367</v>
      </c>
      <c r="C1296" t="str">
        <f>"PR22000576"</f>
        <v>PR22000576</v>
      </c>
      <c r="E1296" t="str">
        <f>"Y"</f>
        <v>Y</v>
      </c>
      <c r="F1296" t="str">
        <f>"חשבוניות מרכזות"</f>
        <v>חשבוניות מרכזות</v>
      </c>
      <c r="G1296" t="str">
        <f>"700065"</f>
        <v>700065</v>
      </c>
      <c r="H1296" t="str">
        <f>"אלתא מערכות בע""מ"</f>
        <v>אלתא מערכות בע"מ</v>
      </c>
      <c r="I1296" t="str">
        <f>"10"</f>
        <v>10</v>
      </c>
      <c r="J1296" t="str">
        <f>"cust00891"</f>
        <v>cust00891</v>
      </c>
      <c r="K1296" t="str">
        <f>"1038H185-001 אלתא"</f>
        <v>1038H185-001 אלתא</v>
      </c>
      <c r="L1296">
        <v>-1</v>
      </c>
      <c r="M1296" t="str">
        <f>"יח"</f>
        <v>יח</v>
      </c>
      <c r="N1296">
        <v>-1</v>
      </c>
      <c r="O1296" t="str">
        <f>"יח"</f>
        <v>יח</v>
      </c>
      <c r="P1296" s="2">
        <v>1995</v>
      </c>
      <c r="Q1296" t="str">
        <f>"$"</f>
        <v>$</v>
      </c>
      <c r="R1296" t="str">
        <f>"הזמנה"</f>
        <v>הזמנה</v>
      </c>
      <c r="S1296">
        <v>0</v>
      </c>
      <c r="T1296" s="2">
        <v>-1995</v>
      </c>
      <c r="U1296">
        <v>0</v>
      </c>
      <c r="V1296" s="2">
        <v>-1995</v>
      </c>
      <c r="W1296" t="str">
        <f>"$"</f>
        <v>$</v>
      </c>
      <c r="X1296">
        <v>0</v>
      </c>
      <c r="Y1296">
        <v>0</v>
      </c>
      <c r="Z1296">
        <v>0</v>
      </c>
      <c r="AA1296" t="str">
        <f>"Y"</f>
        <v>Y</v>
      </c>
      <c r="AC1296">
        <v>0</v>
      </c>
      <c r="AM1296" t="str">
        <f>"10"</f>
        <v>10</v>
      </c>
      <c r="AN1296" t="str">
        <f>"500000"</f>
        <v>500000</v>
      </c>
      <c r="AO1296" t="str">
        <f>"הכנסות  מלקוחות"</f>
        <v>הכנסות  מלקוחות</v>
      </c>
      <c r="AQ1296" t="str">
        <f>"034"</f>
        <v>034</v>
      </c>
      <c r="AR1296">
        <v>0</v>
      </c>
      <c r="AS1296">
        <v>0</v>
      </c>
      <c r="AT1296">
        <v>3.536</v>
      </c>
      <c r="BB1296" t="str">
        <f>"Y"</f>
        <v>Y</v>
      </c>
      <c r="BD1296" t="str">
        <f>"ערן שלו"</f>
        <v>ערן שלו</v>
      </c>
    </row>
    <row r="1297" spans="1:56" x14ac:dyDescent="0.3">
      <c r="A1297" s="1">
        <v>44866</v>
      </c>
      <c r="B1297" t="str">
        <f>"SI226001366"</f>
        <v>SI226001366</v>
      </c>
      <c r="E1297" t="str">
        <f>"Y"</f>
        <v>Y</v>
      </c>
      <c r="F1297" t="str">
        <f>"חשבוניות מרכזות"</f>
        <v>חשבוניות מרכזות</v>
      </c>
      <c r="G1297" t="str">
        <f>"700065"</f>
        <v>700065</v>
      </c>
      <c r="H1297" t="str">
        <f>"אלתא מערכות בע""מ"</f>
        <v>אלתא מערכות בע"מ</v>
      </c>
      <c r="I1297" t="str">
        <f>"10"</f>
        <v>10</v>
      </c>
      <c r="J1297" t="str">
        <f>"OP-AR01025"</f>
        <v>OP-AR01025</v>
      </c>
      <c r="K1297" t="str">
        <f>"BATTERY BOX 1039V520-001"</f>
        <v>BATTERY BOX 1039V520-001</v>
      </c>
      <c r="L1297">
        <v>-1</v>
      </c>
      <c r="M1297" t="str">
        <f>"יח"</f>
        <v>יח</v>
      </c>
      <c r="N1297">
        <v>-1</v>
      </c>
      <c r="O1297" t="str">
        <f>"יח"</f>
        <v>יח</v>
      </c>
      <c r="P1297" s="2">
        <v>5577</v>
      </c>
      <c r="Q1297" t="str">
        <f>"$"</f>
        <v>$</v>
      </c>
      <c r="R1297" t="str">
        <f>"הזמנה"</f>
        <v>הזמנה</v>
      </c>
      <c r="S1297">
        <v>0</v>
      </c>
      <c r="T1297" s="2">
        <v>-5577</v>
      </c>
      <c r="U1297">
        <v>0</v>
      </c>
      <c r="V1297" s="2">
        <v>-5577</v>
      </c>
      <c r="W1297" t="str">
        <f>"$"</f>
        <v>$</v>
      </c>
      <c r="X1297">
        <v>0</v>
      </c>
      <c r="Y1297">
        <v>0</v>
      </c>
      <c r="Z1297">
        <v>0</v>
      </c>
      <c r="AA1297" t="str">
        <f>"Y"</f>
        <v>Y</v>
      </c>
      <c r="AC1297">
        <v>0</v>
      </c>
      <c r="AM1297" t="str">
        <f>"10"</f>
        <v>10</v>
      </c>
      <c r="AN1297" t="str">
        <f>"500000"</f>
        <v>500000</v>
      </c>
      <c r="AO1297" t="str">
        <f>"הכנסות  מלקוחות"</f>
        <v>הכנסות  מלקוחות</v>
      </c>
      <c r="AQ1297" t="str">
        <f>"034"</f>
        <v>034</v>
      </c>
      <c r="AR1297">
        <v>0</v>
      </c>
      <c r="AS1297">
        <v>0</v>
      </c>
      <c r="AT1297">
        <v>3.2250000000000001</v>
      </c>
      <c r="BB1297" t="str">
        <f>"Y"</f>
        <v>Y</v>
      </c>
      <c r="BD1297" t="str">
        <f>"ערן שלו"</f>
        <v>ערן שלו</v>
      </c>
    </row>
    <row r="1298" spans="1:56" x14ac:dyDescent="0.3">
      <c r="A1298" s="1">
        <v>44866</v>
      </c>
      <c r="B1298" t="str">
        <f>"SI226001366"</f>
        <v>SI226001366</v>
      </c>
      <c r="E1298" t="str">
        <f>"Y"</f>
        <v>Y</v>
      </c>
      <c r="F1298" t="str">
        <f>"חשבוניות מרכזות"</f>
        <v>חשבוניות מרכזות</v>
      </c>
      <c r="G1298" t="str">
        <f>"700065"</f>
        <v>700065</v>
      </c>
      <c r="H1298" t="str">
        <f>"אלתא מערכות בע""מ"</f>
        <v>אלתא מערכות בע"מ</v>
      </c>
      <c r="I1298" t="str">
        <f>"10"</f>
        <v>10</v>
      </c>
      <c r="J1298" t="str">
        <f>"OP-AR01025"</f>
        <v>OP-AR01025</v>
      </c>
      <c r="K1298" t="str">
        <f>"BATTERY BOX 1039V520-001"</f>
        <v>BATTERY BOX 1039V520-001</v>
      </c>
      <c r="L1298">
        <v>-1</v>
      </c>
      <c r="M1298" t="str">
        <f>"יח"</f>
        <v>יח</v>
      </c>
      <c r="N1298">
        <v>-1</v>
      </c>
      <c r="O1298" t="str">
        <f>"יח"</f>
        <v>יח</v>
      </c>
      <c r="P1298" s="2">
        <v>5577</v>
      </c>
      <c r="Q1298" t="str">
        <f>"$"</f>
        <v>$</v>
      </c>
      <c r="R1298" t="str">
        <f>"הזמנה"</f>
        <v>הזמנה</v>
      </c>
      <c r="S1298">
        <v>0</v>
      </c>
      <c r="T1298" s="2">
        <v>-5577</v>
      </c>
      <c r="U1298">
        <v>0</v>
      </c>
      <c r="V1298" s="2">
        <v>-5577</v>
      </c>
      <c r="W1298" t="str">
        <f>"$"</f>
        <v>$</v>
      </c>
      <c r="X1298">
        <v>0</v>
      </c>
      <c r="Y1298">
        <v>0</v>
      </c>
      <c r="Z1298">
        <v>0</v>
      </c>
      <c r="AA1298" t="str">
        <f>"Y"</f>
        <v>Y</v>
      </c>
      <c r="AC1298">
        <v>0</v>
      </c>
      <c r="AM1298" t="str">
        <f>"10"</f>
        <v>10</v>
      </c>
      <c r="AN1298" t="str">
        <f>"500000"</f>
        <v>500000</v>
      </c>
      <c r="AO1298" t="str">
        <f>"הכנסות  מלקוחות"</f>
        <v>הכנסות  מלקוחות</v>
      </c>
      <c r="AQ1298" t="str">
        <f>"034"</f>
        <v>034</v>
      </c>
      <c r="AR1298">
        <v>0</v>
      </c>
      <c r="AS1298">
        <v>0</v>
      </c>
      <c r="AT1298">
        <v>3.2250000000000001</v>
      </c>
      <c r="BB1298" t="str">
        <f>"Y"</f>
        <v>Y</v>
      </c>
      <c r="BD1298" t="str">
        <f>"ערן שלו"</f>
        <v>ערן שלו</v>
      </c>
    </row>
    <row r="1299" spans="1:56" x14ac:dyDescent="0.3">
      <c r="A1299" s="1">
        <v>44866</v>
      </c>
      <c r="B1299" t="str">
        <f>"SI226001365"</f>
        <v>SI226001365</v>
      </c>
      <c r="E1299" t="str">
        <f>"Y"</f>
        <v>Y</v>
      </c>
      <c r="F1299" t="str">
        <f>"חשבוניות מרכזות"</f>
        <v>חשבוניות מרכזות</v>
      </c>
      <c r="G1299" t="str">
        <f>"700065"</f>
        <v>700065</v>
      </c>
      <c r="H1299" t="str">
        <f>"אלתא מערכות בע""מ"</f>
        <v>אלתא מערכות בע"מ</v>
      </c>
      <c r="I1299" t="str">
        <f>"10"</f>
        <v>10</v>
      </c>
      <c r="J1299" t="str">
        <f>"OP-AR09107-1"</f>
        <v>OP-AR09107-1</v>
      </c>
      <c r="K1299" t="str">
        <f>"לוח AUX BOX מק""ט לקוח 1036V320 001"</f>
        <v>לוח AUX BOX מק"ט לקוח 1036V320 001</v>
      </c>
      <c r="L1299">
        <v>-1</v>
      </c>
      <c r="M1299" t="str">
        <f>"יח"</f>
        <v>יח</v>
      </c>
      <c r="N1299">
        <v>-1</v>
      </c>
      <c r="O1299" t="str">
        <f>"יח"</f>
        <v>יח</v>
      </c>
      <c r="P1299" s="2">
        <v>26958</v>
      </c>
      <c r="Q1299" t="str">
        <f>"$"</f>
        <v>$</v>
      </c>
      <c r="R1299" t="str">
        <f>"הזמנה"</f>
        <v>הזמנה</v>
      </c>
      <c r="S1299">
        <v>0</v>
      </c>
      <c r="T1299" s="2">
        <v>-26958</v>
      </c>
      <c r="U1299">
        <v>0</v>
      </c>
      <c r="V1299" s="2">
        <v>-26958</v>
      </c>
      <c r="W1299" t="str">
        <f>"$"</f>
        <v>$</v>
      </c>
      <c r="X1299">
        <v>0</v>
      </c>
      <c r="Y1299">
        <v>0</v>
      </c>
      <c r="Z1299">
        <v>0</v>
      </c>
      <c r="AA1299" t="str">
        <f>"Y"</f>
        <v>Y</v>
      </c>
      <c r="AC1299">
        <v>0</v>
      </c>
      <c r="AM1299" t="str">
        <f>"10"</f>
        <v>10</v>
      </c>
      <c r="AN1299" t="str">
        <f>"500000"</f>
        <v>500000</v>
      </c>
      <c r="AO1299" t="str">
        <f>"הכנסות  מלקוחות"</f>
        <v>הכנסות  מלקוחות</v>
      </c>
      <c r="AQ1299" t="str">
        <f>"034"</f>
        <v>034</v>
      </c>
      <c r="AR1299">
        <v>0</v>
      </c>
      <c r="AS1299">
        <v>0</v>
      </c>
      <c r="AT1299">
        <v>3.2589999999999999</v>
      </c>
      <c r="BB1299" t="str">
        <f>"Y"</f>
        <v>Y</v>
      </c>
      <c r="BD1299" t="str">
        <f>"ערן שלו"</f>
        <v>ערן שלו</v>
      </c>
    </row>
    <row r="1300" spans="1:56" x14ac:dyDescent="0.3">
      <c r="A1300" s="1">
        <v>44866</v>
      </c>
      <c r="B1300" t="str">
        <f>"SI226001363"</f>
        <v>SI226001363</v>
      </c>
      <c r="C1300" t="str">
        <f>"PR20000648"</f>
        <v>PR20000648</v>
      </c>
      <c r="E1300" t="str">
        <f>"Y"</f>
        <v>Y</v>
      </c>
      <c r="F1300" t="str">
        <f>"חשבוניות מרכזות"</f>
        <v>חשבוניות מרכזות</v>
      </c>
      <c r="G1300" t="str">
        <f>"700065"</f>
        <v>700065</v>
      </c>
      <c r="H1300" t="str">
        <f>"אלתא מערכות בע""מ"</f>
        <v>אלתא מערכות בע"מ</v>
      </c>
      <c r="I1300" t="str">
        <f>"10"</f>
        <v>10</v>
      </c>
      <c r="J1300" t="str">
        <f>"OP-AR02041"</f>
        <v>OP-AR02041</v>
      </c>
      <c r="K1300" t="str">
        <f>"PDB1 1038C860-001"</f>
        <v>PDB1 1038C860-001</v>
      </c>
      <c r="L1300">
        <v>-1</v>
      </c>
      <c r="M1300" t="str">
        <f>"יח"</f>
        <v>יח</v>
      </c>
      <c r="N1300">
        <v>-1</v>
      </c>
      <c r="O1300" t="str">
        <f>"יח"</f>
        <v>יח</v>
      </c>
      <c r="P1300" s="2">
        <v>38545</v>
      </c>
      <c r="Q1300" t="str">
        <f>"$"</f>
        <v>$</v>
      </c>
      <c r="R1300" t="str">
        <f>"הזמנה"</f>
        <v>הזמנה</v>
      </c>
      <c r="S1300">
        <v>0</v>
      </c>
      <c r="T1300" s="2">
        <v>-38545</v>
      </c>
      <c r="U1300">
        <v>0</v>
      </c>
      <c r="V1300" s="2">
        <v>-38545</v>
      </c>
      <c r="W1300" t="str">
        <f>"$"</f>
        <v>$</v>
      </c>
      <c r="X1300">
        <v>0</v>
      </c>
      <c r="Y1300">
        <v>0</v>
      </c>
      <c r="Z1300">
        <v>0</v>
      </c>
      <c r="AA1300" t="str">
        <f>"Y"</f>
        <v>Y</v>
      </c>
      <c r="AC1300">
        <v>0</v>
      </c>
      <c r="AM1300" t="str">
        <f>"10"</f>
        <v>10</v>
      </c>
      <c r="AN1300" t="str">
        <f>"500000"</f>
        <v>500000</v>
      </c>
      <c r="AO1300" t="str">
        <f>"הכנסות  מלקוחות"</f>
        <v>הכנסות  מלקוחות</v>
      </c>
      <c r="AQ1300" t="str">
        <f>"034"</f>
        <v>034</v>
      </c>
      <c r="AR1300">
        <v>0</v>
      </c>
      <c r="AS1300">
        <v>0</v>
      </c>
      <c r="AT1300">
        <v>3.5259999999999998</v>
      </c>
      <c r="BB1300" t="str">
        <f>"Y"</f>
        <v>Y</v>
      </c>
      <c r="BD1300" t="str">
        <f>"ערן שלו"</f>
        <v>ערן שלו</v>
      </c>
    </row>
    <row r="1301" spans="1:56" x14ac:dyDescent="0.3">
      <c r="A1301" s="1">
        <v>44866</v>
      </c>
      <c r="B1301" t="str">
        <f>"SI226001323"</f>
        <v>SI226001323</v>
      </c>
      <c r="C1301" t="str">
        <f>"PR22000498"</f>
        <v>PR22000498</v>
      </c>
      <c r="D1301" t="str">
        <f>"PR22000498"</f>
        <v>PR22000498</v>
      </c>
      <c r="E1301" t="str">
        <f>"Y"</f>
        <v>Y</v>
      </c>
      <c r="F1301" t="str">
        <f>"חשבוניות מרכזות"</f>
        <v>חשבוניות מרכזות</v>
      </c>
      <c r="G1301" t="str">
        <f>"700065"</f>
        <v>700065</v>
      </c>
      <c r="H1301" t="str">
        <f>"אלתא מערכות בע""מ"</f>
        <v>אלתא מערכות בע"מ</v>
      </c>
      <c r="I1301" t="str">
        <f>"10"</f>
        <v>10</v>
      </c>
      <c r="J1301" t="str">
        <f>"GT0600049"</f>
        <v>GT0600049</v>
      </c>
      <c r="K1301" t="str">
        <f>"פנס תאורה דגם יופיטר כולל נורת רכב מתח 230V"</f>
        <v>פנס תאורה דגם יופיטר כולל נורת רכב מתח 230V</v>
      </c>
      <c r="L1301">
        <v>4</v>
      </c>
      <c r="M1301" t="str">
        <f>"יח"</f>
        <v>יח</v>
      </c>
      <c r="N1301">
        <v>4</v>
      </c>
      <c r="O1301" t="str">
        <f>"יח"</f>
        <v>יח</v>
      </c>
      <c r="P1301">
        <v>345</v>
      </c>
      <c r="Q1301" t="str">
        <f>"$"</f>
        <v>$</v>
      </c>
      <c r="R1301" t="str">
        <f>"הזמנה"</f>
        <v>הזמנה</v>
      </c>
      <c r="S1301">
        <v>0</v>
      </c>
      <c r="T1301" s="2">
        <v>1380</v>
      </c>
      <c r="U1301">
        <v>0</v>
      </c>
      <c r="V1301" s="2">
        <v>1380</v>
      </c>
      <c r="W1301" t="str">
        <f>"$"</f>
        <v>$</v>
      </c>
      <c r="X1301">
        <v>0</v>
      </c>
      <c r="Y1301">
        <v>0</v>
      </c>
      <c r="Z1301">
        <v>0</v>
      </c>
      <c r="AA1301" t="str">
        <f>"Y"</f>
        <v>Y</v>
      </c>
      <c r="AB1301" t="str">
        <f>"SO22000267"</f>
        <v>SO22000267</v>
      </c>
      <c r="AC1301">
        <v>1</v>
      </c>
      <c r="AD1301" s="1">
        <v>44745</v>
      </c>
      <c r="AE1301" t="str">
        <f>"SH22001222"</f>
        <v>SH22001222</v>
      </c>
      <c r="AF1301" t="str">
        <f>"משלוחים ללקוח"</f>
        <v>משלוחים ללקוח</v>
      </c>
      <c r="AG1301" s="1">
        <v>44859</v>
      </c>
      <c r="AM1301" t="str">
        <f>"10"</f>
        <v>10</v>
      </c>
      <c r="AN1301" t="str">
        <f>"500000"</f>
        <v>500000</v>
      </c>
      <c r="AO1301" t="str">
        <f>"הכנסות  מלקוחות"</f>
        <v>הכנסות  מלקוחות</v>
      </c>
      <c r="AQ1301" t="str">
        <f>"007"</f>
        <v>007</v>
      </c>
      <c r="AR1301">
        <v>0</v>
      </c>
      <c r="AS1301">
        <v>0</v>
      </c>
      <c r="AT1301">
        <v>3.53</v>
      </c>
      <c r="AX1301" t="str">
        <f>"E000368702"</f>
        <v>E000368702</v>
      </c>
      <c r="BD1301" t="str">
        <f>"רוני דידי"</f>
        <v>רוני דידי</v>
      </c>
    </row>
    <row r="1302" spans="1:56" x14ac:dyDescent="0.3">
      <c r="A1302" s="1">
        <v>44866</v>
      </c>
      <c r="B1302" t="str">
        <f>"SI226001321"</f>
        <v>SI226001321</v>
      </c>
      <c r="C1302" t="str">
        <f>"PR22000244"</f>
        <v>PR22000244</v>
      </c>
      <c r="E1302" t="str">
        <f>"Y"</f>
        <v>Y</v>
      </c>
      <c r="F1302" t="str">
        <f>"חשבוניות מרכזות"</f>
        <v>חשבוניות מרכזות</v>
      </c>
      <c r="G1302" t="str">
        <f>"700065"</f>
        <v>700065</v>
      </c>
      <c r="H1302" t="str">
        <f>"אלתא מערכות בע""מ"</f>
        <v>אלתא מערכות בע"מ</v>
      </c>
      <c r="I1302" t="str">
        <f>"10"</f>
        <v>10</v>
      </c>
      <c r="J1302" t="str">
        <f>"OP-AR03044"</f>
        <v>OP-AR03044</v>
      </c>
      <c r="K1302" t="str">
        <f>"2222B158-001   CABLE ASSY ORW104"</f>
        <v>2222B158-001   CABLE ASSY ORW104</v>
      </c>
      <c r="L1302">
        <v>1</v>
      </c>
      <c r="M1302" t="str">
        <f>"יח"</f>
        <v>יח</v>
      </c>
      <c r="N1302">
        <v>1</v>
      </c>
      <c r="O1302" t="str">
        <f>"יח"</f>
        <v>יח</v>
      </c>
      <c r="P1302" s="2">
        <v>1952.33</v>
      </c>
      <c r="Q1302" t="str">
        <f>"$"</f>
        <v>$</v>
      </c>
      <c r="R1302" t="str">
        <f>"הזמנה"</f>
        <v>הזמנה</v>
      </c>
      <c r="S1302">
        <v>0</v>
      </c>
      <c r="T1302" s="2">
        <v>1952.33</v>
      </c>
      <c r="U1302">
        <v>0</v>
      </c>
      <c r="V1302" s="2">
        <v>1952.33</v>
      </c>
      <c r="W1302" t="str">
        <f>"$"</f>
        <v>$</v>
      </c>
      <c r="X1302">
        <v>0</v>
      </c>
      <c r="Y1302">
        <v>0</v>
      </c>
      <c r="Z1302">
        <v>0</v>
      </c>
      <c r="AA1302" t="str">
        <f>"Y"</f>
        <v>Y</v>
      </c>
      <c r="AB1302" t="str">
        <f>"SO22000114"</f>
        <v>SO22000114</v>
      </c>
      <c r="AC1302">
        <v>5</v>
      </c>
      <c r="AD1302" s="1">
        <v>44641</v>
      </c>
      <c r="AE1302" t="str">
        <f>"SH22001165"</f>
        <v>SH22001165</v>
      </c>
      <c r="AF1302" t="str">
        <f>"משלוחים ללקוח"</f>
        <v>משלוחים ללקוח</v>
      </c>
      <c r="AG1302" s="1">
        <v>44832</v>
      </c>
      <c r="AM1302" t="str">
        <f>"10"</f>
        <v>10</v>
      </c>
      <c r="AN1302" t="str">
        <f>"500000"</f>
        <v>500000</v>
      </c>
      <c r="AO1302" t="str">
        <f>"הכנסות  מלקוחות"</f>
        <v>הכנסות  מלקוחות</v>
      </c>
      <c r="AQ1302" t="str">
        <f>"040"</f>
        <v>040</v>
      </c>
      <c r="AR1302">
        <v>0</v>
      </c>
      <c r="AS1302">
        <v>0</v>
      </c>
      <c r="AT1302">
        <v>3.53</v>
      </c>
      <c r="AX1302" t="str">
        <f>"E000360381"</f>
        <v>E000360381</v>
      </c>
      <c r="BD1302" t="str">
        <f>"רחמים זרוק"</f>
        <v>רחמים זרוק</v>
      </c>
    </row>
    <row r="1303" spans="1:56" x14ac:dyDescent="0.3">
      <c r="A1303" s="1">
        <v>44866</v>
      </c>
      <c r="B1303" t="str">
        <f>"SI226001320"</f>
        <v>SI226001320</v>
      </c>
      <c r="C1303" t="str">
        <f>"PR22000223"</f>
        <v>PR22000223</v>
      </c>
      <c r="E1303" t="str">
        <f>"Y"</f>
        <v>Y</v>
      </c>
      <c r="F1303" t="str">
        <f>"חשבוניות מרכזות"</f>
        <v>חשבוניות מרכזות</v>
      </c>
      <c r="G1303" t="str">
        <f>"700065"</f>
        <v>700065</v>
      </c>
      <c r="H1303" t="str">
        <f>"אלתא מערכות בע""מ"</f>
        <v>אלתא מערכות בע"מ</v>
      </c>
      <c r="I1303" t="str">
        <f>"10"</f>
        <v>10</v>
      </c>
      <c r="J1303" t="str">
        <f>"OP-AR03005"</f>
        <v>OP-AR03005</v>
      </c>
      <c r="K1303" t="str">
        <f>"2032D917-001   CABLE ASSY JTAG"</f>
        <v>2032D917-001   CABLE ASSY JTAG</v>
      </c>
      <c r="L1303">
        <v>6</v>
      </c>
      <c r="M1303" t="str">
        <f>"יח"</f>
        <v>יח</v>
      </c>
      <c r="N1303">
        <v>6</v>
      </c>
      <c r="O1303" t="str">
        <f>"יח"</f>
        <v>יח</v>
      </c>
      <c r="P1303">
        <v>188.83</v>
      </c>
      <c r="Q1303" t="str">
        <f>"$"</f>
        <v>$</v>
      </c>
      <c r="R1303" t="str">
        <f>"הזמנה"</f>
        <v>הזמנה</v>
      </c>
      <c r="S1303">
        <v>0</v>
      </c>
      <c r="T1303" s="2">
        <v>1132.98</v>
      </c>
      <c r="U1303">
        <v>0</v>
      </c>
      <c r="V1303" s="2">
        <v>1132.98</v>
      </c>
      <c r="W1303" t="str">
        <f>"$"</f>
        <v>$</v>
      </c>
      <c r="X1303">
        <v>0</v>
      </c>
      <c r="Y1303">
        <v>0</v>
      </c>
      <c r="Z1303">
        <v>0</v>
      </c>
      <c r="AA1303" t="str">
        <f>"Y"</f>
        <v>Y</v>
      </c>
      <c r="AB1303" t="str">
        <f>"SO22000099"</f>
        <v>SO22000099</v>
      </c>
      <c r="AC1303">
        <v>13</v>
      </c>
      <c r="AD1303" s="1">
        <v>44629</v>
      </c>
      <c r="AE1303" t="str">
        <f>"SH22001221"</f>
        <v>SH22001221</v>
      </c>
      <c r="AF1303" t="str">
        <f>"משלוחים ללקוח"</f>
        <v>משלוחים ללקוח</v>
      </c>
      <c r="AG1303" s="1">
        <v>44859</v>
      </c>
      <c r="AM1303" t="str">
        <f>"10"</f>
        <v>10</v>
      </c>
      <c r="AN1303" t="str">
        <f>"500000"</f>
        <v>500000</v>
      </c>
      <c r="AO1303" t="str">
        <f>"הכנסות  מלקוחות"</f>
        <v>הכנסות  מלקוחות</v>
      </c>
      <c r="AQ1303" t="str">
        <f>"040"</f>
        <v>040</v>
      </c>
      <c r="AR1303">
        <v>0</v>
      </c>
      <c r="AS1303">
        <v>0</v>
      </c>
      <c r="AT1303">
        <v>3.53</v>
      </c>
      <c r="AX1303" t="str">
        <f>"E000358026"</f>
        <v>E000358026</v>
      </c>
      <c r="BD1303" t="str">
        <f>"רחמים זרוק"</f>
        <v>רחמים זרוק</v>
      </c>
    </row>
    <row r="1304" spans="1:56" x14ac:dyDescent="0.3">
      <c r="A1304" s="1">
        <v>44866</v>
      </c>
      <c r="B1304" t="str">
        <f>"SI226001320"</f>
        <v>SI226001320</v>
      </c>
      <c r="C1304" t="str">
        <f>"PR22000223"</f>
        <v>PR22000223</v>
      </c>
      <c r="E1304" t="str">
        <f>"Y"</f>
        <v>Y</v>
      </c>
      <c r="F1304" t="str">
        <f>"חשבוניות מרכזות"</f>
        <v>חשבוניות מרכזות</v>
      </c>
      <c r="G1304" t="str">
        <f>"700065"</f>
        <v>700065</v>
      </c>
      <c r="H1304" t="str">
        <f>"אלתא מערכות בע""מ"</f>
        <v>אלתא מערכות בע"מ</v>
      </c>
      <c r="I1304" t="str">
        <f>"10"</f>
        <v>10</v>
      </c>
      <c r="J1304" t="str">
        <f>"OP-AR03007"</f>
        <v>OP-AR03007</v>
      </c>
      <c r="K1304" t="str">
        <f>"2215D096-001   HARNESS WB002 - TEST CABLE FOR MINI IPB"</f>
        <v>2215D096-001   HARNESS WB002 - TEST CABLE FOR MINI IPB</v>
      </c>
      <c r="L1304">
        <v>6</v>
      </c>
      <c r="M1304" t="str">
        <f>"יח"</f>
        <v>יח</v>
      </c>
      <c r="N1304">
        <v>6</v>
      </c>
      <c r="O1304" t="str">
        <f>"יח"</f>
        <v>יח</v>
      </c>
      <c r="P1304">
        <v>211.3</v>
      </c>
      <c r="Q1304" t="str">
        <f>"$"</f>
        <v>$</v>
      </c>
      <c r="R1304" t="str">
        <f>"הזמנה"</f>
        <v>הזמנה</v>
      </c>
      <c r="S1304">
        <v>0</v>
      </c>
      <c r="T1304" s="2">
        <v>1267.8</v>
      </c>
      <c r="U1304">
        <v>0</v>
      </c>
      <c r="V1304" s="2">
        <v>1267.8</v>
      </c>
      <c r="W1304" t="str">
        <f>"$"</f>
        <v>$</v>
      </c>
      <c r="X1304">
        <v>0</v>
      </c>
      <c r="Y1304">
        <v>0</v>
      </c>
      <c r="Z1304">
        <v>0</v>
      </c>
      <c r="AA1304" t="str">
        <f>"Y"</f>
        <v>Y</v>
      </c>
      <c r="AB1304" t="str">
        <f>"SO22000099"</f>
        <v>SO22000099</v>
      </c>
      <c r="AC1304">
        <v>15</v>
      </c>
      <c r="AD1304" s="1">
        <v>44629</v>
      </c>
      <c r="AE1304" t="str">
        <f>"SH22001221"</f>
        <v>SH22001221</v>
      </c>
      <c r="AF1304" t="str">
        <f>"משלוחים ללקוח"</f>
        <v>משלוחים ללקוח</v>
      </c>
      <c r="AG1304" s="1">
        <v>44859</v>
      </c>
      <c r="AM1304" t="str">
        <f>"10"</f>
        <v>10</v>
      </c>
      <c r="AN1304" t="str">
        <f>"500000"</f>
        <v>500000</v>
      </c>
      <c r="AO1304" t="str">
        <f>"הכנסות  מלקוחות"</f>
        <v>הכנסות  מלקוחות</v>
      </c>
      <c r="AQ1304" t="str">
        <f>"040"</f>
        <v>040</v>
      </c>
      <c r="AR1304">
        <v>0</v>
      </c>
      <c r="AS1304">
        <v>0</v>
      </c>
      <c r="AT1304">
        <v>3.53</v>
      </c>
      <c r="AX1304" t="str">
        <f>"E000358026"</f>
        <v>E000358026</v>
      </c>
      <c r="BD1304" t="str">
        <f>"רחמים זרוק"</f>
        <v>רחמים זרוק</v>
      </c>
    </row>
    <row r="1305" spans="1:56" x14ac:dyDescent="0.3">
      <c r="A1305" s="1">
        <v>44866</v>
      </c>
      <c r="B1305" t="str">
        <f>"SI226001319"</f>
        <v>SI226001319</v>
      </c>
      <c r="C1305" t="str">
        <f>"PR22000244"</f>
        <v>PR22000244</v>
      </c>
      <c r="E1305" t="str">
        <f>"Y"</f>
        <v>Y</v>
      </c>
      <c r="F1305" t="str">
        <f>"חשבוניות מרכזות"</f>
        <v>חשבוניות מרכזות</v>
      </c>
      <c r="G1305" t="str">
        <f>"700065"</f>
        <v>700065</v>
      </c>
      <c r="H1305" t="str">
        <f>"אלתא מערכות בע""מ"</f>
        <v>אלתא מערכות בע"מ</v>
      </c>
      <c r="I1305" t="str">
        <f>"10"</f>
        <v>10</v>
      </c>
      <c r="J1305" t="str">
        <f>"OP-AR03043"</f>
        <v>OP-AR03043</v>
      </c>
      <c r="K1305" t="str">
        <f>"2222B156-001   CABLE ASSY ORW103"</f>
        <v>2222B156-001   CABLE ASSY ORW103</v>
      </c>
      <c r="L1305">
        <v>1</v>
      </c>
      <c r="M1305" t="str">
        <f>"יח"</f>
        <v>יח</v>
      </c>
      <c r="N1305">
        <v>1</v>
      </c>
      <c r="O1305" t="str">
        <f>"יח"</f>
        <v>יח</v>
      </c>
      <c r="P1305" s="2">
        <v>1357.01</v>
      </c>
      <c r="Q1305" t="str">
        <f>"$"</f>
        <v>$</v>
      </c>
      <c r="R1305" t="str">
        <f>"הזמנה"</f>
        <v>הזמנה</v>
      </c>
      <c r="S1305">
        <v>0</v>
      </c>
      <c r="T1305" s="2">
        <v>1357.01</v>
      </c>
      <c r="U1305">
        <v>0</v>
      </c>
      <c r="V1305" s="2">
        <v>1357.01</v>
      </c>
      <c r="W1305" t="str">
        <f>"$"</f>
        <v>$</v>
      </c>
      <c r="X1305">
        <v>0</v>
      </c>
      <c r="Y1305">
        <v>0</v>
      </c>
      <c r="Z1305">
        <v>0</v>
      </c>
      <c r="AA1305" t="str">
        <f>"Y"</f>
        <v>Y</v>
      </c>
      <c r="AB1305" t="str">
        <f>"SO22000114"</f>
        <v>SO22000114</v>
      </c>
      <c r="AC1305">
        <v>4</v>
      </c>
      <c r="AD1305" s="1">
        <v>44641</v>
      </c>
      <c r="AE1305" t="str">
        <f>"SH22001231"</f>
        <v>SH22001231</v>
      </c>
      <c r="AF1305" t="str">
        <f>"משלוחים ללקוח"</f>
        <v>משלוחים ללקוח</v>
      </c>
      <c r="AG1305" s="1">
        <v>44859</v>
      </c>
      <c r="AM1305" t="str">
        <f>"10"</f>
        <v>10</v>
      </c>
      <c r="AN1305" t="str">
        <f>"500000"</f>
        <v>500000</v>
      </c>
      <c r="AO1305" t="str">
        <f>"הכנסות  מלקוחות"</f>
        <v>הכנסות  מלקוחות</v>
      </c>
      <c r="AQ1305" t="str">
        <f>"040"</f>
        <v>040</v>
      </c>
      <c r="AR1305">
        <v>0</v>
      </c>
      <c r="AS1305">
        <v>0</v>
      </c>
      <c r="AT1305">
        <v>3.53</v>
      </c>
      <c r="AX1305" t="str">
        <f>"E000360381"</f>
        <v>E000360381</v>
      </c>
      <c r="BD1305" t="str">
        <f>"רחמים זרוק"</f>
        <v>רחמים זרוק</v>
      </c>
    </row>
    <row r="1306" spans="1:56" x14ac:dyDescent="0.3">
      <c r="A1306" s="1">
        <v>44866</v>
      </c>
      <c r="B1306" t="str">
        <f>"SI226001318"</f>
        <v>SI226001318</v>
      </c>
      <c r="C1306" t="str">
        <f>"PR22000445"</f>
        <v>PR22000445</v>
      </c>
      <c r="E1306" t="str">
        <f>"Y"</f>
        <v>Y</v>
      </c>
      <c r="F1306" t="str">
        <f>"חשבוניות מרכזות"</f>
        <v>חשבוניות מרכזות</v>
      </c>
      <c r="G1306" t="str">
        <f>"700065"</f>
        <v>700065</v>
      </c>
      <c r="H1306" t="str">
        <f>"אלתא מערכות בע""מ"</f>
        <v>אלתא מערכות בע"מ</v>
      </c>
      <c r="I1306" t="str">
        <f>"10"</f>
        <v>10</v>
      </c>
      <c r="J1306" t="str">
        <f>"OP-AR03171"</f>
        <v>OP-AR03171</v>
      </c>
      <c r="K1306" t="str">
        <f>"1037T238-001   HARNESS WB238 - RSU FAN ASSEMBLY"</f>
        <v>1037T238-001   HARNESS WB238 - RSU FAN ASSEMBLY</v>
      </c>
      <c r="L1306">
        <v>2</v>
      </c>
      <c r="M1306" t="str">
        <f>"יח"</f>
        <v>יח</v>
      </c>
      <c r="N1306">
        <v>2</v>
      </c>
      <c r="O1306" t="str">
        <f>"יח"</f>
        <v>יח</v>
      </c>
      <c r="P1306">
        <v>102.17</v>
      </c>
      <c r="Q1306" t="str">
        <f>"$"</f>
        <v>$</v>
      </c>
      <c r="R1306" t="str">
        <f>"הזמנה"</f>
        <v>הזמנה</v>
      </c>
      <c r="S1306">
        <v>0</v>
      </c>
      <c r="T1306">
        <v>204.34</v>
      </c>
      <c r="U1306">
        <v>0</v>
      </c>
      <c r="V1306">
        <v>204.34</v>
      </c>
      <c r="W1306" t="str">
        <f>"$"</f>
        <v>$</v>
      </c>
      <c r="X1306">
        <v>0</v>
      </c>
      <c r="Y1306">
        <v>0</v>
      </c>
      <c r="Z1306">
        <v>0</v>
      </c>
      <c r="AA1306" t="str">
        <f>"Y"</f>
        <v>Y</v>
      </c>
      <c r="AB1306" t="str">
        <f>"SO22000221"</f>
        <v>SO22000221</v>
      </c>
      <c r="AC1306">
        <v>11</v>
      </c>
      <c r="AD1306" s="1">
        <v>44720</v>
      </c>
      <c r="AE1306" t="str">
        <f>"SH22001230"</f>
        <v>SH22001230</v>
      </c>
      <c r="AF1306" t="str">
        <f>"משלוחים ללקוח"</f>
        <v>משלוחים ללקוח</v>
      </c>
      <c r="AG1306" s="1">
        <v>44859</v>
      </c>
      <c r="AM1306" t="str">
        <f>"10"</f>
        <v>10</v>
      </c>
      <c r="AN1306" t="str">
        <f>"500000"</f>
        <v>500000</v>
      </c>
      <c r="AO1306" t="str">
        <f>"הכנסות  מלקוחות"</f>
        <v>הכנסות  מלקוחות</v>
      </c>
      <c r="AQ1306" t="str">
        <f>"034"</f>
        <v>034</v>
      </c>
      <c r="AR1306">
        <v>0</v>
      </c>
      <c r="AS1306">
        <v>0</v>
      </c>
      <c r="AT1306">
        <v>3.53</v>
      </c>
      <c r="AX1306" t="str">
        <f>"E000364016"</f>
        <v>E000364016</v>
      </c>
      <c r="BD1306" t="str">
        <f>"ערן שלו"</f>
        <v>ערן שלו</v>
      </c>
    </row>
    <row r="1307" spans="1:56" x14ac:dyDescent="0.3">
      <c r="A1307" s="1">
        <v>44866</v>
      </c>
      <c r="B1307" t="str">
        <f>"SI226001317"</f>
        <v>SI226001317</v>
      </c>
      <c r="C1307" t="str">
        <f>"PR21000889"</f>
        <v>PR21000889</v>
      </c>
      <c r="D1307" t="str">
        <f>"PR21000889"</f>
        <v>PR21000889</v>
      </c>
      <c r="E1307" t="str">
        <f>"Y"</f>
        <v>Y</v>
      </c>
      <c r="F1307" t="str">
        <f>"חשבוניות מרכזות"</f>
        <v>חשבוניות מרכזות</v>
      </c>
      <c r="G1307" t="str">
        <f>"700065"</f>
        <v>700065</v>
      </c>
      <c r="H1307" t="str">
        <f>"אלתא מערכות בע""מ"</f>
        <v>אלתא מערכות בע"מ</v>
      </c>
      <c r="I1307" t="str">
        <f>"10"</f>
        <v>10</v>
      </c>
      <c r="J1307" t="str">
        <f>"OP-AR02874"</f>
        <v>OP-AR02874</v>
      </c>
      <c r="K1307" t="str">
        <f>"1039H839-001/A   HARNESS WY039 - FAN - FULL TK"</f>
        <v>1039H839-001/A   HARNESS WY039 - FAN - FULL TK</v>
      </c>
      <c r="L1307">
        <v>24</v>
      </c>
      <c r="M1307" t="str">
        <f>"יח"</f>
        <v>יח</v>
      </c>
      <c r="N1307">
        <v>24</v>
      </c>
      <c r="O1307" t="str">
        <f>"יח"</f>
        <v>יח</v>
      </c>
      <c r="P1307">
        <v>406.87</v>
      </c>
      <c r="Q1307" t="str">
        <f>"$"</f>
        <v>$</v>
      </c>
      <c r="R1307" t="str">
        <f>"הזמנה"</f>
        <v>הזמנה</v>
      </c>
      <c r="S1307">
        <v>0</v>
      </c>
      <c r="T1307" s="2">
        <v>9764.8799999999992</v>
      </c>
      <c r="U1307">
        <v>0</v>
      </c>
      <c r="V1307" s="2">
        <v>9764.8799999999992</v>
      </c>
      <c r="W1307" t="str">
        <f>"$"</f>
        <v>$</v>
      </c>
      <c r="X1307">
        <v>0</v>
      </c>
      <c r="Y1307">
        <v>0</v>
      </c>
      <c r="Z1307">
        <v>0</v>
      </c>
      <c r="AA1307" t="str">
        <f>"Y"</f>
        <v>Y</v>
      </c>
      <c r="AB1307" t="str">
        <f>"SO21000531"</f>
        <v>SO21000531</v>
      </c>
      <c r="AC1307">
        <v>1</v>
      </c>
      <c r="AD1307" s="1">
        <v>44557</v>
      </c>
      <c r="AE1307" t="str">
        <f>"SH22001229"</f>
        <v>SH22001229</v>
      </c>
      <c r="AF1307" t="str">
        <f>"משלוחים ללקוח"</f>
        <v>משלוחים ללקוח</v>
      </c>
      <c r="AG1307" s="1">
        <v>44859</v>
      </c>
      <c r="AM1307" t="str">
        <f>"10"</f>
        <v>10</v>
      </c>
      <c r="AN1307" t="str">
        <f>"500000"</f>
        <v>500000</v>
      </c>
      <c r="AO1307" t="str">
        <f>"הכנסות  מלקוחות"</f>
        <v>הכנסות  מלקוחות</v>
      </c>
      <c r="AQ1307" t="str">
        <f>"040"</f>
        <v>040</v>
      </c>
      <c r="AR1307">
        <v>0</v>
      </c>
      <c r="AS1307">
        <v>0</v>
      </c>
      <c r="AT1307">
        <v>3.53</v>
      </c>
      <c r="AX1307" t="str">
        <f>"E000353389"</f>
        <v>E000353389</v>
      </c>
      <c r="BD1307" t="str">
        <f>"רחמים זרוק"</f>
        <v>רחמים זרוק</v>
      </c>
    </row>
    <row r="1308" spans="1:56" x14ac:dyDescent="0.3">
      <c r="A1308" s="1">
        <v>44866</v>
      </c>
      <c r="B1308" t="str">
        <f>"SI226001317"</f>
        <v>SI226001317</v>
      </c>
      <c r="C1308" t="str">
        <f>"PR21000889"</f>
        <v>PR21000889</v>
      </c>
      <c r="D1308" t="str">
        <f>"PR21000889"</f>
        <v>PR21000889</v>
      </c>
      <c r="E1308" t="str">
        <f>"Y"</f>
        <v>Y</v>
      </c>
      <c r="F1308" t="str">
        <f>"חשבוניות מרכזות"</f>
        <v>חשבוניות מרכזות</v>
      </c>
      <c r="G1308" t="str">
        <f>"700065"</f>
        <v>700065</v>
      </c>
      <c r="H1308" t="str">
        <f>"אלתא מערכות בע""מ"</f>
        <v>אלתא מערכות בע"מ</v>
      </c>
      <c r="I1308" t="str">
        <f>"10"</f>
        <v>10</v>
      </c>
      <c r="J1308" t="str">
        <f>"OP-AR02874"</f>
        <v>OP-AR02874</v>
      </c>
      <c r="K1308" t="str">
        <f>"1039H839-001/A   HARNESS WY039 - FAN - FULL TK"</f>
        <v>1039H839-001/A   HARNESS WY039 - FAN - FULL TK</v>
      </c>
      <c r="L1308">
        <v>2</v>
      </c>
      <c r="M1308" t="str">
        <f>"יח"</f>
        <v>יח</v>
      </c>
      <c r="N1308">
        <v>2</v>
      </c>
      <c r="O1308" t="str">
        <f>"יח"</f>
        <v>יח</v>
      </c>
      <c r="P1308">
        <v>406.87</v>
      </c>
      <c r="Q1308" t="str">
        <f>"$"</f>
        <v>$</v>
      </c>
      <c r="R1308" t="str">
        <f>"הזמנה"</f>
        <v>הזמנה</v>
      </c>
      <c r="S1308">
        <v>0</v>
      </c>
      <c r="T1308">
        <v>813.74</v>
      </c>
      <c r="U1308">
        <v>0</v>
      </c>
      <c r="V1308">
        <v>813.74</v>
      </c>
      <c r="W1308" t="str">
        <f>"$"</f>
        <v>$</v>
      </c>
      <c r="X1308">
        <v>0</v>
      </c>
      <c r="Y1308">
        <v>0</v>
      </c>
      <c r="Z1308">
        <v>0</v>
      </c>
      <c r="AA1308" t="str">
        <f>"Y"</f>
        <v>Y</v>
      </c>
      <c r="AB1308" t="str">
        <f>"SO21000531"</f>
        <v>SO21000531</v>
      </c>
      <c r="AC1308">
        <v>2</v>
      </c>
      <c r="AD1308" s="1">
        <v>44557</v>
      </c>
      <c r="AE1308" t="str">
        <f>"SH22001229"</f>
        <v>SH22001229</v>
      </c>
      <c r="AF1308" t="str">
        <f>"משלוחים ללקוח"</f>
        <v>משלוחים ללקוח</v>
      </c>
      <c r="AG1308" s="1">
        <v>44859</v>
      </c>
      <c r="AM1308" t="str">
        <f>"10"</f>
        <v>10</v>
      </c>
      <c r="AN1308" t="str">
        <f>"500000"</f>
        <v>500000</v>
      </c>
      <c r="AO1308" t="str">
        <f>"הכנסות  מלקוחות"</f>
        <v>הכנסות  מלקוחות</v>
      </c>
      <c r="AQ1308" t="str">
        <f>"040"</f>
        <v>040</v>
      </c>
      <c r="AR1308">
        <v>0</v>
      </c>
      <c r="AS1308">
        <v>0</v>
      </c>
      <c r="AT1308">
        <v>3.53</v>
      </c>
      <c r="AX1308" t="str">
        <f>"E000353389"</f>
        <v>E000353389</v>
      </c>
      <c r="BD1308" t="str">
        <f>"רחמים זרוק"</f>
        <v>רחמים זרוק</v>
      </c>
    </row>
    <row r="1309" spans="1:56" x14ac:dyDescent="0.3">
      <c r="A1309" s="1">
        <v>44866</v>
      </c>
      <c r="B1309" t="str">
        <f>"SI226001316"</f>
        <v>SI226001316</v>
      </c>
      <c r="C1309" t="str">
        <f>"PR22000223"</f>
        <v>PR22000223</v>
      </c>
      <c r="E1309" t="str">
        <f>"Y"</f>
        <v>Y</v>
      </c>
      <c r="F1309" t="str">
        <f>"חשבוניות מרכזות"</f>
        <v>חשבוניות מרכזות</v>
      </c>
      <c r="G1309" t="str">
        <f>"700065"</f>
        <v>700065</v>
      </c>
      <c r="H1309" t="str">
        <f>"אלתא מערכות בע""מ"</f>
        <v>אלתא מערכות בע"מ</v>
      </c>
      <c r="I1309" t="str">
        <f>"10"</f>
        <v>10</v>
      </c>
      <c r="J1309" t="str">
        <f>"OP-AR03005"</f>
        <v>OP-AR03005</v>
      </c>
      <c r="K1309" t="str">
        <f>"2032D917-001   CABLE ASSY JTAG"</f>
        <v>2032D917-001   CABLE ASSY JTAG</v>
      </c>
      <c r="L1309">
        <v>-6</v>
      </c>
      <c r="M1309" t="str">
        <f>"יח"</f>
        <v>יח</v>
      </c>
      <c r="N1309">
        <v>-6</v>
      </c>
      <c r="O1309" t="str">
        <f>"יח"</f>
        <v>יח</v>
      </c>
      <c r="P1309">
        <v>188.83</v>
      </c>
      <c r="Q1309" t="str">
        <f>"$"</f>
        <v>$</v>
      </c>
      <c r="R1309" t="str">
        <f>"הזמנה"</f>
        <v>הזמנה</v>
      </c>
      <c r="S1309">
        <v>0</v>
      </c>
      <c r="T1309" s="2">
        <v>-1132.98</v>
      </c>
      <c r="U1309">
        <v>0</v>
      </c>
      <c r="V1309" s="2">
        <v>-1132.98</v>
      </c>
      <c r="W1309" t="str">
        <f>"$"</f>
        <v>$</v>
      </c>
      <c r="X1309">
        <v>0</v>
      </c>
      <c r="Y1309">
        <v>0</v>
      </c>
      <c r="Z1309">
        <v>0</v>
      </c>
      <c r="AA1309" t="str">
        <f>"Y"</f>
        <v>Y</v>
      </c>
      <c r="AC1309">
        <v>0</v>
      </c>
      <c r="AM1309" t="str">
        <f>"10"</f>
        <v>10</v>
      </c>
      <c r="AN1309" t="str">
        <f>"500000"</f>
        <v>500000</v>
      </c>
      <c r="AO1309" t="str">
        <f>"הכנסות  מלקוחות"</f>
        <v>הכנסות  מלקוחות</v>
      </c>
      <c r="AQ1309" t="str">
        <f>"040"</f>
        <v>040</v>
      </c>
      <c r="AR1309">
        <v>0</v>
      </c>
      <c r="AS1309">
        <v>0</v>
      </c>
      <c r="AT1309">
        <v>3.5590000000000002</v>
      </c>
      <c r="BB1309" t="str">
        <f>"Y"</f>
        <v>Y</v>
      </c>
      <c r="BD1309" t="str">
        <f>"רחמים זרוק"</f>
        <v>רחמים זרוק</v>
      </c>
    </row>
    <row r="1310" spans="1:56" x14ac:dyDescent="0.3">
      <c r="A1310" s="1">
        <v>44866</v>
      </c>
      <c r="B1310" t="str">
        <f>"SI226001316"</f>
        <v>SI226001316</v>
      </c>
      <c r="C1310" t="str">
        <f>"PR22000223"</f>
        <v>PR22000223</v>
      </c>
      <c r="E1310" t="str">
        <f>"Y"</f>
        <v>Y</v>
      </c>
      <c r="F1310" t="str">
        <f>"חשבוניות מרכזות"</f>
        <v>חשבוניות מרכזות</v>
      </c>
      <c r="G1310" t="str">
        <f>"700065"</f>
        <v>700065</v>
      </c>
      <c r="H1310" t="str">
        <f>"אלתא מערכות בע""מ"</f>
        <v>אלתא מערכות בע"מ</v>
      </c>
      <c r="I1310" t="str">
        <f>"10"</f>
        <v>10</v>
      </c>
      <c r="J1310" t="str">
        <f>"OP-AR03007"</f>
        <v>OP-AR03007</v>
      </c>
      <c r="K1310" t="str">
        <f>"2215D096-001   HARNESS WB002 - TEST CABLE FOR MINI IPB"</f>
        <v>2215D096-001   HARNESS WB002 - TEST CABLE FOR MINI IPB</v>
      </c>
      <c r="L1310">
        <v>-6</v>
      </c>
      <c r="M1310" t="str">
        <f>"יח"</f>
        <v>יח</v>
      </c>
      <c r="N1310">
        <v>-6</v>
      </c>
      <c r="O1310" t="str">
        <f>"יח"</f>
        <v>יח</v>
      </c>
      <c r="P1310">
        <v>211.3</v>
      </c>
      <c r="Q1310" t="str">
        <f>"$"</f>
        <v>$</v>
      </c>
      <c r="R1310" t="str">
        <f>"הזמנה"</f>
        <v>הזמנה</v>
      </c>
      <c r="S1310">
        <v>0</v>
      </c>
      <c r="T1310" s="2">
        <v>-1267.8</v>
      </c>
      <c r="U1310">
        <v>0</v>
      </c>
      <c r="V1310" s="2">
        <v>-1267.8</v>
      </c>
      <c r="W1310" t="str">
        <f>"$"</f>
        <v>$</v>
      </c>
      <c r="X1310">
        <v>0</v>
      </c>
      <c r="Y1310">
        <v>0</v>
      </c>
      <c r="Z1310">
        <v>0</v>
      </c>
      <c r="AA1310" t="str">
        <f>"Y"</f>
        <v>Y</v>
      </c>
      <c r="AC1310">
        <v>0</v>
      </c>
      <c r="AM1310" t="str">
        <f>"10"</f>
        <v>10</v>
      </c>
      <c r="AN1310" t="str">
        <f>"500000"</f>
        <v>500000</v>
      </c>
      <c r="AO1310" t="str">
        <f>"הכנסות  מלקוחות"</f>
        <v>הכנסות  מלקוחות</v>
      </c>
      <c r="AQ1310" t="str">
        <f>"040"</f>
        <v>040</v>
      </c>
      <c r="AR1310">
        <v>0</v>
      </c>
      <c r="AS1310">
        <v>0</v>
      </c>
      <c r="AT1310">
        <v>3.5590000000000002</v>
      </c>
      <c r="BB1310" t="str">
        <f>"Y"</f>
        <v>Y</v>
      </c>
      <c r="BD1310" t="str">
        <f>"רחמים זרוק"</f>
        <v>רחמים זרוק</v>
      </c>
    </row>
    <row r="1311" spans="1:56" x14ac:dyDescent="0.3">
      <c r="A1311" s="1">
        <v>44866</v>
      </c>
      <c r="B1311" t="str">
        <f>"SI226001315"</f>
        <v>SI226001315</v>
      </c>
      <c r="C1311" t="str">
        <f>"PR22000244"</f>
        <v>PR22000244</v>
      </c>
      <c r="E1311" t="str">
        <f>"Y"</f>
        <v>Y</v>
      </c>
      <c r="F1311" t="str">
        <f>"חשבוניות מרכזות"</f>
        <v>חשבוניות מרכזות</v>
      </c>
      <c r="G1311" t="str">
        <f>"700065"</f>
        <v>700065</v>
      </c>
      <c r="H1311" t="str">
        <f>"אלתא מערכות בע""מ"</f>
        <v>אלתא מערכות בע"מ</v>
      </c>
      <c r="I1311" t="str">
        <f>"10"</f>
        <v>10</v>
      </c>
      <c r="J1311" t="str">
        <f>"OP-AR03044"</f>
        <v>OP-AR03044</v>
      </c>
      <c r="K1311" t="str">
        <f>"2222B158-001   CABLE ASSY ORW104"</f>
        <v>2222B158-001   CABLE ASSY ORW104</v>
      </c>
      <c r="L1311">
        <v>-1</v>
      </c>
      <c r="M1311" t="str">
        <f>"יח"</f>
        <v>יח</v>
      </c>
      <c r="N1311">
        <v>-1</v>
      </c>
      <c r="O1311" t="str">
        <f>"יח"</f>
        <v>יח</v>
      </c>
      <c r="P1311" s="2">
        <v>1952.33</v>
      </c>
      <c r="Q1311" t="str">
        <f>"$"</f>
        <v>$</v>
      </c>
      <c r="R1311" t="str">
        <f>"הזמנה"</f>
        <v>הזמנה</v>
      </c>
      <c r="S1311">
        <v>0</v>
      </c>
      <c r="T1311" s="2">
        <v>-1952.33</v>
      </c>
      <c r="U1311">
        <v>0</v>
      </c>
      <c r="V1311" s="2">
        <v>-1952.33</v>
      </c>
      <c r="W1311" t="str">
        <f>"$"</f>
        <v>$</v>
      </c>
      <c r="X1311">
        <v>0</v>
      </c>
      <c r="Y1311">
        <v>0</v>
      </c>
      <c r="Z1311">
        <v>0</v>
      </c>
      <c r="AA1311" t="str">
        <f>"Y"</f>
        <v>Y</v>
      </c>
      <c r="AC1311">
        <v>0</v>
      </c>
      <c r="AM1311" t="str">
        <f>"10"</f>
        <v>10</v>
      </c>
      <c r="AN1311" t="str">
        <f>"500000"</f>
        <v>500000</v>
      </c>
      <c r="AO1311" t="str">
        <f>"הכנסות  מלקוחות"</f>
        <v>הכנסות  מלקוחות</v>
      </c>
      <c r="AQ1311" t="str">
        <f>"040"</f>
        <v>040</v>
      </c>
      <c r="AR1311">
        <v>0</v>
      </c>
      <c r="AS1311">
        <v>0</v>
      </c>
      <c r="AT1311">
        <v>3.5590000000000002</v>
      </c>
      <c r="BB1311" t="str">
        <f>"Y"</f>
        <v>Y</v>
      </c>
      <c r="BD1311" t="str">
        <f>"רחמים זרוק"</f>
        <v>רחמים זרוק</v>
      </c>
    </row>
    <row r="1312" spans="1:56" x14ac:dyDescent="0.3">
      <c r="A1312" s="1">
        <v>44866</v>
      </c>
      <c r="B1312" t="str">
        <f>"SI226001314"</f>
        <v>SI226001314</v>
      </c>
      <c r="C1312" t="str">
        <f>"PR22000498"</f>
        <v>PR22000498</v>
      </c>
      <c r="E1312" t="str">
        <f>"Y"</f>
        <v>Y</v>
      </c>
      <c r="F1312" t="str">
        <f>"חשבוניות מרכזות"</f>
        <v>חשבוניות מרכזות</v>
      </c>
      <c r="G1312" t="str">
        <f>"700065"</f>
        <v>700065</v>
      </c>
      <c r="H1312" t="str">
        <f>"אלתא מערכות בע""מ"</f>
        <v>אלתא מערכות בע"מ</v>
      </c>
      <c r="I1312" t="str">
        <f>"10"</f>
        <v>10</v>
      </c>
      <c r="J1312" t="str">
        <f>"GT0600049"</f>
        <v>GT0600049</v>
      </c>
      <c r="K1312" t="str">
        <f>"פנס תאורה דגם יופיטר כולל נורת רכב מתח 230V"</f>
        <v>פנס תאורה דגם יופיטר כולל נורת רכב מתח 230V</v>
      </c>
      <c r="L1312">
        <v>-4</v>
      </c>
      <c r="M1312" t="str">
        <f>"יח"</f>
        <v>יח</v>
      </c>
      <c r="N1312">
        <v>-4</v>
      </c>
      <c r="O1312" t="str">
        <f>"יח"</f>
        <v>יח</v>
      </c>
      <c r="P1312">
        <v>345</v>
      </c>
      <c r="Q1312" t="str">
        <f>"$"</f>
        <v>$</v>
      </c>
      <c r="R1312" t="str">
        <f>"הזמנה"</f>
        <v>הזמנה</v>
      </c>
      <c r="S1312">
        <v>0</v>
      </c>
      <c r="T1312" s="2">
        <v>-1380</v>
      </c>
      <c r="U1312">
        <v>0</v>
      </c>
      <c r="V1312" s="2">
        <v>-1380</v>
      </c>
      <c r="W1312" t="str">
        <f>"$"</f>
        <v>$</v>
      </c>
      <c r="X1312">
        <v>0</v>
      </c>
      <c r="Y1312">
        <v>0</v>
      </c>
      <c r="Z1312">
        <v>0</v>
      </c>
      <c r="AA1312" t="str">
        <f>"Y"</f>
        <v>Y</v>
      </c>
      <c r="AC1312">
        <v>0</v>
      </c>
      <c r="AM1312" t="str">
        <f>"10"</f>
        <v>10</v>
      </c>
      <c r="AN1312" t="str">
        <f>"500000"</f>
        <v>500000</v>
      </c>
      <c r="AO1312" t="str">
        <f>"הכנסות  מלקוחות"</f>
        <v>הכנסות  מלקוחות</v>
      </c>
      <c r="AQ1312" t="str">
        <f>"007"</f>
        <v>007</v>
      </c>
      <c r="AR1312">
        <v>0</v>
      </c>
      <c r="AS1312">
        <v>0</v>
      </c>
      <c r="AT1312">
        <v>3.5590000000000002</v>
      </c>
      <c r="BB1312" t="str">
        <f>"Y"</f>
        <v>Y</v>
      </c>
      <c r="BD1312" t="str">
        <f>"רוני דידי"</f>
        <v>רוני דידי</v>
      </c>
    </row>
    <row r="1313" spans="1:56" x14ac:dyDescent="0.3">
      <c r="A1313" s="1">
        <v>44866</v>
      </c>
      <c r="B1313" t="str">
        <f>"SI226001313"</f>
        <v>SI226001313</v>
      </c>
      <c r="C1313" t="str">
        <f>"PR22000244"</f>
        <v>PR22000244</v>
      </c>
      <c r="E1313" t="str">
        <f>"Y"</f>
        <v>Y</v>
      </c>
      <c r="F1313" t="str">
        <f>"חשבוניות מרכזות"</f>
        <v>חשבוניות מרכזות</v>
      </c>
      <c r="G1313" t="str">
        <f>"700065"</f>
        <v>700065</v>
      </c>
      <c r="H1313" t="str">
        <f>"אלתא מערכות בע""מ"</f>
        <v>אלתא מערכות בע"מ</v>
      </c>
      <c r="I1313" t="str">
        <f>"10"</f>
        <v>10</v>
      </c>
      <c r="J1313" t="str">
        <f>"OP-AR03043"</f>
        <v>OP-AR03043</v>
      </c>
      <c r="K1313" t="str">
        <f>"2222B156-001   CABLE ASSY ORW103"</f>
        <v>2222B156-001   CABLE ASSY ORW103</v>
      </c>
      <c r="L1313">
        <v>-1</v>
      </c>
      <c r="M1313" t="str">
        <f>"יח"</f>
        <v>יח</v>
      </c>
      <c r="N1313">
        <v>-1</v>
      </c>
      <c r="O1313" t="str">
        <f>"יח"</f>
        <v>יח</v>
      </c>
      <c r="P1313" s="2">
        <v>1357.01</v>
      </c>
      <c r="Q1313" t="str">
        <f>"$"</f>
        <v>$</v>
      </c>
      <c r="R1313" t="str">
        <f>"הזמנה"</f>
        <v>הזמנה</v>
      </c>
      <c r="S1313">
        <v>0</v>
      </c>
      <c r="T1313" s="2">
        <v>-1357.01</v>
      </c>
      <c r="U1313">
        <v>0</v>
      </c>
      <c r="V1313" s="2">
        <v>-1357.01</v>
      </c>
      <c r="W1313" t="str">
        <f>"$"</f>
        <v>$</v>
      </c>
      <c r="X1313">
        <v>0</v>
      </c>
      <c r="Y1313">
        <v>0</v>
      </c>
      <c r="Z1313">
        <v>0</v>
      </c>
      <c r="AA1313" t="str">
        <f>"Y"</f>
        <v>Y</v>
      </c>
      <c r="AC1313">
        <v>0</v>
      </c>
      <c r="AM1313" t="str">
        <f>"10"</f>
        <v>10</v>
      </c>
      <c r="AN1313" t="str">
        <f>"500000"</f>
        <v>500000</v>
      </c>
      <c r="AO1313" t="str">
        <f>"הכנסות  מלקוחות"</f>
        <v>הכנסות  מלקוחות</v>
      </c>
      <c r="AQ1313" t="str">
        <f>"040"</f>
        <v>040</v>
      </c>
      <c r="AR1313">
        <v>0</v>
      </c>
      <c r="AS1313">
        <v>0</v>
      </c>
      <c r="AT1313">
        <v>3.5590000000000002</v>
      </c>
      <c r="BB1313" t="str">
        <f>"Y"</f>
        <v>Y</v>
      </c>
      <c r="BD1313" t="str">
        <f>"רחמים זרוק"</f>
        <v>רחמים זרוק</v>
      </c>
    </row>
    <row r="1314" spans="1:56" x14ac:dyDescent="0.3">
      <c r="A1314" s="1">
        <v>44866</v>
      </c>
      <c r="B1314" t="str">
        <f>"SI226001312"</f>
        <v>SI226001312</v>
      </c>
      <c r="C1314" t="str">
        <f>"PR22000445"</f>
        <v>PR22000445</v>
      </c>
      <c r="E1314" t="str">
        <f>"Y"</f>
        <v>Y</v>
      </c>
      <c r="F1314" t="str">
        <f>"חשבוניות מרכזות"</f>
        <v>חשבוניות מרכזות</v>
      </c>
      <c r="G1314" t="str">
        <f>"700065"</f>
        <v>700065</v>
      </c>
      <c r="H1314" t="str">
        <f>"אלתא מערכות בע""מ"</f>
        <v>אלתא מערכות בע"מ</v>
      </c>
      <c r="I1314" t="str">
        <f>"10"</f>
        <v>10</v>
      </c>
      <c r="J1314" t="str">
        <f>"OP-AR03171"</f>
        <v>OP-AR03171</v>
      </c>
      <c r="K1314" t="str">
        <f>"1037T238-001   HARNESS WB238 - RSU FAN ASSEMBLY"</f>
        <v>1037T238-001   HARNESS WB238 - RSU FAN ASSEMBLY</v>
      </c>
      <c r="L1314">
        <v>-2</v>
      </c>
      <c r="M1314" t="str">
        <f>"יח"</f>
        <v>יח</v>
      </c>
      <c r="N1314">
        <v>-2</v>
      </c>
      <c r="O1314" t="str">
        <f>"יח"</f>
        <v>יח</v>
      </c>
      <c r="P1314">
        <v>102.17</v>
      </c>
      <c r="Q1314" t="str">
        <f>"$"</f>
        <v>$</v>
      </c>
      <c r="R1314" t="str">
        <f>"הזמנה"</f>
        <v>הזמנה</v>
      </c>
      <c r="S1314">
        <v>0</v>
      </c>
      <c r="T1314">
        <v>-204.34</v>
      </c>
      <c r="U1314">
        <v>0</v>
      </c>
      <c r="V1314">
        <v>-204.34</v>
      </c>
      <c r="W1314" t="str">
        <f>"$"</f>
        <v>$</v>
      </c>
      <c r="X1314">
        <v>0</v>
      </c>
      <c r="Y1314">
        <v>0</v>
      </c>
      <c r="Z1314">
        <v>0</v>
      </c>
      <c r="AA1314" t="str">
        <f>"Y"</f>
        <v>Y</v>
      </c>
      <c r="AC1314">
        <v>0</v>
      </c>
      <c r="AM1314" t="str">
        <f>"10"</f>
        <v>10</v>
      </c>
      <c r="AN1314" t="str">
        <f>"500000"</f>
        <v>500000</v>
      </c>
      <c r="AO1314" t="str">
        <f>"הכנסות  מלקוחות"</f>
        <v>הכנסות  מלקוחות</v>
      </c>
      <c r="AQ1314" t="str">
        <f>"034"</f>
        <v>034</v>
      </c>
      <c r="AR1314">
        <v>0</v>
      </c>
      <c r="AS1314">
        <v>0</v>
      </c>
      <c r="AT1314">
        <v>3.5590000000000002</v>
      </c>
      <c r="BB1314" t="str">
        <f>"Y"</f>
        <v>Y</v>
      </c>
      <c r="BD1314" t="str">
        <f>"ערן שלו"</f>
        <v>ערן שלו</v>
      </c>
    </row>
    <row r="1315" spans="1:56" x14ac:dyDescent="0.3">
      <c r="A1315" s="1">
        <v>44866</v>
      </c>
      <c r="B1315" t="str">
        <f>"SI226001311"</f>
        <v>SI226001311</v>
      </c>
      <c r="C1315" t="str">
        <f>"PR21000889"</f>
        <v>PR21000889</v>
      </c>
      <c r="E1315" t="str">
        <f>"Y"</f>
        <v>Y</v>
      </c>
      <c r="F1315" t="str">
        <f>"חשבוניות מרכזות"</f>
        <v>חשבוניות מרכזות</v>
      </c>
      <c r="G1315" t="str">
        <f>"700065"</f>
        <v>700065</v>
      </c>
      <c r="H1315" t="str">
        <f>"אלתא מערכות בע""מ"</f>
        <v>אלתא מערכות בע"מ</v>
      </c>
      <c r="I1315" t="str">
        <f>"10"</f>
        <v>10</v>
      </c>
      <c r="J1315" t="str">
        <f>"OP-AR02874"</f>
        <v>OP-AR02874</v>
      </c>
      <c r="K1315" t="str">
        <f>"1039H839-001/A   HARNESS WY039 - FAN - FULL TK"</f>
        <v>1039H839-001/A   HARNESS WY039 - FAN - FULL TK</v>
      </c>
      <c r="L1315">
        <v>-24</v>
      </c>
      <c r="M1315" t="str">
        <f>"יח"</f>
        <v>יח</v>
      </c>
      <c r="N1315">
        <v>-24</v>
      </c>
      <c r="O1315" t="str">
        <f>"יח"</f>
        <v>יח</v>
      </c>
      <c r="P1315">
        <v>406.87</v>
      </c>
      <c r="Q1315" t="str">
        <f>"$"</f>
        <v>$</v>
      </c>
      <c r="R1315" t="str">
        <f>"הזמנה"</f>
        <v>הזמנה</v>
      </c>
      <c r="S1315">
        <v>0</v>
      </c>
      <c r="T1315" s="2">
        <v>-9764.8799999999992</v>
      </c>
      <c r="U1315">
        <v>0</v>
      </c>
      <c r="V1315" s="2">
        <v>-9764.8799999999992</v>
      </c>
      <c r="W1315" t="str">
        <f>"$"</f>
        <v>$</v>
      </c>
      <c r="X1315">
        <v>0</v>
      </c>
      <c r="Y1315">
        <v>0</v>
      </c>
      <c r="Z1315">
        <v>0</v>
      </c>
      <c r="AA1315" t="str">
        <f>"Y"</f>
        <v>Y</v>
      </c>
      <c r="AC1315">
        <v>0</v>
      </c>
      <c r="AM1315" t="str">
        <f>"10"</f>
        <v>10</v>
      </c>
      <c r="AN1315" t="str">
        <f>"500000"</f>
        <v>500000</v>
      </c>
      <c r="AO1315" t="str">
        <f>"הכנסות  מלקוחות"</f>
        <v>הכנסות  מלקוחות</v>
      </c>
      <c r="AQ1315" t="str">
        <f>"040"</f>
        <v>040</v>
      </c>
      <c r="AR1315">
        <v>0</v>
      </c>
      <c r="AS1315">
        <v>0</v>
      </c>
      <c r="AT1315">
        <v>3.5590000000000002</v>
      </c>
      <c r="BB1315" t="str">
        <f>"Y"</f>
        <v>Y</v>
      </c>
      <c r="BD1315" t="str">
        <f>"רחמים זרוק"</f>
        <v>רחמים זרוק</v>
      </c>
    </row>
    <row r="1316" spans="1:56" x14ac:dyDescent="0.3">
      <c r="A1316" s="1">
        <v>44866</v>
      </c>
      <c r="B1316" t="str">
        <f>"SI226001311"</f>
        <v>SI226001311</v>
      </c>
      <c r="C1316" t="str">
        <f>"PR21000889"</f>
        <v>PR21000889</v>
      </c>
      <c r="E1316" t="str">
        <f>"Y"</f>
        <v>Y</v>
      </c>
      <c r="F1316" t="str">
        <f>"חשבוניות מרכזות"</f>
        <v>חשבוניות מרכזות</v>
      </c>
      <c r="G1316" t="str">
        <f>"700065"</f>
        <v>700065</v>
      </c>
      <c r="H1316" t="str">
        <f>"אלתא מערכות בע""מ"</f>
        <v>אלתא מערכות בע"מ</v>
      </c>
      <c r="I1316" t="str">
        <f>"10"</f>
        <v>10</v>
      </c>
      <c r="J1316" t="str">
        <f>"OP-AR02874"</f>
        <v>OP-AR02874</v>
      </c>
      <c r="K1316" t="str">
        <f>"1039H839-001/A   HARNESS WY039 - FAN - FULL TK"</f>
        <v>1039H839-001/A   HARNESS WY039 - FAN - FULL TK</v>
      </c>
      <c r="L1316">
        <v>-2</v>
      </c>
      <c r="M1316" t="str">
        <f>"יח"</f>
        <v>יח</v>
      </c>
      <c r="N1316">
        <v>-2</v>
      </c>
      <c r="O1316" t="str">
        <f>"יח"</f>
        <v>יח</v>
      </c>
      <c r="P1316">
        <v>406.87</v>
      </c>
      <c r="Q1316" t="str">
        <f>"$"</f>
        <v>$</v>
      </c>
      <c r="R1316" t="str">
        <f>"הזמנה"</f>
        <v>הזמנה</v>
      </c>
      <c r="S1316">
        <v>0</v>
      </c>
      <c r="T1316">
        <v>-813.74</v>
      </c>
      <c r="U1316">
        <v>0</v>
      </c>
      <c r="V1316">
        <v>-813.74</v>
      </c>
      <c r="W1316" t="str">
        <f>"$"</f>
        <v>$</v>
      </c>
      <c r="X1316">
        <v>0</v>
      </c>
      <c r="Y1316">
        <v>0</v>
      </c>
      <c r="Z1316">
        <v>0</v>
      </c>
      <c r="AA1316" t="str">
        <f>"Y"</f>
        <v>Y</v>
      </c>
      <c r="AC1316">
        <v>0</v>
      </c>
      <c r="AM1316" t="str">
        <f>"10"</f>
        <v>10</v>
      </c>
      <c r="AN1316" t="str">
        <f>"500000"</f>
        <v>500000</v>
      </c>
      <c r="AO1316" t="str">
        <f>"הכנסות  מלקוחות"</f>
        <v>הכנסות  מלקוחות</v>
      </c>
      <c r="AQ1316" t="str">
        <f>"040"</f>
        <v>040</v>
      </c>
      <c r="AR1316">
        <v>0</v>
      </c>
      <c r="AS1316">
        <v>0</v>
      </c>
      <c r="AT1316">
        <v>3.5590000000000002</v>
      </c>
      <c r="BB1316" t="str">
        <f>"Y"</f>
        <v>Y</v>
      </c>
      <c r="BD1316" t="str">
        <f>"רחמים זרוק"</f>
        <v>רחמים זרוק</v>
      </c>
    </row>
    <row r="1317" spans="1:56" x14ac:dyDescent="0.3">
      <c r="A1317" s="1">
        <v>44866</v>
      </c>
      <c r="B1317" t="str">
        <f>"SI226001305"</f>
        <v>SI226001305</v>
      </c>
      <c r="C1317" t="str">
        <f>"PR22000488"</f>
        <v>PR22000488</v>
      </c>
      <c r="E1317" t="str">
        <f>"Y"</f>
        <v>Y</v>
      </c>
      <c r="F1317" t="str">
        <f>"חשבוניות מרכזות"</f>
        <v>חשבוניות מרכזות</v>
      </c>
      <c r="G1317" t="str">
        <f>"700065"</f>
        <v>700065</v>
      </c>
      <c r="H1317" t="str">
        <f>"אלתא מערכות בע""מ"</f>
        <v>אלתא מערכות בע"מ</v>
      </c>
      <c r="I1317" t="str">
        <f>"10"</f>
        <v>10</v>
      </c>
      <c r="J1317" t="str">
        <f>"OP-AR03211"</f>
        <v>OP-AR03211</v>
      </c>
      <c r="K1317" t="str">
        <f>"1017R472-002    INTERFACE CABLE FROM SSARP AND DU TO M/P"</f>
        <v>1017R472-002    INTERFACE CABLE FROM SSARP AND DU TO M/P</v>
      </c>
      <c r="L1317">
        <v>1</v>
      </c>
      <c r="M1317" t="str">
        <f>"יח"</f>
        <v>יח</v>
      </c>
      <c r="N1317">
        <v>1</v>
      </c>
      <c r="O1317" t="str">
        <f>"יח"</f>
        <v>יח</v>
      </c>
      <c r="P1317">
        <v>911.35</v>
      </c>
      <c r="Q1317" t="str">
        <f>"$"</f>
        <v>$</v>
      </c>
      <c r="R1317" t="str">
        <f>"הזמנה"</f>
        <v>הזמנה</v>
      </c>
      <c r="S1317">
        <v>0</v>
      </c>
      <c r="T1317">
        <v>911.35</v>
      </c>
      <c r="U1317">
        <v>0</v>
      </c>
      <c r="V1317">
        <v>911.35</v>
      </c>
      <c r="W1317" t="str">
        <f>"$"</f>
        <v>$</v>
      </c>
      <c r="X1317">
        <v>0</v>
      </c>
      <c r="Y1317">
        <v>0</v>
      </c>
      <c r="Z1317">
        <v>0</v>
      </c>
      <c r="AA1317" t="str">
        <f>"Y"</f>
        <v>Y</v>
      </c>
      <c r="AB1317" t="str">
        <f>"SO22000255"</f>
        <v>SO22000255</v>
      </c>
      <c r="AC1317">
        <v>1</v>
      </c>
      <c r="AD1317" s="1">
        <v>44738</v>
      </c>
      <c r="AE1317" t="str">
        <f>"SH22001232"</f>
        <v>SH22001232</v>
      </c>
      <c r="AF1317" t="str">
        <f>"משלוחים ללקוח"</f>
        <v>משלוחים ללקוח</v>
      </c>
      <c r="AG1317" s="1">
        <v>44859</v>
      </c>
      <c r="AM1317" t="str">
        <f>"10"</f>
        <v>10</v>
      </c>
      <c r="AN1317" t="str">
        <f>"500000"</f>
        <v>500000</v>
      </c>
      <c r="AO1317" t="str">
        <f>"הכנסות  מלקוחות"</f>
        <v>הכנסות  מלקוחות</v>
      </c>
      <c r="AQ1317" t="str">
        <f>"040"</f>
        <v>040</v>
      </c>
      <c r="AR1317">
        <v>0</v>
      </c>
      <c r="AS1317">
        <v>0</v>
      </c>
      <c r="AT1317">
        <v>3.53</v>
      </c>
      <c r="AX1317" t="str">
        <f>"E000367697"</f>
        <v>E000367697</v>
      </c>
      <c r="BD1317" t="str">
        <f>"רחמים זרוק"</f>
        <v>רחמים זרוק</v>
      </c>
    </row>
    <row r="1318" spans="1:56" x14ac:dyDescent="0.3">
      <c r="A1318" s="1">
        <v>44866</v>
      </c>
      <c r="B1318" t="str">
        <f>"SI226001304"</f>
        <v>SI226001304</v>
      </c>
      <c r="C1318" t="str">
        <f>"PR21000398"</f>
        <v>PR21000398</v>
      </c>
      <c r="D1318" t="str">
        <f>"PR21000398"</f>
        <v>PR21000398</v>
      </c>
      <c r="E1318" t="str">
        <f>"Y"</f>
        <v>Y</v>
      </c>
      <c r="F1318" t="str">
        <f>"חשבוניות מרכזות"</f>
        <v>חשבוניות מרכזות</v>
      </c>
      <c r="G1318" t="str">
        <f>"700065"</f>
        <v>700065</v>
      </c>
      <c r="H1318" t="str">
        <f>"אלתא מערכות בע""מ"</f>
        <v>אלתא מערכות בע"מ</v>
      </c>
      <c r="I1318" t="str">
        <f>"10"</f>
        <v>10</v>
      </c>
      <c r="J1318" t="str">
        <f>"000"</f>
        <v>000</v>
      </c>
      <c r="K1318" t="str">
        <f>"ניסוי פיתול על הקרון"</f>
        <v>ניסוי פיתול על הקרון</v>
      </c>
      <c r="L1318">
        <v>1</v>
      </c>
      <c r="M1318" t="str">
        <f>"יח"</f>
        <v>יח</v>
      </c>
      <c r="N1318">
        <v>1</v>
      </c>
      <c r="O1318" t="str">
        <f>"יח"</f>
        <v>יח</v>
      </c>
      <c r="P1318" s="2">
        <v>6350</v>
      </c>
      <c r="Q1318" t="str">
        <f>"$"</f>
        <v>$</v>
      </c>
      <c r="R1318" t="str">
        <f>"הזמנה"</f>
        <v>הזמנה</v>
      </c>
      <c r="S1318">
        <v>0</v>
      </c>
      <c r="T1318" s="2">
        <v>6350</v>
      </c>
      <c r="U1318">
        <v>0</v>
      </c>
      <c r="V1318" s="2">
        <v>6350</v>
      </c>
      <c r="W1318" t="str">
        <f>"$"</f>
        <v>$</v>
      </c>
      <c r="X1318">
        <v>0</v>
      </c>
      <c r="Y1318">
        <v>0</v>
      </c>
      <c r="Z1318">
        <v>0</v>
      </c>
      <c r="AA1318" t="str">
        <f>"Y"</f>
        <v>Y</v>
      </c>
      <c r="AB1318" t="str">
        <f>"SO22000325"</f>
        <v>SO22000325</v>
      </c>
      <c r="AC1318">
        <v>1</v>
      </c>
      <c r="AD1318" s="1">
        <v>44787</v>
      </c>
      <c r="AM1318" t="str">
        <f>"10"</f>
        <v>10</v>
      </c>
      <c r="AN1318" t="str">
        <f>"500000"</f>
        <v>500000</v>
      </c>
      <c r="AO1318" t="str">
        <f>"הכנסות  מלקוחות"</f>
        <v>הכנסות  מלקוחות</v>
      </c>
      <c r="AQ1318" t="str">
        <f>"007"</f>
        <v>007</v>
      </c>
      <c r="AR1318">
        <v>0</v>
      </c>
      <c r="AS1318">
        <v>0</v>
      </c>
      <c r="AT1318">
        <v>3.53</v>
      </c>
      <c r="AX1318" t="str">
        <f>"E000369895"</f>
        <v>E000369895</v>
      </c>
      <c r="BD1318" t="str">
        <f>"רוני דידי"</f>
        <v>רוני דידי</v>
      </c>
    </row>
    <row r="1319" spans="1:56" x14ac:dyDescent="0.3">
      <c r="A1319" s="1">
        <v>44866</v>
      </c>
      <c r="B1319" t="str">
        <f>"SI226001302"</f>
        <v>SI226001302</v>
      </c>
      <c r="C1319" t="str">
        <f>"PR22000244"</f>
        <v>PR22000244</v>
      </c>
      <c r="E1319" t="str">
        <f>"Y"</f>
        <v>Y</v>
      </c>
      <c r="F1319" t="str">
        <f>"חשבוניות מרכזות"</f>
        <v>חשבוניות מרכזות</v>
      </c>
      <c r="G1319" t="str">
        <f>"700065"</f>
        <v>700065</v>
      </c>
      <c r="H1319" t="str">
        <f>"אלתא מערכות בע""מ"</f>
        <v>אלתא מערכות בע"מ</v>
      </c>
      <c r="I1319" t="str">
        <f>"10"</f>
        <v>10</v>
      </c>
      <c r="J1319" t="str">
        <f>"OP-AR03044"</f>
        <v>OP-AR03044</v>
      </c>
      <c r="K1319" t="str">
        <f>"2222B158-001   CABLE ASSY ORW104"</f>
        <v>2222B158-001   CABLE ASSY ORW104</v>
      </c>
      <c r="L1319">
        <v>1</v>
      </c>
      <c r="M1319" t="str">
        <f>"יח"</f>
        <v>יח</v>
      </c>
      <c r="N1319">
        <v>1</v>
      </c>
      <c r="O1319" t="str">
        <f>"יח"</f>
        <v>יח</v>
      </c>
      <c r="P1319" s="2">
        <v>1952.33</v>
      </c>
      <c r="Q1319" t="str">
        <f>"$"</f>
        <v>$</v>
      </c>
      <c r="R1319" t="str">
        <f>"הזמנה"</f>
        <v>הזמנה</v>
      </c>
      <c r="S1319">
        <v>0</v>
      </c>
      <c r="T1319" s="2">
        <v>1952.33</v>
      </c>
      <c r="U1319">
        <v>0</v>
      </c>
      <c r="V1319" s="2">
        <v>1952.33</v>
      </c>
      <c r="W1319" t="str">
        <f>"$"</f>
        <v>$</v>
      </c>
      <c r="X1319">
        <v>0</v>
      </c>
      <c r="Y1319">
        <v>0</v>
      </c>
      <c r="Z1319">
        <v>0</v>
      </c>
      <c r="AA1319" t="str">
        <f>"Y"</f>
        <v>Y</v>
      </c>
      <c r="AC1319">
        <v>0</v>
      </c>
      <c r="AM1319" t="str">
        <f>"10"</f>
        <v>10</v>
      </c>
      <c r="AN1319" t="str">
        <f>"500000"</f>
        <v>500000</v>
      </c>
      <c r="AO1319" t="str">
        <f>"הכנסות  מלקוחות"</f>
        <v>הכנסות  מלקוחות</v>
      </c>
      <c r="AQ1319" t="str">
        <f>"040"</f>
        <v>040</v>
      </c>
      <c r="AR1319">
        <v>0</v>
      </c>
      <c r="AS1319">
        <v>0</v>
      </c>
      <c r="AT1319">
        <v>3.5590000000000002</v>
      </c>
      <c r="BB1319" t="str">
        <f>"Y"</f>
        <v>Y</v>
      </c>
      <c r="BD1319" t="str">
        <f>"רחמים זרוק"</f>
        <v>רחמים זרוק</v>
      </c>
    </row>
    <row r="1320" spans="1:56" x14ac:dyDescent="0.3">
      <c r="A1320" s="1">
        <v>44866</v>
      </c>
      <c r="B1320" t="str">
        <f>"SI226001300"</f>
        <v>SI226001300</v>
      </c>
      <c r="C1320" t="str">
        <f>"PR22000223"</f>
        <v>PR22000223</v>
      </c>
      <c r="E1320" t="str">
        <f>"Y"</f>
        <v>Y</v>
      </c>
      <c r="F1320" t="str">
        <f>"חשבוניות מרכזות"</f>
        <v>חשבוניות מרכזות</v>
      </c>
      <c r="G1320" t="str">
        <f>"700065"</f>
        <v>700065</v>
      </c>
      <c r="H1320" t="str">
        <f>"אלתא מערכות בע""מ"</f>
        <v>אלתא מערכות בע"מ</v>
      </c>
      <c r="I1320" t="str">
        <f>"10"</f>
        <v>10</v>
      </c>
      <c r="J1320" t="str">
        <f>"OP-AR03005"</f>
        <v>OP-AR03005</v>
      </c>
      <c r="K1320" t="str">
        <f>"2032D917-001   CABLE ASSY JTAG"</f>
        <v>2032D917-001   CABLE ASSY JTAG</v>
      </c>
      <c r="L1320">
        <v>6</v>
      </c>
      <c r="M1320" t="str">
        <f>"יח"</f>
        <v>יח</v>
      </c>
      <c r="N1320">
        <v>6</v>
      </c>
      <c r="O1320" t="str">
        <f>"יח"</f>
        <v>יח</v>
      </c>
      <c r="P1320">
        <v>188.83</v>
      </c>
      <c r="Q1320" t="str">
        <f>"$"</f>
        <v>$</v>
      </c>
      <c r="R1320" t="str">
        <f>"הזמנה"</f>
        <v>הזמנה</v>
      </c>
      <c r="S1320">
        <v>0</v>
      </c>
      <c r="T1320" s="2">
        <v>1132.98</v>
      </c>
      <c r="U1320">
        <v>0</v>
      </c>
      <c r="V1320" s="2">
        <v>1132.98</v>
      </c>
      <c r="W1320" t="str">
        <f>"$"</f>
        <v>$</v>
      </c>
      <c r="X1320">
        <v>0</v>
      </c>
      <c r="Y1320">
        <v>0</v>
      </c>
      <c r="Z1320">
        <v>0</v>
      </c>
      <c r="AA1320" t="str">
        <f>"Y"</f>
        <v>Y</v>
      </c>
      <c r="AC1320">
        <v>0</v>
      </c>
      <c r="AM1320" t="str">
        <f>"10"</f>
        <v>10</v>
      </c>
      <c r="AN1320" t="str">
        <f>"500000"</f>
        <v>500000</v>
      </c>
      <c r="AO1320" t="str">
        <f>"הכנסות  מלקוחות"</f>
        <v>הכנסות  מלקוחות</v>
      </c>
      <c r="AQ1320" t="str">
        <f>"040"</f>
        <v>040</v>
      </c>
      <c r="AR1320">
        <v>0</v>
      </c>
      <c r="AS1320">
        <v>0</v>
      </c>
      <c r="AT1320">
        <v>3.5590000000000002</v>
      </c>
      <c r="BB1320" t="str">
        <f>"Y"</f>
        <v>Y</v>
      </c>
      <c r="BD1320" t="str">
        <f>"רחמים זרוק"</f>
        <v>רחמים זרוק</v>
      </c>
    </row>
    <row r="1321" spans="1:56" x14ac:dyDescent="0.3">
      <c r="A1321" s="1">
        <v>44866</v>
      </c>
      <c r="B1321" t="str">
        <f>"SI226001300"</f>
        <v>SI226001300</v>
      </c>
      <c r="C1321" t="str">
        <f>"PR22000223"</f>
        <v>PR22000223</v>
      </c>
      <c r="E1321" t="str">
        <f>"Y"</f>
        <v>Y</v>
      </c>
      <c r="F1321" t="str">
        <f>"חשבוניות מרכזות"</f>
        <v>חשבוניות מרכזות</v>
      </c>
      <c r="G1321" t="str">
        <f>"700065"</f>
        <v>700065</v>
      </c>
      <c r="H1321" t="str">
        <f>"אלתא מערכות בע""מ"</f>
        <v>אלתא מערכות בע"מ</v>
      </c>
      <c r="I1321" t="str">
        <f>"10"</f>
        <v>10</v>
      </c>
      <c r="J1321" t="str">
        <f>"OP-AR03007"</f>
        <v>OP-AR03007</v>
      </c>
      <c r="K1321" t="str">
        <f>"2215D096-001   HARNESS WB002 - TEST CABLE FOR MINI IPB"</f>
        <v>2215D096-001   HARNESS WB002 - TEST CABLE FOR MINI IPB</v>
      </c>
      <c r="L1321">
        <v>6</v>
      </c>
      <c r="M1321" t="str">
        <f>"יח"</f>
        <v>יח</v>
      </c>
      <c r="N1321">
        <v>6</v>
      </c>
      <c r="O1321" t="str">
        <f>"יח"</f>
        <v>יח</v>
      </c>
      <c r="P1321">
        <v>211.3</v>
      </c>
      <c r="Q1321" t="str">
        <f>"$"</f>
        <v>$</v>
      </c>
      <c r="R1321" t="str">
        <f>"הזמנה"</f>
        <v>הזמנה</v>
      </c>
      <c r="S1321">
        <v>0</v>
      </c>
      <c r="T1321" s="2">
        <v>1267.8</v>
      </c>
      <c r="U1321">
        <v>0</v>
      </c>
      <c r="V1321" s="2">
        <v>1267.8</v>
      </c>
      <c r="W1321" t="str">
        <f>"$"</f>
        <v>$</v>
      </c>
      <c r="X1321">
        <v>0</v>
      </c>
      <c r="Y1321">
        <v>0</v>
      </c>
      <c r="Z1321">
        <v>0</v>
      </c>
      <c r="AA1321" t="str">
        <f>"Y"</f>
        <v>Y</v>
      </c>
      <c r="AC1321">
        <v>0</v>
      </c>
      <c r="AM1321" t="str">
        <f>"10"</f>
        <v>10</v>
      </c>
      <c r="AN1321" t="str">
        <f>"500000"</f>
        <v>500000</v>
      </c>
      <c r="AO1321" t="str">
        <f>"הכנסות  מלקוחות"</f>
        <v>הכנסות  מלקוחות</v>
      </c>
      <c r="AQ1321" t="str">
        <f>"040"</f>
        <v>040</v>
      </c>
      <c r="AR1321">
        <v>0</v>
      </c>
      <c r="AS1321">
        <v>0</v>
      </c>
      <c r="AT1321">
        <v>3.5590000000000002</v>
      </c>
      <c r="BB1321" t="str">
        <f>"Y"</f>
        <v>Y</v>
      </c>
      <c r="BD1321" t="str">
        <f>"רחמים זרוק"</f>
        <v>רחמים זרוק</v>
      </c>
    </row>
    <row r="1322" spans="1:56" x14ac:dyDescent="0.3">
      <c r="A1322" s="1">
        <v>44866</v>
      </c>
      <c r="B1322" t="str">
        <f>"SI226001299"</f>
        <v>SI226001299</v>
      </c>
      <c r="C1322" t="str">
        <f>"PR22000498"</f>
        <v>PR22000498</v>
      </c>
      <c r="E1322" t="str">
        <f>"Y"</f>
        <v>Y</v>
      </c>
      <c r="F1322" t="str">
        <f>"חשבוניות מרכזות"</f>
        <v>חשבוניות מרכזות</v>
      </c>
      <c r="G1322" t="str">
        <f>"700065"</f>
        <v>700065</v>
      </c>
      <c r="H1322" t="str">
        <f>"אלתא מערכות בע""מ"</f>
        <v>אלתא מערכות בע"מ</v>
      </c>
      <c r="I1322" t="str">
        <f>"10"</f>
        <v>10</v>
      </c>
      <c r="J1322" t="str">
        <f>"GT0600049"</f>
        <v>GT0600049</v>
      </c>
      <c r="K1322" t="str">
        <f>"פנס תאורה דגם יופיטר כולל נורת רכב מתח 230V"</f>
        <v>פנס תאורה דגם יופיטר כולל נורת רכב מתח 230V</v>
      </c>
      <c r="L1322">
        <v>4</v>
      </c>
      <c r="M1322" t="str">
        <f>"יח"</f>
        <v>יח</v>
      </c>
      <c r="N1322">
        <v>4</v>
      </c>
      <c r="O1322" t="str">
        <f>"יח"</f>
        <v>יח</v>
      </c>
      <c r="P1322">
        <v>345</v>
      </c>
      <c r="Q1322" t="str">
        <f>"$"</f>
        <v>$</v>
      </c>
      <c r="R1322" t="str">
        <f>"הזמנה"</f>
        <v>הזמנה</v>
      </c>
      <c r="S1322">
        <v>0</v>
      </c>
      <c r="T1322" s="2">
        <v>1380</v>
      </c>
      <c r="U1322">
        <v>0</v>
      </c>
      <c r="V1322" s="2">
        <v>1380</v>
      </c>
      <c r="W1322" t="str">
        <f>"$"</f>
        <v>$</v>
      </c>
      <c r="X1322">
        <v>0</v>
      </c>
      <c r="Y1322">
        <v>0</v>
      </c>
      <c r="Z1322">
        <v>0</v>
      </c>
      <c r="AA1322" t="str">
        <f>"Y"</f>
        <v>Y</v>
      </c>
      <c r="AC1322">
        <v>0</v>
      </c>
      <c r="AM1322" t="str">
        <f>"10"</f>
        <v>10</v>
      </c>
      <c r="AN1322" t="str">
        <f>"500000"</f>
        <v>500000</v>
      </c>
      <c r="AO1322" t="str">
        <f>"הכנסות  מלקוחות"</f>
        <v>הכנסות  מלקוחות</v>
      </c>
      <c r="AQ1322" t="str">
        <f>"007"</f>
        <v>007</v>
      </c>
      <c r="AR1322">
        <v>0</v>
      </c>
      <c r="AS1322">
        <v>0</v>
      </c>
      <c r="AT1322">
        <v>3.5590000000000002</v>
      </c>
      <c r="BB1322" t="str">
        <f>"Y"</f>
        <v>Y</v>
      </c>
      <c r="BD1322" t="str">
        <f>"רוני דידי"</f>
        <v>רוני דידי</v>
      </c>
    </row>
    <row r="1323" spans="1:56" x14ac:dyDescent="0.3">
      <c r="A1323" s="1">
        <v>44866</v>
      </c>
      <c r="B1323" t="str">
        <f>"SI226001296"</f>
        <v>SI226001296</v>
      </c>
      <c r="C1323" t="str">
        <f>"PR21000889"</f>
        <v>PR21000889</v>
      </c>
      <c r="E1323" t="str">
        <f>"Y"</f>
        <v>Y</v>
      </c>
      <c r="F1323" t="str">
        <f>"חשבוניות מרכזות"</f>
        <v>חשבוניות מרכזות</v>
      </c>
      <c r="G1323" t="str">
        <f>"700065"</f>
        <v>700065</v>
      </c>
      <c r="H1323" t="str">
        <f>"אלתא מערכות בע""מ"</f>
        <v>אלתא מערכות בע"מ</v>
      </c>
      <c r="I1323" t="str">
        <f>"10"</f>
        <v>10</v>
      </c>
      <c r="J1323" t="str">
        <f>"OP-AR02874"</f>
        <v>OP-AR02874</v>
      </c>
      <c r="K1323" t="str">
        <f>"1039H839-001/A   HARNESS WY039 - FAN - FULL TK"</f>
        <v>1039H839-001/A   HARNESS WY039 - FAN - FULL TK</v>
      </c>
      <c r="L1323">
        <v>24</v>
      </c>
      <c r="M1323" t="str">
        <f>"יח"</f>
        <v>יח</v>
      </c>
      <c r="N1323">
        <v>24</v>
      </c>
      <c r="O1323" t="str">
        <f>"יח"</f>
        <v>יח</v>
      </c>
      <c r="P1323">
        <v>406.87</v>
      </c>
      <c r="Q1323" t="str">
        <f>"$"</f>
        <v>$</v>
      </c>
      <c r="R1323" t="str">
        <f>"הזמנה"</f>
        <v>הזמנה</v>
      </c>
      <c r="S1323">
        <v>0</v>
      </c>
      <c r="T1323" s="2">
        <v>9764.8799999999992</v>
      </c>
      <c r="U1323">
        <v>0</v>
      </c>
      <c r="V1323" s="2">
        <v>9764.8799999999992</v>
      </c>
      <c r="W1323" t="str">
        <f>"$"</f>
        <v>$</v>
      </c>
      <c r="X1323">
        <v>0</v>
      </c>
      <c r="Y1323">
        <v>0</v>
      </c>
      <c r="Z1323">
        <v>0</v>
      </c>
      <c r="AA1323" t="str">
        <f>"Y"</f>
        <v>Y</v>
      </c>
      <c r="AC1323">
        <v>0</v>
      </c>
      <c r="AM1323" t="str">
        <f>"10"</f>
        <v>10</v>
      </c>
      <c r="AN1323" t="str">
        <f>"500000"</f>
        <v>500000</v>
      </c>
      <c r="AO1323" t="str">
        <f>"הכנסות  מלקוחות"</f>
        <v>הכנסות  מלקוחות</v>
      </c>
      <c r="AQ1323" t="str">
        <f>"040"</f>
        <v>040</v>
      </c>
      <c r="AR1323">
        <v>0</v>
      </c>
      <c r="AS1323">
        <v>0</v>
      </c>
      <c r="AT1323">
        <v>3.5590000000000002</v>
      </c>
      <c r="BB1323" t="str">
        <f>"Y"</f>
        <v>Y</v>
      </c>
      <c r="BD1323" t="str">
        <f>"רחמים זרוק"</f>
        <v>רחמים זרוק</v>
      </c>
    </row>
    <row r="1324" spans="1:56" x14ac:dyDescent="0.3">
      <c r="A1324" s="1">
        <v>44866</v>
      </c>
      <c r="B1324" t="str">
        <f>"SI226001296"</f>
        <v>SI226001296</v>
      </c>
      <c r="C1324" t="str">
        <f>"PR21000889"</f>
        <v>PR21000889</v>
      </c>
      <c r="E1324" t="str">
        <f>"Y"</f>
        <v>Y</v>
      </c>
      <c r="F1324" t="str">
        <f>"חשבוניות מרכזות"</f>
        <v>חשבוניות מרכזות</v>
      </c>
      <c r="G1324" t="str">
        <f>"700065"</f>
        <v>700065</v>
      </c>
      <c r="H1324" t="str">
        <f>"אלתא מערכות בע""מ"</f>
        <v>אלתא מערכות בע"מ</v>
      </c>
      <c r="I1324" t="str">
        <f>"10"</f>
        <v>10</v>
      </c>
      <c r="J1324" t="str">
        <f>"OP-AR02874"</f>
        <v>OP-AR02874</v>
      </c>
      <c r="K1324" t="str">
        <f>"1039H839-001/A   HARNESS WY039 - FAN - FULL TK"</f>
        <v>1039H839-001/A   HARNESS WY039 - FAN - FULL TK</v>
      </c>
      <c r="L1324">
        <v>2</v>
      </c>
      <c r="M1324" t="str">
        <f>"יח"</f>
        <v>יח</v>
      </c>
      <c r="N1324">
        <v>2</v>
      </c>
      <c r="O1324" t="str">
        <f>"יח"</f>
        <v>יח</v>
      </c>
      <c r="P1324">
        <v>406.87</v>
      </c>
      <c r="Q1324" t="str">
        <f>"$"</f>
        <v>$</v>
      </c>
      <c r="R1324" t="str">
        <f>"הזמנה"</f>
        <v>הזמנה</v>
      </c>
      <c r="S1324">
        <v>0</v>
      </c>
      <c r="T1324">
        <v>813.74</v>
      </c>
      <c r="U1324">
        <v>0</v>
      </c>
      <c r="V1324">
        <v>813.74</v>
      </c>
      <c r="W1324" t="str">
        <f>"$"</f>
        <v>$</v>
      </c>
      <c r="X1324">
        <v>0</v>
      </c>
      <c r="Y1324">
        <v>0</v>
      </c>
      <c r="Z1324">
        <v>0</v>
      </c>
      <c r="AA1324" t="str">
        <f>"Y"</f>
        <v>Y</v>
      </c>
      <c r="AC1324">
        <v>0</v>
      </c>
      <c r="AM1324" t="str">
        <f>"10"</f>
        <v>10</v>
      </c>
      <c r="AN1324" t="str">
        <f>"500000"</f>
        <v>500000</v>
      </c>
      <c r="AO1324" t="str">
        <f>"הכנסות  מלקוחות"</f>
        <v>הכנסות  מלקוחות</v>
      </c>
      <c r="AQ1324" t="str">
        <f>"040"</f>
        <v>040</v>
      </c>
      <c r="AR1324">
        <v>0</v>
      </c>
      <c r="AS1324">
        <v>0</v>
      </c>
      <c r="AT1324">
        <v>3.5590000000000002</v>
      </c>
      <c r="BB1324" t="str">
        <f>"Y"</f>
        <v>Y</v>
      </c>
      <c r="BD1324" t="str">
        <f>"רחמים זרוק"</f>
        <v>רחמים זרוק</v>
      </c>
    </row>
    <row r="1325" spans="1:56" x14ac:dyDescent="0.3">
      <c r="A1325" s="1">
        <v>44866</v>
      </c>
      <c r="B1325" t="str">
        <f>"SI226001295"</f>
        <v>SI226001295</v>
      </c>
      <c r="C1325" t="str">
        <f>"PR22000445"</f>
        <v>PR22000445</v>
      </c>
      <c r="E1325" t="str">
        <f>"Y"</f>
        <v>Y</v>
      </c>
      <c r="F1325" t="str">
        <f>"חשבוניות מרכזות"</f>
        <v>חשבוניות מרכזות</v>
      </c>
      <c r="G1325" t="str">
        <f>"700065"</f>
        <v>700065</v>
      </c>
      <c r="H1325" t="str">
        <f>"אלתא מערכות בע""מ"</f>
        <v>אלתא מערכות בע"מ</v>
      </c>
      <c r="I1325" t="str">
        <f>"10"</f>
        <v>10</v>
      </c>
      <c r="J1325" t="str">
        <f>"OP-AR03171"</f>
        <v>OP-AR03171</v>
      </c>
      <c r="K1325" t="str">
        <f>"1037T238-001   HARNESS WB238 - RSU FAN ASSEMBLY"</f>
        <v>1037T238-001   HARNESS WB238 - RSU FAN ASSEMBLY</v>
      </c>
      <c r="L1325">
        <v>2</v>
      </c>
      <c r="M1325" t="str">
        <f>"יח"</f>
        <v>יח</v>
      </c>
      <c r="N1325">
        <v>2</v>
      </c>
      <c r="O1325" t="str">
        <f>"יח"</f>
        <v>יח</v>
      </c>
      <c r="P1325">
        <v>102.17</v>
      </c>
      <c r="Q1325" t="str">
        <f>"$"</f>
        <v>$</v>
      </c>
      <c r="R1325" t="str">
        <f>"הזמנה"</f>
        <v>הזמנה</v>
      </c>
      <c r="S1325">
        <v>0</v>
      </c>
      <c r="T1325">
        <v>204.34</v>
      </c>
      <c r="U1325">
        <v>0</v>
      </c>
      <c r="V1325">
        <v>204.34</v>
      </c>
      <c r="W1325" t="str">
        <f>"$"</f>
        <v>$</v>
      </c>
      <c r="X1325">
        <v>0</v>
      </c>
      <c r="Y1325">
        <v>0</v>
      </c>
      <c r="Z1325">
        <v>0</v>
      </c>
      <c r="AA1325" t="str">
        <f>"Y"</f>
        <v>Y</v>
      </c>
      <c r="AC1325">
        <v>0</v>
      </c>
      <c r="AM1325" t="str">
        <f>"10"</f>
        <v>10</v>
      </c>
      <c r="AN1325" t="str">
        <f>"500000"</f>
        <v>500000</v>
      </c>
      <c r="AO1325" t="str">
        <f>"הכנסות  מלקוחות"</f>
        <v>הכנסות  מלקוחות</v>
      </c>
      <c r="AQ1325" t="str">
        <f>"034"</f>
        <v>034</v>
      </c>
      <c r="AR1325">
        <v>0</v>
      </c>
      <c r="AS1325">
        <v>0</v>
      </c>
      <c r="AT1325">
        <v>3.5590000000000002</v>
      </c>
      <c r="BB1325" t="str">
        <f>"Y"</f>
        <v>Y</v>
      </c>
      <c r="BD1325" t="str">
        <f>"ערן שלו"</f>
        <v>ערן שלו</v>
      </c>
    </row>
    <row r="1326" spans="1:56" x14ac:dyDescent="0.3">
      <c r="A1326" s="1">
        <v>44866</v>
      </c>
      <c r="B1326" t="str">
        <f>"SI226001294"</f>
        <v>SI226001294</v>
      </c>
      <c r="C1326" t="str">
        <f>"PR22000244"</f>
        <v>PR22000244</v>
      </c>
      <c r="E1326" t="str">
        <f>"Y"</f>
        <v>Y</v>
      </c>
      <c r="F1326" t="str">
        <f>"חשבוניות מרכזות"</f>
        <v>חשבוניות מרכזות</v>
      </c>
      <c r="G1326" t="str">
        <f>"700065"</f>
        <v>700065</v>
      </c>
      <c r="H1326" t="str">
        <f>"אלתא מערכות בע""מ"</f>
        <v>אלתא מערכות בע"מ</v>
      </c>
      <c r="I1326" t="str">
        <f>"10"</f>
        <v>10</v>
      </c>
      <c r="J1326" t="str">
        <f>"OP-AR03043"</f>
        <v>OP-AR03043</v>
      </c>
      <c r="K1326" t="str">
        <f>"2222B156-001   CABLE ASSY ORW103"</f>
        <v>2222B156-001   CABLE ASSY ORW103</v>
      </c>
      <c r="L1326">
        <v>1</v>
      </c>
      <c r="M1326" t="str">
        <f>"יח"</f>
        <v>יח</v>
      </c>
      <c r="N1326">
        <v>1</v>
      </c>
      <c r="O1326" t="str">
        <f>"יח"</f>
        <v>יח</v>
      </c>
      <c r="P1326" s="2">
        <v>1357.01</v>
      </c>
      <c r="Q1326" t="str">
        <f>"$"</f>
        <v>$</v>
      </c>
      <c r="R1326" t="str">
        <f>"הזמנה"</f>
        <v>הזמנה</v>
      </c>
      <c r="S1326">
        <v>0</v>
      </c>
      <c r="T1326" s="2">
        <v>1357.01</v>
      </c>
      <c r="U1326">
        <v>0</v>
      </c>
      <c r="V1326" s="2">
        <v>1357.01</v>
      </c>
      <c r="W1326" t="str">
        <f>"$"</f>
        <v>$</v>
      </c>
      <c r="X1326">
        <v>0</v>
      </c>
      <c r="Y1326">
        <v>0</v>
      </c>
      <c r="Z1326">
        <v>0</v>
      </c>
      <c r="AA1326" t="str">
        <f>"Y"</f>
        <v>Y</v>
      </c>
      <c r="AC1326">
        <v>0</v>
      </c>
      <c r="AM1326" t="str">
        <f>"10"</f>
        <v>10</v>
      </c>
      <c r="AN1326" t="str">
        <f>"500000"</f>
        <v>500000</v>
      </c>
      <c r="AO1326" t="str">
        <f>"הכנסות  מלקוחות"</f>
        <v>הכנסות  מלקוחות</v>
      </c>
      <c r="AQ1326" t="str">
        <f>"040"</f>
        <v>040</v>
      </c>
      <c r="AR1326">
        <v>0</v>
      </c>
      <c r="AS1326">
        <v>0</v>
      </c>
      <c r="AT1326">
        <v>3.5590000000000002</v>
      </c>
      <c r="BB1326" t="str">
        <f>"Y"</f>
        <v>Y</v>
      </c>
      <c r="BD1326" t="str">
        <f>"רחמים זרוק"</f>
        <v>רחמים זרוק</v>
      </c>
    </row>
    <row r="1327" spans="1:56" x14ac:dyDescent="0.3">
      <c r="A1327" s="1">
        <v>44866</v>
      </c>
      <c r="B1327" t="str">
        <f>"SI226001274"</f>
        <v>SI226001274</v>
      </c>
      <c r="E1327" t="str">
        <f>"Y"</f>
        <v>Y</v>
      </c>
      <c r="F1327" t="str">
        <f>"חשבוניות מרכזות"</f>
        <v>חשבוניות מרכזות</v>
      </c>
      <c r="G1327" t="str">
        <f>"700065"</f>
        <v>700065</v>
      </c>
      <c r="H1327" t="str">
        <f>"אלתא מערכות בע""מ"</f>
        <v>אלתא מערכות בע"מ</v>
      </c>
      <c r="I1327" t="str">
        <f>"10"</f>
        <v>10</v>
      </c>
      <c r="J1327" t="str">
        <f>"OP-ML00197"</f>
        <v>OP-ML00197</v>
      </c>
      <c r="K1327" t="str">
        <f>"1038C816-001 COMPUTER RACK"</f>
        <v>1038C816-001 COMPUTER RACK</v>
      </c>
      <c r="L1327">
        <v>-1</v>
      </c>
      <c r="M1327" t="str">
        <f>"יח"</f>
        <v>יח</v>
      </c>
      <c r="N1327">
        <v>-1</v>
      </c>
      <c r="O1327" t="str">
        <f>"יח"</f>
        <v>יח</v>
      </c>
      <c r="P1327" s="2">
        <v>47500</v>
      </c>
      <c r="Q1327" t="str">
        <f>"$"</f>
        <v>$</v>
      </c>
      <c r="R1327" t="str">
        <f>"הזמנה"</f>
        <v>הזמנה</v>
      </c>
      <c r="S1327">
        <v>0</v>
      </c>
      <c r="T1327" s="2">
        <v>-47500</v>
      </c>
      <c r="U1327">
        <v>0</v>
      </c>
      <c r="V1327" s="2">
        <v>-47500</v>
      </c>
      <c r="W1327" t="str">
        <f>"$"</f>
        <v>$</v>
      </c>
      <c r="X1327">
        <v>0</v>
      </c>
      <c r="Y1327">
        <v>0</v>
      </c>
      <c r="Z1327">
        <v>0</v>
      </c>
      <c r="AA1327" t="str">
        <f>"Y"</f>
        <v>Y</v>
      </c>
      <c r="AC1327">
        <v>0</v>
      </c>
      <c r="AM1327" t="str">
        <f>"10"</f>
        <v>10</v>
      </c>
      <c r="AN1327" t="str">
        <f>"500000"</f>
        <v>500000</v>
      </c>
      <c r="AO1327" t="str">
        <f>"הכנסות  מלקוחות"</f>
        <v>הכנסות  מלקוחות</v>
      </c>
      <c r="AQ1327" t="str">
        <f>"034"</f>
        <v>034</v>
      </c>
      <c r="AR1327">
        <v>0</v>
      </c>
      <c r="AS1327">
        <v>0</v>
      </c>
      <c r="AT1327">
        <v>3.278</v>
      </c>
      <c r="BB1327" t="str">
        <f>"Y"</f>
        <v>Y</v>
      </c>
      <c r="BD1327" t="str">
        <f>"ערן שלו"</f>
        <v>ערן שלו</v>
      </c>
    </row>
    <row r="1328" spans="1:56" x14ac:dyDescent="0.3">
      <c r="A1328" s="1">
        <v>44860</v>
      </c>
      <c r="B1328" t="str">
        <f>"SI226001151"</f>
        <v>SI226001151</v>
      </c>
      <c r="E1328" t="str">
        <f>"Y"</f>
        <v>Y</v>
      </c>
      <c r="F1328" t="str">
        <f>"חשבוניות מרכזות"</f>
        <v>חשבוניות מרכזות</v>
      </c>
      <c r="G1328" t="str">
        <f>"700065"</f>
        <v>700065</v>
      </c>
      <c r="H1328" t="str">
        <f>"אלתא מערכות בע""מ"</f>
        <v>אלתא מערכות בע"מ</v>
      </c>
      <c r="I1328" t="str">
        <f>"10"</f>
        <v>10</v>
      </c>
      <c r="J1328" t="str">
        <f>"000"</f>
        <v>000</v>
      </c>
      <c r="K1328" t="str">
        <f>"NRE FOR 1038C906-001"</f>
        <v>NRE FOR 1038C906-001</v>
      </c>
      <c r="L1328">
        <v>1</v>
      </c>
      <c r="M1328" t="str">
        <f>"יח"</f>
        <v>יח</v>
      </c>
      <c r="N1328">
        <v>1</v>
      </c>
      <c r="O1328" t="str">
        <f>"יח"</f>
        <v>יח</v>
      </c>
      <c r="P1328" s="2">
        <v>16252.5</v>
      </c>
      <c r="Q1328" t="str">
        <f>"$"</f>
        <v>$</v>
      </c>
      <c r="R1328" t="str">
        <f>"הזמנה"</f>
        <v>הזמנה</v>
      </c>
      <c r="S1328">
        <v>0</v>
      </c>
      <c r="T1328" s="2">
        <v>16252.5</v>
      </c>
      <c r="U1328">
        <v>0</v>
      </c>
      <c r="V1328" s="2">
        <v>16252.5</v>
      </c>
      <c r="W1328" t="str">
        <f>"$"</f>
        <v>$</v>
      </c>
      <c r="X1328">
        <v>0</v>
      </c>
      <c r="Y1328">
        <v>0</v>
      </c>
      <c r="Z1328">
        <v>0</v>
      </c>
      <c r="AA1328" t="str">
        <f>"Y"</f>
        <v>Y</v>
      </c>
      <c r="AB1328" t="str">
        <f>"SO20000218"</f>
        <v>SO20000218</v>
      </c>
      <c r="AC1328">
        <v>23</v>
      </c>
      <c r="AD1328" s="1">
        <v>43982</v>
      </c>
      <c r="AM1328" t="str">
        <f>"10"</f>
        <v>10</v>
      </c>
      <c r="AN1328" t="str">
        <f>"500000"</f>
        <v>500000</v>
      </c>
      <c r="AO1328" t="str">
        <f>"הכנסות  מלקוחות"</f>
        <v>הכנסות  מלקוחות</v>
      </c>
      <c r="AQ1328" t="str">
        <f>"034"</f>
        <v>034</v>
      </c>
      <c r="AR1328">
        <v>0</v>
      </c>
      <c r="AS1328">
        <v>0</v>
      </c>
      <c r="AT1328">
        <v>3.5590000000000002</v>
      </c>
      <c r="AX1328" t="str">
        <f>"E000312785"</f>
        <v>E000312785</v>
      </c>
      <c r="BD1328" t="str">
        <f>"ערן שלו"</f>
        <v>ערן שלו</v>
      </c>
    </row>
    <row r="1329" spans="1:56" x14ac:dyDescent="0.3">
      <c r="A1329" s="1">
        <v>44852</v>
      </c>
      <c r="B1329" t="str">
        <f>"SI226001124"</f>
        <v>SI226001124</v>
      </c>
      <c r="E1329" t="str">
        <f>"Y"</f>
        <v>Y</v>
      </c>
      <c r="F1329" t="str">
        <f>"חשבוניות מרכזות"</f>
        <v>חשבוניות מרכזות</v>
      </c>
      <c r="G1329" t="str">
        <f>"700065"</f>
        <v>700065</v>
      </c>
      <c r="H1329" t="str">
        <f>"אלתא מערכות בע""מ"</f>
        <v>אלתא מערכות בע"מ</v>
      </c>
      <c r="I1329" t="str">
        <f>"10"</f>
        <v>10</v>
      </c>
      <c r="J1329" t="str">
        <f>"OP-AR02918"</f>
        <v>OP-AR02918</v>
      </c>
      <c r="K1329" t="str">
        <f>"HU PDB1 1033H520-001"</f>
        <v>HU PDB1 1033H520-001</v>
      </c>
      <c r="L1329">
        <v>1</v>
      </c>
      <c r="M1329" t="str">
        <f>"יח"</f>
        <v>יח</v>
      </c>
      <c r="N1329">
        <v>1</v>
      </c>
      <c r="O1329" t="str">
        <f>"יח"</f>
        <v>יח</v>
      </c>
      <c r="P1329" s="2">
        <v>41000</v>
      </c>
      <c r="Q1329" t="str">
        <f>"$"</f>
        <v>$</v>
      </c>
      <c r="R1329" t="str">
        <f>"הזמנה"</f>
        <v>הזמנה</v>
      </c>
      <c r="S1329">
        <v>0</v>
      </c>
      <c r="T1329" s="2">
        <v>41000</v>
      </c>
      <c r="U1329">
        <v>0</v>
      </c>
      <c r="V1329" s="2">
        <v>41000</v>
      </c>
      <c r="W1329" t="str">
        <f>"$"</f>
        <v>$</v>
      </c>
      <c r="X1329">
        <v>0</v>
      </c>
      <c r="Y1329">
        <v>0</v>
      </c>
      <c r="Z1329">
        <v>0</v>
      </c>
      <c r="AA1329" t="str">
        <f>"Y"</f>
        <v>Y</v>
      </c>
      <c r="AB1329" t="str">
        <f>"SO22000016"</f>
        <v>SO22000016</v>
      </c>
      <c r="AC1329">
        <v>12</v>
      </c>
      <c r="AD1329" s="1">
        <v>44574</v>
      </c>
      <c r="AE1329" t="str">
        <f>"SH22001393"</f>
        <v>SH22001393</v>
      </c>
      <c r="AF1329" t="str">
        <f>"משלוחים ללקוח"</f>
        <v>משלוחים ללקוח</v>
      </c>
      <c r="AG1329" s="1">
        <v>44903</v>
      </c>
      <c r="AM1329" t="str">
        <f>"10"</f>
        <v>10</v>
      </c>
      <c r="AN1329" t="str">
        <f>"500000"</f>
        <v>500000</v>
      </c>
      <c r="AO1329" t="str">
        <f>"הכנסות  מלקוחות"</f>
        <v>הכנסות  מלקוחות</v>
      </c>
      <c r="AQ1329" t="str">
        <f>"007"</f>
        <v>007</v>
      </c>
      <c r="AR1329">
        <v>0</v>
      </c>
      <c r="AS1329">
        <v>0</v>
      </c>
      <c r="AT1329">
        <v>3.5470000000000002</v>
      </c>
      <c r="AX1329" t="str">
        <f>"E000355064"</f>
        <v>E000355064</v>
      </c>
      <c r="BD1329" t="str">
        <f>"רוני דידי"</f>
        <v>רוני דידי</v>
      </c>
    </row>
    <row r="1330" spans="1:56" x14ac:dyDescent="0.3">
      <c r="A1330" s="1">
        <v>44852</v>
      </c>
      <c r="B1330" t="str">
        <f>"SI226001123"</f>
        <v>SI226001123</v>
      </c>
      <c r="E1330" t="str">
        <f>"Y"</f>
        <v>Y</v>
      </c>
      <c r="F1330" t="str">
        <f>"חשבוניות מרכזות"</f>
        <v>חשבוניות מרכזות</v>
      </c>
      <c r="G1330" t="str">
        <f>"700065"</f>
        <v>700065</v>
      </c>
      <c r="H1330" t="str">
        <f>"אלתא מערכות בע""מ"</f>
        <v>אלתא מערכות בע"מ</v>
      </c>
      <c r="I1330" t="str">
        <f>"10"</f>
        <v>10</v>
      </c>
      <c r="J1330" t="str">
        <f>"OP-AR02918"</f>
        <v>OP-AR02918</v>
      </c>
      <c r="K1330" t="str">
        <f>"HU PDB1 1033H520-001"</f>
        <v>HU PDB1 1033H520-001</v>
      </c>
      <c r="L1330">
        <v>1</v>
      </c>
      <c r="M1330" t="str">
        <f>"יח"</f>
        <v>יח</v>
      </c>
      <c r="N1330">
        <v>1</v>
      </c>
      <c r="O1330" t="str">
        <f>"יח"</f>
        <v>יח</v>
      </c>
      <c r="P1330" s="2">
        <v>41000</v>
      </c>
      <c r="Q1330" t="str">
        <f>"$"</f>
        <v>$</v>
      </c>
      <c r="R1330" t="str">
        <f>"הזמנה"</f>
        <v>הזמנה</v>
      </c>
      <c r="S1330">
        <v>0</v>
      </c>
      <c r="T1330" s="2">
        <v>41000</v>
      </c>
      <c r="U1330">
        <v>0</v>
      </c>
      <c r="V1330" s="2">
        <v>41000</v>
      </c>
      <c r="W1330" t="str">
        <f>"$"</f>
        <v>$</v>
      </c>
      <c r="X1330">
        <v>0</v>
      </c>
      <c r="Y1330">
        <v>0</v>
      </c>
      <c r="Z1330">
        <v>0</v>
      </c>
      <c r="AA1330" t="str">
        <f>"Y"</f>
        <v>Y</v>
      </c>
      <c r="AC1330">
        <v>0</v>
      </c>
      <c r="AM1330" t="str">
        <f>"10"</f>
        <v>10</v>
      </c>
      <c r="AN1330" t="str">
        <f>"500000"</f>
        <v>500000</v>
      </c>
      <c r="AO1330" t="str">
        <f>"הכנסות  מלקוחות"</f>
        <v>הכנסות  מלקוחות</v>
      </c>
      <c r="AQ1330" t="str">
        <f>"007"</f>
        <v>007</v>
      </c>
      <c r="AR1330">
        <v>0</v>
      </c>
      <c r="AS1330">
        <v>0</v>
      </c>
      <c r="AT1330">
        <v>3.5470000000000002</v>
      </c>
      <c r="BB1330" t="str">
        <f>"Y"</f>
        <v>Y</v>
      </c>
      <c r="BD1330" t="str">
        <f>"רוני דידי"</f>
        <v>רוני דידי</v>
      </c>
    </row>
    <row r="1331" spans="1:56" x14ac:dyDescent="0.3">
      <c r="A1331" s="1">
        <v>44852</v>
      </c>
      <c r="B1331" t="str">
        <f>"SI226001122"</f>
        <v>SI226001122</v>
      </c>
      <c r="E1331" t="str">
        <f>"Y"</f>
        <v>Y</v>
      </c>
      <c r="F1331" t="str">
        <f>"חשבוניות מרכזות"</f>
        <v>חשבוניות מרכזות</v>
      </c>
      <c r="G1331" t="str">
        <f>"700065"</f>
        <v>700065</v>
      </c>
      <c r="H1331" t="str">
        <f>"אלתא מערכות בע""מ"</f>
        <v>אלתא מערכות בע"מ</v>
      </c>
      <c r="I1331" t="str">
        <f>"10"</f>
        <v>10</v>
      </c>
      <c r="J1331" t="str">
        <f>"OP-AR02041"</f>
        <v>OP-AR02041</v>
      </c>
      <c r="K1331" t="str">
        <f>"PDB1 1038C860-001"</f>
        <v>PDB1 1038C860-001</v>
      </c>
      <c r="L1331">
        <v>1</v>
      </c>
      <c r="M1331" t="str">
        <f>"יח"</f>
        <v>יח</v>
      </c>
      <c r="N1331">
        <v>1</v>
      </c>
      <c r="O1331" t="str">
        <f>"יח"</f>
        <v>יח</v>
      </c>
      <c r="P1331" s="2">
        <v>41000</v>
      </c>
      <c r="Q1331" t="str">
        <f>"$"</f>
        <v>$</v>
      </c>
      <c r="R1331" t="str">
        <f>"הזמנה"</f>
        <v>הזמנה</v>
      </c>
      <c r="S1331">
        <v>0</v>
      </c>
      <c r="T1331" s="2">
        <v>41000</v>
      </c>
      <c r="U1331">
        <v>0</v>
      </c>
      <c r="V1331" s="2">
        <v>41000</v>
      </c>
      <c r="W1331" t="str">
        <f>"$"</f>
        <v>$</v>
      </c>
      <c r="X1331">
        <v>0</v>
      </c>
      <c r="Y1331">
        <v>0</v>
      </c>
      <c r="Z1331">
        <v>0</v>
      </c>
      <c r="AA1331" t="str">
        <f>"Y"</f>
        <v>Y</v>
      </c>
      <c r="AC1331">
        <v>0</v>
      </c>
      <c r="AM1331" t="str">
        <f>"10"</f>
        <v>10</v>
      </c>
      <c r="AN1331" t="str">
        <f>"500000"</f>
        <v>500000</v>
      </c>
      <c r="AO1331" t="str">
        <f>"הכנסות  מלקוחות"</f>
        <v>הכנסות  מלקוחות</v>
      </c>
      <c r="AQ1331" t="str">
        <f>"007"</f>
        <v>007</v>
      </c>
      <c r="AR1331">
        <v>0</v>
      </c>
      <c r="AS1331">
        <v>0</v>
      </c>
      <c r="AT1331">
        <v>3.5470000000000002</v>
      </c>
      <c r="BB1331" t="str">
        <f>"Y"</f>
        <v>Y</v>
      </c>
      <c r="BD1331" t="str">
        <f>"רוני דידי"</f>
        <v>רוני דידי</v>
      </c>
    </row>
    <row r="1332" spans="1:56" x14ac:dyDescent="0.3">
      <c r="A1332" s="1">
        <v>44852</v>
      </c>
      <c r="B1332" t="str">
        <f>"SI226001121"</f>
        <v>SI226001121</v>
      </c>
      <c r="E1332" t="str">
        <f>"Y"</f>
        <v>Y</v>
      </c>
      <c r="F1332" t="str">
        <f>"חשבוניות מרכזות"</f>
        <v>חשבוניות מרכזות</v>
      </c>
      <c r="G1332" t="str">
        <f>"700065"</f>
        <v>700065</v>
      </c>
      <c r="H1332" t="str">
        <f>"אלתא מערכות בע""מ"</f>
        <v>אלתא מערכות בע"מ</v>
      </c>
      <c r="I1332" t="str">
        <f>"10"</f>
        <v>10</v>
      </c>
      <c r="J1332" t="str">
        <f>"OP-AR02041"</f>
        <v>OP-AR02041</v>
      </c>
      <c r="K1332" t="str">
        <f>"PDB1 1038C860-001"</f>
        <v>PDB1 1038C860-001</v>
      </c>
      <c r="L1332">
        <v>1</v>
      </c>
      <c r="M1332" t="str">
        <f>"יח"</f>
        <v>יח</v>
      </c>
      <c r="N1332">
        <v>1</v>
      </c>
      <c r="O1332" t="str">
        <f>"יח"</f>
        <v>יח</v>
      </c>
      <c r="P1332" s="2">
        <v>41000</v>
      </c>
      <c r="Q1332" t="str">
        <f>"$"</f>
        <v>$</v>
      </c>
      <c r="R1332" t="str">
        <f>"הזמנה"</f>
        <v>הזמנה</v>
      </c>
      <c r="S1332">
        <v>0</v>
      </c>
      <c r="T1332" s="2">
        <v>41000</v>
      </c>
      <c r="U1332">
        <v>0</v>
      </c>
      <c r="V1332" s="2">
        <v>41000</v>
      </c>
      <c r="W1332" t="str">
        <f>"$"</f>
        <v>$</v>
      </c>
      <c r="X1332">
        <v>0</v>
      </c>
      <c r="Y1332">
        <v>0</v>
      </c>
      <c r="Z1332">
        <v>0</v>
      </c>
      <c r="AA1332" t="str">
        <f>"Y"</f>
        <v>Y</v>
      </c>
      <c r="AC1332">
        <v>0</v>
      </c>
      <c r="AM1332" t="str">
        <f>"10"</f>
        <v>10</v>
      </c>
      <c r="AN1332" t="str">
        <f>"500000"</f>
        <v>500000</v>
      </c>
      <c r="AO1332" t="str">
        <f>"הכנסות  מלקוחות"</f>
        <v>הכנסות  מלקוחות</v>
      </c>
      <c r="AQ1332" t="str">
        <f>"007"</f>
        <v>007</v>
      </c>
      <c r="AR1332">
        <v>0</v>
      </c>
      <c r="AS1332">
        <v>0</v>
      </c>
      <c r="AT1332">
        <v>3.5470000000000002</v>
      </c>
      <c r="BB1332" t="str">
        <f>"Y"</f>
        <v>Y</v>
      </c>
      <c r="BD1332" t="str">
        <f>"רוני דידי"</f>
        <v>רוני דידי</v>
      </c>
    </row>
    <row r="1333" spans="1:56" x14ac:dyDescent="0.3">
      <c r="A1333" s="1">
        <v>44836</v>
      </c>
      <c r="B1333" t="str">
        <f>"SI226001137"</f>
        <v>SI226001137</v>
      </c>
      <c r="C1333" t="str">
        <f>"PR22000459"</f>
        <v>PR22000459</v>
      </c>
      <c r="D1333" t="str">
        <f>"PR22000459"</f>
        <v>PR22000459</v>
      </c>
      <c r="E1333" t="str">
        <f>"Y"</f>
        <v>Y</v>
      </c>
      <c r="F1333" t="str">
        <f>"חשבוניות מרכזות"</f>
        <v>חשבוניות מרכזות</v>
      </c>
      <c r="G1333" t="str">
        <f>"700065"</f>
        <v>700065</v>
      </c>
      <c r="H1333" t="str">
        <f>"אלתא מערכות בע""מ"</f>
        <v>אלתא מערכות בע"מ</v>
      </c>
      <c r="I1333" t="str">
        <f>"10"</f>
        <v>10</v>
      </c>
      <c r="J1333" t="str">
        <f>"OP-AR03175"</f>
        <v>OP-AR03175</v>
      </c>
      <c r="K1333" t="str">
        <f>"2068B572-001    CABLE ASSY FPGA W1"</f>
        <v>2068B572-001    CABLE ASSY FPGA W1</v>
      </c>
      <c r="L1333">
        <v>2</v>
      </c>
      <c r="M1333" t="str">
        <f>"יח"</f>
        <v>יח</v>
      </c>
      <c r="N1333">
        <v>2</v>
      </c>
      <c r="O1333" t="str">
        <f>"יח"</f>
        <v>יח</v>
      </c>
      <c r="P1333">
        <v>121.19</v>
      </c>
      <c r="Q1333" t="str">
        <f>"$"</f>
        <v>$</v>
      </c>
      <c r="R1333" t="str">
        <f>"הזמנה"</f>
        <v>הזמנה</v>
      </c>
      <c r="S1333">
        <v>0</v>
      </c>
      <c r="T1333">
        <v>242.38</v>
      </c>
      <c r="U1333">
        <v>0</v>
      </c>
      <c r="V1333">
        <v>242.38</v>
      </c>
      <c r="W1333" t="str">
        <f>"$"</f>
        <v>$</v>
      </c>
      <c r="X1333">
        <v>0</v>
      </c>
      <c r="Y1333">
        <v>0</v>
      </c>
      <c r="Z1333">
        <v>0</v>
      </c>
      <c r="AA1333" t="str">
        <f>"Y"</f>
        <v>Y</v>
      </c>
      <c r="AB1333" t="str">
        <f>"SO22000241"</f>
        <v>SO22000241</v>
      </c>
      <c r="AC1333">
        <v>1</v>
      </c>
      <c r="AD1333" s="1">
        <v>44731</v>
      </c>
      <c r="AE1333" t="str">
        <f>"SH22001169"</f>
        <v>SH22001169</v>
      </c>
      <c r="AF1333" t="str">
        <f>"משלוחים ללקוח"</f>
        <v>משלוחים ללקוח</v>
      </c>
      <c r="AG1333" s="1">
        <v>44832</v>
      </c>
      <c r="AM1333" t="str">
        <f>"10"</f>
        <v>10</v>
      </c>
      <c r="AN1333" t="str">
        <f>"500000"</f>
        <v>500000</v>
      </c>
      <c r="AO1333" t="str">
        <f>"הכנסות  מלקוחות"</f>
        <v>הכנסות  מלקוחות</v>
      </c>
      <c r="AQ1333" t="str">
        <f>"040"</f>
        <v>040</v>
      </c>
      <c r="AR1333">
        <v>0</v>
      </c>
      <c r="AS1333">
        <v>0</v>
      </c>
      <c r="AT1333">
        <v>3.5430000000000001</v>
      </c>
      <c r="AX1333" t="str">
        <f>"E000365938"</f>
        <v>E000365938</v>
      </c>
      <c r="BD1333" t="str">
        <f>"רחמים זרוק"</f>
        <v>רחמים זרוק</v>
      </c>
    </row>
    <row r="1334" spans="1:56" x14ac:dyDescent="0.3">
      <c r="A1334" s="1">
        <v>44836</v>
      </c>
      <c r="B1334" t="str">
        <f>"SI226001137"</f>
        <v>SI226001137</v>
      </c>
      <c r="C1334" t="str">
        <f>"PR22000459"</f>
        <v>PR22000459</v>
      </c>
      <c r="D1334" t="str">
        <f>"PR22000459"</f>
        <v>PR22000459</v>
      </c>
      <c r="E1334" t="str">
        <f>"Y"</f>
        <v>Y</v>
      </c>
      <c r="F1334" t="str">
        <f>"חשבוניות מרכזות"</f>
        <v>חשבוניות מרכזות</v>
      </c>
      <c r="G1334" t="str">
        <f>"700065"</f>
        <v>700065</v>
      </c>
      <c r="H1334" t="str">
        <f>"אלתא מערכות בע""מ"</f>
        <v>אלתא מערכות בע"מ</v>
      </c>
      <c r="I1334" t="str">
        <f>"10"</f>
        <v>10</v>
      </c>
      <c r="J1334" t="str">
        <f>"OP-AR03176"</f>
        <v>OP-AR03176</v>
      </c>
      <c r="K1334" t="str">
        <f>"2083B314-001    CABLE ASSY VPW4"</f>
        <v>2083B314-001    CABLE ASSY VPW4</v>
      </c>
      <c r="L1334">
        <v>1</v>
      </c>
      <c r="M1334" t="str">
        <f>"יח"</f>
        <v>יח</v>
      </c>
      <c r="N1334">
        <v>1</v>
      </c>
      <c r="O1334" t="str">
        <f>"יח"</f>
        <v>יח</v>
      </c>
      <c r="P1334">
        <v>625.33000000000004</v>
      </c>
      <c r="Q1334" t="str">
        <f>"$"</f>
        <v>$</v>
      </c>
      <c r="R1334" t="str">
        <f>"הזמנה"</f>
        <v>הזמנה</v>
      </c>
      <c r="S1334">
        <v>0</v>
      </c>
      <c r="T1334">
        <v>625.33000000000004</v>
      </c>
      <c r="U1334">
        <v>0</v>
      </c>
      <c r="V1334">
        <v>625.33000000000004</v>
      </c>
      <c r="W1334" t="str">
        <f>"$"</f>
        <v>$</v>
      </c>
      <c r="X1334">
        <v>0</v>
      </c>
      <c r="Y1334">
        <v>0</v>
      </c>
      <c r="Z1334">
        <v>0</v>
      </c>
      <c r="AA1334" t="str">
        <f>"Y"</f>
        <v>Y</v>
      </c>
      <c r="AB1334" t="str">
        <f>"SO22000241"</f>
        <v>SO22000241</v>
      </c>
      <c r="AC1334">
        <v>2</v>
      </c>
      <c r="AD1334" s="1">
        <v>44731</v>
      </c>
      <c r="AE1334" t="str">
        <f>"SH22001169"</f>
        <v>SH22001169</v>
      </c>
      <c r="AF1334" t="str">
        <f>"משלוחים ללקוח"</f>
        <v>משלוחים ללקוח</v>
      </c>
      <c r="AG1334" s="1">
        <v>44832</v>
      </c>
      <c r="AM1334" t="str">
        <f>"10"</f>
        <v>10</v>
      </c>
      <c r="AN1334" t="str">
        <f>"500000"</f>
        <v>500000</v>
      </c>
      <c r="AO1334" t="str">
        <f>"הכנסות  מלקוחות"</f>
        <v>הכנסות  מלקוחות</v>
      </c>
      <c r="AQ1334" t="str">
        <f>"040"</f>
        <v>040</v>
      </c>
      <c r="AR1334">
        <v>0</v>
      </c>
      <c r="AS1334">
        <v>0</v>
      </c>
      <c r="AT1334">
        <v>3.5430000000000001</v>
      </c>
      <c r="AX1334" t="str">
        <f>"E000365938"</f>
        <v>E000365938</v>
      </c>
      <c r="BD1334" t="str">
        <f>"רחמים זרוק"</f>
        <v>רחמים זרוק</v>
      </c>
    </row>
    <row r="1335" spans="1:56" x14ac:dyDescent="0.3">
      <c r="A1335" s="1">
        <v>44836</v>
      </c>
      <c r="B1335" t="str">
        <f>"SI226001137"</f>
        <v>SI226001137</v>
      </c>
      <c r="C1335" t="str">
        <f>"PR22000459"</f>
        <v>PR22000459</v>
      </c>
      <c r="D1335" t="str">
        <f>"PR22000459"</f>
        <v>PR22000459</v>
      </c>
      <c r="E1335" t="str">
        <f>"Y"</f>
        <v>Y</v>
      </c>
      <c r="F1335" t="str">
        <f>"חשבוניות מרכזות"</f>
        <v>חשבוניות מרכזות</v>
      </c>
      <c r="G1335" t="str">
        <f>"700065"</f>
        <v>700065</v>
      </c>
      <c r="H1335" t="str">
        <f>"אלתא מערכות בע""מ"</f>
        <v>אלתא מערכות בע"מ</v>
      </c>
      <c r="I1335" t="str">
        <f>"10"</f>
        <v>10</v>
      </c>
      <c r="J1335" t="str">
        <f>"OP-AR03177"</f>
        <v>OP-AR03177</v>
      </c>
      <c r="K1335" t="str">
        <f>"2083B316-001    CABLE ASSY VPW5"</f>
        <v>2083B316-001    CABLE ASSY VPW5</v>
      </c>
      <c r="L1335">
        <v>1</v>
      </c>
      <c r="M1335" t="str">
        <f>"יח"</f>
        <v>יח</v>
      </c>
      <c r="N1335">
        <v>1</v>
      </c>
      <c r="O1335" t="str">
        <f>"יח"</f>
        <v>יח</v>
      </c>
      <c r="P1335">
        <v>625.33000000000004</v>
      </c>
      <c r="Q1335" t="str">
        <f>"$"</f>
        <v>$</v>
      </c>
      <c r="R1335" t="str">
        <f>"הזמנה"</f>
        <v>הזמנה</v>
      </c>
      <c r="S1335">
        <v>0</v>
      </c>
      <c r="T1335">
        <v>625.33000000000004</v>
      </c>
      <c r="U1335">
        <v>0</v>
      </c>
      <c r="V1335">
        <v>625.33000000000004</v>
      </c>
      <c r="W1335" t="str">
        <f>"$"</f>
        <v>$</v>
      </c>
      <c r="X1335">
        <v>0</v>
      </c>
      <c r="Y1335">
        <v>0</v>
      </c>
      <c r="Z1335">
        <v>0</v>
      </c>
      <c r="AA1335" t="str">
        <f>"Y"</f>
        <v>Y</v>
      </c>
      <c r="AB1335" t="str">
        <f>"SO22000241"</f>
        <v>SO22000241</v>
      </c>
      <c r="AC1335">
        <v>3</v>
      </c>
      <c r="AD1335" s="1">
        <v>44731</v>
      </c>
      <c r="AE1335" t="str">
        <f>"SH22001169"</f>
        <v>SH22001169</v>
      </c>
      <c r="AF1335" t="str">
        <f>"משלוחים ללקוח"</f>
        <v>משלוחים ללקוח</v>
      </c>
      <c r="AG1335" s="1">
        <v>44832</v>
      </c>
      <c r="AM1335" t="str">
        <f>"10"</f>
        <v>10</v>
      </c>
      <c r="AN1335" t="str">
        <f>"500000"</f>
        <v>500000</v>
      </c>
      <c r="AO1335" t="str">
        <f>"הכנסות  מלקוחות"</f>
        <v>הכנסות  מלקוחות</v>
      </c>
      <c r="AQ1335" t="str">
        <f>"040"</f>
        <v>040</v>
      </c>
      <c r="AR1335">
        <v>0</v>
      </c>
      <c r="AS1335">
        <v>0</v>
      </c>
      <c r="AT1335">
        <v>3.5430000000000001</v>
      </c>
      <c r="AX1335" t="str">
        <f>"E000365938"</f>
        <v>E000365938</v>
      </c>
      <c r="BD1335" t="str">
        <f>"רחמים זרוק"</f>
        <v>רחמים זרוק</v>
      </c>
    </row>
    <row r="1336" spans="1:56" x14ac:dyDescent="0.3">
      <c r="A1336" s="1">
        <v>44836</v>
      </c>
      <c r="B1336" t="str">
        <f>"SI226001137"</f>
        <v>SI226001137</v>
      </c>
      <c r="C1336" t="str">
        <f>"PR22000459"</f>
        <v>PR22000459</v>
      </c>
      <c r="D1336" t="str">
        <f>"PR22000459"</f>
        <v>PR22000459</v>
      </c>
      <c r="E1336" t="str">
        <f>"Y"</f>
        <v>Y</v>
      </c>
      <c r="F1336" t="str">
        <f>"חשבוניות מרכזות"</f>
        <v>חשבוניות מרכזות</v>
      </c>
      <c r="G1336" t="str">
        <f>"700065"</f>
        <v>700065</v>
      </c>
      <c r="H1336" t="str">
        <f>"אלתא מערכות בע""מ"</f>
        <v>אלתא מערכות בע"מ</v>
      </c>
      <c r="I1336" t="str">
        <f>"10"</f>
        <v>10</v>
      </c>
      <c r="J1336" t="str">
        <f>"OP-AR03178"</f>
        <v>OP-AR03178</v>
      </c>
      <c r="K1336" t="str">
        <f>"2083B320-001    CABLE ASSY VPW7"</f>
        <v>2083B320-001    CABLE ASSY VPW7</v>
      </c>
      <c r="L1336">
        <v>1</v>
      </c>
      <c r="M1336" t="str">
        <f>"יח"</f>
        <v>יח</v>
      </c>
      <c r="N1336">
        <v>1</v>
      </c>
      <c r="O1336" t="str">
        <f>"יח"</f>
        <v>יח</v>
      </c>
      <c r="P1336">
        <v>625.33000000000004</v>
      </c>
      <c r="Q1336" t="str">
        <f>"$"</f>
        <v>$</v>
      </c>
      <c r="R1336" t="str">
        <f>"הזמנה"</f>
        <v>הזמנה</v>
      </c>
      <c r="S1336">
        <v>0</v>
      </c>
      <c r="T1336">
        <v>625.33000000000004</v>
      </c>
      <c r="U1336">
        <v>0</v>
      </c>
      <c r="V1336">
        <v>625.33000000000004</v>
      </c>
      <c r="W1336" t="str">
        <f>"$"</f>
        <v>$</v>
      </c>
      <c r="X1336">
        <v>0</v>
      </c>
      <c r="Y1336">
        <v>0</v>
      </c>
      <c r="Z1336">
        <v>0</v>
      </c>
      <c r="AA1336" t="str">
        <f>"Y"</f>
        <v>Y</v>
      </c>
      <c r="AB1336" t="str">
        <f>"SO22000241"</f>
        <v>SO22000241</v>
      </c>
      <c r="AC1336">
        <v>4</v>
      </c>
      <c r="AD1336" s="1">
        <v>44731</v>
      </c>
      <c r="AE1336" t="str">
        <f>"SH22001169"</f>
        <v>SH22001169</v>
      </c>
      <c r="AF1336" t="str">
        <f>"משלוחים ללקוח"</f>
        <v>משלוחים ללקוח</v>
      </c>
      <c r="AG1336" s="1">
        <v>44832</v>
      </c>
      <c r="AM1336" t="str">
        <f>"10"</f>
        <v>10</v>
      </c>
      <c r="AN1336" t="str">
        <f>"500000"</f>
        <v>500000</v>
      </c>
      <c r="AO1336" t="str">
        <f>"הכנסות  מלקוחות"</f>
        <v>הכנסות  מלקוחות</v>
      </c>
      <c r="AQ1336" t="str">
        <f>"040"</f>
        <v>040</v>
      </c>
      <c r="AR1336">
        <v>0</v>
      </c>
      <c r="AS1336">
        <v>0</v>
      </c>
      <c r="AT1336">
        <v>3.5430000000000001</v>
      </c>
      <c r="AX1336" t="str">
        <f>"E000365938"</f>
        <v>E000365938</v>
      </c>
      <c r="BD1336" t="str">
        <f>"רחמים זרוק"</f>
        <v>רחמים זרוק</v>
      </c>
    </row>
    <row r="1337" spans="1:56" x14ac:dyDescent="0.3">
      <c r="A1337" s="1">
        <v>44836</v>
      </c>
      <c r="B1337" t="str">
        <f>"SI226001137"</f>
        <v>SI226001137</v>
      </c>
      <c r="C1337" t="str">
        <f>"PR22000459"</f>
        <v>PR22000459</v>
      </c>
      <c r="D1337" t="str">
        <f>"PR22000459"</f>
        <v>PR22000459</v>
      </c>
      <c r="E1337" t="str">
        <f>"Y"</f>
        <v>Y</v>
      </c>
      <c r="F1337" t="str">
        <f>"חשבוניות מרכזות"</f>
        <v>חשבוניות מרכזות</v>
      </c>
      <c r="G1337" t="str">
        <f>"700065"</f>
        <v>700065</v>
      </c>
      <c r="H1337" t="str">
        <f>"אלתא מערכות בע""מ"</f>
        <v>אלתא מערכות בע"מ</v>
      </c>
      <c r="I1337" t="str">
        <f>"10"</f>
        <v>10</v>
      </c>
      <c r="J1337" t="str">
        <f>"OP-AR03179"</f>
        <v>OP-AR03179</v>
      </c>
      <c r="K1337" t="str">
        <f>"2083B322-001    CABLE ASSY VPW8"</f>
        <v>2083B322-001    CABLE ASSY VPW8</v>
      </c>
      <c r="L1337">
        <v>1</v>
      </c>
      <c r="M1337" t="str">
        <f>"יח"</f>
        <v>יח</v>
      </c>
      <c r="N1337">
        <v>1</v>
      </c>
      <c r="O1337" t="str">
        <f>"יח"</f>
        <v>יח</v>
      </c>
      <c r="P1337">
        <v>625.33000000000004</v>
      </c>
      <c r="Q1337" t="str">
        <f>"$"</f>
        <v>$</v>
      </c>
      <c r="R1337" t="str">
        <f>"הזמנה"</f>
        <v>הזמנה</v>
      </c>
      <c r="S1337">
        <v>0</v>
      </c>
      <c r="T1337">
        <v>625.33000000000004</v>
      </c>
      <c r="U1337">
        <v>0</v>
      </c>
      <c r="V1337">
        <v>625.33000000000004</v>
      </c>
      <c r="W1337" t="str">
        <f>"$"</f>
        <v>$</v>
      </c>
      <c r="X1337">
        <v>0</v>
      </c>
      <c r="Y1337">
        <v>0</v>
      </c>
      <c r="Z1337">
        <v>0</v>
      </c>
      <c r="AA1337" t="str">
        <f>"Y"</f>
        <v>Y</v>
      </c>
      <c r="AB1337" t="str">
        <f>"SO22000241"</f>
        <v>SO22000241</v>
      </c>
      <c r="AC1337">
        <v>5</v>
      </c>
      <c r="AD1337" s="1">
        <v>44731</v>
      </c>
      <c r="AE1337" t="str">
        <f>"SH22001169"</f>
        <v>SH22001169</v>
      </c>
      <c r="AF1337" t="str">
        <f>"משלוחים ללקוח"</f>
        <v>משלוחים ללקוח</v>
      </c>
      <c r="AG1337" s="1">
        <v>44832</v>
      </c>
      <c r="AM1337" t="str">
        <f>"10"</f>
        <v>10</v>
      </c>
      <c r="AN1337" t="str">
        <f>"500000"</f>
        <v>500000</v>
      </c>
      <c r="AO1337" t="str">
        <f>"הכנסות  מלקוחות"</f>
        <v>הכנסות  מלקוחות</v>
      </c>
      <c r="AQ1337" t="str">
        <f>"040"</f>
        <v>040</v>
      </c>
      <c r="AR1337">
        <v>0</v>
      </c>
      <c r="AS1337">
        <v>0</v>
      </c>
      <c r="AT1337">
        <v>3.5430000000000001</v>
      </c>
      <c r="AX1337" t="str">
        <f>"E000365938"</f>
        <v>E000365938</v>
      </c>
      <c r="BD1337" t="str">
        <f>"רחמים זרוק"</f>
        <v>רחמים זרוק</v>
      </c>
    </row>
    <row r="1338" spans="1:56" x14ac:dyDescent="0.3">
      <c r="A1338" s="1">
        <v>44836</v>
      </c>
      <c r="B1338" t="str">
        <f>"SI226001136"</f>
        <v>SI226001136</v>
      </c>
      <c r="C1338" t="str">
        <f>"PR22000445"</f>
        <v>PR22000445</v>
      </c>
      <c r="E1338" t="str">
        <f>"Y"</f>
        <v>Y</v>
      </c>
      <c r="F1338" t="str">
        <f>"חשבוניות מרכזות"</f>
        <v>חשבוניות מרכזות</v>
      </c>
      <c r="G1338" t="str">
        <f>"700065"</f>
        <v>700065</v>
      </c>
      <c r="H1338" t="str">
        <f>"אלתא מערכות בע""מ"</f>
        <v>אלתא מערכות בע"מ</v>
      </c>
      <c r="I1338" t="str">
        <f>"10"</f>
        <v>10</v>
      </c>
      <c r="J1338" t="str">
        <f>"OP-AR03164"</f>
        <v>OP-AR03164</v>
      </c>
      <c r="K1338" t="str">
        <f>"1018U226-001   HARNESS WD001 - DS PWR TO EPRCU"</f>
        <v>1018U226-001   HARNESS WD001 - DS PWR TO EPRCU</v>
      </c>
      <c r="L1338">
        <v>2</v>
      </c>
      <c r="M1338" t="str">
        <f>"יח"</f>
        <v>יח</v>
      </c>
      <c r="N1338">
        <v>2</v>
      </c>
      <c r="O1338" t="str">
        <f>"יח"</f>
        <v>יח</v>
      </c>
      <c r="P1338">
        <v>310.42</v>
      </c>
      <c r="Q1338" t="str">
        <f>"$"</f>
        <v>$</v>
      </c>
      <c r="R1338" t="str">
        <f>"הזמנה"</f>
        <v>הזמנה</v>
      </c>
      <c r="S1338">
        <v>0</v>
      </c>
      <c r="T1338">
        <v>620.84</v>
      </c>
      <c r="U1338">
        <v>0</v>
      </c>
      <c r="V1338">
        <v>620.84</v>
      </c>
      <c r="W1338" t="str">
        <f>"$"</f>
        <v>$</v>
      </c>
      <c r="X1338">
        <v>0</v>
      </c>
      <c r="Y1338">
        <v>0</v>
      </c>
      <c r="Z1338">
        <v>0</v>
      </c>
      <c r="AA1338" t="str">
        <f>"Y"</f>
        <v>Y</v>
      </c>
      <c r="AB1338" t="str">
        <f>"SO22000221"</f>
        <v>SO22000221</v>
      </c>
      <c r="AC1338">
        <v>4</v>
      </c>
      <c r="AD1338" s="1">
        <v>44720</v>
      </c>
      <c r="AE1338" t="str">
        <f>"SH22001162"</f>
        <v>SH22001162</v>
      </c>
      <c r="AF1338" t="str">
        <f>"משלוחים ללקוח"</f>
        <v>משלוחים ללקוח</v>
      </c>
      <c r="AG1338" s="1">
        <v>44832</v>
      </c>
      <c r="AM1338" t="str">
        <f>"10"</f>
        <v>10</v>
      </c>
      <c r="AN1338" t="str">
        <f>"500000"</f>
        <v>500000</v>
      </c>
      <c r="AO1338" t="str">
        <f>"הכנסות  מלקוחות"</f>
        <v>הכנסות  מלקוחות</v>
      </c>
      <c r="AQ1338" t="str">
        <f>"034"</f>
        <v>034</v>
      </c>
      <c r="AR1338">
        <v>0</v>
      </c>
      <c r="AS1338">
        <v>0</v>
      </c>
      <c r="AT1338">
        <v>3.5430000000000001</v>
      </c>
      <c r="AX1338" t="str">
        <f>"E000364016"</f>
        <v>E000364016</v>
      </c>
      <c r="BD1338" t="str">
        <f>"ערן שלו"</f>
        <v>ערן שלו</v>
      </c>
    </row>
    <row r="1339" spans="1:56" x14ac:dyDescent="0.3">
      <c r="A1339" s="1">
        <v>44836</v>
      </c>
      <c r="B1339" t="str">
        <f>"SI226001135"</f>
        <v>SI226001135</v>
      </c>
      <c r="C1339" t="str">
        <f>"PR22000374"</f>
        <v>PR22000374</v>
      </c>
      <c r="E1339" t="str">
        <f>"Y"</f>
        <v>Y</v>
      </c>
      <c r="F1339" t="str">
        <f>"חשבוניות מרכזות"</f>
        <v>חשבוניות מרכזות</v>
      </c>
      <c r="G1339" t="str">
        <f>"700065"</f>
        <v>700065</v>
      </c>
      <c r="H1339" t="str">
        <f>"אלתא מערכות בע""מ"</f>
        <v>אלתא מערכות בע"מ</v>
      </c>
      <c r="I1339" t="str">
        <f>"10"</f>
        <v>10</v>
      </c>
      <c r="J1339" t="str">
        <f>"OP-AR03138"</f>
        <v>OP-AR03138</v>
      </c>
      <c r="K1339" t="str">
        <f>"2215D097-001    HARNESS W097 - AARDVARK PROGRAMMING"</f>
        <v>2215D097-001    HARNESS W097 - AARDVARK PROGRAMMING</v>
      </c>
      <c r="L1339">
        <v>6</v>
      </c>
      <c r="M1339" t="str">
        <f>"יח"</f>
        <v>יח</v>
      </c>
      <c r="N1339">
        <v>6</v>
      </c>
      <c r="O1339" t="str">
        <f>"יח"</f>
        <v>יח</v>
      </c>
      <c r="P1339" s="2">
        <v>1662.84</v>
      </c>
      <c r="Q1339" t="str">
        <f>"$"</f>
        <v>$</v>
      </c>
      <c r="R1339" t="str">
        <f>"הזמנה"</f>
        <v>הזמנה</v>
      </c>
      <c r="S1339">
        <v>0</v>
      </c>
      <c r="T1339" s="2">
        <v>9977.0400000000009</v>
      </c>
      <c r="U1339">
        <v>0</v>
      </c>
      <c r="V1339" s="2">
        <v>9977.0400000000009</v>
      </c>
      <c r="W1339" t="str">
        <f>"$"</f>
        <v>$</v>
      </c>
      <c r="X1339">
        <v>0</v>
      </c>
      <c r="Y1339">
        <v>0</v>
      </c>
      <c r="Z1339">
        <v>0</v>
      </c>
      <c r="AA1339" t="str">
        <f>"Y"</f>
        <v>Y</v>
      </c>
      <c r="AC1339">
        <v>0</v>
      </c>
      <c r="AM1339" t="str">
        <f>"10"</f>
        <v>10</v>
      </c>
      <c r="AN1339" t="str">
        <f>"500000"</f>
        <v>500000</v>
      </c>
      <c r="AO1339" t="str">
        <f>"הכנסות  מלקוחות"</f>
        <v>הכנסות  מלקוחות</v>
      </c>
      <c r="AQ1339" t="str">
        <f>"040"</f>
        <v>040</v>
      </c>
      <c r="AR1339">
        <v>0</v>
      </c>
      <c r="AS1339">
        <v>0</v>
      </c>
      <c r="AT1339">
        <v>3.5430000000000001</v>
      </c>
      <c r="BB1339" t="str">
        <f>"Y"</f>
        <v>Y</v>
      </c>
      <c r="BD1339" t="str">
        <f>"רחמים זרוק"</f>
        <v>רחמים זרוק</v>
      </c>
    </row>
    <row r="1340" spans="1:56" x14ac:dyDescent="0.3">
      <c r="A1340" s="1">
        <v>44836</v>
      </c>
      <c r="B1340" t="str">
        <f>"SI226001134"</f>
        <v>SI226001134</v>
      </c>
      <c r="C1340" t="str">
        <f>"PR22000471"</f>
        <v>PR22000471</v>
      </c>
      <c r="D1340" t="str">
        <f>"PR22000471"</f>
        <v>PR22000471</v>
      </c>
      <c r="E1340" t="str">
        <f>"Y"</f>
        <v>Y</v>
      </c>
      <c r="F1340" t="str">
        <f>"חשבוניות מרכזות"</f>
        <v>חשבוניות מרכזות</v>
      </c>
      <c r="G1340" t="str">
        <f>"700065"</f>
        <v>700065</v>
      </c>
      <c r="H1340" t="str">
        <f>"אלתא מערכות בע""מ"</f>
        <v>אלתא מערכות בע"מ</v>
      </c>
      <c r="I1340" t="str">
        <f>"10"</f>
        <v>10</v>
      </c>
      <c r="J1340" t="str">
        <f>"OP-AR03199"</f>
        <v>OP-AR03199</v>
      </c>
      <c r="K1340" t="str">
        <f>"1032M789-002    HARNESS 1W117 - TCG"</f>
        <v>1032M789-002    HARNESS 1W117 - TCG</v>
      </c>
      <c r="L1340">
        <v>4</v>
      </c>
      <c r="M1340" t="str">
        <f>"יח"</f>
        <v>יח</v>
      </c>
      <c r="N1340">
        <v>4</v>
      </c>
      <c r="O1340" t="str">
        <f>"יח"</f>
        <v>יח</v>
      </c>
      <c r="P1340">
        <v>753.88</v>
      </c>
      <c r="Q1340" t="str">
        <f>"$"</f>
        <v>$</v>
      </c>
      <c r="R1340" t="str">
        <f>"הזמנה"</f>
        <v>הזמנה</v>
      </c>
      <c r="S1340">
        <v>0</v>
      </c>
      <c r="T1340" s="2">
        <v>3015.52</v>
      </c>
      <c r="U1340">
        <v>0</v>
      </c>
      <c r="V1340" s="2">
        <v>3015.52</v>
      </c>
      <c r="W1340" t="str">
        <f>"$"</f>
        <v>$</v>
      </c>
      <c r="X1340">
        <v>0</v>
      </c>
      <c r="Y1340">
        <v>0</v>
      </c>
      <c r="Z1340">
        <v>0</v>
      </c>
      <c r="AA1340" t="str">
        <f>"Y"</f>
        <v>Y</v>
      </c>
      <c r="AB1340" t="str">
        <f>"SO22000242"</f>
        <v>SO22000242</v>
      </c>
      <c r="AC1340">
        <v>1</v>
      </c>
      <c r="AD1340" s="1">
        <v>44731</v>
      </c>
      <c r="AE1340" t="str">
        <f>"SH22001166"</f>
        <v>SH22001166</v>
      </c>
      <c r="AF1340" t="str">
        <f>"משלוחים ללקוח"</f>
        <v>משלוחים ללקוח</v>
      </c>
      <c r="AG1340" s="1">
        <v>44832</v>
      </c>
      <c r="AM1340" t="str">
        <f>"10"</f>
        <v>10</v>
      </c>
      <c r="AN1340" t="str">
        <f>"500000"</f>
        <v>500000</v>
      </c>
      <c r="AO1340" t="str">
        <f>"הכנסות  מלקוחות"</f>
        <v>הכנסות  מלקוחות</v>
      </c>
      <c r="AQ1340" t="str">
        <f>"040"</f>
        <v>040</v>
      </c>
      <c r="AR1340">
        <v>0</v>
      </c>
      <c r="AS1340">
        <v>0</v>
      </c>
      <c r="AT1340">
        <v>3.5430000000000001</v>
      </c>
      <c r="AX1340" t="str">
        <f>"E000367373"</f>
        <v>E000367373</v>
      </c>
      <c r="BD1340" t="str">
        <f>"רחמים זרוק"</f>
        <v>רחמים זרוק</v>
      </c>
    </row>
    <row r="1341" spans="1:56" x14ac:dyDescent="0.3">
      <c r="A1341" s="1">
        <v>44836</v>
      </c>
      <c r="B1341" t="str">
        <f>"SI226001133"</f>
        <v>SI226001133</v>
      </c>
      <c r="C1341" t="str">
        <f>"PR22000245"</f>
        <v>PR22000245</v>
      </c>
      <c r="E1341" t="str">
        <f>"Y"</f>
        <v>Y</v>
      </c>
      <c r="F1341" t="str">
        <f>"חשבוניות מרכזות"</f>
        <v>חשבוניות מרכזות</v>
      </c>
      <c r="G1341" t="str">
        <f>"700065"</f>
        <v>700065</v>
      </c>
      <c r="H1341" t="str">
        <f>"אלתא מערכות בע""מ"</f>
        <v>אלתא מערכות בע"מ</v>
      </c>
      <c r="I1341" t="str">
        <f>"10"</f>
        <v>10</v>
      </c>
      <c r="J1341" t="str">
        <f>"PS9900057"</f>
        <v>PS9900057</v>
      </c>
      <c r="K1341" t="str">
        <f>"TSI-T2S-ETH-BRAVO-2C-HVDC"</f>
        <v>TSI-T2S-ETH-BRAVO-2C-HVDC</v>
      </c>
      <c r="L1341">
        <v>2</v>
      </c>
      <c r="M1341" t="str">
        <f>"יח"</f>
        <v>יח</v>
      </c>
      <c r="N1341">
        <v>2</v>
      </c>
      <c r="O1341" t="str">
        <f>"יח"</f>
        <v>יח</v>
      </c>
      <c r="P1341">
        <v>426</v>
      </c>
      <c r="Q1341" t="str">
        <f>"$"</f>
        <v>$</v>
      </c>
      <c r="R1341" t="str">
        <f>"הזמנה"</f>
        <v>הזמנה</v>
      </c>
      <c r="S1341">
        <v>0</v>
      </c>
      <c r="T1341">
        <v>852</v>
      </c>
      <c r="U1341">
        <v>0</v>
      </c>
      <c r="V1341">
        <v>852</v>
      </c>
      <c r="W1341" t="str">
        <f>"$"</f>
        <v>$</v>
      </c>
      <c r="X1341">
        <v>0</v>
      </c>
      <c r="Y1341">
        <v>0</v>
      </c>
      <c r="Z1341">
        <v>0</v>
      </c>
      <c r="AA1341" t="str">
        <f>"Y"</f>
        <v>Y</v>
      </c>
      <c r="AB1341" t="str">
        <f>"SO22000113"</f>
        <v>SO22000113</v>
      </c>
      <c r="AC1341">
        <v>1</v>
      </c>
      <c r="AD1341" s="1">
        <v>44641</v>
      </c>
      <c r="AE1341" t="str">
        <f>"SH22001187"</f>
        <v>SH22001187</v>
      </c>
      <c r="AF1341" t="str">
        <f>"משלוחים ללקוח"</f>
        <v>משלוחים ללקוח</v>
      </c>
      <c r="AG1341" s="1">
        <v>44836</v>
      </c>
      <c r="AM1341" t="str">
        <f>"10"</f>
        <v>10</v>
      </c>
      <c r="AN1341" t="str">
        <f>"500000"</f>
        <v>500000</v>
      </c>
      <c r="AO1341" t="str">
        <f>"הכנסות  מלקוחות"</f>
        <v>הכנסות  מלקוחות</v>
      </c>
      <c r="AQ1341" t="str">
        <f>"007"</f>
        <v>007</v>
      </c>
      <c r="AR1341">
        <v>0</v>
      </c>
      <c r="AS1341">
        <v>0</v>
      </c>
      <c r="AT1341">
        <v>3.5430000000000001</v>
      </c>
      <c r="AX1341" t="str">
        <f>"E000360545"</f>
        <v>E000360545</v>
      </c>
      <c r="BD1341" t="str">
        <f>"רוני דידי"</f>
        <v>רוני דידי</v>
      </c>
    </row>
    <row r="1342" spans="1:56" x14ac:dyDescent="0.3">
      <c r="A1342" s="1">
        <v>44836</v>
      </c>
      <c r="B1342" t="str">
        <f>"SI226001132"</f>
        <v>SI226001132</v>
      </c>
      <c r="C1342" t="str">
        <f>"PR22000599"</f>
        <v>PR22000599</v>
      </c>
      <c r="E1342" t="str">
        <f>"Y"</f>
        <v>Y</v>
      </c>
      <c r="F1342" t="str">
        <f>"חשבוניות מרכזות"</f>
        <v>חשבוניות מרכזות</v>
      </c>
      <c r="G1342" t="str">
        <f>"700065"</f>
        <v>700065</v>
      </c>
      <c r="H1342" t="str">
        <f>"אלתא מערכות בע""מ"</f>
        <v>אלתא מערכות בע"מ</v>
      </c>
      <c r="I1342" t="str">
        <f>"10"</f>
        <v>10</v>
      </c>
      <c r="J1342" t="str">
        <f>"PS0300006"</f>
        <v>PS0300006</v>
      </c>
      <c r="K1342" t="str">
        <f>"TSI-EPC - 380Vac-Module BRAVO"</f>
        <v>TSI-EPC - 380Vac-Module BRAVO</v>
      </c>
      <c r="L1342">
        <v>3</v>
      </c>
      <c r="M1342" t="str">
        <f>"יח"</f>
        <v>יח</v>
      </c>
      <c r="N1342">
        <v>3</v>
      </c>
      <c r="O1342" t="str">
        <f>"יח"</f>
        <v>יח</v>
      </c>
      <c r="P1342" s="2">
        <v>1950</v>
      </c>
      <c r="Q1342" t="str">
        <f>"$"</f>
        <v>$</v>
      </c>
      <c r="R1342" t="str">
        <f>"הזמנה"</f>
        <v>הזמנה</v>
      </c>
      <c r="S1342">
        <v>0</v>
      </c>
      <c r="T1342" s="2">
        <v>5850</v>
      </c>
      <c r="U1342">
        <v>0</v>
      </c>
      <c r="V1342" s="2">
        <v>5850</v>
      </c>
      <c r="W1342" t="str">
        <f>"$"</f>
        <v>$</v>
      </c>
      <c r="X1342">
        <v>0</v>
      </c>
      <c r="Y1342">
        <v>0</v>
      </c>
      <c r="Z1342">
        <v>0</v>
      </c>
      <c r="AA1342" t="str">
        <f>"Y"</f>
        <v>Y</v>
      </c>
      <c r="AB1342" t="str">
        <f>"SO22000360"</f>
        <v>SO22000360</v>
      </c>
      <c r="AC1342">
        <v>1</v>
      </c>
      <c r="AD1342" s="1">
        <v>44816</v>
      </c>
      <c r="AE1342" t="str">
        <f>"SH22001137"</f>
        <v>SH22001137</v>
      </c>
      <c r="AF1342" t="str">
        <f>"משלוחים ללקוח"</f>
        <v>משלוחים ללקוח</v>
      </c>
      <c r="AG1342" s="1">
        <v>44818</v>
      </c>
      <c r="AM1342" t="str">
        <f>"10"</f>
        <v>10</v>
      </c>
      <c r="AN1342" t="str">
        <f>"500000"</f>
        <v>500000</v>
      </c>
      <c r="AO1342" t="str">
        <f>"הכנסות  מלקוחות"</f>
        <v>הכנסות  מלקוחות</v>
      </c>
      <c r="AQ1342" t="str">
        <f>"007"</f>
        <v>007</v>
      </c>
      <c r="AR1342">
        <v>0</v>
      </c>
      <c r="AS1342">
        <v>0</v>
      </c>
      <c r="AT1342">
        <v>3.5430000000000001</v>
      </c>
      <c r="AX1342" t="str">
        <f>"E000373642"</f>
        <v>E000373642</v>
      </c>
      <c r="BD1342" t="str">
        <f>"רוני דידי"</f>
        <v>רוני דידי</v>
      </c>
    </row>
    <row r="1343" spans="1:56" x14ac:dyDescent="0.3">
      <c r="A1343" s="1">
        <v>44836</v>
      </c>
      <c r="B1343" t="str">
        <f>"SI226001131"</f>
        <v>SI226001131</v>
      </c>
      <c r="C1343" t="str">
        <f>"PR22000344"</f>
        <v>PR22000344</v>
      </c>
      <c r="E1343" t="str">
        <f>"Y"</f>
        <v>Y</v>
      </c>
      <c r="F1343" t="str">
        <f>"חשבוניות מרכזות"</f>
        <v>חשבוניות מרכזות</v>
      </c>
      <c r="G1343" t="str">
        <f>"700065"</f>
        <v>700065</v>
      </c>
      <c r="H1343" t="str">
        <f>"אלתא מערכות בע""מ"</f>
        <v>אלתא מערכות בע"מ</v>
      </c>
      <c r="I1343" t="str">
        <f>"10"</f>
        <v>10</v>
      </c>
      <c r="J1343" t="str">
        <f>"OP-AR03129"</f>
        <v>OP-AR03129</v>
      </c>
      <c r="K1343" t="str">
        <f>"1021M123-002    CABLE ASSY W23"</f>
        <v>1021M123-002    CABLE ASSY W23</v>
      </c>
      <c r="L1343">
        <v>2</v>
      </c>
      <c r="M1343" t="str">
        <f>"יח"</f>
        <v>יח</v>
      </c>
      <c r="N1343">
        <v>2</v>
      </c>
      <c r="O1343" t="str">
        <f>"יח"</f>
        <v>יח</v>
      </c>
      <c r="P1343">
        <v>351.99</v>
      </c>
      <c r="Q1343" t="str">
        <f>"$"</f>
        <v>$</v>
      </c>
      <c r="R1343" t="str">
        <f>"הזמנה"</f>
        <v>הזמנה</v>
      </c>
      <c r="S1343">
        <v>0</v>
      </c>
      <c r="T1343">
        <v>703.98</v>
      </c>
      <c r="U1343">
        <v>0</v>
      </c>
      <c r="V1343">
        <v>703.98</v>
      </c>
      <c r="W1343" t="str">
        <f>"$"</f>
        <v>$</v>
      </c>
      <c r="X1343">
        <v>0</v>
      </c>
      <c r="Y1343">
        <v>0</v>
      </c>
      <c r="Z1343">
        <v>0</v>
      </c>
      <c r="AA1343" t="str">
        <f>"Y"</f>
        <v>Y</v>
      </c>
      <c r="AB1343" t="str">
        <f>"SO22000163"</f>
        <v>SO22000163</v>
      </c>
      <c r="AC1343">
        <v>1</v>
      </c>
      <c r="AD1343" s="1">
        <v>44683</v>
      </c>
      <c r="AE1343" t="str">
        <f>"SH22001161"</f>
        <v>SH22001161</v>
      </c>
      <c r="AF1343" t="str">
        <f>"משלוחים ללקוח"</f>
        <v>משלוחים ללקוח</v>
      </c>
      <c r="AG1343" s="1">
        <v>44832</v>
      </c>
      <c r="AM1343" t="str">
        <f>"10"</f>
        <v>10</v>
      </c>
      <c r="AN1343" t="str">
        <f>"500000"</f>
        <v>500000</v>
      </c>
      <c r="AO1343" t="str">
        <f>"הכנסות  מלקוחות"</f>
        <v>הכנסות  מלקוחות</v>
      </c>
      <c r="AQ1343" t="str">
        <f>"040"</f>
        <v>040</v>
      </c>
      <c r="AR1343">
        <v>0</v>
      </c>
      <c r="AS1343">
        <v>0</v>
      </c>
      <c r="AT1343">
        <v>3.5430000000000001</v>
      </c>
      <c r="AX1343" t="str">
        <f>"E000362059"</f>
        <v>E000362059</v>
      </c>
      <c r="BD1343" t="str">
        <f>"רחמים זרוק"</f>
        <v>רחמים זרוק</v>
      </c>
    </row>
    <row r="1344" spans="1:56" x14ac:dyDescent="0.3">
      <c r="A1344" s="1">
        <v>44836</v>
      </c>
      <c r="B1344" t="str">
        <f>"SI226001130"</f>
        <v>SI226001130</v>
      </c>
      <c r="C1344" t="str">
        <f>"PR21000665"</f>
        <v>PR21000665</v>
      </c>
      <c r="E1344" t="str">
        <f>"Y"</f>
        <v>Y</v>
      </c>
      <c r="F1344" t="str">
        <f>"חשבוניות מרכזות"</f>
        <v>חשבוניות מרכזות</v>
      </c>
      <c r="G1344" t="str">
        <f>"700065"</f>
        <v>700065</v>
      </c>
      <c r="H1344" t="str">
        <f>"אלתא מערכות בע""מ"</f>
        <v>אלתא מערכות בע"מ</v>
      </c>
      <c r="I1344" t="str">
        <f>"10"</f>
        <v>10</v>
      </c>
      <c r="J1344" t="str">
        <f>"OP-AR02804"</f>
        <v>OP-AR02804</v>
      </c>
      <c r="K1344" t="str">
        <f>"1034Y298-001    J6 ROB CABLE"</f>
        <v>1034Y298-001    J6 ROB CABLE</v>
      </c>
      <c r="L1344">
        <v>1</v>
      </c>
      <c r="M1344" t="str">
        <f>"יח"</f>
        <v>יח</v>
      </c>
      <c r="N1344">
        <v>1</v>
      </c>
      <c r="O1344" t="str">
        <f>"יח"</f>
        <v>יח</v>
      </c>
      <c r="P1344">
        <v>405.08</v>
      </c>
      <c r="Q1344" t="str">
        <f>"$"</f>
        <v>$</v>
      </c>
      <c r="R1344" t="str">
        <f>"הזמנה"</f>
        <v>הזמנה</v>
      </c>
      <c r="S1344">
        <v>0</v>
      </c>
      <c r="T1344">
        <v>405.08</v>
      </c>
      <c r="U1344">
        <v>0</v>
      </c>
      <c r="V1344">
        <v>405.08</v>
      </c>
      <c r="W1344" t="str">
        <f>"$"</f>
        <v>$</v>
      </c>
      <c r="X1344">
        <v>0</v>
      </c>
      <c r="Y1344">
        <v>0</v>
      </c>
      <c r="Z1344">
        <v>0</v>
      </c>
      <c r="AA1344" t="str">
        <f>"Y"</f>
        <v>Y</v>
      </c>
      <c r="AB1344" t="str">
        <f>"SO21000426"</f>
        <v>SO21000426</v>
      </c>
      <c r="AC1344">
        <v>1</v>
      </c>
      <c r="AD1344" s="1">
        <v>44476</v>
      </c>
      <c r="AE1344" t="str">
        <f>"SH22001163"</f>
        <v>SH22001163</v>
      </c>
      <c r="AF1344" t="str">
        <f>"משלוחים ללקוח"</f>
        <v>משלוחים ללקוח</v>
      </c>
      <c r="AG1344" s="1">
        <v>44832</v>
      </c>
      <c r="AM1344" t="str">
        <f>"10"</f>
        <v>10</v>
      </c>
      <c r="AN1344" t="str">
        <f>"500000"</f>
        <v>500000</v>
      </c>
      <c r="AO1344" t="str">
        <f>"הכנסות  מלקוחות"</f>
        <v>הכנסות  מלקוחות</v>
      </c>
      <c r="AQ1344" t="str">
        <f>"040"</f>
        <v>040</v>
      </c>
      <c r="AR1344">
        <v>0</v>
      </c>
      <c r="AS1344">
        <v>0</v>
      </c>
      <c r="AT1344">
        <v>3.5430000000000001</v>
      </c>
      <c r="AX1344" t="str">
        <f>"E000347550"</f>
        <v>E000347550</v>
      </c>
      <c r="BD1344" t="str">
        <f>"רחמים זרוק"</f>
        <v>רחמים זרוק</v>
      </c>
    </row>
    <row r="1345" spans="1:56" x14ac:dyDescent="0.3">
      <c r="A1345" s="1">
        <v>44833</v>
      </c>
      <c r="B1345" t="str">
        <f>"SI226001105"</f>
        <v>SI226001105</v>
      </c>
      <c r="E1345" t="str">
        <f>"Y"</f>
        <v>Y</v>
      </c>
      <c r="F1345" t="str">
        <f>"חשבוניות מרכזות"</f>
        <v>חשבוניות מרכזות</v>
      </c>
      <c r="G1345" t="str">
        <f>"700065"</f>
        <v>700065</v>
      </c>
      <c r="H1345" t="str">
        <f>"אלתא מערכות בע""מ"</f>
        <v>אלתא מערכות בע"מ</v>
      </c>
      <c r="I1345" t="str">
        <f>"10"</f>
        <v>10</v>
      </c>
      <c r="J1345" t="str">
        <f>"000"</f>
        <v>000</v>
      </c>
      <c r="K1345" t="str">
        <f>"צוות טכנאים בצכיה"</f>
        <v>צוות טכנאים בצכיה</v>
      </c>
      <c r="L1345">
        <v>1</v>
      </c>
      <c r="M1345" t="str">
        <f>"יח"</f>
        <v>יח</v>
      </c>
      <c r="N1345">
        <v>1</v>
      </c>
      <c r="O1345" t="str">
        <f>"יח"</f>
        <v>יח</v>
      </c>
      <c r="P1345" s="2">
        <v>6000</v>
      </c>
      <c r="Q1345" t="str">
        <f>"$"</f>
        <v>$</v>
      </c>
      <c r="R1345" t="str">
        <f>"הזמנה"</f>
        <v>הזמנה</v>
      </c>
      <c r="S1345">
        <v>0</v>
      </c>
      <c r="T1345" s="2">
        <v>6000</v>
      </c>
      <c r="U1345">
        <v>0</v>
      </c>
      <c r="V1345" s="2">
        <v>6000</v>
      </c>
      <c r="W1345" t="str">
        <f>"$"</f>
        <v>$</v>
      </c>
      <c r="X1345">
        <v>0</v>
      </c>
      <c r="Y1345">
        <v>0</v>
      </c>
      <c r="Z1345">
        <v>0</v>
      </c>
      <c r="AA1345" t="str">
        <f>"Y"</f>
        <v>Y</v>
      </c>
      <c r="AB1345" t="str">
        <f>"SO22000369"</f>
        <v>SO22000369</v>
      </c>
      <c r="AC1345">
        <v>1</v>
      </c>
      <c r="AD1345" s="1">
        <v>44833</v>
      </c>
      <c r="AM1345" t="str">
        <f>"10"</f>
        <v>10</v>
      </c>
      <c r="AN1345" t="str">
        <f>"500000"</f>
        <v>500000</v>
      </c>
      <c r="AO1345" t="str">
        <f>"הכנסות  מלקוחות"</f>
        <v>הכנסות  מלקוחות</v>
      </c>
      <c r="AQ1345" t="str">
        <f>"007"</f>
        <v>007</v>
      </c>
      <c r="AR1345">
        <v>0</v>
      </c>
      <c r="AS1345">
        <v>0</v>
      </c>
      <c r="AT1345">
        <v>3.536</v>
      </c>
      <c r="AX1345" t="str">
        <f>"E000375484"</f>
        <v>E000375484</v>
      </c>
      <c r="BD1345" t="str">
        <f>"רוני דידי"</f>
        <v>רוני דידי</v>
      </c>
    </row>
    <row r="1346" spans="1:56" x14ac:dyDescent="0.3">
      <c r="A1346" s="1">
        <v>44832</v>
      </c>
      <c r="B1346" t="str">
        <f>"SI226001142"</f>
        <v>SI226001142</v>
      </c>
      <c r="C1346" t="str">
        <f>"PR22000231"</f>
        <v>PR22000231</v>
      </c>
      <c r="E1346" t="str">
        <f>"Y"</f>
        <v>Y</v>
      </c>
      <c r="F1346" t="str">
        <f>"חשבוניות מרכזות"</f>
        <v>חשבוניות מרכזות</v>
      </c>
      <c r="G1346" t="str">
        <f>"700065"</f>
        <v>700065</v>
      </c>
      <c r="H1346" t="str">
        <f>"אלתא מערכות בע""מ"</f>
        <v>אלתא מערכות בע"מ</v>
      </c>
      <c r="I1346" t="str">
        <f>"10"</f>
        <v>10</v>
      </c>
      <c r="J1346" t="str">
        <f>"OP-AR03023"</f>
        <v>OP-AR03023</v>
      </c>
      <c r="K1346" t="str">
        <f>"2221B773-001   ADW103 FPGA J3 CABLE ASSY"</f>
        <v>2221B773-001   ADW103 FPGA J3 CABLE ASSY</v>
      </c>
      <c r="L1346">
        <v>3</v>
      </c>
      <c r="M1346" t="str">
        <f>"יח"</f>
        <v>יח</v>
      </c>
      <c r="N1346">
        <v>3</v>
      </c>
      <c r="O1346" t="str">
        <f>"יח"</f>
        <v>יח</v>
      </c>
      <c r="P1346">
        <v>821.67</v>
      </c>
      <c r="Q1346" t="str">
        <f>"$"</f>
        <v>$</v>
      </c>
      <c r="R1346" t="str">
        <f>"הזמנה"</f>
        <v>הזמנה</v>
      </c>
      <c r="S1346">
        <v>0</v>
      </c>
      <c r="T1346" s="2">
        <v>2465.0100000000002</v>
      </c>
      <c r="U1346">
        <v>0</v>
      </c>
      <c r="V1346" s="2">
        <v>2465.0100000000002</v>
      </c>
      <c r="W1346" t="str">
        <f>"$"</f>
        <v>$</v>
      </c>
      <c r="X1346">
        <v>0</v>
      </c>
      <c r="Y1346">
        <v>0</v>
      </c>
      <c r="Z1346">
        <v>0</v>
      </c>
      <c r="AA1346" t="str">
        <f>"Y"</f>
        <v>Y</v>
      </c>
      <c r="AB1346" t="str">
        <f>"SO22000105"</f>
        <v>SO22000105</v>
      </c>
      <c r="AC1346">
        <v>20</v>
      </c>
      <c r="AD1346" s="1">
        <v>44635</v>
      </c>
      <c r="AE1346" t="str">
        <f>"SH22001140"</f>
        <v>SH22001140</v>
      </c>
      <c r="AF1346" t="str">
        <f>"משלוחים ללקוח"</f>
        <v>משלוחים ללקוח</v>
      </c>
      <c r="AG1346" s="1">
        <v>44819</v>
      </c>
      <c r="AM1346" t="str">
        <f>"10"</f>
        <v>10</v>
      </c>
      <c r="AN1346" t="str">
        <f>"500000"</f>
        <v>500000</v>
      </c>
      <c r="AO1346" t="str">
        <f>"הכנסות  מלקוחות"</f>
        <v>הכנסות  מלקוחות</v>
      </c>
      <c r="AQ1346" t="str">
        <f>"040"</f>
        <v>040</v>
      </c>
      <c r="AR1346">
        <v>0</v>
      </c>
      <c r="AS1346">
        <v>0</v>
      </c>
      <c r="AT1346">
        <v>3.536</v>
      </c>
      <c r="AX1346" t="str">
        <f>"E000359029"</f>
        <v>E000359029</v>
      </c>
      <c r="BD1346" t="str">
        <f>"רחמים זרוק"</f>
        <v>רחמים זרוק</v>
      </c>
    </row>
    <row r="1347" spans="1:56" x14ac:dyDescent="0.3">
      <c r="A1347" s="1">
        <v>44832</v>
      </c>
      <c r="B1347" t="str">
        <f>"SI226001142"</f>
        <v>SI226001142</v>
      </c>
      <c r="C1347" t="str">
        <f>"PR22000231"</f>
        <v>PR22000231</v>
      </c>
      <c r="E1347" t="str">
        <f>"Y"</f>
        <v>Y</v>
      </c>
      <c r="F1347" t="str">
        <f>"חשבוניות מרכזות"</f>
        <v>חשבוניות מרכזות</v>
      </c>
      <c r="G1347" t="str">
        <f>"700065"</f>
        <v>700065</v>
      </c>
      <c r="H1347" t="str">
        <f>"אלתא מערכות בע""מ"</f>
        <v>אלתא מערכות בע"מ</v>
      </c>
      <c r="I1347" t="str">
        <f>"10"</f>
        <v>10</v>
      </c>
      <c r="J1347" t="str">
        <f>"OP-AR03024"</f>
        <v>OP-AR03024</v>
      </c>
      <c r="K1347" t="str">
        <f>"2221B775-001   ADW105 FPGA J5 CABLE ASSY"</f>
        <v>2221B775-001   ADW105 FPGA J5 CABLE ASSY</v>
      </c>
      <c r="L1347">
        <v>3</v>
      </c>
      <c r="M1347" t="str">
        <f>"יח"</f>
        <v>יח</v>
      </c>
      <c r="N1347">
        <v>3</v>
      </c>
      <c r="O1347" t="str">
        <f>"יח"</f>
        <v>יח</v>
      </c>
      <c r="P1347">
        <v>759.32</v>
      </c>
      <c r="Q1347" t="str">
        <f>"$"</f>
        <v>$</v>
      </c>
      <c r="R1347" t="str">
        <f>"הזמנה"</f>
        <v>הזמנה</v>
      </c>
      <c r="S1347">
        <v>0</v>
      </c>
      <c r="T1347" s="2">
        <v>2277.96</v>
      </c>
      <c r="U1347">
        <v>0</v>
      </c>
      <c r="V1347" s="2">
        <v>2277.96</v>
      </c>
      <c r="W1347" t="str">
        <f>"$"</f>
        <v>$</v>
      </c>
      <c r="X1347">
        <v>0</v>
      </c>
      <c r="Y1347">
        <v>0</v>
      </c>
      <c r="Z1347">
        <v>0</v>
      </c>
      <c r="AA1347" t="str">
        <f>"Y"</f>
        <v>Y</v>
      </c>
      <c r="AB1347" t="str">
        <f>"SO22000105"</f>
        <v>SO22000105</v>
      </c>
      <c r="AC1347">
        <v>21</v>
      </c>
      <c r="AD1347" s="1">
        <v>44635</v>
      </c>
      <c r="AE1347" t="str">
        <f>"SH22001140"</f>
        <v>SH22001140</v>
      </c>
      <c r="AF1347" t="str">
        <f>"משלוחים ללקוח"</f>
        <v>משלוחים ללקוח</v>
      </c>
      <c r="AG1347" s="1">
        <v>44819</v>
      </c>
      <c r="AM1347" t="str">
        <f>"10"</f>
        <v>10</v>
      </c>
      <c r="AN1347" t="str">
        <f>"500000"</f>
        <v>500000</v>
      </c>
      <c r="AO1347" t="str">
        <f>"הכנסות  מלקוחות"</f>
        <v>הכנסות  מלקוחות</v>
      </c>
      <c r="AQ1347" t="str">
        <f>"040"</f>
        <v>040</v>
      </c>
      <c r="AR1347">
        <v>0</v>
      </c>
      <c r="AS1347">
        <v>0</v>
      </c>
      <c r="AT1347">
        <v>3.536</v>
      </c>
      <c r="AX1347" t="str">
        <f>"E000359029"</f>
        <v>E000359029</v>
      </c>
      <c r="BD1347" t="str">
        <f>"רחמים זרוק"</f>
        <v>רחמים זרוק</v>
      </c>
    </row>
    <row r="1348" spans="1:56" x14ac:dyDescent="0.3">
      <c r="A1348" s="1">
        <v>44832</v>
      </c>
      <c r="B1348" t="str">
        <f>"SI226001141"</f>
        <v>SI226001141</v>
      </c>
      <c r="C1348" t="str">
        <f>"PR22000450"</f>
        <v>PR22000450</v>
      </c>
      <c r="E1348" t="str">
        <f>"Y"</f>
        <v>Y</v>
      </c>
      <c r="F1348" t="str">
        <f>"חשבוניות מרכזות"</f>
        <v>חשבוניות מרכזות</v>
      </c>
      <c r="G1348" t="str">
        <f>"700065"</f>
        <v>700065</v>
      </c>
      <c r="H1348" t="str">
        <f>"אלתא מערכות בע""מ"</f>
        <v>אלתא מערכות בע"מ</v>
      </c>
      <c r="I1348" t="str">
        <f>"10"</f>
        <v>10</v>
      </c>
      <c r="J1348" t="str">
        <f>"OP-AR02306"</f>
        <v>OP-AR02306</v>
      </c>
      <c r="K1348" t="str">
        <f>"HVJB 1026L230-001"</f>
        <v>HVJB 1026L230-001</v>
      </c>
      <c r="L1348">
        <v>1</v>
      </c>
      <c r="M1348" t="str">
        <f>"יח"</f>
        <v>יח</v>
      </c>
      <c r="N1348">
        <v>1</v>
      </c>
      <c r="O1348" t="str">
        <f>"יח"</f>
        <v>יח</v>
      </c>
      <c r="P1348">
        <v>380</v>
      </c>
      <c r="Q1348" t="str">
        <f>"$"</f>
        <v>$</v>
      </c>
      <c r="R1348" t="str">
        <f>"הזמנה"</f>
        <v>הזמנה</v>
      </c>
      <c r="S1348">
        <v>0</v>
      </c>
      <c r="T1348">
        <v>380</v>
      </c>
      <c r="U1348">
        <v>0</v>
      </c>
      <c r="V1348">
        <v>380</v>
      </c>
      <c r="W1348" t="str">
        <f>"$"</f>
        <v>$</v>
      </c>
      <c r="X1348">
        <v>0</v>
      </c>
      <c r="Y1348">
        <v>0</v>
      </c>
      <c r="Z1348">
        <v>0</v>
      </c>
      <c r="AA1348" t="str">
        <f>"Y"</f>
        <v>Y</v>
      </c>
      <c r="AB1348" t="str">
        <f>"SO22000234"</f>
        <v>SO22000234</v>
      </c>
      <c r="AC1348">
        <v>1</v>
      </c>
      <c r="AD1348" s="1">
        <v>44727</v>
      </c>
      <c r="AE1348" t="str">
        <f>"SH22001085"</f>
        <v>SH22001085</v>
      </c>
      <c r="AF1348" t="str">
        <f>"משלוחים ללקוח"</f>
        <v>משלוחים ללקוח</v>
      </c>
      <c r="AG1348" s="1">
        <v>44808</v>
      </c>
      <c r="AM1348" t="str">
        <f>"10"</f>
        <v>10</v>
      </c>
      <c r="AN1348" t="str">
        <f>"500000"</f>
        <v>500000</v>
      </c>
      <c r="AO1348" t="str">
        <f>"הכנסות  מלקוחות"</f>
        <v>הכנסות  מלקוחות</v>
      </c>
      <c r="AQ1348" t="str">
        <f>"040"</f>
        <v>040</v>
      </c>
      <c r="AR1348">
        <v>0</v>
      </c>
      <c r="AS1348">
        <v>0</v>
      </c>
      <c r="AT1348">
        <v>3.536</v>
      </c>
      <c r="AX1348" t="str">
        <f>"E000364208"</f>
        <v>E000364208</v>
      </c>
      <c r="BD1348" t="str">
        <f>"רחמים זרוק"</f>
        <v>רחמים זרוק</v>
      </c>
    </row>
    <row r="1349" spans="1:56" x14ac:dyDescent="0.3">
      <c r="A1349" s="1">
        <v>44832</v>
      </c>
      <c r="B1349" t="str">
        <f>"SI226001140"</f>
        <v>SI226001140</v>
      </c>
      <c r="C1349" t="str">
        <f>"PR22000576"</f>
        <v>PR22000576</v>
      </c>
      <c r="E1349" t="str">
        <f>"Y"</f>
        <v>Y</v>
      </c>
      <c r="F1349" t="str">
        <f>"חשבוניות מרכזות"</f>
        <v>חשבוניות מרכזות</v>
      </c>
      <c r="G1349" t="str">
        <f>"700065"</f>
        <v>700065</v>
      </c>
      <c r="H1349" t="str">
        <f>"אלתא מערכות בע""מ"</f>
        <v>אלתא מערכות בע"מ</v>
      </c>
      <c r="I1349" t="str">
        <f>"10"</f>
        <v>10</v>
      </c>
      <c r="J1349" t="str">
        <f>"cust00891"</f>
        <v>cust00891</v>
      </c>
      <c r="K1349" t="str">
        <f>"1038H185-001 אלתא"</f>
        <v>1038H185-001 אלתא</v>
      </c>
      <c r="L1349">
        <v>1</v>
      </c>
      <c r="M1349" t="str">
        <f>"יח"</f>
        <v>יח</v>
      </c>
      <c r="N1349">
        <v>1</v>
      </c>
      <c r="O1349" t="str">
        <f>"יח"</f>
        <v>יח</v>
      </c>
      <c r="P1349" s="2">
        <v>1995</v>
      </c>
      <c r="Q1349" t="str">
        <f>"$"</f>
        <v>$</v>
      </c>
      <c r="R1349" t="str">
        <f>"הזמנה"</f>
        <v>הזמנה</v>
      </c>
      <c r="S1349">
        <v>0</v>
      </c>
      <c r="T1349" s="2">
        <v>1995</v>
      </c>
      <c r="U1349">
        <v>0</v>
      </c>
      <c r="V1349" s="2">
        <v>1995</v>
      </c>
      <c r="W1349" t="str">
        <f>"$"</f>
        <v>$</v>
      </c>
      <c r="X1349">
        <v>0</v>
      </c>
      <c r="Y1349">
        <v>0</v>
      </c>
      <c r="Z1349">
        <v>0</v>
      </c>
      <c r="AA1349" t="str">
        <f>"Y"</f>
        <v>Y</v>
      </c>
      <c r="AC1349">
        <v>0</v>
      </c>
      <c r="AM1349" t="str">
        <f>"10"</f>
        <v>10</v>
      </c>
      <c r="AN1349" t="str">
        <f>"500000"</f>
        <v>500000</v>
      </c>
      <c r="AO1349" t="str">
        <f>"הכנסות  מלקוחות"</f>
        <v>הכנסות  מלקוחות</v>
      </c>
      <c r="AQ1349" t="str">
        <f>"034"</f>
        <v>034</v>
      </c>
      <c r="AR1349">
        <v>0</v>
      </c>
      <c r="AS1349">
        <v>0</v>
      </c>
      <c r="AT1349">
        <v>3.536</v>
      </c>
      <c r="BB1349" t="str">
        <f>"Y"</f>
        <v>Y</v>
      </c>
      <c r="BD1349" t="str">
        <f>"ערן שלו"</f>
        <v>ערן שלו</v>
      </c>
    </row>
    <row r="1350" spans="1:56" x14ac:dyDescent="0.3">
      <c r="A1350" s="1">
        <v>44832</v>
      </c>
      <c r="B1350" t="str">
        <f>"SI226001120"</f>
        <v>SI226001120</v>
      </c>
      <c r="E1350" t="str">
        <f>"Y"</f>
        <v>Y</v>
      </c>
      <c r="F1350" t="str">
        <f>"חשבוניות מרכזות"</f>
        <v>חשבוניות מרכזות</v>
      </c>
      <c r="G1350" t="str">
        <f>"700065"</f>
        <v>700065</v>
      </c>
      <c r="H1350" t="str">
        <f>"אלתא מערכות בע""מ"</f>
        <v>אלתא מערכות בע"מ</v>
      </c>
      <c r="I1350" t="str">
        <f>"10"</f>
        <v>10</v>
      </c>
      <c r="J1350" t="str">
        <f>"OP-AR02918"</f>
        <v>OP-AR02918</v>
      </c>
      <c r="K1350" t="str">
        <f>"HU PDB1 1033H520-001"</f>
        <v>HU PDB1 1033H520-001</v>
      </c>
      <c r="L1350">
        <v>-1</v>
      </c>
      <c r="M1350" t="str">
        <f>"יח"</f>
        <v>יח</v>
      </c>
      <c r="N1350">
        <v>-1</v>
      </c>
      <c r="O1350" t="str">
        <f>"יח"</f>
        <v>יח</v>
      </c>
      <c r="P1350" s="2">
        <v>41000</v>
      </c>
      <c r="Q1350" t="str">
        <f>"$"</f>
        <v>$</v>
      </c>
      <c r="R1350" t="str">
        <f>"הזמנה"</f>
        <v>הזמנה</v>
      </c>
      <c r="S1350">
        <v>0</v>
      </c>
      <c r="T1350" s="2">
        <v>-41000</v>
      </c>
      <c r="U1350">
        <v>0</v>
      </c>
      <c r="V1350" s="2">
        <v>-41000</v>
      </c>
      <c r="W1350" t="str">
        <f>"$"</f>
        <v>$</v>
      </c>
      <c r="X1350">
        <v>0</v>
      </c>
      <c r="Y1350">
        <v>0</v>
      </c>
      <c r="Z1350">
        <v>0</v>
      </c>
      <c r="AA1350" t="str">
        <f>"Y"</f>
        <v>Y</v>
      </c>
      <c r="AC1350">
        <v>0</v>
      </c>
      <c r="AM1350" t="str">
        <f>"10"</f>
        <v>10</v>
      </c>
      <c r="AN1350" t="str">
        <f>"500000"</f>
        <v>500000</v>
      </c>
      <c r="AO1350" t="str">
        <f>"הכנסות  מלקוחות"</f>
        <v>הכנסות  מלקוחות</v>
      </c>
      <c r="AQ1350" t="str">
        <f>"007"</f>
        <v>007</v>
      </c>
      <c r="AR1350">
        <v>0</v>
      </c>
      <c r="AS1350">
        <v>0</v>
      </c>
      <c r="AT1350">
        <v>3.464</v>
      </c>
      <c r="BB1350" t="str">
        <f>"Y"</f>
        <v>Y</v>
      </c>
      <c r="BD1350" t="str">
        <f>"רוני דידי"</f>
        <v>רוני דידי</v>
      </c>
    </row>
    <row r="1351" spans="1:56" x14ac:dyDescent="0.3">
      <c r="A1351" s="1">
        <v>44832</v>
      </c>
      <c r="B1351" t="str">
        <f>"SI226001119"</f>
        <v>SI226001119</v>
      </c>
      <c r="E1351" t="str">
        <f>"Y"</f>
        <v>Y</v>
      </c>
      <c r="F1351" t="str">
        <f>"חשבוניות מרכזות"</f>
        <v>חשבוניות מרכזות</v>
      </c>
      <c r="G1351" t="str">
        <f>"700065"</f>
        <v>700065</v>
      </c>
      <c r="H1351" t="str">
        <f>"אלתא מערכות בע""מ"</f>
        <v>אלתא מערכות בע"מ</v>
      </c>
      <c r="I1351" t="str">
        <f>"10"</f>
        <v>10</v>
      </c>
      <c r="J1351" t="str">
        <f>"OP-AR02918"</f>
        <v>OP-AR02918</v>
      </c>
      <c r="K1351" t="str">
        <f>"HU PDB1 1033H520-001"</f>
        <v>HU PDB1 1033H520-001</v>
      </c>
      <c r="L1351">
        <v>-1</v>
      </c>
      <c r="M1351" t="str">
        <f>"יח"</f>
        <v>יח</v>
      </c>
      <c r="N1351">
        <v>-1</v>
      </c>
      <c r="O1351" t="str">
        <f>"יח"</f>
        <v>יח</v>
      </c>
      <c r="P1351" s="2">
        <v>41000</v>
      </c>
      <c r="Q1351" t="str">
        <f>"$"</f>
        <v>$</v>
      </c>
      <c r="R1351" t="str">
        <f>"הזמנה"</f>
        <v>הזמנה</v>
      </c>
      <c r="S1351">
        <v>0</v>
      </c>
      <c r="T1351" s="2">
        <v>-41000</v>
      </c>
      <c r="U1351">
        <v>0</v>
      </c>
      <c r="V1351" s="2">
        <v>-41000</v>
      </c>
      <c r="W1351" t="str">
        <f>"$"</f>
        <v>$</v>
      </c>
      <c r="X1351">
        <v>0</v>
      </c>
      <c r="Y1351">
        <v>0</v>
      </c>
      <c r="Z1351">
        <v>0</v>
      </c>
      <c r="AA1351" t="str">
        <f>"Y"</f>
        <v>Y</v>
      </c>
      <c r="AC1351">
        <v>0</v>
      </c>
      <c r="AM1351" t="str">
        <f>"10"</f>
        <v>10</v>
      </c>
      <c r="AN1351" t="str">
        <f>"500000"</f>
        <v>500000</v>
      </c>
      <c r="AO1351" t="str">
        <f>"הכנסות  מלקוחות"</f>
        <v>הכנסות  מלקוחות</v>
      </c>
      <c r="AQ1351" t="str">
        <f>"007"</f>
        <v>007</v>
      </c>
      <c r="AR1351">
        <v>0</v>
      </c>
      <c r="AS1351">
        <v>0</v>
      </c>
      <c r="AT1351">
        <v>3.464</v>
      </c>
      <c r="BB1351" t="str">
        <f>"Y"</f>
        <v>Y</v>
      </c>
      <c r="BD1351" t="str">
        <f>"רוני דידי"</f>
        <v>רוני דידי</v>
      </c>
    </row>
    <row r="1352" spans="1:56" x14ac:dyDescent="0.3">
      <c r="A1352" s="1">
        <v>44832</v>
      </c>
      <c r="B1352" t="str">
        <f>"SI226001094"</f>
        <v>SI226001094</v>
      </c>
      <c r="E1352" t="str">
        <f>"Y"</f>
        <v>Y</v>
      </c>
      <c r="F1352" t="str">
        <f>"חשבוניות מרכזות"</f>
        <v>חשבוניות מרכזות</v>
      </c>
      <c r="G1352" t="str">
        <f>"700065"</f>
        <v>700065</v>
      </c>
      <c r="H1352" t="str">
        <f>"אלתא מערכות בע""מ"</f>
        <v>אלתא מערכות בע"מ</v>
      </c>
      <c r="I1352" t="str">
        <f>"10"</f>
        <v>10</v>
      </c>
      <c r="J1352" t="str">
        <f>"OP-AR02918"</f>
        <v>OP-AR02918</v>
      </c>
      <c r="K1352" t="str">
        <f>"HU PDB1 1033H520-001"</f>
        <v>HU PDB1 1033H520-001</v>
      </c>
      <c r="L1352">
        <v>1</v>
      </c>
      <c r="M1352" t="str">
        <f>"יח"</f>
        <v>יח</v>
      </c>
      <c r="N1352">
        <v>1</v>
      </c>
      <c r="O1352" t="str">
        <f>"יח"</f>
        <v>יח</v>
      </c>
      <c r="P1352" s="2">
        <v>41000</v>
      </c>
      <c r="Q1352" t="str">
        <f>"$"</f>
        <v>$</v>
      </c>
      <c r="R1352" t="str">
        <f>"הזמנה"</f>
        <v>הזמנה</v>
      </c>
      <c r="S1352">
        <v>0</v>
      </c>
      <c r="T1352" s="2">
        <v>41000</v>
      </c>
      <c r="U1352">
        <v>0</v>
      </c>
      <c r="V1352" s="2">
        <v>41000</v>
      </c>
      <c r="W1352" t="str">
        <f>"$"</f>
        <v>$</v>
      </c>
      <c r="X1352">
        <v>0</v>
      </c>
      <c r="Y1352">
        <v>0</v>
      </c>
      <c r="Z1352">
        <v>0</v>
      </c>
      <c r="AA1352" t="str">
        <f>"Y"</f>
        <v>Y</v>
      </c>
      <c r="AC1352">
        <v>0</v>
      </c>
      <c r="AM1352" t="str">
        <f>"10"</f>
        <v>10</v>
      </c>
      <c r="AN1352" t="str">
        <f>"500000"</f>
        <v>500000</v>
      </c>
      <c r="AO1352" t="str">
        <f>"הכנסות  מלקוחות"</f>
        <v>הכנסות  מלקוחות</v>
      </c>
      <c r="AQ1352" t="str">
        <f>"007"</f>
        <v>007</v>
      </c>
      <c r="AR1352">
        <v>0</v>
      </c>
      <c r="AS1352">
        <v>0</v>
      </c>
      <c r="AT1352">
        <v>3.464</v>
      </c>
      <c r="BB1352" t="str">
        <f>"Y"</f>
        <v>Y</v>
      </c>
      <c r="BD1352" t="str">
        <f>"רוני דידי"</f>
        <v>רוני דידי</v>
      </c>
    </row>
    <row r="1353" spans="1:56" x14ac:dyDescent="0.3">
      <c r="A1353" s="1">
        <v>44832</v>
      </c>
      <c r="B1353" t="str">
        <f>"SI226001093"</f>
        <v>SI226001093</v>
      </c>
      <c r="E1353" t="str">
        <f>"Y"</f>
        <v>Y</v>
      </c>
      <c r="F1353" t="str">
        <f>"חשבוניות מרכזות"</f>
        <v>חשבוניות מרכזות</v>
      </c>
      <c r="G1353" t="str">
        <f>"700065"</f>
        <v>700065</v>
      </c>
      <c r="H1353" t="str">
        <f>"אלתא מערכות בע""מ"</f>
        <v>אלתא מערכות בע"מ</v>
      </c>
      <c r="I1353" t="str">
        <f>"10"</f>
        <v>10</v>
      </c>
      <c r="J1353" t="str">
        <f>"OP-AR02918"</f>
        <v>OP-AR02918</v>
      </c>
      <c r="K1353" t="str">
        <f>"HU PDB1 1033H520-001"</f>
        <v>HU PDB1 1033H520-001</v>
      </c>
      <c r="L1353">
        <v>1</v>
      </c>
      <c r="M1353" t="str">
        <f>"יח"</f>
        <v>יח</v>
      </c>
      <c r="N1353">
        <v>1</v>
      </c>
      <c r="O1353" t="str">
        <f>"יח"</f>
        <v>יח</v>
      </c>
      <c r="P1353" s="2">
        <v>41000</v>
      </c>
      <c r="Q1353" t="str">
        <f>"$"</f>
        <v>$</v>
      </c>
      <c r="R1353" t="str">
        <f>"הזמנה"</f>
        <v>הזמנה</v>
      </c>
      <c r="S1353">
        <v>0</v>
      </c>
      <c r="T1353" s="2">
        <v>41000</v>
      </c>
      <c r="U1353">
        <v>0</v>
      </c>
      <c r="V1353" s="2">
        <v>41000</v>
      </c>
      <c r="W1353" t="str">
        <f>"$"</f>
        <v>$</v>
      </c>
      <c r="X1353">
        <v>0</v>
      </c>
      <c r="Y1353">
        <v>0</v>
      </c>
      <c r="Z1353">
        <v>0</v>
      </c>
      <c r="AA1353" t="str">
        <f>"Y"</f>
        <v>Y</v>
      </c>
      <c r="AC1353">
        <v>0</v>
      </c>
      <c r="AM1353" t="str">
        <f>"10"</f>
        <v>10</v>
      </c>
      <c r="AN1353" t="str">
        <f>"500000"</f>
        <v>500000</v>
      </c>
      <c r="AO1353" t="str">
        <f>"הכנסות  מלקוחות"</f>
        <v>הכנסות  מלקוחות</v>
      </c>
      <c r="AQ1353" t="str">
        <f>"007"</f>
        <v>007</v>
      </c>
      <c r="AR1353">
        <v>0</v>
      </c>
      <c r="AS1353">
        <v>0</v>
      </c>
      <c r="AT1353">
        <v>3.464</v>
      </c>
      <c r="BB1353" t="str">
        <f>"Y"</f>
        <v>Y</v>
      </c>
      <c r="BD1353" t="str">
        <f>"רוני דידי"</f>
        <v>רוני דידי</v>
      </c>
    </row>
    <row r="1354" spans="1:56" x14ac:dyDescent="0.3">
      <c r="A1354" s="1">
        <v>44826</v>
      </c>
      <c r="B1354" t="str">
        <f>"SI226001087"</f>
        <v>SI226001087</v>
      </c>
      <c r="E1354" t="str">
        <f>"Y"</f>
        <v>Y</v>
      </c>
      <c r="F1354" t="str">
        <f>"חשבוניות מרכזות"</f>
        <v>חשבוניות מרכזות</v>
      </c>
      <c r="G1354" t="str">
        <f>"700065"</f>
        <v>700065</v>
      </c>
      <c r="H1354" t="str">
        <f>"אלתא מערכות בע""מ"</f>
        <v>אלתא מערכות בע"מ</v>
      </c>
      <c r="I1354" t="str">
        <f>"05"</f>
        <v>05</v>
      </c>
      <c r="J1354" t="str">
        <f>"OP-PD02882"</f>
        <v>OP-PD02882</v>
      </c>
      <c r="K1354" t="str">
        <f>"ISOLATION TRANSFORMER UNIT 200KVA"</f>
        <v>ISOLATION TRANSFORMER UNIT 200KVA</v>
      </c>
      <c r="L1354">
        <v>1</v>
      </c>
      <c r="M1354" t="str">
        <f>"יח"</f>
        <v>יח</v>
      </c>
      <c r="N1354">
        <v>1</v>
      </c>
      <c r="O1354" t="str">
        <f>"יח"</f>
        <v>יח</v>
      </c>
      <c r="P1354" s="2">
        <v>35340</v>
      </c>
      <c r="Q1354" t="str">
        <f>"$"</f>
        <v>$</v>
      </c>
      <c r="R1354" t="str">
        <f>"הזמנה"</f>
        <v>הזמנה</v>
      </c>
      <c r="S1354">
        <v>0</v>
      </c>
      <c r="T1354" s="2">
        <v>35340</v>
      </c>
      <c r="U1354">
        <v>0</v>
      </c>
      <c r="V1354" s="2">
        <v>35340</v>
      </c>
      <c r="W1354" t="str">
        <f>"$"</f>
        <v>$</v>
      </c>
      <c r="X1354">
        <v>0</v>
      </c>
      <c r="Y1354">
        <v>0</v>
      </c>
      <c r="Z1354">
        <v>0</v>
      </c>
      <c r="AA1354" t="str">
        <f>"Y"</f>
        <v>Y</v>
      </c>
      <c r="AB1354" t="str">
        <f>"SO21000184"</f>
        <v>SO21000184</v>
      </c>
      <c r="AC1354">
        <v>5</v>
      </c>
      <c r="AD1354" s="1">
        <v>44307</v>
      </c>
      <c r="AE1354" t="str">
        <f>"SH22001509"</f>
        <v>SH22001509</v>
      </c>
      <c r="AF1354" t="str">
        <f>"משלוחים ללקוח"</f>
        <v>משלוחים ללקוח</v>
      </c>
      <c r="AG1354" s="1">
        <v>44922</v>
      </c>
      <c r="AM1354" t="str">
        <f>"10"</f>
        <v>10</v>
      </c>
      <c r="AN1354" t="str">
        <f>"500000"</f>
        <v>500000</v>
      </c>
      <c r="AO1354" t="str">
        <f>"הכנסות  מלקוחות"</f>
        <v>הכנסות  מלקוחות</v>
      </c>
      <c r="AQ1354" t="str">
        <f>"034"</f>
        <v>034</v>
      </c>
      <c r="AR1354">
        <v>0</v>
      </c>
      <c r="AS1354">
        <v>0</v>
      </c>
      <c r="AT1354">
        <v>3.464</v>
      </c>
      <c r="AX1354" t="str">
        <f>"E000336430"</f>
        <v>E000336430</v>
      </c>
      <c r="BD1354" t="str">
        <f>"ערן שלו"</f>
        <v>ערן שלו</v>
      </c>
    </row>
    <row r="1355" spans="1:56" x14ac:dyDescent="0.3">
      <c r="A1355" s="1">
        <v>44826</v>
      </c>
      <c r="B1355" t="str">
        <f>"SI226001086"</f>
        <v>SI226001086</v>
      </c>
      <c r="E1355" t="str">
        <f>"Y"</f>
        <v>Y</v>
      </c>
      <c r="F1355" t="str">
        <f>"חשבוניות מרכזות"</f>
        <v>חשבוניות מרכזות</v>
      </c>
      <c r="G1355" t="str">
        <f>"700065"</f>
        <v>700065</v>
      </c>
      <c r="H1355" t="str">
        <f>"אלתא מערכות בע""מ"</f>
        <v>אלתא מערכות בע"מ</v>
      </c>
      <c r="I1355" t="str">
        <f>"05"</f>
        <v>05</v>
      </c>
      <c r="J1355" t="str">
        <f>"OP-PD02882"</f>
        <v>OP-PD02882</v>
      </c>
      <c r="K1355" t="str">
        <f>"ISOLATION TRANSFORMER UNIT 200KVA"</f>
        <v>ISOLATION TRANSFORMER UNIT 200KVA</v>
      </c>
      <c r="L1355">
        <v>1</v>
      </c>
      <c r="M1355" t="str">
        <f>"יח"</f>
        <v>יח</v>
      </c>
      <c r="N1355">
        <v>1</v>
      </c>
      <c r="O1355" t="str">
        <f>"יח"</f>
        <v>יח</v>
      </c>
      <c r="P1355" s="2">
        <v>35340</v>
      </c>
      <c r="Q1355" t="str">
        <f>"$"</f>
        <v>$</v>
      </c>
      <c r="R1355" t="str">
        <f>"הזמנה"</f>
        <v>הזמנה</v>
      </c>
      <c r="S1355">
        <v>0</v>
      </c>
      <c r="T1355" s="2">
        <v>35340</v>
      </c>
      <c r="U1355">
        <v>0</v>
      </c>
      <c r="V1355" s="2">
        <v>35340</v>
      </c>
      <c r="W1355" t="str">
        <f>"$"</f>
        <v>$</v>
      </c>
      <c r="X1355">
        <v>0</v>
      </c>
      <c r="Y1355">
        <v>0</v>
      </c>
      <c r="Z1355">
        <v>0</v>
      </c>
      <c r="AA1355" t="str">
        <f>"Y"</f>
        <v>Y</v>
      </c>
      <c r="AB1355" t="str">
        <f>"SO21000184"</f>
        <v>SO21000184</v>
      </c>
      <c r="AC1355">
        <v>5</v>
      </c>
      <c r="AD1355" s="1">
        <v>44307</v>
      </c>
      <c r="AE1355" t="str">
        <f>"SH22001509"</f>
        <v>SH22001509</v>
      </c>
      <c r="AF1355" t="str">
        <f>"משלוחים ללקוח"</f>
        <v>משלוחים ללקוח</v>
      </c>
      <c r="AG1355" s="1">
        <v>44922</v>
      </c>
      <c r="AM1355" t="str">
        <f>"10"</f>
        <v>10</v>
      </c>
      <c r="AN1355" t="str">
        <f>"500000"</f>
        <v>500000</v>
      </c>
      <c r="AO1355" t="str">
        <f>"הכנסות  מלקוחות"</f>
        <v>הכנסות  מלקוחות</v>
      </c>
      <c r="AQ1355" t="str">
        <f>"034"</f>
        <v>034</v>
      </c>
      <c r="AR1355">
        <v>0</v>
      </c>
      <c r="AS1355">
        <v>0</v>
      </c>
      <c r="AT1355">
        <v>3.464</v>
      </c>
      <c r="AX1355" t="str">
        <f>"E000336430"</f>
        <v>E000336430</v>
      </c>
      <c r="BD1355" t="str">
        <f>"ערן שלו"</f>
        <v>ערן שלו</v>
      </c>
    </row>
    <row r="1356" spans="1:56" x14ac:dyDescent="0.3">
      <c r="A1356" s="1">
        <v>44826</v>
      </c>
      <c r="B1356" t="str">
        <f>"SI226001085"</f>
        <v>SI226001085</v>
      </c>
      <c r="E1356" t="str">
        <f>"Y"</f>
        <v>Y</v>
      </c>
      <c r="F1356" t="str">
        <f>"חשבוניות מרכזות"</f>
        <v>חשבוניות מרכזות</v>
      </c>
      <c r="G1356" t="str">
        <f>"700065"</f>
        <v>700065</v>
      </c>
      <c r="H1356" t="str">
        <f>"אלתא מערכות בע""מ"</f>
        <v>אלתא מערכות בע"מ</v>
      </c>
      <c r="I1356" t="str">
        <f>"10"</f>
        <v>10</v>
      </c>
      <c r="J1356" t="str">
        <f>"000"</f>
        <v>000</v>
      </c>
      <c r="K1356" t="str">
        <f>"תוספת עבור חומר גלם וש""ע בייצור ה RPU"</f>
        <v>תוספת עבור חומר גלם וש"ע בייצור ה RPU</v>
      </c>
      <c r="L1356">
        <v>1</v>
      </c>
      <c r="M1356" t="str">
        <f>"יח"</f>
        <v>יח</v>
      </c>
      <c r="N1356">
        <v>1</v>
      </c>
      <c r="O1356" t="str">
        <f>"יח"</f>
        <v>יח</v>
      </c>
      <c r="P1356" s="2">
        <v>25000</v>
      </c>
      <c r="Q1356" t="str">
        <f>"$"</f>
        <v>$</v>
      </c>
      <c r="R1356" t="str">
        <f>"הזמנה"</f>
        <v>הזמנה</v>
      </c>
      <c r="S1356">
        <v>0</v>
      </c>
      <c r="T1356" s="2">
        <v>25000</v>
      </c>
      <c r="U1356">
        <v>0</v>
      </c>
      <c r="V1356" s="2">
        <v>25000</v>
      </c>
      <c r="W1356" t="str">
        <f>"$"</f>
        <v>$</v>
      </c>
      <c r="X1356">
        <v>0</v>
      </c>
      <c r="Y1356">
        <v>0</v>
      </c>
      <c r="Z1356">
        <v>0</v>
      </c>
      <c r="AA1356" t="str">
        <f>"Y"</f>
        <v>Y</v>
      </c>
      <c r="AB1356" t="str">
        <f>"SO21000418"</f>
        <v>SO21000418</v>
      </c>
      <c r="AC1356">
        <v>7</v>
      </c>
      <c r="AD1356" s="1">
        <v>44474</v>
      </c>
      <c r="AM1356" t="str">
        <f>"10"</f>
        <v>10</v>
      </c>
      <c r="AN1356" t="str">
        <f>"500000"</f>
        <v>500000</v>
      </c>
      <c r="AO1356" t="str">
        <f>"הכנסות  מלקוחות"</f>
        <v>הכנסות  מלקוחות</v>
      </c>
      <c r="AQ1356" t="str">
        <f>"034"</f>
        <v>034</v>
      </c>
      <c r="AR1356">
        <v>0</v>
      </c>
      <c r="AS1356">
        <v>0</v>
      </c>
      <c r="AT1356">
        <v>3.464</v>
      </c>
      <c r="AX1356" t="str">
        <f>"E000346956"</f>
        <v>E000346956</v>
      </c>
      <c r="BD1356" t="str">
        <f>"ערן שלו"</f>
        <v>ערן שלו</v>
      </c>
    </row>
    <row r="1357" spans="1:56" x14ac:dyDescent="0.3">
      <c r="A1357" s="1">
        <v>44826</v>
      </c>
      <c r="B1357" t="str">
        <f>"SI226001084"</f>
        <v>SI226001084</v>
      </c>
      <c r="E1357" t="str">
        <f>"Y"</f>
        <v>Y</v>
      </c>
      <c r="F1357" t="str">
        <f>"חשבוניות מרכזות"</f>
        <v>חשבוניות מרכזות</v>
      </c>
      <c r="G1357" t="str">
        <f>"700065"</f>
        <v>700065</v>
      </c>
      <c r="H1357" t="str">
        <f>"אלתא מערכות בע""מ"</f>
        <v>אלתא מערכות בע"מ</v>
      </c>
      <c r="I1357" t="str">
        <f>"10"</f>
        <v>10</v>
      </c>
      <c r="J1357" t="str">
        <f>"000"</f>
        <v>000</v>
      </c>
      <c r="K1357" t="str">
        <f>"תוספות לRPU עבור הזמנה E000312785 בקרה"</f>
        <v>תוספות לRPU עבור הזמנה E000312785 בקרה</v>
      </c>
      <c r="L1357">
        <v>1</v>
      </c>
      <c r="M1357" t="str">
        <f>"יח"</f>
        <v>יח</v>
      </c>
      <c r="N1357">
        <v>1</v>
      </c>
      <c r="O1357" t="str">
        <f>"יח"</f>
        <v>יח</v>
      </c>
      <c r="P1357" s="2">
        <v>32780</v>
      </c>
      <c r="Q1357" t="str">
        <f>"$"</f>
        <v>$</v>
      </c>
      <c r="R1357" t="str">
        <f>"הזמנה"</f>
        <v>הזמנה</v>
      </c>
      <c r="S1357">
        <v>0</v>
      </c>
      <c r="T1357" s="2">
        <v>32780</v>
      </c>
      <c r="U1357">
        <v>0</v>
      </c>
      <c r="V1357" s="2">
        <v>32780</v>
      </c>
      <c r="W1357" t="str">
        <f>"$"</f>
        <v>$</v>
      </c>
      <c r="X1357">
        <v>0</v>
      </c>
      <c r="Y1357">
        <v>0</v>
      </c>
      <c r="Z1357">
        <v>0</v>
      </c>
      <c r="AA1357" t="str">
        <f>"Y"</f>
        <v>Y</v>
      </c>
      <c r="AB1357" t="str">
        <f>"SO21000055"</f>
        <v>SO21000055</v>
      </c>
      <c r="AC1357">
        <v>9</v>
      </c>
      <c r="AD1357" s="1">
        <v>44228</v>
      </c>
      <c r="AM1357" t="str">
        <f>"10"</f>
        <v>10</v>
      </c>
      <c r="AN1357" t="str">
        <f>"500000"</f>
        <v>500000</v>
      </c>
      <c r="AO1357" t="str">
        <f>"הכנסות  מלקוחות"</f>
        <v>הכנסות  מלקוחות</v>
      </c>
      <c r="AQ1357" t="str">
        <f>"034"</f>
        <v>034</v>
      </c>
      <c r="AR1357">
        <v>0</v>
      </c>
      <c r="AS1357">
        <v>0</v>
      </c>
      <c r="AT1357">
        <v>3.464</v>
      </c>
      <c r="AX1357" t="str">
        <f>"E000331489"</f>
        <v>E000331489</v>
      </c>
      <c r="BD1357" t="str">
        <f>"ערן שלו"</f>
        <v>ערן שלו</v>
      </c>
    </row>
    <row r="1358" spans="1:56" x14ac:dyDescent="0.3">
      <c r="A1358" s="1">
        <v>44826</v>
      </c>
      <c r="B1358" t="str">
        <f>"SI226001084"</f>
        <v>SI226001084</v>
      </c>
      <c r="E1358" t="str">
        <f>"Y"</f>
        <v>Y</v>
      </c>
      <c r="F1358" t="str">
        <f>"חשבוניות מרכזות"</f>
        <v>חשבוניות מרכזות</v>
      </c>
      <c r="G1358" t="str">
        <f>"700065"</f>
        <v>700065</v>
      </c>
      <c r="H1358" t="str">
        <f>"אלתא מערכות בע""מ"</f>
        <v>אלתא מערכות בע"מ</v>
      </c>
      <c r="I1358" t="str">
        <f>"10"</f>
        <v>10</v>
      </c>
      <c r="J1358" t="str">
        <f>"000"</f>
        <v>000</v>
      </c>
      <c r="K1358" t="str">
        <f>"תוספות לRPU עבור הזמנה E000312785 משאבה"</f>
        <v>תוספות לRPU עבור הזמנה E000312785 משאבה</v>
      </c>
      <c r="L1358">
        <v>1</v>
      </c>
      <c r="M1358" t="str">
        <f>"יח"</f>
        <v>יח</v>
      </c>
      <c r="N1358">
        <v>1</v>
      </c>
      <c r="O1358" t="str">
        <f>"יח"</f>
        <v>יח</v>
      </c>
      <c r="P1358" s="2">
        <v>2530</v>
      </c>
      <c r="Q1358" t="str">
        <f>"$"</f>
        <v>$</v>
      </c>
      <c r="R1358" t="str">
        <f>"הזמנה"</f>
        <v>הזמנה</v>
      </c>
      <c r="S1358">
        <v>0</v>
      </c>
      <c r="T1358" s="2">
        <v>2530</v>
      </c>
      <c r="U1358">
        <v>0</v>
      </c>
      <c r="V1358" s="2">
        <v>2530</v>
      </c>
      <c r="W1358" t="str">
        <f>"$"</f>
        <v>$</v>
      </c>
      <c r="X1358">
        <v>0</v>
      </c>
      <c r="Y1358">
        <v>0</v>
      </c>
      <c r="Z1358">
        <v>0</v>
      </c>
      <c r="AA1358" t="str">
        <f>"Y"</f>
        <v>Y</v>
      </c>
      <c r="AB1358" t="str">
        <f>"SO21000055"</f>
        <v>SO21000055</v>
      </c>
      <c r="AC1358">
        <v>16</v>
      </c>
      <c r="AD1358" s="1">
        <v>44228</v>
      </c>
      <c r="AM1358" t="str">
        <f>"10"</f>
        <v>10</v>
      </c>
      <c r="AN1358" t="str">
        <f>"500000"</f>
        <v>500000</v>
      </c>
      <c r="AO1358" t="str">
        <f>"הכנסות  מלקוחות"</f>
        <v>הכנסות  מלקוחות</v>
      </c>
      <c r="AQ1358" t="str">
        <f>"034"</f>
        <v>034</v>
      </c>
      <c r="AR1358">
        <v>0</v>
      </c>
      <c r="AS1358">
        <v>0</v>
      </c>
      <c r="AT1358">
        <v>3.464</v>
      </c>
      <c r="AX1358" t="str">
        <f>"E000331489"</f>
        <v>E000331489</v>
      </c>
      <c r="BD1358" t="str">
        <f>"ערן שלו"</f>
        <v>ערן שלו</v>
      </c>
    </row>
    <row r="1359" spans="1:56" x14ac:dyDescent="0.3">
      <c r="A1359" s="1">
        <v>44826</v>
      </c>
      <c r="B1359" t="str">
        <f>"SI226001082"</f>
        <v>SI226001082</v>
      </c>
      <c r="E1359" t="str">
        <f>"Y"</f>
        <v>Y</v>
      </c>
      <c r="F1359" t="str">
        <f>"חשבוניות מרכזות"</f>
        <v>חשבוניות מרכזות</v>
      </c>
      <c r="G1359" t="str">
        <f>"700065"</f>
        <v>700065</v>
      </c>
      <c r="H1359" t="str">
        <f>"אלתא מערכות בע""מ"</f>
        <v>אלתא מערכות בע"מ</v>
      </c>
      <c r="I1359" t="str">
        <f>"10"</f>
        <v>10</v>
      </c>
      <c r="J1359" t="str">
        <f>"OP-AR01232"</f>
        <v>OP-AR01232</v>
      </c>
      <c r="K1359" t="str">
        <f>"AC SUPPLY CONTROL BOX"</f>
        <v>AC SUPPLY CONTROL BOX</v>
      </c>
      <c r="L1359">
        <v>1</v>
      </c>
      <c r="M1359" t="str">
        <f>"יח"</f>
        <v>יח</v>
      </c>
      <c r="N1359">
        <v>1</v>
      </c>
      <c r="O1359" t="str">
        <f>"יח"</f>
        <v>יח</v>
      </c>
      <c r="P1359" s="2">
        <v>8227</v>
      </c>
      <c r="Q1359" t="str">
        <f>"$"</f>
        <v>$</v>
      </c>
      <c r="R1359" t="str">
        <f>"הזמנה"</f>
        <v>הזמנה</v>
      </c>
      <c r="S1359">
        <v>0</v>
      </c>
      <c r="T1359" s="2">
        <v>8227</v>
      </c>
      <c r="U1359">
        <v>0</v>
      </c>
      <c r="V1359" s="2">
        <v>8227</v>
      </c>
      <c r="W1359" t="str">
        <f>"$"</f>
        <v>$</v>
      </c>
      <c r="X1359">
        <v>0</v>
      </c>
      <c r="Y1359">
        <v>0</v>
      </c>
      <c r="Z1359">
        <v>0</v>
      </c>
      <c r="AA1359" t="str">
        <f>"Y"</f>
        <v>Y</v>
      </c>
      <c r="AB1359" t="str">
        <f>"SO22000106"</f>
        <v>SO22000106</v>
      </c>
      <c r="AC1359">
        <v>1</v>
      </c>
      <c r="AD1359" s="1">
        <v>44635</v>
      </c>
      <c r="AE1359" t="str">
        <f>"SH22001355"</f>
        <v>SH22001355</v>
      </c>
      <c r="AF1359" t="str">
        <f>"משלוחים ללקוח"</f>
        <v>משלוחים ללקוח</v>
      </c>
      <c r="AG1359" s="1">
        <v>44892</v>
      </c>
      <c r="AM1359" t="str">
        <f>"10"</f>
        <v>10</v>
      </c>
      <c r="AN1359" t="str">
        <f>"500000"</f>
        <v>500000</v>
      </c>
      <c r="AO1359" t="str">
        <f>"הכנסות  מלקוחות"</f>
        <v>הכנסות  מלקוחות</v>
      </c>
      <c r="AQ1359" t="str">
        <f>"034"</f>
        <v>034</v>
      </c>
      <c r="AR1359">
        <v>0</v>
      </c>
      <c r="AS1359">
        <v>0</v>
      </c>
      <c r="AT1359">
        <v>3.464</v>
      </c>
      <c r="AX1359" t="str">
        <f>"E000358122"</f>
        <v>E000358122</v>
      </c>
      <c r="BD1359" t="str">
        <f>"ערן שלו"</f>
        <v>ערן שלו</v>
      </c>
    </row>
    <row r="1360" spans="1:56" x14ac:dyDescent="0.3">
      <c r="A1360" s="1">
        <v>44826</v>
      </c>
      <c r="B1360" t="str">
        <f>"SI226001081"</f>
        <v>SI226001081</v>
      </c>
      <c r="E1360" t="str">
        <f>"Y"</f>
        <v>Y</v>
      </c>
      <c r="F1360" t="str">
        <f>"חשבוניות מרכזות"</f>
        <v>חשבוניות מרכזות</v>
      </c>
      <c r="G1360" t="str">
        <f>"700065"</f>
        <v>700065</v>
      </c>
      <c r="H1360" t="str">
        <f>"אלתא מערכות בע""מ"</f>
        <v>אלתא מערכות בע"מ</v>
      </c>
      <c r="I1360" t="str">
        <f>"05"</f>
        <v>05</v>
      </c>
      <c r="J1360" t="str">
        <f>"OP-PD02882"</f>
        <v>OP-PD02882</v>
      </c>
      <c r="K1360" t="str">
        <f>"ISOLATION TRANSFORMER UNIT 200KVA"</f>
        <v>ISOLATION TRANSFORMER UNIT 200KVA</v>
      </c>
      <c r="L1360">
        <v>1</v>
      </c>
      <c r="M1360" t="str">
        <f>"יח"</f>
        <v>יח</v>
      </c>
      <c r="N1360">
        <v>1</v>
      </c>
      <c r="O1360" t="str">
        <f>"יח"</f>
        <v>יח</v>
      </c>
      <c r="P1360" s="2">
        <v>35340</v>
      </c>
      <c r="Q1360" t="str">
        <f>"$"</f>
        <v>$</v>
      </c>
      <c r="R1360" t="str">
        <f>"הזמנה"</f>
        <v>הזמנה</v>
      </c>
      <c r="S1360">
        <v>0</v>
      </c>
      <c r="T1360" s="2">
        <v>35340</v>
      </c>
      <c r="U1360">
        <v>0</v>
      </c>
      <c r="V1360" s="2">
        <v>35340</v>
      </c>
      <c r="W1360" t="str">
        <f>"$"</f>
        <v>$</v>
      </c>
      <c r="X1360">
        <v>0</v>
      </c>
      <c r="Y1360">
        <v>0</v>
      </c>
      <c r="Z1360">
        <v>0</v>
      </c>
      <c r="AA1360" t="str">
        <f>"Y"</f>
        <v>Y</v>
      </c>
      <c r="AB1360" t="str">
        <f>"SO21000184"</f>
        <v>SO21000184</v>
      </c>
      <c r="AC1360">
        <v>6</v>
      </c>
      <c r="AD1360" s="1">
        <v>44307</v>
      </c>
      <c r="AE1360" t="str">
        <f>"SH22001509"</f>
        <v>SH22001509</v>
      </c>
      <c r="AF1360" t="str">
        <f>"משלוחים ללקוח"</f>
        <v>משלוחים ללקוח</v>
      </c>
      <c r="AG1360" s="1">
        <v>44922</v>
      </c>
      <c r="AM1360" t="str">
        <f>"10"</f>
        <v>10</v>
      </c>
      <c r="AN1360" t="str">
        <f>"500000"</f>
        <v>500000</v>
      </c>
      <c r="AO1360" t="str">
        <f>"הכנסות  מלקוחות"</f>
        <v>הכנסות  מלקוחות</v>
      </c>
      <c r="AQ1360" t="str">
        <f>"034"</f>
        <v>034</v>
      </c>
      <c r="AR1360">
        <v>0</v>
      </c>
      <c r="AS1360">
        <v>0</v>
      </c>
      <c r="AT1360">
        <v>3.464</v>
      </c>
      <c r="AX1360" t="str">
        <f>"E000336430"</f>
        <v>E000336430</v>
      </c>
      <c r="BD1360" t="str">
        <f>"ערן שלו"</f>
        <v>ערן שלו</v>
      </c>
    </row>
    <row r="1361" spans="1:56" x14ac:dyDescent="0.3">
      <c r="A1361" s="1">
        <v>44826</v>
      </c>
      <c r="B1361" t="str">
        <f>"SI226001080"</f>
        <v>SI226001080</v>
      </c>
      <c r="E1361" t="str">
        <f>"Y"</f>
        <v>Y</v>
      </c>
      <c r="F1361" t="str">
        <f>"חשבוניות מרכזות"</f>
        <v>חשבוניות מרכזות</v>
      </c>
      <c r="G1361" t="str">
        <f>"700065"</f>
        <v>700065</v>
      </c>
      <c r="H1361" t="str">
        <f>"אלתא מערכות בע""מ"</f>
        <v>אלתא מערכות בע"מ</v>
      </c>
      <c r="I1361" t="str">
        <f>"05"</f>
        <v>05</v>
      </c>
      <c r="J1361" t="str">
        <f>"OP-PD02882"</f>
        <v>OP-PD02882</v>
      </c>
      <c r="K1361" t="str">
        <f>"ISOLATION TRANSFORMER UNIT 200KVA"</f>
        <v>ISOLATION TRANSFORMER UNIT 200KVA</v>
      </c>
      <c r="L1361">
        <v>1</v>
      </c>
      <c r="M1361" t="str">
        <f>"יח"</f>
        <v>יח</v>
      </c>
      <c r="N1361">
        <v>1</v>
      </c>
      <c r="O1361" t="str">
        <f>"יח"</f>
        <v>יח</v>
      </c>
      <c r="P1361" s="2">
        <v>35340</v>
      </c>
      <c r="Q1361" t="str">
        <f>"$"</f>
        <v>$</v>
      </c>
      <c r="R1361" t="str">
        <f>"הזמנה"</f>
        <v>הזמנה</v>
      </c>
      <c r="S1361">
        <v>0</v>
      </c>
      <c r="T1361" s="2">
        <v>35340</v>
      </c>
      <c r="U1361">
        <v>0</v>
      </c>
      <c r="V1361" s="2">
        <v>35340</v>
      </c>
      <c r="W1361" t="str">
        <f>"$"</f>
        <v>$</v>
      </c>
      <c r="X1361">
        <v>0</v>
      </c>
      <c r="Y1361">
        <v>0</v>
      </c>
      <c r="Z1361">
        <v>0</v>
      </c>
      <c r="AA1361" t="str">
        <f>"Y"</f>
        <v>Y</v>
      </c>
      <c r="AB1361" t="str">
        <f>"SO21000184"</f>
        <v>SO21000184</v>
      </c>
      <c r="AC1361">
        <v>6</v>
      </c>
      <c r="AD1361" s="1">
        <v>44307</v>
      </c>
      <c r="AE1361" t="str">
        <f>"SH22001509"</f>
        <v>SH22001509</v>
      </c>
      <c r="AF1361" t="str">
        <f>"משלוחים ללקוח"</f>
        <v>משלוחים ללקוח</v>
      </c>
      <c r="AG1361" s="1">
        <v>44922</v>
      </c>
      <c r="AM1361" t="str">
        <f>"10"</f>
        <v>10</v>
      </c>
      <c r="AN1361" t="str">
        <f>"500000"</f>
        <v>500000</v>
      </c>
      <c r="AO1361" t="str">
        <f>"הכנסות  מלקוחות"</f>
        <v>הכנסות  מלקוחות</v>
      </c>
      <c r="AQ1361" t="str">
        <f>"034"</f>
        <v>034</v>
      </c>
      <c r="AR1361">
        <v>0</v>
      </c>
      <c r="AS1361">
        <v>0</v>
      </c>
      <c r="AT1361">
        <v>3.464</v>
      </c>
      <c r="AX1361" t="str">
        <f>"E000336430"</f>
        <v>E000336430</v>
      </c>
      <c r="BD1361" t="str">
        <f>"ערן שלו"</f>
        <v>ערן שלו</v>
      </c>
    </row>
    <row r="1362" spans="1:56" x14ac:dyDescent="0.3">
      <c r="A1362" s="1">
        <v>44825</v>
      </c>
      <c r="B1362" t="str">
        <f>"SI226001139"</f>
        <v>SI226001139</v>
      </c>
      <c r="C1362" t="str">
        <f>"PR21000444"</f>
        <v>PR21000444</v>
      </c>
      <c r="E1362" t="str">
        <f>"Y"</f>
        <v>Y</v>
      </c>
      <c r="F1362" t="str">
        <f>"חשבוניות מרכזות"</f>
        <v>חשבוניות מרכזות</v>
      </c>
      <c r="G1362" t="str">
        <f>"700065"</f>
        <v>700065</v>
      </c>
      <c r="H1362" t="str">
        <f>"אלתא מערכות בע""מ"</f>
        <v>אלתא מערכות בע"מ</v>
      </c>
      <c r="I1362" t="str">
        <f>"10"</f>
        <v>10</v>
      </c>
      <c r="J1362" t="str">
        <f>"OP-ML00197"</f>
        <v>OP-ML00197</v>
      </c>
      <c r="K1362" t="str">
        <f>"1038C816-001 COMPUTER RACK"</f>
        <v>1038C816-001 COMPUTER RACK</v>
      </c>
      <c r="L1362">
        <v>1</v>
      </c>
      <c r="M1362" t="str">
        <f>"יח"</f>
        <v>יח</v>
      </c>
      <c r="N1362">
        <v>1</v>
      </c>
      <c r="O1362" t="str">
        <f>"יח"</f>
        <v>יח</v>
      </c>
      <c r="P1362" s="2">
        <v>47500</v>
      </c>
      <c r="Q1362" t="str">
        <f>"$"</f>
        <v>$</v>
      </c>
      <c r="R1362" t="str">
        <f>"הזמנה"</f>
        <v>הזמנה</v>
      </c>
      <c r="S1362">
        <v>0</v>
      </c>
      <c r="T1362" s="2">
        <v>47500</v>
      </c>
      <c r="U1362">
        <v>0</v>
      </c>
      <c r="V1362" s="2">
        <v>47500</v>
      </c>
      <c r="W1362" t="str">
        <f>"$"</f>
        <v>$</v>
      </c>
      <c r="X1362">
        <v>0</v>
      </c>
      <c r="Y1362">
        <v>0</v>
      </c>
      <c r="Z1362">
        <v>0</v>
      </c>
      <c r="AA1362" t="str">
        <f>"Y"</f>
        <v>Y</v>
      </c>
      <c r="AB1362" t="str">
        <f>"SO21000090"</f>
        <v>SO21000090</v>
      </c>
      <c r="AC1362">
        <v>5</v>
      </c>
      <c r="AD1362" s="1">
        <v>44251</v>
      </c>
      <c r="AE1362" t="str">
        <f>"SH22001155"</f>
        <v>SH22001155</v>
      </c>
      <c r="AF1362" t="str">
        <f>"משלוחים ללקוח"</f>
        <v>משלוחים ללקוח</v>
      </c>
      <c r="AG1362" s="1">
        <v>44825</v>
      </c>
      <c r="AM1362" t="str">
        <f>"10"</f>
        <v>10</v>
      </c>
      <c r="AN1362" t="str">
        <f>"500000"</f>
        <v>500000</v>
      </c>
      <c r="AO1362" t="str">
        <f>"הכנסות  מלקוחות"</f>
        <v>הכנסות  מלקוחות</v>
      </c>
      <c r="AQ1362" t="str">
        <f>"034"</f>
        <v>034</v>
      </c>
      <c r="AR1362">
        <v>0</v>
      </c>
      <c r="AS1362">
        <v>0</v>
      </c>
      <c r="AT1362">
        <v>3.464</v>
      </c>
      <c r="AX1362" t="str">
        <f>"E000332763"</f>
        <v>E000332763</v>
      </c>
      <c r="BD1362" t="str">
        <f>"ערן שלו"</f>
        <v>ערן שלו</v>
      </c>
    </row>
    <row r="1363" spans="1:56" x14ac:dyDescent="0.3">
      <c r="A1363" s="1">
        <v>44823</v>
      </c>
      <c r="B1363" t="str">
        <f>"SI226001138"</f>
        <v>SI226001138</v>
      </c>
      <c r="C1363" t="str">
        <f>"PR22000445"</f>
        <v>PR22000445</v>
      </c>
      <c r="E1363" t="str">
        <f>"Y"</f>
        <v>Y</v>
      </c>
      <c r="F1363" t="str">
        <f>"חשבוניות מרכזות"</f>
        <v>חשבוניות מרכזות</v>
      </c>
      <c r="G1363" t="str">
        <f>"700065"</f>
        <v>700065</v>
      </c>
      <c r="H1363" t="str">
        <f>"אלתא מערכות בע""מ"</f>
        <v>אלתא מערכות בע"מ</v>
      </c>
      <c r="I1363" t="str">
        <f>"10"</f>
        <v>10</v>
      </c>
      <c r="J1363" t="str">
        <f>"OP-AR03165"</f>
        <v>OP-AR03165</v>
      </c>
      <c r="K1363" t="str">
        <f>"1023B584-001   WV084 PWR - CUG TO MOTOR AZ-EL"</f>
        <v>1023B584-001   WV084 PWR - CUG TO MOTOR AZ-EL</v>
      </c>
      <c r="L1363">
        <v>3</v>
      </c>
      <c r="M1363" t="str">
        <f>"יח"</f>
        <v>יח</v>
      </c>
      <c r="N1363">
        <v>3</v>
      </c>
      <c r="O1363" t="str">
        <f>"יח"</f>
        <v>יח</v>
      </c>
      <c r="P1363">
        <v>506.14</v>
      </c>
      <c r="Q1363" t="str">
        <f>"$"</f>
        <v>$</v>
      </c>
      <c r="R1363" t="str">
        <f>"הזמנה"</f>
        <v>הזמנה</v>
      </c>
      <c r="S1363">
        <v>0</v>
      </c>
      <c r="T1363" s="2">
        <v>1518.42</v>
      </c>
      <c r="U1363">
        <v>0</v>
      </c>
      <c r="V1363" s="2">
        <v>1518.42</v>
      </c>
      <c r="W1363" t="str">
        <f>"$"</f>
        <v>$</v>
      </c>
      <c r="X1363">
        <v>0</v>
      </c>
      <c r="Y1363">
        <v>0</v>
      </c>
      <c r="Z1363">
        <v>0</v>
      </c>
      <c r="AA1363" t="str">
        <f>"Y"</f>
        <v>Y</v>
      </c>
      <c r="AB1363" t="str">
        <f>"SO22000221"</f>
        <v>SO22000221</v>
      </c>
      <c r="AC1363">
        <v>5</v>
      </c>
      <c r="AD1363" s="1">
        <v>44720</v>
      </c>
      <c r="AE1363" t="str">
        <f>"SH22001138"</f>
        <v>SH22001138</v>
      </c>
      <c r="AF1363" t="str">
        <f>"משלוחים ללקוח"</f>
        <v>משלוחים ללקוח</v>
      </c>
      <c r="AG1363" s="1">
        <v>44819</v>
      </c>
      <c r="AM1363" t="str">
        <f>"10"</f>
        <v>10</v>
      </c>
      <c r="AN1363" t="str">
        <f>"500000"</f>
        <v>500000</v>
      </c>
      <c r="AO1363" t="str">
        <f>"הכנסות  מלקוחות"</f>
        <v>הכנסות  מלקוחות</v>
      </c>
      <c r="AQ1363" t="str">
        <f>"034"</f>
        <v>034</v>
      </c>
      <c r="AR1363">
        <v>0</v>
      </c>
      <c r="AS1363">
        <v>0</v>
      </c>
      <c r="AT1363">
        <v>3.4489999999999998</v>
      </c>
      <c r="AX1363" t="str">
        <f>"E000364016"</f>
        <v>E000364016</v>
      </c>
      <c r="BD1363" t="str">
        <f>"ערן שלו"</f>
        <v>ערן שלו</v>
      </c>
    </row>
    <row r="1364" spans="1:56" x14ac:dyDescent="0.3">
      <c r="A1364" s="1">
        <v>44819</v>
      </c>
      <c r="B1364" t="str">
        <f>"SI226001118"</f>
        <v>SI226001118</v>
      </c>
      <c r="E1364" t="str">
        <f>"Y"</f>
        <v>Y</v>
      </c>
      <c r="F1364" t="str">
        <f>"חשבוניות מרכזות"</f>
        <v>חשבוניות מרכזות</v>
      </c>
      <c r="G1364" t="str">
        <f>"700065"</f>
        <v>700065</v>
      </c>
      <c r="H1364" t="str">
        <f>"אלתא מערכות בע""מ"</f>
        <v>אלתא מערכות בע"מ</v>
      </c>
      <c r="I1364" t="str">
        <f>"10"</f>
        <v>10</v>
      </c>
      <c r="J1364" t="str">
        <f>"OP-AR02041"</f>
        <v>OP-AR02041</v>
      </c>
      <c r="K1364" t="str">
        <f>"PDB1 1038C860-001"</f>
        <v>PDB1 1038C860-001</v>
      </c>
      <c r="L1364">
        <v>-1</v>
      </c>
      <c r="M1364" t="str">
        <f>"יח"</f>
        <v>יח</v>
      </c>
      <c r="N1364">
        <v>-1</v>
      </c>
      <c r="O1364" t="str">
        <f>"יח"</f>
        <v>יח</v>
      </c>
      <c r="P1364" s="2">
        <v>41000</v>
      </c>
      <c r="Q1364" t="str">
        <f>"$"</f>
        <v>$</v>
      </c>
      <c r="R1364" t="str">
        <f>"הזמנה"</f>
        <v>הזמנה</v>
      </c>
      <c r="S1364">
        <v>0</v>
      </c>
      <c r="T1364" s="2">
        <v>-41000</v>
      </c>
      <c r="U1364">
        <v>0</v>
      </c>
      <c r="V1364" s="2">
        <v>-41000</v>
      </c>
      <c r="W1364" t="str">
        <f>"$"</f>
        <v>$</v>
      </c>
      <c r="X1364">
        <v>0</v>
      </c>
      <c r="Y1364">
        <v>0</v>
      </c>
      <c r="Z1364">
        <v>0</v>
      </c>
      <c r="AA1364" t="str">
        <f>"Y"</f>
        <v>Y</v>
      </c>
      <c r="AC1364">
        <v>0</v>
      </c>
      <c r="AM1364" t="str">
        <f>"10"</f>
        <v>10</v>
      </c>
      <c r="AN1364" t="str">
        <f>"500000"</f>
        <v>500000</v>
      </c>
      <c r="AO1364" t="str">
        <f>"הכנסות  מלקוחות"</f>
        <v>הכנסות  מלקוחות</v>
      </c>
      <c r="AQ1364" t="str">
        <f>"007"</f>
        <v>007</v>
      </c>
      <c r="AR1364">
        <v>0</v>
      </c>
      <c r="AS1364">
        <v>0</v>
      </c>
      <c r="AT1364">
        <v>3.4359999999999999</v>
      </c>
      <c r="BB1364" t="str">
        <f>"Y"</f>
        <v>Y</v>
      </c>
      <c r="BD1364" t="str">
        <f>"רוני דידי"</f>
        <v>רוני דידי</v>
      </c>
    </row>
    <row r="1365" spans="1:56" x14ac:dyDescent="0.3">
      <c r="A1365" s="1">
        <v>44819</v>
      </c>
      <c r="B1365" t="str">
        <f>"SI226001117"</f>
        <v>SI226001117</v>
      </c>
      <c r="E1365" t="str">
        <f>"Y"</f>
        <v>Y</v>
      </c>
      <c r="F1365" t="str">
        <f>"חשבוניות מרכזות"</f>
        <v>חשבוניות מרכזות</v>
      </c>
      <c r="G1365" t="str">
        <f>"700065"</f>
        <v>700065</v>
      </c>
      <c r="H1365" t="str">
        <f>"אלתא מערכות בע""מ"</f>
        <v>אלתא מערכות בע"מ</v>
      </c>
      <c r="I1365" t="str">
        <f>"10"</f>
        <v>10</v>
      </c>
      <c r="J1365" t="str">
        <f>"OP-AR02041"</f>
        <v>OP-AR02041</v>
      </c>
      <c r="K1365" t="str">
        <f>"PDB1 1038C860-001"</f>
        <v>PDB1 1038C860-001</v>
      </c>
      <c r="L1365">
        <v>-1</v>
      </c>
      <c r="M1365" t="str">
        <f>"יח"</f>
        <v>יח</v>
      </c>
      <c r="N1365">
        <v>-1</v>
      </c>
      <c r="O1365" t="str">
        <f>"יח"</f>
        <v>יח</v>
      </c>
      <c r="P1365" s="2">
        <v>41000</v>
      </c>
      <c r="Q1365" t="str">
        <f>"$"</f>
        <v>$</v>
      </c>
      <c r="R1365" t="str">
        <f>"הזמנה"</f>
        <v>הזמנה</v>
      </c>
      <c r="S1365">
        <v>0</v>
      </c>
      <c r="T1365" s="2">
        <v>-41000</v>
      </c>
      <c r="U1365">
        <v>0</v>
      </c>
      <c r="V1365" s="2">
        <v>-41000</v>
      </c>
      <c r="W1365" t="str">
        <f>"$"</f>
        <v>$</v>
      </c>
      <c r="X1365">
        <v>0</v>
      </c>
      <c r="Y1365">
        <v>0</v>
      </c>
      <c r="Z1365">
        <v>0</v>
      </c>
      <c r="AA1365" t="str">
        <f>"Y"</f>
        <v>Y</v>
      </c>
      <c r="AC1365">
        <v>0</v>
      </c>
      <c r="AM1365" t="str">
        <f>"10"</f>
        <v>10</v>
      </c>
      <c r="AN1365" t="str">
        <f>"500000"</f>
        <v>500000</v>
      </c>
      <c r="AO1365" t="str">
        <f>"הכנסות  מלקוחות"</f>
        <v>הכנסות  מלקוחות</v>
      </c>
      <c r="AQ1365" t="str">
        <f>"007"</f>
        <v>007</v>
      </c>
      <c r="AR1365">
        <v>0</v>
      </c>
      <c r="AS1365">
        <v>0</v>
      </c>
      <c r="AT1365">
        <v>3.4359999999999999</v>
      </c>
      <c r="BB1365" t="str">
        <f>"Y"</f>
        <v>Y</v>
      </c>
      <c r="BD1365" t="str">
        <f>"רוני דידי"</f>
        <v>רוני דידי</v>
      </c>
    </row>
    <row r="1366" spans="1:56" x14ac:dyDescent="0.3">
      <c r="A1366" s="1">
        <v>44819</v>
      </c>
      <c r="B1366" t="str">
        <f>"SI226001061"</f>
        <v>SI226001061</v>
      </c>
      <c r="E1366" t="str">
        <f>"Y"</f>
        <v>Y</v>
      </c>
      <c r="F1366" t="str">
        <f>"חשבוניות מרכזות"</f>
        <v>חשבוניות מרכזות</v>
      </c>
      <c r="G1366" t="str">
        <f>"700065"</f>
        <v>700065</v>
      </c>
      <c r="H1366" t="str">
        <f>"אלתא מערכות בע""מ"</f>
        <v>אלתא מערכות בע"מ</v>
      </c>
      <c r="I1366" t="str">
        <f>"10"</f>
        <v>10</v>
      </c>
      <c r="J1366" t="str">
        <f>"OP-AR02041"</f>
        <v>OP-AR02041</v>
      </c>
      <c r="K1366" t="str">
        <f>"PDB1 1038C860-001"</f>
        <v>PDB1 1038C860-001</v>
      </c>
      <c r="L1366">
        <v>1</v>
      </c>
      <c r="M1366" t="str">
        <f>"יח"</f>
        <v>יח</v>
      </c>
      <c r="N1366">
        <v>1</v>
      </c>
      <c r="O1366" t="str">
        <f>"יח"</f>
        <v>יח</v>
      </c>
      <c r="P1366" s="2">
        <v>41000</v>
      </c>
      <c r="Q1366" t="str">
        <f>"$"</f>
        <v>$</v>
      </c>
      <c r="R1366" t="str">
        <f>"הזמנה"</f>
        <v>הזמנה</v>
      </c>
      <c r="S1366">
        <v>0</v>
      </c>
      <c r="T1366" s="2">
        <v>41000</v>
      </c>
      <c r="U1366">
        <v>0</v>
      </c>
      <c r="V1366" s="2">
        <v>41000</v>
      </c>
      <c r="W1366" t="str">
        <f>"$"</f>
        <v>$</v>
      </c>
      <c r="X1366">
        <v>0</v>
      </c>
      <c r="Y1366">
        <v>0</v>
      </c>
      <c r="Z1366">
        <v>0</v>
      </c>
      <c r="AA1366" t="str">
        <f>"Y"</f>
        <v>Y</v>
      </c>
      <c r="AC1366">
        <v>0</v>
      </c>
      <c r="AM1366" t="str">
        <f>"10"</f>
        <v>10</v>
      </c>
      <c r="AN1366" t="str">
        <f>"500000"</f>
        <v>500000</v>
      </c>
      <c r="AO1366" t="str">
        <f>"הכנסות  מלקוחות"</f>
        <v>הכנסות  מלקוחות</v>
      </c>
      <c r="AQ1366" t="str">
        <f>"007"</f>
        <v>007</v>
      </c>
      <c r="AR1366">
        <v>0</v>
      </c>
      <c r="AS1366">
        <v>0</v>
      </c>
      <c r="AT1366">
        <v>3.4359999999999999</v>
      </c>
      <c r="BB1366" t="str">
        <f>"Y"</f>
        <v>Y</v>
      </c>
      <c r="BD1366" t="str">
        <f>"רוני דידי"</f>
        <v>רוני דידי</v>
      </c>
    </row>
    <row r="1367" spans="1:56" x14ac:dyDescent="0.3">
      <c r="A1367" s="1">
        <v>44819</v>
      </c>
      <c r="B1367" t="str">
        <f>"SI226001060"</f>
        <v>SI226001060</v>
      </c>
      <c r="E1367" t="str">
        <f>"Y"</f>
        <v>Y</v>
      </c>
      <c r="F1367" t="str">
        <f>"חשבוניות מרכזות"</f>
        <v>חשבוניות מרכזות</v>
      </c>
      <c r="G1367" t="str">
        <f>"700065"</f>
        <v>700065</v>
      </c>
      <c r="H1367" t="str">
        <f>"אלתא מערכות בע""מ"</f>
        <v>אלתא מערכות בע"מ</v>
      </c>
      <c r="I1367" t="str">
        <f>"10"</f>
        <v>10</v>
      </c>
      <c r="J1367" t="str">
        <f>"OP-AR02041"</f>
        <v>OP-AR02041</v>
      </c>
      <c r="K1367" t="str">
        <f>"PDB1 1038C860-001"</f>
        <v>PDB1 1038C860-001</v>
      </c>
      <c r="L1367">
        <v>1</v>
      </c>
      <c r="M1367" t="str">
        <f>"יח"</f>
        <v>יח</v>
      </c>
      <c r="N1367">
        <v>1</v>
      </c>
      <c r="O1367" t="str">
        <f>"יח"</f>
        <v>יח</v>
      </c>
      <c r="P1367" s="2">
        <v>41000</v>
      </c>
      <c r="Q1367" t="str">
        <f>"$"</f>
        <v>$</v>
      </c>
      <c r="R1367" t="str">
        <f>"הזמנה"</f>
        <v>הזמנה</v>
      </c>
      <c r="S1367">
        <v>0</v>
      </c>
      <c r="T1367" s="2">
        <v>41000</v>
      </c>
      <c r="U1367">
        <v>0</v>
      </c>
      <c r="V1367" s="2">
        <v>41000</v>
      </c>
      <c r="W1367" t="str">
        <f>"$"</f>
        <v>$</v>
      </c>
      <c r="X1367">
        <v>0</v>
      </c>
      <c r="Y1367">
        <v>0</v>
      </c>
      <c r="Z1367">
        <v>0</v>
      </c>
      <c r="AA1367" t="str">
        <f>"Y"</f>
        <v>Y</v>
      </c>
      <c r="AC1367">
        <v>0</v>
      </c>
      <c r="AM1367" t="str">
        <f>"10"</f>
        <v>10</v>
      </c>
      <c r="AN1367" t="str">
        <f>"500000"</f>
        <v>500000</v>
      </c>
      <c r="AO1367" t="str">
        <f>"הכנסות  מלקוחות"</f>
        <v>הכנסות  מלקוחות</v>
      </c>
      <c r="AQ1367" t="str">
        <f>"007"</f>
        <v>007</v>
      </c>
      <c r="AR1367">
        <v>0</v>
      </c>
      <c r="AS1367">
        <v>0</v>
      </c>
      <c r="AT1367">
        <v>3.4359999999999999</v>
      </c>
      <c r="BB1367" t="str">
        <f>"Y"</f>
        <v>Y</v>
      </c>
      <c r="BD1367" t="str">
        <f>"רוני דידי"</f>
        <v>רוני דידי</v>
      </c>
    </row>
    <row r="1368" spans="1:56" x14ac:dyDescent="0.3">
      <c r="A1368" s="1">
        <v>44818</v>
      </c>
      <c r="B1368" t="str">
        <f>"SI226001059"</f>
        <v>SI226001059</v>
      </c>
      <c r="C1368" t="str">
        <f>"PR22000045"</f>
        <v>PR22000045</v>
      </c>
      <c r="D1368" t="str">
        <f>"PR22000045"</f>
        <v>PR22000045</v>
      </c>
      <c r="E1368" t="str">
        <f>"Y"</f>
        <v>Y</v>
      </c>
      <c r="F1368" t="str">
        <f>"חשבוניות מרכזות"</f>
        <v>חשבוניות מרכזות</v>
      </c>
      <c r="G1368" t="str">
        <f>"700065"</f>
        <v>700065</v>
      </c>
      <c r="H1368" t="str">
        <f>"אלתא מערכות בע""מ"</f>
        <v>אלתא מערכות בע"מ</v>
      </c>
      <c r="I1368" t="str">
        <f>"10"</f>
        <v>10</v>
      </c>
      <c r="J1368" t="str">
        <f>"OP-AR02919"</f>
        <v>OP-AR02919</v>
      </c>
      <c r="K1368" t="str">
        <f>"1031B153-001   HARNESS W0153 - CONTROL BOX TO CU RACK"</f>
        <v>1031B153-001   HARNESS W0153 - CONTROL BOX TO CU RACK</v>
      </c>
      <c r="L1368">
        <v>1</v>
      </c>
      <c r="M1368" t="str">
        <f>"יח"</f>
        <v>יח</v>
      </c>
      <c r="N1368">
        <v>1</v>
      </c>
      <c r="O1368" t="str">
        <f>"יח"</f>
        <v>יח</v>
      </c>
      <c r="P1368" s="2">
        <v>1606.56</v>
      </c>
      <c r="Q1368" t="str">
        <f>"$"</f>
        <v>$</v>
      </c>
      <c r="R1368" t="str">
        <f>"הזמנה"</f>
        <v>הזמנה</v>
      </c>
      <c r="S1368">
        <v>0</v>
      </c>
      <c r="T1368" s="2">
        <v>1606.56</v>
      </c>
      <c r="U1368">
        <v>0</v>
      </c>
      <c r="V1368" s="2">
        <v>1606.56</v>
      </c>
      <c r="W1368" t="str">
        <f>"$"</f>
        <v>$</v>
      </c>
      <c r="X1368">
        <v>0</v>
      </c>
      <c r="Y1368">
        <v>0</v>
      </c>
      <c r="Z1368">
        <v>0</v>
      </c>
      <c r="AA1368" t="str">
        <f>"Y"</f>
        <v>Y</v>
      </c>
      <c r="AB1368" t="str">
        <f>"SO22000033"</f>
        <v>SO22000033</v>
      </c>
      <c r="AC1368">
        <v>1</v>
      </c>
      <c r="AD1368" s="1">
        <v>44591</v>
      </c>
      <c r="AE1368" t="str">
        <f>"SH22000446"</f>
        <v>SH22000446</v>
      </c>
      <c r="AF1368" t="str">
        <f>"משלוחים ללקוח"</f>
        <v>משלוחים ללקוח</v>
      </c>
      <c r="AG1368" s="1">
        <v>44676</v>
      </c>
      <c r="AM1368" t="str">
        <f>"10"</f>
        <v>10</v>
      </c>
      <c r="AN1368" t="str">
        <f>"500000"</f>
        <v>500000</v>
      </c>
      <c r="AO1368" t="str">
        <f>"הכנסות  מלקוחות"</f>
        <v>הכנסות  מלקוחות</v>
      </c>
      <c r="AQ1368" t="str">
        <f>"040"</f>
        <v>040</v>
      </c>
      <c r="AR1368">
        <v>0</v>
      </c>
      <c r="AS1368">
        <v>0</v>
      </c>
      <c r="AT1368">
        <v>3.3540000000000001</v>
      </c>
      <c r="AX1368" t="str">
        <f>"E000355431"</f>
        <v>E000355431</v>
      </c>
      <c r="BD1368" t="str">
        <f>"רחמים זרוק"</f>
        <v>רחמים זרוק</v>
      </c>
    </row>
    <row r="1369" spans="1:56" x14ac:dyDescent="0.3">
      <c r="A1369" s="1">
        <v>44818</v>
      </c>
      <c r="B1369" t="str">
        <f>"SI226001059"</f>
        <v>SI226001059</v>
      </c>
      <c r="C1369" t="str">
        <f>"PR22000045"</f>
        <v>PR22000045</v>
      </c>
      <c r="D1369" t="str">
        <f>"PR22000045"</f>
        <v>PR22000045</v>
      </c>
      <c r="E1369" t="str">
        <f>"Y"</f>
        <v>Y</v>
      </c>
      <c r="F1369" t="str">
        <f>"חשבוניות מרכזות"</f>
        <v>חשבוניות מרכזות</v>
      </c>
      <c r="G1369" t="str">
        <f>"700065"</f>
        <v>700065</v>
      </c>
      <c r="H1369" t="str">
        <f>"אלתא מערכות בע""מ"</f>
        <v>אלתא מערכות בע"מ</v>
      </c>
      <c r="I1369" t="str">
        <f>"10"</f>
        <v>10</v>
      </c>
      <c r="J1369" t="str">
        <f>"OP-AR02920"</f>
        <v>OP-AR02920</v>
      </c>
      <c r="K1369" t="str">
        <f>"1031B155-001   HARNESS W0155 - EMERGENCY STOP BUTTONS"</f>
        <v>1031B155-001   HARNESS W0155 - EMERGENCY STOP BUTTONS</v>
      </c>
      <c r="L1369">
        <v>1</v>
      </c>
      <c r="M1369" t="str">
        <f>"יח"</f>
        <v>יח</v>
      </c>
      <c r="N1369">
        <v>1</v>
      </c>
      <c r="O1369" t="str">
        <f>"יח"</f>
        <v>יח</v>
      </c>
      <c r="P1369" s="2">
        <v>1315.62</v>
      </c>
      <c r="Q1369" t="str">
        <f>"$"</f>
        <v>$</v>
      </c>
      <c r="R1369" t="str">
        <f>"הזמנה"</f>
        <v>הזמנה</v>
      </c>
      <c r="S1369">
        <v>0</v>
      </c>
      <c r="T1369" s="2">
        <v>1315.62</v>
      </c>
      <c r="U1369">
        <v>0</v>
      </c>
      <c r="V1369" s="2">
        <v>1315.62</v>
      </c>
      <c r="W1369" t="str">
        <f>"$"</f>
        <v>$</v>
      </c>
      <c r="X1369">
        <v>0</v>
      </c>
      <c r="Y1369">
        <v>0</v>
      </c>
      <c r="Z1369">
        <v>0</v>
      </c>
      <c r="AA1369" t="str">
        <f>"Y"</f>
        <v>Y</v>
      </c>
      <c r="AB1369" t="str">
        <f>"SO22000033"</f>
        <v>SO22000033</v>
      </c>
      <c r="AC1369">
        <v>2</v>
      </c>
      <c r="AD1369" s="1">
        <v>44591</v>
      </c>
      <c r="AE1369" t="str">
        <f>"SH22000446"</f>
        <v>SH22000446</v>
      </c>
      <c r="AF1369" t="str">
        <f>"משלוחים ללקוח"</f>
        <v>משלוחים ללקוח</v>
      </c>
      <c r="AG1369" s="1">
        <v>44676</v>
      </c>
      <c r="AM1369" t="str">
        <f>"10"</f>
        <v>10</v>
      </c>
      <c r="AN1369" t="str">
        <f>"500000"</f>
        <v>500000</v>
      </c>
      <c r="AO1369" t="str">
        <f>"הכנסות  מלקוחות"</f>
        <v>הכנסות  מלקוחות</v>
      </c>
      <c r="AQ1369" t="str">
        <f>"040"</f>
        <v>040</v>
      </c>
      <c r="AR1369">
        <v>0</v>
      </c>
      <c r="AS1369">
        <v>0</v>
      </c>
      <c r="AT1369">
        <v>3.3540000000000001</v>
      </c>
      <c r="AX1369" t="str">
        <f>"E000355431"</f>
        <v>E000355431</v>
      </c>
      <c r="BD1369" t="str">
        <f>"רחמים זרוק"</f>
        <v>רחמים זרוק</v>
      </c>
    </row>
    <row r="1370" spans="1:56" x14ac:dyDescent="0.3">
      <c r="A1370" s="1">
        <v>44818</v>
      </c>
      <c r="B1370" t="str">
        <f>"SI226001059"</f>
        <v>SI226001059</v>
      </c>
      <c r="C1370" t="str">
        <f>"PR22000045"</f>
        <v>PR22000045</v>
      </c>
      <c r="D1370" t="str">
        <f>"PR22000045"</f>
        <v>PR22000045</v>
      </c>
      <c r="E1370" t="str">
        <f>"Y"</f>
        <v>Y</v>
      </c>
      <c r="F1370" t="str">
        <f>"חשבוניות מרכזות"</f>
        <v>חשבוניות מרכזות</v>
      </c>
      <c r="G1370" t="str">
        <f>"700065"</f>
        <v>700065</v>
      </c>
      <c r="H1370" t="str">
        <f>"אלתא מערכות בע""מ"</f>
        <v>אלתא מערכות בע"מ</v>
      </c>
      <c r="I1370" t="str">
        <f>"10"</f>
        <v>10</v>
      </c>
      <c r="J1370" t="str">
        <f>"OP-AR02921"</f>
        <v>OP-AR02921</v>
      </c>
      <c r="K1370" t="str">
        <f>"1031B159-001   HARNESS W0159 - CU RACK TO ACTUATORS"</f>
        <v>1031B159-001   HARNESS W0159 - CU RACK TO ACTUATORS</v>
      </c>
      <c r="L1370">
        <v>1</v>
      </c>
      <c r="M1370" t="str">
        <f>"יח"</f>
        <v>יח</v>
      </c>
      <c r="N1370">
        <v>1</v>
      </c>
      <c r="O1370" t="str">
        <f>"יח"</f>
        <v>יח</v>
      </c>
      <c r="P1370" s="2">
        <v>2551.71</v>
      </c>
      <c r="Q1370" t="str">
        <f>"$"</f>
        <v>$</v>
      </c>
      <c r="R1370" t="str">
        <f>"הזמנה"</f>
        <v>הזמנה</v>
      </c>
      <c r="S1370">
        <v>0</v>
      </c>
      <c r="T1370" s="2">
        <v>2551.71</v>
      </c>
      <c r="U1370">
        <v>0</v>
      </c>
      <c r="V1370" s="2">
        <v>2551.71</v>
      </c>
      <c r="W1370" t="str">
        <f>"$"</f>
        <v>$</v>
      </c>
      <c r="X1370">
        <v>0</v>
      </c>
      <c r="Y1370">
        <v>0</v>
      </c>
      <c r="Z1370">
        <v>0</v>
      </c>
      <c r="AA1370" t="str">
        <f>"Y"</f>
        <v>Y</v>
      </c>
      <c r="AB1370" t="str">
        <f>"SO22000033"</f>
        <v>SO22000033</v>
      </c>
      <c r="AC1370">
        <v>3</v>
      </c>
      <c r="AD1370" s="1">
        <v>44591</v>
      </c>
      <c r="AE1370" t="str">
        <f>"SH22000446"</f>
        <v>SH22000446</v>
      </c>
      <c r="AF1370" t="str">
        <f>"משלוחים ללקוח"</f>
        <v>משלוחים ללקוח</v>
      </c>
      <c r="AG1370" s="1">
        <v>44676</v>
      </c>
      <c r="AM1370" t="str">
        <f>"10"</f>
        <v>10</v>
      </c>
      <c r="AN1370" t="str">
        <f>"500000"</f>
        <v>500000</v>
      </c>
      <c r="AO1370" t="str">
        <f>"הכנסות  מלקוחות"</f>
        <v>הכנסות  מלקוחות</v>
      </c>
      <c r="AQ1370" t="str">
        <f>"040"</f>
        <v>040</v>
      </c>
      <c r="AR1370">
        <v>0</v>
      </c>
      <c r="AS1370">
        <v>0</v>
      </c>
      <c r="AT1370">
        <v>3.3540000000000001</v>
      </c>
      <c r="AX1370" t="str">
        <f>"E000355431"</f>
        <v>E000355431</v>
      </c>
      <c r="BD1370" t="str">
        <f>"רחמים זרוק"</f>
        <v>רחמים זרוק</v>
      </c>
    </row>
    <row r="1371" spans="1:56" x14ac:dyDescent="0.3">
      <c r="A1371" s="1">
        <v>44818</v>
      </c>
      <c r="B1371" t="str">
        <f>"SI226001059"</f>
        <v>SI226001059</v>
      </c>
      <c r="C1371" t="str">
        <f>"PR22000045"</f>
        <v>PR22000045</v>
      </c>
      <c r="D1371" t="str">
        <f>"PR22000045"</f>
        <v>PR22000045</v>
      </c>
      <c r="E1371" t="str">
        <f>"Y"</f>
        <v>Y</v>
      </c>
      <c r="F1371" t="str">
        <f>"חשבוניות מרכזות"</f>
        <v>חשבוניות מרכזות</v>
      </c>
      <c r="G1371" t="str">
        <f>"700065"</f>
        <v>700065</v>
      </c>
      <c r="H1371" t="str">
        <f>"אלתא מערכות בע""מ"</f>
        <v>אלתא מערכות בע"מ</v>
      </c>
      <c r="I1371" t="str">
        <f>"10"</f>
        <v>10</v>
      </c>
      <c r="J1371" t="str">
        <f>"OP-AR02922"</f>
        <v>OP-AR02922</v>
      </c>
      <c r="K1371" t="str">
        <f>"1031B161-001   HARNESS W0161 - PDB AC TO CLUSTER 2-3"</f>
        <v>1031B161-001   HARNESS W0161 - PDB AC TO CLUSTER 2-3</v>
      </c>
      <c r="L1371">
        <v>1</v>
      </c>
      <c r="M1371" t="str">
        <f>"יח"</f>
        <v>יח</v>
      </c>
      <c r="N1371">
        <v>1</v>
      </c>
      <c r="O1371" t="str">
        <f>"יח"</f>
        <v>יח</v>
      </c>
      <c r="P1371" s="2">
        <v>1083.8699999999999</v>
      </c>
      <c r="Q1371" t="str">
        <f>"$"</f>
        <v>$</v>
      </c>
      <c r="R1371" t="str">
        <f>"הזמנה"</f>
        <v>הזמנה</v>
      </c>
      <c r="S1371">
        <v>0</v>
      </c>
      <c r="T1371" s="2">
        <v>1083.8699999999999</v>
      </c>
      <c r="U1371">
        <v>0</v>
      </c>
      <c r="V1371" s="2">
        <v>1083.8699999999999</v>
      </c>
      <c r="W1371" t="str">
        <f>"$"</f>
        <v>$</v>
      </c>
      <c r="X1371">
        <v>0</v>
      </c>
      <c r="Y1371">
        <v>0</v>
      </c>
      <c r="Z1371">
        <v>0</v>
      </c>
      <c r="AA1371" t="str">
        <f>"Y"</f>
        <v>Y</v>
      </c>
      <c r="AB1371" t="str">
        <f>"SO22000033"</f>
        <v>SO22000033</v>
      </c>
      <c r="AC1371">
        <v>4</v>
      </c>
      <c r="AD1371" s="1">
        <v>44591</v>
      </c>
      <c r="AE1371" t="str">
        <f>"SH22000446"</f>
        <v>SH22000446</v>
      </c>
      <c r="AF1371" t="str">
        <f>"משלוחים ללקוח"</f>
        <v>משלוחים ללקוח</v>
      </c>
      <c r="AG1371" s="1">
        <v>44676</v>
      </c>
      <c r="AM1371" t="str">
        <f>"10"</f>
        <v>10</v>
      </c>
      <c r="AN1371" t="str">
        <f>"500000"</f>
        <v>500000</v>
      </c>
      <c r="AO1371" t="str">
        <f>"הכנסות  מלקוחות"</f>
        <v>הכנסות  מלקוחות</v>
      </c>
      <c r="AQ1371" t="str">
        <f>"040"</f>
        <v>040</v>
      </c>
      <c r="AR1371">
        <v>0</v>
      </c>
      <c r="AS1371">
        <v>0</v>
      </c>
      <c r="AT1371">
        <v>3.3540000000000001</v>
      </c>
      <c r="AX1371" t="str">
        <f>"E000355431"</f>
        <v>E000355431</v>
      </c>
      <c r="BD1371" t="str">
        <f>"רחמים זרוק"</f>
        <v>רחמים זרוק</v>
      </c>
    </row>
    <row r="1372" spans="1:56" x14ac:dyDescent="0.3">
      <c r="A1372" s="1">
        <v>44818</v>
      </c>
      <c r="B1372" t="str">
        <f>"SI226001059"</f>
        <v>SI226001059</v>
      </c>
      <c r="C1372" t="str">
        <f>"PR22000045"</f>
        <v>PR22000045</v>
      </c>
      <c r="D1372" t="str">
        <f>"PR22000045"</f>
        <v>PR22000045</v>
      </c>
      <c r="E1372" t="str">
        <f>"Y"</f>
        <v>Y</v>
      </c>
      <c r="F1372" t="str">
        <f>"חשבוניות מרכזות"</f>
        <v>חשבוניות מרכזות</v>
      </c>
      <c r="G1372" t="str">
        <f>"700065"</f>
        <v>700065</v>
      </c>
      <c r="H1372" t="str">
        <f>"אלתא מערכות בע""מ"</f>
        <v>אלתא מערכות בע"מ</v>
      </c>
      <c r="I1372" t="str">
        <f>"10"</f>
        <v>10</v>
      </c>
      <c r="J1372" t="str">
        <f>"OP-AR02923"</f>
        <v>OP-AR02923</v>
      </c>
      <c r="K1372" t="str">
        <f>"1031B163-001   HARNESS W0163 - CU RACK TO TWISTED CAPS"</f>
        <v>1031B163-001   HARNESS W0163 - CU RACK TO TWISTED CAPS</v>
      </c>
      <c r="L1372">
        <v>1</v>
      </c>
      <c r="M1372" t="str">
        <f>"יח"</f>
        <v>יח</v>
      </c>
      <c r="N1372">
        <v>1</v>
      </c>
      <c r="O1372" t="str">
        <f>"יח"</f>
        <v>יח</v>
      </c>
      <c r="P1372">
        <v>299.97000000000003</v>
      </c>
      <c r="Q1372" t="str">
        <f>"$"</f>
        <v>$</v>
      </c>
      <c r="R1372" t="str">
        <f>"הזמנה"</f>
        <v>הזמנה</v>
      </c>
      <c r="S1372">
        <v>0</v>
      </c>
      <c r="T1372">
        <v>299.97000000000003</v>
      </c>
      <c r="U1372">
        <v>0</v>
      </c>
      <c r="V1372">
        <v>299.97000000000003</v>
      </c>
      <c r="W1372" t="str">
        <f>"$"</f>
        <v>$</v>
      </c>
      <c r="X1372">
        <v>0</v>
      </c>
      <c r="Y1372">
        <v>0</v>
      </c>
      <c r="Z1372">
        <v>0</v>
      </c>
      <c r="AA1372" t="str">
        <f>"Y"</f>
        <v>Y</v>
      </c>
      <c r="AB1372" t="str">
        <f>"SO22000033"</f>
        <v>SO22000033</v>
      </c>
      <c r="AC1372">
        <v>5</v>
      </c>
      <c r="AD1372" s="1">
        <v>44591</v>
      </c>
      <c r="AE1372" t="str">
        <f>"SH22000446"</f>
        <v>SH22000446</v>
      </c>
      <c r="AF1372" t="str">
        <f>"משלוחים ללקוח"</f>
        <v>משלוחים ללקוח</v>
      </c>
      <c r="AG1372" s="1">
        <v>44676</v>
      </c>
      <c r="AM1372" t="str">
        <f>"10"</f>
        <v>10</v>
      </c>
      <c r="AN1372" t="str">
        <f>"500000"</f>
        <v>500000</v>
      </c>
      <c r="AO1372" t="str">
        <f>"הכנסות  מלקוחות"</f>
        <v>הכנסות  מלקוחות</v>
      </c>
      <c r="AQ1372" t="str">
        <f>"040"</f>
        <v>040</v>
      </c>
      <c r="AR1372">
        <v>0</v>
      </c>
      <c r="AS1372">
        <v>0</v>
      </c>
      <c r="AT1372">
        <v>3.3540000000000001</v>
      </c>
      <c r="AX1372" t="str">
        <f>"E000355431"</f>
        <v>E000355431</v>
      </c>
      <c r="BD1372" t="str">
        <f>"רחמים זרוק"</f>
        <v>רחמים זרוק</v>
      </c>
    </row>
    <row r="1373" spans="1:56" x14ac:dyDescent="0.3">
      <c r="A1373" s="1">
        <v>44818</v>
      </c>
      <c r="B1373" t="str">
        <f>"SI226001059"</f>
        <v>SI226001059</v>
      </c>
      <c r="C1373" t="str">
        <f>"PR22000045"</f>
        <v>PR22000045</v>
      </c>
      <c r="D1373" t="str">
        <f>"PR22000045"</f>
        <v>PR22000045</v>
      </c>
      <c r="E1373" t="str">
        <f>"Y"</f>
        <v>Y</v>
      </c>
      <c r="F1373" t="str">
        <f>"חשבוניות מרכזות"</f>
        <v>חשבוניות מרכזות</v>
      </c>
      <c r="G1373" t="str">
        <f>"700065"</f>
        <v>700065</v>
      </c>
      <c r="H1373" t="str">
        <f>"אלתא מערכות בע""מ"</f>
        <v>אלתא מערכות בע"מ</v>
      </c>
      <c r="I1373" t="str">
        <f>"10"</f>
        <v>10</v>
      </c>
      <c r="J1373" t="str">
        <f>"OP-AR02924"</f>
        <v>OP-AR02924</v>
      </c>
      <c r="K1373" t="str">
        <f>"1031B166-001   HARNESS W0166 - CU RACK DSC TO EL SWITCH"</f>
        <v>1031B166-001   HARNESS W0166 - CU RACK DSC TO EL SWITCH</v>
      </c>
      <c r="L1373">
        <v>1</v>
      </c>
      <c r="M1373" t="str">
        <f>"יח"</f>
        <v>יח</v>
      </c>
      <c r="N1373">
        <v>1</v>
      </c>
      <c r="O1373" t="str">
        <f>"יח"</f>
        <v>יח</v>
      </c>
      <c r="P1373">
        <v>890.86</v>
      </c>
      <c r="Q1373" t="str">
        <f>"$"</f>
        <v>$</v>
      </c>
      <c r="R1373" t="str">
        <f>"הזמנה"</f>
        <v>הזמנה</v>
      </c>
      <c r="S1373">
        <v>0</v>
      </c>
      <c r="T1373">
        <v>890.86</v>
      </c>
      <c r="U1373">
        <v>0</v>
      </c>
      <c r="V1373">
        <v>890.86</v>
      </c>
      <c r="W1373" t="str">
        <f>"$"</f>
        <v>$</v>
      </c>
      <c r="X1373">
        <v>0</v>
      </c>
      <c r="Y1373">
        <v>0</v>
      </c>
      <c r="Z1373">
        <v>0</v>
      </c>
      <c r="AA1373" t="str">
        <f>"Y"</f>
        <v>Y</v>
      </c>
      <c r="AB1373" t="str">
        <f>"SO22000033"</f>
        <v>SO22000033</v>
      </c>
      <c r="AC1373">
        <v>6</v>
      </c>
      <c r="AD1373" s="1">
        <v>44591</v>
      </c>
      <c r="AE1373" t="str">
        <f>"SH22000446"</f>
        <v>SH22000446</v>
      </c>
      <c r="AF1373" t="str">
        <f>"משלוחים ללקוח"</f>
        <v>משלוחים ללקוח</v>
      </c>
      <c r="AG1373" s="1">
        <v>44676</v>
      </c>
      <c r="AM1373" t="str">
        <f>"10"</f>
        <v>10</v>
      </c>
      <c r="AN1373" t="str">
        <f>"500000"</f>
        <v>500000</v>
      </c>
      <c r="AO1373" t="str">
        <f>"הכנסות  מלקוחות"</f>
        <v>הכנסות  מלקוחות</v>
      </c>
      <c r="AQ1373" t="str">
        <f>"040"</f>
        <v>040</v>
      </c>
      <c r="AR1373">
        <v>0</v>
      </c>
      <c r="AS1373">
        <v>0</v>
      </c>
      <c r="AT1373">
        <v>3.3540000000000001</v>
      </c>
      <c r="AX1373" t="str">
        <f>"E000355431"</f>
        <v>E000355431</v>
      </c>
      <c r="BD1373" t="str">
        <f>"רחמים זרוק"</f>
        <v>רחמים זרוק</v>
      </c>
    </row>
    <row r="1374" spans="1:56" x14ac:dyDescent="0.3">
      <c r="A1374" s="1">
        <v>44818</v>
      </c>
      <c r="B1374" t="str">
        <f>"SI226001058"</f>
        <v>SI226001058</v>
      </c>
      <c r="C1374" t="str">
        <f>"PR22000045"</f>
        <v>PR22000045</v>
      </c>
      <c r="E1374" t="str">
        <f>"Y"</f>
        <v>Y</v>
      </c>
      <c r="F1374" t="str">
        <f>"חשבוניות מרכזות"</f>
        <v>חשבוניות מרכזות</v>
      </c>
      <c r="G1374" t="str">
        <f>"700065"</f>
        <v>700065</v>
      </c>
      <c r="H1374" t="str">
        <f>"אלתא מערכות בע""מ"</f>
        <v>אלתא מערכות בע"מ</v>
      </c>
      <c r="I1374" t="str">
        <f>"10"</f>
        <v>10</v>
      </c>
      <c r="J1374" t="str">
        <f>"OP-AR02919"</f>
        <v>OP-AR02919</v>
      </c>
      <c r="K1374" t="str">
        <f>"1031B153-001   HARNESS W0153 - CONTROL BOX TO CU RACK"</f>
        <v>1031B153-001   HARNESS W0153 - CONTROL BOX TO CU RACK</v>
      </c>
      <c r="L1374">
        <v>-1</v>
      </c>
      <c r="M1374" t="str">
        <f>"יח"</f>
        <v>יח</v>
      </c>
      <c r="N1374">
        <v>-1</v>
      </c>
      <c r="O1374" t="str">
        <f>"יח"</f>
        <v>יח</v>
      </c>
      <c r="P1374" s="2">
        <v>1606.56</v>
      </c>
      <c r="Q1374" t="str">
        <f>"$"</f>
        <v>$</v>
      </c>
      <c r="R1374" t="str">
        <f>"הזמנה"</f>
        <v>הזמנה</v>
      </c>
      <c r="S1374">
        <v>0</v>
      </c>
      <c r="T1374" s="2">
        <v>-1606.56</v>
      </c>
      <c r="U1374">
        <v>0</v>
      </c>
      <c r="V1374" s="2">
        <v>-1606.56</v>
      </c>
      <c r="W1374" t="str">
        <f>"$"</f>
        <v>$</v>
      </c>
      <c r="X1374">
        <v>0</v>
      </c>
      <c r="Y1374">
        <v>0</v>
      </c>
      <c r="Z1374">
        <v>0</v>
      </c>
      <c r="AA1374" t="str">
        <f>"Y"</f>
        <v>Y</v>
      </c>
      <c r="AC1374">
        <v>0</v>
      </c>
      <c r="AM1374" t="str">
        <f>"10"</f>
        <v>10</v>
      </c>
      <c r="AN1374" t="str">
        <f>"500000"</f>
        <v>500000</v>
      </c>
      <c r="AO1374" t="str">
        <f>"הכנסות  מלקוחות"</f>
        <v>הכנסות  מלקוחות</v>
      </c>
      <c r="AQ1374" t="str">
        <f>"040"</f>
        <v>040</v>
      </c>
      <c r="AR1374">
        <v>0</v>
      </c>
      <c r="AS1374">
        <v>0</v>
      </c>
      <c r="AT1374">
        <v>3.3540000000000001</v>
      </c>
      <c r="BB1374" t="str">
        <f>"Y"</f>
        <v>Y</v>
      </c>
      <c r="BD1374" t="str">
        <f>"רחמים זרוק"</f>
        <v>רחמים זרוק</v>
      </c>
    </row>
    <row r="1375" spans="1:56" x14ac:dyDescent="0.3">
      <c r="A1375" s="1">
        <v>44818</v>
      </c>
      <c r="B1375" t="str">
        <f>"SI226001058"</f>
        <v>SI226001058</v>
      </c>
      <c r="C1375" t="str">
        <f>"PR22000045"</f>
        <v>PR22000045</v>
      </c>
      <c r="E1375" t="str">
        <f>"Y"</f>
        <v>Y</v>
      </c>
      <c r="F1375" t="str">
        <f>"חשבוניות מרכזות"</f>
        <v>חשבוניות מרכזות</v>
      </c>
      <c r="G1375" t="str">
        <f>"700065"</f>
        <v>700065</v>
      </c>
      <c r="H1375" t="str">
        <f>"אלתא מערכות בע""מ"</f>
        <v>אלתא מערכות בע"מ</v>
      </c>
      <c r="I1375" t="str">
        <f>"10"</f>
        <v>10</v>
      </c>
      <c r="J1375" t="str">
        <f>"OP-AR02920"</f>
        <v>OP-AR02920</v>
      </c>
      <c r="K1375" t="str">
        <f>"1031B155-001   HARNESS W0155 - EMERGENCY STOP BUTTONS"</f>
        <v>1031B155-001   HARNESS W0155 - EMERGENCY STOP BUTTONS</v>
      </c>
      <c r="L1375">
        <v>-1</v>
      </c>
      <c r="M1375" t="str">
        <f>"יח"</f>
        <v>יח</v>
      </c>
      <c r="N1375">
        <v>-1</v>
      </c>
      <c r="O1375" t="str">
        <f>"יח"</f>
        <v>יח</v>
      </c>
      <c r="P1375" s="2">
        <v>1315.62</v>
      </c>
      <c r="Q1375" t="str">
        <f>"$"</f>
        <v>$</v>
      </c>
      <c r="R1375" t="str">
        <f>"הזמנה"</f>
        <v>הזמנה</v>
      </c>
      <c r="S1375">
        <v>0</v>
      </c>
      <c r="T1375" s="2">
        <v>-1315.62</v>
      </c>
      <c r="U1375">
        <v>0</v>
      </c>
      <c r="V1375" s="2">
        <v>-1315.62</v>
      </c>
      <c r="W1375" t="str">
        <f>"$"</f>
        <v>$</v>
      </c>
      <c r="X1375">
        <v>0</v>
      </c>
      <c r="Y1375">
        <v>0</v>
      </c>
      <c r="Z1375">
        <v>0</v>
      </c>
      <c r="AA1375" t="str">
        <f>"Y"</f>
        <v>Y</v>
      </c>
      <c r="AC1375">
        <v>0</v>
      </c>
      <c r="AM1375" t="str">
        <f>"10"</f>
        <v>10</v>
      </c>
      <c r="AN1375" t="str">
        <f>"500000"</f>
        <v>500000</v>
      </c>
      <c r="AO1375" t="str">
        <f>"הכנסות  מלקוחות"</f>
        <v>הכנסות  מלקוחות</v>
      </c>
      <c r="AQ1375" t="str">
        <f>"040"</f>
        <v>040</v>
      </c>
      <c r="AR1375">
        <v>0</v>
      </c>
      <c r="AS1375">
        <v>0</v>
      </c>
      <c r="AT1375">
        <v>3.3540000000000001</v>
      </c>
      <c r="BB1375" t="str">
        <f>"Y"</f>
        <v>Y</v>
      </c>
      <c r="BD1375" t="str">
        <f>"רחמים זרוק"</f>
        <v>רחמים זרוק</v>
      </c>
    </row>
    <row r="1376" spans="1:56" x14ac:dyDescent="0.3">
      <c r="A1376" s="1">
        <v>44818</v>
      </c>
      <c r="B1376" t="str">
        <f>"SI226001058"</f>
        <v>SI226001058</v>
      </c>
      <c r="C1376" t="str">
        <f>"PR22000045"</f>
        <v>PR22000045</v>
      </c>
      <c r="E1376" t="str">
        <f>"Y"</f>
        <v>Y</v>
      </c>
      <c r="F1376" t="str">
        <f>"חשבוניות מרכזות"</f>
        <v>חשבוניות מרכזות</v>
      </c>
      <c r="G1376" t="str">
        <f>"700065"</f>
        <v>700065</v>
      </c>
      <c r="H1376" t="str">
        <f>"אלתא מערכות בע""מ"</f>
        <v>אלתא מערכות בע"מ</v>
      </c>
      <c r="I1376" t="str">
        <f>"10"</f>
        <v>10</v>
      </c>
      <c r="J1376" t="str">
        <f>"OP-AR02921"</f>
        <v>OP-AR02921</v>
      </c>
      <c r="K1376" t="str">
        <f>"1031B159-001   HARNESS W0159 - CU RACK TO ACTUATORS"</f>
        <v>1031B159-001   HARNESS W0159 - CU RACK TO ACTUATORS</v>
      </c>
      <c r="L1376">
        <v>-1</v>
      </c>
      <c r="M1376" t="str">
        <f>"יח"</f>
        <v>יח</v>
      </c>
      <c r="N1376">
        <v>-1</v>
      </c>
      <c r="O1376" t="str">
        <f>"יח"</f>
        <v>יח</v>
      </c>
      <c r="P1376" s="2">
        <v>2551.71</v>
      </c>
      <c r="Q1376" t="str">
        <f>"$"</f>
        <v>$</v>
      </c>
      <c r="R1376" t="str">
        <f>"הזמנה"</f>
        <v>הזמנה</v>
      </c>
      <c r="S1376">
        <v>0</v>
      </c>
      <c r="T1376" s="2">
        <v>-2551.71</v>
      </c>
      <c r="U1376">
        <v>0</v>
      </c>
      <c r="V1376" s="2">
        <v>-2551.71</v>
      </c>
      <c r="W1376" t="str">
        <f>"$"</f>
        <v>$</v>
      </c>
      <c r="X1376">
        <v>0</v>
      </c>
      <c r="Y1376">
        <v>0</v>
      </c>
      <c r="Z1376">
        <v>0</v>
      </c>
      <c r="AA1376" t="str">
        <f>"Y"</f>
        <v>Y</v>
      </c>
      <c r="AC1376">
        <v>0</v>
      </c>
      <c r="AM1376" t="str">
        <f>"10"</f>
        <v>10</v>
      </c>
      <c r="AN1376" t="str">
        <f>"500000"</f>
        <v>500000</v>
      </c>
      <c r="AO1376" t="str">
        <f>"הכנסות  מלקוחות"</f>
        <v>הכנסות  מלקוחות</v>
      </c>
      <c r="AQ1376" t="str">
        <f>"040"</f>
        <v>040</v>
      </c>
      <c r="AR1376">
        <v>0</v>
      </c>
      <c r="AS1376">
        <v>0</v>
      </c>
      <c r="AT1376">
        <v>3.3540000000000001</v>
      </c>
      <c r="BB1376" t="str">
        <f>"Y"</f>
        <v>Y</v>
      </c>
      <c r="BD1376" t="str">
        <f>"רחמים זרוק"</f>
        <v>רחמים זרוק</v>
      </c>
    </row>
    <row r="1377" spans="1:56" x14ac:dyDescent="0.3">
      <c r="A1377" s="1">
        <v>44818</v>
      </c>
      <c r="B1377" t="str">
        <f>"SI226001058"</f>
        <v>SI226001058</v>
      </c>
      <c r="C1377" t="str">
        <f>"PR22000045"</f>
        <v>PR22000045</v>
      </c>
      <c r="E1377" t="str">
        <f>"Y"</f>
        <v>Y</v>
      </c>
      <c r="F1377" t="str">
        <f>"חשבוניות מרכזות"</f>
        <v>חשבוניות מרכזות</v>
      </c>
      <c r="G1377" t="str">
        <f>"700065"</f>
        <v>700065</v>
      </c>
      <c r="H1377" t="str">
        <f>"אלתא מערכות בע""מ"</f>
        <v>אלתא מערכות בע"מ</v>
      </c>
      <c r="I1377" t="str">
        <f>"10"</f>
        <v>10</v>
      </c>
      <c r="J1377" t="str">
        <f>"OP-AR02922"</f>
        <v>OP-AR02922</v>
      </c>
      <c r="K1377" t="str">
        <f>"1031B161-001   HARNESS W0161 - PDB AC TO CLUSTER 2-3"</f>
        <v>1031B161-001   HARNESS W0161 - PDB AC TO CLUSTER 2-3</v>
      </c>
      <c r="L1377">
        <v>-1</v>
      </c>
      <c r="M1377" t="str">
        <f>"יח"</f>
        <v>יח</v>
      </c>
      <c r="N1377">
        <v>-1</v>
      </c>
      <c r="O1377" t="str">
        <f>"יח"</f>
        <v>יח</v>
      </c>
      <c r="P1377" s="2">
        <v>1083.8699999999999</v>
      </c>
      <c r="Q1377" t="str">
        <f>"$"</f>
        <v>$</v>
      </c>
      <c r="R1377" t="str">
        <f>"הזמנה"</f>
        <v>הזמנה</v>
      </c>
      <c r="S1377">
        <v>0</v>
      </c>
      <c r="T1377" s="2">
        <v>-1083.8699999999999</v>
      </c>
      <c r="U1377">
        <v>0</v>
      </c>
      <c r="V1377" s="2">
        <v>-1083.8699999999999</v>
      </c>
      <c r="W1377" t="str">
        <f>"$"</f>
        <v>$</v>
      </c>
      <c r="X1377">
        <v>0</v>
      </c>
      <c r="Y1377">
        <v>0</v>
      </c>
      <c r="Z1377">
        <v>0</v>
      </c>
      <c r="AA1377" t="str">
        <f>"Y"</f>
        <v>Y</v>
      </c>
      <c r="AC1377">
        <v>0</v>
      </c>
      <c r="AM1377" t="str">
        <f>"10"</f>
        <v>10</v>
      </c>
      <c r="AN1377" t="str">
        <f>"500000"</f>
        <v>500000</v>
      </c>
      <c r="AO1377" t="str">
        <f>"הכנסות  מלקוחות"</f>
        <v>הכנסות  מלקוחות</v>
      </c>
      <c r="AQ1377" t="str">
        <f>"040"</f>
        <v>040</v>
      </c>
      <c r="AR1377">
        <v>0</v>
      </c>
      <c r="AS1377">
        <v>0</v>
      </c>
      <c r="AT1377">
        <v>3.3540000000000001</v>
      </c>
      <c r="BB1377" t="str">
        <f>"Y"</f>
        <v>Y</v>
      </c>
      <c r="BD1377" t="str">
        <f>"רחמים זרוק"</f>
        <v>רחמים זרוק</v>
      </c>
    </row>
    <row r="1378" spans="1:56" x14ac:dyDescent="0.3">
      <c r="A1378" s="1">
        <v>44818</v>
      </c>
      <c r="B1378" t="str">
        <f>"SI226001058"</f>
        <v>SI226001058</v>
      </c>
      <c r="C1378" t="str">
        <f>"PR22000045"</f>
        <v>PR22000045</v>
      </c>
      <c r="E1378" t="str">
        <f>"Y"</f>
        <v>Y</v>
      </c>
      <c r="F1378" t="str">
        <f>"חשבוניות מרכזות"</f>
        <v>חשבוניות מרכזות</v>
      </c>
      <c r="G1378" t="str">
        <f>"700065"</f>
        <v>700065</v>
      </c>
      <c r="H1378" t="str">
        <f>"אלתא מערכות בע""מ"</f>
        <v>אלתא מערכות בע"מ</v>
      </c>
      <c r="I1378" t="str">
        <f>"10"</f>
        <v>10</v>
      </c>
      <c r="J1378" t="str">
        <f>"OP-AR02923"</f>
        <v>OP-AR02923</v>
      </c>
      <c r="K1378" t="str">
        <f>"1031B163-001   HARNESS W0163 - CU RACK TO TWISTED CAPS"</f>
        <v>1031B163-001   HARNESS W0163 - CU RACK TO TWISTED CAPS</v>
      </c>
      <c r="L1378">
        <v>-1</v>
      </c>
      <c r="M1378" t="str">
        <f>"יח"</f>
        <v>יח</v>
      </c>
      <c r="N1378">
        <v>-1</v>
      </c>
      <c r="O1378" t="str">
        <f>"יח"</f>
        <v>יח</v>
      </c>
      <c r="P1378">
        <v>299.97000000000003</v>
      </c>
      <c r="Q1378" t="str">
        <f>"$"</f>
        <v>$</v>
      </c>
      <c r="R1378" t="str">
        <f>"הזמנה"</f>
        <v>הזמנה</v>
      </c>
      <c r="S1378">
        <v>0</v>
      </c>
      <c r="T1378">
        <v>-299.97000000000003</v>
      </c>
      <c r="U1378">
        <v>0</v>
      </c>
      <c r="V1378">
        <v>-299.97000000000003</v>
      </c>
      <c r="W1378" t="str">
        <f>"$"</f>
        <v>$</v>
      </c>
      <c r="X1378">
        <v>0</v>
      </c>
      <c r="Y1378">
        <v>0</v>
      </c>
      <c r="Z1378">
        <v>0</v>
      </c>
      <c r="AA1378" t="str">
        <f>"Y"</f>
        <v>Y</v>
      </c>
      <c r="AC1378">
        <v>0</v>
      </c>
      <c r="AM1378" t="str">
        <f>"10"</f>
        <v>10</v>
      </c>
      <c r="AN1378" t="str">
        <f>"500000"</f>
        <v>500000</v>
      </c>
      <c r="AO1378" t="str">
        <f>"הכנסות  מלקוחות"</f>
        <v>הכנסות  מלקוחות</v>
      </c>
      <c r="AQ1378" t="str">
        <f>"040"</f>
        <v>040</v>
      </c>
      <c r="AR1378">
        <v>0</v>
      </c>
      <c r="AS1378">
        <v>0</v>
      </c>
      <c r="AT1378">
        <v>3.3540000000000001</v>
      </c>
      <c r="BB1378" t="str">
        <f>"Y"</f>
        <v>Y</v>
      </c>
      <c r="BD1378" t="str">
        <f>"רחמים זרוק"</f>
        <v>רחמים זרוק</v>
      </c>
    </row>
    <row r="1379" spans="1:56" x14ac:dyDescent="0.3">
      <c r="A1379" s="1">
        <v>44818</v>
      </c>
      <c r="B1379" t="str">
        <f>"SI226001058"</f>
        <v>SI226001058</v>
      </c>
      <c r="C1379" t="str">
        <f>"PR22000045"</f>
        <v>PR22000045</v>
      </c>
      <c r="E1379" t="str">
        <f>"Y"</f>
        <v>Y</v>
      </c>
      <c r="F1379" t="str">
        <f>"חשבוניות מרכזות"</f>
        <v>חשבוניות מרכזות</v>
      </c>
      <c r="G1379" t="str">
        <f>"700065"</f>
        <v>700065</v>
      </c>
      <c r="H1379" t="str">
        <f>"אלתא מערכות בע""מ"</f>
        <v>אלתא מערכות בע"מ</v>
      </c>
      <c r="I1379" t="str">
        <f>"10"</f>
        <v>10</v>
      </c>
      <c r="J1379" t="str">
        <f>"OP-AR02924"</f>
        <v>OP-AR02924</v>
      </c>
      <c r="K1379" t="str">
        <f>"1031B166-001   HARNESS W0166 - CU RACK DSC TO EL SWITCH"</f>
        <v>1031B166-001   HARNESS W0166 - CU RACK DSC TO EL SWITCH</v>
      </c>
      <c r="L1379">
        <v>-1</v>
      </c>
      <c r="M1379" t="str">
        <f>"יח"</f>
        <v>יח</v>
      </c>
      <c r="N1379">
        <v>-1</v>
      </c>
      <c r="O1379" t="str">
        <f>"יח"</f>
        <v>יח</v>
      </c>
      <c r="P1379">
        <v>890.86</v>
      </c>
      <c r="Q1379" t="str">
        <f>"$"</f>
        <v>$</v>
      </c>
      <c r="R1379" t="str">
        <f>"הזמנה"</f>
        <v>הזמנה</v>
      </c>
      <c r="S1379">
        <v>0</v>
      </c>
      <c r="T1379">
        <v>-890.86</v>
      </c>
      <c r="U1379">
        <v>0</v>
      </c>
      <c r="V1379">
        <v>-890.86</v>
      </c>
      <c r="W1379" t="str">
        <f>"$"</f>
        <v>$</v>
      </c>
      <c r="X1379">
        <v>0</v>
      </c>
      <c r="Y1379">
        <v>0</v>
      </c>
      <c r="Z1379">
        <v>0</v>
      </c>
      <c r="AA1379" t="str">
        <f>"Y"</f>
        <v>Y</v>
      </c>
      <c r="AC1379">
        <v>0</v>
      </c>
      <c r="AM1379" t="str">
        <f>"10"</f>
        <v>10</v>
      </c>
      <c r="AN1379" t="str">
        <f>"500000"</f>
        <v>500000</v>
      </c>
      <c r="AO1379" t="str">
        <f>"הכנסות  מלקוחות"</f>
        <v>הכנסות  מלקוחות</v>
      </c>
      <c r="AQ1379" t="str">
        <f>"040"</f>
        <v>040</v>
      </c>
      <c r="AR1379">
        <v>0</v>
      </c>
      <c r="AS1379">
        <v>0</v>
      </c>
      <c r="AT1379">
        <v>3.3540000000000001</v>
      </c>
      <c r="BB1379" t="str">
        <f>"Y"</f>
        <v>Y</v>
      </c>
      <c r="BD1379" t="str">
        <f>"רחמים זרוק"</f>
        <v>רחמים זרוק</v>
      </c>
    </row>
    <row r="1380" spans="1:56" x14ac:dyDescent="0.3">
      <c r="A1380" s="1">
        <v>44818</v>
      </c>
      <c r="B1380" t="str">
        <f>"SI226001057"</f>
        <v>SI226001057</v>
      </c>
      <c r="C1380" t="str">
        <f>"PR22000045"</f>
        <v>PR22000045</v>
      </c>
      <c r="E1380" t="str">
        <f>"Y"</f>
        <v>Y</v>
      </c>
      <c r="F1380" t="str">
        <f>"חשבוניות מרכזות"</f>
        <v>חשבוניות מרכזות</v>
      </c>
      <c r="G1380" t="str">
        <f>"700065"</f>
        <v>700065</v>
      </c>
      <c r="H1380" t="str">
        <f>"אלתא מערכות בע""מ"</f>
        <v>אלתא מערכות בע"מ</v>
      </c>
      <c r="I1380" t="str">
        <f>"10"</f>
        <v>10</v>
      </c>
      <c r="J1380" t="str">
        <f>"OP-AR02919"</f>
        <v>OP-AR02919</v>
      </c>
      <c r="K1380" t="str">
        <f>"1031B153-001   HARNESS W0153 - CONTROL BOX TO CU RACK"</f>
        <v>1031B153-001   HARNESS W0153 - CONTROL BOX TO CU RACK</v>
      </c>
      <c r="L1380">
        <v>1</v>
      </c>
      <c r="M1380" t="str">
        <f>"יח"</f>
        <v>יח</v>
      </c>
      <c r="N1380">
        <v>1</v>
      </c>
      <c r="O1380" t="str">
        <f>"יח"</f>
        <v>יח</v>
      </c>
      <c r="P1380" s="2">
        <v>1606.56</v>
      </c>
      <c r="Q1380" t="str">
        <f>"$"</f>
        <v>$</v>
      </c>
      <c r="R1380" t="str">
        <f>"הזמנה"</f>
        <v>הזמנה</v>
      </c>
      <c r="S1380">
        <v>0</v>
      </c>
      <c r="T1380" s="2">
        <v>1606.56</v>
      </c>
      <c r="U1380">
        <v>0</v>
      </c>
      <c r="V1380" s="2">
        <v>1606.56</v>
      </c>
      <c r="W1380" t="str">
        <f>"$"</f>
        <v>$</v>
      </c>
      <c r="X1380">
        <v>0</v>
      </c>
      <c r="Y1380">
        <v>0</v>
      </c>
      <c r="Z1380">
        <v>0</v>
      </c>
      <c r="AA1380" t="str">
        <f>"Y"</f>
        <v>Y</v>
      </c>
      <c r="AC1380">
        <v>0</v>
      </c>
      <c r="AM1380" t="str">
        <f>"10"</f>
        <v>10</v>
      </c>
      <c r="AN1380" t="str">
        <f>"500000"</f>
        <v>500000</v>
      </c>
      <c r="AO1380" t="str">
        <f>"הכנסות  מלקוחות"</f>
        <v>הכנסות  מלקוחות</v>
      </c>
      <c r="AQ1380" t="str">
        <f>"040"</f>
        <v>040</v>
      </c>
      <c r="AR1380">
        <v>0</v>
      </c>
      <c r="AS1380">
        <v>0</v>
      </c>
      <c r="AT1380">
        <v>3.3540000000000001</v>
      </c>
      <c r="BB1380" t="str">
        <f>"Y"</f>
        <v>Y</v>
      </c>
      <c r="BD1380" t="str">
        <f>"רחמים זרוק"</f>
        <v>רחמים זרוק</v>
      </c>
    </row>
    <row r="1381" spans="1:56" x14ac:dyDescent="0.3">
      <c r="A1381" s="1">
        <v>44818</v>
      </c>
      <c r="B1381" t="str">
        <f>"SI226001057"</f>
        <v>SI226001057</v>
      </c>
      <c r="C1381" t="str">
        <f>"PR22000045"</f>
        <v>PR22000045</v>
      </c>
      <c r="E1381" t="str">
        <f>"Y"</f>
        <v>Y</v>
      </c>
      <c r="F1381" t="str">
        <f>"חשבוניות מרכזות"</f>
        <v>חשבוניות מרכזות</v>
      </c>
      <c r="G1381" t="str">
        <f>"700065"</f>
        <v>700065</v>
      </c>
      <c r="H1381" t="str">
        <f>"אלתא מערכות בע""מ"</f>
        <v>אלתא מערכות בע"מ</v>
      </c>
      <c r="I1381" t="str">
        <f>"10"</f>
        <v>10</v>
      </c>
      <c r="J1381" t="str">
        <f>"OP-AR02920"</f>
        <v>OP-AR02920</v>
      </c>
      <c r="K1381" t="str">
        <f>"1031B155-001   HARNESS W0155 - EMERGENCY STOP BUTTONS"</f>
        <v>1031B155-001   HARNESS W0155 - EMERGENCY STOP BUTTONS</v>
      </c>
      <c r="L1381">
        <v>1</v>
      </c>
      <c r="M1381" t="str">
        <f>"יח"</f>
        <v>יח</v>
      </c>
      <c r="N1381">
        <v>1</v>
      </c>
      <c r="O1381" t="str">
        <f>"יח"</f>
        <v>יח</v>
      </c>
      <c r="P1381" s="2">
        <v>1315.62</v>
      </c>
      <c r="Q1381" t="str">
        <f>"$"</f>
        <v>$</v>
      </c>
      <c r="R1381" t="str">
        <f>"הזמנה"</f>
        <v>הזמנה</v>
      </c>
      <c r="S1381">
        <v>0</v>
      </c>
      <c r="T1381" s="2">
        <v>1315.62</v>
      </c>
      <c r="U1381">
        <v>0</v>
      </c>
      <c r="V1381" s="2">
        <v>1315.62</v>
      </c>
      <c r="W1381" t="str">
        <f>"$"</f>
        <v>$</v>
      </c>
      <c r="X1381">
        <v>0</v>
      </c>
      <c r="Y1381">
        <v>0</v>
      </c>
      <c r="Z1381">
        <v>0</v>
      </c>
      <c r="AA1381" t="str">
        <f>"Y"</f>
        <v>Y</v>
      </c>
      <c r="AC1381">
        <v>0</v>
      </c>
      <c r="AM1381" t="str">
        <f>"10"</f>
        <v>10</v>
      </c>
      <c r="AN1381" t="str">
        <f>"500000"</f>
        <v>500000</v>
      </c>
      <c r="AO1381" t="str">
        <f>"הכנסות  מלקוחות"</f>
        <v>הכנסות  מלקוחות</v>
      </c>
      <c r="AQ1381" t="str">
        <f>"040"</f>
        <v>040</v>
      </c>
      <c r="AR1381">
        <v>0</v>
      </c>
      <c r="AS1381">
        <v>0</v>
      </c>
      <c r="AT1381">
        <v>3.3540000000000001</v>
      </c>
      <c r="BB1381" t="str">
        <f>"Y"</f>
        <v>Y</v>
      </c>
      <c r="BD1381" t="str">
        <f>"רחמים זרוק"</f>
        <v>רחמים זרוק</v>
      </c>
    </row>
    <row r="1382" spans="1:56" x14ac:dyDescent="0.3">
      <c r="A1382" s="1">
        <v>44818</v>
      </c>
      <c r="B1382" t="str">
        <f>"SI226001057"</f>
        <v>SI226001057</v>
      </c>
      <c r="C1382" t="str">
        <f>"PR22000045"</f>
        <v>PR22000045</v>
      </c>
      <c r="E1382" t="str">
        <f>"Y"</f>
        <v>Y</v>
      </c>
      <c r="F1382" t="str">
        <f>"חשבוניות מרכזות"</f>
        <v>חשבוניות מרכזות</v>
      </c>
      <c r="G1382" t="str">
        <f>"700065"</f>
        <v>700065</v>
      </c>
      <c r="H1382" t="str">
        <f>"אלתא מערכות בע""מ"</f>
        <v>אלתא מערכות בע"מ</v>
      </c>
      <c r="I1382" t="str">
        <f>"10"</f>
        <v>10</v>
      </c>
      <c r="J1382" t="str">
        <f>"OP-AR02921"</f>
        <v>OP-AR02921</v>
      </c>
      <c r="K1382" t="str">
        <f>"1031B159-001   HARNESS W0159 - CU RACK TO ACTUATORS"</f>
        <v>1031B159-001   HARNESS W0159 - CU RACK TO ACTUATORS</v>
      </c>
      <c r="L1382">
        <v>1</v>
      </c>
      <c r="M1382" t="str">
        <f>"יח"</f>
        <v>יח</v>
      </c>
      <c r="N1382">
        <v>1</v>
      </c>
      <c r="O1382" t="str">
        <f>"יח"</f>
        <v>יח</v>
      </c>
      <c r="P1382" s="2">
        <v>2551.71</v>
      </c>
      <c r="Q1382" t="str">
        <f>"$"</f>
        <v>$</v>
      </c>
      <c r="R1382" t="str">
        <f>"הזמנה"</f>
        <v>הזמנה</v>
      </c>
      <c r="S1382">
        <v>0</v>
      </c>
      <c r="T1382" s="2">
        <v>2551.71</v>
      </c>
      <c r="U1382">
        <v>0</v>
      </c>
      <c r="V1382" s="2">
        <v>2551.71</v>
      </c>
      <c r="W1382" t="str">
        <f>"$"</f>
        <v>$</v>
      </c>
      <c r="X1382">
        <v>0</v>
      </c>
      <c r="Y1382">
        <v>0</v>
      </c>
      <c r="Z1382">
        <v>0</v>
      </c>
      <c r="AA1382" t="str">
        <f>"Y"</f>
        <v>Y</v>
      </c>
      <c r="AC1382">
        <v>0</v>
      </c>
      <c r="AM1382" t="str">
        <f>"10"</f>
        <v>10</v>
      </c>
      <c r="AN1382" t="str">
        <f>"500000"</f>
        <v>500000</v>
      </c>
      <c r="AO1382" t="str">
        <f>"הכנסות  מלקוחות"</f>
        <v>הכנסות  מלקוחות</v>
      </c>
      <c r="AQ1382" t="str">
        <f>"040"</f>
        <v>040</v>
      </c>
      <c r="AR1382">
        <v>0</v>
      </c>
      <c r="AS1382">
        <v>0</v>
      </c>
      <c r="AT1382">
        <v>3.3540000000000001</v>
      </c>
      <c r="BB1382" t="str">
        <f>"Y"</f>
        <v>Y</v>
      </c>
      <c r="BD1382" t="str">
        <f>"רחמים זרוק"</f>
        <v>רחמים זרוק</v>
      </c>
    </row>
    <row r="1383" spans="1:56" x14ac:dyDescent="0.3">
      <c r="A1383" s="1">
        <v>44818</v>
      </c>
      <c r="B1383" t="str">
        <f>"SI226001057"</f>
        <v>SI226001057</v>
      </c>
      <c r="C1383" t="str">
        <f>"PR22000045"</f>
        <v>PR22000045</v>
      </c>
      <c r="E1383" t="str">
        <f>"Y"</f>
        <v>Y</v>
      </c>
      <c r="F1383" t="str">
        <f>"חשבוניות מרכזות"</f>
        <v>חשבוניות מרכזות</v>
      </c>
      <c r="G1383" t="str">
        <f>"700065"</f>
        <v>700065</v>
      </c>
      <c r="H1383" t="str">
        <f>"אלתא מערכות בע""מ"</f>
        <v>אלתא מערכות בע"מ</v>
      </c>
      <c r="I1383" t="str">
        <f>"10"</f>
        <v>10</v>
      </c>
      <c r="J1383" t="str">
        <f>"OP-AR02922"</f>
        <v>OP-AR02922</v>
      </c>
      <c r="K1383" t="str">
        <f>"1031B161-001   HARNESS W0161 - PDB AC TO CLUSTER 2-3"</f>
        <v>1031B161-001   HARNESS W0161 - PDB AC TO CLUSTER 2-3</v>
      </c>
      <c r="L1383">
        <v>1</v>
      </c>
      <c r="M1383" t="str">
        <f>"יח"</f>
        <v>יח</v>
      </c>
      <c r="N1383">
        <v>1</v>
      </c>
      <c r="O1383" t="str">
        <f>"יח"</f>
        <v>יח</v>
      </c>
      <c r="P1383" s="2">
        <v>1083.8699999999999</v>
      </c>
      <c r="Q1383" t="str">
        <f>"$"</f>
        <v>$</v>
      </c>
      <c r="R1383" t="str">
        <f>"הזמנה"</f>
        <v>הזמנה</v>
      </c>
      <c r="S1383">
        <v>0</v>
      </c>
      <c r="T1383" s="2">
        <v>1083.8699999999999</v>
      </c>
      <c r="U1383">
        <v>0</v>
      </c>
      <c r="V1383" s="2">
        <v>1083.8699999999999</v>
      </c>
      <c r="W1383" t="str">
        <f>"$"</f>
        <v>$</v>
      </c>
      <c r="X1383">
        <v>0</v>
      </c>
      <c r="Y1383">
        <v>0</v>
      </c>
      <c r="Z1383">
        <v>0</v>
      </c>
      <c r="AA1383" t="str">
        <f>"Y"</f>
        <v>Y</v>
      </c>
      <c r="AC1383">
        <v>0</v>
      </c>
      <c r="AM1383" t="str">
        <f>"10"</f>
        <v>10</v>
      </c>
      <c r="AN1383" t="str">
        <f>"500000"</f>
        <v>500000</v>
      </c>
      <c r="AO1383" t="str">
        <f>"הכנסות  מלקוחות"</f>
        <v>הכנסות  מלקוחות</v>
      </c>
      <c r="AQ1383" t="str">
        <f>"040"</f>
        <v>040</v>
      </c>
      <c r="AR1383">
        <v>0</v>
      </c>
      <c r="AS1383">
        <v>0</v>
      </c>
      <c r="AT1383">
        <v>3.3540000000000001</v>
      </c>
      <c r="BB1383" t="str">
        <f>"Y"</f>
        <v>Y</v>
      </c>
      <c r="BD1383" t="str">
        <f>"רחמים זרוק"</f>
        <v>רחמים זרוק</v>
      </c>
    </row>
    <row r="1384" spans="1:56" x14ac:dyDescent="0.3">
      <c r="A1384" s="1">
        <v>44818</v>
      </c>
      <c r="B1384" t="str">
        <f>"SI226001057"</f>
        <v>SI226001057</v>
      </c>
      <c r="C1384" t="str">
        <f>"PR22000045"</f>
        <v>PR22000045</v>
      </c>
      <c r="E1384" t="str">
        <f>"Y"</f>
        <v>Y</v>
      </c>
      <c r="F1384" t="str">
        <f>"חשבוניות מרכזות"</f>
        <v>חשבוניות מרכזות</v>
      </c>
      <c r="G1384" t="str">
        <f>"700065"</f>
        <v>700065</v>
      </c>
      <c r="H1384" t="str">
        <f>"אלתא מערכות בע""מ"</f>
        <v>אלתא מערכות בע"מ</v>
      </c>
      <c r="I1384" t="str">
        <f>"10"</f>
        <v>10</v>
      </c>
      <c r="J1384" t="str">
        <f>"OP-AR02923"</f>
        <v>OP-AR02923</v>
      </c>
      <c r="K1384" t="str">
        <f>"1031B163-001   HARNESS W0163 - CU RACK TO TWISTED CAPS"</f>
        <v>1031B163-001   HARNESS W0163 - CU RACK TO TWISTED CAPS</v>
      </c>
      <c r="L1384">
        <v>1</v>
      </c>
      <c r="M1384" t="str">
        <f>"יח"</f>
        <v>יח</v>
      </c>
      <c r="N1384">
        <v>1</v>
      </c>
      <c r="O1384" t="str">
        <f>"יח"</f>
        <v>יח</v>
      </c>
      <c r="P1384">
        <v>299.97000000000003</v>
      </c>
      <c r="Q1384" t="str">
        <f>"$"</f>
        <v>$</v>
      </c>
      <c r="R1384" t="str">
        <f>"הזמנה"</f>
        <v>הזמנה</v>
      </c>
      <c r="S1384">
        <v>0</v>
      </c>
      <c r="T1384">
        <v>299.97000000000003</v>
      </c>
      <c r="U1384">
        <v>0</v>
      </c>
      <c r="V1384">
        <v>299.97000000000003</v>
      </c>
      <c r="W1384" t="str">
        <f>"$"</f>
        <v>$</v>
      </c>
      <c r="X1384">
        <v>0</v>
      </c>
      <c r="Y1384">
        <v>0</v>
      </c>
      <c r="Z1384">
        <v>0</v>
      </c>
      <c r="AA1384" t="str">
        <f>"Y"</f>
        <v>Y</v>
      </c>
      <c r="AC1384">
        <v>0</v>
      </c>
      <c r="AM1384" t="str">
        <f>"10"</f>
        <v>10</v>
      </c>
      <c r="AN1384" t="str">
        <f>"500000"</f>
        <v>500000</v>
      </c>
      <c r="AO1384" t="str">
        <f>"הכנסות  מלקוחות"</f>
        <v>הכנסות  מלקוחות</v>
      </c>
      <c r="AQ1384" t="str">
        <f>"040"</f>
        <v>040</v>
      </c>
      <c r="AR1384">
        <v>0</v>
      </c>
      <c r="AS1384">
        <v>0</v>
      </c>
      <c r="AT1384">
        <v>3.3540000000000001</v>
      </c>
      <c r="BB1384" t="str">
        <f>"Y"</f>
        <v>Y</v>
      </c>
      <c r="BD1384" t="str">
        <f>"רחמים זרוק"</f>
        <v>רחמים זרוק</v>
      </c>
    </row>
    <row r="1385" spans="1:56" x14ac:dyDescent="0.3">
      <c r="A1385" s="1">
        <v>44818</v>
      </c>
      <c r="B1385" t="str">
        <f>"SI226001057"</f>
        <v>SI226001057</v>
      </c>
      <c r="C1385" t="str">
        <f>"PR22000045"</f>
        <v>PR22000045</v>
      </c>
      <c r="E1385" t="str">
        <f>"Y"</f>
        <v>Y</v>
      </c>
      <c r="F1385" t="str">
        <f>"חשבוניות מרכזות"</f>
        <v>חשבוניות מרכזות</v>
      </c>
      <c r="G1385" t="str">
        <f>"700065"</f>
        <v>700065</v>
      </c>
      <c r="H1385" t="str">
        <f>"אלתא מערכות בע""מ"</f>
        <v>אלתא מערכות בע"מ</v>
      </c>
      <c r="I1385" t="str">
        <f>"10"</f>
        <v>10</v>
      </c>
      <c r="J1385" t="str">
        <f>"OP-AR02924"</f>
        <v>OP-AR02924</v>
      </c>
      <c r="K1385" t="str">
        <f>"1031B166-001   HARNESS W0166 - CU RACK DSC TO EL SWITCH"</f>
        <v>1031B166-001   HARNESS W0166 - CU RACK DSC TO EL SWITCH</v>
      </c>
      <c r="L1385">
        <v>1</v>
      </c>
      <c r="M1385" t="str">
        <f>"יח"</f>
        <v>יח</v>
      </c>
      <c r="N1385">
        <v>1</v>
      </c>
      <c r="O1385" t="str">
        <f>"יח"</f>
        <v>יח</v>
      </c>
      <c r="P1385">
        <v>890.86</v>
      </c>
      <c r="Q1385" t="str">
        <f>"$"</f>
        <v>$</v>
      </c>
      <c r="R1385" t="str">
        <f>"הזמנה"</f>
        <v>הזמנה</v>
      </c>
      <c r="S1385">
        <v>0</v>
      </c>
      <c r="T1385">
        <v>890.86</v>
      </c>
      <c r="U1385">
        <v>0</v>
      </c>
      <c r="V1385">
        <v>890.86</v>
      </c>
      <c r="W1385" t="str">
        <f>"$"</f>
        <v>$</v>
      </c>
      <c r="X1385">
        <v>0</v>
      </c>
      <c r="Y1385">
        <v>0</v>
      </c>
      <c r="Z1385">
        <v>0</v>
      </c>
      <c r="AA1385" t="str">
        <f>"Y"</f>
        <v>Y</v>
      </c>
      <c r="AC1385">
        <v>0</v>
      </c>
      <c r="AM1385" t="str">
        <f>"10"</f>
        <v>10</v>
      </c>
      <c r="AN1385" t="str">
        <f>"500000"</f>
        <v>500000</v>
      </c>
      <c r="AO1385" t="str">
        <f>"הכנסות  מלקוחות"</f>
        <v>הכנסות  מלקוחות</v>
      </c>
      <c r="AQ1385" t="str">
        <f>"040"</f>
        <v>040</v>
      </c>
      <c r="AR1385">
        <v>0</v>
      </c>
      <c r="AS1385">
        <v>0</v>
      </c>
      <c r="AT1385">
        <v>3.3540000000000001</v>
      </c>
      <c r="BB1385" t="str">
        <f>"Y"</f>
        <v>Y</v>
      </c>
      <c r="BD1385" t="str">
        <f>"רחמים זרוק"</f>
        <v>רחמים זרוק</v>
      </c>
    </row>
    <row r="1386" spans="1:56" x14ac:dyDescent="0.3">
      <c r="A1386" s="1">
        <v>44816</v>
      </c>
      <c r="B1386" t="str">
        <f>"SI226001049"</f>
        <v>SI226001049</v>
      </c>
      <c r="E1386" t="str">
        <f>"Y"</f>
        <v>Y</v>
      </c>
      <c r="F1386" t="str">
        <f>"חשבוניות מרכזות"</f>
        <v>חשבוניות מרכזות</v>
      </c>
      <c r="G1386" t="str">
        <f>"700065"</f>
        <v>700065</v>
      </c>
      <c r="H1386" t="str">
        <f>"אלתא מערכות בע""מ"</f>
        <v>אלתא מערכות בע"מ</v>
      </c>
      <c r="I1386" t="str">
        <f>"10"</f>
        <v>10</v>
      </c>
      <c r="J1386" t="str">
        <f>"PD0346066"</f>
        <v>PD0346066</v>
      </c>
      <c r="K1386" t="str">
        <f>"בקר החלפה אמדר AM530DN"</f>
        <v>בקר החלפה אמדר AM530DN</v>
      </c>
      <c r="L1386">
        <v>1</v>
      </c>
      <c r="M1386" t="str">
        <f>"יח"</f>
        <v>יח</v>
      </c>
      <c r="N1386">
        <v>1</v>
      </c>
      <c r="O1386" t="str">
        <f>"יח"</f>
        <v>יח</v>
      </c>
      <c r="P1386" s="2">
        <v>3825</v>
      </c>
      <c r="Q1386" t="str">
        <f>"$"</f>
        <v>$</v>
      </c>
      <c r="R1386" t="str">
        <f>"הזמנה"</f>
        <v>הזמנה</v>
      </c>
      <c r="S1386">
        <v>0</v>
      </c>
      <c r="T1386" s="2">
        <v>3825</v>
      </c>
      <c r="U1386">
        <v>0</v>
      </c>
      <c r="V1386" s="2">
        <v>3825</v>
      </c>
      <c r="W1386" t="str">
        <f>"$"</f>
        <v>$</v>
      </c>
      <c r="X1386">
        <v>0</v>
      </c>
      <c r="Y1386">
        <v>0</v>
      </c>
      <c r="Z1386">
        <v>0</v>
      </c>
      <c r="AA1386" t="str">
        <f>"Y"</f>
        <v>Y</v>
      </c>
      <c r="AB1386" t="str">
        <f>"SO22000361"</f>
        <v>SO22000361</v>
      </c>
      <c r="AC1386">
        <v>1</v>
      </c>
      <c r="AD1386" s="1">
        <v>44816</v>
      </c>
      <c r="AM1386" t="str">
        <f>"10"</f>
        <v>10</v>
      </c>
      <c r="AN1386" t="str">
        <f>"500000"</f>
        <v>500000</v>
      </c>
      <c r="AO1386" t="str">
        <f>"הכנסות  מלקוחות"</f>
        <v>הכנסות  מלקוחות</v>
      </c>
      <c r="AQ1386" t="str">
        <f>"007"</f>
        <v>007</v>
      </c>
      <c r="AR1386">
        <v>0</v>
      </c>
      <c r="AS1386">
        <v>0</v>
      </c>
      <c r="AT1386">
        <v>3.4169999999999998</v>
      </c>
      <c r="AX1386" t="str">
        <f>"E000373996"</f>
        <v>E000373996</v>
      </c>
      <c r="BD1386" t="str">
        <f>"רוני דידי"</f>
        <v>רוני דידי</v>
      </c>
    </row>
    <row r="1387" spans="1:56" x14ac:dyDescent="0.3">
      <c r="A1387" s="1">
        <v>44816</v>
      </c>
      <c r="B1387" t="str">
        <f>"SI226001047"</f>
        <v>SI226001047</v>
      </c>
      <c r="E1387" t="str">
        <f>"Y"</f>
        <v>Y</v>
      </c>
      <c r="F1387" t="str">
        <f>"חשבוניות מרכזות"</f>
        <v>חשבוניות מרכזות</v>
      </c>
      <c r="G1387" t="str">
        <f>"700065"</f>
        <v>700065</v>
      </c>
      <c r="H1387" t="str">
        <f>"אלתא מערכות בע""מ"</f>
        <v>אלתא מערכות בע"מ</v>
      </c>
      <c r="I1387" t="str">
        <f>"10"</f>
        <v>10</v>
      </c>
      <c r="J1387" t="str">
        <f>"000"</f>
        <v>000</v>
      </c>
      <c r="K1387" t="str">
        <f>"שירות בתקלות חשמל במערכת TGSS"</f>
        <v>שירות בתקלות חשמל במערכת TGSS</v>
      </c>
      <c r="L1387">
        <v>1</v>
      </c>
      <c r="M1387" t="str">
        <f>"יח"</f>
        <v>יח</v>
      </c>
      <c r="N1387">
        <v>1</v>
      </c>
      <c r="O1387" t="str">
        <f>"יח"</f>
        <v>יח</v>
      </c>
      <c r="P1387" s="2">
        <v>14666</v>
      </c>
      <c r="Q1387" t="str">
        <f>"$"</f>
        <v>$</v>
      </c>
      <c r="R1387" t="str">
        <f>"הזמנה"</f>
        <v>הזמנה</v>
      </c>
      <c r="S1387">
        <v>0</v>
      </c>
      <c r="T1387" s="2">
        <v>14666</v>
      </c>
      <c r="U1387">
        <v>0</v>
      </c>
      <c r="V1387" s="2">
        <v>14666</v>
      </c>
      <c r="W1387" t="str">
        <f>"$"</f>
        <v>$</v>
      </c>
      <c r="X1387">
        <v>0</v>
      </c>
      <c r="Y1387">
        <v>0</v>
      </c>
      <c r="Z1387">
        <v>0</v>
      </c>
      <c r="AA1387" t="str">
        <f>"Y"</f>
        <v>Y</v>
      </c>
      <c r="AB1387" t="str">
        <f>"SO22000274"</f>
        <v>SO22000274</v>
      </c>
      <c r="AC1387">
        <v>1</v>
      </c>
      <c r="AD1387" s="1">
        <v>44748</v>
      </c>
      <c r="AM1387" t="str">
        <f>"10"</f>
        <v>10</v>
      </c>
      <c r="AN1387" t="str">
        <f>"500000"</f>
        <v>500000</v>
      </c>
      <c r="AO1387" t="str">
        <f>"הכנסות  מלקוחות"</f>
        <v>הכנסות  מלקוחות</v>
      </c>
      <c r="AQ1387" t="str">
        <f>"007"</f>
        <v>007</v>
      </c>
      <c r="AR1387">
        <v>0</v>
      </c>
      <c r="AS1387">
        <v>0</v>
      </c>
      <c r="AT1387">
        <v>3.4169999999999998</v>
      </c>
      <c r="AX1387" t="str">
        <f>"E000368968"</f>
        <v>E000368968</v>
      </c>
      <c r="BD1387" t="str">
        <f>"רוני דידי"</f>
        <v>רוני דידי</v>
      </c>
    </row>
    <row r="1388" spans="1:56" x14ac:dyDescent="0.3">
      <c r="A1388" s="1">
        <v>44813</v>
      </c>
      <c r="B1388" t="str">
        <f>"SI226001046"</f>
        <v>SI226001046</v>
      </c>
      <c r="C1388" t="str">
        <f>"PR21000888"</f>
        <v>PR21000888</v>
      </c>
      <c r="D1388" t="str">
        <f>"PR21000888"</f>
        <v>PR21000888</v>
      </c>
      <c r="E1388" t="str">
        <f>"Y"</f>
        <v>Y</v>
      </c>
      <c r="F1388" t="str">
        <f>"חשבוניות מרכזות"</f>
        <v>חשבוניות מרכזות</v>
      </c>
      <c r="G1388" t="str">
        <f>"700065"</f>
        <v>700065</v>
      </c>
      <c r="H1388" t="str">
        <f>"אלתא מערכות בע""מ"</f>
        <v>אלתא מערכות בע"מ</v>
      </c>
      <c r="I1388" t="str">
        <f>"10"</f>
        <v>10</v>
      </c>
      <c r="J1388" t="str">
        <f>"000"</f>
        <v>000</v>
      </c>
      <c r="K1388" t="str">
        <f>"זיכוי לחשבונית מס SI226000840"</f>
        <v>זיכוי לחשבונית מס SI226000840</v>
      </c>
      <c r="L1388">
        <v>-1</v>
      </c>
      <c r="M1388" t="str">
        <f>"יח"</f>
        <v>יח</v>
      </c>
      <c r="N1388">
        <v>-1</v>
      </c>
      <c r="O1388" t="str">
        <f>"יח"</f>
        <v>יח</v>
      </c>
      <c r="P1388" s="2">
        <v>3127</v>
      </c>
      <c r="Q1388" t="str">
        <f>"$"</f>
        <v>$</v>
      </c>
      <c r="R1388" t="str">
        <f>"הזמנה"</f>
        <v>הזמנה</v>
      </c>
      <c r="S1388">
        <v>0</v>
      </c>
      <c r="T1388" s="2">
        <v>-3127</v>
      </c>
      <c r="U1388">
        <v>0</v>
      </c>
      <c r="V1388" s="2">
        <v>-3127</v>
      </c>
      <c r="W1388" t="str">
        <f>"$"</f>
        <v>$</v>
      </c>
      <c r="X1388">
        <v>0</v>
      </c>
      <c r="Y1388">
        <v>0</v>
      </c>
      <c r="Z1388">
        <v>0</v>
      </c>
      <c r="AA1388" t="str">
        <f>"Y"</f>
        <v>Y</v>
      </c>
      <c r="AB1388" t="str">
        <f>"SO21000530"</f>
        <v>SO21000530</v>
      </c>
      <c r="AC1388">
        <v>3</v>
      </c>
      <c r="AD1388" s="1">
        <v>44557</v>
      </c>
      <c r="AM1388" t="str">
        <f>"10"</f>
        <v>10</v>
      </c>
      <c r="AN1388" t="str">
        <f>"500000"</f>
        <v>500000</v>
      </c>
      <c r="AO1388" t="str">
        <f>"הכנסות  מלקוחות"</f>
        <v>הכנסות  מלקוחות</v>
      </c>
      <c r="AQ1388" t="str">
        <f>"040"</f>
        <v>040</v>
      </c>
      <c r="AR1388">
        <v>0</v>
      </c>
      <c r="AS1388">
        <v>0</v>
      </c>
      <c r="AT1388">
        <v>3.391</v>
      </c>
      <c r="AX1388" t="str">
        <f>"E000353714"</f>
        <v>E000353714</v>
      </c>
      <c r="BD1388" t="str">
        <f>"רחמים זרוק"</f>
        <v>רחמים זרוק</v>
      </c>
    </row>
    <row r="1389" spans="1:56" x14ac:dyDescent="0.3">
      <c r="A1389" s="1">
        <v>44811</v>
      </c>
      <c r="B1389" t="str">
        <f>"SI226001039"</f>
        <v>SI226001039</v>
      </c>
      <c r="E1389" t="str">
        <f>"Y"</f>
        <v>Y</v>
      </c>
      <c r="F1389" t="str">
        <f>"חשבוניות מרכזות"</f>
        <v>חשבוניות מרכזות</v>
      </c>
      <c r="G1389" t="str">
        <f>"700065"</f>
        <v>700065</v>
      </c>
      <c r="H1389" t="str">
        <f>"אלתא מערכות בע""מ"</f>
        <v>אלתא מערכות בע"מ</v>
      </c>
      <c r="I1389" t="str">
        <f>"10"</f>
        <v>10</v>
      </c>
      <c r="J1389" t="str">
        <f>"000"</f>
        <v>000</v>
      </c>
      <c r="K1389" t="str">
        <f>"תוספות לRPU עבור הזמנה E000312785"</f>
        <v>תוספות לRPU עבור הזמנה E000312785</v>
      </c>
      <c r="L1389">
        <v>1</v>
      </c>
      <c r="M1389" t="str">
        <f>"יח"</f>
        <v>יח</v>
      </c>
      <c r="N1389">
        <v>1</v>
      </c>
      <c r="O1389" t="str">
        <f>"יח"</f>
        <v>יח</v>
      </c>
      <c r="P1389" s="2">
        <v>13600</v>
      </c>
      <c r="Q1389" t="str">
        <f>"$"</f>
        <v>$</v>
      </c>
      <c r="R1389" t="str">
        <f>"הזמנה"</f>
        <v>הזמנה</v>
      </c>
      <c r="S1389">
        <v>0</v>
      </c>
      <c r="T1389" s="2">
        <v>13600</v>
      </c>
      <c r="U1389">
        <v>0</v>
      </c>
      <c r="V1389" s="2">
        <v>13600</v>
      </c>
      <c r="W1389" t="str">
        <f>"$"</f>
        <v>$</v>
      </c>
      <c r="X1389">
        <v>0</v>
      </c>
      <c r="Y1389">
        <v>0</v>
      </c>
      <c r="Z1389">
        <v>0</v>
      </c>
      <c r="AA1389" t="str">
        <f>"Y"</f>
        <v>Y</v>
      </c>
      <c r="AB1389" t="str">
        <f>"SO21000055"</f>
        <v>SO21000055</v>
      </c>
      <c r="AC1389">
        <v>23</v>
      </c>
      <c r="AD1389" s="1">
        <v>44228</v>
      </c>
      <c r="AM1389" t="str">
        <f>"10"</f>
        <v>10</v>
      </c>
      <c r="AN1389" t="str">
        <f>"500000"</f>
        <v>500000</v>
      </c>
      <c r="AO1389" t="str">
        <f>"הכנסות  מלקוחות"</f>
        <v>הכנסות  מלקוחות</v>
      </c>
      <c r="AQ1389" t="str">
        <f>"034"</f>
        <v>034</v>
      </c>
      <c r="AR1389">
        <v>0</v>
      </c>
      <c r="AS1389">
        <v>0</v>
      </c>
      <c r="AT1389">
        <v>3.4159999999999999</v>
      </c>
      <c r="AX1389" t="str">
        <f>"E000331489"</f>
        <v>E000331489</v>
      </c>
      <c r="BD1389" t="str">
        <f>"ערן שלו"</f>
        <v>ערן שלו</v>
      </c>
    </row>
    <row r="1390" spans="1:56" x14ac:dyDescent="0.3">
      <c r="A1390" s="1">
        <v>44810</v>
      </c>
      <c r="B1390" t="str">
        <f>"SI226001219"</f>
        <v>SI226001219</v>
      </c>
      <c r="E1390" t="str">
        <f>"Y"</f>
        <v>Y</v>
      </c>
      <c r="F1390" t="str">
        <f>"חשבוניות מרכזות"</f>
        <v>חשבוניות מרכזות</v>
      </c>
      <c r="G1390" t="str">
        <f>"700065"</f>
        <v>700065</v>
      </c>
      <c r="H1390" t="str">
        <f>"אלתא מערכות בע""מ"</f>
        <v>אלתא מערכות בע"מ</v>
      </c>
      <c r="I1390" t="str">
        <f>"10"</f>
        <v>10</v>
      </c>
      <c r="J1390" t="str">
        <f>"OP-ML00179"</f>
        <v>OP-ML00179</v>
      </c>
      <c r="K1390" t="str">
        <f>"1038C906-001 Radar Power Unit (RPU) Platform"</f>
        <v>1038C906-001 Radar Power Unit (RPU) Platform</v>
      </c>
      <c r="L1390">
        <v>-1</v>
      </c>
      <c r="M1390" t="str">
        <f>"יח"</f>
        <v>יח</v>
      </c>
      <c r="N1390">
        <v>-1</v>
      </c>
      <c r="O1390" t="str">
        <f>"יח"</f>
        <v>יח</v>
      </c>
      <c r="P1390" s="2">
        <v>284970</v>
      </c>
      <c r="Q1390" t="str">
        <f>"$"</f>
        <v>$</v>
      </c>
      <c r="R1390" t="str">
        <f>"הזמנה"</f>
        <v>הזמנה</v>
      </c>
      <c r="S1390">
        <v>0</v>
      </c>
      <c r="T1390" s="2">
        <v>-284970</v>
      </c>
      <c r="U1390">
        <v>0</v>
      </c>
      <c r="V1390" s="2">
        <v>-284970</v>
      </c>
      <c r="W1390" t="str">
        <f>"$"</f>
        <v>$</v>
      </c>
      <c r="X1390">
        <v>0</v>
      </c>
      <c r="Y1390">
        <v>0</v>
      </c>
      <c r="Z1390">
        <v>0</v>
      </c>
      <c r="AA1390" t="str">
        <f>"Y"</f>
        <v>Y</v>
      </c>
      <c r="AC1390">
        <v>0</v>
      </c>
      <c r="AM1390" t="str">
        <f>"10"</f>
        <v>10</v>
      </c>
      <c r="AN1390" t="str">
        <f>"500000"</f>
        <v>500000</v>
      </c>
      <c r="AO1390" t="str">
        <f>"הכנסות  מלקוחות"</f>
        <v>הכנסות  מלקוחות</v>
      </c>
      <c r="AQ1390" t="str">
        <f>"034"</f>
        <v>034</v>
      </c>
      <c r="AR1390">
        <v>0</v>
      </c>
      <c r="AS1390">
        <v>0</v>
      </c>
      <c r="AT1390">
        <v>3.415</v>
      </c>
      <c r="BB1390" t="str">
        <f>"Y"</f>
        <v>Y</v>
      </c>
      <c r="BD1390" t="str">
        <f>"ערן שלו"</f>
        <v>ערן שלו</v>
      </c>
    </row>
    <row r="1391" spans="1:56" x14ac:dyDescent="0.3">
      <c r="A1391" s="1">
        <v>44810</v>
      </c>
      <c r="B1391" t="str">
        <f>"SI226001018"</f>
        <v>SI226001018</v>
      </c>
      <c r="E1391" t="str">
        <f>"Y"</f>
        <v>Y</v>
      </c>
      <c r="F1391" t="str">
        <f>"חשבוניות מרכזות"</f>
        <v>חשבוניות מרכזות</v>
      </c>
      <c r="G1391" t="str">
        <f>"700065"</f>
        <v>700065</v>
      </c>
      <c r="H1391" t="str">
        <f>"אלתא מערכות בע""מ"</f>
        <v>אלתא מערכות בע"מ</v>
      </c>
      <c r="I1391" t="str">
        <f>"10"</f>
        <v>10</v>
      </c>
      <c r="J1391" t="str">
        <f>"000"</f>
        <v>000</v>
      </c>
      <c r="K1391" t="str">
        <f>"NRE FOR 1038C906-001"</f>
        <v>NRE FOR 1038C906-001</v>
      </c>
      <c r="L1391">
        <v>1</v>
      </c>
      <c r="M1391" t="str">
        <f>"יח"</f>
        <v>יח</v>
      </c>
      <c r="N1391">
        <v>1</v>
      </c>
      <c r="O1391" t="str">
        <f>"יח"</f>
        <v>יח</v>
      </c>
      <c r="P1391" s="2">
        <v>16252.5</v>
      </c>
      <c r="Q1391" t="str">
        <f>"$"</f>
        <v>$</v>
      </c>
      <c r="R1391" t="str">
        <f>"הזמנה"</f>
        <v>הזמנה</v>
      </c>
      <c r="S1391">
        <v>0</v>
      </c>
      <c r="T1391" s="2">
        <v>16252.5</v>
      </c>
      <c r="U1391">
        <v>0</v>
      </c>
      <c r="V1391" s="2">
        <v>16252.5</v>
      </c>
      <c r="W1391" t="str">
        <f>"$"</f>
        <v>$</v>
      </c>
      <c r="X1391">
        <v>0</v>
      </c>
      <c r="Y1391">
        <v>0</v>
      </c>
      <c r="Z1391">
        <v>0</v>
      </c>
      <c r="AA1391" t="str">
        <f>"Y"</f>
        <v>Y</v>
      </c>
      <c r="AB1391" t="str">
        <f>"SO20000218"</f>
        <v>SO20000218</v>
      </c>
      <c r="AC1391">
        <v>22</v>
      </c>
      <c r="AD1391" s="1">
        <v>43982</v>
      </c>
      <c r="AM1391" t="str">
        <f>"10"</f>
        <v>10</v>
      </c>
      <c r="AN1391" t="str">
        <f>"500000"</f>
        <v>500000</v>
      </c>
      <c r="AO1391" t="str">
        <f>"הכנסות  מלקוחות"</f>
        <v>הכנסות  מלקוחות</v>
      </c>
      <c r="AQ1391" t="str">
        <f>"034"</f>
        <v>034</v>
      </c>
      <c r="AR1391">
        <v>0</v>
      </c>
      <c r="AS1391">
        <v>0</v>
      </c>
      <c r="AT1391">
        <v>3.415</v>
      </c>
      <c r="AX1391" t="str">
        <f>"E000312785"</f>
        <v>E000312785</v>
      </c>
      <c r="BD1391" t="str">
        <f>"ערן שלו"</f>
        <v>ערן שלו</v>
      </c>
    </row>
    <row r="1392" spans="1:56" x14ac:dyDescent="0.3">
      <c r="A1392" s="1">
        <v>44810</v>
      </c>
      <c r="B1392" t="str">
        <f>"SI226001017"</f>
        <v>SI226001017</v>
      </c>
      <c r="E1392" t="str">
        <f>"Y"</f>
        <v>Y</v>
      </c>
      <c r="F1392" t="str">
        <f>"חשבוניות מרכזות"</f>
        <v>חשבוניות מרכזות</v>
      </c>
      <c r="G1392" t="str">
        <f>"700065"</f>
        <v>700065</v>
      </c>
      <c r="H1392" t="str">
        <f>"אלתא מערכות בע""מ"</f>
        <v>אלתא מערכות בע"מ</v>
      </c>
      <c r="I1392" t="str">
        <f>"10"</f>
        <v>10</v>
      </c>
      <c r="J1392" t="str">
        <f>"OP-ML00215"</f>
        <v>OP-ML00215</v>
      </c>
      <c r="K1392" t="str">
        <f>"M - PDU מק""ט 6930H850-001"</f>
        <v>M - PDU מק"ט 6930H850-001</v>
      </c>
      <c r="L1392">
        <v>1</v>
      </c>
      <c r="M1392" t="str">
        <f>"יח"</f>
        <v>יח</v>
      </c>
      <c r="N1392">
        <v>1</v>
      </c>
      <c r="O1392" t="str">
        <f>"יח"</f>
        <v>יח</v>
      </c>
      <c r="P1392" s="2">
        <v>14757</v>
      </c>
      <c r="Q1392" t="str">
        <f>"$"</f>
        <v>$</v>
      </c>
      <c r="R1392" t="str">
        <f>"הזמנה"</f>
        <v>הזמנה</v>
      </c>
      <c r="S1392">
        <v>0</v>
      </c>
      <c r="T1392" s="2">
        <v>14757</v>
      </c>
      <c r="U1392">
        <v>0</v>
      </c>
      <c r="V1392" s="2">
        <v>14757</v>
      </c>
      <c r="W1392" t="str">
        <f>"$"</f>
        <v>$</v>
      </c>
      <c r="X1392">
        <v>0</v>
      </c>
      <c r="Y1392">
        <v>0</v>
      </c>
      <c r="Z1392">
        <v>0</v>
      </c>
      <c r="AA1392" t="str">
        <f>"Y"</f>
        <v>Y</v>
      </c>
      <c r="AC1392">
        <v>0</v>
      </c>
      <c r="AM1392" t="str">
        <f>"10"</f>
        <v>10</v>
      </c>
      <c r="AN1392" t="str">
        <f>"500000"</f>
        <v>500000</v>
      </c>
      <c r="AO1392" t="str">
        <f>"הכנסות  מלקוחות"</f>
        <v>הכנסות  מלקוחות</v>
      </c>
      <c r="AQ1392" t="str">
        <f>"034"</f>
        <v>034</v>
      </c>
      <c r="AR1392">
        <v>0</v>
      </c>
      <c r="AS1392">
        <v>0</v>
      </c>
      <c r="AT1392">
        <v>3.415</v>
      </c>
      <c r="BB1392" t="str">
        <f>"Y"</f>
        <v>Y</v>
      </c>
      <c r="BD1392" t="str">
        <f>"ערן שלו"</f>
        <v>ערן שלו</v>
      </c>
    </row>
    <row r="1393" spans="1:56" x14ac:dyDescent="0.3">
      <c r="A1393" s="1">
        <v>44810</v>
      </c>
      <c r="B1393" t="str">
        <f>"SI226001016"</f>
        <v>SI226001016</v>
      </c>
      <c r="E1393" t="str">
        <f>"Y"</f>
        <v>Y</v>
      </c>
      <c r="F1393" t="str">
        <f>"חשבוניות מרכזות"</f>
        <v>חשבוניות מרכזות</v>
      </c>
      <c r="G1393" t="str">
        <f>"700065"</f>
        <v>700065</v>
      </c>
      <c r="H1393" t="str">
        <f>"אלתא מערכות בע""מ"</f>
        <v>אלתא מערכות בע"מ</v>
      </c>
      <c r="I1393" t="str">
        <f>"10"</f>
        <v>10</v>
      </c>
      <c r="J1393" t="str">
        <f>"000"</f>
        <v>000</v>
      </c>
      <c r="K1393" t="str">
        <f>"תוספת עלות לייצור לאחר שינויים ב-RPS5"</f>
        <v>תוספת עלות לייצור לאחר שינויים ב-RPS5</v>
      </c>
      <c r="L1393">
        <v>1</v>
      </c>
      <c r="M1393" t="str">
        <f>"יח"</f>
        <v>יח</v>
      </c>
      <c r="N1393">
        <v>1</v>
      </c>
      <c r="O1393" t="str">
        <f>"יח"</f>
        <v>יח</v>
      </c>
      <c r="P1393" s="2">
        <v>25000</v>
      </c>
      <c r="Q1393" t="str">
        <f>"$"</f>
        <v>$</v>
      </c>
      <c r="R1393" t="str">
        <f>"הזמנה"</f>
        <v>הזמנה</v>
      </c>
      <c r="S1393">
        <v>0</v>
      </c>
      <c r="T1393" s="2">
        <v>25000</v>
      </c>
      <c r="U1393">
        <v>0</v>
      </c>
      <c r="V1393" s="2">
        <v>25000</v>
      </c>
      <c r="W1393" t="str">
        <f>"$"</f>
        <v>$</v>
      </c>
      <c r="X1393">
        <v>0</v>
      </c>
      <c r="Y1393">
        <v>0</v>
      </c>
      <c r="Z1393">
        <v>0</v>
      </c>
      <c r="AA1393" t="str">
        <f>"Y"</f>
        <v>Y</v>
      </c>
      <c r="AB1393" t="str">
        <f>"SO22000061"</f>
        <v>SO22000061</v>
      </c>
      <c r="AC1393">
        <v>5</v>
      </c>
      <c r="AD1393" s="1">
        <v>44612</v>
      </c>
      <c r="AM1393" t="str">
        <f>"10"</f>
        <v>10</v>
      </c>
      <c r="AN1393" t="str">
        <f>"500000"</f>
        <v>500000</v>
      </c>
      <c r="AO1393" t="str">
        <f>"הכנסות  מלקוחות"</f>
        <v>הכנסות  מלקוחות</v>
      </c>
      <c r="AQ1393" t="str">
        <f>"034"</f>
        <v>034</v>
      </c>
      <c r="AR1393">
        <v>0</v>
      </c>
      <c r="AS1393">
        <v>0</v>
      </c>
      <c r="AT1393">
        <v>3.415</v>
      </c>
      <c r="AX1393" t="str">
        <f>"E000356936"</f>
        <v>E000356936</v>
      </c>
      <c r="BD1393" t="str">
        <f>"ערן שלו"</f>
        <v>ערן שלו</v>
      </c>
    </row>
    <row r="1394" spans="1:56" x14ac:dyDescent="0.3">
      <c r="A1394" s="1">
        <v>44810</v>
      </c>
      <c r="B1394" t="str">
        <f>"SI226001015"</f>
        <v>SI226001015</v>
      </c>
      <c r="E1394" t="str">
        <f>"Y"</f>
        <v>Y</v>
      </c>
      <c r="F1394" t="str">
        <f>"חשבוניות מרכזות"</f>
        <v>חשבוניות מרכזות</v>
      </c>
      <c r="G1394" t="str">
        <f>"700065"</f>
        <v>700065</v>
      </c>
      <c r="H1394" t="str">
        <f>"אלתא מערכות בע""מ"</f>
        <v>אלתא מערכות בע"מ</v>
      </c>
      <c r="I1394" t="str">
        <f>"10"</f>
        <v>10</v>
      </c>
      <c r="J1394" t="str">
        <f>"000"</f>
        <v>000</v>
      </c>
      <c r="K1394" t="str">
        <f>"תוספת עבור חומר גלם וש""ע בייצור ה RPU"</f>
        <v>תוספת עבור חומר גלם וש"ע בייצור ה RPU</v>
      </c>
      <c r="L1394">
        <v>1</v>
      </c>
      <c r="M1394" t="str">
        <f>"יח"</f>
        <v>יח</v>
      </c>
      <c r="N1394">
        <v>1</v>
      </c>
      <c r="O1394" t="str">
        <f>"יח"</f>
        <v>יח</v>
      </c>
      <c r="P1394" s="2">
        <v>25000</v>
      </c>
      <c r="Q1394" t="str">
        <f>"$"</f>
        <v>$</v>
      </c>
      <c r="R1394" t="str">
        <f>"הזמנה"</f>
        <v>הזמנה</v>
      </c>
      <c r="S1394">
        <v>0</v>
      </c>
      <c r="T1394" s="2">
        <v>25000</v>
      </c>
      <c r="U1394">
        <v>0</v>
      </c>
      <c r="V1394" s="2">
        <v>25000</v>
      </c>
      <c r="W1394" t="str">
        <f>"$"</f>
        <v>$</v>
      </c>
      <c r="X1394">
        <v>0</v>
      </c>
      <c r="Y1394">
        <v>0</v>
      </c>
      <c r="Z1394">
        <v>0</v>
      </c>
      <c r="AA1394" t="str">
        <f>"Y"</f>
        <v>Y</v>
      </c>
      <c r="AB1394" t="str">
        <f>"SO21000418"</f>
        <v>SO21000418</v>
      </c>
      <c r="AC1394">
        <v>6</v>
      </c>
      <c r="AD1394" s="1">
        <v>44474</v>
      </c>
      <c r="AM1394" t="str">
        <f>"10"</f>
        <v>10</v>
      </c>
      <c r="AN1394" t="str">
        <f>"500000"</f>
        <v>500000</v>
      </c>
      <c r="AO1394" t="str">
        <f>"הכנסות  מלקוחות"</f>
        <v>הכנסות  מלקוחות</v>
      </c>
      <c r="AQ1394" t="str">
        <f>"034"</f>
        <v>034</v>
      </c>
      <c r="AR1394">
        <v>0</v>
      </c>
      <c r="AS1394">
        <v>0</v>
      </c>
      <c r="AT1394">
        <v>3.415</v>
      </c>
      <c r="AX1394" t="str">
        <f>"E000346956"</f>
        <v>E000346956</v>
      </c>
      <c r="BD1394" t="str">
        <f>"ערן שלו"</f>
        <v>ערן שלו</v>
      </c>
    </row>
    <row r="1395" spans="1:56" x14ac:dyDescent="0.3">
      <c r="A1395" s="1">
        <v>44810</v>
      </c>
      <c r="B1395" t="str">
        <f>"SI226001014"</f>
        <v>SI226001014</v>
      </c>
      <c r="E1395" t="str">
        <f>"Y"</f>
        <v>Y</v>
      </c>
      <c r="F1395" t="str">
        <f>"חשבוניות מרכזות"</f>
        <v>חשבוניות מרכזות</v>
      </c>
      <c r="G1395" t="str">
        <f>"700065"</f>
        <v>700065</v>
      </c>
      <c r="H1395" t="str">
        <f>"אלתא מערכות בע""מ"</f>
        <v>אלתא מערכות בע"מ</v>
      </c>
      <c r="I1395" t="str">
        <f>"10"</f>
        <v>10</v>
      </c>
      <c r="J1395" t="str">
        <f>"000"</f>
        <v>000</v>
      </c>
      <c r="K1395" t="str">
        <f>"תוספות לRPU עבור הזמנה E000312785 משאבה"</f>
        <v>תוספות לRPU עבור הזמנה E000312785 משאבה</v>
      </c>
      <c r="L1395">
        <v>1</v>
      </c>
      <c r="M1395" t="str">
        <f>"יח"</f>
        <v>יח</v>
      </c>
      <c r="N1395">
        <v>1</v>
      </c>
      <c r="O1395" t="str">
        <f>"יח"</f>
        <v>יח</v>
      </c>
      <c r="P1395" s="2">
        <v>2530</v>
      </c>
      <c r="Q1395" t="str">
        <f>"$"</f>
        <v>$</v>
      </c>
      <c r="R1395" t="str">
        <f>"הזמנה"</f>
        <v>הזמנה</v>
      </c>
      <c r="S1395">
        <v>0</v>
      </c>
      <c r="T1395" s="2">
        <v>2530</v>
      </c>
      <c r="U1395">
        <v>0</v>
      </c>
      <c r="V1395" s="2">
        <v>2530</v>
      </c>
      <c r="W1395" t="str">
        <f>"$"</f>
        <v>$</v>
      </c>
      <c r="X1395">
        <v>0</v>
      </c>
      <c r="Y1395">
        <v>0</v>
      </c>
      <c r="Z1395">
        <v>0</v>
      </c>
      <c r="AA1395" t="str">
        <f>"Y"</f>
        <v>Y</v>
      </c>
      <c r="AB1395" t="str">
        <f>"SO21000055"</f>
        <v>SO21000055</v>
      </c>
      <c r="AC1395">
        <v>13</v>
      </c>
      <c r="AD1395" s="1">
        <v>44228</v>
      </c>
      <c r="AM1395" t="str">
        <f>"10"</f>
        <v>10</v>
      </c>
      <c r="AN1395" t="str">
        <f>"500000"</f>
        <v>500000</v>
      </c>
      <c r="AO1395" t="str">
        <f>"הכנסות  מלקוחות"</f>
        <v>הכנסות  מלקוחות</v>
      </c>
      <c r="AQ1395" t="str">
        <f>"034"</f>
        <v>034</v>
      </c>
      <c r="AR1395">
        <v>0</v>
      </c>
      <c r="AS1395">
        <v>0</v>
      </c>
      <c r="AT1395">
        <v>3.415</v>
      </c>
      <c r="AX1395" t="str">
        <f>"E000331489"</f>
        <v>E000331489</v>
      </c>
      <c r="BD1395" t="str">
        <f>"ערן שלו"</f>
        <v>ערן שלו</v>
      </c>
    </row>
    <row r="1396" spans="1:56" x14ac:dyDescent="0.3">
      <c r="A1396" s="1">
        <v>44810</v>
      </c>
      <c r="B1396" t="str">
        <f>"SI226001013"</f>
        <v>SI226001013</v>
      </c>
      <c r="E1396" t="str">
        <f>"Y"</f>
        <v>Y</v>
      </c>
      <c r="F1396" t="str">
        <f>"חשבוניות מרכזות"</f>
        <v>חשבוניות מרכזות</v>
      </c>
      <c r="G1396" t="str">
        <f>"700065"</f>
        <v>700065</v>
      </c>
      <c r="H1396" t="str">
        <f>"אלתא מערכות בע""מ"</f>
        <v>אלתא מערכות בע"מ</v>
      </c>
      <c r="I1396" t="str">
        <f>"10"</f>
        <v>10</v>
      </c>
      <c r="J1396" t="str">
        <f>"000"</f>
        <v>000</v>
      </c>
      <c r="K1396" t="str">
        <f>"תוספות לRPU עבור הזמנה E000312785 בקרה"</f>
        <v>תוספות לRPU עבור הזמנה E000312785 בקרה</v>
      </c>
      <c r="L1396">
        <v>1</v>
      </c>
      <c r="M1396" t="str">
        <f>"יח"</f>
        <v>יח</v>
      </c>
      <c r="N1396">
        <v>1</v>
      </c>
      <c r="O1396" t="str">
        <f>"יח"</f>
        <v>יח</v>
      </c>
      <c r="P1396" s="2">
        <v>32780</v>
      </c>
      <c r="Q1396" t="str">
        <f>"$"</f>
        <v>$</v>
      </c>
      <c r="R1396" t="str">
        <f>"הזמנה"</f>
        <v>הזמנה</v>
      </c>
      <c r="S1396">
        <v>0</v>
      </c>
      <c r="T1396" s="2">
        <v>32780</v>
      </c>
      <c r="U1396">
        <v>0</v>
      </c>
      <c r="V1396" s="2">
        <v>32780</v>
      </c>
      <c r="W1396" t="str">
        <f>"$"</f>
        <v>$</v>
      </c>
      <c r="X1396">
        <v>0</v>
      </c>
      <c r="Y1396">
        <v>0</v>
      </c>
      <c r="Z1396">
        <v>0</v>
      </c>
      <c r="AA1396" t="str">
        <f>"Y"</f>
        <v>Y</v>
      </c>
      <c r="AB1396" t="str">
        <f>"SO21000055"</f>
        <v>SO21000055</v>
      </c>
      <c r="AC1396">
        <v>7</v>
      </c>
      <c r="AD1396" s="1">
        <v>44228</v>
      </c>
      <c r="AM1396" t="str">
        <f>"10"</f>
        <v>10</v>
      </c>
      <c r="AN1396" t="str">
        <f>"500000"</f>
        <v>500000</v>
      </c>
      <c r="AO1396" t="str">
        <f>"הכנסות  מלקוחות"</f>
        <v>הכנסות  מלקוחות</v>
      </c>
      <c r="AQ1396" t="str">
        <f>"034"</f>
        <v>034</v>
      </c>
      <c r="AR1396">
        <v>0</v>
      </c>
      <c r="AS1396">
        <v>0</v>
      </c>
      <c r="AT1396">
        <v>3.415</v>
      </c>
      <c r="AX1396" t="str">
        <f>"E000331489"</f>
        <v>E000331489</v>
      </c>
      <c r="BD1396" t="str">
        <f>"ערן שלו"</f>
        <v>ערן שלו</v>
      </c>
    </row>
    <row r="1397" spans="1:56" x14ac:dyDescent="0.3">
      <c r="A1397" s="1">
        <v>44810</v>
      </c>
      <c r="B1397" t="str">
        <f>"SI226001012"</f>
        <v>SI226001012</v>
      </c>
      <c r="E1397" t="str">
        <f>"Y"</f>
        <v>Y</v>
      </c>
      <c r="F1397" t="str">
        <f>"חשבוניות מרכזות"</f>
        <v>חשבוניות מרכזות</v>
      </c>
      <c r="G1397" t="str">
        <f>"700065"</f>
        <v>700065</v>
      </c>
      <c r="H1397" t="str">
        <f>"אלתא מערכות בע""מ"</f>
        <v>אלתא מערכות בע"מ</v>
      </c>
      <c r="I1397" t="str">
        <f>"10"</f>
        <v>10</v>
      </c>
      <c r="J1397" t="str">
        <f>"OP-ML00179"</f>
        <v>OP-ML00179</v>
      </c>
      <c r="K1397" t="str">
        <f>"1038C906-001 Radar Power Unit (RPU) Platform"</f>
        <v>1038C906-001 Radar Power Unit (RPU) Platform</v>
      </c>
      <c r="L1397">
        <v>1</v>
      </c>
      <c r="M1397" t="str">
        <f>"יח"</f>
        <v>יח</v>
      </c>
      <c r="N1397">
        <v>1</v>
      </c>
      <c r="O1397" t="str">
        <f>"יח"</f>
        <v>יח</v>
      </c>
      <c r="P1397" s="2">
        <v>284970</v>
      </c>
      <c r="Q1397" t="str">
        <f>"$"</f>
        <v>$</v>
      </c>
      <c r="R1397" t="str">
        <f>"הזמנה"</f>
        <v>הזמנה</v>
      </c>
      <c r="S1397">
        <v>0</v>
      </c>
      <c r="T1397" s="2">
        <v>284970</v>
      </c>
      <c r="U1397">
        <v>0</v>
      </c>
      <c r="V1397" s="2">
        <v>284970</v>
      </c>
      <c r="W1397" t="str">
        <f>"$"</f>
        <v>$</v>
      </c>
      <c r="X1397">
        <v>0</v>
      </c>
      <c r="Y1397">
        <v>0</v>
      </c>
      <c r="Z1397">
        <v>0</v>
      </c>
      <c r="AA1397" t="str">
        <f>"Y"</f>
        <v>Y</v>
      </c>
      <c r="AC1397">
        <v>0</v>
      </c>
      <c r="AM1397" t="str">
        <f>"10"</f>
        <v>10</v>
      </c>
      <c r="AN1397" t="str">
        <f>"500000"</f>
        <v>500000</v>
      </c>
      <c r="AO1397" t="str">
        <f>"הכנסות  מלקוחות"</f>
        <v>הכנסות  מלקוחות</v>
      </c>
      <c r="AQ1397" t="str">
        <f>"034"</f>
        <v>034</v>
      </c>
      <c r="AR1397">
        <v>0</v>
      </c>
      <c r="AS1397">
        <v>0</v>
      </c>
      <c r="AT1397">
        <v>3.415</v>
      </c>
      <c r="BB1397" t="str">
        <f>"Y"</f>
        <v>Y</v>
      </c>
      <c r="BD1397" t="str">
        <f>"ערן שלו"</f>
        <v>ערן שלו</v>
      </c>
    </row>
    <row r="1398" spans="1:56" x14ac:dyDescent="0.3">
      <c r="A1398" s="1">
        <v>44805</v>
      </c>
      <c r="B1398" t="str">
        <f>"SI226001020"</f>
        <v>SI226001020</v>
      </c>
      <c r="C1398" t="str">
        <f>"PR21000122"</f>
        <v>PR21000122</v>
      </c>
      <c r="E1398" t="str">
        <f>"Y"</f>
        <v>Y</v>
      </c>
      <c r="F1398" t="str">
        <f>"חשבוניות מרכזות"</f>
        <v>חשבוניות מרכזות</v>
      </c>
      <c r="G1398" t="str">
        <f>"700065"</f>
        <v>700065</v>
      </c>
      <c r="H1398" t="str">
        <f>"אלתא מערכות בע""מ"</f>
        <v>אלתא מערכות בע"מ</v>
      </c>
      <c r="I1398" t="str">
        <f>"10"</f>
        <v>10</v>
      </c>
      <c r="J1398" t="str">
        <f>"OP-AR02306"</f>
        <v>OP-AR02306</v>
      </c>
      <c r="K1398" t="str">
        <f>"HVJB 1026L230-001"</f>
        <v>HVJB 1026L230-001</v>
      </c>
      <c r="L1398">
        <v>3</v>
      </c>
      <c r="M1398" t="str">
        <f>"יח"</f>
        <v>יח</v>
      </c>
      <c r="N1398">
        <v>3</v>
      </c>
      <c r="O1398" t="str">
        <f>"יח"</f>
        <v>יח</v>
      </c>
      <c r="P1398" s="2">
        <v>9425</v>
      </c>
      <c r="Q1398" t="str">
        <f>"$"</f>
        <v>$</v>
      </c>
      <c r="R1398" t="str">
        <f>"הזמנה"</f>
        <v>הזמנה</v>
      </c>
      <c r="S1398">
        <v>0</v>
      </c>
      <c r="T1398" s="2">
        <v>28275</v>
      </c>
      <c r="U1398">
        <v>0</v>
      </c>
      <c r="V1398" s="2">
        <v>28275</v>
      </c>
      <c r="W1398" t="str">
        <f>"$"</f>
        <v>$</v>
      </c>
      <c r="X1398">
        <v>0</v>
      </c>
      <c r="Y1398">
        <v>0</v>
      </c>
      <c r="Z1398">
        <v>0</v>
      </c>
      <c r="AA1398" t="str">
        <f>"Y"</f>
        <v>Y</v>
      </c>
      <c r="AB1398" t="str">
        <f>"SO21000102"</f>
        <v>SO21000102</v>
      </c>
      <c r="AC1398">
        <v>2</v>
      </c>
      <c r="AD1398" s="1">
        <v>44263</v>
      </c>
      <c r="AE1398" t="str">
        <f>"SH22001054"</f>
        <v>SH22001054</v>
      </c>
      <c r="AF1398" t="str">
        <f>"משלוחים ללקוח"</f>
        <v>משלוחים ללקוח</v>
      </c>
      <c r="AG1398" s="1">
        <v>44803</v>
      </c>
      <c r="AM1398" t="str">
        <f>"10"</f>
        <v>10</v>
      </c>
      <c r="AN1398" t="str">
        <f>"500000"</f>
        <v>500000</v>
      </c>
      <c r="AO1398" t="str">
        <f>"הכנסות  מלקוחות"</f>
        <v>הכנסות  מלקוחות</v>
      </c>
      <c r="AQ1398" t="str">
        <f>"034"</f>
        <v>034</v>
      </c>
      <c r="AR1398">
        <v>0</v>
      </c>
      <c r="AS1398">
        <v>0</v>
      </c>
      <c r="AT1398">
        <v>3.3639999999999999</v>
      </c>
      <c r="AX1398" t="str">
        <f>"E000334743"</f>
        <v>E000334743</v>
      </c>
      <c r="BD1398" t="str">
        <f>"ערן שלו"</f>
        <v>ערן שלו</v>
      </c>
    </row>
    <row r="1399" spans="1:56" x14ac:dyDescent="0.3">
      <c r="A1399" s="1">
        <v>44805</v>
      </c>
      <c r="B1399" t="str">
        <f>"SI226001019"</f>
        <v>SI226001019</v>
      </c>
      <c r="C1399" t="str">
        <f>"PR21000122"</f>
        <v>PR21000122</v>
      </c>
      <c r="D1399" t="str">
        <f>"PR21000122"</f>
        <v>PR21000122</v>
      </c>
      <c r="E1399" t="str">
        <f>"Y"</f>
        <v>Y</v>
      </c>
      <c r="F1399" t="str">
        <f>"חשבוניות מרכזות"</f>
        <v>חשבוניות מרכזות</v>
      </c>
      <c r="G1399" t="str">
        <f>"700065"</f>
        <v>700065</v>
      </c>
      <c r="H1399" t="str">
        <f>"אלתא מערכות בע""מ"</f>
        <v>אלתא מערכות בע"מ</v>
      </c>
      <c r="I1399" t="str">
        <f>"10"</f>
        <v>10</v>
      </c>
      <c r="J1399" t="str">
        <f>"OP-AR02306"</f>
        <v>OP-AR02306</v>
      </c>
      <c r="K1399" t="str">
        <f>"HVJB 1026L230-001"</f>
        <v>HVJB 1026L230-001</v>
      </c>
      <c r="L1399">
        <v>2</v>
      </c>
      <c r="M1399" t="str">
        <f>"יח"</f>
        <v>יח</v>
      </c>
      <c r="N1399">
        <v>2</v>
      </c>
      <c r="O1399" t="str">
        <f>"יח"</f>
        <v>יח</v>
      </c>
      <c r="P1399" s="2">
        <v>9921</v>
      </c>
      <c r="Q1399" t="str">
        <f>"$"</f>
        <v>$</v>
      </c>
      <c r="R1399" t="str">
        <f>"הזמנה"</f>
        <v>הזמנה</v>
      </c>
      <c r="S1399">
        <v>0</v>
      </c>
      <c r="T1399" s="2">
        <v>19842</v>
      </c>
      <c r="U1399">
        <v>0</v>
      </c>
      <c r="V1399" s="2">
        <v>19842</v>
      </c>
      <c r="W1399" t="str">
        <f>"$"</f>
        <v>$</v>
      </c>
      <c r="X1399">
        <v>0</v>
      </c>
      <c r="Y1399">
        <v>0</v>
      </c>
      <c r="Z1399">
        <v>0</v>
      </c>
      <c r="AA1399" t="str">
        <f>"Y"</f>
        <v>Y</v>
      </c>
      <c r="AB1399" t="str">
        <f>"SO21000079"</f>
        <v>SO21000079</v>
      </c>
      <c r="AC1399">
        <v>4</v>
      </c>
      <c r="AD1399" s="1">
        <v>44242</v>
      </c>
      <c r="AE1399" t="str">
        <f>"SH22001055"</f>
        <v>SH22001055</v>
      </c>
      <c r="AF1399" t="str">
        <f>"משלוחים ללקוח"</f>
        <v>משלוחים ללקוח</v>
      </c>
      <c r="AG1399" s="1">
        <v>44803</v>
      </c>
      <c r="AM1399" t="str">
        <f>"10"</f>
        <v>10</v>
      </c>
      <c r="AN1399" t="str">
        <f>"500000"</f>
        <v>500000</v>
      </c>
      <c r="AO1399" t="str">
        <f>"הכנסות  מלקוחות"</f>
        <v>הכנסות  מלקוחות</v>
      </c>
      <c r="AQ1399" t="str">
        <f>"034"</f>
        <v>034</v>
      </c>
      <c r="AR1399">
        <v>0</v>
      </c>
      <c r="AS1399">
        <v>0</v>
      </c>
      <c r="AT1399">
        <v>3.3639999999999999</v>
      </c>
      <c r="AX1399" t="str">
        <f>"E000320637"</f>
        <v>E000320637</v>
      </c>
      <c r="BD1399" t="str">
        <f>"ערן שלו"</f>
        <v>ערן שלו</v>
      </c>
    </row>
    <row r="1400" spans="1:56" x14ac:dyDescent="0.3">
      <c r="A1400" s="1">
        <v>44804</v>
      </c>
      <c r="B1400" t="str">
        <f>"SI226001028"</f>
        <v>SI226001028</v>
      </c>
      <c r="C1400" t="str">
        <f>"PR22000231"</f>
        <v>PR22000231</v>
      </c>
      <c r="E1400" t="str">
        <f>"Y"</f>
        <v>Y</v>
      </c>
      <c r="F1400" t="str">
        <f>"חשבוניות מרכזות"</f>
        <v>חשבוניות מרכזות</v>
      </c>
      <c r="G1400" t="str">
        <f>"700065"</f>
        <v>700065</v>
      </c>
      <c r="H1400" t="str">
        <f>"אלתא מערכות בע""מ"</f>
        <v>אלתא מערכות בע"מ</v>
      </c>
      <c r="I1400" t="str">
        <f>"10"</f>
        <v>10</v>
      </c>
      <c r="J1400" t="str">
        <f>"OP-AR03016"</f>
        <v>OP-AR03016</v>
      </c>
      <c r="K1400" t="str">
        <f>"2203B860-001   POWER TO UUT CABLE ASSY"</f>
        <v>2203B860-001   POWER TO UUT CABLE ASSY</v>
      </c>
      <c r="L1400">
        <v>1</v>
      </c>
      <c r="M1400" t="str">
        <f>"יח"</f>
        <v>יח</v>
      </c>
      <c r="N1400">
        <v>1</v>
      </c>
      <c r="O1400" t="str">
        <f>"יח"</f>
        <v>יח</v>
      </c>
      <c r="P1400">
        <v>867.31</v>
      </c>
      <c r="Q1400" t="str">
        <f>"$"</f>
        <v>$</v>
      </c>
      <c r="R1400" t="str">
        <f>"הזמנה"</f>
        <v>הזמנה</v>
      </c>
      <c r="S1400">
        <v>0</v>
      </c>
      <c r="T1400">
        <v>867.31</v>
      </c>
      <c r="U1400">
        <v>0</v>
      </c>
      <c r="V1400">
        <v>867.31</v>
      </c>
      <c r="W1400" t="str">
        <f>"$"</f>
        <v>$</v>
      </c>
      <c r="X1400">
        <v>0</v>
      </c>
      <c r="Y1400">
        <v>0</v>
      </c>
      <c r="Z1400">
        <v>0</v>
      </c>
      <c r="AA1400" t="str">
        <f>"Y"</f>
        <v>Y</v>
      </c>
      <c r="AB1400" t="str">
        <f>"SO22000105"</f>
        <v>SO22000105</v>
      </c>
      <c r="AC1400">
        <v>11</v>
      </c>
      <c r="AD1400" s="1">
        <v>44635</v>
      </c>
      <c r="AE1400" t="str">
        <f>"SH22001063"</f>
        <v>SH22001063</v>
      </c>
      <c r="AF1400" t="str">
        <f>"משלוחים ללקוח"</f>
        <v>משלוחים ללקוח</v>
      </c>
      <c r="AG1400" s="1">
        <v>44803</v>
      </c>
      <c r="AM1400" t="str">
        <f>"10"</f>
        <v>10</v>
      </c>
      <c r="AN1400" t="str">
        <f>"500000"</f>
        <v>500000</v>
      </c>
      <c r="AO1400" t="str">
        <f>"הכנסות  מלקוחות"</f>
        <v>הכנסות  מלקוחות</v>
      </c>
      <c r="AQ1400" t="str">
        <f>"040"</f>
        <v>040</v>
      </c>
      <c r="AR1400">
        <v>0</v>
      </c>
      <c r="AS1400">
        <v>0</v>
      </c>
      <c r="AT1400">
        <v>3.3410000000000002</v>
      </c>
      <c r="AX1400" t="str">
        <f>"E000359029"</f>
        <v>E000359029</v>
      </c>
      <c r="BD1400" t="str">
        <f>"רחמים זרוק"</f>
        <v>רחמים זרוק</v>
      </c>
    </row>
    <row r="1401" spans="1:56" x14ac:dyDescent="0.3">
      <c r="A1401" s="1">
        <v>44804</v>
      </c>
      <c r="B1401" t="str">
        <f>"SI226001028"</f>
        <v>SI226001028</v>
      </c>
      <c r="C1401" t="str">
        <f>"PR22000231"</f>
        <v>PR22000231</v>
      </c>
      <c r="E1401" t="str">
        <f>"Y"</f>
        <v>Y</v>
      </c>
      <c r="F1401" t="str">
        <f>"חשבוניות מרכזות"</f>
        <v>חשבוניות מרכזות</v>
      </c>
      <c r="G1401" t="str">
        <f>"700065"</f>
        <v>700065</v>
      </c>
      <c r="H1401" t="str">
        <f>"אלתא מערכות בע""מ"</f>
        <v>אלתא מערכות בע"מ</v>
      </c>
      <c r="I1401" t="str">
        <f>"10"</f>
        <v>10</v>
      </c>
      <c r="J1401" t="str">
        <f>"OP-AR03016"</f>
        <v>OP-AR03016</v>
      </c>
      <c r="K1401" t="str">
        <f>"2203B860-001   POWER TO UUT CABLE ASSY"</f>
        <v>2203B860-001   POWER TO UUT CABLE ASSY</v>
      </c>
      <c r="L1401">
        <v>1</v>
      </c>
      <c r="M1401" t="str">
        <f>"יח"</f>
        <v>יח</v>
      </c>
      <c r="N1401">
        <v>1</v>
      </c>
      <c r="O1401" t="str">
        <f>"יח"</f>
        <v>יח</v>
      </c>
      <c r="P1401">
        <v>867.31</v>
      </c>
      <c r="Q1401" t="str">
        <f>"$"</f>
        <v>$</v>
      </c>
      <c r="R1401" t="str">
        <f>"הזמנה"</f>
        <v>הזמנה</v>
      </c>
      <c r="S1401">
        <v>0</v>
      </c>
      <c r="T1401">
        <v>867.31</v>
      </c>
      <c r="U1401">
        <v>0</v>
      </c>
      <c r="V1401">
        <v>867.31</v>
      </c>
      <c r="W1401" t="str">
        <f>"$"</f>
        <v>$</v>
      </c>
      <c r="X1401">
        <v>0</v>
      </c>
      <c r="Y1401">
        <v>0</v>
      </c>
      <c r="Z1401">
        <v>0</v>
      </c>
      <c r="AA1401" t="str">
        <f>"Y"</f>
        <v>Y</v>
      </c>
      <c r="AB1401" t="str">
        <f>"SO22000105"</f>
        <v>SO22000105</v>
      </c>
      <c r="AC1401">
        <v>12</v>
      </c>
      <c r="AD1401" s="1">
        <v>44635</v>
      </c>
      <c r="AE1401" t="str">
        <f>"SH22001063"</f>
        <v>SH22001063</v>
      </c>
      <c r="AF1401" t="str">
        <f>"משלוחים ללקוח"</f>
        <v>משלוחים ללקוח</v>
      </c>
      <c r="AG1401" s="1">
        <v>44803</v>
      </c>
      <c r="AM1401" t="str">
        <f>"10"</f>
        <v>10</v>
      </c>
      <c r="AN1401" t="str">
        <f>"500000"</f>
        <v>500000</v>
      </c>
      <c r="AO1401" t="str">
        <f>"הכנסות  מלקוחות"</f>
        <v>הכנסות  מלקוחות</v>
      </c>
      <c r="AQ1401" t="str">
        <f>"040"</f>
        <v>040</v>
      </c>
      <c r="AR1401">
        <v>0</v>
      </c>
      <c r="AS1401">
        <v>0</v>
      </c>
      <c r="AT1401">
        <v>3.3410000000000002</v>
      </c>
      <c r="AX1401" t="str">
        <f>"E000359029"</f>
        <v>E000359029</v>
      </c>
      <c r="BD1401" t="str">
        <f>"רחמים זרוק"</f>
        <v>רחמים זרוק</v>
      </c>
    </row>
    <row r="1402" spans="1:56" x14ac:dyDescent="0.3">
      <c r="A1402" s="1">
        <v>44804</v>
      </c>
      <c r="B1402" t="str">
        <f>"SI226001027"</f>
        <v>SI226001027</v>
      </c>
      <c r="C1402" t="str">
        <f>"PR22000440"</f>
        <v>PR22000440</v>
      </c>
      <c r="E1402" t="str">
        <f>"Y"</f>
        <v>Y</v>
      </c>
      <c r="F1402" t="str">
        <f>"חשבוניות מרכזות"</f>
        <v>חשבוניות מרכזות</v>
      </c>
      <c r="G1402" t="str">
        <f>"700065"</f>
        <v>700065</v>
      </c>
      <c r="H1402" t="str">
        <f>"אלתא מערכות בע""מ"</f>
        <v>אלתא מערכות בע"מ</v>
      </c>
      <c r="I1402" t="str">
        <f>"10"</f>
        <v>10</v>
      </c>
      <c r="J1402" t="str">
        <f>"OP-AR01936"</f>
        <v>OP-AR01936</v>
      </c>
      <c r="K1402" t="str">
        <f>"1023B564-001   CABLE ASSY WV064"</f>
        <v>1023B564-001   CABLE ASSY WV064</v>
      </c>
      <c r="L1402">
        <v>5</v>
      </c>
      <c r="M1402" t="str">
        <f>"יח"</f>
        <v>יח</v>
      </c>
      <c r="N1402">
        <v>5</v>
      </c>
      <c r="O1402" t="str">
        <f>"יח"</f>
        <v>יח</v>
      </c>
      <c r="P1402">
        <v>309.24</v>
      </c>
      <c r="Q1402" t="str">
        <f>"$"</f>
        <v>$</v>
      </c>
      <c r="R1402" t="str">
        <f>"הזמנה"</f>
        <v>הזמנה</v>
      </c>
      <c r="S1402">
        <v>0</v>
      </c>
      <c r="T1402" s="2">
        <v>1546.2</v>
      </c>
      <c r="U1402">
        <v>0</v>
      </c>
      <c r="V1402" s="2">
        <v>1546.2</v>
      </c>
      <c r="W1402" t="str">
        <f>"$"</f>
        <v>$</v>
      </c>
      <c r="X1402">
        <v>0</v>
      </c>
      <c r="Y1402">
        <v>0</v>
      </c>
      <c r="Z1402">
        <v>0</v>
      </c>
      <c r="AA1402" t="str">
        <f>"Y"</f>
        <v>Y</v>
      </c>
      <c r="AB1402" t="str">
        <f>"SO22000214"</f>
        <v>SO22000214</v>
      </c>
      <c r="AC1402">
        <v>8</v>
      </c>
      <c r="AD1402" s="1">
        <v>44714</v>
      </c>
      <c r="AE1402" t="str">
        <f>"SH22001062"</f>
        <v>SH22001062</v>
      </c>
      <c r="AF1402" t="str">
        <f>"משלוחים ללקוח"</f>
        <v>משלוחים ללקוח</v>
      </c>
      <c r="AG1402" s="1">
        <v>44803</v>
      </c>
      <c r="AM1402" t="str">
        <f>"10"</f>
        <v>10</v>
      </c>
      <c r="AN1402" t="str">
        <f>"500000"</f>
        <v>500000</v>
      </c>
      <c r="AO1402" t="str">
        <f>"הכנסות  מלקוחות"</f>
        <v>הכנסות  מלקוחות</v>
      </c>
      <c r="AQ1402" t="str">
        <f>"040"</f>
        <v>040</v>
      </c>
      <c r="AR1402">
        <v>0</v>
      </c>
      <c r="AS1402">
        <v>0</v>
      </c>
      <c r="AT1402">
        <v>3.3410000000000002</v>
      </c>
      <c r="AX1402" t="str">
        <f>"E000365713"</f>
        <v>E000365713</v>
      </c>
      <c r="BD1402" t="str">
        <f>"רחמים זרוק"</f>
        <v>רחמים זרוק</v>
      </c>
    </row>
    <row r="1403" spans="1:56" x14ac:dyDescent="0.3">
      <c r="A1403" s="1">
        <v>44804</v>
      </c>
      <c r="B1403" t="str">
        <f>"SI226001026"</f>
        <v>SI226001026</v>
      </c>
      <c r="C1403" t="str">
        <f>"PR22000445"</f>
        <v>PR22000445</v>
      </c>
      <c r="E1403" t="str">
        <f>"Y"</f>
        <v>Y</v>
      </c>
      <c r="F1403" t="str">
        <f>"חשבוניות מרכזות"</f>
        <v>חשבוניות מרכזות</v>
      </c>
      <c r="G1403" t="str">
        <f>"700065"</f>
        <v>700065</v>
      </c>
      <c r="H1403" t="str">
        <f>"אלתא מערכות בע""מ"</f>
        <v>אלתא מערכות בע"מ</v>
      </c>
      <c r="I1403" t="str">
        <f>"10"</f>
        <v>10</v>
      </c>
      <c r="J1403" t="str">
        <f>"OP-AR03167"</f>
        <v>OP-AR03167</v>
      </c>
      <c r="K1403" t="str">
        <f>"1025M237-001   WA357 PWR FOR ANTI COLLISION LIGHT"</f>
        <v>1025M237-001   WA357 PWR FOR ANTI COLLISION LIGHT</v>
      </c>
      <c r="L1403">
        <v>2</v>
      </c>
      <c r="M1403" t="str">
        <f>"יח"</f>
        <v>יח</v>
      </c>
      <c r="N1403">
        <v>2</v>
      </c>
      <c r="O1403" t="str">
        <f>"יח"</f>
        <v>יח</v>
      </c>
      <c r="P1403">
        <v>102.35</v>
      </c>
      <c r="Q1403" t="str">
        <f>"$"</f>
        <v>$</v>
      </c>
      <c r="R1403" t="str">
        <f>"הזמנה"</f>
        <v>הזמנה</v>
      </c>
      <c r="S1403">
        <v>0</v>
      </c>
      <c r="T1403">
        <v>204.7</v>
      </c>
      <c r="U1403">
        <v>0</v>
      </c>
      <c r="V1403">
        <v>204.7</v>
      </c>
      <c r="W1403" t="str">
        <f>"$"</f>
        <v>$</v>
      </c>
      <c r="X1403">
        <v>0</v>
      </c>
      <c r="Y1403">
        <v>0</v>
      </c>
      <c r="Z1403">
        <v>0</v>
      </c>
      <c r="AA1403" t="str">
        <f>"Y"</f>
        <v>Y</v>
      </c>
      <c r="AB1403" t="str">
        <f>"SO22000221"</f>
        <v>SO22000221</v>
      </c>
      <c r="AC1403">
        <v>7</v>
      </c>
      <c r="AD1403" s="1">
        <v>44720</v>
      </c>
      <c r="AE1403" t="str">
        <f>"SH22001065"</f>
        <v>SH22001065</v>
      </c>
      <c r="AF1403" t="str">
        <f>"משלוחים ללקוח"</f>
        <v>משלוחים ללקוח</v>
      </c>
      <c r="AG1403" s="1">
        <v>44803</v>
      </c>
      <c r="AM1403" t="str">
        <f>"10"</f>
        <v>10</v>
      </c>
      <c r="AN1403" t="str">
        <f>"500000"</f>
        <v>500000</v>
      </c>
      <c r="AO1403" t="str">
        <f>"הכנסות  מלקוחות"</f>
        <v>הכנסות  מלקוחות</v>
      </c>
      <c r="AQ1403" t="str">
        <f>"034"</f>
        <v>034</v>
      </c>
      <c r="AR1403">
        <v>0</v>
      </c>
      <c r="AS1403">
        <v>0</v>
      </c>
      <c r="AT1403">
        <v>3.3410000000000002</v>
      </c>
      <c r="AX1403" t="str">
        <f>"E000364016"</f>
        <v>E000364016</v>
      </c>
      <c r="BD1403" t="str">
        <f>"ערן שלו"</f>
        <v>ערן שלו</v>
      </c>
    </row>
    <row r="1404" spans="1:56" x14ac:dyDescent="0.3">
      <c r="A1404" s="1">
        <v>44804</v>
      </c>
      <c r="B1404" t="str">
        <f>"SI226001026"</f>
        <v>SI226001026</v>
      </c>
      <c r="C1404" t="str">
        <f>"PR22000445"</f>
        <v>PR22000445</v>
      </c>
      <c r="E1404" t="str">
        <f>"Y"</f>
        <v>Y</v>
      </c>
      <c r="F1404" t="str">
        <f>"חשבוניות מרכזות"</f>
        <v>חשבוניות מרכזות</v>
      </c>
      <c r="G1404" t="str">
        <f>"700065"</f>
        <v>700065</v>
      </c>
      <c r="H1404" t="str">
        <f>"אלתא מערכות בע""מ"</f>
        <v>אלתא מערכות בע"מ</v>
      </c>
      <c r="I1404" t="str">
        <f>"10"</f>
        <v>10</v>
      </c>
      <c r="J1404" t="str">
        <f>"OP-AR03168"</f>
        <v>OP-AR03168</v>
      </c>
      <c r="K1404" t="str">
        <f>"1025M806-001   WV034 PWR - PDB2 TO ANTI COLLISION LIGHT"</f>
        <v>1025M806-001   WV034 PWR - PDB2 TO ANTI COLLISION LIGHT</v>
      </c>
      <c r="L1404">
        <v>2</v>
      </c>
      <c r="M1404" t="str">
        <f>"יח"</f>
        <v>יח</v>
      </c>
      <c r="N1404">
        <v>2</v>
      </c>
      <c r="O1404" t="str">
        <f>"יח"</f>
        <v>יח</v>
      </c>
      <c r="P1404">
        <v>242.23</v>
      </c>
      <c r="Q1404" t="str">
        <f>"$"</f>
        <v>$</v>
      </c>
      <c r="R1404" t="str">
        <f>"הזמנה"</f>
        <v>הזמנה</v>
      </c>
      <c r="S1404">
        <v>0</v>
      </c>
      <c r="T1404">
        <v>484.46</v>
      </c>
      <c r="U1404">
        <v>0</v>
      </c>
      <c r="V1404">
        <v>484.46</v>
      </c>
      <c r="W1404" t="str">
        <f>"$"</f>
        <v>$</v>
      </c>
      <c r="X1404">
        <v>0</v>
      </c>
      <c r="Y1404">
        <v>0</v>
      </c>
      <c r="Z1404">
        <v>0</v>
      </c>
      <c r="AA1404" t="str">
        <f>"Y"</f>
        <v>Y</v>
      </c>
      <c r="AB1404" t="str">
        <f>"SO22000221"</f>
        <v>SO22000221</v>
      </c>
      <c r="AC1404">
        <v>8</v>
      </c>
      <c r="AD1404" s="1">
        <v>44720</v>
      </c>
      <c r="AE1404" t="str">
        <f>"SH22001065"</f>
        <v>SH22001065</v>
      </c>
      <c r="AF1404" t="str">
        <f>"משלוחים ללקוח"</f>
        <v>משלוחים ללקוח</v>
      </c>
      <c r="AG1404" s="1">
        <v>44803</v>
      </c>
      <c r="AM1404" t="str">
        <f>"10"</f>
        <v>10</v>
      </c>
      <c r="AN1404" t="str">
        <f>"500000"</f>
        <v>500000</v>
      </c>
      <c r="AO1404" t="str">
        <f>"הכנסות  מלקוחות"</f>
        <v>הכנסות  מלקוחות</v>
      </c>
      <c r="AQ1404" t="str">
        <f>"034"</f>
        <v>034</v>
      </c>
      <c r="AR1404">
        <v>0</v>
      </c>
      <c r="AS1404">
        <v>0</v>
      </c>
      <c r="AT1404">
        <v>3.3410000000000002</v>
      </c>
      <c r="AX1404" t="str">
        <f>"E000364016"</f>
        <v>E000364016</v>
      </c>
      <c r="BD1404" t="str">
        <f>"ערן שלו"</f>
        <v>ערן שלו</v>
      </c>
    </row>
    <row r="1405" spans="1:56" x14ac:dyDescent="0.3">
      <c r="A1405" s="1">
        <v>44804</v>
      </c>
      <c r="B1405" t="str">
        <f>"SI226001025"</f>
        <v>SI226001025</v>
      </c>
      <c r="C1405" t="str">
        <f>"PR22000460"</f>
        <v>PR22000460</v>
      </c>
      <c r="D1405" t="str">
        <f>"PR22000460"</f>
        <v>PR22000460</v>
      </c>
      <c r="E1405" t="str">
        <f>"Y"</f>
        <v>Y</v>
      </c>
      <c r="F1405" t="str">
        <f>"חשבוניות מרכזות"</f>
        <v>חשבוניות מרכזות</v>
      </c>
      <c r="G1405" t="str">
        <f>"700065"</f>
        <v>700065</v>
      </c>
      <c r="H1405" t="str">
        <f>"אלתא מערכות בע""מ"</f>
        <v>אלתא מערכות בע"מ</v>
      </c>
      <c r="I1405" t="str">
        <f>"10"</f>
        <v>10</v>
      </c>
      <c r="J1405" t="str">
        <f>"OP-AR03193"</f>
        <v>OP-AR03193</v>
      </c>
      <c r="K1405" t="str">
        <f>"1027C341-001    WGV051 PED UP PANEL TO PEDES IN"</f>
        <v>1027C341-001    WGV051 PED UP PANEL TO PEDES IN</v>
      </c>
      <c r="L1405">
        <v>4</v>
      </c>
      <c r="M1405" t="str">
        <f>"יח"</f>
        <v>יח</v>
      </c>
      <c r="N1405">
        <v>4</v>
      </c>
      <c r="O1405" t="str">
        <f>"יח"</f>
        <v>יח</v>
      </c>
      <c r="P1405">
        <v>117.91</v>
      </c>
      <c r="Q1405" t="str">
        <f>"$"</f>
        <v>$</v>
      </c>
      <c r="R1405" t="str">
        <f>"הזמנה"</f>
        <v>הזמנה</v>
      </c>
      <c r="S1405">
        <v>0</v>
      </c>
      <c r="T1405">
        <v>471.64</v>
      </c>
      <c r="U1405">
        <v>0</v>
      </c>
      <c r="V1405">
        <v>471.64</v>
      </c>
      <c r="W1405" t="str">
        <f>"$"</f>
        <v>$</v>
      </c>
      <c r="X1405">
        <v>0</v>
      </c>
      <c r="Y1405">
        <v>0</v>
      </c>
      <c r="Z1405">
        <v>0</v>
      </c>
      <c r="AA1405" t="str">
        <f>"Y"</f>
        <v>Y</v>
      </c>
      <c r="AB1405" t="str">
        <f>"SO22000235"</f>
        <v>SO22000235</v>
      </c>
      <c r="AC1405">
        <v>2</v>
      </c>
      <c r="AD1405" s="1">
        <v>44727</v>
      </c>
      <c r="AE1405" t="str">
        <f>"SH22001071"</f>
        <v>SH22001071</v>
      </c>
      <c r="AF1405" t="str">
        <f>"משלוחים ללקוח"</f>
        <v>משלוחים ללקוח</v>
      </c>
      <c r="AG1405" s="1">
        <v>44804</v>
      </c>
      <c r="AM1405" t="str">
        <f>"10"</f>
        <v>10</v>
      </c>
      <c r="AN1405" t="str">
        <f>"500000"</f>
        <v>500000</v>
      </c>
      <c r="AO1405" t="str">
        <f>"הכנסות  מלקוחות"</f>
        <v>הכנסות  מלקוחות</v>
      </c>
      <c r="AQ1405" t="str">
        <f>"040"</f>
        <v>040</v>
      </c>
      <c r="AR1405">
        <v>0</v>
      </c>
      <c r="AS1405">
        <v>0</v>
      </c>
      <c r="AT1405">
        <v>3.3410000000000002</v>
      </c>
      <c r="AX1405" t="str">
        <f>"E000366546"</f>
        <v>E000366546</v>
      </c>
      <c r="BD1405" t="str">
        <f>"רחמים זרוק"</f>
        <v>רחמים זרוק</v>
      </c>
    </row>
    <row r="1406" spans="1:56" x14ac:dyDescent="0.3">
      <c r="A1406" s="1">
        <v>44804</v>
      </c>
      <c r="B1406" t="str">
        <f>"SI226001025"</f>
        <v>SI226001025</v>
      </c>
      <c r="C1406" t="str">
        <f>"PR22000460"</f>
        <v>PR22000460</v>
      </c>
      <c r="D1406" t="str">
        <f>"PR22000460"</f>
        <v>PR22000460</v>
      </c>
      <c r="E1406" t="str">
        <f>"Y"</f>
        <v>Y</v>
      </c>
      <c r="F1406" t="str">
        <f>"חשבוניות מרכזות"</f>
        <v>חשבוניות מרכזות</v>
      </c>
      <c r="G1406" t="str">
        <f>"700065"</f>
        <v>700065</v>
      </c>
      <c r="H1406" t="str">
        <f>"אלתא מערכות בע""מ"</f>
        <v>אלתא מערכות בע"מ</v>
      </c>
      <c r="I1406" t="str">
        <f>"10"</f>
        <v>10</v>
      </c>
      <c r="J1406" t="str">
        <f>"OP-AR03193"</f>
        <v>OP-AR03193</v>
      </c>
      <c r="K1406" t="str">
        <f>"1027C341-001    WGV051 PED UP PANEL TO PEDES IN"</f>
        <v>1027C341-001    WGV051 PED UP PANEL TO PEDES IN</v>
      </c>
      <c r="L1406">
        <v>1</v>
      </c>
      <c r="M1406" t="str">
        <f>"יח"</f>
        <v>יח</v>
      </c>
      <c r="N1406">
        <v>1</v>
      </c>
      <c r="O1406" t="str">
        <f>"יח"</f>
        <v>יח</v>
      </c>
      <c r="P1406">
        <v>117.91</v>
      </c>
      <c r="Q1406" t="str">
        <f>"$"</f>
        <v>$</v>
      </c>
      <c r="R1406" t="str">
        <f>"הזמנה"</f>
        <v>הזמנה</v>
      </c>
      <c r="S1406">
        <v>0</v>
      </c>
      <c r="T1406">
        <v>117.91</v>
      </c>
      <c r="U1406">
        <v>0</v>
      </c>
      <c r="V1406">
        <v>117.91</v>
      </c>
      <c r="W1406" t="str">
        <f>"$"</f>
        <v>$</v>
      </c>
      <c r="X1406">
        <v>0</v>
      </c>
      <c r="Y1406">
        <v>0</v>
      </c>
      <c r="Z1406">
        <v>0</v>
      </c>
      <c r="AA1406" t="str">
        <f>"Y"</f>
        <v>Y</v>
      </c>
      <c r="AB1406" t="str">
        <f>"SO22000235"</f>
        <v>SO22000235</v>
      </c>
      <c r="AC1406">
        <v>3</v>
      </c>
      <c r="AD1406" s="1">
        <v>44727</v>
      </c>
      <c r="AE1406" t="str">
        <f>"SH22001071"</f>
        <v>SH22001071</v>
      </c>
      <c r="AF1406" t="str">
        <f>"משלוחים ללקוח"</f>
        <v>משלוחים ללקוח</v>
      </c>
      <c r="AG1406" s="1">
        <v>44804</v>
      </c>
      <c r="AM1406" t="str">
        <f>"10"</f>
        <v>10</v>
      </c>
      <c r="AN1406" t="str">
        <f>"500000"</f>
        <v>500000</v>
      </c>
      <c r="AO1406" t="str">
        <f>"הכנסות  מלקוחות"</f>
        <v>הכנסות  מלקוחות</v>
      </c>
      <c r="AQ1406" t="str">
        <f>"040"</f>
        <v>040</v>
      </c>
      <c r="AR1406">
        <v>0</v>
      </c>
      <c r="AS1406">
        <v>0</v>
      </c>
      <c r="AT1406">
        <v>3.3410000000000002</v>
      </c>
      <c r="AX1406" t="str">
        <f>"E000366546"</f>
        <v>E000366546</v>
      </c>
      <c r="BD1406" t="str">
        <f>"רחמים זרוק"</f>
        <v>רחמים זרוק</v>
      </c>
    </row>
    <row r="1407" spans="1:56" x14ac:dyDescent="0.3">
      <c r="A1407" s="1">
        <v>44804</v>
      </c>
      <c r="B1407" t="str">
        <f>"SI226001025"</f>
        <v>SI226001025</v>
      </c>
      <c r="C1407" t="str">
        <f>"PR22000460"</f>
        <v>PR22000460</v>
      </c>
      <c r="D1407" t="str">
        <f>"PR22000460"</f>
        <v>PR22000460</v>
      </c>
      <c r="E1407" t="str">
        <f>"Y"</f>
        <v>Y</v>
      </c>
      <c r="F1407" t="str">
        <f>"חשבוניות מרכזות"</f>
        <v>חשבוניות מרכזות</v>
      </c>
      <c r="G1407" t="str">
        <f>"700065"</f>
        <v>700065</v>
      </c>
      <c r="H1407" t="str">
        <f>"אלתא מערכות בע""מ"</f>
        <v>אלתא מערכות בע"מ</v>
      </c>
      <c r="I1407" t="str">
        <f>"10"</f>
        <v>10</v>
      </c>
      <c r="J1407" t="str">
        <f>"OP-AR03193"</f>
        <v>OP-AR03193</v>
      </c>
      <c r="K1407" t="str">
        <f>"1027C341-001    WGV051 PED UP PANEL TO PEDES IN"</f>
        <v>1027C341-001    WGV051 PED UP PANEL TO PEDES IN</v>
      </c>
      <c r="L1407">
        <v>3</v>
      </c>
      <c r="M1407" t="str">
        <f>"יח"</f>
        <v>יח</v>
      </c>
      <c r="N1407">
        <v>3</v>
      </c>
      <c r="O1407" t="str">
        <f>"יח"</f>
        <v>יח</v>
      </c>
      <c r="P1407">
        <v>117.91</v>
      </c>
      <c r="Q1407" t="str">
        <f>"$"</f>
        <v>$</v>
      </c>
      <c r="R1407" t="str">
        <f>"הזמנה"</f>
        <v>הזמנה</v>
      </c>
      <c r="S1407">
        <v>0</v>
      </c>
      <c r="T1407">
        <v>353.73</v>
      </c>
      <c r="U1407">
        <v>0</v>
      </c>
      <c r="V1407">
        <v>353.73</v>
      </c>
      <c r="W1407" t="str">
        <f>"$"</f>
        <v>$</v>
      </c>
      <c r="X1407">
        <v>0</v>
      </c>
      <c r="Y1407">
        <v>0</v>
      </c>
      <c r="Z1407">
        <v>0</v>
      </c>
      <c r="AA1407" t="str">
        <f>"Y"</f>
        <v>Y</v>
      </c>
      <c r="AB1407" t="str">
        <f>"SO22000235"</f>
        <v>SO22000235</v>
      </c>
      <c r="AC1407">
        <v>4</v>
      </c>
      <c r="AD1407" s="1">
        <v>44727</v>
      </c>
      <c r="AE1407" t="str">
        <f>"SH22001071"</f>
        <v>SH22001071</v>
      </c>
      <c r="AF1407" t="str">
        <f>"משלוחים ללקוח"</f>
        <v>משלוחים ללקוח</v>
      </c>
      <c r="AG1407" s="1">
        <v>44804</v>
      </c>
      <c r="AM1407" t="str">
        <f>"10"</f>
        <v>10</v>
      </c>
      <c r="AN1407" t="str">
        <f>"500000"</f>
        <v>500000</v>
      </c>
      <c r="AO1407" t="str">
        <f>"הכנסות  מלקוחות"</f>
        <v>הכנסות  מלקוחות</v>
      </c>
      <c r="AQ1407" t="str">
        <f>"040"</f>
        <v>040</v>
      </c>
      <c r="AR1407">
        <v>0</v>
      </c>
      <c r="AS1407">
        <v>0</v>
      </c>
      <c r="AT1407">
        <v>3.3410000000000002</v>
      </c>
      <c r="AX1407" t="str">
        <f>"E000366546"</f>
        <v>E000366546</v>
      </c>
      <c r="BD1407" t="str">
        <f>"רחמים זרוק"</f>
        <v>רחמים זרוק</v>
      </c>
    </row>
    <row r="1408" spans="1:56" x14ac:dyDescent="0.3">
      <c r="A1408" s="1">
        <v>44804</v>
      </c>
      <c r="B1408" t="str">
        <f>"SI226001024"</f>
        <v>SI226001024</v>
      </c>
      <c r="C1408" t="str">
        <f>"PR21000666"</f>
        <v>PR21000666</v>
      </c>
      <c r="E1408" t="str">
        <f>"Y"</f>
        <v>Y</v>
      </c>
      <c r="F1408" t="str">
        <f>"חשבוניות מרכזות"</f>
        <v>חשבוניות מרכזות</v>
      </c>
      <c r="G1408" t="str">
        <f>"700065"</f>
        <v>700065</v>
      </c>
      <c r="H1408" t="str">
        <f>"אלתא מערכות בע""מ"</f>
        <v>אלתא מערכות בע"מ</v>
      </c>
      <c r="I1408" t="str">
        <f>"10"</f>
        <v>10</v>
      </c>
      <c r="J1408" t="str">
        <f>"OP-AR02806"</f>
        <v>OP-AR02806</v>
      </c>
      <c r="K1408" t="str">
        <f>"1037U914-001    TEST NEW LAB CABLE"</f>
        <v>1037U914-001    TEST NEW LAB CABLE</v>
      </c>
      <c r="L1408">
        <v>2</v>
      </c>
      <c r="M1408" t="str">
        <f>"יח"</f>
        <v>יח</v>
      </c>
      <c r="N1408">
        <v>2</v>
      </c>
      <c r="O1408" t="str">
        <f>"יח"</f>
        <v>יח</v>
      </c>
      <c r="P1408">
        <v>617.92999999999995</v>
      </c>
      <c r="Q1408" t="str">
        <f>"$"</f>
        <v>$</v>
      </c>
      <c r="R1408" t="str">
        <f>"הזמנה"</f>
        <v>הזמנה</v>
      </c>
      <c r="S1408">
        <v>0</v>
      </c>
      <c r="T1408" s="2">
        <v>1235.8599999999999</v>
      </c>
      <c r="U1408">
        <v>0</v>
      </c>
      <c r="V1408" s="2">
        <v>1235.8599999999999</v>
      </c>
      <c r="W1408" t="str">
        <f>"$"</f>
        <v>$</v>
      </c>
      <c r="X1408">
        <v>0</v>
      </c>
      <c r="Y1408">
        <v>0</v>
      </c>
      <c r="Z1408">
        <v>0</v>
      </c>
      <c r="AA1408" t="str">
        <f>"Y"</f>
        <v>Y</v>
      </c>
      <c r="AB1408" t="str">
        <f>"SO21000426"</f>
        <v>SO21000426</v>
      </c>
      <c r="AC1408">
        <v>3</v>
      </c>
      <c r="AD1408" s="1">
        <v>44476</v>
      </c>
      <c r="AE1408" t="str">
        <f>"SH22001064"</f>
        <v>SH22001064</v>
      </c>
      <c r="AF1408" t="str">
        <f>"משלוחים ללקוח"</f>
        <v>משלוחים ללקוח</v>
      </c>
      <c r="AG1408" s="1">
        <v>44803</v>
      </c>
      <c r="AM1408" t="str">
        <f>"10"</f>
        <v>10</v>
      </c>
      <c r="AN1408" t="str">
        <f>"500000"</f>
        <v>500000</v>
      </c>
      <c r="AO1408" t="str">
        <f>"הכנסות  מלקוחות"</f>
        <v>הכנסות  מלקוחות</v>
      </c>
      <c r="AQ1408" t="str">
        <f>"040"</f>
        <v>040</v>
      </c>
      <c r="AR1408">
        <v>0</v>
      </c>
      <c r="AS1408">
        <v>0</v>
      </c>
      <c r="AT1408">
        <v>3.3410000000000002</v>
      </c>
      <c r="AX1408" t="str">
        <f>"E000347550"</f>
        <v>E000347550</v>
      </c>
      <c r="BD1408" t="str">
        <f>"רחמים זרוק"</f>
        <v>רחמים זרוק</v>
      </c>
    </row>
    <row r="1409" spans="1:56" x14ac:dyDescent="0.3">
      <c r="A1409" s="1">
        <v>44804</v>
      </c>
      <c r="B1409" t="str">
        <f>"SI226001023"</f>
        <v>SI226001023</v>
      </c>
      <c r="C1409" t="str">
        <f>"PR22000488"</f>
        <v>PR22000488</v>
      </c>
      <c r="E1409" t="str">
        <f>"Y"</f>
        <v>Y</v>
      </c>
      <c r="F1409" t="str">
        <f>"חשבוניות מרכזות"</f>
        <v>חשבוניות מרכזות</v>
      </c>
      <c r="G1409" t="str">
        <f>"700065"</f>
        <v>700065</v>
      </c>
      <c r="H1409" t="str">
        <f>"אלתא מערכות בע""מ"</f>
        <v>אלתא מערכות בע"מ</v>
      </c>
      <c r="I1409" t="str">
        <f>"10"</f>
        <v>10</v>
      </c>
      <c r="J1409" t="str">
        <f>"OP-AR03212"</f>
        <v>OP-AR03212</v>
      </c>
      <c r="K1409" t="str">
        <f>"1017R476-001    CABLE FOR SSARP POWER"</f>
        <v>1017R476-001    CABLE FOR SSARP POWER</v>
      </c>
      <c r="L1409">
        <v>1</v>
      </c>
      <c r="M1409" t="str">
        <f>"יח"</f>
        <v>יח</v>
      </c>
      <c r="N1409">
        <v>1</v>
      </c>
      <c r="O1409" t="str">
        <f>"יח"</f>
        <v>יח</v>
      </c>
      <c r="P1409">
        <v>151.16999999999999</v>
      </c>
      <c r="Q1409" t="str">
        <f>"$"</f>
        <v>$</v>
      </c>
      <c r="R1409" t="str">
        <f>"הזמנה"</f>
        <v>הזמנה</v>
      </c>
      <c r="S1409">
        <v>0</v>
      </c>
      <c r="T1409">
        <v>151.16999999999999</v>
      </c>
      <c r="U1409">
        <v>0</v>
      </c>
      <c r="V1409">
        <v>151.16999999999999</v>
      </c>
      <c r="W1409" t="str">
        <f>"$"</f>
        <v>$</v>
      </c>
      <c r="X1409">
        <v>0</v>
      </c>
      <c r="Y1409">
        <v>0</v>
      </c>
      <c r="Z1409">
        <v>0</v>
      </c>
      <c r="AA1409" t="str">
        <f>"Y"</f>
        <v>Y</v>
      </c>
      <c r="AB1409" t="str">
        <f>"SO22000255"</f>
        <v>SO22000255</v>
      </c>
      <c r="AC1409">
        <v>2</v>
      </c>
      <c r="AD1409" s="1">
        <v>44738</v>
      </c>
      <c r="AE1409" t="str">
        <f>"SH22001061"</f>
        <v>SH22001061</v>
      </c>
      <c r="AF1409" t="str">
        <f>"משלוחים ללקוח"</f>
        <v>משלוחים ללקוח</v>
      </c>
      <c r="AG1409" s="1">
        <v>44803</v>
      </c>
      <c r="AM1409" t="str">
        <f>"10"</f>
        <v>10</v>
      </c>
      <c r="AN1409" t="str">
        <f>"500000"</f>
        <v>500000</v>
      </c>
      <c r="AO1409" t="str">
        <f>"הכנסות  מלקוחות"</f>
        <v>הכנסות  מלקוחות</v>
      </c>
      <c r="AQ1409" t="str">
        <f>"040"</f>
        <v>040</v>
      </c>
      <c r="AR1409">
        <v>0</v>
      </c>
      <c r="AS1409">
        <v>0</v>
      </c>
      <c r="AT1409">
        <v>3.3410000000000002</v>
      </c>
      <c r="AX1409" t="str">
        <f>"E000367697"</f>
        <v>E000367697</v>
      </c>
      <c r="BD1409" t="str">
        <f>"רחמים זרוק"</f>
        <v>רחמים זרוק</v>
      </c>
    </row>
    <row r="1410" spans="1:56" x14ac:dyDescent="0.3">
      <c r="A1410" s="1">
        <v>44804</v>
      </c>
      <c r="B1410" t="str">
        <f>"SI226001022"</f>
        <v>SI226001022</v>
      </c>
      <c r="C1410" t="str">
        <f>"PR22000374"</f>
        <v>PR22000374</v>
      </c>
      <c r="E1410" t="str">
        <f>"Y"</f>
        <v>Y</v>
      </c>
      <c r="F1410" t="str">
        <f>"חשבוניות מרכזות"</f>
        <v>חשבוניות מרכזות</v>
      </c>
      <c r="G1410" t="str">
        <f>"700065"</f>
        <v>700065</v>
      </c>
      <c r="H1410" t="str">
        <f>"אלתא מערכות בע""מ"</f>
        <v>אלתא מערכות בע"מ</v>
      </c>
      <c r="I1410" t="str">
        <f>"10"</f>
        <v>10</v>
      </c>
      <c r="J1410" t="str">
        <f>"OP-AR02999"</f>
        <v>OP-AR02999</v>
      </c>
      <c r="K1410" t="str">
        <f>"9000C568-001   HARNESS W1"</f>
        <v>9000C568-001   HARNESS W1</v>
      </c>
      <c r="L1410">
        <v>4</v>
      </c>
      <c r="M1410" t="str">
        <f>"יח"</f>
        <v>יח</v>
      </c>
      <c r="N1410">
        <v>4</v>
      </c>
      <c r="O1410" t="str">
        <f>"יח"</f>
        <v>יח</v>
      </c>
      <c r="P1410">
        <v>227.52</v>
      </c>
      <c r="Q1410" t="str">
        <f>"$"</f>
        <v>$</v>
      </c>
      <c r="R1410" t="str">
        <f>"הזמנה"</f>
        <v>הזמנה</v>
      </c>
      <c r="S1410">
        <v>0</v>
      </c>
      <c r="T1410">
        <v>910.08</v>
      </c>
      <c r="U1410">
        <v>0</v>
      </c>
      <c r="V1410">
        <v>910.08</v>
      </c>
      <c r="W1410" t="str">
        <f>"$"</f>
        <v>$</v>
      </c>
      <c r="X1410">
        <v>0</v>
      </c>
      <c r="Y1410">
        <v>0</v>
      </c>
      <c r="Z1410">
        <v>0</v>
      </c>
      <c r="AA1410" t="str">
        <f>"Y"</f>
        <v>Y</v>
      </c>
      <c r="AB1410" t="str">
        <f>"SO22000195"</f>
        <v>SO22000195</v>
      </c>
      <c r="AC1410">
        <v>1</v>
      </c>
      <c r="AD1410" s="1">
        <v>44698</v>
      </c>
      <c r="AE1410" t="str">
        <f>"SH22001060"</f>
        <v>SH22001060</v>
      </c>
      <c r="AF1410" t="str">
        <f>"משלוחים ללקוח"</f>
        <v>משלוחים ללקוח</v>
      </c>
      <c r="AG1410" s="1">
        <v>44803</v>
      </c>
      <c r="AM1410" t="str">
        <f>"10"</f>
        <v>10</v>
      </c>
      <c r="AN1410" t="str">
        <f>"500000"</f>
        <v>500000</v>
      </c>
      <c r="AO1410" t="str">
        <f>"הכנסות  מלקוחות"</f>
        <v>הכנסות  מלקוחות</v>
      </c>
      <c r="AQ1410" t="str">
        <f>"040"</f>
        <v>040</v>
      </c>
      <c r="AR1410">
        <v>0</v>
      </c>
      <c r="AS1410">
        <v>0</v>
      </c>
      <c r="AT1410">
        <v>3.3410000000000002</v>
      </c>
      <c r="AX1410" t="str">
        <f>"E000364002"</f>
        <v>E000364002</v>
      </c>
      <c r="BD1410" t="str">
        <f>"רחמים זרוק"</f>
        <v>רחמים זרוק</v>
      </c>
    </row>
    <row r="1411" spans="1:56" x14ac:dyDescent="0.3">
      <c r="A1411" s="1">
        <v>44804</v>
      </c>
      <c r="B1411" t="str">
        <f>"SI226001022"</f>
        <v>SI226001022</v>
      </c>
      <c r="C1411" t="str">
        <f>"PR22000374"</f>
        <v>PR22000374</v>
      </c>
      <c r="E1411" t="str">
        <f>"Y"</f>
        <v>Y</v>
      </c>
      <c r="F1411" t="str">
        <f>"חשבוניות מרכזות"</f>
        <v>חשבוניות מרכזות</v>
      </c>
      <c r="G1411" t="str">
        <f>"700065"</f>
        <v>700065</v>
      </c>
      <c r="H1411" t="str">
        <f>"אלתא מערכות בע""מ"</f>
        <v>אלתא מערכות בע"מ</v>
      </c>
      <c r="I1411" t="str">
        <f>"10"</f>
        <v>10</v>
      </c>
      <c r="J1411" t="str">
        <f>"OP-AR02999"</f>
        <v>OP-AR02999</v>
      </c>
      <c r="K1411" t="str">
        <f>"9000C568-001   HARNESS W1"</f>
        <v>9000C568-001   HARNESS W1</v>
      </c>
      <c r="L1411">
        <v>3</v>
      </c>
      <c r="M1411" t="str">
        <f>"יח"</f>
        <v>יח</v>
      </c>
      <c r="N1411">
        <v>3</v>
      </c>
      <c r="O1411" t="str">
        <f>"יח"</f>
        <v>יח</v>
      </c>
      <c r="P1411">
        <v>227.52</v>
      </c>
      <c r="Q1411" t="str">
        <f>"$"</f>
        <v>$</v>
      </c>
      <c r="R1411" t="str">
        <f>"הזמנה"</f>
        <v>הזמנה</v>
      </c>
      <c r="S1411">
        <v>0</v>
      </c>
      <c r="T1411">
        <v>682.56</v>
      </c>
      <c r="U1411">
        <v>0</v>
      </c>
      <c r="V1411">
        <v>682.56</v>
      </c>
      <c r="W1411" t="str">
        <f>"$"</f>
        <v>$</v>
      </c>
      <c r="X1411">
        <v>0</v>
      </c>
      <c r="Y1411">
        <v>0</v>
      </c>
      <c r="Z1411">
        <v>0</v>
      </c>
      <c r="AA1411" t="str">
        <f>"Y"</f>
        <v>Y</v>
      </c>
      <c r="AB1411" t="str">
        <f>"SO22000195"</f>
        <v>SO22000195</v>
      </c>
      <c r="AC1411">
        <v>2</v>
      </c>
      <c r="AD1411" s="1">
        <v>44698</v>
      </c>
      <c r="AE1411" t="str">
        <f>"SH22001060"</f>
        <v>SH22001060</v>
      </c>
      <c r="AF1411" t="str">
        <f>"משלוחים ללקוח"</f>
        <v>משלוחים ללקוח</v>
      </c>
      <c r="AG1411" s="1">
        <v>44803</v>
      </c>
      <c r="AM1411" t="str">
        <f>"10"</f>
        <v>10</v>
      </c>
      <c r="AN1411" t="str">
        <f>"500000"</f>
        <v>500000</v>
      </c>
      <c r="AO1411" t="str">
        <f>"הכנסות  מלקוחות"</f>
        <v>הכנסות  מלקוחות</v>
      </c>
      <c r="AQ1411" t="str">
        <f>"040"</f>
        <v>040</v>
      </c>
      <c r="AR1411">
        <v>0</v>
      </c>
      <c r="AS1411">
        <v>0</v>
      </c>
      <c r="AT1411">
        <v>3.3410000000000002</v>
      </c>
      <c r="AX1411" t="str">
        <f>"E000364002"</f>
        <v>E000364002</v>
      </c>
      <c r="BD1411" t="str">
        <f>"רחמים זרוק"</f>
        <v>רחמים זרוק</v>
      </c>
    </row>
    <row r="1412" spans="1:56" x14ac:dyDescent="0.3">
      <c r="A1412" s="1">
        <v>44804</v>
      </c>
      <c r="B1412" t="str">
        <f>"SI226001022"</f>
        <v>SI226001022</v>
      </c>
      <c r="C1412" t="str">
        <f>"PR22000374"</f>
        <v>PR22000374</v>
      </c>
      <c r="E1412" t="str">
        <f>"Y"</f>
        <v>Y</v>
      </c>
      <c r="F1412" t="str">
        <f>"חשבוניות מרכזות"</f>
        <v>חשבוניות מרכזות</v>
      </c>
      <c r="G1412" t="str">
        <f>"700065"</f>
        <v>700065</v>
      </c>
      <c r="H1412" t="str">
        <f>"אלתא מערכות בע""מ"</f>
        <v>אלתא מערכות בע"מ</v>
      </c>
      <c r="I1412" t="str">
        <f>"10"</f>
        <v>10</v>
      </c>
      <c r="J1412" t="str">
        <f>"OP-AR03137"</f>
        <v>OP-AR03137</v>
      </c>
      <c r="K1412" t="str">
        <f>"2032D928-001    HARNESS W928 - POWER SUPPLY"</f>
        <v>2032D928-001    HARNESS W928 - POWER SUPPLY</v>
      </c>
      <c r="L1412">
        <v>6</v>
      </c>
      <c r="M1412" t="str">
        <f>"יח"</f>
        <v>יח</v>
      </c>
      <c r="N1412">
        <v>6</v>
      </c>
      <c r="O1412" t="str">
        <f>"יח"</f>
        <v>יח</v>
      </c>
      <c r="P1412">
        <v>319.83</v>
      </c>
      <c r="Q1412" t="str">
        <f>"$"</f>
        <v>$</v>
      </c>
      <c r="R1412" t="str">
        <f>"הזמנה"</f>
        <v>הזמנה</v>
      </c>
      <c r="S1412">
        <v>0</v>
      </c>
      <c r="T1412" s="2">
        <v>1918.98</v>
      </c>
      <c r="U1412">
        <v>0</v>
      </c>
      <c r="V1412" s="2">
        <v>1918.98</v>
      </c>
      <c r="W1412" t="str">
        <f>"$"</f>
        <v>$</v>
      </c>
      <c r="X1412">
        <v>0</v>
      </c>
      <c r="Y1412">
        <v>0</v>
      </c>
      <c r="Z1412">
        <v>0</v>
      </c>
      <c r="AA1412" t="str">
        <f>"Y"</f>
        <v>Y</v>
      </c>
      <c r="AB1412" t="str">
        <f>"SO22000195"</f>
        <v>SO22000195</v>
      </c>
      <c r="AC1412">
        <v>5</v>
      </c>
      <c r="AD1412" s="1">
        <v>44698</v>
      </c>
      <c r="AE1412" t="str">
        <f>"SH22001060"</f>
        <v>SH22001060</v>
      </c>
      <c r="AF1412" t="str">
        <f>"משלוחים ללקוח"</f>
        <v>משלוחים ללקוח</v>
      </c>
      <c r="AG1412" s="1">
        <v>44803</v>
      </c>
      <c r="AM1412" t="str">
        <f>"10"</f>
        <v>10</v>
      </c>
      <c r="AN1412" t="str">
        <f>"500000"</f>
        <v>500000</v>
      </c>
      <c r="AO1412" t="str">
        <f>"הכנסות  מלקוחות"</f>
        <v>הכנסות  מלקוחות</v>
      </c>
      <c r="AQ1412" t="str">
        <f>"040"</f>
        <v>040</v>
      </c>
      <c r="AR1412">
        <v>0</v>
      </c>
      <c r="AS1412">
        <v>0</v>
      </c>
      <c r="AT1412">
        <v>3.3410000000000002</v>
      </c>
      <c r="AX1412" t="str">
        <f>"E000364002"</f>
        <v>E000364002</v>
      </c>
      <c r="BD1412" t="str">
        <f>"רחמים זרוק"</f>
        <v>רחמים זרוק</v>
      </c>
    </row>
    <row r="1413" spans="1:56" x14ac:dyDescent="0.3">
      <c r="A1413" s="1">
        <v>44804</v>
      </c>
      <c r="B1413" t="str">
        <f>"SI226001022"</f>
        <v>SI226001022</v>
      </c>
      <c r="C1413" t="str">
        <f>"PR22000374"</f>
        <v>PR22000374</v>
      </c>
      <c r="E1413" t="str">
        <f>"Y"</f>
        <v>Y</v>
      </c>
      <c r="F1413" t="str">
        <f>"חשבוניות מרכזות"</f>
        <v>חשבוניות מרכזות</v>
      </c>
      <c r="G1413" t="str">
        <f>"700065"</f>
        <v>700065</v>
      </c>
      <c r="H1413" t="str">
        <f>"אלתא מערכות בע""מ"</f>
        <v>אלתא מערכות בע"מ</v>
      </c>
      <c r="I1413" t="str">
        <f>"10"</f>
        <v>10</v>
      </c>
      <c r="J1413" t="str">
        <f>"OP-AR02086"</f>
        <v>OP-AR02086</v>
      </c>
      <c r="K1413" t="str">
        <f>"2060B171-001  CABLE ASSY CRW22"</f>
        <v>2060B171-001  CABLE ASSY CRW22</v>
      </c>
      <c r="L1413">
        <v>1</v>
      </c>
      <c r="M1413" t="str">
        <f>"יח"</f>
        <v>יח</v>
      </c>
      <c r="N1413">
        <v>1</v>
      </c>
      <c r="O1413" t="str">
        <f>"יח"</f>
        <v>יח</v>
      </c>
      <c r="P1413">
        <v>623.46</v>
      </c>
      <c r="Q1413" t="str">
        <f>"$"</f>
        <v>$</v>
      </c>
      <c r="R1413" t="str">
        <f>"הזמנה"</f>
        <v>הזמנה</v>
      </c>
      <c r="S1413">
        <v>0</v>
      </c>
      <c r="T1413">
        <v>623.46</v>
      </c>
      <c r="U1413">
        <v>0</v>
      </c>
      <c r="V1413">
        <v>623.46</v>
      </c>
      <c r="W1413" t="str">
        <f>"$"</f>
        <v>$</v>
      </c>
      <c r="X1413">
        <v>0</v>
      </c>
      <c r="Y1413">
        <v>0</v>
      </c>
      <c r="Z1413">
        <v>0</v>
      </c>
      <c r="AA1413" t="str">
        <f>"Y"</f>
        <v>Y</v>
      </c>
      <c r="AB1413" t="str">
        <f>"SO22000195"</f>
        <v>SO22000195</v>
      </c>
      <c r="AC1413">
        <v>7</v>
      </c>
      <c r="AD1413" s="1">
        <v>44698</v>
      </c>
      <c r="AE1413" t="str">
        <f>"SH22001060"</f>
        <v>SH22001060</v>
      </c>
      <c r="AF1413" t="str">
        <f>"משלוחים ללקוח"</f>
        <v>משלוחים ללקוח</v>
      </c>
      <c r="AG1413" s="1">
        <v>44803</v>
      </c>
      <c r="AM1413" t="str">
        <f>"10"</f>
        <v>10</v>
      </c>
      <c r="AN1413" t="str">
        <f>"500000"</f>
        <v>500000</v>
      </c>
      <c r="AO1413" t="str">
        <f>"הכנסות  מלקוחות"</f>
        <v>הכנסות  מלקוחות</v>
      </c>
      <c r="AQ1413" t="str">
        <f>"040"</f>
        <v>040</v>
      </c>
      <c r="AR1413">
        <v>0</v>
      </c>
      <c r="AS1413">
        <v>0</v>
      </c>
      <c r="AT1413">
        <v>3.3410000000000002</v>
      </c>
      <c r="AX1413" t="str">
        <f>"E000364002"</f>
        <v>E000364002</v>
      </c>
      <c r="BD1413" t="str">
        <f>"רחמים זרוק"</f>
        <v>רחמים זרוק</v>
      </c>
    </row>
    <row r="1414" spans="1:56" x14ac:dyDescent="0.3">
      <c r="A1414" s="1">
        <v>44804</v>
      </c>
      <c r="B1414" t="str">
        <f>"SI226001022"</f>
        <v>SI226001022</v>
      </c>
      <c r="C1414" t="str">
        <f>"PR22000374"</f>
        <v>PR22000374</v>
      </c>
      <c r="E1414" t="str">
        <f>"Y"</f>
        <v>Y</v>
      </c>
      <c r="F1414" t="str">
        <f>"חשבוניות מרכזות"</f>
        <v>חשבוניות מרכזות</v>
      </c>
      <c r="G1414" t="str">
        <f>"700065"</f>
        <v>700065</v>
      </c>
      <c r="H1414" t="str">
        <f>"אלתא מערכות בע""מ"</f>
        <v>אלתא מערכות בע"מ</v>
      </c>
      <c r="I1414" t="str">
        <f>"10"</f>
        <v>10</v>
      </c>
      <c r="J1414" t="str">
        <f>"OP-AR03139"</f>
        <v>OP-AR03139</v>
      </c>
      <c r="K1414" t="str">
        <f>"2109B800-001   DLXW1 CABLE ASSY (SAT HPA POWER)"</f>
        <v>2109B800-001   DLXW1 CABLE ASSY (SAT HPA POWER)</v>
      </c>
      <c r="L1414">
        <v>1</v>
      </c>
      <c r="M1414" t="str">
        <f>"יח"</f>
        <v>יח</v>
      </c>
      <c r="N1414">
        <v>1</v>
      </c>
      <c r="O1414" t="str">
        <f>"יח"</f>
        <v>יח</v>
      </c>
      <c r="P1414">
        <v>295.73</v>
      </c>
      <c r="Q1414" t="str">
        <f>"$"</f>
        <v>$</v>
      </c>
      <c r="R1414" t="str">
        <f>"הזמנה"</f>
        <v>הזמנה</v>
      </c>
      <c r="S1414">
        <v>0</v>
      </c>
      <c r="T1414">
        <v>295.73</v>
      </c>
      <c r="U1414">
        <v>0</v>
      </c>
      <c r="V1414">
        <v>295.73</v>
      </c>
      <c r="W1414" t="str">
        <f>"$"</f>
        <v>$</v>
      </c>
      <c r="X1414">
        <v>0</v>
      </c>
      <c r="Y1414">
        <v>0</v>
      </c>
      <c r="Z1414">
        <v>0</v>
      </c>
      <c r="AA1414" t="str">
        <f>"Y"</f>
        <v>Y</v>
      </c>
      <c r="AB1414" t="str">
        <f>"SO22000195"</f>
        <v>SO22000195</v>
      </c>
      <c r="AC1414">
        <v>9</v>
      </c>
      <c r="AD1414" s="1">
        <v>44698</v>
      </c>
      <c r="AE1414" t="str">
        <f>"SH22001060"</f>
        <v>SH22001060</v>
      </c>
      <c r="AF1414" t="str">
        <f>"משלוחים ללקוח"</f>
        <v>משלוחים ללקוח</v>
      </c>
      <c r="AG1414" s="1">
        <v>44803</v>
      </c>
      <c r="AM1414" t="str">
        <f>"10"</f>
        <v>10</v>
      </c>
      <c r="AN1414" t="str">
        <f>"500000"</f>
        <v>500000</v>
      </c>
      <c r="AO1414" t="str">
        <f>"הכנסות  מלקוחות"</f>
        <v>הכנסות  מלקוחות</v>
      </c>
      <c r="AQ1414" t="str">
        <f>"040"</f>
        <v>040</v>
      </c>
      <c r="AR1414">
        <v>0</v>
      </c>
      <c r="AS1414">
        <v>0</v>
      </c>
      <c r="AT1414">
        <v>3.3410000000000002</v>
      </c>
      <c r="AX1414" t="str">
        <f>"E000364002"</f>
        <v>E000364002</v>
      </c>
      <c r="BD1414" t="str">
        <f>"רחמים זרוק"</f>
        <v>רחמים זרוק</v>
      </c>
    </row>
    <row r="1415" spans="1:56" x14ac:dyDescent="0.3">
      <c r="A1415" s="1">
        <v>44804</v>
      </c>
      <c r="B1415" t="str">
        <f>"SI226001022"</f>
        <v>SI226001022</v>
      </c>
      <c r="C1415" t="str">
        <f>"PR22000374"</f>
        <v>PR22000374</v>
      </c>
      <c r="E1415" t="str">
        <f>"Y"</f>
        <v>Y</v>
      </c>
      <c r="F1415" t="str">
        <f>"חשבוניות מרכזות"</f>
        <v>חשבוניות מרכזות</v>
      </c>
      <c r="G1415" t="str">
        <f>"700065"</f>
        <v>700065</v>
      </c>
      <c r="H1415" t="str">
        <f>"אלתא מערכות בע""מ"</f>
        <v>אלתא מערכות בע"מ</v>
      </c>
      <c r="I1415" t="str">
        <f>"10"</f>
        <v>10</v>
      </c>
      <c r="J1415" t="str">
        <f>"OP-AR03140"</f>
        <v>OP-AR03140</v>
      </c>
      <c r="K1415" t="str">
        <f>"2135B186-001    RP-VIDEO CABLE ASSY RMTW3"</f>
        <v>2135B186-001    RP-VIDEO CABLE ASSY RMTW3</v>
      </c>
      <c r="L1415">
        <v>2</v>
      </c>
      <c r="M1415" t="str">
        <f>"יח"</f>
        <v>יח</v>
      </c>
      <c r="N1415">
        <v>2</v>
      </c>
      <c r="O1415" t="str">
        <f>"יח"</f>
        <v>יח</v>
      </c>
      <c r="P1415">
        <v>162.03</v>
      </c>
      <c r="Q1415" t="str">
        <f>"$"</f>
        <v>$</v>
      </c>
      <c r="R1415" t="str">
        <f>"הזמנה"</f>
        <v>הזמנה</v>
      </c>
      <c r="S1415">
        <v>0</v>
      </c>
      <c r="T1415">
        <v>324.06</v>
      </c>
      <c r="U1415">
        <v>0</v>
      </c>
      <c r="V1415">
        <v>324.06</v>
      </c>
      <c r="W1415" t="str">
        <f>"$"</f>
        <v>$</v>
      </c>
      <c r="X1415">
        <v>0</v>
      </c>
      <c r="Y1415">
        <v>0</v>
      </c>
      <c r="Z1415">
        <v>0</v>
      </c>
      <c r="AA1415" t="str">
        <f>"Y"</f>
        <v>Y</v>
      </c>
      <c r="AB1415" t="str">
        <f>"SO22000195"</f>
        <v>SO22000195</v>
      </c>
      <c r="AC1415">
        <v>10</v>
      </c>
      <c r="AD1415" s="1">
        <v>44698</v>
      </c>
      <c r="AE1415" t="str">
        <f>"SH22001060"</f>
        <v>SH22001060</v>
      </c>
      <c r="AF1415" t="str">
        <f>"משלוחים ללקוח"</f>
        <v>משלוחים ללקוח</v>
      </c>
      <c r="AG1415" s="1">
        <v>44803</v>
      </c>
      <c r="AM1415" t="str">
        <f>"10"</f>
        <v>10</v>
      </c>
      <c r="AN1415" t="str">
        <f>"500000"</f>
        <v>500000</v>
      </c>
      <c r="AO1415" t="str">
        <f>"הכנסות  מלקוחות"</f>
        <v>הכנסות  מלקוחות</v>
      </c>
      <c r="AQ1415" t="str">
        <f>"040"</f>
        <v>040</v>
      </c>
      <c r="AR1415">
        <v>0</v>
      </c>
      <c r="AS1415">
        <v>0</v>
      </c>
      <c r="AT1415">
        <v>3.3410000000000002</v>
      </c>
      <c r="AX1415" t="str">
        <f>"E000364002"</f>
        <v>E000364002</v>
      </c>
      <c r="BD1415" t="str">
        <f>"רחמים זרוק"</f>
        <v>רחמים זרוק</v>
      </c>
    </row>
    <row r="1416" spans="1:56" x14ac:dyDescent="0.3">
      <c r="A1416" s="1">
        <v>44804</v>
      </c>
      <c r="B1416" t="str">
        <f>"SI226001021"</f>
        <v>SI226001021</v>
      </c>
      <c r="C1416" t="str">
        <f>"PR22000223"</f>
        <v>PR22000223</v>
      </c>
      <c r="E1416" t="str">
        <f>"Y"</f>
        <v>Y</v>
      </c>
      <c r="F1416" t="str">
        <f>"חשבוניות מרכזות"</f>
        <v>חשבוניות מרכזות</v>
      </c>
      <c r="G1416" t="str">
        <f>"700065"</f>
        <v>700065</v>
      </c>
      <c r="H1416" t="str">
        <f>"אלתא מערכות בע""מ"</f>
        <v>אלתא מערכות בע"מ</v>
      </c>
      <c r="I1416" t="str">
        <f>"10"</f>
        <v>10</v>
      </c>
      <c r="J1416" t="str">
        <f>"OP-AR02996"</f>
        <v>OP-AR02996</v>
      </c>
      <c r="K1416" t="str">
        <f>"1023M516-001   HARNESS W4"</f>
        <v>1023M516-001   HARNESS W4</v>
      </c>
      <c r="L1416">
        <v>20</v>
      </c>
      <c r="M1416" t="str">
        <f>"יח"</f>
        <v>יח</v>
      </c>
      <c r="N1416">
        <v>20</v>
      </c>
      <c r="O1416" t="str">
        <f>"יח"</f>
        <v>יח</v>
      </c>
      <c r="P1416">
        <v>535.78</v>
      </c>
      <c r="Q1416" t="str">
        <f>"$"</f>
        <v>$</v>
      </c>
      <c r="R1416" t="str">
        <f>"הזמנה"</f>
        <v>הזמנה</v>
      </c>
      <c r="S1416">
        <v>0</v>
      </c>
      <c r="T1416" s="2">
        <v>10715.6</v>
      </c>
      <c r="U1416">
        <v>0</v>
      </c>
      <c r="V1416" s="2">
        <v>10715.6</v>
      </c>
      <c r="W1416" t="str">
        <f>"$"</f>
        <v>$</v>
      </c>
      <c r="X1416">
        <v>0</v>
      </c>
      <c r="Y1416">
        <v>0</v>
      </c>
      <c r="Z1416">
        <v>0</v>
      </c>
      <c r="AA1416" t="str">
        <f>"Y"</f>
        <v>Y</v>
      </c>
      <c r="AB1416" t="str">
        <f>"SO22000099"</f>
        <v>SO22000099</v>
      </c>
      <c r="AC1416">
        <v>2</v>
      </c>
      <c r="AD1416" s="1">
        <v>44629</v>
      </c>
      <c r="AE1416" t="str">
        <f>"SH22001059"</f>
        <v>SH22001059</v>
      </c>
      <c r="AF1416" t="str">
        <f>"משלוחים ללקוח"</f>
        <v>משלוחים ללקוח</v>
      </c>
      <c r="AG1416" s="1">
        <v>44803</v>
      </c>
      <c r="AM1416" t="str">
        <f>"10"</f>
        <v>10</v>
      </c>
      <c r="AN1416" t="str">
        <f>"500000"</f>
        <v>500000</v>
      </c>
      <c r="AO1416" t="str">
        <f>"הכנסות  מלקוחות"</f>
        <v>הכנסות  מלקוחות</v>
      </c>
      <c r="AQ1416" t="str">
        <f>"040"</f>
        <v>040</v>
      </c>
      <c r="AR1416">
        <v>0</v>
      </c>
      <c r="AS1416">
        <v>0</v>
      </c>
      <c r="AT1416">
        <v>3.3410000000000002</v>
      </c>
      <c r="AX1416" t="str">
        <f>"E000358026"</f>
        <v>E000358026</v>
      </c>
      <c r="BD1416" t="str">
        <f>"רחמים זרוק"</f>
        <v>רחמים זרוק</v>
      </c>
    </row>
    <row r="1417" spans="1:56" x14ac:dyDescent="0.3">
      <c r="A1417" s="1">
        <v>44804</v>
      </c>
      <c r="B1417" t="str">
        <f>"SI226001021"</f>
        <v>SI226001021</v>
      </c>
      <c r="C1417" t="str">
        <f>"PR22000223"</f>
        <v>PR22000223</v>
      </c>
      <c r="E1417" t="str">
        <f>"Y"</f>
        <v>Y</v>
      </c>
      <c r="F1417" t="str">
        <f>"חשבוניות מרכזות"</f>
        <v>חשבוניות מרכזות</v>
      </c>
      <c r="G1417" t="str">
        <f>"700065"</f>
        <v>700065</v>
      </c>
      <c r="H1417" t="str">
        <f>"אלתא מערכות בע""מ"</f>
        <v>אלתא מערכות בע"מ</v>
      </c>
      <c r="I1417" t="str">
        <f>"10"</f>
        <v>10</v>
      </c>
      <c r="J1417" t="str">
        <f>"OP-AR03006"</f>
        <v>OP-AR03006</v>
      </c>
      <c r="K1417" t="str">
        <f>"2215D095-001   HARNESS WB001 - POWER CABLE TO MINI IPB"</f>
        <v>2215D095-001   HARNESS WB001 - POWER CABLE TO MINI IPB</v>
      </c>
      <c r="L1417">
        <v>6</v>
      </c>
      <c r="M1417" t="str">
        <f>"יח"</f>
        <v>יח</v>
      </c>
      <c r="N1417">
        <v>6</v>
      </c>
      <c r="O1417" t="str">
        <f>"יח"</f>
        <v>יח</v>
      </c>
      <c r="P1417">
        <v>121.66</v>
      </c>
      <c r="Q1417" t="str">
        <f>"$"</f>
        <v>$</v>
      </c>
      <c r="R1417" t="str">
        <f>"הזמנה"</f>
        <v>הזמנה</v>
      </c>
      <c r="S1417">
        <v>0</v>
      </c>
      <c r="T1417">
        <v>729.96</v>
      </c>
      <c r="U1417">
        <v>0</v>
      </c>
      <c r="V1417">
        <v>729.96</v>
      </c>
      <c r="W1417" t="str">
        <f>"$"</f>
        <v>$</v>
      </c>
      <c r="X1417">
        <v>0</v>
      </c>
      <c r="Y1417">
        <v>0</v>
      </c>
      <c r="Z1417">
        <v>0</v>
      </c>
      <c r="AA1417" t="str">
        <f>"Y"</f>
        <v>Y</v>
      </c>
      <c r="AB1417" t="str">
        <f>"SO22000099"</f>
        <v>SO22000099</v>
      </c>
      <c r="AC1417">
        <v>14</v>
      </c>
      <c r="AD1417" s="1">
        <v>44629</v>
      </c>
      <c r="AE1417" t="str">
        <f>"SH22001059"</f>
        <v>SH22001059</v>
      </c>
      <c r="AF1417" t="str">
        <f>"משלוחים ללקוח"</f>
        <v>משלוחים ללקוח</v>
      </c>
      <c r="AG1417" s="1">
        <v>44803</v>
      </c>
      <c r="AM1417" t="str">
        <f>"10"</f>
        <v>10</v>
      </c>
      <c r="AN1417" t="str">
        <f>"500000"</f>
        <v>500000</v>
      </c>
      <c r="AO1417" t="str">
        <f>"הכנסות  מלקוחות"</f>
        <v>הכנסות  מלקוחות</v>
      </c>
      <c r="AQ1417" t="str">
        <f>"040"</f>
        <v>040</v>
      </c>
      <c r="AR1417">
        <v>0</v>
      </c>
      <c r="AS1417">
        <v>0</v>
      </c>
      <c r="AT1417">
        <v>3.3410000000000002</v>
      </c>
      <c r="AX1417" t="str">
        <f>"E000358026"</f>
        <v>E000358026</v>
      </c>
      <c r="BD1417" t="str">
        <f>"רחמים זרוק"</f>
        <v>רחמים זרוק</v>
      </c>
    </row>
    <row r="1418" spans="1:56" x14ac:dyDescent="0.3">
      <c r="A1418" s="1">
        <v>44803</v>
      </c>
      <c r="B1418" t="str">
        <f>"SI226000989"</f>
        <v>SI226000989</v>
      </c>
      <c r="C1418" t="str">
        <f>"PR22000191"</f>
        <v>PR22000191</v>
      </c>
      <c r="D1418" t="str">
        <f>"PR22000191"</f>
        <v>PR22000191</v>
      </c>
      <c r="E1418" t="str">
        <f>"Y"</f>
        <v>Y</v>
      </c>
      <c r="F1418" t="str">
        <f>"חשבוניות מרכזות"</f>
        <v>חשבוניות מרכזות</v>
      </c>
      <c r="G1418" t="str">
        <f>"700065"</f>
        <v>700065</v>
      </c>
      <c r="H1418" t="str">
        <f>"אלתא מערכות בע""מ"</f>
        <v>אלתא מערכות בע"מ</v>
      </c>
      <c r="I1418" t="str">
        <f>"10"</f>
        <v>10</v>
      </c>
      <c r="J1418" t="str">
        <f>"000"</f>
        <v>000</v>
      </c>
      <c r="K1418" t="str">
        <f>"זיכוי בגין חשבונית מספר SI226000748"</f>
        <v>זיכוי בגין חשבונית מספר SI226000748</v>
      </c>
      <c r="L1418">
        <v>-1</v>
      </c>
      <c r="M1418" t="str">
        <f>"יח"</f>
        <v>יח</v>
      </c>
      <c r="N1418">
        <v>-1</v>
      </c>
      <c r="O1418" t="str">
        <f>"יח"</f>
        <v>יח</v>
      </c>
      <c r="P1418" s="2">
        <v>3247</v>
      </c>
      <c r="Q1418" t="str">
        <f>"$"</f>
        <v>$</v>
      </c>
      <c r="R1418" t="str">
        <f>"הזמנה"</f>
        <v>הזמנה</v>
      </c>
      <c r="S1418">
        <v>0</v>
      </c>
      <c r="T1418" s="2">
        <v>-3247</v>
      </c>
      <c r="U1418">
        <v>0</v>
      </c>
      <c r="V1418" s="2">
        <v>-3247</v>
      </c>
      <c r="W1418" t="str">
        <f>"$"</f>
        <v>$</v>
      </c>
      <c r="X1418">
        <v>0</v>
      </c>
      <c r="Y1418">
        <v>0</v>
      </c>
      <c r="Z1418">
        <v>0</v>
      </c>
      <c r="AA1418" t="str">
        <f>"Y"</f>
        <v>Y</v>
      </c>
      <c r="AB1418" t="str">
        <f>"SO22000083"</f>
        <v>SO22000083</v>
      </c>
      <c r="AC1418">
        <v>7</v>
      </c>
      <c r="AD1418" s="1">
        <v>44622</v>
      </c>
      <c r="AM1418" t="str">
        <f>"10"</f>
        <v>10</v>
      </c>
      <c r="AN1418" t="str">
        <f>"500000"</f>
        <v>500000</v>
      </c>
      <c r="AO1418" t="str">
        <f>"הכנסות  מלקוחות"</f>
        <v>הכנסות  מלקוחות</v>
      </c>
      <c r="AQ1418" t="str">
        <f>"040"</f>
        <v>040</v>
      </c>
      <c r="AR1418">
        <v>0</v>
      </c>
      <c r="AS1418">
        <v>0</v>
      </c>
      <c r="AT1418">
        <v>3.5259999999999998</v>
      </c>
      <c r="AX1418" t="str">
        <f>"E000358730"</f>
        <v>E000358730</v>
      </c>
      <c r="BD1418" t="str">
        <f>"רחמים זרוק"</f>
        <v>רחמים זרוק</v>
      </c>
    </row>
    <row r="1419" spans="1:56" x14ac:dyDescent="0.3">
      <c r="A1419" s="1">
        <v>44798</v>
      </c>
      <c r="B1419" t="str">
        <f>"SI226000982"</f>
        <v>SI226000982</v>
      </c>
      <c r="E1419" t="str">
        <f>"Y"</f>
        <v>Y</v>
      </c>
      <c r="F1419" t="str">
        <f>"חשבוניות מרכזות"</f>
        <v>חשבוניות מרכזות</v>
      </c>
      <c r="G1419" t="str">
        <f>"700065"</f>
        <v>700065</v>
      </c>
      <c r="H1419" t="str">
        <f>"אלתא מערכות בע""מ"</f>
        <v>אלתא מערכות בע"מ</v>
      </c>
      <c r="I1419" t="str">
        <f>"05"</f>
        <v>05</v>
      </c>
      <c r="J1419" t="str">
        <f>"OP-PD02882"</f>
        <v>OP-PD02882</v>
      </c>
      <c r="K1419" t="str">
        <f>"ISOLATION TRANSFORMER UNIT 200KVA"</f>
        <v>ISOLATION TRANSFORMER UNIT 200KVA</v>
      </c>
      <c r="L1419">
        <v>1</v>
      </c>
      <c r="M1419" t="str">
        <f>"יח"</f>
        <v>יח</v>
      </c>
      <c r="N1419">
        <v>1</v>
      </c>
      <c r="O1419" t="str">
        <f>"יח"</f>
        <v>יח</v>
      </c>
      <c r="P1419" s="2">
        <v>35340</v>
      </c>
      <c r="Q1419" t="str">
        <f>"$"</f>
        <v>$</v>
      </c>
      <c r="R1419" t="str">
        <f>"הזמנה"</f>
        <v>הזמנה</v>
      </c>
      <c r="S1419">
        <v>0</v>
      </c>
      <c r="T1419" s="2">
        <v>35340</v>
      </c>
      <c r="U1419">
        <v>0</v>
      </c>
      <c r="V1419" s="2">
        <v>35340</v>
      </c>
      <c r="W1419" t="str">
        <f>"$"</f>
        <v>$</v>
      </c>
      <c r="X1419">
        <v>0</v>
      </c>
      <c r="Y1419">
        <v>0</v>
      </c>
      <c r="Z1419">
        <v>0</v>
      </c>
      <c r="AA1419" t="str">
        <f>"Y"</f>
        <v>Y</v>
      </c>
      <c r="AB1419" t="str">
        <f>"SO21000184"</f>
        <v>SO21000184</v>
      </c>
      <c r="AC1419">
        <v>4</v>
      </c>
      <c r="AD1419" s="1">
        <v>44307</v>
      </c>
      <c r="AE1419" t="str">
        <f>"SH22001509"</f>
        <v>SH22001509</v>
      </c>
      <c r="AF1419" t="str">
        <f>"משלוחים ללקוח"</f>
        <v>משלוחים ללקוח</v>
      </c>
      <c r="AG1419" s="1">
        <v>44922</v>
      </c>
      <c r="AM1419" t="str">
        <f>"10"</f>
        <v>10</v>
      </c>
      <c r="AN1419" t="str">
        <f>"500000"</f>
        <v>500000</v>
      </c>
      <c r="AO1419" t="str">
        <f>"הכנסות  מלקוחות"</f>
        <v>הכנסות  מלקוחות</v>
      </c>
      <c r="AQ1419" t="str">
        <f>"034"</f>
        <v>034</v>
      </c>
      <c r="AR1419">
        <v>0</v>
      </c>
      <c r="AS1419">
        <v>0</v>
      </c>
      <c r="AT1419">
        <v>3.278</v>
      </c>
      <c r="AX1419" t="str">
        <f>"E000336430"</f>
        <v>E000336430</v>
      </c>
      <c r="BD1419" t="str">
        <f>"ערן שלו"</f>
        <v>ערן שלו</v>
      </c>
    </row>
    <row r="1420" spans="1:56" x14ac:dyDescent="0.3">
      <c r="A1420" s="1">
        <v>44798</v>
      </c>
      <c r="B1420" t="str">
        <f>"SI226000981"</f>
        <v>SI226000981</v>
      </c>
      <c r="E1420" t="str">
        <f>"Y"</f>
        <v>Y</v>
      </c>
      <c r="F1420" t="str">
        <f>"חשבוניות מרכזות"</f>
        <v>חשבוניות מרכזות</v>
      </c>
      <c r="G1420" t="str">
        <f>"700065"</f>
        <v>700065</v>
      </c>
      <c r="H1420" t="str">
        <f>"אלתא מערכות בע""מ"</f>
        <v>אלתא מערכות בע"מ</v>
      </c>
      <c r="I1420" t="str">
        <f>"05"</f>
        <v>05</v>
      </c>
      <c r="J1420" t="str">
        <f>"OP-PD02882"</f>
        <v>OP-PD02882</v>
      </c>
      <c r="K1420" t="str">
        <f>"ISOLATION TRANSFORMER UNIT 200KVA"</f>
        <v>ISOLATION TRANSFORMER UNIT 200KVA</v>
      </c>
      <c r="L1420">
        <v>1</v>
      </c>
      <c r="M1420" t="str">
        <f>"יח"</f>
        <v>יח</v>
      </c>
      <c r="N1420">
        <v>1</v>
      </c>
      <c r="O1420" t="str">
        <f>"יח"</f>
        <v>יח</v>
      </c>
      <c r="P1420" s="2">
        <v>35340</v>
      </c>
      <c r="Q1420" t="str">
        <f>"$"</f>
        <v>$</v>
      </c>
      <c r="R1420" t="str">
        <f>"הזמנה"</f>
        <v>הזמנה</v>
      </c>
      <c r="S1420">
        <v>0</v>
      </c>
      <c r="T1420" s="2">
        <v>35340</v>
      </c>
      <c r="U1420">
        <v>0</v>
      </c>
      <c r="V1420" s="2">
        <v>35340</v>
      </c>
      <c r="W1420" t="str">
        <f>"$"</f>
        <v>$</v>
      </c>
      <c r="X1420">
        <v>0</v>
      </c>
      <c r="Y1420">
        <v>0</v>
      </c>
      <c r="Z1420">
        <v>0</v>
      </c>
      <c r="AA1420" t="str">
        <f>"Y"</f>
        <v>Y</v>
      </c>
      <c r="AB1420" t="str">
        <f>"SO21000184"</f>
        <v>SO21000184</v>
      </c>
      <c r="AC1420">
        <v>4</v>
      </c>
      <c r="AD1420" s="1">
        <v>44307</v>
      </c>
      <c r="AE1420" t="str">
        <f>"SH22001509"</f>
        <v>SH22001509</v>
      </c>
      <c r="AF1420" t="str">
        <f>"משלוחים ללקוח"</f>
        <v>משלוחים ללקוח</v>
      </c>
      <c r="AG1420" s="1">
        <v>44922</v>
      </c>
      <c r="AM1420" t="str">
        <f>"10"</f>
        <v>10</v>
      </c>
      <c r="AN1420" t="str">
        <f>"500000"</f>
        <v>500000</v>
      </c>
      <c r="AO1420" t="str">
        <f>"הכנסות  מלקוחות"</f>
        <v>הכנסות  מלקוחות</v>
      </c>
      <c r="AQ1420" t="str">
        <f>"034"</f>
        <v>034</v>
      </c>
      <c r="AR1420">
        <v>0</v>
      </c>
      <c r="AS1420">
        <v>0</v>
      </c>
      <c r="AT1420">
        <v>3.278</v>
      </c>
      <c r="AX1420" t="str">
        <f>"E000336430"</f>
        <v>E000336430</v>
      </c>
      <c r="BD1420" t="str">
        <f>"ערן שלו"</f>
        <v>ערן שלו</v>
      </c>
    </row>
    <row r="1421" spans="1:56" x14ac:dyDescent="0.3">
      <c r="A1421" s="1">
        <v>44798</v>
      </c>
      <c r="B1421" t="str">
        <f>"SI226000980"</f>
        <v>SI226000980</v>
      </c>
      <c r="E1421" t="str">
        <f>"Y"</f>
        <v>Y</v>
      </c>
      <c r="F1421" t="str">
        <f>"חשבוניות מרכזות"</f>
        <v>חשבוניות מרכזות</v>
      </c>
      <c r="G1421" t="str">
        <f>"700065"</f>
        <v>700065</v>
      </c>
      <c r="H1421" t="str">
        <f>"אלתא מערכות בע""מ"</f>
        <v>אלתא מערכות בע"מ</v>
      </c>
      <c r="I1421" t="str">
        <f>"10"</f>
        <v>10</v>
      </c>
      <c r="J1421" t="str">
        <f>"OP-ML00197"</f>
        <v>OP-ML00197</v>
      </c>
      <c r="K1421" t="str">
        <f>"1038C816-001 COMPUTER RACK"</f>
        <v>1038C816-001 COMPUTER RACK</v>
      </c>
      <c r="L1421">
        <v>1</v>
      </c>
      <c r="M1421" t="str">
        <f>"יח"</f>
        <v>יח</v>
      </c>
      <c r="N1421">
        <v>1</v>
      </c>
      <c r="O1421" t="str">
        <f>"יח"</f>
        <v>יח</v>
      </c>
      <c r="P1421" s="2">
        <v>47500</v>
      </c>
      <c r="Q1421" t="str">
        <f>"$"</f>
        <v>$</v>
      </c>
      <c r="R1421" t="str">
        <f>"הזמנה"</f>
        <v>הזמנה</v>
      </c>
      <c r="S1421">
        <v>0</v>
      </c>
      <c r="T1421" s="2">
        <v>47500</v>
      </c>
      <c r="U1421">
        <v>0</v>
      </c>
      <c r="V1421" s="2">
        <v>47500</v>
      </c>
      <c r="W1421" t="str">
        <f>"$"</f>
        <v>$</v>
      </c>
      <c r="X1421">
        <v>0</v>
      </c>
      <c r="Y1421">
        <v>0</v>
      </c>
      <c r="Z1421">
        <v>0</v>
      </c>
      <c r="AA1421" t="str">
        <f>"Y"</f>
        <v>Y</v>
      </c>
      <c r="AC1421">
        <v>0</v>
      </c>
      <c r="AM1421" t="str">
        <f>"10"</f>
        <v>10</v>
      </c>
      <c r="AN1421" t="str">
        <f>"500000"</f>
        <v>500000</v>
      </c>
      <c r="AO1421" t="str">
        <f>"הכנסות  מלקוחות"</f>
        <v>הכנסות  מלקוחות</v>
      </c>
      <c r="AQ1421" t="str">
        <f>"034"</f>
        <v>034</v>
      </c>
      <c r="AR1421">
        <v>0</v>
      </c>
      <c r="AS1421">
        <v>0</v>
      </c>
      <c r="AT1421">
        <v>3.278</v>
      </c>
      <c r="BB1421" t="str">
        <f>"Y"</f>
        <v>Y</v>
      </c>
      <c r="BD1421" t="str">
        <f>"ערן שלו"</f>
        <v>ערן שלו</v>
      </c>
    </row>
    <row r="1422" spans="1:56" x14ac:dyDescent="0.3">
      <c r="A1422" s="1">
        <v>44798</v>
      </c>
      <c r="B1422" t="str">
        <f>"SI226000979"</f>
        <v>SI226000979</v>
      </c>
      <c r="E1422" t="str">
        <f>"Y"</f>
        <v>Y</v>
      </c>
      <c r="F1422" t="str">
        <f>"חשבוניות מרכזות"</f>
        <v>חשבוניות מרכזות</v>
      </c>
      <c r="G1422" t="str">
        <f>"700065"</f>
        <v>700065</v>
      </c>
      <c r="H1422" t="str">
        <f>"אלתא מערכות בע""מ"</f>
        <v>אלתא מערכות בע"מ</v>
      </c>
      <c r="I1422" t="str">
        <f>"10"</f>
        <v>10</v>
      </c>
      <c r="J1422" t="str">
        <f>"000"</f>
        <v>000</v>
      </c>
      <c r="K1422" t="str">
        <f>"תוספת עלות לייצור לאחר שינויים ב-RPS4"</f>
        <v>תוספת עלות לייצור לאחר שינויים ב-RPS4</v>
      </c>
      <c r="L1422">
        <v>1</v>
      </c>
      <c r="M1422" t="str">
        <f>"יח"</f>
        <v>יח</v>
      </c>
      <c r="N1422">
        <v>1</v>
      </c>
      <c r="O1422" t="str">
        <f>"יח"</f>
        <v>יח</v>
      </c>
      <c r="P1422" s="2">
        <v>25000</v>
      </c>
      <c r="Q1422" t="str">
        <f>"$"</f>
        <v>$</v>
      </c>
      <c r="R1422" t="str">
        <f>"הזמנה"</f>
        <v>הזמנה</v>
      </c>
      <c r="S1422">
        <v>0</v>
      </c>
      <c r="T1422" s="2">
        <v>25000</v>
      </c>
      <c r="U1422">
        <v>0</v>
      </c>
      <c r="V1422" s="2">
        <v>25000</v>
      </c>
      <c r="W1422" t="str">
        <f>"$"</f>
        <v>$</v>
      </c>
      <c r="X1422">
        <v>0</v>
      </c>
      <c r="Y1422">
        <v>0</v>
      </c>
      <c r="Z1422">
        <v>0</v>
      </c>
      <c r="AA1422" t="str">
        <f>"Y"</f>
        <v>Y</v>
      </c>
      <c r="AB1422" t="str">
        <f>"SO22000061"</f>
        <v>SO22000061</v>
      </c>
      <c r="AC1422">
        <v>4</v>
      </c>
      <c r="AD1422" s="1">
        <v>44612</v>
      </c>
      <c r="AM1422" t="str">
        <f>"10"</f>
        <v>10</v>
      </c>
      <c r="AN1422" t="str">
        <f>"500000"</f>
        <v>500000</v>
      </c>
      <c r="AO1422" t="str">
        <f>"הכנסות  מלקוחות"</f>
        <v>הכנסות  מלקוחות</v>
      </c>
      <c r="AQ1422" t="str">
        <f>"034"</f>
        <v>034</v>
      </c>
      <c r="AR1422">
        <v>0</v>
      </c>
      <c r="AS1422">
        <v>0</v>
      </c>
      <c r="AT1422">
        <v>3.278</v>
      </c>
      <c r="AX1422" t="str">
        <f>"E000356936"</f>
        <v>E000356936</v>
      </c>
      <c r="BD1422" t="str">
        <f>"ערן שלו"</f>
        <v>ערן שלו</v>
      </c>
    </row>
    <row r="1423" spans="1:56" x14ac:dyDescent="0.3">
      <c r="A1423" s="1">
        <v>44798</v>
      </c>
      <c r="B1423" t="str">
        <f>"SI226000978"</f>
        <v>SI226000978</v>
      </c>
      <c r="E1423" t="str">
        <f>"Y"</f>
        <v>Y</v>
      </c>
      <c r="F1423" t="str">
        <f>"חשבוניות מרכזות"</f>
        <v>חשבוניות מרכזות</v>
      </c>
      <c r="G1423" t="str">
        <f>"700065"</f>
        <v>700065</v>
      </c>
      <c r="H1423" t="str">
        <f>"אלתא מערכות בע""מ"</f>
        <v>אלתא מערכות בע"מ</v>
      </c>
      <c r="I1423" t="str">
        <f>"10"</f>
        <v>10</v>
      </c>
      <c r="J1423" t="str">
        <f>"000"</f>
        <v>000</v>
      </c>
      <c r="K1423" t="str">
        <f>"NRE FOR 1038C906-001"</f>
        <v>NRE FOR 1038C906-001</v>
      </c>
      <c r="L1423">
        <v>1</v>
      </c>
      <c r="M1423" t="str">
        <f>"יח"</f>
        <v>יח</v>
      </c>
      <c r="N1423">
        <v>1</v>
      </c>
      <c r="O1423" t="str">
        <f>"יח"</f>
        <v>יח</v>
      </c>
      <c r="P1423" s="2">
        <v>16252.5</v>
      </c>
      <c r="Q1423" t="str">
        <f>"$"</f>
        <v>$</v>
      </c>
      <c r="R1423" t="str">
        <f>"הזמנה"</f>
        <v>הזמנה</v>
      </c>
      <c r="S1423">
        <v>0</v>
      </c>
      <c r="T1423" s="2">
        <v>16252.5</v>
      </c>
      <c r="U1423">
        <v>0</v>
      </c>
      <c r="V1423" s="2">
        <v>16252.5</v>
      </c>
      <c r="W1423" t="str">
        <f>"$"</f>
        <v>$</v>
      </c>
      <c r="X1423">
        <v>0</v>
      </c>
      <c r="Y1423">
        <v>0</v>
      </c>
      <c r="Z1423">
        <v>0</v>
      </c>
      <c r="AA1423" t="str">
        <f>"Y"</f>
        <v>Y</v>
      </c>
      <c r="AB1423" t="str">
        <f>"SO20000218"</f>
        <v>SO20000218</v>
      </c>
      <c r="AC1423">
        <v>24</v>
      </c>
      <c r="AD1423" s="1">
        <v>43982</v>
      </c>
      <c r="AM1423" t="str">
        <f>"10"</f>
        <v>10</v>
      </c>
      <c r="AN1423" t="str">
        <f>"500000"</f>
        <v>500000</v>
      </c>
      <c r="AO1423" t="str">
        <f>"הכנסות  מלקוחות"</f>
        <v>הכנסות  מלקוחות</v>
      </c>
      <c r="AQ1423" t="str">
        <f>"034"</f>
        <v>034</v>
      </c>
      <c r="AR1423">
        <v>0</v>
      </c>
      <c r="AS1423">
        <v>0</v>
      </c>
      <c r="AT1423">
        <v>3.278</v>
      </c>
      <c r="AX1423" t="str">
        <f>"E000312785"</f>
        <v>E000312785</v>
      </c>
      <c r="BD1423" t="str">
        <f>"ערן שלו"</f>
        <v>ערן שלו</v>
      </c>
    </row>
    <row r="1424" spans="1:56" x14ac:dyDescent="0.3">
      <c r="A1424" s="1">
        <v>44794</v>
      </c>
      <c r="B1424" t="str">
        <f>"SI226000954"</f>
        <v>SI226000954</v>
      </c>
      <c r="E1424" t="str">
        <f>"Y"</f>
        <v>Y</v>
      </c>
      <c r="F1424" t="str">
        <f>"חשבוניות מרכזות"</f>
        <v>חשבוניות מרכזות</v>
      </c>
      <c r="G1424" t="str">
        <f>"700065"</f>
        <v>700065</v>
      </c>
      <c r="H1424" t="str">
        <f>"אלתא מערכות בע""מ"</f>
        <v>אלתא מערכות בע"מ</v>
      </c>
      <c r="I1424" t="str">
        <f>"10"</f>
        <v>10</v>
      </c>
      <c r="J1424" t="str">
        <f>"000"</f>
        <v>000</v>
      </c>
      <c r="K1424" t="str">
        <f>"הגדלת הזמנה בעוד 20 ימי עבודה"</f>
        <v>הגדלת הזמנה בעוד 20 ימי עבודה</v>
      </c>
      <c r="L1424">
        <v>1</v>
      </c>
      <c r="M1424" t="str">
        <f>"יח"</f>
        <v>יח</v>
      </c>
      <c r="N1424">
        <v>1</v>
      </c>
      <c r="O1424" t="str">
        <f>"יח"</f>
        <v>יח</v>
      </c>
      <c r="P1424" s="2">
        <v>22340</v>
      </c>
      <c r="Q1424" t="str">
        <f>"$"</f>
        <v>$</v>
      </c>
      <c r="R1424" t="str">
        <f>"ידני"</f>
        <v>ידני</v>
      </c>
      <c r="S1424">
        <v>0</v>
      </c>
      <c r="T1424" s="2">
        <v>22340</v>
      </c>
      <c r="U1424">
        <v>0</v>
      </c>
      <c r="V1424" s="2">
        <v>22340</v>
      </c>
      <c r="W1424" t="str">
        <f>"$"</f>
        <v>$</v>
      </c>
      <c r="X1424">
        <v>0</v>
      </c>
      <c r="Y1424">
        <v>0</v>
      </c>
      <c r="Z1424">
        <v>0</v>
      </c>
      <c r="AA1424" t="str">
        <f>"Y"</f>
        <v>Y</v>
      </c>
      <c r="AB1424" t="str">
        <f>"SO21000313"</f>
        <v>SO21000313</v>
      </c>
      <c r="AC1424">
        <v>3</v>
      </c>
      <c r="AD1424" s="1">
        <v>44389</v>
      </c>
      <c r="AM1424" t="str">
        <f>"10"</f>
        <v>10</v>
      </c>
      <c r="AN1424" t="str">
        <f>"500000"</f>
        <v>500000</v>
      </c>
      <c r="AO1424" t="str">
        <f>"הכנסות  מלקוחות"</f>
        <v>הכנסות  מלקוחות</v>
      </c>
      <c r="AQ1424" t="str">
        <f>"007"</f>
        <v>007</v>
      </c>
      <c r="AR1424">
        <v>0</v>
      </c>
      <c r="AS1424">
        <v>0</v>
      </c>
      <c r="AT1424">
        <v>3.2559999999999998</v>
      </c>
      <c r="AX1424" t="str">
        <f>"E000343127"</f>
        <v>E000343127</v>
      </c>
      <c r="BD1424" t="str">
        <f>"רוני דידי"</f>
        <v>רוני דידי</v>
      </c>
    </row>
    <row r="1425" spans="1:56" x14ac:dyDescent="0.3">
      <c r="A1425" s="1">
        <v>44791</v>
      </c>
      <c r="B1425" t="str">
        <f>"SI226001036"</f>
        <v>SI226001036</v>
      </c>
      <c r="C1425" t="str">
        <f>"PR22000343"</f>
        <v>PR22000343</v>
      </c>
      <c r="D1425" t="str">
        <f>"PR22000343"</f>
        <v>PR22000343</v>
      </c>
      <c r="E1425" t="str">
        <f>"Y"</f>
        <v>Y</v>
      </c>
      <c r="F1425" t="str">
        <f>"חשבוניות מרכזות"</f>
        <v>חשבוניות מרכזות</v>
      </c>
      <c r="G1425" t="str">
        <f>"700065"</f>
        <v>700065</v>
      </c>
      <c r="H1425" t="str">
        <f>"אלתא מערכות בע""מ"</f>
        <v>אלתא מערכות בע"מ</v>
      </c>
      <c r="I1425" t="str">
        <f>"10"</f>
        <v>10</v>
      </c>
      <c r="J1425" t="str">
        <f>"OP-AR03130"</f>
        <v>OP-AR03130</v>
      </c>
      <c r="K1425" t="str">
        <f>"3033L225-001   HARNESS W011 - AVIONIC INTERFACE/RFI-FILTER"</f>
        <v>3033L225-001   HARNESS W011 - AVIONIC INTERFACE/RFI-FILTER</v>
      </c>
      <c r="L1425">
        <v>1</v>
      </c>
      <c r="M1425" t="str">
        <f>"יח"</f>
        <v>יח</v>
      </c>
      <c r="N1425">
        <v>1</v>
      </c>
      <c r="O1425" t="str">
        <f>"יח"</f>
        <v>יח</v>
      </c>
      <c r="P1425">
        <v>565.87</v>
      </c>
      <c r="Q1425" t="str">
        <f>"$"</f>
        <v>$</v>
      </c>
      <c r="R1425" t="str">
        <f>"הזמנה"</f>
        <v>הזמנה</v>
      </c>
      <c r="S1425">
        <v>0</v>
      </c>
      <c r="T1425">
        <v>565.87</v>
      </c>
      <c r="U1425">
        <v>0</v>
      </c>
      <c r="V1425">
        <v>565.87</v>
      </c>
      <c r="W1425" t="str">
        <f>"$"</f>
        <v>$</v>
      </c>
      <c r="X1425">
        <v>0</v>
      </c>
      <c r="Y1425">
        <v>0</v>
      </c>
      <c r="Z1425">
        <v>0</v>
      </c>
      <c r="AA1425" t="str">
        <f>"Y"</f>
        <v>Y</v>
      </c>
      <c r="AB1425" t="str">
        <f>"SO22000170"</f>
        <v>SO22000170</v>
      </c>
      <c r="AC1425">
        <v>1</v>
      </c>
      <c r="AD1425" s="1">
        <v>44691</v>
      </c>
      <c r="AE1425" t="str">
        <f>"SH22001002"</f>
        <v>SH22001002</v>
      </c>
      <c r="AF1425" t="str">
        <f>"משלוחים ללקוח"</f>
        <v>משלוחים ללקוח</v>
      </c>
      <c r="AG1425" s="1">
        <v>44790</v>
      </c>
      <c r="AM1425" t="str">
        <f>"10"</f>
        <v>10</v>
      </c>
      <c r="AN1425" t="str">
        <f>"500000"</f>
        <v>500000</v>
      </c>
      <c r="AO1425" t="str">
        <f>"הכנסות  מלקוחות"</f>
        <v>הכנסות  מלקוחות</v>
      </c>
      <c r="AQ1425" t="str">
        <f>"040"</f>
        <v>040</v>
      </c>
      <c r="AR1425">
        <v>0</v>
      </c>
      <c r="AS1425">
        <v>0</v>
      </c>
      <c r="AT1425">
        <v>3.2429999999999999</v>
      </c>
      <c r="AX1425" t="str">
        <f>"E000364006"</f>
        <v>E000364006</v>
      </c>
      <c r="BD1425" t="str">
        <f>"רחמים זרוק"</f>
        <v>רחמים זרוק</v>
      </c>
    </row>
    <row r="1426" spans="1:56" x14ac:dyDescent="0.3">
      <c r="A1426" s="1">
        <v>44791</v>
      </c>
      <c r="B1426" t="str">
        <f>"SI226001035"</f>
        <v>SI226001035</v>
      </c>
      <c r="C1426" t="str">
        <f>"PR22000487"</f>
        <v>PR22000487</v>
      </c>
      <c r="D1426" t="str">
        <f>"PR22000487"</f>
        <v>PR22000487</v>
      </c>
      <c r="E1426" t="str">
        <f>"Y"</f>
        <v>Y</v>
      </c>
      <c r="F1426" t="str">
        <f>"חשבוניות מרכזות"</f>
        <v>חשבוניות מרכזות</v>
      </c>
      <c r="G1426" t="str">
        <f>"700065"</f>
        <v>700065</v>
      </c>
      <c r="H1426" t="str">
        <f>"אלתא מערכות בע""מ"</f>
        <v>אלתא מערכות בע"מ</v>
      </c>
      <c r="I1426" t="str">
        <f>"10"</f>
        <v>10</v>
      </c>
      <c r="J1426" t="str">
        <f>"cust001352"</f>
        <v>cust001352</v>
      </c>
      <c r="K1426" t="str">
        <f>"ELTA 1036U405-001"</f>
        <v>ELTA 1036U405-001</v>
      </c>
      <c r="L1426">
        <v>1</v>
      </c>
      <c r="M1426" t="str">
        <f>"יח"</f>
        <v>יח</v>
      </c>
      <c r="N1426">
        <v>1</v>
      </c>
      <c r="O1426" t="str">
        <f>"יח"</f>
        <v>יח</v>
      </c>
      <c r="P1426">
        <v>0.01</v>
      </c>
      <c r="Q1426" t="str">
        <f>"$"</f>
        <v>$</v>
      </c>
      <c r="R1426" t="str">
        <f>"הזמנה"</f>
        <v>הזמנה</v>
      </c>
      <c r="S1426">
        <v>0</v>
      </c>
      <c r="T1426">
        <v>0.01</v>
      </c>
      <c r="U1426">
        <v>0</v>
      </c>
      <c r="V1426">
        <v>0.01</v>
      </c>
      <c r="W1426" t="str">
        <f>"$"</f>
        <v>$</v>
      </c>
      <c r="X1426">
        <v>0</v>
      </c>
      <c r="Y1426">
        <v>0</v>
      </c>
      <c r="Z1426">
        <v>0</v>
      </c>
      <c r="AA1426" t="str">
        <f>"Y"</f>
        <v>Y</v>
      </c>
      <c r="AB1426" t="str">
        <f>"SO22000258"</f>
        <v>SO22000258</v>
      </c>
      <c r="AC1426">
        <v>1</v>
      </c>
      <c r="AD1426" s="1">
        <v>44738</v>
      </c>
      <c r="AE1426" t="str">
        <f>"SH22001013"</f>
        <v>SH22001013</v>
      </c>
      <c r="AF1426" t="str">
        <f>"משלוחים ללקוח"</f>
        <v>משלוחים ללקוח</v>
      </c>
      <c r="AG1426" s="1">
        <v>44790</v>
      </c>
      <c r="AM1426" t="str">
        <f>"10"</f>
        <v>10</v>
      </c>
      <c r="AN1426" t="str">
        <f>"500000"</f>
        <v>500000</v>
      </c>
      <c r="AO1426" t="str">
        <f>"הכנסות  מלקוחות"</f>
        <v>הכנסות  מלקוחות</v>
      </c>
      <c r="AQ1426" t="str">
        <f>"040"</f>
        <v>040</v>
      </c>
      <c r="AR1426">
        <v>0</v>
      </c>
      <c r="AS1426">
        <v>0</v>
      </c>
      <c r="AT1426">
        <v>3.2429999999999999</v>
      </c>
      <c r="AX1426" t="str">
        <f>"E000366826"</f>
        <v>E000366826</v>
      </c>
      <c r="BD1426" t="str">
        <f>"רחמים זרוק"</f>
        <v>רחמים זרוק</v>
      </c>
    </row>
    <row r="1427" spans="1:56" x14ac:dyDescent="0.3">
      <c r="A1427" s="1">
        <v>44791</v>
      </c>
      <c r="B1427" t="str">
        <f>"SI226001034"</f>
        <v>SI226001034</v>
      </c>
      <c r="C1427" t="str">
        <f>"PR22000553"</f>
        <v>PR22000553</v>
      </c>
      <c r="D1427" t="str">
        <f>"PR22000553"</f>
        <v>PR22000553</v>
      </c>
      <c r="E1427" t="str">
        <f>"Y"</f>
        <v>Y</v>
      </c>
      <c r="F1427" t="str">
        <f>"חשבוניות מרכזות"</f>
        <v>חשבוניות מרכזות</v>
      </c>
      <c r="G1427" t="str">
        <f>"700065"</f>
        <v>700065</v>
      </c>
      <c r="H1427" t="str">
        <f>"אלתא מערכות בע""מ"</f>
        <v>אלתא מערכות בע"מ</v>
      </c>
      <c r="I1427" t="str">
        <f>"10"</f>
        <v>10</v>
      </c>
      <c r="J1427" t="str">
        <f>"OP-AR03260"</f>
        <v>OP-AR03260</v>
      </c>
      <c r="K1427" t="str">
        <f>"1035C391-001   GROUND CABLE 3W091 - DOOR TO RACK-GND"</f>
        <v>1035C391-001   GROUND CABLE 3W091 - DOOR TO RACK-GND</v>
      </c>
      <c r="L1427">
        <v>2</v>
      </c>
      <c r="M1427" t="str">
        <f>"יח"</f>
        <v>יח</v>
      </c>
      <c r="N1427">
        <v>2</v>
      </c>
      <c r="O1427" t="str">
        <f>"יח"</f>
        <v>יח</v>
      </c>
      <c r="P1427">
        <v>122.3</v>
      </c>
      <c r="Q1427" t="str">
        <f>"$"</f>
        <v>$</v>
      </c>
      <c r="R1427" t="str">
        <f>"הזמנה"</f>
        <v>הזמנה</v>
      </c>
      <c r="S1427">
        <v>0</v>
      </c>
      <c r="T1427">
        <v>244.6</v>
      </c>
      <c r="U1427">
        <v>0</v>
      </c>
      <c r="V1427">
        <v>244.6</v>
      </c>
      <c r="W1427" t="str">
        <f>"$"</f>
        <v>$</v>
      </c>
      <c r="X1427">
        <v>0</v>
      </c>
      <c r="Y1427">
        <v>0</v>
      </c>
      <c r="Z1427">
        <v>0</v>
      </c>
      <c r="AA1427" t="str">
        <f>"Y"</f>
        <v>Y</v>
      </c>
      <c r="AB1427" t="str">
        <f>"SO22000329"</f>
        <v>SO22000329</v>
      </c>
      <c r="AC1427">
        <v>1</v>
      </c>
      <c r="AD1427" s="1">
        <v>44788</v>
      </c>
      <c r="AE1427" t="str">
        <f>"SH22000999"</f>
        <v>SH22000999</v>
      </c>
      <c r="AF1427" t="str">
        <f>"משלוחים ללקוח"</f>
        <v>משלוחים ללקוח</v>
      </c>
      <c r="AG1427" s="1">
        <v>44790</v>
      </c>
      <c r="AM1427" t="str">
        <f>"10"</f>
        <v>10</v>
      </c>
      <c r="AN1427" t="str">
        <f>"500000"</f>
        <v>500000</v>
      </c>
      <c r="AO1427" t="str">
        <f>"הכנסות  מלקוחות"</f>
        <v>הכנסות  מלקוחות</v>
      </c>
      <c r="AQ1427" t="str">
        <f>"040"</f>
        <v>040</v>
      </c>
      <c r="AR1427">
        <v>0</v>
      </c>
      <c r="AS1427">
        <v>0</v>
      </c>
      <c r="AT1427">
        <v>3.2429999999999999</v>
      </c>
      <c r="AX1427" t="str">
        <f>"E000370512"</f>
        <v>E000370512</v>
      </c>
      <c r="BD1427" t="str">
        <f>"רחמים זרוק"</f>
        <v>רחמים זרוק</v>
      </c>
    </row>
    <row r="1428" spans="1:56" x14ac:dyDescent="0.3">
      <c r="A1428" s="1">
        <v>44791</v>
      </c>
      <c r="B1428" t="str">
        <f>"SI226001033"</f>
        <v>SI226001033</v>
      </c>
      <c r="C1428" t="str">
        <f>"PR22000445"</f>
        <v>PR22000445</v>
      </c>
      <c r="E1428" t="str">
        <f>"Y"</f>
        <v>Y</v>
      </c>
      <c r="F1428" t="str">
        <f>"חשבוניות מרכזות"</f>
        <v>חשבוניות מרכזות</v>
      </c>
      <c r="G1428" t="str">
        <f>"700065"</f>
        <v>700065</v>
      </c>
      <c r="H1428" t="str">
        <f>"אלתא מערכות בע""מ"</f>
        <v>אלתא מערכות בע"מ</v>
      </c>
      <c r="I1428" t="str">
        <f>"10"</f>
        <v>10</v>
      </c>
      <c r="J1428" t="str">
        <f>"OP-AR03166"</f>
        <v>OP-AR03166</v>
      </c>
      <c r="K1428" t="str">
        <f>"1025M236-001   WA356 PWR FOR ANTI COLLISION LIGHT"</f>
        <v>1025M236-001   WA356 PWR FOR ANTI COLLISION LIGHT</v>
      </c>
      <c r="L1428">
        <v>2</v>
      </c>
      <c r="M1428" t="str">
        <f>"יח"</f>
        <v>יח</v>
      </c>
      <c r="N1428">
        <v>2</v>
      </c>
      <c r="O1428" t="str">
        <f>"יח"</f>
        <v>יח</v>
      </c>
      <c r="P1428">
        <v>242.24</v>
      </c>
      <c r="Q1428" t="str">
        <f>"$"</f>
        <v>$</v>
      </c>
      <c r="R1428" t="str">
        <f>"הזמנה"</f>
        <v>הזמנה</v>
      </c>
      <c r="S1428">
        <v>0</v>
      </c>
      <c r="T1428">
        <v>484.48</v>
      </c>
      <c r="U1428">
        <v>0</v>
      </c>
      <c r="V1428">
        <v>484.48</v>
      </c>
      <c r="W1428" t="str">
        <f>"$"</f>
        <v>$</v>
      </c>
      <c r="X1428">
        <v>0</v>
      </c>
      <c r="Y1428">
        <v>0</v>
      </c>
      <c r="Z1428">
        <v>0</v>
      </c>
      <c r="AA1428" t="str">
        <f>"Y"</f>
        <v>Y</v>
      </c>
      <c r="AB1428" t="str">
        <f>"SO22000221"</f>
        <v>SO22000221</v>
      </c>
      <c r="AC1428">
        <v>6</v>
      </c>
      <c r="AD1428" s="1">
        <v>44720</v>
      </c>
      <c r="AE1428" t="str">
        <f>"SH22001007"</f>
        <v>SH22001007</v>
      </c>
      <c r="AF1428" t="str">
        <f>"משלוחים ללקוח"</f>
        <v>משלוחים ללקוח</v>
      </c>
      <c r="AG1428" s="1">
        <v>44790</v>
      </c>
      <c r="AM1428" t="str">
        <f>"10"</f>
        <v>10</v>
      </c>
      <c r="AN1428" t="str">
        <f>"500000"</f>
        <v>500000</v>
      </c>
      <c r="AO1428" t="str">
        <f>"הכנסות  מלקוחות"</f>
        <v>הכנסות  מלקוחות</v>
      </c>
      <c r="AQ1428" t="str">
        <f>"034"</f>
        <v>034</v>
      </c>
      <c r="AR1428">
        <v>0</v>
      </c>
      <c r="AS1428">
        <v>0</v>
      </c>
      <c r="AT1428">
        <v>3.2429999999999999</v>
      </c>
      <c r="AX1428" t="str">
        <f>"E000364016"</f>
        <v>E000364016</v>
      </c>
      <c r="BD1428" t="str">
        <f>"ערן שלו"</f>
        <v>ערן שלו</v>
      </c>
    </row>
    <row r="1429" spans="1:56" x14ac:dyDescent="0.3">
      <c r="A1429" s="1">
        <v>44791</v>
      </c>
      <c r="B1429" t="str">
        <f>"SI226001032"</f>
        <v>SI226001032</v>
      </c>
      <c r="C1429" t="str">
        <f>"PR22000459"</f>
        <v>PR22000459</v>
      </c>
      <c r="E1429" t="str">
        <f>"Y"</f>
        <v>Y</v>
      </c>
      <c r="F1429" t="str">
        <f>"חשבוניות מרכזות"</f>
        <v>חשבוניות מרכזות</v>
      </c>
      <c r="G1429" t="str">
        <f>"700065"</f>
        <v>700065</v>
      </c>
      <c r="H1429" t="str">
        <f>"אלתא מערכות בע""מ"</f>
        <v>אלתא מערכות בע"מ</v>
      </c>
      <c r="I1429" t="str">
        <f>"10"</f>
        <v>10</v>
      </c>
      <c r="J1429" t="str">
        <f>"OP-AR03190"</f>
        <v>OP-AR03190</v>
      </c>
      <c r="K1429" t="str">
        <f>"9009M460-001    HARNESS WRS60 - LEDS CABLE"</f>
        <v>9009M460-001    HARNESS WRS60 - LEDS CABLE</v>
      </c>
      <c r="L1429">
        <v>2</v>
      </c>
      <c r="M1429" t="str">
        <f>"יח"</f>
        <v>יח</v>
      </c>
      <c r="N1429">
        <v>2</v>
      </c>
      <c r="O1429" t="str">
        <f>"יח"</f>
        <v>יח</v>
      </c>
      <c r="P1429">
        <v>424.7</v>
      </c>
      <c r="Q1429" t="str">
        <f>"$"</f>
        <v>$</v>
      </c>
      <c r="R1429" t="str">
        <f>"הזמנה"</f>
        <v>הזמנה</v>
      </c>
      <c r="S1429">
        <v>0</v>
      </c>
      <c r="T1429">
        <v>849.4</v>
      </c>
      <c r="U1429">
        <v>0</v>
      </c>
      <c r="V1429">
        <v>849.4</v>
      </c>
      <c r="W1429" t="str">
        <f>"$"</f>
        <v>$</v>
      </c>
      <c r="X1429">
        <v>0</v>
      </c>
      <c r="Y1429">
        <v>0</v>
      </c>
      <c r="Z1429">
        <v>0</v>
      </c>
      <c r="AA1429" t="str">
        <f>"Y"</f>
        <v>Y</v>
      </c>
      <c r="AC1429">
        <v>0</v>
      </c>
      <c r="AM1429" t="str">
        <f>"10"</f>
        <v>10</v>
      </c>
      <c r="AN1429" t="str">
        <f>"500000"</f>
        <v>500000</v>
      </c>
      <c r="AO1429" t="str">
        <f>"הכנסות  מלקוחות"</f>
        <v>הכנסות  מלקוחות</v>
      </c>
      <c r="AQ1429" t="str">
        <f>"040"</f>
        <v>040</v>
      </c>
      <c r="AR1429">
        <v>0</v>
      </c>
      <c r="AS1429">
        <v>0</v>
      </c>
      <c r="AT1429">
        <v>3.2429999999999999</v>
      </c>
      <c r="BB1429" t="str">
        <f>"Y"</f>
        <v>Y</v>
      </c>
      <c r="BD1429" t="str">
        <f>"רחמים זרוק"</f>
        <v>רחמים זרוק</v>
      </c>
    </row>
    <row r="1430" spans="1:56" x14ac:dyDescent="0.3">
      <c r="A1430" s="1">
        <v>44791</v>
      </c>
      <c r="B1430" t="str">
        <f>"SI226001032"</f>
        <v>SI226001032</v>
      </c>
      <c r="C1430" t="str">
        <f>"PR22000459"</f>
        <v>PR22000459</v>
      </c>
      <c r="E1430" t="str">
        <f>"Y"</f>
        <v>Y</v>
      </c>
      <c r="F1430" t="str">
        <f>"חשבוניות מרכזות"</f>
        <v>חשבוניות מרכזות</v>
      </c>
      <c r="G1430" t="str">
        <f>"700065"</f>
        <v>700065</v>
      </c>
      <c r="H1430" t="str">
        <f>"אלתא מערכות בע""מ"</f>
        <v>אלתא מערכות בע"מ</v>
      </c>
      <c r="I1430" t="str">
        <f>"10"</f>
        <v>10</v>
      </c>
      <c r="J1430" t="str">
        <f>"OP-AR03190"</f>
        <v>OP-AR03190</v>
      </c>
      <c r="K1430" t="str">
        <f>"9009M460-001    HARNESS WRS60 - LEDS CABLE"</f>
        <v>9009M460-001    HARNESS WRS60 - LEDS CABLE</v>
      </c>
      <c r="L1430">
        <v>1</v>
      </c>
      <c r="M1430" t="str">
        <f>"יח"</f>
        <v>יח</v>
      </c>
      <c r="N1430">
        <v>1</v>
      </c>
      <c r="O1430" t="str">
        <f>"יח"</f>
        <v>יח</v>
      </c>
      <c r="P1430">
        <v>212.35</v>
      </c>
      <c r="Q1430" t="str">
        <f>"$"</f>
        <v>$</v>
      </c>
      <c r="R1430" t="str">
        <f>"הזמנה"</f>
        <v>הזמנה</v>
      </c>
      <c r="S1430">
        <v>0</v>
      </c>
      <c r="T1430">
        <v>212.35</v>
      </c>
      <c r="U1430">
        <v>0</v>
      </c>
      <c r="V1430">
        <v>212.35</v>
      </c>
      <c r="W1430" t="str">
        <f>"$"</f>
        <v>$</v>
      </c>
      <c r="X1430">
        <v>0</v>
      </c>
      <c r="Y1430">
        <v>0</v>
      </c>
      <c r="Z1430">
        <v>0</v>
      </c>
      <c r="AA1430" t="str">
        <f>"Y"</f>
        <v>Y</v>
      </c>
      <c r="AC1430">
        <v>0</v>
      </c>
      <c r="AM1430" t="str">
        <f>"10"</f>
        <v>10</v>
      </c>
      <c r="AN1430" t="str">
        <f>"500000"</f>
        <v>500000</v>
      </c>
      <c r="AO1430" t="str">
        <f>"הכנסות  מלקוחות"</f>
        <v>הכנסות  מלקוחות</v>
      </c>
      <c r="AQ1430" t="str">
        <f>"040"</f>
        <v>040</v>
      </c>
      <c r="AR1430">
        <v>0</v>
      </c>
      <c r="AS1430">
        <v>0</v>
      </c>
      <c r="AT1430">
        <v>3.2429999999999999</v>
      </c>
      <c r="BB1430" t="str">
        <f>"Y"</f>
        <v>Y</v>
      </c>
      <c r="BD1430" t="str">
        <f>"רחמים זרוק"</f>
        <v>רחמים זרוק</v>
      </c>
    </row>
    <row r="1431" spans="1:56" x14ac:dyDescent="0.3">
      <c r="A1431" s="1">
        <v>44791</v>
      </c>
      <c r="B1431" t="str">
        <f>"SI226001031"</f>
        <v>SI226001031</v>
      </c>
      <c r="C1431" t="str">
        <f>"PR22000374"</f>
        <v>PR22000374</v>
      </c>
      <c r="E1431" t="str">
        <f>"Y"</f>
        <v>Y</v>
      </c>
      <c r="F1431" t="str">
        <f>"חשבוניות מרכזות"</f>
        <v>חשבוניות מרכזות</v>
      </c>
      <c r="G1431" t="str">
        <f>"700065"</f>
        <v>700065</v>
      </c>
      <c r="H1431" t="str">
        <f>"אלתא מערכות בע""מ"</f>
        <v>אלתא מערכות בע"מ</v>
      </c>
      <c r="I1431" t="str">
        <f>"10"</f>
        <v>10</v>
      </c>
      <c r="J1431" t="str">
        <f>"OP-AR03141"</f>
        <v>OP-AR03141</v>
      </c>
      <c r="K1431" t="str">
        <f>"2200B106-001     SMR STAR X LOOPBACK CABLE"</f>
        <v>2200B106-001     SMR STAR X LOOPBACK CABLE</v>
      </c>
      <c r="L1431">
        <v>2</v>
      </c>
      <c r="M1431" t="str">
        <f>"יח"</f>
        <v>יח</v>
      </c>
      <c r="N1431">
        <v>2</v>
      </c>
      <c r="O1431" t="str">
        <f>"יח"</f>
        <v>יח</v>
      </c>
      <c r="P1431">
        <v>95.7</v>
      </c>
      <c r="Q1431" t="str">
        <f>"$"</f>
        <v>$</v>
      </c>
      <c r="R1431" t="str">
        <f>"הזמנה"</f>
        <v>הזמנה</v>
      </c>
      <c r="S1431">
        <v>0</v>
      </c>
      <c r="T1431">
        <v>191.4</v>
      </c>
      <c r="U1431">
        <v>0</v>
      </c>
      <c r="V1431">
        <v>191.4</v>
      </c>
      <c r="W1431" t="str">
        <f>"$"</f>
        <v>$</v>
      </c>
      <c r="X1431">
        <v>0</v>
      </c>
      <c r="Y1431">
        <v>0</v>
      </c>
      <c r="Z1431">
        <v>0</v>
      </c>
      <c r="AA1431" t="str">
        <f>"Y"</f>
        <v>Y</v>
      </c>
      <c r="AB1431" t="str">
        <f>"SO22000195"</f>
        <v>SO22000195</v>
      </c>
      <c r="AC1431">
        <v>11</v>
      </c>
      <c r="AD1431" s="1">
        <v>44698</v>
      </c>
      <c r="AE1431" t="str">
        <f>"SH22000997"</f>
        <v>SH22000997</v>
      </c>
      <c r="AF1431" t="str">
        <f>"משלוחים ללקוח"</f>
        <v>משלוחים ללקוח</v>
      </c>
      <c r="AG1431" s="1">
        <v>44790</v>
      </c>
      <c r="AM1431" t="str">
        <f>"10"</f>
        <v>10</v>
      </c>
      <c r="AN1431" t="str">
        <f>"500000"</f>
        <v>500000</v>
      </c>
      <c r="AO1431" t="str">
        <f>"הכנסות  מלקוחות"</f>
        <v>הכנסות  מלקוחות</v>
      </c>
      <c r="AQ1431" t="str">
        <f>"040"</f>
        <v>040</v>
      </c>
      <c r="AR1431">
        <v>0</v>
      </c>
      <c r="AS1431">
        <v>0</v>
      </c>
      <c r="AT1431">
        <v>3.2429999999999999</v>
      </c>
      <c r="AX1431" t="str">
        <f>"E000364002"</f>
        <v>E000364002</v>
      </c>
      <c r="BD1431" t="str">
        <f>"רחמים זרוק"</f>
        <v>רחמים זרוק</v>
      </c>
    </row>
    <row r="1432" spans="1:56" x14ac:dyDescent="0.3">
      <c r="A1432" s="1">
        <v>44791</v>
      </c>
      <c r="B1432" t="str">
        <f>"SI226001031"</f>
        <v>SI226001031</v>
      </c>
      <c r="C1432" t="str">
        <f>"PR22000374"</f>
        <v>PR22000374</v>
      </c>
      <c r="E1432" t="str">
        <f>"Y"</f>
        <v>Y</v>
      </c>
      <c r="F1432" t="str">
        <f>"חשבוניות מרכזות"</f>
        <v>חשבוניות מרכזות</v>
      </c>
      <c r="G1432" t="str">
        <f>"700065"</f>
        <v>700065</v>
      </c>
      <c r="H1432" t="str">
        <f>"אלתא מערכות בע""מ"</f>
        <v>אלתא מערכות בע"מ</v>
      </c>
      <c r="I1432" t="str">
        <f>"10"</f>
        <v>10</v>
      </c>
      <c r="J1432" t="str">
        <f>"OP-AR03142"</f>
        <v>OP-AR03142</v>
      </c>
      <c r="K1432" t="str">
        <f>"2216B034-001    NMS RFD CABLE ASSY"</f>
        <v>2216B034-001    NMS RFD CABLE ASSY</v>
      </c>
      <c r="L1432">
        <v>2</v>
      </c>
      <c r="M1432" t="str">
        <f>"יח"</f>
        <v>יח</v>
      </c>
      <c r="N1432">
        <v>2</v>
      </c>
      <c r="O1432" t="str">
        <f>"יח"</f>
        <v>יח</v>
      </c>
      <c r="P1432">
        <v>325.39999999999998</v>
      </c>
      <c r="Q1432" t="str">
        <f>"$"</f>
        <v>$</v>
      </c>
      <c r="R1432" t="str">
        <f>"הזמנה"</f>
        <v>הזמנה</v>
      </c>
      <c r="S1432">
        <v>0</v>
      </c>
      <c r="T1432">
        <v>650.79999999999995</v>
      </c>
      <c r="U1432">
        <v>0</v>
      </c>
      <c r="V1432">
        <v>650.79999999999995</v>
      </c>
      <c r="W1432" t="str">
        <f>"$"</f>
        <v>$</v>
      </c>
      <c r="X1432">
        <v>0</v>
      </c>
      <c r="Y1432">
        <v>0</v>
      </c>
      <c r="Z1432">
        <v>0</v>
      </c>
      <c r="AA1432" t="str">
        <f>"Y"</f>
        <v>Y</v>
      </c>
      <c r="AB1432" t="str">
        <f>"SO22000195"</f>
        <v>SO22000195</v>
      </c>
      <c r="AC1432">
        <v>12</v>
      </c>
      <c r="AD1432" s="1">
        <v>44698</v>
      </c>
      <c r="AE1432" t="str">
        <f>"SH22000997"</f>
        <v>SH22000997</v>
      </c>
      <c r="AF1432" t="str">
        <f>"משלוחים ללקוח"</f>
        <v>משלוחים ללקוח</v>
      </c>
      <c r="AG1432" s="1">
        <v>44790</v>
      </c>
      <c r="AM1432" t="str">
        <f>"10"</f>
        <v>10</v>
      </c>
      <c r="AN1432" t="str">
        <f>"500000"</f>
        <v>500000</v>
      </c>
      <c r="AO1432" t="str">
        <f>"הכנסות  מלקוחות"</f>
        <v>הכנסות  מלקוחות</v>
      </c>
      <c r="AQ1432" t="str">
        <f>"040"</f>
        <v>040</v>
      </c>
      <c r="AR1432">
        <v>0</v>
      </c>
      <c r="AS1432">
        <v>0</v>
      </c>
      <c r="AT1432">
        <v>3.2429999999999999</v>
      </c>
      <c r="AX1432" t="str">
        <f>"E000364002"</f>
        <v>E000364002</v>
      </c>
      <c r="BD1432" t="str">
        <f>"רחמים זרוק"</f>
        <v>רחמים זרוק</v>
      </c>
    </row>
    <row r="1433" spans="1:56" x14ac:dyDescent="0.3">
      <c r="A1433" s="1">
        <v>44791</v>
      </c>
      <c r="B1433" t="str">
        <f>"SI226001030"</f>
        <v>SI226001030</v>
      </c>
      <c r="C1433" t="str">
        <f>"PR22000269"</f>
        <v>PR22000269</v>
      </c>
      <c r="E1433" t="str">
        <f>"Y"</f>
        <v>Y</v>
      </c>
      <c r="F1433" t="str">
        <f>"חשבוניות מרכזות"</f>
        <v>חשבוניות מרכזות</v>
      </c>
      <c r="G1433" t="str">
        <f>"700065"</f>
        <v>700065</v>
      </c>
      <c r="H1433" t="str">
        <f>"אלתא מערכות בע""מ"</f>
        <v>אלתא מערכות בע"מ</v>
      </c>
      <c r="I1433" t="str">
        <f>"10"</f>
        <v>10</v>
      </c>
      <c r="J1433" t="str">
        <f>"OP-AR02904"</f>
        <v>OP-AR02904</v>
      </c>
      <c r="K1433" t="str">
        <f>"1037N601-001    GU PS CABLE"</f>
        <v>1037N601-001    GU PS CABLE</v>
      </c>
      <c r="L1433">
        <v>1</v>
      </c>
      <c r="M1433" t="str">
        <f>"יח"</f>
        <v>יח</v>
      </c>
      <c r="N1433">
        <v>1</v>
      </c>
      <c r="O1433" t="str">
        <f>"יח"</f>
        <v>יח</v>
      </c>
      <c r="P1433">
        <v>631.02</v>
      </c>
      <c r="Q1433" t="str">
        <f>"$"</f>
        <v>$</v>
      </c>
      <c r="R1433" t="str">
        <f>"הזמנה"</f>
        <v>הזמנה</v>
      </c>
      <c r="S1433">
        <v>0</v>
      </c>
      <c r="T1433">
        <v>631.02</v>
      </c>
      <c r="U1433">
        <v>0</v>
      </c>
      <c r="V1433">
        <v>631.02</v>
      </c>
      <c r="W1433" t="str">
        <f>"$"</f>
        <v>$</v>
      </c>
      <c r="X1433">
        <v>0</v>
      </c>
      <c r="Y1433">
        <v>0</v>
      </c>
      <c r="Z1433">
        <v>0</v>
      </c>
      <c r="AA1433" t="str">
        <f>"Y"</f>
        <v>Y</v>
      </c>
      <c r="AB1433" t="str">
        <f>"SO22000120"</f>
        <v>SO22000120</v>
      </c>
      <c r="AC1433">
        <v>1</v>
      </c>
      <c r="AD1433" s="1">
        <v>44648</v>
      </c>
      <c r="AE1433" t="str">
        <f>"SH22001001"</f>
        <v>SH22001001</v>
      </c>
      <c r="AF1433" t="str">
        <f>"משלוחים ללקוח"</f>
        <v>משלוחים ללקוח</v>
      </c>
      <c r="AG1433" s="1">
        <v>44790</v>
      </c>
      <c r="AM1433" t="str">
        <f>"10"</f>
        <v>10</v>
      </c>
      <c r="AN1433" t="str">
        <f>"500000"</f>
        <v>500000</v>
      </c>
      <c r="AO1433" t="str">
        <f>"הכנסות  מלקוחות"</f>
        <v>הכנסות  מלקוחות</v>
      </c>
      <c r="AQ1433" t="str">
        <f>"040"</f>
        <v>040</v>
      </c>
      <c r="AR1433">
        <v>0</v>
      </c>
      <c r="AS1433">
        <v>0</v>
      </c>
      <c r="AT1433">
        <v>3.2429999999999999</v>
      </c>
      <c r="AX1433" t="str">
        <f>"E000361090"</f>
        <v>E000361090</v>
      </c>
      <c r="BD1433" t="str">
        <f>"רחמים זרוק"</f>
        <v>רחמים זרוק</v>
      </c>
    </row>
    <row r="1434" spans="1:56" x14ac:dyDescent="0.3">
      <c r="A1434" s="1">
        <v>44791</v>
      </c>
      <c r="B1434" t="str">
        <f>"SI226001029"</f>
        <v>SI226001029</v>
      </c>
      <c r="C1434" t="str">
        <f>"PR22000223"</f>
        <v>PR22000223</v>
      </c>
      <c r="E1434" t="str">
        <f>"Y"</f>
        <v>Y</v>
      </c>
      <c r="F1434" t="str">
        <f>"חשבוניות מרכזות"</f>
        <v>חשבוניות מרכזות</v>
      </c>
      <c r="G1434" t="str">
        <f>"700065"</f>
        <v>700065</v>
      </c>
      <c r="H1434" t="str">
        <f>"אלתא מערכות בע""מ"</f>
        <v>אלתא מערכות בע"מ</v>
      </c>
      <c r="I1434" t="str">
        <f>"10"</f>
        <v>10</v>
      </c>
      <c r="J1434" t="str">
        <f>"OP-AR02999"</f>
        <v>OP-AR02999</v>
      </c>
      <c r="K1434" t="str">
        <f>"9000C568-001   HARNESS W1"</f>
        <v>9000C568-001   HARNESS W1</v>
      </c>
      <c r="L1434">
        <v>3</v>
      </c>
      <c r="M1434" t="str">
        <f>"יח"</f>
        <v>יח</v>
      </c>
      <c r="N1434">
        <v>3</v>
      </c>
      <c r="O1434" t="str">
        <f>"יח"</f>
        <v>יח</v>
      </c>
      <c r="P1434">
        <v>227.52</v>
      </c>
      <c r="Q1434" t="str">
        <f>"$"</f>
        <v>$</v>
      </c>
      <c r="R1434" t="str">
        <f>"הזמנה"</f>
        <v>הזמנה</v>
      </c>
      <c r="S1434">
        <v>0</v>
      </c>
      <c r="T1434">
        <v>682.56</v>
      </c>
      <c r="U1434">
        <v>0</v>
      </c>
      <c r="V1434">
        <v>682.56</v>
      </c>
      <c r="W1434" t="str">
        <f>"$"</f>
        <v>$</v>
      </c>
      <c r="X1434">
        <v>0</v>
      </c>
      <c r="Y1434">
        <v>0</v>
      </c>
      <c r="Z1434">
        <v>0</v>
      </c>
      <c r="AA1434" t="str">
        <f>"Y"</f>
        <v>Y</v>
      </c>
      <c r="AB1434" t="str">
        <f>"SO22000099"</f>
        <v>SO22000099</v>
      </c>
      <c r="AC1434">
        <v>5</v>
      </c>
      <c r="AD1434" s="1">
        <v>44629</v>
      </c>
      <c r="AE1434" t="str">
        <f>"SH22000998"</f>
        <v>SH22000998</v>
      </c>
      <c r="AF1434" t="str">
        <f>"משלוחים ללקוח"</f>
        <v>משלוחים ללקוח</v>
      </c>
      <c r="AG1434" s="1">
        <v>44790</v>
      </c>
      <c r="AM1434" t="str">
        <f>"10"</f>
        <v>10</v>
      </c>
      <c r="AN1434" t="str">
        <f>"500000"</f>
        <v>500000</v>
      </c>
      <c r="AO1434" t="str">
        <f>"הכנסות  מלקוחות"</f>
        <v>הכנסות  מלקוחות</v>
      </c>
      <c r="AQ1434" t="str">
        <f>"040"</f>
        <v>040</v>
      </c>
      <c r="AR1434">
        <v>0</v>
      </c>
      <c r="AS1434">
        <v>0</v>
      </c>
      <c r="AT1434">
        <v>3.2429999999999999</v>
      </c>
      <c r="AX1434" t="str">
        <f>"E000358026"</f>
        <v>E000358026</v>
      </c>
      <c r="BD1434" t="str">
        <f>"רחמים זרוק"</f>
        <v>רחמים זרוק</v>
      </c>
    </row>
    <row r="1435" spans="1:56" x14ac:dyDescent="0.3">
      <c r="A1435" s="1">
        <v>44791</v>
      </c>
      <c r="B1435" t="str">
        <f>"SI226001029"</f>
        <v>SI226001029</v>
      </c>
      <c r="C1435" t="str">
        <f>"PR22000223"</f>
        <v>PR22000223</v>
      </c>
      <c r="E1435" t="str">
        <f>"Y"</f>
        <v>Y</v>
      </c>
      <c r="F1435" t="str">
        <f>"חשבוניות מרכזות"</f>
        <v>חשבוניות מרכזות</v>
      </c>
      <c r="G1435" t="str">
        <f>"700065"</f>
        <v>700065</v>
      </c>
      <c r="H1435" t="str">
        <f>"אלתא מערכות בע""מ"</f>
        <v>אלתא מערכות בע"מ</v>
      </c>
      <c r="I1435" t="str">
        <f>"10"</f>
        <v>10</v>
      </c>
      <c r="J1435" t="str">
        <f>"OP-AR03000"</f>
        <v>OP-AR03000</v>
      </c>
      <c r="K1435" t="str">
        <f>"9004Y513-002   HARNESS W1"</f>
        <v>9004Y513-002   HARNESS W1</v>
      </c>
      <c r="L1435">
        <v>5</v>
      </c>
      <c r="M1435" t="str">
        <f>"יח"</f>
        <v>יח</v>
      </c>
      <c r="N1435">
        <v>5</v>
      </c>
      <c r="O1435" t="str">
        <f>"יח"</f>
        <v>יח</v>
      </c>
      <c r="P1435">
        <v>524.44000000000005</v>
      </c>
      <c r="Q1435" t="str">
        <f>"$"</f>
        <v>$</v>
      </c>
      <c r="R1435" t="str">
        <f>"הזמנה"</f>
        <v>הזמנה</v>
      </c>
      <c r="S1435">
        <v>0</v>
      </c>
      <c r="T1435" s="2">
        <v>2622.2</v>
      </c>
      <c r="U1435">
        <v>0</v>
      </c>
      <c r="V1435" s="2">
        <v>2622.2</v>
      </c>
      <c r="W1435" t="str">
        <f>"$"</f>
        <v>$</v>
      </c>
      <c r="X1435">
        <v>0</v>
      </c>
      <c r="Y1435">
        <v>0</v>
      </c>
      <c r="Z1435">
        <v>0</v>
      </c>
      <c r="AA1435" t="str">
        <f>"Y"</f>
        <v>Y</v>
      </c>
      <c r="AB1435" t="str">
        <f>"SO22000099"</f>
        <v>SO22000099</v>
      </c>
      <c r="AC1435">
        <v>6</v>
      </c>
      <c r="AD1435" s="1">
        <v>44629</v>
      </c>
      <c r="AE1435" t="str">
        <f>"SH22000998"</f>
        <v>SH22000998</v>
      </c>
      <c r="AF1435" t="str">
        <f>"משלוחים ללקוח"</f>
        <v>משלוחים ללקוח</v>
      </c>
      <c r="AG1435" s="1">
        <v>44790</v>
      </c>
      <c r="AM1435" t="str">
        <f>"10"</f>
        <v>10</v>
      </c>
      <c r="AN1435" t="str">
        <f>"500000"</f>
        <v>500000</v>
      </c>
      <c r="AO1435" t="str">
        <f>"הכנסות  מלקוחות"</f>
        <v>הכנסות  מלקוחות</v>
      </c>
      <c r="AQ1435" t="str">
        <f>"040"</f>
        <v>040</v>
      </c>
      <c r="AR1435">
        <v>0</v>
      </c>
      <c r="AS1435">
        <v>0</v>
      </c>
      <c r="AT1435">
        <v>3.2429999999999999</v>
      </c>
      <c r="AX1435" t="str">
        <f>"E000358026"</f>
        <v>E000358026</v>
      </c>
      <c r="BD1435" t="str">
        <f>"רחמים זרוק"</f>
        <v>רחמים זרוק</v>
      </c>
    </row>
    <row r="1436" spans="1:56" x14ac:dyDescent="0.3">
      <c r="A1436" s="1">
        <v>44791</v>
      </c>
      <c r="B1436" t="str">
        <f>"SI226001029"</f>
        <v>SI226001029</v>
      </c>
      <c r="C1436" t="str">
        <f>"PR22000223"</f>
        <v>PR22000223</v>
      </c>
      <c r="E1436" t="str">
        <f>"Y"</f>
        <v>Y</v>
      </c>
      <c r="F1436" t="str">
        <f>"חשבוניות מרכזות"</f>
        <v>חשבוניות מרכזות</v>
      </c>
      <c r="G1436" t="str">
        <f>"700065"</f>
        <v>700065</v>
      </c>
      <c r="H1436" t="str">
        <f>"אלתא מערכות בע""מ"</f>
        <v>אלתא מערכות בע"מ</v>
      </c>
      <c r="I1436" t="str">
        <f>"10"</f>
        <v>10</v>
      </c>
      <c r="J1436" t="str">
        <f>"OP-AR03003"</f>
        <v>OP-AR03003</v>
      </c>
      <c r="K1436" t="str">
        <f>"1094R050-002   HARNESS W050 - BFEA CONTROL CABLE"</f>
        <v>1094R050-002   HARNESS W050 - BFEA CONTROL CABLE</v>
      </c>
      <c r="L1436">
        <v>4</v>
      </c>
      <c r="M1436" t="str">
        <f>"יח"</f>
        <v>יח</v>
      </c>
      <c r="N1436">
        <v>4</v>
      </c>
      <c r="O1436" t="str">
        <f>"יח"</f>
        <v>יח</v>
      </c>
      <c r="P1436">
        <v>604.53</v>
      </c>
      <c r="Q1436" t="str">
        <f>"$"</f>
        <v>$</v>
      </c>
      <c r="R1436" t="str">
        <f>"הזמנה"</f>
        <v>הזמנה</v>
      </c>
      <c r="S1436">
        <v>0</v>
      </c>
      <c r="T1436" s="2">
        <v>2418.12</v>
      </c>
      <c r="U1436">
        <v>0</v>
      </c>
      <c r="V1436" s="2">
        <v>2418.12</v>
      </c>
      <c r="W1436" t="str">
        <f>"$"</f>
        <v>$</v>
      </c>
      <c r="X1436">
        <v>0</v>
      </c>
      <c r="Y1436">
        <v>0</v>
      </c>
      <c r="Z1436">
        <v>0</v>
      </c>
      <c r="AA1436" t="str">
        <f>"Y"</f>
        <v>Y</v>
      </c>
      <c r="AB1436" t="str">
        <f>"SO22000099"</f>
        <v>SO22000099</v>
      </c>
      <c r="AC1436">
        <v>11</v>
      </c>
      <c r="AD1436" s="1">
        <v>44629</v>
      </c>
      <c r="AE1436" t="str">
        <f>"SH22000998"</f>
        <v>SH22000998</v>
      </c>
      <c r="AF1436" t="str">
        <f>"משלוחים ללקוח"</f>
        <v>משלוחים ללקוח</v>
      </c>
      <c r="AG1436" s="1">
        <v>44790</v>
      </c>
      <c r="AM1436" t="str">
        <f>"10"</f>
        <v>10</v>
      </c>
      <c r="AN1436" t="str">
        <f>"500000"</f>
        <v>500000</v>
      </c>
      <c r="AO1436" t="str">
        <f>"הכנסות  מלקוחות"</f>
        <v>הכנסות  מלקוחות</v>
      </c>
      <c r="AQ1436" t="str">
        <f>"040"</f>
        <v>040</v>
      </c>
      <c r="AR1436">
        <v>0</v>
      </c>
      <c r="AS1436">
        <v>0</v>
      </c>
      <c r="AT1436">
        <v>3.2429999999999999</v>
      </c>
      <c r="AX1436" t="str">
        <f>"E000358026"</f>
        <v>E000358026</v>
      </c>
      <c r="BD1436" t="str">
        <f>"רחמים זרוק"</f>
        <v>רחמים זרוק</v>
      </c>
    </row>
    <row r="1437" spans="1:56" x14ac:dyDescent="0.3">
      <c r="A1437" s="1">
        <v>44791</v>
      </c>
      <c r="B1437" t="str">
        <f>"SI226000968"</f>
        <v>SI226000968</v>
      </c>
      <c r="C1437" t="str">
        <f>"PR22000245"</f>
        <v>PR22000245</v>
      </c>
      <c r="E1437" t="str">
        <f>"Y"</f>
        <v>Y</v>
      </c>
      <c r="F1437" t="str">
        <f>"חשבוניות מרכזות"</f>
        <v>חשבוניות מרכזות</v>
      </c>
      <c r="G1437" t="str">
        <f>"700065"</f>
        <v>700065</v>
      </c>
      <c r="H1437" t="str">
        <f>"אלתא מערכות בע""מ"</f>
        <v>אלתא מערכות בע"מ</v>
      </c>
      <c r="I1437" t="str">
        <f>"10"</f>
        <v>10</v>
      </c>
      <c r="J1437" t="str">
        <f>"PD0300257"</f>
        <v>PD0300257</v>
      </c>
      <c r="K1437" t="str">
        <f>"משגוח בידוד איזומטר ISO685-S-P-FP200  B 91067230"</f>
        <v>משגוח בידוד איזומטר ISO685-S-P-FP200  B 91067230</v>
      </c>
      <c r="L1437">
        <v>1</v>
      </c>
      <c r="M1437" t="str">
        <f>"יח"</f>
        <v>יח</v>
      </c>
      <c r="N1437">
        <v>1</v>
      </c>
      <c r="O1437" t="str">
        <f>"יח"</f>
        <v>יח</v>
      </c>
      <c r="P1437" s="2">
        <v>6250</v>
      </c>
      <c r="Q1437" t="str">
        <f>"$"</f>
        <v>$</v>
      </c>
      <c r="R1437" t="str">
        <f>"הזמנה"</f>
        <v>הזמנה</v>
      </c>
      <c r="S1437">
        <v>0</v>
      </c>
      <c r="T1437" s="2">
        <v>6250</v>
      </c>
      <c r="U1437">
        <v>0</v>
      </c>
      <c r="V1437" s="2">
        <v>6250</v>
      </c>
      <c r="W1437" t="str">
        <f>"$"</f>
        <v>$</v>
      </c>
      <c r="X1437">
        <v>0</v>
      </c>
      <c r="Y1437">
        <v>0</v>
      </c>
      <c r="Z1437">
        <v>0</v>
      </c>
      <c r="AA1437" t="str">
        <f>"Y"</f>
        <v>Y</v>
      </c>
      <c r="AB1437" t="str">
        <f>"SO22000113"</f>
        <v>SO22000113</v>
      </c>
      <c r="AC1437">
        <v>10</v>
      </c>
      <c r="AD1437" s="1">
        <v>44641</v>
      </c>
      <c r="AE1437" t="str">
        <f>"SH22001005"</f>
        <v>SH22001005</v>
      </c>
      <c r="AF1437" t="str">
        <f>"משלוחים ללקוח"</f>
        <v>משלוחים ללקוח</v>
      </c>
      <c r="AG1437" s="1">
        <v>44790</v>
      </c>
      <c r="AM1437" t="str">
        <f>"10"</f>
        <v>10</v>
      </c>
      <c r="AN1437" t="str">
        <f>"500000"</f>
        <v>500000</v>
      </c>
      <c r="AO1437" t="str">
        <f>"הכנסות  מלקוחות"</f>
        <v>הכנסות  מלקוחות</v>
      </c>
      <c r="AQ1437" t="str">
        <f>"007"</f>
        <v>007</v>
      </c>
      <c r="AR1437">
        <v>0</v>
      </c>
      <c r="AS1437">
        <v>0</v>
      </c>
      <c r="AT1437">
        <v>3.2429999999999999</v>
      </c>
      <c r="AX1437" t="str">
        <f>"E000360545"</f>
        <v>E000360545</v>
      </c>
      <c r="BD1437" t="str">
        <f>"רוני דידי"</f>
        <v>רוני דידי</v>
      </c>
    </row>
    <row r="1438" spans="1:56" x14ac:dyDescent="0.3">
      <c r="A1438" s="1">
        <v>44791</v>
      </c>
      <c r="B1438" t="str">
        <f>"SI226000968"</f>
        <v>SI226000968</v>
      </c>
      <c r="C1438" t="str">
        <f>"PR22000245"</f>
        <v>PR22000245</v>
      </c>
      <c r="E1438" t="str">
        <f>"Y"</f>
        <v>Y</v>
      </c>
      <c r="F1438" t="str">
        <f>"חשבוניות מרכזות"</f>
        <v>חשבוניות מרכזות</v>
      </c>
      <c r="G1438" t="str">
        <f>"700065"</f>
        <v>700065</v>
      </c>
      <c r="H1438" t="str">
        <f>"אלתא מערכות בע""מ"</f>
        <v>אלתא מערכות בע"מ</v>
      </c>
      <c r="I1438" t="str">
        <f>"10"</f>
        <v>10</v>
      </c>
      <c r="J1438" t="str">
        <f>"PS0300006"</f>
        <v>PS0300006</v>
      </c>
      <c r="K1438" t="str">
        <f>"TSI-EPC - 380Vac-Module BRAVO"</f>
        <v>TSI-EPC - 380Vac-Module BRAVO</v>
      </c>
      <c r="L1438">
        <v>3</v>
      </c>
      <c r="M1438" t="str">
        <f>"יח"</f>
        <v>יח</v>
      </c>
      <c r="N1438">
        <v>3</v>
      </c>
      <c r="O1438" t="str">
        <f>"יח"</f>
        <v>יח</v>
      </c>
      <c r="P1438" s="2">
        <v>1950</v>
      </c>
      <c r="Q1438" t="str">
        <f>"$"</f>
        <v>$</v>
      </c>
      <c r="R1438" t="str">
        <f>"הזמנה"</f>
        <v>הזמנה</v>
      </c>
      <c r="S1438">
        <v>0</v>
      </c>
      <c r="T1438" s="2">
        <v>5850</v>
      </c>
      <c r="U1438">
        <v>0</v>
      </c>
      <c r="V1438" s="2">
        <v>5850</v>
      </c>
      <c r="W1438" t="str">
        <f>"$"</f>
        <v>$</v>
      </c>
      <c r="X1438">
        <v>0</v>
      </c>
      <c r="Y1438">
        <v>0</v>
      </c>
      <c r="Z1438">
        <v>0</v>
      </c>
      <c r="AA1438" t="str">
        <f>"Y"</f>
        <v>Y</v>
      </c>
      <c r="AB1438" t="str">
        <f>"SO22000113"</f>
        <v>SO22000113</v>
      </c>
      <c r="AC1438">
        <v>13</v>
      </c>
      <c r="AD1438" s="1">
        <v>44641</v>
      </c>
      <c r="AE1438" t="str">
        <f>"SH22001005"</f>
        <v>SH22001005</v>
      </c>
      <c r="AF1438" t="str">
        <f>"משלוחים ללקוח"</f>
        <v>משלוחים ללקוח</v>
      </c>
      <c r="AG1438" s="1">
        <v>44790</v>
      </c>
      <c r="AM1438" t="str">
        <f>"10"</f>
        <v>10</v>
      </c>
      <c r="AN1438" t="str">
        <f>"500000"</f>
        <v>500000</v>
      </c>
      <c r="AO1438" t="str">
        <f>"הכנסות  מלקוחות"</f>
        <v>הכנסות  מלקוחות</v>
      </c>
      <c r="AQ1438" t="str">
        <f>"007"</f>
        <v>007</v>
      </c>
      <c r="AR1438">
        <v>0</v>
      </c>
      <c r="AS1438">
        <v>0</v>
      </c>
      <c r="AT1438">
        <v>3.2429999999999999</v>
      </c>
      <c r="AX1438" t="str">
        <f>"E000360545"</f>
        <v>E000360545</v>
      </c>
      <c r="BD1438" t="str">
        <f>"רוני דידי"</f>
        <v>רוני דידי</v>
      </c>
    </row>
    <row r="1439" spans="1:56" x14ac:dyDescent="0.3">
      <c r="A1439" s="1">
        <v>44791</v>
      </c>
      <c r="B1439" t="str">
        <f>"SI226000967"</f>
        <v>SI226000967</v>
      </c>
      <c r="C1439" t="str">
        <f>"PR22000460"</f>
        <v>PR22000460</v>
      </c>
      <c r="D1439" t="str">
        <f>"PR22000460"</f>
        <v>PR22000460</v>
      </c>
      <c r="E1439" t="str">
        <f>"Y"</f>
        <v>Y</v>
      </c>
      <c r="F1439" t="str">
        <f>"חשבוניות מרכזות"</f>
        <v>חשבוניות מרכזות</v>
      </c>
      <c r="G1439" t="str">
        <f>"700065"</f>
        <v>700065</v>
      </c>
      <c r="H1439" t="str">
        <f>"אלתא מערכות בע""מ"</f>
        <v>אלתא מערכות בע"מ</v>
      </c>
      <c r="I1439" t="str">
        <f>"10"</f>
        <v>10</v>
      </c>
      <c r="J1439" t="str">
        <f>"OP-AR03192"</f>
        <v>OP-AR03192</v>
      </c>
      <c r="K1439" t="str">
        <f>"1023B180-001   WA371 DP SENSOR"</f>
        <v>1023B180-001   WA371 DP SENSOR</v>
      </c>
      <c r="L1439">
        <v>1</v>
      </c>
      <c r="M1439" t="str">
        <f>"יח"</f>
        <v>יח</v>
      </c>
      <c r="N1439">
        <v>1</v>
      </c>
      <c r="O1439" t="str">
        <f>"יח"</f>
        <v>יח</v>
      </c>
      <c r="P1439">
        <v>210.63</v>
      </c>
      <c r="Q1439" t="str">
        <f>"$"</f>
        <v>$</v>
      </c>
      <c r="R1439" t="str">
        <f>"הזמנה"</f>
        <v>הזמנה</v>
      </c>
      <c r="S1439">
        <v>0</v>
      </c>
      <c r="T1439">
        <v>210.63</v>
      </c>
      <c r="U1439">
        <v>0</v>
      </c>
      <c r="V1439">
        <v>210.63</v>
      </c>
      <c r="W1439" t="str">
        <f>"$"</f>
        <v>$</v>
      </c>
      <c r="X1439">
        <v>0</v>
      </c>
      <c r="Y1439">
        <v>0</v>
      </c>
      <c r="Z1439">
        <v>0</v>
      </c>
      <c r="AA1439" t="str">
        <f>"Y"</f>
        <v>Y</v>
      </c>
      <c r="AB1439" t="str">
        <f>"SO22000235"</f>
        <v>SO22000235</v>
      </c>
      <c r="AC1439">
        <v>1</v>
      </c>
      <c r="AD1439" s="1">
        <v>44727</v>
      </c>
      <c r="AE1439" t="str">
        <f>"SH22001004"</f>
        <v>SH22001004</v>
      </c>
      <c r="AF1439" t="str">
        <f>"משלוחים ללקוח"</f>
        <v>משלוחים ללקוח</v>
      </c>
      <c r="AG1439" s="1">
        <v>44790</v>
      </c>
      <c r="AM1439" t="str">
        <f>"10"</f>
        <v>10</v>
      </c>
      <c r="AN1439" t="str">
        <f>"500000"</f>
        <v>500000</v>
      </c>
      <c r="AO1439" t="str">
        <f>"הכנסות  מלקוחות"</f>
        <v>הכנסות  מלקוחות</v>
      </c>
      <c r="AQ1439" t="str">
        <f>"040"</f>
        <v>040</v>
      </c>
      <c r="AR1439">
        <v>0</v>
      </c>
      <c r="AS1439">
        <v>0</v>
      </c>
      <c r="AT1439">
        <v>3.2429999999999999</v>
      </c>
      <c r="AX1439" t="str">
        <f>"E000366546"</f>
        <v>E000366546</v>
      </c>
      <c r="BD1439" t="str">
        <f>"רחמים זרוק"</f>
        <v>רחמים זרוק</v>
      </c>
    </row>
    <row r="1440" spans="1:56" x14ac:dyDescent="0.3">
      <c r="A1440" s="1">
        <v>44790</v>
      </c>
      <c r="B1440" t="str">
        <f>"CR227000054"</f>
        <v>CR227000054</v>
      </c>
      <c r="E1440" t="str">
        <f>"Y"</f>
        <v>Y</v>
      </c>
      <c r="F1440" t="str">
        <f>"חשבוניות זיכוי"</f>
        <v>חשבוניות זיכוי</v>
      </c>
      <c r="G1440" t="str">
        <f>"700065"</f>
        <v>700065</v>
      </c>
      <c r="H1440" t="str">
        <f>"אלתא מערכות בע""מ"</f>
        <v>אלתא מערכות בע"מ</v>
      </c>
      <c r="I1440" t="str">
        <f>"10"</f>
        <v>10</v>
      </c>
      <c r="J1440" t="str">
        <f>"000"</f>
        <v>000</v>
      </c>
      <c r="K1440" t="str">
        <f>"שבונית זיכוי עבור הזמנה E000356936"</f>
        <v>שבונית זיכוי עבור הזמנה E000356936</v>
      </c>
      <c r="L1440">
        <v>1</v>
      </c>
      <c r="M1440" t="str">
        <f>"יח"</f>
        <v>יח</v>
      </c>
      <c r="N1440">
        <v>1</v>
      </c>
      <c r="O1440" t="str">
        <f>"יח"</f>
        <v>יח</v>
      </c>
      <c r="P1440" s="2">
        <v>1870</v>
      </c>
      <c r="Q1440" t="str">
        <f>"$"</f>
        <v>$</v>
      </c>
      <c r="R1440" t="str">
        <f>"ידני"</f>
        <v>ידני</v>
      </c>
      <c r="S1440">
        <v>0</v>
      </c>
      <c r="T1440" s="2">
        <v>1870</v>
      </c>
      <c r="U1440">
        <v>0</v>
      </c>
      <c r="V1440" s="2">
        <v>1870</v>
      </c>
      <c r="W1440" t="str">
        <f>"$"</f>
        <v>$</v>
      </c>
      <c r="X1440">
        <v>0</v>
      </c>
      <c r="Y1440">
        <v>0</v>
      </c>
      <c r="Z1440">
        <v>0</v>
      </c>
      <c r="AA1440" t="str">
        <f>"Y"</f>
        <v>Y</v>
      </c>
      <c r="AC1440">
        <v>0</v>
      </c>
      <c r="AM1440" t="str">
        <f>"10"</f>
        <v>10</v>
      </c>
      <c r="AN1440" t="str">
        <f>"500000"</f>
        <v>500000</v>
      </c>
      <c r="AO1440" t="str">
        <f>"הכנסות  מלקוחות"</f>
        <v>הכנסות  מלקוחות</v>
      </c>
      <c r="AQ1440" t="str">
        <f>"034"</f>
        <v>034</v>
      </c>
      <c r="AR1440">
        <v>0</v>
      </c>
      <c r="AS1440">
        <v>0</v>
      </c>
      <c r="AT1440">
        <v>3.1930000000000001</v>
      </c>
      <c r="BD1440" t="str">
        <f>"ערן שלו"</f>
        <v>ערן שלו</v>
      </c>
    </row>
    <row r="1441" spans="1:56" x14ac:dyDescent="0.3">
      <c r="A1441" s="1">
        <v>44789</v>
      </c>
      <c r="B1441" t="str">
        <f>"SI226000940"</f>
        <v>SI226000940</v>
      </c>
      <c r="E1441" t="str">
        <f>"Y"</f>
        <v>Y</v>
      </c>
      <c r="F1441" t="str">
        <f>"חשבוניות מרכזות"</f>
        <v>חשבוניות מרכזות</v>
      </c>
      <c r="G1441" t="str">
        <f>"700065"</f>
        <v>700065</v>
      </c>
      <c r="H1441" t="str">
        <f>"אלתא מערכות בע""מ"</f>
        <v>אלתא מערכות בע"מ</v>
      </c>
      <c r="I1441" t="str">
        <f>"10"</f>
        <v>10</v>
      </c>
      <c r="J1441" t="str">
        <f>"000"</f>
        <v>000</v>
      </c>
      <c r="K1441" t="str">
        <f>"תוספות לRPU עבור הזמנה E000312785"</f>
        <v>תוספות לRPU עבור הזמנה E000312785</v>
      </c>
      <c r="L1441">
        <v>1</v>
      </c>
      <c r="M1441" t="str">
        <f>"יח"</f>
        <v>יח</v>
      </c>
      <c r="N1441">
        <v>1</v>
      </c>
      <c r="O1441" t="str">
        <f>"יח"</f>
        <v>יח</v>
      </c>
      <c r="P1441" s="2">
        <v>32780</v>
      </c>
      <c r="Q1441" t="str">
        <f>"$"</f>
        <v>$</v>
      </c>
      <c r="R1441" t="str">
        <f>"הזמנה"</f>
        <v>הזמנה</v>
      </c>
      <c r="S1441">
        <v>0</v>
      </c>
      <c r="T1441" s="2">
        <v>32780</v>
      </c>
      <c r="U1441">
        <v>0</v>
      </c>
      <c r="V1441" s="2">
        <v>32780</v>
      </c>
      <c r="W1441" t="str">
        <f>"$"</f>
        <v>$</v>
      </c>
      <c r="X1441">
        <v>0</v>
      </c>
      <c r="Y1441">
        <v>0</v>
      </c>
      <c r="Z1441">
        <v>0</v>
      </c>
      <c r="AA1441" t="str">
        <f>"Y"</f>
        <v>Y</v>
      </c>
      <c r="AB1441" t="str">
        <f>"SO21000055"</f>
        <v>SO21000055</v>
      </c>
      <c r="AC1441">
        <v>6</v>
      </c>
      <c r="AD1441" s="1">
        <v>44228</v>
      </c>
      <c r="AM1441" t="str">
        <f>"10"</f>
        <v>10</v>
      </c>
      <c r="AN1441" t="str">
        <f>"500000"</f>
        <v>500000</v>
      </c>
      <c r="AO1441" t="str">
        <f>"הכנסות  מלקוחות"</f>
        <v>הכנסות  מלקוחות</v>
      </c>
      <c r="AQ1441" t="str">
        <f>"034"</f>
        <v>034</v>
      </c>
      <c r="AR1441">
        <v>0</v>
      </c>
      <c r="AS1441">
        <v>0</v>
      </c>
      <c r="AT1441">
        <v>3.2650000000000001</v>
      </c>
      <c r="AX1441" t="str">
        <f>"E000331489"</f>
        <v>E000331489</v>
      </c>
      <c r="BD1441" t="str">
        <f>"ערן שלו"</f>
        <v>ערן שלו</v>
      </c>
    </row>
    <row r="1442" spans="1:56" x14ac:dyDescent="0.3">
      <c r="A1442" s="1">
        <v>44789</v>
      </c>
      <c r="B1442" t="str">
        <f>"SI226000939"</f>
        <v>SI226000939</v>
      </c>
      <c r="E1442" t="str">
        <f>"Y"</f>
        <v>Y</v>
      </c>
      <c r="F1442" t="str">
        <f>"חשבוניות מרכזות"</f>
        <v>חשבוניות מרכזות</v>
      </c>
      <c r="G1442" t="str">
        <f>"700065"</f>
        <v>700065</v>
      </c>
      <c r="H1442" t="str">
        <f>"אלתא מערכות בע""מ"</f>
        <v>אלתא מערכות בע"מ</v>
      </c>
      <c r="I1442" t="str">
        <f>"10"</f>
        <v>10</v>
      </c>
      <c r="J1442" t="str">
        <f>"OP-ML00179"</f>
        <v>OP-ML00179</v>
      </c>
      <c r="K1442" t="str">
        <f>"1038C906-001 Radar Power Unit (RPU) Platform"</f>
        <v>1038C906-001 Radar Power Unit (RPU) Platform</v>
      </c>
      <c r="L1442">
        <v>1</v>
      </c>
      <c r="M1442" t="str">
        <f>"יח"</f>
        <v>יח</v>
      </c>
      <c r="N1442">
        <v>1</v>
      </c>
      <c r="O1442" t="str">
        <f>"יח"</f>
        <v>יח</v>
      </c>
      <c r="P1442" s="2">
        <v>284970</v>
      </c>
      <c r="Q1442" t="str">
        <f>"$"</f>
        <v>$</v>
      </c>
      <c r="R1442" t="str">
        <f>"הזמנה"</f>
        <v>הזמנה</v>
      </c>
      <c r="S1442">
        <v>0</v>
      </c>
      <c r="T1442" s="2">
        <v>284970</v>
      </c>
      <c r="U1442">
        <v>0</v>
      </c>
      <c r="V1442" s="2">
        <v>284970</v>
      </c>
      <c r="W1442" t="str">
        <f>"$"</f>
        <v>$</v>
      </c>
      <c r="X1442">
        <v>0</v>
      </c>
      <c r="Y1442">
        <v>0</v>
      </c>
      <c r="Z1442">
        <v>0</v>
      </c>
      <c r="AA1442" t="str">
        <f>"Y"</f>
        <v>Y</v>
      </c>
      <c r="AB1442" t="str">
        <f>"SO20000218"</f>
        <v>SO20000218</v>
      </c>
      <c r="AC1442">
        <v>4</v>
      </c>
      <c r="AD1442" s="1">
        <v>43982</v>
      </c>
      <c r="AE1442" t="str">
        <f>"SH22001072"</f>
        <v>SH22001072</v>
      </c>
      <c r="AF1442" t="str">
        <f>"משלוחים ללקוח"</f>
        <v>משלוחים ללקוח</v>
      </c>
      <c r="AG1442" s="1">
        <v>44804</v>
      </c>
      <c r="AM1442" t="str">
        <f>"10"</f>
        <v>10</v>
      </c>
      <c r="AN1442" t="str">
        <f>"500000"</f>
        <v>500000</v>
      </c>
      <c r="AO1442" t="str">
        <f>"הכנסות  מלקוחות"</f>
        <v>הכנסות  מלקוחות</v>
      </c>
      <c r="AQ1442" t="str">
        <f>"034"</f>
        <v>034</v>
      </c>
      <c r="AR1442">
        <v>0</v>
      </c>
      <c r="AS1442">
        <v>0</v>
      </c>
      <c r="AT1442">
        <v>3.2650000000000001</v>
      </c>
      <c r="AX1442" t="str">
        <f>"E000312785"</f>
        <v>E000312785</v>
      </c>
      <c r="BD1442" t="str">
        <f>"ערן שלו"</f>
        <v>ערן שלו</v>
      </c>
    </row>
    <row r="1443" spans="1:56" x14ac:dyDescent="0.3">
      <c r="A1443" s="1">
        <v>44789</v>
      </c>
      <c r="B1443" t="str">
        <f>"SI226000938"</f>
        <v>SI226000938</v>
      </c>
      <c r="E1443" t="str">
        <f>"Y"</f>
        <v>Y</v>
      </c>
      <c r="F1443" t="str">
        <f>"חשבוניות מרכזות"</f>
        <v>חשבוניות מרכזות</v>
      </c>
      <c r="G1443" t="str">
        <f>"700065"</f>
        <v>700065</v>
      </c>
      <c r="H1443" t="str">
        <f>"אלתא מערכות בע""מ"</f>
        <v>אלתא מערכות בע"מ</v>
      </c>
      <c r="I1443" t="str">
        <f>"10"</f>
        <v>10</v>
      </c>
      <c r="J1443" t="str">
        <f>"OP-ML00179"</f>
        <v>OP-ML00179</v>
      </c>
      <c r="K1443" t="str">
        <f>"1038C906-001 Radar Power Unit (RPU) Platform"</f>
        <v>1038C906-001 Radar Power Unit (RPU) Platform</v>
      </c>
      <c r="L1443">
        <v>-1</v>
      </c>
      <c r="M1443" t="str">
        <f>"יח"</f>
        <v>יח</v>
      </c>
      <c r="N1443">
        <v>-1</v>
      </c>
      <c r="O1443" t="str">
        <f>"יח"</f>
        <v>יח</v>
      </c>
      <c r="P1443" s="2">
        <v>284970</v>
      </c>
      <c r="Q1443" t="str">
        <f>"$"</f>
        <v>$</v>
      </c>
      <c r="R1443" t="str">
        <f>"הזמנה"</f>
        <v>הזמנה</v>
      </c>
      <c r="S1443">
        <v>0</v>
      </c>
      <c r="T1443" s="2">
        <v>-284970</v>
      </c>
      <c r="U1443">
        <v>0</v>
      </c>
      <c r="V1443" s="2">
        <v>-284970</v>
      </c>
      <c r="W1443" t="str">
        <f>"$"</f>
        <v>$</v>
      </c>
      <c r="X1443">
        <v>0</v>
      </c>
      <c r="Y1443">
        <v>0</v>
      </c>
      <c r="Z1443">
        <v>0</v>
      </c>
      <c r="AA1443" t="str">
        <f>"Y"</f>
        <v>Y</v>
      </c>
      <c r="AC1443">
        <v>0</v>
      </c>
      <c r="AM1443" t="str">
        <f>"10"</f>
        <v>10</v>
      </c>
      <c r="AN1443" t="str">
        <f>"500000"</f>
        <v>500000</v>
      </c>
      <c r="AO1443" t="str">
        <f>"הכנסות  מלקוחות"</f>
        <v>הכנסות  מלקוחות</v>
      </c>
      <c r="AQ1443" t="str">
        <f>"034"</f>
        <v>034</v>
      </c>
      <c r="AR1443">
        <v>0</v>
      </c>
      <c r="AS1443">
        <v>0</v>
      </c>
      <c r="AT1443">
        <v>3.2410000000000001</v>
      </c>
      <c r="BB1443" t="str">
        <f>"Y"</f>
        <v>Y</v>
      </c>
      <c r="BD1443" t="str">
        <f>"ערן שלו"</f>
        <v>ערן שלו</v>
      </c>
    </row>
    <row r="1444" spans="1:56" x14ac:dyDescent="0.3">
      <c r="A1444" s="1">
        <v>44789</v>
      </c>
      <c r="B1444" t="str">
        <f>"SI226000937"</f>
        <v>SI226000937</v>
      </c>
      <c r="E1444" t="str">
        <f>"Y"</f>
        <v>Y</v>
      </c>
      <c r="F1444" t="str">
        <f>"חשבוניות מרכזות"</f>
        <v>חשבוניות מרכזות</v>
      </c>
      <c r="G1444" t="str">
        <f>"700065"</f>
        <v>700065</v>
      </c>
      <c r="H1444" t="str">
        <f>"אלתא מערכות בע""מ"</f>
        <v>אלתא מערכות בע"מ</v>
      </c>
      <c r="I1444" t="str">
        <f>"10"</f>
        <v>10</v>
      </c>
      <c r="J1444" t="str">
        <f>"000"</f>
        <v>000</v>
      </c>
      <c r="K1444" t="str">
        <f>"תוספת עבור חומר גלם וש""ע בייצור ה RPU"</f>
        <v>תוספת עבור חומר גלם וש"ע בייצור ה RPU</v>
      </c>
      <c r="L1444">
        <v>1</v>
      </c>
      <c r="M1444" t="str">
        <f>"יח"</f>
        <v>יח</v>
      </c>
      <c r="N1444">
        <v>1</v>
      </c>
      <c r="O1444" t="str">
        <f>"יח"</f>
        <v>יח</v>
      </c>
      <c r="P1444" s="2">
        <v>25000</v>
      </c>
      <c r="Q1444" t="str">
        <f>"$"</f>
        <v>$</v>
      </c>
      <c r="R1444" t="str">
        <f>"הזמנה"</f>
        <v>הזמנה</v>
      </c>
      <c r="S1444">
        <v>0</v>
      </c>
      <c r="T1444" s="2">
        <v>25000</v>
      </c>
      <c r="U1444">
        <v>0</v>
      </c>
      <c r="V1444" s="2">
        <v>25000</v>
      </c>
      <c r="W1444" t="str">
        <f>"$"</f>
        <v>$</v>
      </c>
      <c r="X1444">
        <v>0</v>
      </c>
      <c r="Y1444">
        <v>0</v>
      </c>
      <c r="Z1444">
        <v>0</v>
      </c>
      <c r="AA1444" t="str">
        <f>"Y"</f>
        <v>Y</v>
      </c>
      <c r="AB1444" t="str">
        <f>"SO21000418"</f>
        <v>SO21000418</v>
      </c>
      <c r="AC1444">
        <v>5</v>
      </c>
      <c r="AD1444" s="1">
        <v>44474</v>
      </c>
      <c r="AM1444" t="str">
        <f>"10"</f>
        <v>10</v>
      </c>
      <c r="AN1444" t="str">
        <f>"500000"</f>
        <v>500000</v>
      </c>
      <c r="AO1444" t="str">
        <f>"הכנסות  מלקוחות"</f>
        <v>הכנסות  מלקוחות</v>
      </c>
      <c r="AQ1444" t="str">
        <f>"034"</f>
        <v>034</v>
      </c>
      <c r="AR1444">
        <v>0</v>
      </c>
      <c r="AS1444">
        <v>0</v>
      </c>
      <c r="AT1444">
        <v>3.2650000000000001</v>
      </c>
      <c r="AX1444" t="str">
        <f>"E000346956"</f>
        <v>E000346956</v>
      </c>
      <c r="BD1444" t="str">
        <f>"ערן שלו"</f>
        <v>ערן שלו</v>
      </c>
    </row>
    <row r="1445" spans="1:56" x14ac:dyDescent="0.3">
      <c r="A1445" s="1">
        <v>44789</v>
      </c>
      <c r="B1445" t="str">
        <f>"SI226000936"</f>
        <v>SI226000936</v>
      </c>
      <c r="E1445" t="str">
        <f>"Y"</f>
        <v>Y</v>
      </c>
      <c r="F1445" t="str">
        <f>"חשבוניות מרכזות"</f>
        <v>חשבוניות מרכזות</v>
      </c>
      <c r="G1445" t="str">
        <f>"700065"</f>
        <v>700065</v>
      </c>
      <c r="H1445" t="str">
        <f>"אלתא מערכות בע""מ"</f>
        <v>אלתא מערכות בע"מ</v>
      </c>
      <c r="I1445" t="str">
        <f>"10"</f>
        <v>10</v>
      </c>
      <c r="J1445" t="str">
        <f>"OP-ML00179"</f>
        <v>OP-ML00179</v>
      </c>
      <c r="K1445" t="str">
        <f>"1038C906-001 Radar Power Unit (RPU) Platform"</f>
        <v>1038C906-001 Radar Power Unit (RPU) Platform</v>
      </c>
      <c r="L1445">
        <v>1</v>
      </c>
      <c r="M1445" t="str">
        <f>"יח"</f>
        <v>יח</v>
      </c>
      <c r="N1445">
        <v>1</v>
      </c>
      <c r="O1445" t="str">
        <f>"יח"</f>
        <v>יח</v>
      </c>
      <c r="P1445" s="2">
        <v>284970</v>
      </c>
      <c r="Q1445" t="str">
        <f>"$"</f>
        <v>$</v>
      </c>
      <c r="R1445" t="str">
        <f>"הזמנה"</f>
        <v>הזמנה</v>
      </c>
      <c r="S1445">
        <v>0</v>
      </c>
      <c r="T1445" s="2">
        <v>284970</v>
      </c>
      <c r="U1445">
        <v>0</v>
      </c>
      <c r="V1445" s="2">
        <v>284970</v>
      </c>
      <c r="W1445" t="str">
        <f>"$"</f>
        <v>$</v>
      </c>
      <c r="X1445">
        <v>0</v>
      </c>
      <c r="Y1445">
        <v>0</v>
      </c>
      <c r="Z1445">
        <v>0</v>
      </c>
      <c r="AA1445" t="str">
        <f>"Y"</f>
        <v>Y</v>
      </c>
      <c r="AC1445">
        <v>0</v>
      </c>
      <c r="AM1445" t="str">
        <f>"10"</f>
        <v>10</v>
      </c>
      <c r="AN1445" t="str">
        <f>"500000"</f>
        <v>500000</v>
      </c>
      <c r="AO1445" t="str">
        <f>"הכנסות  מלקוחות"</f>
        <v>הכנסות  מלקוחות</v>
      </c>
      <c r="AQ1445" t="str">
        <f>"034"</f>
        <v>034</v>
      </c>
      <c r="AR1445">
        <v>0</v>
      </c>
      <c r="AS1445">
        <v>0</v>
      </c>
      <c r="AT1445">
        <v>3.2410000000000001</v>
      </c>
      <c r="BB1445" t="str">
        <f>"Y"</f>
        <v>Y</v>
      </c>
      <c r="BD1445" t="str">
        <f>"ערן שלו"</f>
        <v>ערן שלו</v>
      </c>
    </row>
    <row r="1446" spans="1:56" x14ac:dyDescent="0.3">
      <c r="A1446" s="1">
        <v>44789</v>
      </c>
      <c r="B1446" t="str">
        <f>"CR227000053"</f>
        <v>CR227000053</v>
      </c>
      <c r="E1446" t="str">
        <f>"Y"</f>
        <v>Y</v>
      </c>
      <c r="F1446" t="str">
        <f>"חשבוניות זיכוי"</f>
        <v>חשבוניות זיכוי</v>
      </c>
      <c r="G1446" t="str">
        <f>"700065"</f>
        <v>700065</v>
      </c>
      <c r="H1446" t="str">
        <f>"אלתא מערכות בע""מ"</f>
        <v>אלתא מערכות בע"מ</v>
      </c>
      <c r="I1446" t="str">
        <f>"10"</f>
        <v>10</v>
      </c>
      <c r="J1446" t="str">
        <f>"000"</f>
        <v>000</v>
      </c>
      <c r="K1446" t="str">
        <f>"שבונית זיכוי עבור הזמנה E000356936"</f>
        <v>שבונית זיכוי עבור הזמנה E000356936</v>
      </c>
      <c r="L1446">
        <v>-1</v>
      </c>
      <c r="M1446" t="str">
        <f>"יח"</f>
        <v>יח</v>
      </c>
      <c r="N1446">
        <v>-1</v>
      </c>
      <c r="O1446" t="str">
        <f>"יח"</f>
        <v>יח</v>
      </c>
      <c r="P1446" s="2">
        <v>1870</v>
      </c>
      <c r="Q1446" t="str">
        <f>"$"</f>
        <v>$</v>
      </c>
      <c r="R1446" t="str">
        <f>"ידני"</f>
        <v>ידני</v>
      </c>
      <c r="S1446">
        <v>0</v>
      </c>
      <c r="T1446" s="2">
        <v>-1870</v>
      </c>
      <c r="U1446">
        <v>0</v>
      </c>
      <c r="V1446" s="2">
        <v>-1870</v>
      </c>
      <c r="W1446" t="str">
        <f>"$"</f>
        <v>$</v>
      </c>
      <c r="X1446">
        <v>0</v>
      </c>
      <c r="Y1446">
        <v>0</v>
      </c>
      <c r="Z1446">
        <v>0</v>
      </c>
      <c r="AA1446" t="str">
        <f>"Y"</f>
        <v>Y</v>
      </c>
      <c r="AC1446">
        <v>0</v>
      </c>
      <c r="AM1446" t="str">
        <f>"10"</f>
        <v>10</v>
      </c>
      <c r="AN1446" t="str">
        <f>"500000"</f>
        <v>500000</v>
      </c>
      <c r="AO1446" t="str">
        <f>"הכנסות  מלקוחות"</f>
        <v>הכנסות  מלקוחות</v>
      </c>
      <c r="AQ1446" t="str">
        <f>"034"</f>
        <v>034</v>
      </c>
      <c r="AR1446">
        <v>0</v>
      </c>
      <c r="AS1446">
        <v>0</v>
      </c>
      <c r="AT1446">
        <v>3.2650000000000001</v>
      </c>
      <c r="BB1446" t="str">
        <f>"Y"</f>
        <v>Y</v>
      </c>
      <c r="BD1446" t="str">
        <f>"ערן שלו"</f>
        <v>ערן שלו</v>
      </c>
    </row>
    <row r="1447" spans="1:56" x14ac:dyDescent="0.3">
      <c r="A1447" s="1">
        <v>44789</v>
      </c>
      <c r="B1447" t="str">
        <f>"CR227000052"</f>
        <v>CR227000052</v>
      </c>
      <c r="E1447" t="str">
        <f>"Y"</f>
        <v>Y</v>
      </c>
      <c r="F1447" t="str">
        <f>"חשבוניות זיכוי"</f>
        <v>חשבוניות זיכוי</v>
      </c>
      <c r="G1447" t="str">
        <f>"700065"</f>
        <v>700065</v>
      </c>
      <c r="H1447" t="str">
        <f>"אלתא מערכות בע""מ"</f>
        <v>אלתא מערכות בע"מ</v>
      </c>
      <c r="I1447" t="str">
        <f>"10"</f>
        <v>10</v>
      </c>
      <c r="J1447" t="str">
        <f>"000"</f>
        <v>000</v>
      </c>
      <c r="K1447" t="str">
        <f>"שבונית זיכוי עבור הזמנה E000356936"</f>
        <v>שבונית זיכוי עבור הזמנה E000356936</v>
      </c>
      <c r="L1447">
        <v>1</v>
      </c>
      <c r="M1447" t="str">
        <f>"יח"</f>
        <v>יח</v>
      </c>
      <c r="N1447">
        <v>1</v>
      </c>
      <c r="O1447" t="str">
        <f>"יח"</f>
        <v>יח</v>
      </c>
      <c r="P1447" s="2">
        <v>1870</v>
      </c>
      <c r="Q1447" t="str">
        <f>"$"</f>
        <v>$</v>
      </c>
      <c r="R1447" t="str">
        <f>"ידני"</f>
        <v>ידני</v>
      </c>
      <c r="S1447">
        <v>0</v>
      </c>
      <c r="T1447" s="2">
        <v>1870</v>
      </c>
      <c r="U1447">
        <v>0</v>
      </c>
      <c r="V1447" s="2">
        <v>1870</v>
      </c>
      <c r="W1447" t="str">
        <f>"$"</f>
        <v>$</v>
      </c>
      <c r="X1447">
        <v>0</v>
      </c>
      <c r="Y1447">
        <v>0</v>
      </c>
      <c r="Z1447">
        <v>0</v>
      </c>
      <c r="AA1447" t="str">
        <f>"Y"</f>
        <v>Y</v>
      </c>
      <c r="AC1447">
        <v>0</v>
      </c>
      <c r="AM1447" t="str">
        <f>"10"</f>
        <v>10</v>
      </c>
      <c r="AN1447" t="str">
        <f>"500000"</f>
        <v>500000</v>
      </c>
      <c r="AO1447" t="str">
        <f>"הכנסות  מלקוחות"</f>
        <v>הכנסות  מלקוחות</v>
      </c>
      <c r="AQ1447" t="str">
        <f>"034"</f>
        <v>034</v>
      </c>
      <c r="AR1447">
        <v>0</v>
      </c>
      <c r="AS1447">
        <v>0</v>
      </c>
      <c r="AT1447">
        <v>3.2650000000000001</v>
      </c>
      <c r="BB1447" t="str">
        <f>"Y"</f>
        <v>Y</v>
      </c>
      <c r="BD1447" t="str">
        <f>"ערן שלו"</f>
        <v>ערן שלו</v>
      </c>
    </row>
    <row r="1448" spans="1:56" x14ac:dyDescent="0.3">
      <c r="A1448" s="1">
        <v>44784</v>
      </c>
      <c r="B1448" t="str">
        <f>"SI226000914"</f>
        <v>SI226000914</v>
      </c>
      <c r="E1448" t="str">
        <f>"Y"</f>
        <v>Y</v>
      </c>
      <c r="F1448" t="str">
        <f>"חשבוניות מרכזות"</f>
        <v>חשבוניות מרכזות</v>
      </c>
      <c r="G1448" t="str">
        <f>"700065"</f>
        <v>700065</v>
      </c>
      <c r="H1448" t="str">
        <f>"אלתא מערכות בע""מ"</f>
        <v>אלתא מערכות בע"מ</v>
      </c>
      <c r="I1448" t="str">
        <f>"10"</f>
        <v>10</v>
      </c>
      <c r="J1448" t="str">
        <f>"OP-AR02029"</f>
        <v>OP-AR02029</v>
      </c>
      <c r="K1448" t="str">
        <f>"1031W180-001 PDB ADDITIONAL PARTS"</f>
        <v>1031W180-001 PDB ADDITIONAL PARTS</v>
      </c>
      <c r="L1448">
        <v>1</v>
      </c>
      <c r="M1448" t="str">
        <f>"יח"</f>
        <v>יח</v>
      </c>
      <c r="N1448">
        <v>1</v>
      </c>
      <c r="O1448" t="str">
        <f>"יח"</f>
        <v>יח</v>
      </c>
      <c r="P1448" s="2">
        <v>16500</v>
      </c>
      <c r="Q1448" t="str">
        <f>"$"</f>
        <v>$</v>
      </c>
      <c r="R1448" t="str">
        <f>"הזמנה"</f>
        <v>הזמנה</v>
      </c>
      <c r="S1448">
        <v>0</v>
      </c>
      <c r="T1448" s="2">
        <v>16500</v>
      </c>
      <c r="U1448">
        <v>0</v>
      </c>
      <c r="V1448" s="2">
        <v>16500</v>
      </c>
      <c r="W1448" t="str">
        <f>"$"</f>
        <v>$</v>
      </c>
      <c r="X1448">
        <v>0</v>
      </c>
      <c r="Y1448">
        <v>0</v>
      </c>
      <c r="Z1448">
        <v>0</v>
      </c>
      <c r="AA1448" t="str">
        <f>"Y"</f>
        <v>Y</v>
      </c>
      <c r="AB1448" t="str">
        <f>"SO20000423"</f>
        <v>SO20000423</v>
      </c>
      <c r="AC1448">
        <v>1</v>
      </c>
      <c r="AD1448" s="1">
        <v>44096</v>
      </c>
      <c r="AE1448" t="str">
        <f>"SH22000967"</f>
        <v>SH22000967</v>
      </c>
      <c r="AF1448" t="str">
        <f>"משלוחים ללקוח"</f>
        <v>משלוחים ללקוח</v>
      </c>
      <c r="AG1448" s="1">
        <v>44782</v>
      </c>
      <c r="AM1448" t="str">
        <f>"10"</f>
        <v>10</v>
      </c>
      <c r="AN1448" t="str">
        <f>"500000"</f>
        <v>500000</v>
      </c>
      <c r="AO1448" t="str">
        <f>"הכנסות  מלקוחות"</f>
        <v>הכנסות  מלקוחות</v>
      </c>
      <c r="AQ1448" t="str">
        <f>"034"</f>
        <v>034</v>
      </c>
      <c r="AR1448">
        <v>0</v>
      </c>
      <c r="AS1448">
        <v>0</v>
      </c>
      <c r="AT1448">
        <v>3.2909999999999999</v>
      </c>
      <c r="AX1448" t="str">
        <f>"E000321674"</f>
        <v>E000321674</v>
      </c>
      <c r="BD1448" t="str">
        <f>"ערן שלו"</f>
        <v>ערן שלו</v>
      </c>
    </row>
    <row r="1449" spans="1:56" x14ac:dyDescent="0.3">
      <c r="A1449" s="1">
        <v>44783</v>
      </c>
      <c r="B1449" t="str">
        <f>"SI226000948"</f>
        <v>SI226000948</v>
      </c>
      <c r="C1449" t="str">
        <f>"PR20000516"</f>
        <v>PR20000516</v>
      </c>
      <c r="E1449" t="str">
        <f>"Y"</f>
        <v>Y</v>
      </c>
      <c r="F1449" t="str">
        <f>"חשבוניות מרכזות"</f>
        <v>חשבוניות מרכזות</v>
      </c>
      <c r="G1449" t="str">
        <f>"700065"</f>
        <v>700065</v>
      </c>
      <c r="H1449" t="str">
        <f>"אלתא מערכות בע""מ"</f>
        <v>אלתא מערכות בע"מ</v>
      </c>
      <c r="I1449" t="str">
        <f>"10"</f>
        <v>10</v>
      </c>
      <c r="J1449" t="str">
        <f>"OP-AR02029"</f>
        <v>OP-AR02029</v>
      </c>
      <c r="K1449" t="str">
        <f>"1031W180-001 PDB ADDITIONAL PARTS"</f>
        <v>1031W180-001 PDB ADDITIONAL PARTS</v>
      </c>
      <c r="L1449">
        <v>-1</v>
      </c>
      <c r="M1449" t="str">
        <f>"יח"</f>
        <v>יח</v>
      </c>
      <c r="N1449">
        <v>-1</v>
      </c>
      <c r="O1449" t="str">
        <f>"יח"</f>
        <v>יח</v>
      </c>
      <c r="P1449" s="2">
        <v>16500</v>
      </c>
      <c r="Q1449" t="str">
        <f>"$"</f>
        <v>$</v>
      </c>
      <c r="R1449" t="str">
        <f>"הזמנה"</f>
        <v>הזמנה</v>
      </c>
      <c r="S1449">
        <v>0</v>
      </c>
      <c r="T1449" s="2">
        <v>-16500</v>
      </c>
      <c r="U1449">
        <v>0</v>
      </c>
      <c r="V1449" s="2">
        <v>-16500</v>
      </c>
      <c r="W1449" t="str">
        <f>"$"</f>
        <v>$</v>
      </c>
      <c r="X1449">
        <v>0</v>
      </c>
      <c r="Y1449">
        <v>0</v>
      </c>
      <c r="Z1449">
        <v>0</v>
      </c>
      <c r="AA1449" t="str">
        <f>"Y"</f>
        <v>Y</v>
      </c>
      <c r="AC1449">
        <v>0</v>
      </c>
      <c r="AM1449" t="str">
        <f>"10"</f>
        <v>10</v>
      </c>
      <c r="AN1449" t="str">
        <f>"500000"</f>
        <v>500000</v>
      </c>
      <c r="AO1449" t="str">
        <f>"הכנסות  מלקוחות"</f>
        <v>הכנסות  מלקוחות</v>
      </c>
      <c r="AQ1449" t="str">
        <f>"034"</f>
        <v>034</v>
      </c>
      <c r="AR1449">
        <v>0</v>
      </c>
      <c r="AS1449">
        <v>0</v>
      </c>
      <c r="AT1449">
        <v>3.2909999999999999</v>
      </c>
      <c r="BB1449" t="str">
        <f>"Y"</f>
        <v>Y</v>
      </c>
      <c r="BD1449" t="str">
        <f>"ערן שלו"</f>
        <v>ערן שלו</v>
      </c>
    </row>
    <row r="1450" spans="1:56" x14ac:dyDescent="0.3">
      <c r="A1450" s="1">
        <v>44783</v>
      </c>
      <c r="B1450" t="str">
        <f>"SI226000947"</f>
        <v>SI226000947</v>
      </c>
      <c r="C1450" t="str">
        <f>"PR20000516"</f>
        <v>PR20000516</v>
      </c>
      <c r="E1450" t="str">
        <f>"Y"</f>
        <v>Y</v>
      </c>
      <c r="F1450" t="str">
        <f>"חשבוניות מרכזות"</f>
        <v>חשבוניות מרכזות</v>
      </c>
      <c r="G1450" t="str">
        <f>"700065"</f>
        <v>700065</v>
      </c>
      <c r="H1450" t="str">
        <f>"אלתא מערכות בע""מ"</f>
        <v>אלתא מערכות בע"מ</v>
      </c>
      <c r="I1450" t="str">
        <f>"10"</f>
        <v>10</v>
      </c>
      <c r="J1450" t="str">
        <f>"OP-AR02029"</f>
        <v>OP-AR02029</v>
      </c>
      <c r="K1450" t="str">
        <f>"1031W180-001 PDB ADDITIONAL PARTS"</f>
        <v>1031W180-001 PDB ADDITIONAL PARTS</v>
      </c>
      <c r="L1450">
        <v>1</v>
      </c>
      <c r="M1450" t="str">
        <f>"יח"</f>
        <v>יח</v>
      </c>
      <c r="N1450">
        <v>1</v>
      </c>
      <c r="O1450" t="str">
        <f>"יח"</f>
        <v>יח</v>
      </c>
      <c r="P1450" s="2">
        <v>16500</v>
      </c>
      <c r="Q1450" t="str">
        <f>"$"</f>
        <v>$</v>
      </c>
      <c r="R1450" t="str">
        <f>"הזמנה"</f>
        <v>הזמנה</v>
      </c>
      <c r="S1450">
        <v>0</v>
      </c>
      <c r="T1450" s="2">
        <v>16500</v>
      </c>
      <c r="U1450">
        <v>0</v>
      </c>
      <c r="V1450" s="2">
        <v>16500</v>
      </c>
      <c r="W1450" t="str">
        <f>"$"</f>
        <v>$</v>
      </c>
      <c r="X1450">
        <v>0</v>
      </c>
      <c r="Y1450">
        <v>0</v>
      </c>
      <c r="Z1450">
        <v>0</v>
      </c>
      <c r="AA1450" t="str">
        <f>"Y"</f>
        <v>Y</v>
      </c>
      <c r="AC1450">
        <v>0</v>
      </c>
      <c r="AM1450" t="str">
        <f>"10"</f>
        <v>10</v>
      </c>
      <c r="AN1450" t="str">
        <f>"500000"</f>
        <v>500000</v>
      </c>
      <c r="AO1450" t="str">
        <f>"הכנסות  מלקוחות"</f>
        <v>הכנסות  מלקוחות</v>
      </c>
      <c r="AQ1450" t="str">
        <f>"034"</f>
        <v>034</v>
      </c>
      <c r="AR1450">
        <v>0</v>
      </c>
      <c r="AS1450">
        <v>0</v>
      </c>
      <c r="AT1450">
        <v>3.2909999999999999</v>
      </c>
      <c r="BB1450" t="str">
        <f>"Y"</f>
        <v>Y</v>
      </c>
      <c r="BD1450" t="str">
        <f>"ערן שלו"</f>
        <v>ערן שלו</v>
      </c>
    </row>
    <row r="1451" spans="1:56" x14ac:dyDescent="0.3">
      <c r="A1451" s="1">
        <v>44781</v>
      </c>
      <c r="B1451" t="str">
        <f>"SI226000935"</f>
        <v>SI226000935</v>
      </c>
      <c r="C1451" t="str">
        <f>"PR22000124"</f>
        <v>PR22000124</v>
      </c>
      <c r="E1451" t="str">
        <f>"Y"</f>
        <v>Y</v>
      </c>
      <c r="F1451" t="str">
        <f>"חשבוניות מרכזות"</f>
        <v>חשבוניות מרכזות</v>
      </c>
      <c r="G1451" t="str">
        <f>"700065"</f>
        <v>700065</v>
      </c>
      <c r="H1451" t="str">
        <f>"אלתא מערכות בע""מ"</f>
        <v>אלתא מערכות בע"מ</v>
      </c>
      <c r="I1451" t="str">
        <f>"05"</f>
        <v>05</v>
      </c>
      <c r="J1451" t="str">
        <f>"OP-PD02881"</f>
        <v>OP-PD02881</v>
      </c>
      <c r="K1451" t="str">
        <f>"POWER DISTRIBUTION BOARD 09-SOCD"</f>
        <v>POWER DISTRIBUTION BOARD 09-SOCD</v>
      </c>
      <c r="L1451">
        <v>-1</v>
      </c>
      <c r="M1451" t="str">
        <f>"יח"</f>
        <v>יח</v>
      </c>
      <c r="N1451">
        <v>-1</v>
      </c>
      <c r="O1451" t="str">
        <f>"יח"</f>
        <v>יח</v>
      </c>
      <c r="P1451" s="2">
        <v>39999.300000000003</v>
      </c>
      <c r="Q1451" t="str">
        <f>"$"</f>
        <v>$</v>
      </c>
      <c r="R1451" t="str">
        <f>"הזמנה"</f>
        <v>הזמנה</v>
      </c>
      <c r="S1451">
        <v>0</v>
      </c>
      <c r="T1451" s="2">
        <v>-39999.300000000003</v>
      </c>
      <c r="U1451">
        <v>0</v>
      </c>
      <c r="V1451" s="2">
        <v>-39999.300000000003</v>
      </c>
      <c r="W1451" t="str">
        <f>"$"</f>
        <v>$</v>
      </c>
      <c r="X1451">
        <v>0</v>
      </c>
      <c r="Y1451">
        <v>0</v>
      </c>
      <c r="Z1451">
        <v>0</v>
      </c>
      <c r="AA1451" t="str">
        <f>"Y"</f>
        <v>Y</v>
      </c>
      <c r="AC1451">
        <v>0</v>
      </c>
      <c r="AM1451" t="str">
        <f>"10"</f>
        <v>10</v>
      </c>
      <c r="AN1451" t="str">
        <f>"500000"</f>
        <v>500000</v>
      </c>
      <c r="AO1451" t="str">
        <f>"הכנסות  מלקוחות"</f>
        <v>הכנסות  מלקוחות</v>
      </c>
      <c r="AQ1451" t="str">
        <f>"034"</f>
        <v>034</v>
      </c>
      <c r="AR1451">
        <v>0</v>
      </c>
      <c r="AS1451">
        <v>0</v>
      </c>
      <c r="AT1451">
        <v>3.327</v>
      </c>
      <c r="BB1451" t="str">
        <f>"Y"</f>
        <v>Y</v>
      </c>
      <c r="BD1451" t="str">
        <f>"ערן שלו"</f>
        <v>ערן שלו</v>
      </c>
    </row>
    <row r="1452" spans="1:56" x14ac:dyDescent="0.3">
      <c r="A1452" s="1">
        <v>44781</v>
      </c>
      <c r="B1452" t="str">
        <f>"SI226000934"</f>
        <v>SI226000934</v>
      </c>
      <c r="C1452" t="str">
        <f>"PR22000129"</f>
        <v>PR22000129</v>
      </c>
      <c r="E1452" t="str">
        <f>"Y"</f>
        <v>Y</v>
      </c>
      <c r="F1452" t="str">
        <f>"חשבוניות מרכזות"</f>
        <v>חשבוניות מרכזות</v>
      </c>
      <c r="G1452" t="str">
        <f>"700065"</f>
        <v>700065</v>
      </c>
      <c r="H1452" t="str">
        <f>"אלתא מערכות בע""מ"</f>
        <v>אלתא מערכות בע"מ</v>
      </c>
      <c r="I1452" t="str">
        <f>"05"</f>
        <v>05</v>
      </c>
      <c r="J1452" t="str">
        <f>"OP-PD02880"</f>
        <v>OP-PD02880</v>
      </c>
      <c r="K1452" t="str">
        <f>"POWER DISTRIBUTION BOARD 06/07-SOCD"</f>
        <v>POWER DISTRIBUTION BOARD 06/07-SOCD</v>
      </c>
      <c r="L1452">
        <v>-2</v>
      </c>
      <c r="M1452" t="str">
        <f>"יח"</f>
        <v>יח</v>
      </c>
      <c r="N1452">
        <v>-2</v>
      </c>
      <c r="O1452" t="str">
        <f>"יח"</f>
        <v>יח</v>
      </c>
      <c r="P1452" s="2">
        <v>47244</v>
      </c>
      <c r="Q1452" t="str">
        <f>"$"</f>
        <v>$</v>
      </c>
      <c r="R1452" t="str">
        <f>"הזמנה"</f>
        <v>הזמנה</v>
      </c>
      <c r="S1452">
        <v>0</v>
      </c>
      <c r="T1452" s="2">
        <v>-94488</v>
      </c>
      <c r="U1452">
        <v>0</v>
      </c>
      <c r="V1452" s="2">
        <v>-94488</v>
      </c>
      <c r="W1452" t="str">
        <f>"$"</f>
        <v>$</v>
      </c>
      <c r="X1452">
        <v>0</v>
      </c>
      <c r="Y1452">
        <v>0</v>
      </c>
      <c r="Z1452">
        <v>0</v>
      </c>
      <c r="AA1452" t="str">
        <f>"Y"</f>
        <v>Y</v>
      </c>
      <c r="AC1452">
        <v>0</v>
      </c>
      <c r="AM1452" t="str">
        <f>"10"</f>
        <v>10</v>
      </c>
      <c r="AN1452" t="str">
        <f>"500000"</f>
        <v>500000</v>
      </c>
      <c r="AO1452" t="str">
        <f>"הכנסות  מלקוחות"</f>
        <v>הכנסות  מלקוחות</v>
      </c>
      <c r="AQ1452" t="str">
        <f>"034"</f>
        <v>034</v>
      </c>
      <c r="AR1452">
        <v>0</v>
      </c>
      <c r="AS1452">
        <v>0</v>
      </c>
      <c r="AT1452">
        <v>3.327</v>
      </c>
      <c r="BB1452" t="str">
        <f>"Y"</f>
        <v>Y</v>
      </c>
      <c r="BD1452" t="str">
        <f>"ערן שלו"</f>
        <v>ערן שלו</v>
      </c>
    </row>
    <row r="1453" spans="1:56" x14ac:dyDescent="0.3">
      <c r="A1453" s="1">
        <v>44781</v>
      </c>
      <c r="B1453" t="str">
        <f>"SI226000921"</f>
        <v>SI226000921</v>
      </c>
      <c r="C1453" t="str">
        <f>"PR22000129"</f>
        <v>PR22000129</v>
      </c>
      <c r="E1453" t="str">
        <f>"Y"</f>
        <v>Y</v>
      </c>
      <c r="F1453" t="str">
        <f>"חשבוניות מרכזות"</f>
        <v>חשבוניות מרכזות</v>
      </c>
      <c r="G1453" t="str">
        <f>"700065"</f>
        <v>700065</v>
      </c>
      <c r="H1453" t="str">
        <f>"אלתא מערכות בע""מ"</f>
        <v>אלתא מערכות בע"מ</v>
      </c>
      <c r="I1453" t="str">
        <f>"05"</f>
        <v>05</v>
      </c>
      <c r="J1453" t="str">
        <f>"OP-PD02880"</f>
        <v>OP-PD02880</v>
      </c>
      <c r="K1453" t="str">
        <f>"POWER DISTRIBUTION BOARD 06/07-SOCD"</f>
        <v>POWER DISTRIBUTION BOARD 06/07-SOCD</v>
      </c>
      <c r="L1453">
        <v>2</v>
      </c>
      <c r="M1453" t="str">
        <f>"יח"</f>
        <v>יח</v>
      </c>
      <c r="N1453">
        <v>2</v>
      </c>
      <c r="O1453" t="str">
        <f>"יח"</f>
        <v>יח</v>
      </c>
      <c r="P1453" s="2">
        <v>47244</v>
      </c>
      <c r="Q1453" t="str">
        <f>"$"</f>
        <v>$</v>
      </c>
      <c r="R1453" t="str">
        <f>"הזמנה"</f>
        <v>הזמנה</v>
      </c>
      <c r="S1453">
        <v>0</v>
      </c>
      <c r="T1453" s="2">
        <v>94488</v>
      </c>
      <c r="U1453">
        <v>0</v>
      </c>
      <c r="V1453" s="2">
        <v>94488</v>
      </c>
      <c r="W1453" t="str">
        <f>"$"</f>
        <v>$</v>
      </c>
      <c r="X1453">
        <v>0</v>
      </c>
      <c r="Y1453">
        <v>0</v>
      </c>
      <c r="Z1453">
        <v>0</v>
      </c>
      <c r="AA1453" t="str">
        <f>"Y"</f>
        <v>Y</v>
      </c>
      <c r="AC1453">
        <v>0</v>
      </c>
      <c r="AM1453" t="str">
        <f>"10"</f>
        <v>10</v>
      </c>
      <c r="AN1453" t="str">
        <f>"500000"</f>
        <v>500000</v>
      </c>
      <c r="AO1453" t="str">
        <f>"הכנסות  מלקוחות"</f>
        <v>הכנסות  מלקוחות</v>
      </c>
      <c r="AQ1453" t="str">
        <f>"034"</f>
        <v>034</v>
      </c>
      <c r="AR1453">
        <v>0</v>
      </c>
      <c r="AS1453">
        <v>0</v>
      </c>
      <c r="AT1453">
        <v>3.327</v>
      </c>
      <c r="BB1453" t="str">
        <f>"Y"</f>
        <v>Y</v>
      </c>
      <c r="BD1453" t="str">
        <f>"ערן שלו"</f>
        <v>ערן שלו</v>
      </c>
    </row>
    <row r="1454" spans="1:56" x14ac:dyDescent="0.3">
      <c r="A1454" s="1">
        <v>44781</v>
      </c>
      <c r="B1454" t="str">
        <f>"SI226000920"</f>
        <v>SI226000920</v>
      </c>
      <c r="C1454" t="str">
        <f>"PR22000124"</f>
        <v>PR22000124</v>
      </c>
      <c r="E1454" t="str">
        <f>"Y"</f>
        <v>Y</v>
      </c>
      <c r="F1454" t="str">
        <f>"חשבוניות מרכזות"</f>
        <v>חשבוניות מרכזות</v>
      </c>
      <c r="G1454" t="str">
        <f>"700065"</f>
        <v>700065</v>
      </c>
      <c r="H1454" t="str">
        <f>"אלתא מערכות בע""מ"</f>
        <v>אלתא מערכות בע"מ</v>
      </c>
      <c r="I1454" t="str">
        <f>"05"</f>
        <v>05</v>
      </c>
      <c r="J1454" t="str">
        <f>"OP-PD02881"</f>
        <v>OP-PD02881</v>
      </c>
      <c r="K1454" t="str">
        <f>"POWER DISTRIBUTION BOARD 09-SOCD"</f>
        <v>POWER DISTRIBUTION BOARD 09-SOCD</v>
      </c>
      <c r="L1454">
        <v>1</v>
      </c>
      <c r="M1454" t="str">
        <f>"יח"</f>
        <v>יח</v>
      </c>
      <c r="N1454">
        <v>1</v>
      </c>
      <c r="O1454" t="str">
        <f>"יח"</f>
        <v>יח</v>
      </c>
      <c r="P1454" s="2">
        <v>39999.300000000003</v>
      </c>
      <c r="Q1454" t="str">
        <f>"$"</f>
        <v>$</v>
      </c>
      <c r="R1454" t="str">
        <f>"הזמנה"</f>
        <v>הזמנה</v>
      </c>
      <c r="S1454">
        <v>0</v>
      </c>
      <c r="T1454" s="2">
        <v>39999.300000000003</v>
      </c>
      <c r="U1454">
        <v>0</v>
      </c>
      <c r="V1454" s="2">
        <v>39999.300000000003</v>
      </c>
      <c r="W1454" t="str">
        <f>"$"</f>
        <v>$</v>
      </c>
      <c r="X1454">
        <v>0</v>
      </c>
      <c r="Y1454">
        <v>0</v>
      </c>
      <c r="Z1454">
        <v>0</v>
      </c>
      <c r="AA1454" t="str">
        <f>"Y"</f>
        <v>Y</v>
      </c>
      <c r="AC1454">
        <v>0</v>
      </c>
      <c r="AM1454" t="str">
        <f>"10"</f>
        <v>10</v>
      </c>
      <c r="AN1454" t="str">
        <f>"500000"</f>
        <v>500000</v>
      </c>
      <c r="AO1454" t="str">
        <f>"הכנסות  מלקוחות"</f>
        <v>הכנסות  מלקוחות</v>
      </c>
      <c r="AQ1454" t="str">
        <f>"034"</f>
        <v>034</v>
      </c>
      <c r="AR1454">
        <v>0</v>
      </c>
      <c r="AS1454">
        <v>0</v>
      </c>
      <c r="AT1454">
        <v>3.327</v>
      </c>
      <c r="BB1454" t="str">
        <f>"Y"</f>
        <v>Y</v>
      </c>
      <c r="BD1454" t="str">
        <f>"ערן שלו"</f>
        <v>ערן שלו</v>
      </c>
    </row>
    <row r="1455" spans="1:56" x14ac:dyDescent="0.3">
      <c r="A1455" s="1">
        <v>44776</v>
      </c>
      <c r="B1455" t="str">
        <f>"SI226000893"</f>
        <v>SI226000893</v>
      </c>
      <c r="E1455" t="str">
        <f>"Y"</f>
        <v>Y</v>
      </c>
      <c r="F1455" t="str">
        <f>"חשבוניות מרכזות"</f>
        <v>חשבוניות מרכזות</v>
      </c>
      <c r="G1455" t="str">
        <f>"700065"</f>
        <v>700065</v>
      </c>
      <c r="H1455" t="str">
        <f>"אלתא מערכות בע""מ"</f>
        <v>אלתא מערכות בע"מ</v>
      </c>
      <c r="I1455" t="str">
        <f>"10"</f>
        <v>10</v>
      </c>
      <c r="J1455" t="str">
        <f>"OP-ML00197"</f>
        <v>OP-ML00197</v>
      </c>
      <c r="K1455" t="str">
        <f>"1038C816-001 COMPUTER RACK"</f>
        <v>1038C816-001 COMPUTER RACK</v>
      </c>
      <c r="L1455">
        <v>-1</v>
      </c>
      <c r="M1455" t="str">
        <f>"יח"</f>
        <v>יח</v>
      </c>
      <c r="N1455">
        <v>-1</v>
      </c>
      <c r="O1455" t="str">
        <f>"יח"</f>
        <v>יח</v>
      </c>
      <c r="P1455" s="2">
        <v>47500</v>
      </c>
      <c r="Q1455" t="str">
        <f>"$"</f>
        <v>$</v>
      </c>
      <c r="R1455" t="str">
        <f>"הזמנה"</f>
        <v>הזמנה</v>
      </c>
      <c r="S1455">
        <v>0</v>
      </c>
      <c r="T1455" s="2">
        <v>-47500</v>
      </c>
      <c r="U1455">
        <v>0</v>
      </c>
      <c r="V1455" s="2">
        <v>-47500</v>
      </c>
      <c r="W1455" t="str">
        <f>"$"</f>
        <v>$</v>
      </c>
      <c r="X1455">
        <v>0</v>
      </c>
      <c r="Y1455">
        <v>0</v>
      </c>
      <c r="Z1455">
        <v>0</v>
      </c>
      <c r="AA1455" t="str">
        <f>"Y"</f>
        <v>Y</v>
      </c>
      <c r="AC1455">
        <v>0</v>
      </c>
      <c r="AM1455" t="str">
        <f>"10"</f>
        <v>10</v>
      </c>
      <c r="AN1455" t="str">
        <f>"500000"</f>
        <v>500000</v>
      </c>
      <c r="AO1455" t="str">
        <f>"הכנסות  מלקוחות"</f>
        <v>הכנסות  מלקוחות</v>
      </c>
      <c r="AQ1455" t="str">
        <f>"034"</f>
        <v>034</v>
      </c>
      <c r="AR1455">
        <v>0</v>
      </c>
      <c r="AS1455">
        <v>0</v>
      </c>
      <c r="AT1455">
        <v>3.367</v>
      </c>
      <c r="BB1455" t="str">
        <f>"Y"</f>
        <v>Y</v>
      </c>
      <c r="BD1455" t="str">
        <f>"ערן שלו"</f>
        <v>ערן שלו</v>
      </c>
    </row>
    <row r="1456" spans="1:56" x14ac:dyDescent="0.3">
      <c r="A1456" s="1">
        <v>44776</v>
      </c>
      <c r="B1456" t="str">
        <f>"SI226000861"</f>
        <v>SI226000861</v>
      </c>
      <c r="E1456" t="str">
        <f>"Y"</f>
        <v>Y</v>
      </c>
      <c r="F1456" t="str">
        <f>"חשבוניות מרכזות"</f>
        <v>חשבוניות מרכזות</v>
      </c>
      <c r="G1456" t="str">
        <f>"700065"</f>
        <v>700065</v>
      </c>
      <c r="H1456" t="str">
        <f>"אלתא מערכות בע""מ"</f>
        <v>אלתא מערכות בע"מ</v>
      </c>
      <c r="I1456" t="str">
        <f>"10"</f>
        <v>10</v>
      </c>
      <c r="J1456" t="str">
        <f>"OP-ML00197"</f>
        <v>OP-ML00197</v>
      </c>
      <c r="K1456" t="str">
        <f>"1038C816-001 COMPUTER RACK"</f>
        <v>1038C816-001 COMPUTER RACK</v>
      </c>
      <c r="L1456">
        <v>1</v>
      </c>
      <c r="M1456" t="str">
        <f>"יח"</f>
        <v>יח</v>
      </c>
      <c r="N1456">
        <v>1</v>
      </c>
      <c r="O1456" t="str">
        <f>"יח"</f>
        <v>יח</v>
      </c>
      <c r="P1456" s="2">
        <v>47500</v>
      </c>
      <c r="Q1456" t="str">
        <f>"$"</f>
        <v>$</v>
      </c>
      <c r="R1456" t="str">
        <f>"הזמנה"</f>
        <v>הזמנה</v>
      </c>
      <c r="S1456">
        <v>0</v>
      </c>
      <c r="T1456" s="2">
        <v>47500</v>
      </c>
      <c r="U1456">
        <v>0</v>
      </c>
      <c r="V1456" s="2">
        <v>47500</v>
      </c>
      <c r="W1456" t="str">
        <f>"$"</f>
        <v>$</v>
      </c>
      <c r="X1456">
        <v>0</v>
      </c>
      <c r="Y1456">
        <v>0</v>
      </c>
      <c r="Z1456">
        <v>0</v>
      </c>
      <c r="AA1456" t="str">
        <f>"Y"</f>
        <v>Y</v>
      </c>
      <c r="AC1456">
        <v>0</v>
      </c>
      <c r="AM1456" t="str">
        <f>"10"</f>
        <v>10</v>
      </c>
      <c r="AN1456" t="str">
        <f>"500000"</f>
        <v>500000</v>
      </c>
      <c r="AO1456" t="str">
        <f>"הכנסות  מלקוחות"</f>
        <v>הכנסות  מלקוחות</v>
      </c>
      <c r="AQ1456" t="str">
        <f>"034"</f>
        <v>034</v>
      </c>
      <c r="AR1456">
        <v>0</v>
      </c>
      <c r="AS1456">
        <v>0</v>
      </c>
      <c r="AT1456">
        <v>3.367</v>
      </c>
      <c r="BB1456" t="str">
        <f>"Y"</f>
        <v>Y</v>
      </c>
      <c r="BD1456" t="str">
        <f>"ערן שלו"</f>
        <v>ערן שלו</v>
      </c>
    </row>
    <row r="1457" spans="1:56" x14ac:dyDescent="0.3">
      <c r="A1457" s="1">
        <v>44776</v>
      </c>
      <c r="B1457" t="str">
        <f>"SI226000860"</f>
        <v>SI226000860</v>
      </c>
      <c r="E1457" t="str">
        <f>"Y"</f>
        <v>Y</v>
      </c>
      <c r="F1457" t="str">
        <f>"חשבוניות מרכזות"</f>
        <v>חשבוניות מרכזות</v>
      </c>
      <c r="G1457" t="str">
        <f>"700065"</f>
        <v>700065</v>
      </c>
      <c r="H1457" t="str">
        <f>"אלתא מערכות בע""מ"</f>
        <v>אלתא מערכות בע"מ</v>
      </c>
      <c r="I1457" t="str">
        <f>"05"</f>
        <v>05</v>
      </c>
      <c r="J1457" t="str">
        <f>"OP-PD02880"</f>
        <v>OP-PD02880</v>
      </c>
      <c r="K1457" t="str">
        <f>"POWER DISTRIBUTION BOARD 06/07-SOCD"</f>
        <v>POWER DISTRIBUTION BOARD 06/07-SOCD</v>
      </c>
      <c r="L1457">
        <v>2</v>
      </c>
      <c r="M1457" t="str">
        <f>"יח"</f>
        <v>יח</v>
      </c>
      <c r="N1457">
        <v>2</v>
      </c>
      <c r="O1457" t="str">
        <f>"יח"</f>
        <v>יח</v>
      </c>
      <c r="P1457" s="2">
        <v>47244</v>
      </c>
      <c r="Q1457" t="str">
        <f>"$"</f>
        <v>$</v>
      </c>
      <c r="R1457" t="str">
        <f>"הזמנה"</f>
        <v>הזמנה</v>
      </c>
      <c r="S1457">
        <v>0</v>
      </c>
      <c r="T1457" s="2">
        <v>94488</v>
      </c>
      <c r="U1457">
        <v>0</v>
      </c>
      <c r="V1457" s="2">
        <v>94488</v>
      </c>
      <c r="W1457" t="str">
        <f>"$"</f>
        <v>$</v>
      </c>
      <c r="X1457">
        <v>0</v>
      </c>
      <c r="Y1457">
        <v>0</v>
      </c>
      <c r="Z1457">
        <v>0</v>
      </c>
      <c r="AA1457" t="str">
        <f>"Y"</f>
        <v>Y</v>
      </c>
      <c r="AB1457" t="str">
        <f>"SO21000184"</f>
        <v>SO21000184</v>
      </c>
      <c r="AC1457">
        <v>24</v>
      </c>
      <c r="AD1457" s="1">
        <v>44307</v>
      </c>
      <c r="AM1457" t="str">
        <f>"10"</f>
        <v>10</v>
      </c>
      <c r="AN1457" t="str">
        <f>"500000"</f>
        <v>500000</v>
      </c>
      <c r="AO1457" t="str">
        <f>"הכנסות  מלקוחות"</f>
        <v>הכנסות  מלקוחות</v>
      </c>
      <c r="AQ1457" t="str">
        <f>"034"</f>
        <v>034</v>
      </c>
      <c r="AR1457">
        <v>0</v>
      </c>
      <c r="AS1457">
        <v>0</v>
      </c>
      <c r="AT1457">
        <v>3.367</v>
      </c>
      <c r="AX1457" t="str">
        <f>"E000336430"</f>
        <v>E000336430</v>
      </c>
      <c r="BD1457" t="str">
        <f>"ערן שלו"</f>
        <v>ערן שלו</v>
      </c>
    </row>
    <row r="1458" spans="1:56" x14ac:dyDescent="0.3">
      <c r="A1458" s="1">
        <v>44776</v>
      </c>
      <c r="B1458" t="str">
        <f>"SI226000859"</f>
        <v>SI226000859</v>
      </c>
      <c r="E1458" t="str">
        <f>"Y"</f>
        <v>Y</v>
      </c>
      <c r="F1458" t="str">
        <f>"חשבוניות מרכזות"</f>
        <v>חשבוניות מרכזות</v>
      </c>
      <c r="G1458" t="str">
        <f>"700065"</f>
        <v>700065</v>
      </c>
      <c r="H1458" t="str">
        <f>"אלתא מערכות בע""מ"</f>
        <v>אלתא מערכות בע"מ</v>
      </c>
      <c r="I1458" t="str">
        <f>"05"</f>
        <v>05</v>
      </c>
      <c r="J1458" t="str">
        <f>"OP-PD02881"</f>
        <v>OP-PD02881</v>
      </c>
      <c r="K1458" t="str">
        <f>"POWER DISTRIBUTION BOARD 09-SOCD"</f>
        <v>POWER DISTRIBUTION BOARD 09-SOCD</v>
      </c>
      <c r="L1458">
        <v>1</v>
      </c>
      <c r="M1458" t="str">
        <f>"יח"</f>
        <v>יח</v>
      </c>
      <c r="N1458">
        <v>1</v>
      </c>
      <c r="O1458" t="str">
        <f>"יח"</f>
        <v>יח</v>
      </c>
      <c r="P1458" s="2">
        <v>39999.300000000003</v>
      </c>
      <c r="Q1458" t="str">
        <f>"$"</f>
        <v>$</v>
      </c>
      <c r="R1458" t="str">
        <f>"הזמנה"</f>
        <v>הזמנה</v>
      </c>
      <c r="S1458">
        <v>0</v>
      </c>
      <c r="T1458" s="2">
        <v>39999.300000000003</v>
      </c>
      <c r="U1458">
        <v>0</v>
      </c>
      <c r="V1458" s="2">
        <v>39999.300000000003</v>
      </c>
      <c r="W1458" t="str">
        <f>"$"</f>
        <v>$</v>
      </c>
      <c r="X1458">
        <v>0</v>
      </c>
      <c r="Y1458">
        <v>0</v>
      </c>
      <c r="Z1458">
        <v>0</v>
      </c>
      <c r="AA1458" t="str">
        <f>"Y"</f>
        <v>Y</v>
      </c>
      <c r="AB1458" t="str">
        <f>"SO21000184"</f>
        <v>SO21000184</v>
      </c>
      <c r="AC1458">
        <v>15</v>
      </c>
      <c r="AD1458" s="1">
        <v>44307</v>
      </c>
      <c r="AE1458" t="str">
        <f>"SH22000961"</f>
        <v>SH22000961</v>
      </c>
      <c r="AF1458" t="str">
        <f>"משלוחים ללקוח"</f>
        <v>משלוחים ללקוח</v>
      </c>
      <c r="AG1458" s="1">
        <v>44781</v>
      </c>
      <c r="AM1458" t="str">
        <f>"10"</f>
        <v>10</v>
      </c>
      <c r="AN1458" t="str">
        <f>"500000"</f>
        <v>500000</v>
      </c>
      <c r="AO1458" t="str">
        <f>"הכנסות  מלקוחות"</f>
        <v>הכנסות  מלקוחות</v>
      </c>
      <c r="AQ1458" t="str">
        <f>"034"</f>
        <v>034</v>
      </c>
      <c r="AR1458">
        <v>0</v>
      </c>
      <c r="AS1458">
        <v>0</v>
      </c>
      <c r="AT1458">
        <v>3.367</v>
      </c>
      <c r="AX1458" t="str">
        <f>"E000336430"</f>
        <v>E000336430</v>
      </c>
      <c r="BD1458" t="str">
        <f>"ערן שלו"</f>
        <v>ערן שלו</v>
      </c>
    </row>
    <row r="1459" spans="1:56" x14ac:dyDescent="0.3">
      <c r="A1459" s="1">
        <v>44775</v>
      </c>
      <c r="B1459" t="str">
        <f>"SI226000906"</f>
        <v>SI226000906</v>
      </c>
      <c r="C1459" t="str">
        <f>"PR22000231"</f>
        <v>PR22000231</v>
      </c>
      <c r="E1459" t="str">
        <f>"Y"</f>
        <v>Y</v>
      </c>
      <c r="F1459" t="str">
        <f>"חשבוניות מרכזות"</f>
        <v>חשבוניות מרכזות</v>
      </c>
      <c r="G1459" t="str">
        <f>"700065"</f>
        <v>700065</v>
      </c>
      <c r="H1459" t="str">
        <f>"אלתא מערכות בע""מ"</f>
        <v>אלתא מערכות בע"מ</v>
      </c>
      <c r="I1459" t="str">
        <f>"10"</f>
        <v>10</v>
      </c>
      <c r="J1459" t="str">
        <f>"OP-AR03010"</f>
        <v>OP-AR03010</v>
      </c>
      <c r="K1459" t="str">
        <f>"2052B281-001   CABLE ASSY ASW136"</f>
        <v>2052B281-001   CABLE ASSY ASW136</v>
      </c>
      <c r="L1459">
        <v>1</v>
      </c>
      <c r="M1459" t="str">
        <f>"יח"</f>
        <v>יח</v>
      </c>
      <c r="N1459">
        <v>1</v>
      </c>
      <c r="O1459" t="str">
        <f>"יח"</f>
        <v>יח</v>
      </c>
      <c r="P1459">
        <v>783.36</v>
      </c>
      <c r="Q1459" t="str">
        <f>"$"</f>
        <v>$</v>
      </c>
      <c r="R1459" t="str">
        <f>"הזמנה"</f>
        <v>הזמנה</v>
      </c>
      <c r="S1459">
        <v>0</v>
      </c>
      <c r="T1459">
        <v>783.36</v>
      </c>
      <c r="U1459">
        <v>0</v>
      </c>
      <c r="V1459">
        <v>783.36</v>
      </c>
      <c r="W1459" t="str">
        <f>"$"</f>
        <v>$</v>
      </c>
      <c r="X1459">
        <v>0</v>
      </c>
      <c r="Y1459">
        <v>0</v>
      </c>
      <c r="Z1459">
        <v>0</v>
      </c>
      <c r="AA1459" t="str">
        <f>"Y"</f>
        <v>Y</v>
      </c>
      <c r="AB1459" t="str">
        <f>"SO22000105"</f>
        <v>SO22000105</v>
      </c>
      <c r="AC1459">
        <v>1</v>
      </c>
      <c r="AD1459" s="1">
        <v>44635</v>
      </c>
      <c r="AE1459" t="str">
        <f>"SH22000928"</f>
        <v>SH22000928</v>
      </c>
      <c r="AF1459" t="str">
        <f>"משלוחים ללקוח"</f>
        <v>משלוחים ללקוח</v>
      </c>
      <c r="AG1459" s="1">
        <v>44774</v>
      </c>
      <c r="AM1459" t="str">
        <f>"10"</f>
        <v>10</v>
      </c>
      <c r="AN1459" t="str">
        <f>"500000"</f>
        <v>500000</v>
      </c>
      <c r="AO1459" t="str">
        <f>"הכנסות  מלקוחות"</f>
        <v>הכנסות  מלקוחות</v>
      </c>
      <c r="AQ1459" t="str">
        <f>"040"</f>
        <v>040</v>
      </c>
      <c r="AR1459">
        <v>0</v>
      </c>
      <c r="AS1459">
        <v>0</v>
      </c>
      <c r="AT1459">
        <v>3.367</v>
      </c>
      <c r="AX1459" t="str">
        <f>"E000359029"</f>
        <v>E000359029</v>
      </c>
      <c r="BD1459" t="str">
        <f>"רחמים זרוק"</f>
        <v>רחמים זרוק</v>
      </c>
    </row>
    <row r="1460" spans="1:56" x14ac:dyDescent="0.3">
      <c r="A1460" s="1">
        <v>44775</v>
      </c>
      <c r="B1460" t="str">
        <f>"SI226000906"</f>
        <v>SI226000906</v>
      </c>
      <c r="C1460" t="str">
        <f>"PR22000231"</f>
        <v>PR22000231</v>
      </c>
      <c r="E1460" t="str">
        <f>"Y"</f>
        <v>Y</v>
      </c>
      <c r="F1460" t="str">
        <f>"חשבוניות מרכזות"</f>
        <v>חשבוניות מרכזות</v>
      </c>
      <c r="G1460" t="str">
        <f>"700065"</f>
        <v>700065</v>
      </c>
      <c r="H1460" t="str">
        <f>"אלתא מערכות בע""מ"</f>
        <v>אלתא מערכות בע"מ</v>
      </c>
      <c r="I1460" t="str">
        <f>"10"</f>
        <v>10</v>
      </c>
      <c r="J1460" t="str">
        <f>"OP-AR02349"</f>
        <v>OP-AR02349</v>
      </c>
      <c r="K1460" t="str">
        <f>"2202B030-001     TRW20 CABLE ASSY"</f>
        <v>2202B030-001     TRW20 CABLE ASSY</v>
      </c>
      <c r="L1460">
        <v>1</v>
      </c>
      <c r="M1460" t="str">
        <f>"יח"</f>
        <v>יח</v>
      </c>
      <c r="N1460">
        <v>1</v>
      </c>
      <c r="O1460" t="str">
        <f>"יח"</f>
        <v>יח</v>
      </c>
      <c r="P1460">
        <v>170.37</v>
      </c>
      <c r="Q1460" t="str">
        <f>"$"</f>
        <v>$</v>
      </c>
      <c r="R1460" t="str">
        <f>"הזמנה"</f>
        <v>הזמנה</v>
      </c>
      <c r="S1460">
        <v>0</v>
      </c>
      <c r="T1460">
        <v>170.37</v>
      </c>
      <c r="U1460">
        <v>0</v>
      </c>
      <c r="V1460">
        <v>170.37</v>
      </c>
      <c r="W1460" t="str">
        <f>"$"</f>
        <v>$</v>
      </c>
      <c r="X1460">
        <v>0</v>
      </c>
      <c r="Y1460">
        <v>0</v>
      </c>
      <c r="Z1460">
        <v>0</v>
      </c>
      <c r="AA1460" t="str">
        <f>"Y"</f>
        <v>Y</v>
      </c>
      <c r="AB1460" t="str">
        <f>"SO22000105"</f>
        <v>SO22000105</v>
      </c>
      <c r="AC1460">
        <v>3</v>
      </c>
      <c r="AD1460" s="1">
        <v>44635</v>
      </c>
      <c r="AE1460" t="str">
        <f>"SH22000928"</f>
        <v>SH22000928</v>
      </c>
      <c r="AF1460" t="str">
        <f>"משלוחים ללקוח"</f>
        <v>משלוחים ללקוח</v>
      </c>
      <c r="AG1460" s="1">
        <v>44774</v>
      </c>
      <c r="AM1460" t="str">
        <f>"10"</f>
        <v>10</v>
      </c>
      <c r="AN1460" t="str">
        <f>"500000"</f>
        <v>500000</v>
      </c>
      <c r="AO1460" t="str">
        <f>"הכנסות  מלקוחות"</f>
        <v>הכנסות  מלקוחות</v>
      </c>
      <c r="AQ1460" t="str">
        <f>"040"</f>
        <v>040</v>
      </c>
      <c r="AR1460">
        <v>0</v>
      </c>
      <c r="AS1460">
        <v>0</v>
      </c>
      <c r="AT1460">
        <v>3.367</v>
      </c>
      <c r="AX1460" t="str">
        <f>"E000359029"</f>
        <v>E000359029</v>
      </c>
      <c r="BD1460" t="str">
        <f>"רחמים זרוק"</f>
        <v>רחמים זרוק</v>
      </c>
    </row>
    <row r="1461" spans="1:56" x14ac:dyDescent="0.3">
      <c r="A1461" s="1">
        <v>44775</v>
      </c>
      <c r="B1461" t="str">
        <f>"SI226000906"</f>
        <v>SI226000906</v>
      </c>
      <c r="C1461" t="str">
        <f>"PR22000231"</f>
        <v>PR22000231</v>
      </c>
      <c r="E1461" t="str">
        <f>"Y"</f>
        <v>Y</v>
      </c>
      <c r="F1461" t="str">
        <f>"חשבוניות מרכזות"</f>
        <v>חשבוניות מרכזות</v>
      </c>
      <c r="G1461" t="str">
        <f>"700065"</f>
        <v>700065</v>
      </c>
      <c r="H1461" t="str">
        <f>"אלתא מערכות בע""מ"</f>
        <v>אלתא מערכות בע"מ</v>
      </c>
      <c r="I1461" t="str">
        <f>"10"</f>
        <v>10</v>
      </c>
      <c r="J1461" t="str">
        <f>"OP-AR02349"</f>
        <v>OP-AR02349</v>
      </c>
      <c r="K1461" t="str">
        <f>"2202B030-001     TRW20 CABLE ASSY"</f>
        <v>2202B030-001     TRW20 CABLE ASSY</v>
      </c>
      <c r="L1461">
        <v>1</v>
      </c>
      <c r="M1461" t="str">
        <f>"יח"</f>
        <v>יח</v>
      </c>
      <c r="N1461">
        <v>1</v>
      </c>
      <c r="O1461" t="str">
        <f>"יח"</f>
        <v>יח</v>
      </c>
      <c r="P1461">
        <v>170.37</v>
      </c>
      <c r="Q1461" t="str">
        <f>"$"</f>
        <v>$</v>
      </c>
      <c r="R1461" t="str">
        <f>"הזמנה"</f>
        <v>הזמנה</v>
      </c>
      <c r="S1461">
        <v>0</v>
      </c>
      <c r="T1461">
        <v>170.37</v>
      </c>
      <c r="U1461">
        <v>0</v>
      </c>
      <c r="V1461">
        <v>170.37</v>
      </c>
      <c r="W1461" t="str">
        <f>"$"</f>
        <v>$</v>
      </c>
      <c r="X1461">
        <v>0</v>
      </c>
      <c r="Y1461">
        <v>0</v>
      </c>
      <c r="Z1461">
        <v>0</v>
      </c>
      <c r="AA1461" t="str">
        <f>"Y"</f>
        <v>Y</v>
      </c>
      <c r="AB1461" t="str">
        <f>"SO22000105"</f>
        <v>SO22000105</v>
      </c>
      <c r="AC1461">
        <v>4</v>
      </c>
      <c r="AD1461" s="1">
        <v>44635</v>
      </c>
      <c r="AE1461" t="str">
        <f>"SH22000928"</f>
        <v>SH22000928</v>
      </c>
      <c r="AF1461" t="str">
        <f>"משלוחים ללקוח"</f>
        <v>משלוחים ללקוח</v>
      </c>
      <c r="AG1461" s="1">
        <v>44774</v>
      </c>
      <c r="AM1461" t="str">
        <f>"10"</f>
        <v>10</v>
      </c>
      <c r="AN1461" t="str">
        <f>"500000"</f>
        <v>500000</v>
      </c>
      <c r="AO1461" t="str">
        <f>"הכנסות  מלקוחות"</f>
        <v>הכנסות  מלקוחות</v>
      </c>
      <c r="AQ1461" t="str">
        <f>"040"</f>
        <v>040</v>
      </c>
      <c r="AR1461">
        <v>0</v>
      </c>
      <c r="AS1461">
        <v>0</v>
      </c>
      <c r="AT1461">
        <v>3.367</v>
      </c>
      <c r="AX1461" t="str">
        <f>"E000359029"</f>
        <v>E000359029</v>
      </c>
      <c r="BD1461" t="str">
        <f>"רחמים זרוק"</f>
        <v>רחמים זרוק</v>
      </c>
    </row>
    <row r="1462" spans="1:56" x14ac:dyDescent="0.3">
      <c r="A1462" s="1">
        <v>44775</v>
      </c>
      <c r="B1462" t="str">
        <f>"SI226000906"</f>
        <v>SI226000906</v>
      </c>
      <c r="C1462" t="str">
        <f>"PR22000231"</f>
        <v>PR22000231</v>
      </c>
      <c r="E1462" t="str">
        <f>"Y"</f>
        <v>Y</v>
      </c>
      <c r="F1462" t="str">
        <f>"חשבוניות מרכזות"</f>
        <v>חשבוניות מרכזות</v>
      </c>
      <c r="G1462" t="str">
        <f>"700065"</f>
        <v>700065</v>
      </c>
      <c r="H1462" t="str">
        <f>"אלתא מערכות בע""מ"</f>
        <v>אלתא מערכות בע"מ</v>
      </c>
      <c r="I1462" t="str">
        <f>"10"</f>
        <v>10</v>
      </c>
      <c r="J1462" t="str">
        <f>"OP-AR03021"</f>
        <v>OP-AR03021</v>
      </c>
      <c r="K1462" t="str">
        <f>"2221B771-001   ADW101 FPGA J1 CABLE ASSY"</f>
        <v>2221B771-001   ADW101 FPGA J1 CABLE ASSY</v>
      </c>
      <c r="L1462">
        <v>3</v>
      </c>
      <c r="M1462" t="str">
        <f>"יח"</f>
        <v>יח</v>
      </c>
      <c r="N1462">
        <v>3</v>
      </c>
      <c r="O1462" t="str">
        <f>"יח"</f>
        <v>יח</v>
      </c>
      <c r="P1462">
        <v>762.62</v>
      </c>
      <c r="Q1462" t="str">
        <f>"$"</f>
        <v>$</v>
      </c>
      <c r="R1462" t="str">
        <f>"הזמנה"</f>
        <v>הזמנה</v>
      </c>
      <c r="S1462">
        <v>0</v>
      </c>
      <c r="T1462" s="2">
        <v>2287.86</v>
      </c>
      <c r="U1462">
        <v>0</v>
      </c>
      <c r="V1462" s="2">
        <v>2287.86</v>
      </c>
      <c r="W1462" t="str">
        <f>"$"</f>
        <v>$</v>
      </c>
      <c r="X1462">
        <v>0</v>
      </c>
      <c r="Y1462">
        <v>0</v>
      </c>
      <c r="Z1462">
        <v>0</v>
      </c>
      <c r="AA1462" t="str">
        <f>"Y"</f>
        <v>Y</v>
      </c>
      <c r="AB1462" t="str">
        <f>"SO22000105"</f>
        <v>SO22000105</v>
      </c>
      <c r="AC1462">
        <v>18</v>
      </c>
      <c r="AD1462" s="1">
        <v>44635</v>
      </c>
      <c r="AE1462" t="str">
        <f>"SH22000928"</f>
        <v>SH22000928</v>
      </c>
      <c r="AF1462" t="str">
        <f>"משלוחים ללקוח"</f>
        <v>משלוחים ללקוח</v>
      </c>
      <c r="AG1462" s="1">
        <v>44774</v>
      </c>
      <c r="AM1462" t="str">
        <f>"10"</f>
        <v>10</v>
      </c>
      <c r="AN1462" t="str">
        <f>"500000"</f>
        <v>500000</v>
      </c>
      <c r="AO1462" t="str">
        <f>"הכנסות  מלקוחות"</f>
        <v>הכנסות  מלקוחות</v>
      </c>
      <c r="AQ1462" t="str">
        <f>"040"</f>
        <v>040</v>
      </c>
      <c r="AR1462">
        <v>0</v>
      </c>
      <c r="AS1462">
        <v>0</v>
      </c>
      <c r="AT1462">
        <v>3.367</v>
      </c>
      <c r="AX1462" t="str">
        <f>"E000359029"</f>
        <v>E000359029</v>
      </c>
      <c r="BD1462" t="str">
        <f>"רחמים זרוק"</f>
        <v>רחמים זרוק</v>
      </c>
    </row>
    <row r="1463" spans="1:56" x14ac:dyDescent="0.3">
      <c r="A1463" s="1">
        <v>44775</v>
      </c>
      <c r="B1463" t="str">
        <f>"SI226000905"</f>
        <v>SI226000905</v>
      </c>
      <c r="C1463" t="str">
        <f>"PR22000121"</f>
        <v>PR22000121</v>
      </c>
      <c r="E1463" t="str">
        <f>"Y"</f>
        <v>Y</v>
      </c>
      <c r="F1463" t="str">
        <f>"חשבוניות מרכזות"</f>
        <v>חשבוניות מרכזות</v>
      </c>
      <c r="G1463" t="str">
        <f>"700065"</f>
        <v>700065</v>
      </c>
      <c r="H1463" t="str">
        <f>"אלתא מערכות בע""מ"</f>
        <v>אלתא מערכות בע"מ</v>
      </c>
      <c r="I1463" t="str">
        <f>"10"</f>
        <v>10</v>
      </c>
      <c r="J1463" t="str">
        <f>"OP-AR02235"</f>
        <v>OP-AR02235</v>
      </c>
      <c r="K1463" t="str">
        <f>"1036C426-001   HARNESS W426 - EPU - PDU1 CONTROL"</f>
        <v>1036C426-001   HARNESS W426 - EPU - PDU1 CONTROL</v>
      </c>
      <c r="L1463">
        <v>2</v>
      </c>
      <c r="M1463" t="str">
        <f>"יח"</f>
        <v>יח</v>
      </c>
      <c r="N1463">
        <v>2</v>
      </c>
      <c r="O1463" t="str">
        <f>"יח"</f>
        <v>יח</v>
      </c>
      <c r="P1463" s="2">
        <v>3307.94</v>
      </c>
      <c r="Q1463" t="str">
        <f>"$"</f>
        <v>$</v>
      </c>
      <c r="R1463" t="str">
        <f>"הזמנה"</f>
        <v>הזמנה</v>
      </c>
      <c r="S1463">
        <v>0</v>
      </c>
      <c r="T1463" s="2">
        <v>6615.88</v>
      </c>
      <c r="U1463">
        <v>0</v>
      </c>
      <c r="V1463" s="2">
        <v>6615.88</v>
      </c>
      <c r="W1463" t="str">
        <f>"$"</f>
        <v>$</v>
      </c>
      <c r="X1463">
        <v>0</v>
      </c>
      <c r="Y1463">
        <v>0</v>
      </c>
      <c r="Z1463">
        <v>0</v>
      </c>
      <c r="AA1463" t="str">
        <f>"Y"</f>
        <v>Y</v>
      </c>
      <c r="AB1463" t="str">
        <f>"SO22000042"</f>
        <v>SO22000042</v>
      </c>
      <c r="AC1463">
        <v>2</v>
      </c>
      <c r="AD1463" s="1">
        <v>44599</v>
      </c>
      <c r="AE1463" t="str">
        <f>"SH22000932"</f>
        <v>SH22000932</v>
      </c>
      <c r="AF1463" t="str">
        <f>"משלוחים ללקוח"</f>
        <v>משלוחים ללקוח</v>
      </c>
      <c r="AG1463" s="1">
        <v>44774</v>
      </c>
      <c r="AM1463" t="str">
        <f>"10"</f>
        <v>10</v>
      </c>
      <c r="AN1463" t="str">
        <f>"500000"</f>
        <v>500000</v>
      </c>
      <c r="AO1463" t="str">
        <f>"הכנסות  מלקוחות"</f>
        <v>הכנסות  מלקוחות</v>
      </c>
      <c r="AQ1463" t="str">
        <f>"040"</f>
        <v>040</v>
      </c>
      <c r="AR1463">
        <v>0</v>
      </c>
      <c r="AS1463">
        <v>0</v>
      </c>
      <c r="AT1463">
        <v>3.367</v>
      </c>
      <c r="AX1463" t="str">
        <f>"E000357138"</f>
        <v>E000357138</v>
      </c>
      <c r="BD1463" t="str">
        <f>"רחמים זרוק"</f>
        <v>רחמים זרוק</v>
      </c>
    </row>
    <row r="1464" spans="1:56" x14ac:dyDescent="0.3">
      <c r="A1464" s="1">
        <v>44775</v>
      </c>
      <c r="B1464" t="str">
        <f>"SI226000904"</f>
        <v>SI226000904</v>
      </c>
      <c r="C1464" t="str">
        <f>"PR22000010"</f>
        <v>PR22000010</v>
      </c>
      <c r="E1464" t="str">
        <f>"Y"</f>
        <v>Y</v>
      </c>
      <c r="F1464" t="str">
        <f>"חשבוניות מרכזות"</f>
        <v>חשבוניות מרכזות</v>
      </c>
      <c r="G1464" t="str">
        <f>"700065"</f>
        <v>700065</v>
      </c>
      <c r="H1464" t="str">
        <f>"אלתא מערכות בע""מ"</f>
        <v>אלתא מערכות בע"מ</v>
      </c>
      <c r="I1464" t="str">
        <f>"10"</f>
        <v>10</v>
      </c>
      <c r="J1464" t="str">
        <f>"OP-AR02907"</f>
        <v>OP-AR02907</v>
      </c>
      <c r="K1464" t="str">
        <f>"1037N608-001    GU MB2 LOOPBACK PLUG"</f>
        <v>1037N608-001    GU MB2 LOOPBACK PLUG</v>
      </c>
      <c r="L1464">
        <v>4</v>
      </c>
      <c r="M1464" t="str">
        <f>"יח"</f>
        <v>יח</v>
      </c>
      <c r="N1464">
        <v>4</v>
      </c>
      <c r="O1464" t="str">
        <f>"יח"</f>
        <v>יח</v>
      </c>
      <c r="P1464">
        <v>224.39</v>
      </c>
      <c r="Q1464" t="str">
        <f>"$"</f>
        <v>$</v>
      </c>
      <c r="R1464" t="str">
        <f>"הזמנה"</f>
        <v>הזמנה</v>
      </c>
      <c r="S1464">
        <v>0</v>
      </c>
      <c r="T1464">
        <v>897.56</v>
      </c>
      <c r="U1464">
        <v>0</v>
      </c>
      <c r="V1464">
        <v>897.56</v>
      </c>
      <c r="W1464" t="str">
        <f>"$"</f>
        <v>$</v>
      </c>
      <c r="X1464">
        <v>0</v>
      </c>
      <c r="Y1464">
        <v>0</v>
      </c>
      <c r="Z1464">
        <v>0</v>
      </c>
      <c r="AA1464" t="str">
        <f>"Y"</f>
        <v>Y</v>
      </c>
      <c r="AB1464" t="str">
        <f>"SO22000007"</f>
        <v>SO22000007</v>
      </c>
      <c r="AC1464">
        <v>8</v>
      </c>
      <c r="AD1464" s="1">
        <v>44565</v>
      </c>
      <c r="AE1464" t="str">
        <f>"SH22000934"</f>
        <v>SH22000934</v>
      </c>
      <c r="AF1464" t="str">
        <f>"משלוחים ללקוח"</f>
        <v>משלוחים ללקוח</v>
      </c>
      <c r="AG1464" s="1">
        <v>44774</v>
      </c>
      <c r="AM1464" t="str">
        <f>"10"</f>
        <v>10</v>
      </c>
      <c r="AN1464" t="str">
        <f>"500000"</f>
        <v>500000</v>
      </c>
      <c r="AO1464" t="str">
        <f>"הכנסות  מלקוחות"</f>
        <v>הכנסות  מלקוחות</v>
      </c>
      <c r="AQ1464" t="str">
        <f>"040"</f>
        <v>040</v>
      </c>
      <c r="AR1464">
        <v>0</v>
      </c>
      <c r="AS1464">
        <v>0</v>
      </c>
      <c r="AT1464">
        <v>3.367</v>
      </c>
      <c r="AX1464" t="str">
        <f>"E000353717"</f>
        <v>E000353717</v>
      </c>
      <c r="BD1464" t="str">
        <f>"רחמים זרוק"</f>
        <v>רחמים זרוק</v>
      </c>
    </row>
    <row r="1465" spans="1:56" x14ac:dyDescent="0.3">
      <c r="A1465" s="1">
        <v>44775</v>
      </c>
      <c r="B1465" t="str">
        <f>"SI226000903"</f>
        <v>SI226000903</v>
      </c>
      <c r="C1465" t="str">
        <f>"PR22000244"</f>
        <v>PR22000244</v>
      </c>
      <c r="E1465" t="str">
        <f>"Y"</f>
        <v>Y</v>
      </c>
      <c r="F1465" t="str">
        <f>"חשבוניות מרכזות"</f>
        <v>חשבוניות מרכזות</v>
      </c>
      <c r="G1465" t="str">
        <f>"700065"</f>
        <v>700065</v>
      </c>
      <c r="H1465" t="str">
        <f>"אלתא מערכות בע""מ"</f>
        <v>אלתא מערכות בע"מ</v>
      </c>
      <c r="I1465" t="str">
        <f>"10"</f>
        <v>10</v>
      </c>
      <c r="J1465" t="str">
        <f>"OP-AR03040"</f>
        <v>OP-AR03040</v>
      </c>
      <c r="K1465" t="str">
        <f>"2222B150-001   CABLE ASSY ORW100"</f>
        <v>2222B150-001   CABLE ASSY ORW100</v>
      </c>
      <c r="L1465">
        <v>1</v>
      </c>
      <c r="M1465" t="str">
        <f>"יח"</f>
        <v>יח</v>
      </c>
      <c r="N1465">
        <v>1</v>
      </c>
      <c r="O1465" t="str">
        <f>"יח"</f>
        <v>יח</v>
      </c>
      <c r="P1465" s="2">
        <v>1050.5</v>
      </c>
      <c r="Q1465" t="str">
        <f>"$"</f>
        <v>$</v>
      </c>
      <c r="R1465" t="str">
        <f>"הזמנה"</f>
        <v>הזמנה</v>
      </c>
      <c r="S1465">
        <v>0</v>
      </c>
      <c r="T1465" s="2">
        <v>1050.5</v>
      </c>
      <c r="U1465">
        <v>0</v>
      </c>
      <c r="V1465" s="2">
        <v>1050.5</v>
      </c>
      <c r="W1465" t="str">
        <f>"$"</f>
        <v>$</v>
      </c>
      <c r="X1465">
        <v>0</v>
      </c>
      <c r="Y1465">
        <v>0</v>
      </c>
      <c r="Z1465">
        <v>0</v>
      </c>
      <c r="AA1465" t="str">
        <f>"Y"</f>
        <v>Y</v>
      </c>
      <c r="AB1465" t="str">
        <f>"SO22000114"</f>
        <v>SO22000114</v>
      </c>
      <c r="AC1465">
        <v>1</v>
      </c>
      <c r="AD1465" s="1">
        <v>44641</v>
      </c>
      <c r="AE1465" t="str">
        <f>"SH22000931"</f>
        <v>SH22000931</v>
      </c>
      <c r="AF1465" t="str">
        <f>"משלוחים ללקוח"</f>
        <v>משלוחים ללקוח</v>
      </c>
      <c r="AG1465" s="1">
        <v>44774</v>
      </c>
      <c r="AM1465" t="str">
        <f>"10"</f>
        <v>10</v>
      </c>
      <c r="AN1465" t="str">
        <f>"500000"</f>
        <v>500000</v>
      </c>
      <c r="AO1465" t="str">
        <f>"הכנסות  מלקוחות"</f>
        <v>הכנסות  מלקוחות</v>
      </c>
      <c r="AQ1465" t="str">
        <f>"040"</f>
        <v>040</v>
      </c>
      <c r="AR1465">
        <v>0</v>
      </c>
      <c r="AS1465">
        <v>0</v>
      </c>
      <c r="AT1465">
        <v>3.367</v>
      </c>
      <c r="AX1465" t="str">
        <f>"E000360381"</f>
        <v>E000360381</v>
      </c>
      <c r="BD1465" t="str">
        <f>"רחמים זרוק"</f>
        <v>רחמים זרוק</v>
      </c>
    </row>
    <row r="1466" spans="1:56" x14ac:dyDescent="0.3">
      <c r="A1466" s="1">
        <v>44775</v>
      </c>
      <c r="B1466" t="str">
        <f>"SI226000902"</f>
        <v>SI226000902</v>
      </c>
      <c r="C1466" t="str">
        <f>"PR22000374"</f>
        <v>PR22000374</v>
      </c>
      <c r="E1466" t="str">
        <f>"Y"</f>
        <v>Y</v>
      </c>
      <c r="F1466" t="str">
        <f>"חשבוניות מרכזות"</f>
        <v>חשבוניות מרכזות</v>
      </c>
      <c r="G1466" t="str">
        <f>"700065"</f>
        <v>700065</v>
      </c>
      <c r="H1466" t="str">
        <f>"אלתא מערכות בע""מ"</f>
        <v>אלתא מערכות בע"מ</v>
      </c>
      <c r="I1466" t="str">
        <f>"10"</f>
        <v>10</v>
      </c>
      <c r="J1466" t="str">
        <f>"OP-AR03136"</f>
        <v>OP-AR03136</v>
      </c>
      <c r="K1466" t="str">
        <f>"2032D919-001    HARNESS W919 - AARDVARK PROGRAMMING"</f>
        <v>2032D919-001    HARNESS W919 - AARDVARK PROGRAMMING</v>
      </c>
      <c r="L1466">
        <v>6</v>
      </c>
      <c r="M1466" t="str">
        <f>"יח"</f>
        <v>יח</v>
      </c>
      <c r="N1466">
        <v>6</v>
      </c>
      <c r="O1466" t="str">
        <f>"יח"</f>
        <v>יח</v>
      </c>
      <c r="P1466">
        <v>404.97</v>
      </c>
      <c r="Q1466" t="str">
        <f>"$"</f>
        <v>$</v>
      </c>
      <c r="R1466" t="str">
        <f>"הזמנה"</f>
        <v>הזמנה</v>
      </c>
      <c r="S1466">
        <v>0</v>
      </c>
      <c r="T1466" s="2">
        <v>2429.8200000000002</v>
      </c>
      <c r="U1466">
        <v>0</v>
      </c>
      <c r="V1466" s="2">
        <v>2429.8200000000002</v>
      </c>
      <c r="W1466" t="str">
        <f>"$"</f>
        <v>$</v>
      </c>
      <c r="X1466">
        <v>0</v>
      </c>
      <c r="Y1466">
        <v>0</v>
      </c>
      <c r="Z1466">
        <v>0</v>
      </c>
      <c r="AA1466" t="str">
        <f>"Y"</f>
        <v>Y</v>
      </c>
      <c r="AB1466" t="str">
        <f>"SO22000195"</f>
        <v>SO22000195</v>
      </c>
      <c r="AC1466">
        <v>4</v>
      </c>
      <c r="AD1466" s="1">
        <v>44698</v>
      </c>
      <c r="AE1466" t="str">
        <f>"SH22000930"</f>
        <v>SH22000930</v>
      </c>
      <c r="AF1466" t="str">
        <f>"משלוחים ללקוח"</f>
        <v>משלוחים ללקוח</v>
      </c>
      <c r="AG1466" s="1">
        <v>44774</v>
      </c>
      <c r="AM1466" t="str">
        <f>"10"</f>
        <v>10</v>
      </c>
      <c r="AN1466" t="str">
        <f>"500000"</f>
        <v>500000</v>
      </c>
      <c r="AO1466" t="str">
        <f>"הכנסות  מלקוחות"</f>
        <v>הכנסות  מלקוחות</v>
      </c>
      <c r="AQ1466" t="str">
        <f>"040"</f>
        <v>040</v>
      </c>
      <c r="AR1466">
        <v>0</v>
      </c>
      <c r="AS1466">
        <v>0</v>
      </c>
      <c r="AT1466">
        <v>3.367</v>
      </c>
      <c r="AX1466" t="str">
        <f>"E000364002"</f>
        <v>E000364002</v>
      </c>
      <c r="BD1466" t="str">
        <f>"רחמים זרוק"</f>
        <v>רחמים זרוק</v>
      </c>
    </row>
    <row r="1467" spans="1:56" x14ac:dyDescent="0.3">
      <c r="A1467" s="1">
        <v>44775</v>
      </c>
      <c r="B1467" t="str">
        <f>"SI226000901"</f>
        <v>SI226000901</v>
      </c>
      <c r="C1467" t="str">
        <f>"PR22000393"</f>
        <v>PR22000393</v>
      </c>
      <c r="E1467" t="str">
        <f>"Y"</f>
        <v>Y</v>
      </c>
      <c r="F1467" t="str">
        <f>"חשבוניות מרכזות"</f>
        <v>חשבוניות מרכזות</v>
      </c>
      <c r="G1467" t="str">
        <f>"700065"</f>
        <v>700065</v>
      </c>
      <c r="H1467" t="str">
        <f>"אלתא מערכות בע""מ"</f>
        <v>אלתא מערכות בע"מ</v>
      </c>
      <c r="I1467" t="str">
        <f>"10"</f>
        <v>10</v>
      </c>
      <c r="J1467" t="str">
        <f>"OP-AR03148"</f>
        <v>OP-AR03148</v>
      </c>
      <c r="K1467" t="str">
        <f>"2019E574-001    BFCU LAB POWER CABLE W2"</f>
        <v>2019E574-001    BFCU LAB POWER CABLE W2</v>
      </c>
      <c r="L1467">
        <v>1</v>
      </c>
      <c r="M1467" t="str">
        <f>"יח"</f>
        <v>יח</v>
      </c>
      <c r="N1467">
        <v>1</v>
      </c>
      <c r="O1467" t="str">
        <f>"יח"</f>
        <v>יח</v>
      </c>
      <c r="P1467">
        <v>232.22</v>
      </c>
      <c r="Q1467" t="str">
        <f>"$"</f>
        <v>$</v>
      </c>
      <c r="R1467" t="str">
        <f>"הזמנה"</f>
        <v>הזמנה</v>
      </c>
      <c r="S1467">
        <v>0</v>
      </c>
      <c r="T1467">
        <v>232.22</v>
      </c>
      <c r="U1467">
        <v>0</v>
      </c>
      <c r="V1467">
        <v>232.22</v>
      </c>
      <c r="W1467" t="str">
        <f>"$"</f>
        <v>$</v>
      </c>
      <c r="X1467">
        <v>0</v>
      </c>
      <c r="Y1467">
        <v>0</v>
      </c>
      <c r="Z1467">
        <v>0</v>
      </c>
      <c r="AA1467" t="str">
        <f>"Y"</f>
        <v>Y</v>
      </c>
      <c r="AB1467" t="str">
        <f>"SO22000203"</f>
        <v>SO22000203</v>
      </c>
      <c r="AC1467">
        <v>2</v>
      </c>
      <c r="AD1467" s="1">
        <v>44705</v>
      </c>
      <c r="AE1467" t="str">
        <f>"SH22000927"</f>
        <v>SH22000927</v>
      </c>
      <c r="AF1467" t="str">
        <f>"משלוחים ללקוח"</f>
        <v>משלוחים ללקוח</v>
      </c>
      <c r="AG1467" s="1">
        <v>44774</v>
      </c>
      <c r="AM1467" t="str">
        <f>"10"</f>
        <v>10</v>
      </c>
      <c r="AN1467" t="str">
        <f>"500000"</f>
        <v>500000</v>
      </c>
      <c r="AO1467" t="str">
        <f>"הכנסות  מלקוחות"</f>
        <v>הכנסות  מלקוחות</v>
      </c>
      <c r="AQ1467" t="str">
        <f>"040"</f>
        <v>040</v>
      </c>
      <c r="AR1467">
        <v>0</v>
      </c>
      <c r="AS1467">
        <v>0</v>
      </c>
      <c r="AT1467">
        <v>3.367</v>
      </c>
      <c r="AX1467" t="str">
        <f>"E000362820"</f>
        <v>E000362820</v>
      </c>
      <c r="BD1467" t="str">
        <f>"רחמים זרוק"</f>
        <v>רחמים זרוק</v>
      </c>
    </row>
    <row r="1468" spans="1:56" x14ac:dyDescent="0.3">
      <c r="A1468" s="1">
        <v>44775</v>
      </c>
      <c r="B1468" t="str">
        <f>"SI226000901"</f>
        <v>SI226000901</v>
      </c>
      <c r="C1468" t="str">
        <f>"PR22000393"</f>
        <v>PR22000393</v>
      </c>
      <c r="E1468" t="str">
        <f>"Y"</f>
        <v>Y</v>
      </c>
      <c r="F1468" t="str">
        <f>"חשבוניות מרכזות"</f>
        <v>חשבוניות מרכזות</v>
      </c>
      <c r="G1468" t="str">
        <f>"700065"</f>
        <v>700065</v>
      </c>
      <c r="H1468" t="str">
        <f>"אלתא מערכות בע""מ"</f>
        <v>אלתא מערכות בע"מ</v>
      </c>
      <c r="I1468" t="str">
        <f>"10"</f>
        <v>10</v>
      </c>
      <c r="J1468" t="str">
        <f>"OP-AR03150"</f>
        <v>OP-AR03150</v>
      </c>
      <c r="K1468" t="str">
        <f>"9001G824-001    HARNESS WB004 - PDU TO ETH SWITCH"</f>
        <v>9001G824-001    HARNESS WB004 - PDU TO ETH SWITCH</v>
      </c>
      <c r="L1468">
        <v>2</v>
      </c>
      <c r="M1468" t="str">
        <f>"יח"</f>
        <v>יח</v>
      </c>
      <c r="N1468">
        <v>2</v>
      </c>
      <c r="O1468" t="str">
        <f>"יח"</f>
        <v>יח</v>
      </c>
      <c r="P1468">
        <v>252.61</v>
      </c>
      <c r="Q1468" t="str">
        <f>"$"</f>
        <v>$</v>
      </c>
      <c r="R1468" t="str">
        <f>"הזמנה"</f>
        <v>הזמנה</v>
      </c>
      <c r="S1468">
        <v>0</v>
      </c>
      <c r="T1468">
        <v>505.22</v>
      </c>
      <c r="U1468">
        <v>0</v>
      </c>
      <c r="V1468">
        <v>505.22</v>
      </c>
      <c r="W1468" t="str">
        <f>"$"</f>
        <v>$</v>
      </c>
      <c r="X1468">
        <v>0</v>
      </c>
      <c r="Y1468">
        <v>0</v>
      </c>
      <c r="Z1468">
        <v>0</v>
      </c>
      <c r="AA1468" t="str">
        <f>"Y"</f>
        <v>Y</v>
      </c>
      <c r="AB1468" t="str">
        <f>"SO22000203"</f>
        <v>SO22000203</v>
      </c>
      <c r="AC1468">
        <v>4</v>
      </c>
      <c r="AD1468" s="1">
        <v>44705</v>
      </c>
      <c r="AE1468" t="str">
        <f>"SH22000927"</f>
        <v>SH22000927</v>
      </c>
      <c r="AF1468" t="str">
        <f>"משלוחים ללקוח"</f>
        <v>משלוחים ללקוח</v>
      </c>
      <c r="AG1468" s="1">
        <v>44774</v>
      </c>
      <c r="AM1468" t="str">
        <f>"10"</f>
        <v>10</v>
      </c>
      <c r="AN1468" t="str">
        <f>"500000"</f>
        <v>500000</v>
      </c>
      <c r="AO1468" t="str">
        <f>"הכנסות  מלקוחות"</f>
        <v>הכנסות  מלקוחות</v>
      </c>
      <c r="AQ1468" t="str">
        <f>"040"</f>
        <v>040</v>
      </c>
      <c r="AR1468">
        <v>0</v>
      </c>
      <c r="AS1468">
        <v>0</v>
      </c>
      <c r="AT1468">
        <v>3.367</v>
      </c>
      <c r="AX1468" t="str">
        <f>"E000362820"</f>
        <v>E000362820</v>
      </c>
      <c r="BD1468" t="str">
        <f>"רחמים זרוק"</f>
        <v>רחמים זרוק</v>
      </c>
    </row>
    <row r="1469" spans="1:56" x14ac:dyDescent="0.3">
      <c r="A1469" s="1">
        <v>44775</v>
      </c>
      <c r="B1469" t="str">
        <f>"SI226000901"</f>
        <v>SI226000901</v>
      </c>
      <c r="C1469" t="str">
        <f>"PR22000393"</f>
        <v>PR22000393</v>
      </c>
      <c r="E1469" t="str">
        <f>"Y"</f>
        <v>Y</v>
      </c>
      <c r="F1469" t="str">
        <f>"חשבוניות מרכזות"</f>
        <v>חשבוניות מרכזות</v>
      </c>
      <c r="G1469" t="str">
        <f>"700065"</f>
        <v>700065</v>
      </c>
      <c r="H1469" t="str">
        <f>"אלתא מערכות בע""מ"</f>
        <v>אלתא מערכות בע"מ</v>
      </c>
      <c r="I1469" t="str">
        <f>"10"</f>
        <v>10</v>
      </c>
      <c r="J1469" t="str">
        <f>"OP-AR03151"</f>
        <v>OP-AR03151</v>
      </c>
      <c r="K1469" t="str">
        <f>"9009M461-001    HARNESS WRS61 - INPUT POERT CABLE"</f>
        <v>9009M461-001    HARNESS WRS61 - INPUT POERT CABLE</v>
      </c>
      <c r="L1469">
        <v>1</v>
      </c>
      <c r="M1469" t="str">
        <f>"יח"</f>
        <v>יח</v>
      </c>
      <c r="N1469">
        <v>1</v>
      </c>
      <c r="O1469" t="str">
        <f>"יח"</f>
        <v>יח</v>
      </c>
      <c r="P1469">
        <v>331.89</v>
      </c>
      <c r="Q1469" t="str">
        <f>"$"</f>
        <v>$</v>
      </c>
      <c r="R1469" t="str">
        <f>"הזמנה"</f>
        <v>הזמנה</v>
      </c>
      <c r="S1469">
        <v>0</v>
      </c>
      <c r="T1469">
        <v>331.89</v>
      </c>
      <c r="U1469">
        <v>0</v>
      </c>
      <c r="V1469">
        <v>331.89</v>
      </c>
      <c r="W1469" t="str">
        <f>"$"</f>
        <v>$</v>
      </c>
      <c r="X1469">
        <v>0</v>
      </c>
      <c r="Y1469">
        <v>0</v>
      </c>
      <c r="Z1469">
        <v>0</v>
      </c>
      <c r="AA1469" t="str">
        <f>"Y"</f>
        <v>Y</v>
      </c>
      <c r="AB1469" t="str">
        <f>"SO22000203"</f>
        <v>SO22000203</v>
      </c>
      <c r="AC1469">
        <v>5</v>
      </c>
      <c r="AD1469" s="1">
        <v>44705</v>
      </c>
      <c r="AE1469" t="str">
        <f>"SH22000927"</f>
        <v>SH22000927</v>
      </c>
      <c r="AF1469" t="str">
        <f>"משלוחים ללקוח"</f>
        <v>משלוחים ללקוח</v>
      </c>
      <c r="AG1469" s="1">
        <v>44774</v>
      </c>
      <c r="AM1469" t="str">
        <f>"10"</f>
        <v>10</v>
      </c>
      <c r="AN1469" t="str">
        <f>"500000"</f>
        <v>500000</v>
      </c>
      <c r="AO1469" t="str">
        <f>"הכנסות  מלקוחות"</f>
        <v>הכנסות  מלקוחות</v>
      </c>
      <c r="AQ1469" t="str">
        <f>"040"</f>
        <v>040</v>
      </c>
      <c r="AR1469">
        <v>0</v>
      </c>
      <c r="AS1469">
        <v>0</v>
      </c>
      <c r="AT1469">
        <v>3.367</v>
      </c>
      <c r="AX1469" t="str">
        <f>"E000362820"</f>
        <v>E000362820</v>
      </c>
      <c r="BD1469" t="str">
        <f>"רחמים זרוק"</f>
        <v>רחמים זרוק</v>
      </c>
    </row>
    <row r="1470" spans="1:56" x14ac:dyDescent="0.3">
      <c r="A1470" s="1">
        <v>44775</v>
      </c>
      <c r="B1470" t="str">
        <f>"SI226000901"</f>
        <v>SI226000901</v>
      </c>
      <c r="C1470" t="str">
        <f>"PR22000393"</f>
        <v>PR22000393</v>
      </c>
      <c r="E1470" t="str">
        <f>"Y"</f>
        <v>Y</v>
      </c>
      <c r="F1470" t="str">
        <f>"חשבוניות מרכזות"</f>
        <v>חשבוניות מרכזות</v>
      </c>
      <c r="G1470" t="str">
        <f>"700065"</f>
        <v>700065</v>
      </c>
      <c r="H1470" t="str">
        <f>"אלתא מערכות בע""מ"</f>
        <v>אלתא מערכות בע"מ</v>
      </c>
      <c r="I1470" t="str">
        <f>"10"</f>
        <v>10</v>
      </c>
      <c r="J1470" t="str">
        <f>"OP-AR03152"</f>
        <v>OP-AR03152</v>
      </c>
      <c r="K1470" t="str">
        <f>"9001G823-001    HARNESS WB003 - DSGUS TEMP SENSORS"</f>
        <v>9001G823-001    HARNESS WB003 - DSGUS TEMP SENSORS</v>
      </c>
      <c r="L1470">
        <v>2</v>
      </c>
      <c r="M1470" t="str">
        <f>"יח"</f>
        <v>יח</v>
      </c>
      <c r="N1470">
        <v>2</v>
      </c>
      <c r="O1470" t="str">
        <f>"יח"</f>
        <v>יח</v>
      </c>
      <c r="P1470" s="2">
        <v>1059.49</v>
      </c>
      <c r="Q1470" t="str">
        <f>"$"</f>
        <v>$</v>
      </c>
      <c r="R1470" t="str">
        <f>"הזמנה"</f>
        <v>הזמנה</v>
      </c>
      <c r="S1470">
        <v>0</v>
      </c>
      <c r="T1470" s="2">
        <v>2118.98</v>
      </c>
      <c r="U1470">
        <v>0</v>
      </c>
      <c r="V1470" s="2">
        <v>2118.98</v>
      </c>
      <c r="W1470" t="str">
        <f>"$"</f>
        <v>$</v>
      </c>
      <c r="X1470">
        <v>0</v>
      </c>
      <c r="Y1470">
        <v>0</v>
      </c>
      <c r="Z1470">
        <v>0</v>
      </c>
      <c r="AA1470" t="str">
        <f>"Y"</f>
        <v>Y</v>
      </c>
      <c r="AB1470" t="str">
        <f>"SO22000203"</f>
        <v>SO22000203</v>
      </c>
      <c r="AC1470">
        <v>6</v>
      </c>
      <c r="AD1470" s="1">
        <v>44705</v>
      </c>
      <c r="AE1470" t="str">
        <f>"SH22000927"</f>
        <v>SH22000927</v>
      </c>
      <c r="AF1470" t="str">
        <f>"משלוחים ללקוח"</f>
        <v>משלוחים ללקוח</v>
      </c>
      <c r="AG1470" s="1">
        <v>44774</v>
      </c>
      <c r="AM1470" t="str">
        <f>"10"</f>
        <v>10</v>
      </c>
      <c r="AN1470" t="str">
        <f>"500000"</f>
        <v>500000</v>
      </c>
      <c r="AO1470" t="str">
        <f>"הכנסות  מלקוחות"</f>
        <v>הכנסות  מלקוחות</v>
      </c>
      <c r="AQ1470" t="str">
        <f>"040"</f>
        <v>040</v>
      </c>
      <c r="AR1470">
        <v>0</v>
      </c>
      <c r="AS1470">
        <v>0</v>
      </c>
      <c r="AT1470">
        <v>3.367</v>
      </c>
      <c r="AX1470" t="str">
        <f>"E000362820"</f>
        <v>E000362820</v>
      </c>
      <c r="BD1470" t="str">
        <f>"רחמים זרוק"</f>
        <v>רחמים זרוק</v>
      </c>
    </row>
    <row r="1471" spans="1:56" x14ac:dyDescent="0.3">
      <c r="A1471" s="1">
        <v>44775</v>
      </c>
      <c r="B1471" t="str">
        <f>"SI226000901"</f>
        <v>SI226000901</v>
      </c>
      <c r="C1471" t="str">
        <f>"PR22000393"</f>
        <v>PR22000393</v>
      </c>
      <c r="E1471" t="str">
        <f>"Y"</f>
        <v>Y</v>
      </c>
      <c r="F1471" t="str">
        <f>"חשבוניות מרכזות"</f>
        <v>חשבוניות מרכזות</v>
      </c>
      <c r="G1471" t="str">
        <f>"700065"</f>
        <v>700065</v>
      </c>
      <c r="H1471" t="str">
        <f>"אלתא מערכות בע""מ"</f>
        <v>אלתא מערכות בע"מ</v>
      </c>
      <c r="I1471" t="str">
        <f>"10"</f>
        <v>10</v>
      </c>
      <c r="J1471" t="str">
        <f>"OP-AR03153"</f>
        <v>OP-AR03153</v>
      </c>
      <c r="K1471" t="str">
        <f>"9001G825-001    HARNESS WB005 - CONTROL ETH SWITCH"</f>
        <v>9001G825-001    HARNESS WB005 - CONTROL ETH SWITCH</v>
      </c>
      <c r="L1471">
        <v>3</v>
      </c>
      <c r="M1471" t="str">
        <f>"יח"</f>
        <v>יח</v>
      </c>
      <c r="N1471">
        <v>3</v>
      </c>
      <c r="O1471" t="str">
        <f>"יח"</f>
        <v>יח</v>
      </c>
      <c r="P1471">
        <v>480.38</v>
      </c>
      <c r="Q1471" t="str">
        <f>"$"</f>
        <v>$</v>
      </c>
      <c r="R1471" t="str">
        <f>"הזמנה"</f>
        <v>הזמנה</v>
      </c>
      <c r="S1471">
        <v>0</v>
      </c>
      <c r="T1471" s="2">
        <v>1441.14</v>
      </c>
      <c r="U1471">
        <v>0</v>
      </c>
      <c r="V1471" s="2">
        <v>1441.14</v>
      </c>
      <c r="W1471" t="str">
        <f>"$"</f>
        <v>$</v>
      </c>
      <c r="X1471">
        <v>0</v>
      </c>
      <c r="Y1471">
        <v>0</v>
      </c>
      <c r="Z1471">
        <v>0</v>
      </c>
      <c r="AA1471" t="str">
        <f>"Y"</f>
        <v>Y</v>
      </c>
      <c r="AB1471" t="str">
        <f>"SO22000203"</f>
        <v>SO22000203</v>
      </c>
      <c r="AC1471">
        <v>7</v>
      </c>
      <c r="AD1471" s="1">
        <v>44705</v>
      </c>
      <c r="AE1471" t="str">
        <f>"SH22000927"</f>
        <v>SH22000927</v>
      </c>
      <c r="AF1471" t="str">
        <f>"משלוחים ללקוח"</f>
        <v>משלוחים ללקוח</v>
      </c>
      <c r="AG1471" s="1">
        <v>44774</v>
      </c>
      <c r="AM1471" t="str">
        <f>"10"</f>
        <v>10</v>
      </c>
      <c r="AN1471" t="str">
        <f>"500000"</f>
        <v>500000</v>
      </c>
      <c r="AO1471" t="str">
        <f>"הכנסות  מלקוחות"</f>
        <v>הכנסות  מלקוחות</v>
      </c>
      <c r="AQ1471" t="str">
        <f>"040"</f>
        <v>040</v>
      </c>
      <c r="AR1471">
        <v>0</v>
      </c>
      <c r="AS1471">
        <v>0</v>
      </c>
      <c r="AT1471">
        <v>3.367</v>
      </c>
      <c r="AX1471" t="str">
        <f>"E000362820"</f>
        <v>E000362820</v>
      </c>
      <c r="BD1471" t="str">
        <f>"רחמים זרוק"</f>
        <v>רחמים זרוק</v>
      </c>
    </row>
    <row r="1472" spans="1:56" x14ac:dyDescent="0.3">
      <c r="A1472" s="1">
        <v>44775</v>
      </c>
      <c r="B1472" t="str">
        <f>"SI226000900"</f>
        <v>SI226000900</v>
      </c>
      <c r="C1472" t="str">
        <f>"PR22000269"</f>
        <v>PR22000269</v>
      </c>
      <c r="E1472" t="str">
        <f>"Y"</f>
        <v>Y</v>
      </c>
      <c r="F1472" t="str">
        <f>"חשבוניות מרכזות"</f>
        <v>חשבוניות מרכזות</v>
      </c>
      <c r="G1472" t="str">
        <f>"700065"</f>
        <v>700065</v>
      </c>
      <c r="H1472" t="str">
        <f>"אלתא מערכות בע""מ"</f>
        <v>אלתא מערכות בע"מ</v>
      </c>
      <c r="I1472" t="str">
        <f>"10"</f>
        <v>10</v>
      </c>
      <c r="J1472" t="str">
        <f>"OP-AR02906"</f>
        <v>OP-AR02906</v>
      </c>
      <c r="K1472" t="str">
        <f>"1037N606-001    GU MB1 LOOPBACK PLUG"</f>
        <v>1037N606-001    GU MB1 LOOPBACK PLUG</v>
      </c>
      <c r="L1472">
        <v>1</v>
      </c>
      <c r="M1472" t="str">
        <f>"יח"</f>
        <v>יח</v>
      </c>
      <c r="N1472">
        <v>1</v>
      </c>
      <c r="O1472" t="str">
        <f>"יח"</f>
        <v>יח</v>
      </c>
      <c r="P1472">
        <v>224.39</v>
      </c>
      <c r="Q1472" t="str">
        <f>"$"</f>
        <v>$</v>
      </c>
      <c r="R1472" t="str">
        <f>"הזמנה"</f>
        <v>הזמנה</v>
      </c>
      <c r="S1472">
        <v>0</v>
      </c>
      <c r="T1472">
        <v>224.39</v>
      </c>
      <c r="U1472">
        <v>0</v>
      </c>
      <c r="V1472">
        <v>224.39</v>
      </c>
      <c r="W1472" t="str">
        <f>"$"</f>
        <v>$</v>
      </c>
      <c r="X1472">
        <v>0</v>
      </c>
      <c r="Y1472">
        <v>0</v>
      </c>
      <c r="Z1472">
        <v>0</v>
      </c>
      <c r="AA1472" t="str">
        <f>"Y"</f>
        <v>Y</v>
      </c>
      <c r="AB1472" t="str">
        <f>"SO22000120"</f>
        <v>SO22000120</v>
      </c>
      <c r="AC1472">
        <v>2</v>
      </c>
      <c r="AD1472" s="1">
        <v>44648</v>
      </c>
      <c r="AE1472" t="str">
        <f>"SH22000933"</f>
        <v>SH22000933</v>
      </c>
      <c r="AF1472" t="str">
        <f>"משלוחים ללקוח"</f>
        <v>משלוחים ללקוח</v>
      </c>
      <c r="AG1472" s="1">
        <v>44774</v>
      </c>
      <c r="AM1472" t="str">
        <f>"10"</f>
        <v>10</v>
      </c>
      <c r="AN1472" t="str">
        <f>"500000"</f>
        <v>500000</v>
      </c>
      <c r="AO1472" t="str">
        <f>"הכנסות  מלקוחות"</f>
        <v>הכנסות  מלקוחות</v>
      </c>
      <c r="AQ1472" t="str">
        <f>"040"</f>
        <v>040</v>
      </c>
      <c r="AR1472">
        <v>0</v>
      </c>
      <c r="AS1472">
        <v>0</v>
      </c>
      <c r="AT1472">
        <v>3.367</v>
      </c>
      <c r="AX1472" t="str">
        <f>"E000361090"</f>
        <v>E000361090</v>
      </c>
      <c r="BD1472" t="str">
        <f>"רחמים זרוק"</f>
        <v>רחמים זרוק</v>
      </c>
    </row>
    <row r="1473" spans="1:56" x14ac:dyDescent="0.3">
      <c r="A1473" s="1">
        <v>44775</v>
      </c>
      <c r="B1473" t="str">
        <f>"SI226000899"</f>
        <v>SI226000899</v>
      </c>
      <c r="C1473" t="str">
        <f>"PR22000268"</f>
        <v>PR22000268</v>
      </c>
      <c r="D1473" t="str">
        <f>"PR22000268"</f>
        <v>PR22000268</v>
      </c>
      <c r="E1473" t="str">
        <f>"Y"</f>
        <v>Y</v>
      </c>
      <c r="F1473" t="str">
        <f>"חשבוניות מרכזות"</f>
        <v>חשבוניות מרכזות</v>
      </c>
      <c r="G1473" t="str">
        <f>"700065"</f>
        <v>700065</v>
      </c>
      <c r="H1473" t="str">
        <f>"אלתא מערכות בע""מ"</f>
        <v>אלתא מערכות בע"מ</v>
      </c>
      <c r="I1473" t="str">
        <f>"10"</f>
        <v>10</v>
      </c>
      <c r="J1473" t="str">
        <f>"OP-AR00468"</f>
        <v>OP-AR00468</v>
      </c>
      <c r="K1473" t="str">
        <f>"208V/25A/3PH AC PCU CONTROL BOX"</f>
        <v>208V/25A/3PH AC PCU CONTROL BOX</v>
      </c>
      <c r="L1473">
        <v>1</v>
      </c>
      <c r="M1473" t="str">
        <f>"יח"</f>
        <v>יח</v>
      </c>
      <c r="N1473">
        <v>1</v>
      </c>
      <c r="O1473" t="str">
        <f>"יח"</f>
        <v>יח</v>
      </c>
      <c r="P1473" s="2">
        <v>4350</v>
      </c>
      <c r="Q1473" t="str">
        <f>"$"</f>
        <v>$</v>
      </c>
      <c r="R1473" t="str">
        <f>"הזמנה"</f>
        <v>הזמנה</v>
      </c>
      <c r="S1473">
        <v>0</v>
      </c>
      <c r="T1473" s="2">
        <v>4350</v>
      </c>
      <c r="U1473">
        <v>0</v>
      </c>
      <c r="V1473" s="2">
        <v>4350</v>
      </c>
      <c r="W1473" t="str">
        <f>"$"</f>
        <v>$</v>
      </c>
      <c r="X1473">
        <v>0</v>
      </c>
      <c r="Y1473">
        <v>0</v>
      </c>
      <c r="Z1473">
        <v>0</v>
      </c>
      <c r="AA1473" t="str">
        <f>"Y"</f>
        <v>Y</v>
      </c>
      <c r="AB1473" t="str">
        <f>"SO22000123"</f>
        <v>SO22000123</v>
      </c>
      <c r="AC1473">
        <v>1</v>
      </c>
      <c r="AD1473" s="1">
        <v>44651</v>
      </c>
      <c r="AE1473" t="str">
        <f>"SH22000942"</f>
        <v>SH22000942</v>
      </c>
      <c r="AF1473" t="str">
        <f>"משלוחים ללקוח"</f>
        <v>משלוחים ללקוח</v>
      </c>
      <c r="AG1473" s="1">
        <v>44775</v>
      </c>
      <c r="AM1473" t="str">
        <f>"10"</f>
        <v>10</v>
      </c>
      <c r="AN1473" t="str">
        <f>"500000"</f>
        <v>500000</v>
      </c>
      <c r="AO1473" t="str">
        <f>"הכנסות  מלקוחות"</f>
        <v>הכנסות  מלקוחות</v>
      </c>
      <c r="AQ1473" t="str">
        <f>"034"</f>
        <v>034</v>
      </c>
      <c r="AR1473">
        <v>0</v>
      </c>
      <c r="AS1473">
        <v>0</v>
      </c>
      <c r="AT1473">
        <v>3.367</v>
      </c>
      <c r="AX1473" t="str">
        <f>"E000361298"</f>
        <v>E000361298</v>
      </c>
      <c r="BD1473" t="str">
        <f>"ערן שלו"</f>
        <v>ערן שלו</v>
      </c>
    </row>
    <row r="1474" spans="1:56" x14ac:dyDescent="0.3">
      <c r="A1474" s="1">
        <v>44775</v>
      </c>
      <c r="B1474" t="str">
        <f>"SI226000898"</f>
        <v>SI226000898</v>
      </c>
      <c r="C1474" t="str">
        <f>"PR22000223"</f>
        <v>PR22000223</v>
      </c>
      <c r="E1474" t="str">
        <f>"Y"</f>
        <v>Y</v>
      </c>
      <c r="F1474" t="str">
        <f>"חשבוניות מרכזות"</f>
        <v>חשבוניות מרכזות</v>
      </c>
      <c r="G1474" t="str">
        <f>"700065"</f>
        <v>700065</v>
      </c>
      <c r="H1474" t="str">
        <f>"אלתא מערכות בע""מ"</f>
        <v>אלתא מערכות בע"מ</v>
      </c>
      <c r="I1474" t="str">
        <f>"10"</f>
        <v>10</v>
      </c>
      <c r="J1474" t="str">
        <f>"OP-AR02998"</f>
        <v>OP-AR02998</v>
      </c>
      <c r="K1474" t="str">
        <f>"1023M577-001   HARNESS W3"</f>
        <v>1023M577-001   HARNESS W3</v>
      </c>
      <c r="L1474">
        <v>3</v>
      </c>
      <c r="M1474" t="str">
        <f>"יח"</f>
        <v>יח</v>
      </c>
      <c r="N1474">
        <v>3</v>
      </c>
      <c r="O1474" t="str">
        <f>"יח"</f>
        <v>יח</v>
      </c>
      <c r="P1474">
        <v>293.06</v>
      </c>
      <c r="Q1474" t="str">
        <f>"$"</f>
        <v>$</v>
      </c>
      <c r="R1474" t="str">
        <f>"הזמנה"</f>
        <v>הזמנה</v>
      </c>
      <c r="S1474">
        <v>0</v>
      </c>
      <c r="T1474">
        <v>879.18</v>
      </c>
      <c r="U1474">
        <v>0</v>
      </c>
      <c r="V1474">
        <v>879.18</v>
      </c>
      <c r="W1474" t="str">
        <f>"$"</f>
        <v>$</v>
      </c>
      <c r="X1474">
        <v>0</v>
      </c>
      <c r="Y1474">
        <v>0</v>
      </c>
      <c r="Z1474">
        <v>0</v>
      </c>
      <c r="AA1474" t="str">
        <f>"Y"</f>
        <v>Y</v>
      </c>
      <c r="AB1474" t="str">
        <f>"SO22000099"</f>
        <v>SO22000099</v>
      </c>
      <c r="AC1474">
        <v>4</v>
      </c>
      <c r="AD1474" s="1">
        <v>44629</v>
      </c>
      <c r="AE1474" t="str">
        <f>"SH22000929"</f>
        <v>SH22000929</v>
      </c>
      <c r="AF1474" t="str">
        <f>"משלוחים ללקוח"</f>
        <v>משלוחים ללקוח</v>
      </c>
      <c r="AG1474" s="1">
        <v>44774</v>
      </c>
      <c r="AM1474" t="str">
        <f>"10"</f>
        <v>10</v>
      </c>
      <c r="AN1474" t="str">
        <f>"500000"</f>
        <v>500000</v>
      </c>
      <c r="AO1474" t="str">
        <f>"הכנסות  מלקוחות"</f>
        <v>הכנסות  מלקוחות</v>
      </c>
      <c r="AQ1474" t="str">
        <f>"040"</f>
        <v>040</v>
      </c>
      <c r="AR1474">
        <v>0</v>
      </c>
      <c r="AS1474">
        <v>0</v>
      </c>
      <c r="AT1474">
        <v>3.367</v>
      </c>
      <c r="AX1474" t="str">
        <f>"E000358026"</f>
        <v>E000358026</v>
      </c>
      <c r="BD1474" t="str">
        <f>"רחמים זרוק"</f>
        <v>רחמים זרוק</v>
      </c>
    </row>
    <row r="1475" spans="1:56" x14ac:dyDescent="0.3">
      <c r="A1475" s="1">
        <v>44775</v>
      </c>
      <c r="B1475" t="str">
        <f>"SI226000898"</f>
        <v>SI226000898</v>
      </c>
      <c r="C1475" t="str">
        <f>"PR22000223"</f>
        <v>PR22000223</v>
      </c>
      <c r="E1475" t="str">
        <f>"Y"</f>
        <v>Y</v>
      </c>
      <c r="F1475" t="str">
        <f>"חשבוניות מרכזות"</f>
        <v>חשבוניות מרכזות</v>
      </c>
      <c r="G1475" t="str">
        <f>"700065"</f>
        <v>700065</v>
      </c>
      <c r="H1475" t="str">
        <f>"אלתא מערכות בע""מ"</f>
        <v>אלתא מערכות בע"מ</v>
      </c>
      <c r="I1475" t="str">
        <f>"10"</f>
        <v>10</v>
      </c>
      <c r="J1475" t="str">
        <f>"OP-AR02149"</f>
        <v>OP-AR02149</v>
      </c>
      <c r="K1475" t="str">
        <f>"9009M497-001  HARNESS WRS97 - TEST CABLE"</f>
        <v>9009M497-001  HARNESS WRS97 - TEST CABLE</v>
      </c>
      <c r="L1475">
        <v>2</v>
      </c>
      <c r="M1475" t="str">
        <f>"יח"</f>
        <v>יח</v>
      </c>
      <c r="N1475">
        <v>2</v>
      </c>
      <c r="O1475" t="str">
        <f>"יח"</f>
        <v>יח</v>
      </c>
      <c r="P1475">
        <v>278.83</v>
      </c>
      <c r="Q1475" t="str">
        <f>"$"</f>
        <v>$</v>
      </c>
      <c r="R1475" t="str">
        <f>"הזמנה"</f>
        <v>הזמנה</v>
      </c>
      <c r="S1475">
        <v>0</v>
      </c>
      <c r="T1475">
        <v>557.66</v>
      </c>
      <c r="U1475">
        <v>0</v>
      </c>
      <c r="V1475">
        <v>557.66</v>
      </c>
      <c r="W1475" t="str">
        <f>"$"</f>
        <v>$</v>
      </c>
      <c r="X1475">
        <v>0</v>
      </c>
      <c r="Y1475">
        <v>0</v>
      </c>
      <c r="Z1475">
        <v>0</v>
      </c>
      <c r="AA1475" t="str">
        <f>"Y"</f>
        <v>Y</v>
      </c>
      <c r="AB1475" t="str">
        <f>"SO22000099"</f>
        <v>SO22000099</v>
      </c>
      <c r="AC1475">
        <v>16</v>
      </c>
      <c r="AD1475" s="1">
        <v>44629</v>
      </c>
      <c r="AE1475" t="str">
        <f>"SH22000929"</f>
        <v>SH22000929</v>
      </c>
      <c r="AF1475" t="str">
        <f>"משלוחים ללקוח"</f>
        <v>משלוחים ללקוח</v>
      </c>
      <c r="AG1475" s="1">
        <v>44774</v>
      </c>
      <c r="AM1475" t="str">
        <f>"10"</f>
        <v>10</v>
      </c>
      <c r="AN1475" t="str">
        <f>"500000"</f>
        <v>500000</v>
      </c>
      <c r="AO1475" t="str">
        <f>"הכנסות  מלקוחות"</f>
        <v>הכנסות  מלקוחות</v>
      </c>
      <c r="AQ1475" t="str">
        <f>"040"</f>
        <v>040</v>
      </c>
      <c r="AR1475">
        <v>0</v>
      </c>
      <c r="AS1475">
        <v>0</v>
      </c>
      <c r="AT1475">
        <v>3.367</v>
      </c>
      <c r="AX1475" t="str">
        <f>"E000358026"</f>
        <v>E000358026</v>
      </c>
      <c r="BD1475" t="str">
        <f>"רחמים זרוק"</f>
        <v>רחמים זרוק</v>
      </c>
    </row>
    <row r="1476" spans="1:56" x14ac:dyDescent="0.3">
      <c r="A1476" s="1">
        <v>44775</v>
      </c>
      <c r="B1476" t="str">
        <f>"SI226000898"</f>
        <v>SI226000898</v>
      </c>
      <c r="C1476" t="str">
        <f>"PR22000223"</f>
        <v>PR22000223</v>
      </c>
      <c r="E1476" t="str">
        <f>"Y"</f>
        <v>Y</v>
      </c>
      <c r="F1476" t="str">
        <f>"חשבוניות מרכזות"</f>
        <v>חשבוניות מרכזות</v>
      </c>
      <c r="G1476" t="str">
        <f>"700065"</f>
        <v>700065</v>
      </c>
      <c r="H1476" t="str">
        <f>"אלתא מערכות בע""מ"</f>
        <v>אלתא מערכות בע"מ</v>
      </c>
      <c r="I1476" t="str">
        <f>"10"</f>
        <v>10</v>
      </c>
      <c r="J1476" t="str">
        <f>"OP-AR02149"</f>
        <v>OP-AR02149</v>
      </c>
      <c r="K1476" t="str">
        <f>"9009M497-001  HARNESS WRS97 - TEST CABLE"</f>
        <v>9009M497-001  HARNESS WRS97 - TEST CABLE</v>
      </c>
      <c r="L1476">
        <v>7</v>
      </c>
      <c r="M1476" t="str">
        <f>"יח"</f>
        <v>יח</v>
      </c>
      <c r="N1476">
        <v>7</v>
      </c>
      <c r="O1476" t="str">
        <f>"יח"</f>
        <v>יח</v>
      </c>
      <c r="P1476">
        <v>278.83</v>
      </c>
      <c r="Q1476" t="str">
        <f>"$"</f>
        <v>$</v>
      </c>
      <c r="R1476" t="str">
        <f>"הזמנה"</f>
        <v>הזמנה</v>
      </c>
      <c r="S1476">
        <v>0</v>
      </c>
      <c r="T1476" s="2">
        <v>1951.81</v>
      </c>
      <c r="U1476">
        <v>0</v>
      </c>
      <c r="V1476" s="2">
        <v>1951.81</v>
      </c>
      <c r="W1476" t="str">
        <f>"$"</f>
        <v>$</v>
      </c>
      <c r="X1476">
        <v>0</v>
      </c>
      <c r="Y1476">
        <v>0</v>
      </c>
      <c r="Z1476">
        <v>0</v>
      </c>
      <c r="AA1476" t="str">
        <f>"Y"</f>
        <v>Y</v>
      </c>
      <c r="AB1476" t="str">
        <f>"SO22000099"</f>
        <v>SO22000099</v>
      </c>
      <c r="AC1476">
        <v>17</v>
      </c>
      <c r="AD1476" s="1">
        <v>44629</v>
      </c>
      <c r="AE1476" t="str">
        <f>"SH22000929"</f>
        <v>SH22000929</v>
      </c>
      <c r="AF1476" t="str">
        <f>"משלוחים ללקוח"</f>
        <v>משלוחים ללקוח</v>
      </c>
      <c r="AG1476" s="1">
        <v>44774</v>
      </c>
      <c r="AM1476" t="str">
        <f>"10"</f>
        <v>10</v>
      </c>
      <c r="AN1476" t="str">
        <f>"500000"</f>
        <v>500000</v>
      </c>
      <c r="AO1476" t="str">
        <f>"הכנסות  מלקוחות"</f>
        <v>הכנסות  מלקוחות</v>
      </c>
      <c r="AQ1476" t="str">
        <f>"040"</f>
        <v>040</v>
      </c>
      <c r="AR1476">
        <v>0</v>
      </c>
      <c r="AS1476">
        <v>0</v>
      </c>
      <c r="AT1476">
        <v>3.367</v>
      </c>
      <c r="AX1476" t="str">
        <f>"E000358026"</f>
        <v>E000358026</v>
      </c>
      <c r="BD1476" t="str">
        <f>"רחמים זרוק"</f>
        <v>רחמים זרוק</v>
      </c>
    </row>
    <row r="1477" spans="1:56" x14ac:dyDescent="0.3">
      <c r="A1477" s="1">
        <v>44775</v>
      </c>
      <c r="B1477" t="str">
        <f>"SI226000898"</f>
        <v>SI226000898</v>
      </c>
      <c r="C1477" t="str">
        <f>"PR22000223"</f>
        <v>PR22000223</v>
      </c>
      <c r="E1477" t="str">
        <f>"Y"</f>
        <v>Y</v>
      </c>
      <c r="F1477" t="str">
        <f>"חשבוניות מרכזות"</f>
        <v>חשבוניות מרכזות</v>
      </c>
      <c r="G1477" t="str">
        <f>"700065"</f>
        <v>700065</v>
      </c>
      <c r="H1477" t="str">
        <f>"אלתא מערכות בע""מ"</f>
        <v>אלתא מערכות בע"מ</v>
      </c>
      <c r="I1477" t="str">
        <f>"10"</f>
        <v>10</v>
      </c>
      <c r="J1477" t="str">
        <f>"OP-AR02149"</f>
        <v>OP-AR02149</v>
      </c>
      <c r="K1477" t="str">
        <f>"9009M497-001  HARNESS WRS97 - TEST CABLE"</f>
        <v>9009M497-001  HARNESS WRS97 - TEST CABLE</v>
      </c>
      <c r="L1477">
        <v>6</v>
      </c>
      <c r="M1477" t="str">
        <f>"יח"</f>
        <v>יח</v>
      </c>
      <c r="N1477">
        <v>6</v>
      </c>
      <c r="O1477" t="str">
        <f>"יח"</f>
        <v>יח</v>
      </c>
      <c r="P1477">
        <v>278.83</v>
      </c>
      <c r="Q1477" t="str">
        <f>"$"</f>
        <v>$</v>
      </c>
      <c r="R1477" t="str">
        <f>"הזמנה"</f>
        <v>הזמנה</v>
      </c>
      <c r="S1477">
        <v>0</v>
      </c>
      <c r="T1477" s="2">
        <v>1672.98</v>
      </c>
      <c r="U1477">
        <v>0</v>
      </c>
      <c r="V1477" s="2">
        <v>1672.98</v>
      </c>
      <c r="W1477" t="str">
        <f>"$"</f>
        <v>$</v>
      </c>
      <c r="X1477">
        <v>0</v>
      </c>
      <c r="Y1477">
        <v>0</v>
      </c>
      <c r="Z1477">
        <v>0</v>
      </c>
      <c r="AA1477" t="str">
        <f>"Y"</f>
        <v>Y</v>
      </c>
      <c r="AB1477" t="str">
        <f>"SO22000099"</f>
        <v>SO22000099</v>
      </c>
      <c r="AC1477">
        <v>18</v>
      </c>
      <c r="AD1477" s="1">
        <v>44629</v>
      </c>
      <c r="AE1477" t="str">
        <f>"SH22000929"</f>
        <v>SH22000929</v>
      </c>
      <c r="AF1477" t="str">
        <f>"משלוחים ללקוח"</f>
        <v>משלוחים ללקוח</v>
      </c>
      <c r="AG1477" s="1">
        <v>44774</v>
      </c>
      <c r="AM1477" t="str">
        <f>"10"</f>
        <v>10</v>
      </c>
      <c r="AN1477" t="str">
        <f>"500000"</f>
        <v>500000</v>
      </c>
      <c r="AO1477" t="str">
        <f>"הכנסות  מלקוחות"</f>
        <v>הכנסות  מלקוחות</v>
      </c>
      <c r="AQ1477" t="str">
        <f>"040"</f>
        <v>040</v>
      </c>
      <c r="AR1477">
        <v>0</v>
      </c>
      <c r="AS1477">
        <v>0</v>
      </c>
      <c r="AT1477">
        <v>3.367</v>
      </c>
      <c r="AX1477" t="str">
        <f>"E000358026"</f>
        <v>E000358026</v>
      </c>
      <c r="BD1477" t="str">
        <f>"רחמים זרוק"</f>
        <v>רחמים זרוק</v>
      </c>
    </row>
    <row r="1478" spans="1:56" x14ac:dyDescent="0.3">
      <c r="A1478" s="1">
        <v>44774</v>
      </c>
      <c r="B1478" t="str">
        <f>"SI226001070"</f>
        <v>SI226001070</v>
      </c>
      <c r="E1478" t="str">
        <f>"Y"</f>
        <v>Y</v>
      </c>
      <c r="F1478" t="str">
        <f>"חשבוניות מרכזות"</f>
        <v>חשבוניות מרכזות</v>
      </c>
      <c r="G1478" t="str">
        <f>"700065"</f>
        <v>700065</v>
      </c>
      <c r="H1478" t="str">
        <f>"אלתא מערכות בע""מ"</f>
        <v>אלתא מערכות בע"מ</v>
      </c>
      <c r="I1478" t="str">
        <f>"10"</f>
        <v>10</v>
      </c>
      <c r="J1478" t="str">
        <f>"OP-AR09105-1"</f>
        <v>OP-AR09105-1</v>
      </c>
      <c r="K1478" t="str">
        <f>"לוח ARMY מק""ט לקוח 1036V310-001"</f>
        <v>לוח ARMY מק"ט לקוח 1036V310-001</v>
      </c>
      <c r="L1478">
        <v>1</v>
      </c>
      <c r="M1478" t="str">
        <f>"יח"</f>
        <v>יח</v>
      </c>
      <c r="N1478">
        <v>1</v>
      </c>
      <c r="O1478" t="str">
        <f>"יח"</f>
        <v>יח</v>
      </c>
      <c r="P1478" s="2">
        <v>38749</v>
      </c>
      <c r="Q1478" t="str">
        <f>"$"</f>
        <v>$</v>
      </c>
      <c r="R1478" t="str">
        <f>"הזמנה"</f>
        <v>הזמנה</v>
      </c>
      <c r="S1478">
        <v>0</v>
      </c>
      <c r="T1478" s="2">
        <v>38749</v>
      </c>
      <c r="U1478">
        <v>0</v>
      </c>
      <c r="V1478" s="2">
        <v>38749</v>
      </c>
      <c r="W1478" t="str">
        <f>"$"</f>
        <v>$</v>
      </c>
      <c r="X1478">
        <v>0</v>
      </c>
      <c r="Y1478">
        <v>0</v>
      </c>
      <c r="Z1478">
        <v>0</v>
      </c>
      <c r="AA1478" t="str">
        <f>"Y"</f>
        <v>Y</v>
      </c>
      <c r="AB1478" t="str">
        <f>"SO20000381"</f>
        <v>SO20000381</v>
      </c>
      <c r="AC1478">
        <v>6</v>
      </c>
      <c r="AD1478" s="1">
        <v>44073</v>
      </c>
      <c r="AM1478" t="str">
        <f>"10"</f>
        <v>10</v>
      </c>
      <c r="AN1478" t="str">
        <f>"500000"</f>
        <v>500000</v>
      </c>
      <c r="AO1478" t="str">
        <f>"הכנסות  מלקוחות"</f>
        <v>הכנסות  מלקוחות</v>
      </c>
      <c r="AQ1478" t="str">
        <f>"034"</f>
        <v>034</v>
      </c>
      <c r="AR1478">
        <v>0</v>
      </c>
      <c r="AS1478">
        <v>0</v>
      </c>
      <c r="AT1478">
        <v>3.3820000000000001</v>
      </c>
      <c r="AX1478" t="str">
        <f>"E000319715"</f>
        <v>E000319715</v>
      </c>
      <c r="BD1478" t="str">
        <f>"ערן שלו"</f>
        <v>ערן שלו</v>
      </c>
    </row>
    <row r="1479" spans="1:56" x14ac:dyDescent="0.3">
      <c r="A1479" s="1">
        <v>44774</v>
      </c>
      <c r="B1479" t="str">
        <f>"SI226000922"</f>
        <v>SI226000922</v>
      </c>
      <c r="E1479" t="str">
        <f>"Y"</f>
        <v>Y</v>
      </c>
      <c r="F1479" t="str">
        <f>"חשבוניות מרכזות"</f>
        <v>חשבוניות מרכזות</v>
      </c>
      <c r="G1479" t="str">
        <f>"700065"</f>
        <v>700065</v>
      </c>
      <c r="H1479" t="str">
        <f>"אלתא מערכות בע""מ"</f>
        <v>אלתא מערכות בע"מ</v>
      </c>
      <c r="I1479" t="str">
        <f>"05"</f>
        <v>05</v>
      </c>
      <c r="J1479" t="str">
        <f>"OP-PD02881"</f>
        <v>OP-PD02881</v>
      </c>
      <c r="K1479" t="str">
        <f>"POWER DISTRIBUTION BOARD 09-SOCD"</f>
        <v>POWER DISTRIBUTION BOARD 09-SOCD</v>
      </c>
      <c r="L1479">
        <v>-1</v>
      </c>
      <c r="M1479" t="str">
        <f>"יח"</f>
        <v>יח</v>
      </c>
      <c r="N1479">
        <v>-1</v>
      </c>
      <c r="O1479" t="str">
        <f>"יח"</f>
        <v>יח</v>
      </c>
      <c r="P1479" s="2">
        <v>39999.300000000003</v>
      </c>
      <c r="Q1479" t="str">
        <f>"$"</f>
        <v>$</v>
      </c>
      <c r="R1479" t="str">
        <f>"הזמנה"</f>
        <v>הזמנה</v>
      </c>
      <c r="S1479">
        <v>0</v>
      </c>
      <c r="T1479" s="2">
        <v>-39999.300000000003</v>
      </c>
      <c r="U1479">
        <v>0</v>
      </c>
      <c r="V1479" s="2">
        <v>-39999.300000000003</v>
      </c>
      <c r="W1479" t="str">
        <f>"$"</f>
        <v>$</v>
      </c>
      <c r="X1479">
        <v>0</v>
      </c>
      <c r="Y1479">
        <v>0</v>
      </c>
      <c r="Z1479">
        <v>0</v>
      </c>
      <c r="AA1479" t="str">
        <f>"Y"</f>
        <v>Y</v>
      </c>
      <c r="AC1479">
        <v>0</v>
      </c>
      <c r="AM1479" t="str">
        <f>"10"</f>
        <v>10</v>
      </c>
      <c r="AN1479" t="str">
        <f>"500000"</f>
        <v>500000</v>
      </c>
      <c r="AO1479" t="str">
        <f>"הכנסות  מלקוחות"</f>
        <v>הכנסות  מלקוחות</v>
      </c>
      <c r="AQ1479" t="str">
        <f>"034"</f>
        <v>034</v>
      </c>
      <c r="AR1479">
        <v>0</v>
      </c>
      <c r="AS1479">
        <v>0</v>
      </c>
      <c r="AT1479">
        <v>3.2170000000000001</v>
      </c>
      <c r="BB1479" t="str">
        <f>"Y"</f>
        <v>Y</v>
      </c>
      <c r="BD1479" t="str">
        <f>"ערן שלו"</f>
        <v>ערן שלו</v>
      </c>
    </row>
    <row r="1480" spans="1:56" x14ac:dyDescent="0.3">
      <c r="A1480" s="1">
        <v>44774</v>
      </c>
      <c r="B1480" t="str">
        <f>"SI226000922"</f>
        <v>SI226000922</v>
      </c>
      <c r="E1480" t="str">
        <f>"Y"</f>
        <v>Y</v>
      </c>
      <c r="F1480" t="str">
        <f>"חשבוניות מרכזות"</f>
        <v>חשבוניות מרכזות</v>
      </c>
      <c r="G1480" t="str">
        <f>"700065"</f>
        <v>700065</v>
      </c>
      <c r="H1480" t="str">
        <f>"אלתא מערכות בע""מ"</f>
        <v>אלתא מערכות בע"מ</v>
      </c>
      <c r="I1480" t="str">
        <f>"05"</f>
        <v>05</v>
      </c>
      <c r="J1480" t="str">
        <f>"OP-PD02880"</f>
        <v>OP-PD02880</v>
      </c>
      <c r="K1480" t="str">
        <f>"POWER DISTRIBUTION BOARD 06/07-SOCD"</f>
        <v>POWER DISTRIBUTION BOARD 06/07-SOCD</v>
      </c>
      <c r="L1480">
        <v>-2</v>
      </c>
      <c r="M1480" t="str">
        <f>"יח"</f>
        <v>יח</v>
      </c>
      <c r="N1480">
        <v>-2</v>
      </c>
      <c r="O1480" t="str">
        <f>"יח"</f>
        <v>יח</v>
      </c>
      <c r="P1480" s="2">
        <v>47244</v>
      </c>
      <c r="Q1480" t="str">
        <f>"$"</f>
        <v>$</v>
      </c>
      <c r="R1480" t="str">
        <f>"הזמנה"</f>
        <v>הזמנה</v>
      </c>
      <c r="S1480">
        <v>0</v>
      </c>
      <c r="T1480" s="2">
        <v>-94488</v>
      </c>
      <c r="U1480">
        <v>0</v>
      </c>
      <c r="V1480" s="2">
        <v>-94488</v>
      </c>
      <c r="W1480" t="str">
        <f>"$"</f>
        <v>$</v>
      </c>
      <c r="X1480">
        <v>0</v>
      </c>
      <c r="Y1480">
        <v>0</v>
      </c>
      <c r="Z1480">
        <v>0</v>
      </c>
      <c r="AA1480" t="str">
        <f>"Y"</f>
        <v>Y</v>
      </c>
      <c r="AC1480">
        <v>0</v>
      </c>
      <c r="AM1480" t="str">
        <f>"10"</f>
        <v>10</v>
      </c>
      <c r="AN1480" t="str">
        <f>"500000"</f>
        <v>500000</v>
      </c>
      <c r="AO1480" t="str">
        <f>"הכנסות  מלקוחות"</f>
        <v>הכנסות  מלקוחות</v>
      </c>
      <c r="AQ1480" t="str">
        <f>"034"</f>
        <v>034</v>
      </c>
      <c r="AR1480">
        <v>0</v>
      </c>
      <c r="AS1480">
        <v>0</v>
      </c>
      <c r="AT1480">
        <v>3.2170000000000001</v>
      </c>
      <c r="BB1480" t="str">
        <f>"Y"</f>
        <v>Y</v>
      </c>
      <c r="BD1480" t="str">
        <f>"ערן שלו"</f>
        <v>ערן שלו</v>
      </c>
    </row>
    <row r="1481" spans="1:56" x14ac:dyDescent="0.3">
      <c r="A1481" s="1">
        <v>44774</v>
      </c>
      <c r="B1481" t="str">
        <f>"SI226000840"</f>
        <v>SI226000840</v>
      </c>
      <c r="C1481" t="str">
        <f>"PR21000888"</f>
        <v>PR21000888</v>
      </c>
      <c r="D1481" t="str">
        <f>"PR21000888"</f>
        <v>PR21000888</v>
      </c>
      <c r="E1481" t="str">
        <f>"Y"</f>
        <v>Y</v>
      </c>
      <c r="F1481" t="str">
        <f>"חשבוניות מרכזות"</f>
        <v>חשבוניות מרכזות</v>
      </c>
      <c r="G1481" t="str">
        <f>"700065"</f>
        <v>700065</v>
      </c>
      <c r="H1481" t="str">
        <f>"אלתא מערכות בע""מ"</f>
        <v>אלתא מערכות בע"מ</v>
      </c>
      <c r="I1481" t="str">
        <f>"10"</f>
        <v>10</v>
      </c>
      <c r="J1481" t="str">
        <f>"OP-AR02873"</f>
        <v>OP-AR02873</v>
      </c>
      <c r="K1481" t="str">
        <f>"1037V530-001   AC Power Cable For System Integration"</f>
        <v>1037V530-001   AC Power Cable For System Integration</v>
      </c>
      <c r="L1481">
        <v>1</v>
      </c>
      <c r="M1481" t="str">
        <f>"יח"</f>
        <v>יח</v>
      </c>
      <c r="N1481">
        <v>1</v>
      </c>
      <c r="O1481" t="str">
        <f>"יח"</f>
        <v>יח</v>
      </c>
      <c r="P1481" s="2">
        <v>5696</v>
      </c>
      <c r="Q1481" t="str">
        <f>"$"</f>
        <v>$</v>
      </c>
      <c r="R1481" t="str">
        <f>"הזמנה"</f>
        <v>הזמנה</v>
      </c>
      <c r="S1481">
        <v>0</v>
      </c>
      <c r="T1481" s="2">
        <v>5696</v>
      </c>
      <c r="U1481">
        <v>0</v>
      </c>
      <c r="V1481" s="2">
        <v>5696</v>
      </c>
      <c r="W1481" t="str">
        <f>"$"</f>
        <v>$</v>
      </c>
      <c r="X1481">
        <v>0</v>
      </c>
      <c r="Y1481">
        <v>0</v>
      </c>
      <c r="Z1481">
        <v>0</v>
      </c>
      <c r="AA1481" t="str">
        <f>"Y"</f>
        <v>Y</v>
      </c>
      <c r="AB1481" t="str">
        <f>"SO21000530"</f>
        <v>SO21000530</v>
      </c>
      <c r="AC1481">
        <v>1</v>
      </c>
      <c r="AD1481" s="1">
        <v>44557</v>
      </c>
      <c r="AE1481" t="str">
        <f>"SH22000228"</f>
        <v>SH22000228</v>
      </c>
      <c r="AF1481" t="str">
        <f>"משלוחים ללקוח"</f>
        <v>משלוחים ללקוח</v>
      </c>
      <c r="AG1481" s="1">
        <v>44619</v>
      </c>
      <c r="AM1481" t="str">
        <f>"10"</f>
        <v>10</v>
      </c>
      <c r="AN1481" t="str">
        <f>"500000"</f>
        <v>500000</v>
      </c>
      <c r="AO1481" t="str">
        <f>"הכנסות  מלקוחות"</f>
        <v>הכנסות  מלקוחות</v>
      </c>
      <c r="AQ1481" t="str">
        <f>"040"</f>
        <v>040</v>
      </c>
      <c r="AR1481">
        <v>0</v>
      </c>
      <c r="AS1481">
        <v>0</v>
      </c>
      <c r="AT1481">
        <v>3.391</v>
      </c>
      <c r="AX1481" t="str">
        <f>"E000353714"</f>
        <v>E000353714</v>
      </c>
      <c r="BD1481" t="str">
        <f>"רחמים זרוק"</f>
        <v>רחמים זרוק</v>
      </c>
    </row>
    <row r="1482" spans="1:56" x14ac:dyDescent="0.3">
      <c r="A1482" s="1">
        <v>44773</v>
      </c>
      <c r="B1482" t="str">
        <f>"SI226000837"</f>
        <v>SI226000837</v>
      </c>
      <c r="C1482" t="str">
        <f>"PR20000358"</f>
        <v>PR20000358</v>
      </c>
      <c r="D1482" t="str">
        <f>"PR20000358"</f>
        <v>PR20000358</v>
      </c>
      <c r="E1482" t="str">
        <f>"Y"</f>
        <v>Y</v>
      </c>
      <c r="F1482" t="str">
        <f>"חשבוניות מרכזות"</f>
        <v>חשבוניות מרכזות</v>
      </c>
      <c r="G1482" t="str">
        <f>"700065"</f>
        <v>700065</v>
      </c>
      <c r="H1482" t="str">
        <f>"אלתא מערכות בע""מ"</f>
        <v>אלתא מערכות בע"מ</v>
      </c>
      <c r="I1482" t="str">
        <f>"10"</f>
        <v>10</v>
      </c>
      <c r="J1482" t="str">
        <f>"999"</f>
        <v>999</v>
      </c>
      <c r="K1482" t="str">
        <f>"תוספת עבור FLATPACK+RDST"</f>
        <v>תוספת עבור FLATPACK+RDST</v>
      </c>
      <c r="L1482">
        <v>1</v>
      </c>
      <c r="M1482" t="str">
        <f>"חל"</f>
        <v>חל</v>
      </c>
      <c r="N1482">
        <v>1</v>
      </c>
      <c r="O1482" t="str">
        <f>"חל"</f>
        <v>חל</v>
      </c>
      <c r="P1482" s="2">
        <v>10528</v>
      </c>
      <c r="Q1482" t="str">
        <f>"$"</f>
        <v>$</v>
      </c>
      <c r="R1482" t="str">
        <f>"ידני"</f>
        <v>ידני</v>
      </c>
      <c r="S1482">
        <v>0</v>
      </c>
      <c r="T1482" s="2">
        <v>10528</v>
      </c>
      <c r="U1482">
        <v>0</v>
      </c>
      <c r="V1482" s="2">
        <v>10528</v>
      </c>
      <c r="W1482" t="str">
        <f>"$"</f>
        <v>$</v>
      </c>
      <c r="X1482">
        <v>0</v>
      </c>
      <c r="Y1482">
        <v>0</v>
      </c>
      <c r="Z1482">
        <v>0</v>
      </c>
      <c r="AA1482" t="str">
        <f>"Y"</f>
        <v>Y</v>
      </c>
      <c r="AB1482" t="str">
        <f>"SO22000005"</f>
        <v>SO22000005</v>
      </c>
      <c r="AC1482">
        <v>1</v>
      </c>
      <c r="AD1482" s="1">
        <v>44565</v>
      </c>
      <c r="AM1482" t="str">
        <f>"10"</f>
        <v>10</v>
      </c>
      <c r="AN1482" t="str">
        <f>"500000"</f>
        <v>500000</v>
      </c>
      <c r="AO1482" t="str">
        <f>"הכנסות  מלקוחות"</f>
        <v>הכנסות  מלקוחות</v>
      </c>
      <c r="AQ1482" t="str">
        <f>"034"</f>
        <v>034</v>
      </c>
      <c r="AR1482">
        <v>0</v>
      </c>
      <c r="AS1482">
        <v>0</v>
      </c>
      <c r="AT1482">
        <v>3.391</v>
      </c>
      <c r="AX1482" t="str">
        <f>"E000353937"</f>
        <v>E000353937</v>
      </c>
      <c r="BD1482" t="str">
        <f>"ערן שלו"</f>
        <v>ערן שלו</v>
      </c>
    </row>
    <row r="1483" spans="1:56" x14ac:dyDescent="0.3">
      <c r="A1483" s="1">
        <v>44773</v>
      </c>
      <c r="B1483" t="str">
        <f>"SI226000836"</f>
        <v>SI226000836</v>
      </c>
      <c r="E1483" t="str">
        <f>"Y"</f>
        <v>Y</v>
      </c>
      <c r="F1483" t="str">
        <f>"חשבוניות מרכזות"</f>
        <v>חשבוניות מרכזות</v>
      </c>
      <c r="G1483" t="str">
        <f>"700065"</f>
        <v>700065</v>
      </c>
      <c r="H1483" t="str">
        <f>"אלתא מערכות בע""מ"</f>
        <v>אלתא מערכות בע"מ</v>
      </c>
      <c r="I1483" t="str">
        <f>"10"</f>
        <v>10</v>
      </c>
      <c r="J1483" t="str">
        <f>"999"</f>
        <v>999</v>
      </c>
      <c r="K1483" t="str">
        <f>"תשלום עבור הגדלת תכולה MDN-1"</f>
        <v>תשלום עבור הגדלת תכולה MDN-1</v>
      </c>
      <c r="L1483">
        <v>0.5</v>
      </c>
      <c r="M1483" t="str">
        <f>"חל"</f>
        <v>חל</v>
      </c>
      <c r="N1483">
        <v>0.5</v>
      </c>
      <c r="O1483" t="str">
        <f>"חל"</f>
        <v>חל</v>
      </c>
      <c r="P1483" s="2">
        <v>66816.399999999994</v>
      </c>
      <c r="Q1483" t="str">
        <f>"$"</f>
        <v>$</v>
      </c>
      <c r="R1483" t="str">
        <f>"הזמנה"</f>
        <v>הזמנה</v>
      </c>
      <c r="S1483">
        <v>0</v>
      </c>
      <c r="T1483" s="2">
        <v>33408.199999999997</v>
      </c>
      <c r="U1483">
        <v>0</v>
      </c>
      <c r="V1483" s="2">
        <v>33408.199999999997</v>
      </c>
      <c r="W1483" t="str">
        <f>"$"</f>
        <v>$</v>
      </c>
      <c r="X1483">
        <v>0</v>
      </c>
      <c r="Y1483">
        <v>0</v>
      </c>
      <c r="Z1483">
        <v>0</v>
      </c>
      <c r="AA1483" t="str">
        <f>"Y"</f>
        <v>Y</v>
      </c>
      <c r="AB1483" t="str">
        <f>"SO21000528"</f>
        <v>SO21000528</v>
      </c>
      <c r="AC1483">
        <v>1</v>
      </c>
      <c r="AD1483" s="1">
        <v>44553</v>
      </c>
      <c r="AM1483" t="str">
        <f>"10"</f>
        <v>10</v>
      </c>
      <c r="AN1483" t="str">
        <f>"500000"</f>
        <v>500000</v>
      </c>
      <c r="AO1483" t="str">
        <f>"הכנסות  מלקוחות"</f>
        <v>הכנסות  מלקוחות</v>
      </c>
      <c r="AQ1483" t="str">
        <f>"007"</f>
        <v>007</v>
      </c>
      <c r="AR1483">
        <v>0</v>
      </c>
      <c r="AS1483">
        <v>0</v>
      </c>
      <c r="AT1483">
        <v>3.391</v>
      </c>
      <c r="AX1483" t="str">
        <f>"E000351119"</f>
        <v>E000351119</v>
      </c>
      <c r="BD1483" t="str">
        <f>"רוני דידי"</f>
        <v>רוני דידי</v>
      </c>
    </row>
    <row r="1484" spans="1:56" x14ac:dyDescent="0.3">
      <c r="A1484" s="1">
        <v>44773</v>
      </c>
      <c r="B1484" t="str">
        <f>"SI226000835"</f>
        <v>SI226000835</v>
      </c>
      <c r="E1484" t="str">
        <f>"Y"</f>
        <v>Y</v>
      </c>
      <c r="F1484" t="str">
        <f>"חשבוניות מרכזות"</f>
        <v>חשבוניות מרכזות</v>
      </c>
      <c r="G1484" t="str">
        <f>"700065"</f>
        <v>700065</v>
      </c>
      <c r="H1484" t="str">
        <f>"אלתא מערכות בע""מ"</f>
        <v>אלתא מערכות בע"מ</v>
      </c>
      <c r="I1484" t="str">
        <f>"10"</f>
        <v>10</v>
      </c>
      <c r="J1484" t="str">
        <f>"000"</f>
        <v>000</v>
      </c>
      <c r="K1484" t="str">
        <f>"NRE"</f>
        <v>NRE</v>
      </c>
      <c r="L1484">
        <v>1</v>
      </c>
      <c r="M1484" t="str">
        <f>"יח"</f>
        <v>יח</v>
      </c>
      <c r="N1484">
        <v>1</v>
      </c>
      <c r="O1484" t="str">
        <f>"יח"</f>
        <v>יח</v>
      </c>
      <c r="P1484" s="2">
        <v>246722</v>
      </c>
      <c r="Q1484" t="str">
        <f>"$"</f>
        <v>$</v>
      </c>
      <c r="R1484" t="str">
        <f>"הזמנה"</f>
        <v>הזמנה</v>
      </c>
      <c r="S1484">
        <v>0</v>
      </c>
      <c r="T1484" s="2">
        <v>246722</v>
      </c>
      <c r="U1484">
        <v>0</v>
      </c>
      <c r="V1484" s="2">
        <v>246722</v>
      </c>
      <c r="W1484" t="str">
        <f>"$"</f>
        <v>$</v>
      </c>
      <c r="X1484">
        <v>0</v>
      </c>
      <c r="Y1484">
        <v>0</v>
      </c>
      <c r="Z1484">
        <v>0</v>
      </c>
      <c r="AA1484" t="str">
        <f>"Y"</f>
        <v>Y</v>
      </c>
      <c r="AB1484" t="str">
        <f>"SO21000120"</f>
        <v>SO21000120</v>
      </c>
      <c r="AC1484">
        <v>2</v>
      </c>
      <c r="AD1484" s="1">
        <v>44269</v>
      </c>
      <c r="AM1484" t="str">
        <f>"10"</f>
        <v>10</v>
      </c>
      <c r="AN1484" t="str">
        <f>"500000"</f>
        <v>500000</v>
      </c>
      <c r="AO1484" t="str">
        <f>"הכנסות  מלקוחות"</f>
        <v>הכנסות  מלקוחות</v>
      </c>
      <c r="AQ1484" t="str">
        <f>"007"</f>
        <v>007</v>
      </c>
      <c r="AR1484">
        <v>0</v>
      </c>
      <c r="AS1484">
        <v>0</v>
      </c>
      <c r="AT1484">
        <v>3.3910399999999998</v>
      </c>
      <c r="AX1484" t="str">
        <f>"E000331858"</f>
        <v>E000331858</v>
      </c>
      <c r="BD1484" t="str">
        <f>"רוני דידי"</f>
        <v>רוני דידי</v>
      </c>
    </row>
    <row r="1485" spans="1:56" x14ac:dyDescent="0.3">
      <c r="A1485" s="1">
        <v>44773</v>
      </c>
      <c r="B1485" t="str">
        <f>"SI226000834"</f>
        <v>SI226000834</v>
      </c>
      <c r="E1485" t="str">
        <f>"Y"</f>
        <v>Y</v>
      </c>
      <c r="F1485" t="str">
        <f>"חשבוניות מרכזות"</f>
        <v>חשבוניות מרכזות</v>
      </c>
      <c r="G1485" t="str">
        <f>"700065"</f>
        <v>700065</v>
      </c>
      <c r="H1485" t="str">
        <f>"אלתא מערכות בע""מ"</f>
        <v>אלתא מערכות בע"מ</v>
      </c>
      <c r="I1485" t="str">
        <f>"10"</f>
        <v>10</v>
      </c>
      <c r="J1485" t="str">
        <f>"000"</f>
        <v>000</v>
      </c>
      <c r="K1485" t="str">
        <f>"NRE"</f>
        <v>NRE</v>
      </c>
      <c r="L1485">
        <v>-1</v>
      </c>
      <c r="M1485" t="str">
        <f>"יח"</f>
        <v>יח</v>
      </c>
      <c r="N1485">
        <v>-1</v>
      </c>
      <c r="O1485" t="str">
        <f>"יח"</f>
        <v>יח</v>
      </c>
      <c r="P1485" s="2">
        <v>246722</v>
      </c>
      <c r="Q1485" t="str">
        <f>"$"</f>
        <v>$</v>
      </c>
      <c r="R1485" t="str">
        <f>"הזמנה"</f>
        <v>הזמנה</v>
      </c>
      <c r="S1485">
        <v>0</v>
      </c>
      <c r="T1485" s="2">
        <v>-246722</v>
      </c>
      <c r="U1485">
        <v>0</v>
      </c>
      <c r="V1485" s="2">
        <v>-246722</v>
      </c>
      <c r="W1485" t="str">
        <f>"$"</f>
        <v>$</v>
      </c>
      <c r="X1485">
        <v>0</v>
      </c>
      <c r="Y1485">
        <v>0</v>
      </c>
      <c r="Z1485">
        <v>0</v>
      </c>
      <c r="AA1485" t="str">
        <f>"Y"</f>
        <v>Y</v>
      </c>
      <c r="AC1485">
        <v>0</v>
      </c>
      <c r="AM1485" t="str">
        <f>"10"</f>
        <v>10</v>
      </c>
      <c r="AN1485" t="str">
        <f>"500000"</f>
        <v>500000</v>
      </c>
      <c r="AO1485" t="str">
        <f>"הכנסות  מלקוחות"</f>
        <v>הכנסות  מלקוחות</v>
      </c>
      <c r="AQ1485" t="str">
        <f>"007"</f>
        <v>007</v>
      </c>
      <c r="AR1485">
        <v>0</v>
      </c>
      <c r="AS1485">
        <v>0</v>
      </c>
      <c r="AT1485">
        <v>3.427</v>
      </c>
      <c r="BB1485" t="str">
        <f>"Y"</f>
        <v>Y</v>
      </c>
      <c r="BD1485" t="str">
        <f>"רוני דידי"</f>
        <v>רוני דידי</v>
      </c>
    </row>
    <row r="1486" spans="1:56" x14ac:dyDescent="0.3">
      <c r="A1486" s="1">
        <v>44773</v>
      </c>
      <c r="B1486" t="str">
        <f>"SI226000833"</f>
        <v>SI226000833</v>
      </c>
      <c r="E1486" t="str">
        <f>"Y"</f>
        <v>Y</v>
      </c>
      <c r="F1486" t="str">
        <f>"חשבוניות מרכזות"</f>
        <v>חשבוניות מרכזות</v>
      </c>
      <c r="G1486" t="str">
        <f>"700065"</f>
        <v>700065</v>
      </c>
      <c r="H1486" t="str">
        <f>"אלתא מערכות בע""מ"</f>
        <v>אלתא מערכות בע"מ</v>
      </c>
      <c r="I1486" t="str">
        <f>"10"</f>
        <v>10</v>
      </c>
      <c r="J1486" t="str">
        <f>"000"</f>
        <v>000</v>
      </c>
      <c r="K1486" t="str">
        <f>"NRE"</f>
        <v>NRE</v>
      </c>
      <c r="L1486">
        <v>1</v>
      </c>
      <c r="M1486" t="str">
        <f>"יח"</f>
        <v>יח</v>
      </c>
      <c r="N1486">
        <v>1</v>
      </c>
      <c r="O1486" t="str">
        <f>"יח"</f>
        <v>יח</v>
      </c>
      <c r="P1486" s="2">
        <v>246722</v>
      </c>
      <c r="Q1486" t="str">
        <f>"$"</f>
        <v>$</v>
      </c>
      <c r="R1486" t="str">
        <f>"הזמנה"</f>
        <v>הזמנה</v>
      </c>
      <c r="S1486">
        <v>0</v>
      </c>
      <c r="T1486" s="2">
        <v>246722</v>
      </c>
      <c r="U1486">
        <v>0</v>
      </c>
      <c r="V1486" s="2">
        <v>246722</v>
      </c>
      <c r="W1486" t="str">
        <f>"$"</f>
        <v>$</v>
      </c>
      <c r="X1486">
        <v>0</v>
      </c>
      <c r="Y1486">
        <v>0</v>
      </c>
      <c r="Z1486">
        <v>0</v>
      </c>
      <c r="AA1486" t="str">
        <f>"Y"</f>
        <v>Y</v>
      </c>
      <c r="AC1486">
        <v>0</v>
      </c>
      <c r="AM1486" t="str">
        <f>"10"</f>
        <v>10</v>
      </c>
      <c r="AN1486" t="str">
        <f>"500000"</f>
        <v>500000</v>
      </c>
      <c r="AO1486" t="str">
        <f>"הכנסות  מלקוחות"</f>
        <v>הכנסות  מלקוחות</v>
      </c>
      <c r="AQ1486" t="str">
        <f>"007"</f>
        <v>007</v>
      </c>
      <c r="AR1486">
        <v>0</v>
      </c>
      <c r="AS1486">
        <v>0</v>
      </c>
      <c r="AT1486">
        <v>3.427</v>
      </c>
      <c r="BB1486" t="str">
        <f>"Y"</f>
        <v>Y</v>
      </c>
      <c r="BD1486" t="str">
        <f>"רוני דידי"</f>
        <v>רוני דידי</v>
      </c>
    </row>
    <row r="1487" spans="1:56" x14ac:dyDescent="0.3">
      <c r="A1487" s="1">
        <v>44773</v>
      </c>
      <c r="B1487" t="str">
        <f>"SI226000832"</f>
        <v>SI226000832</v>
      </c>
      <c r="E1487" t="str">
        <f>"Y"</f>
        <v>Y</v>
      </c>
      <c r="F1487" t="str">
        <f>"חשבוניות מרכזות"</f>
        <v>חשבוניות מרכזות</v>
      </c>
      <c r="G1487" t="str">
        <f>"700065"</f>
        <v>700065</v>
      </c>
      <c r="H1487" t="str">
        <f>"אלתא מערכות בע""מ"</f>
        <v>אלתא מערכות בע"מ</v>
      </c>
      <c r="I1487" t="str">
        <f>"10"</f>
        <v>10</v>
      </c>
      <c r="J1487" t="str">
        <f>"000"</f>
        <v>000</v>
      </c>
      <c r="K1487" t="str">
        <f>"NRE"</f>
        <v>NRE</v>
      </c>
      <c r="L1487">
        <v>-1</v>
      </c>
      <c r="M1487" t="str">
        <f>"יח"</f>
        <v>יח</v>
      </c>
      <c r="N1487">
        <v>-1</v>
      </c>
      <c r="O1487" t="str">
        <f>"יח"</f>
        <v>יח</v>
      </c>
      <c r="P1487" s="2">
        <v>246722</v>
      </c>
      <c r="Q1487" t="str">
        <f>"$"</f>
        <v>$</v>
      </c>
      <c r="R1487" t="str">
        <f>"הזמנה"</f>
        <v>הזמנה</v>
      </c>
      <c r="S1487">
        <v>0</v>
      </c>
      <c r="T1487" s="2">
        <v>-246722</v>
      </c>
      <c r="U1487">
        <v>0</v>
      </c>
      <c r="V1487" s="2">
        <v>-246722</v>
      </c>
      <c r="W1487" t="str">
        <f>"$"</f>
        <v>$</v>
      </c>
      <c r="X1487">
        <v>0</v>
      </c>
      <c r="Y1487">
        <v>0</v>
      </c>
      <c r="Z1487">
        <v>0</v>
      </c>
      <c r="AA1487" t="str">
        <f>"Y"</f>
        <v>Y</v>
      </c>
      <c r="AC1487">
        <v>0</v>
      </c>
      <c r="AM1487" t="str">
        <f>"10"</f>
        <v>10</v>
      </c>
      <c r="AN1487" t="str">
        <f>"500000"</f>
        <v>500000</v>
      </c>
      <c r="AO1487" t="str">
        <f>"הכנסות  מלקוחות"</f>
        <v>הכנסות  מלקוחות</v>
      </c>
      <c r="AQ1487" t="str">
        <f>"007"</f>
        <v>007</v>
      </c>
      <c r="AR1487">
        <v>0</v>
      </c>
      <c r="AS1487">
        <v>0</v>
      </c>
      <c r="AT1487">
        <v>3.1030000000000002</v>
      </c>
      <c r="BB1487" t="str">
        <f>"Y"</f>
        <v>Y</v>
      </c>
      <c r="BD1487" t="str">
        <f>"רוני דידי"</f>
        <v>רוני דידי</v>
      </c>
    </row>
    <row r="1488" spans="1:56" x14ac:dyDescent="0.3">
      <c r="A1488" s="1">
        <v>44770</v>
      </c>
      <c r="B1488" t="str">
        <f>"SI226000852"</f>
        <v>SI226000852</v>
      </c>
      <c r="C1488" t="str">
        <f>"PR22000389"</f>
        <v>PR22000389</v>
      </c>
      <c r="D1488" t="str">
        <f>"PR22000389"</f>
        <v>PR22000389</v>
      </c>
      <c r="E1488" t="str">
        <f>"Y"</f>
        <v>Y</v>
      </c>
      <c r="F1488" t="str">
        <f>"חשבוניות מרכזות"</f>
        <v>חשבוניות מרכזות</v>
      </c>
      <c r="G1488" t="str">
        <f>"700065"</f>
        <v>700065</v>
      </c>
      <c r="H1488" t="str">
        <f>"אלתא מערכות בע""מ"</f>
        <v>אלתא מערכות בע"מ</v>
      </c>
      <c r="I1488" t="str">
        <f>"10"</f>
        <v>10</v>
      </c>
      <c r="J1488" t="str">
        <f>"OP-AR03144"</f>
        <v>OP-AR03144</v>
      </c>
      <c r="K1488" t="str">
        <f>"1031Y851-001    WL102 - LAB PS1 TO TRU"</f>
        <v>1031Y851-001    WL102 - LAB PS1 TO TRU</v>
      </c>
      <c r="L1488">
        <v>1</v>
      </c>
      <c r="M1488" t="str">
        <f>"יח"</f>
        <v>יח</v>
      </c>
      <c r="N1488">
        <v>1</v>
      </c>
      <c r="O1488" t="str">
        <f>"יח"</f>
        <v>יח</v>
      </c>
      <c r="P1488">
        <v>432.75</v>
      </c>
      <c r="Q1488" t="str">
        <f>"$"</f>
        <v>$</v>
      </c>
      <c r="R1488" t="str">
        <f>"הזמנה"</f>
        <v>הזמנה</v>
      </c>
      <c r="S1488">
        <v>0</v>
      </c>
      <c r="T1488">
        <v>432.75</v>
      </c>
      <c r="U1488">
        <v>0</v>
      </c>
      <c r="V1488">
        <v>432.75</v>
      </c>
      <c r="W1488" t="str">
        <f>"$"</f>
        <v>$</v>
      </c>
      <c r="X1488">
        <v>0</v>
      </c>
      <c r="Y1488">
        <v>0</v>
      </c>
      <c r="Z1488">
        <v>0</v>
      </c>
      <c r="AA1488" t="str">
        <f>"Y"</f>
        <v>Y</v>
      </c>
      <c r="AB1488" t="str">
        <f>"SO22000208"</f>
        <v>SO22000208</v>
      </c>
      <c r="AC1488">
        <v>1</v>
      </c>
      <c r="AD1488" s="1">
        <v>44707</v>
      </c>
      <c r="AE1488" t="str">
        <f>"SH22000904"</f>
        <v>SH22000904</v>
      </c>
      <c r="AF1488" t="str">
        <f>"משלוחים ללקוח"</f>
        <v>משלוחים ללקוח</v>
      </c>
      <c r="AG1488" s="1">
        <v>44770</v>
      </c>
      <c r="AM1488" t="str">
        <f>"10"</f>
        <v>10</v>
      </c>
      <c r="AN1488" t="str">
        <f>"500000"</f>
        <v>500000</v>
      </c>
      <c r="AO1488" t="str">
        <f>"הכנסות  מלקוחות"</f>
        <v>הכנסות  מלקוחות</v>
      </c>
      <c r="AQ1488" t="str">
        <f>"040"</f>
        <v>040</v>
      </c>
      <c r="AR1488">
        <v>0</v>
      </c>
      <c r="AS1488">
        <v>0</v>
      </c>
      <c r="AT1488">
        <v>3.4329999999999998</v>
      </c>
      <c r="AX1488" t="str">
        <f>"E000364729"</f>
        <v>E000364729</v>
      </c>
      <c r="BD1488" t="str">
        <f>"רחמים זרוק"</f>
        <v>רחמים זרוק</v>
      </c>
    </row>
    <row r="1489" spans="1:56" x14ac:dyDescent="0.3">
      <c r="A1489" s="1">
        <v>44770</v>
      </c>
      <c r="B1489" t="str">
        <f>"SI226000852"</f>
        <v>SI226000852</v>
      </c>
      <c r="C1489" t="str">
        <f>"PR22000389"</f>
        <v>PR22000389</v>
      </c>
      <c r="D1489" t="str">
        <f>"PR22000389"</f>
        <v>PR22000389</v>
      </c>
      <c r="E1489" t="str">
        <f>"Y"</f>
        <v>Y</v>
      </c>
      <c r="F1489" t="str">
        <f>"חשבוניות מרכזות"</f>
        <v>חשבוניות מרכזות</v>
      </c>
      <c r="G1489" t="str">
        <f>"700065"</f>
        <v>700065</v>
      </c>
      <c r="H1489" t="str">
        <f>"אלתא מערכות בע""מ"</f>
        <v>אלתא מערכות בע"מ</v>
      </c>
      <c r="I1489" t="str">
        <f>"10"</f>
        <v>10</v>
      </c>
      <c r="J1489" t="str">
        <f>"OP-AR03145"</f>
        <v>OP-AR03145</v>
      </c>
      <c r="K1489" t="str">
        <f>"1031Y852-001    WL103- LAB PS1 TO TRU"</f>
        <v>1031Y852-001    WL103- LAB PS1 TO TRU</v>
      </c>
      <c r="L1489">
        <v>1</v>
      </c>
      <c r="M1489" t="str">
        <f>"יח"</f>
        <v>יח</v>
      </c>
      <c r="N1489">
        <v>1</v>
      </c>
      <c r="O1489" t="str">
        <f>"יח"</f>
        <v>יח</v>
      </c>
      <c r="P1489">
        <v>375.78</v>
      </c>
      <c r="Q1489" t="str">
        <f>"$"</f>
        <v>$</v>
      </c>
      <c r="R1489" t="str">
        <f>"הזמנה"</f>
        <v>הזמנה</v>
      </c>
      <c r="S1489">
        <v>0</v>
      </c>
      <c r="T1489">
        <v>375.78</v>
      </c>
      <c r="U1489">
        <v>0</v>
      </c>
      <c r="V1489">
        <v>375.78</v>
      </c>
      <c r="W1489" t="str">
        <f>"$"</f>
        <v>$</v>
      </c>
      <c r="X1489">
        <v>0</v>
      </c>
      <c r="Y1489">
        <v>0</v>
      </c>
      <c r="Z1489">
        <v>0</v>
      </c>
      <c r="AA1489" t="str">
        <f>"Y"</f>
        <v>Y</v>
      </c>
      <c r="AB1489" t="str">
        <f>"SO22000208"</f>
        <v>SO22000208</v>
      </c>
      <c r="AC1489">
        <v>2</v>
      </c>
      <c r="AD1489" s="1">
        <v>44707</v>
      </c>
      <c r="AE1489" t="str">
        <f>"SH22000904"</f>
        <v>SH22000904</v>
      </c>
      <c r="AF1489" t="str">
        <f>"משלוחים ללקוח"</f>
        <v>משלוחים ללקוח</v>
      </c>
      <c r="AG1489" s="1">
        <v>44770</v>
      </c>
      <c r="AM1489" t="str">
        <f>"10"</f>
        <v>10</v>
      </c>
      <c r="AN1489" t="str">
        <f>"500000"</f>
        <v>500000</v>
      </c>
      <c r="AO1489" t="str">
        <f>"הכנסות  מלקוחות"</f>
        <v>הכנסות  מלקוחות</v>
      </c>
      <c r="AQ1489" t="str">
        <f>"040"</f>
        <v>040</v>
      </c>
      <c r="AR1489">
        <v>0</v>
      </c>
      <c r="AS1489">
        <v>0</v>
      </c>
      <c r="AT1489">
        <v>3.4329999999999998</v>
      </c>
      <c r="AX1489" t="str">
        <f>"E000364729"</f>
        <v>E000364729</v>
      </c>
      <c r="BD1489" t="str">
        <f>"רחמים זרוק"</f>
        <v>רחמים זרוק</v>
      </c>
    </row>
    <row r="1490" spans="1:56" x14ac:dyDescent="0.3">
      <c r="A1490" s="1">
        <v>44770</v>
      </c>
      <c r="B1490" t="str">
        <f>"SI226000851"</f>
        <v>SI226000851</v>
      </c>
      <c r="C1490" t="str">
        <f>"PR21000891"</f>
        <v>PR21000891</v>
      </c>
      <c r="D1490" t="str">
        <f>"PR21000891"</f>
        <v>PR21000891</v>
      </c>
      <c r="E1490" t="str">
        <f>"Y"</f>
        <v>Y</v>
      </c>
      <c r="F1490" t="str">
        <f>"חשבוניות מרכזות"</f>
        <v>חשבוניות מרכזות</v>
      </c>
      <c r="G1490" t="str">
        <f>"700065"</f>
        <v>700065</v>
      </c>
      <c r="H1490" t="str">
        <f>"אלתא מערכות בע""מ"</f>
        <v>אלתא מערכות בע"מ</v>
      </c>
      <c r="I1490" t="str">
        <f>"10"</f>
        <v>10</v>
      </c>
      <c r="J1490" t="str">
        <f>"OP-AR02892"</f>
        <v>OP-AR02892</v>
      </c>
      <c r="K1490" t="str">
        <f>"1026L852-002    CABLE W2"</f>
        <v>1026L852-002    CABLE W2</v>
      </c>
      <c r="L1490">
        <v>1</v>
      </c>
      <c r="M1490" t="str">
        <f>"יח"</f>
        <v>יח</v>
      </c>
      <c r="N1490">
        <v>1</v>
      </c>
      <c r="O1490" t="str">
        <f>"יח"</f>
        <v>יח</v>
      </c>
      <c r="P1490" s="2">
        <v>1438.57</v>
      </c>
      <c r="Q1490" t="str">
        <f>"$"</f>
        <v>$</v>
      </c>
      <c r="R1490" t="str">
        <f>"הזמנה"</f>
        <v>הזמנה</v>
      </c>
      <c r="S1490">
        <v>0</v>
      </c>
      <c r="T1490" s="2">
        <v>1438.57</v>
      </c>
      <c r="U1490">
        <v>0</v>
      </c>
      <c r="V1490" s="2">
        <v>1438.57</v>
      </c>
      <c r="W1490" t="str">
        <f>"$"</f>
        <v>$</v>
      </c>
      <c r="X1490">
        <v>0</v>
      </c>
      <c r="Y1490">
        <v>0</v>
      </c>
      <c r="Z1490">
        <v>0</v>
      </c>
      <c r="AA1490" t="str">
        <f>"Y"</f>
        <v>Y</v>
      </c>
      <c r="AB1490" t="str">
        <f>"SO22000006"</f>
        <v>SO22000006</v>
      </c>
      <c r="AC1490">
        <v>1</v>
      </c>
      <c r="AD1490" s="1">
        <v>44565</v>
      </c>
      <c r="AE1490" t="str">
        <f>"SH22000897"</f>
        <v>SH22000897</v>
      </c>
      <c r="AF1490" t="str">
        <f>"משלוחים ללקוח"</f>
        <v>משלוחים ללקוח</v>
      </c>
      <c r="AG1490" s="1">
        <v>44770</v>
      </c>
      <c r="AM1490" t="str">
        <f>"10"</f>
        <v>10</v>
      </c>
      <c r="AN1490" t="str">
        <f>"500000"</f>
        <v>500000</v>
      </c>
      <c r="AO1490" t="str">
        <f>"הכנסות  מלקוחות"</f>
        <v>הכנסות  מלקוחות</v>
      </c>
      <c r="AQ1490" t="str">
        <f>"040"</f>
        <v>040</v>
      </c>
      <c r="AR1490">
        <v>0</v>
      </c>
      <c r="AS1490">
        <v>0</v>
      </c>
      <c r="AT1490">
        <v>3.4329999999999998</v>
      </c>
      <c r="AX1490" t="str">
        <f>"E000352407"</f>
        <v>E000352407</v>
      </c>
      <c r="BD1490" t="str">
        <f>"רחמים זרוק"</f>
        <v>רחמים זרוק</v>
      </c>
    </row>
    <row r="1491" spans="1:56" x14ac:dyDescent="0.3">
      <c r="A1491" s="1">
        <v>44770</v>
      </c>
      <c r="B1491" t="str">
        <f>"SI226000850"</f>
        <v>SI226000850</v>
      </c>
      <c r="C1491" t="str">
        <f>"PR22000010"</f>
        <v>PR22000010</v>
      </c>
      <c r="E1491" t="str">
        <f>"Y"</f>
        <v>Y</v>
      </c>
      <c r="F1491" t="str">
        <f>"חשבוניות מרכזות"</f>
        <v>חשבוניות מרכזות</v>
      </c>
      <c r="G1491" t="str">
        <f>"700065"</f>
        <v>700065</v>
      </c>
      <c r="H1491" t="str">
        <f>"אלתא מערכות בע""מ"</f>
        <v>אלתא מערכות בע"מ</v>
      </c>
      <c r="I1491" t="str">
        <f>"10"</f>
        <v>10</v>
      </c>
      <c r="J1491" t="str">
        <f>"OP-AR02912"</f>
        <v>OP-AR02912</v>
      </c>
      <c r="K1491" t="str">
        <f>"1038A608-001    GU (VR9/MCM) TEST CABLE"</f>
        <v>1038A608-001    GU (VR9/MCM) TEST CABLE</v>
      </c>
      <c r="L1491">
        <v>4</v>
      </c>
      <c r="M1491" t="str">
        <f>"יח"</f>
        <v>יח</v>
      </c>
      <c r="N1491">
        <v>4</v>
      </c>
      <c r="O1491" t="str">
        <f>"יח"</f>
        <v>יח</v>
      </c>
      <c r="P1491">
        <v>714.27</v>
      </c>
      <c r="Q1491" t="str">
        <f>"$"</f>
        <v>$</v>
      </c>
      <c r="R1491" t="str">
        <f>"הזמנה"</f>
        <v>הזמנה</v>
      </c>
      <c r="S1491">
        <v>0</v>
      </c>
      <c r="T1491" s="2">
        <v>2857.08</v>
      </c>
      <c r="U1491">
        <v>0</v>
      </c>
      <c r="V1491" s="2">
        <v>2857.08</v>
      </c>
      <c r="W1491" t="str">
        <f>"$"</f>
        <v>$</v>
      </c>
      <c r="X1491">
        <v>0</v>
      </c>
      <c r="Y1491">
        <v>0</v>
      </c>
      <c r="Z1491">
        <v>0</v>
      </c>
      <c r="AA1491" t="str">
        <f>"Y"</f>
        <v>Y</v>
      </c>
      <c r="AB1491" t="str">
        <f>"SO22000007"</f>
        <v>SO22000007</v>
      </c>
      <c r="AC1491">
        <v>13</v>
      </c>
      <c r="AD1491" s="1">
        <v>44565</v>
      </c>
      <c r="AE1491" t="str">
        <f>"SH22000895"</f>
        <v>SH22000895</v>
      </c>
      <c r="AF1491" t="str">
        <f>"משלוחים ללקוח"</f>
        <v>משלוחים ללקוח</v>
      </c>
      <c r="AG1491" s="1">
        <v>44770</v>
      </c>
      <c r="AM1491" t="str">
        <f>"10"</f>
        <v>10</v>
      </c>
      <c r="AN1491" t="str">
        <f>"500000"</f>
        <v>500000</v>
      </c>
      <c r="AO1491" t="str">
        <f>"הכנסות  מלקוחות"</f>
        <v>הכנסות  מלקוחות</v>
      </c>
      <c r="AQ1491" t="str">
        <f>"040"</f>
        <v>040</v>
      </c>
      <c r="AR1491">
        <v>0</v>
      </c>
      <c r="AS1491">
        <v>0</v>
      </c>
      <c r="AT1491">
        <v>3.4329999999999998</v>
      </c>
      <c r="AX1491" t="str">
        <f>"E000353717"</f>
        <v>E000353717</v>
      </c>
      <c r="BD1491" t="str">
        <f>"רחמים זרוק"</f>
        <v>רחמים זרוק</v>
      </c>
    </row>
    <row r="1492" spans="1:56" x14ac:dyDescent="0.3">
      <c r="A1492" s="1">
        <v>44770</v>
      </c>
      <c r="B1492" t="str">
        <f>"SI226000850"</f>
        <v>SI226000850</v>
      </c>
      <c r="C1492" t="str">
        <f>"PR22000010"</f>
        <v>PR22000010</v>
      </c>
      <c r="E1492" t="str">
        <f>"Y"</f>
        <v>Y</v>
      </c>
      <c r="F1492" t="str">
        <f>"חשבוניות מרכזות"</f>
        <v>חשבוניות מרכזות</v>
      </c>
      <c r="G1492" t="str">
        <f>"700065"</f>
        <v>700065</v>
      </c>
      <c r="H1492" t="str">
        <f>"אלתא מערכות בע""מ"</f>
        <v>אלתא מערכות בע"מ</v>
      </c>
      <c r="I1492" t="str">
        <f>"10"</f>
        <v>10</v>
      </c>
      <c r="J1492" t="str">
        <f>"OP-AR02902"</f>
        <v>OP-AR02902</v>
      </c>
      <c r="K1492" t="str">
        <f>"4005J467-001    HARNESS WN017 - RFDU GND"</f>
        <v>4005J467-001    HARNESS WN017 - RFDU GND</v>
      </c>
      <c r="L1492">
        <v>4</v>
      </c>
      <c r="M1492" t="str">
        <f>"יח"</f>
        <v>יח</v>
      </c>
      <c r="N1492">
        <v>4</v>
      </c>
      <c r="O1492" t="str">
        <f>"יח"</f>
        <v>יח</v>
      </c>
      <c r="P1492">
        <v>44.9</v>
      </c>
      <c r="Q1492" t="str">
        <f>"$"</f>
        <v>$</v>
      </c>
      <c r="R1492" t="str">
        <f>"הזמנה"</f>
        <v>הזמנה</v>
      </c>
      <c r="S1492">
        <v>0</v>
      </c>
      <c r="T1492">
        <v>179.6</v>
      </c>
      <c r="U1492">
        <v>0</v>
      </c>
      <c r="V1492">
        <v>179.6</v>
      </c>
      <c r="W1492" t="str">
        <f>"$"</f>
        <v>$</v>
      </c>
      <c r="X1492">
        <v>0</v>
      </c>
      <c r="Y1492">
        <v>0</v>
      </c>
      <c r="Z1492">
        <v>0</v>
      </c>
      <c r="AA1492" t="str">
        <f>"Y"</f>
        <v>Y</v>
      </c>
      <c r="AB1492" t="str">
        <f>"SO22000007"</f>
        <v>SO22000007</v>
      </c>
      <c r="AC1492">
        <v>19</v>
      </c>
      <c r="AD1492" s="1">
        <v>44565</v>
      </c>
      <c r="AE1492" t="str">
        <f>"SH22000895"</f>
        <v>SH22000895</v>
      </c>
      <c r="AF1492" t="str">
        <f>"משלוחים ללקוח"</f>
        <v>משלוחים ללקוח</v>
      </c>
      <c r="AG1492" s="1">
        <v>44770</v>
      </c>
      <c r="AM1492" t="str">
        <f>"10"</f>
        <v>10</v>
      </c>
      <c r="AN1492" t="str">
        <f>"500000"</f>
        <v>500000</v>
      </c>
      <c r="AO1492" t="str">
        <f>"הכנסות  מלקוחות"</f>
        <v>הכנסות  מלקוחות</v>
      </c>
      <c r="AQ1492" t="str">
        <f>"040"</f>
        <v>040</v>
      </c>
      <c r="AR1492">
        <v>0</v>
      </c>
      <c r="AS1492">
        <v>0</v>
      </c>
      <c r="AT1492">
        <v>3.4329999999999998</v>
      </c>
      <c r="AX1492" t="str">
        <f>"E000353717"</f>
        <v>E000353717</v>
      </c>
      <c r="BD1492" t="str">
        <f>"רחמים זרוק"</f>
        <v>רחמים זרוק</v>
      </c>
    </row>
    <row r="1493" spans="1:56" x14ac:dyDescent="0.3">
      <c r="A1493" s="1">
        <v>44770</v>
      </c>
      <c r="B1493" t="str">
        <f>"SI226000850"</f>
        <v>SI226000850</v>
      </c>
      <c r="C1493" t="str">
        <f>"PR22000010"</f>
        <v>PR22000010</v>
      </c>
      <c r="E1493" t="str">
        <f>"Y"</f>
        <v>Y</v>
      </c>
      <c r="F1493" t="str">
        <f>"חשבוניות מרכזות"</f>
        <v>חשבוניות מרכזות</v>
      </c>
      <c r="G1493" t="str">
        <f>"700065"</f>
        <v>700065</v>
      </c>
      <c r="H1493" t="str">
        <f>"אלתא מערכות בע""מ"</f>
        <v>אלתא מערכות בע"מ</v>
      </c>
      <c r="I1493" t="str">
        <f>"10"</f>
        <v>10</v>
      </c>
      <c r="J1493" t="str">
        <f>"OP-AR02901"</f>
        <v>OP-AR02901</v>
      </c>
      <c r="K1493" t="str">
        <f>"4005J466-001    HARNESS WN016 - ACU GND"</f>
        <v>4005J466-001    HARNESS WN016 - ACU GND</v>
      </c>
      <c r="L1493">
        <v>4</v>
      </c>
      <c r="M1493" t="str">
        <f>"יח"</f>
        <v>יח</v>
      </c>
      <c r="N1493">
        <v>4</v>
      </c>
      <c r="O1493" t="str">
        <f>"יח"</f>
        <v>יח</v>
      </c>
      <c r="P1493">
        <v>44.9</v>
      </c>
      <c r="Q1493" t="str">
        <f>"$"</f>
        <v>$</v>
      </c>
      <c r="R1493" t="str">
        <f>"הזמנה"</f>
        <v>הזמנה</v>
      </c>
      <c r="S1493">
        <v>0</v>
      </c>
      <c r="T1493">
        <v>179.6</v>
      </c>
      <c r="U1493">
        <v>0</v>
      </c>
      <c r="V1493">
        <v>179.6</v>
      </c>
      <c r="W1493" t="str">
        <f>"$"</f>
        <v>$</v>
      </c>
      <c r="X1493">
        <v>0</v>
      </c>
      <c r="Y1493">
        <v>0</v>
      </c>
      <c r="Z1493">
        <v>0</v>
      </c>
      <c r="AA1493" t="str">
        <f>"Y"</f>
        <v>Y</v>
      </c>
      <c r="AB1493" t="str">
        <f>"SO22000007"</f>
        <v>SO22000007</v>
      </c>
      <c r="AC1493">
        <v>20</v>
      </c>
      <c r="AD1493" s="1">
        <v>44565</v>
      </c>
      <c r="AE1493" t="str">
        <f>"SH22000895"</f>
        <v>SH22000895</v>
      </c>
      <c r="AF1493" t="str">
        <f>"משלוחים ללקוח"</f>
        <v>משלוחים ללקוח</v>
      </c>
      <c r="AG1493" s="1">
        <v>44770</v>
      </c>
      <c r="AM1493" t="str">
        <f>"10"</f>
        <v>10</v>
      </c>
      <c r="AN1493" t="str">
        <f>"500000"</f>
        <v>500000</v>
      </c>
      <c r="AO1493" t="str">
        <f>"הכנסות  מלקוחות"</f>
        <v>הכנסות  מלקוחות</v>
      </c>
      <c r="AQ1493" t="str">
        <f>"040"</f>
        <v>040</v>
      </c>
      <c r="AR1493">
        <v>0</v>
      </c>
      <c r="AS1493">
        <v>0</v>
      </c>
      <c r="AT1493">
        <v>3.4329999999999998</v>
      </c>
      <c r="AX1493" t="str">
        <f>"E000353717"</f>
        <v>E000353717</v>
      </c>
      <c r="BD1493" t="str">
        <f>"רחמים זרוק"</f>
        <v>רחמים זרוק</v>
      </c>
    </row>
    <row r="1494" spans="1:56" x14ac:dyDescent="0.3">
      <c r="A1494" s="1">
        <v>44770</v>
      </c>
      <c r="B1494" t="str">
        <f>"SI226000847"</f>
        <v>SI226000847</v>
      </c>
      <c r="C1494" t="str">
        <f>"PR22000393"</f>
        <v>PR22000393</v>
      </c>
      <c r="E1494" t="str">
        <f>"Y"</f>
        <v>Y</v>
      </c>
      <c r="F1494" t="str">
        <f>"חשבוניות מרכזות"</f>
        <v>חשבוניות מרכזות</v>
      </c>
      <c r="G1494" t="str">
        <f>"700065"</f>
        <v>700065</v>
      </c>
      <c r="H1494" t="str">
        <f>"אלתא מערכות בע""מ"</f>
        <v>אלתא מערכות בע"מ</v>
      </c>
      <c r="I1494" t="str">
        <f>"10"</f>
        <v>10</v>
      </c>
      <c r="J1494" t="str">
        <f>"OP-AR03147"</f>
        <v>OP-AR03147</v>
      </c>
      <c r="K1494" t="str">
        <f>"1041A268-001    PWR CABLE FOR TILE"</f>
        <v>1041A268-001    PWR CABLE FOR TILE</v>
      </c>
      <c r="L1494">
        <v>1</v>
      </c>
      <c r="M1494" t="str">
        <f>"יח"</f>
        <v>יח</v>
      </c>
      <c r="N1494">
        <v>1</v>
      </c>
      <c r="O1494" t="str">
        <f>"יח"</f>
        <v>יח</v>
      </c>
      <c r="P1494">
        <v>145.53</v>
      </c>
      <c r="Q1494" t="str">
        <f>"$"</f>
        <v>$</v>
      </c>
      <c r="R1494" t="str">
        <f>"הזמנה"</f>
        <v>הזמנה</v>
      </c>
      <c r="S1494">
        <v>0</v>
      </c>
      <c r="T1494">
        <v>145.53</v>
      </c>
      <c r="U1494">
        <v>0</v>
      </c>
      <c r="V1494">
        <v>145.53</v>
      </c>
      <c r="W1494" t="str">
        <f>"$"</f>
        <v>$</v>
      </c>
      <c r="X1494">
        <v>0</v>
      </c>
      <c r="Y1494">
        <v>0</v>
      </c>
      <c r="Z1494">
        <v>0</v>
      </c>
      <c r="AA1494" t="str">
        <f>"Y"</f>
        <v>Y</v>
      </c>
      <c r="AB1494" t="str">
        <f>"SO22000203"</f>
        <v>SO22000203</v>
      </c>
      <c r="AC1494">
        <v>1</v>
      </c>
      <c r="AD1494" s="1">
        <v>44705</v>
      </c>
      <c r="AE1494" t="str">
        <f>"SH22000896"</f>
        <v>SH22000896</v>
      </c>
      <c r="AF1494" t="str">
        <f>"משלוחים ללקוח"</f>
        <v>משלוחים ללקוח</v>
      </c>
      <c r="AG1494" s="1">
        <v>44770</v>
      </c>
      <c r="AM1494" t="str">
        <f>"10"</f>
        <v>10</v>
      </c>
      <c r="AN1494" t="str">
        <f>"500000"</f>
        <v>500000</v>
      </c>
      <c r="AO1494" t="str">
        <f>"הכנסות  מלקוחות"</f>
        <v>הכנסות  מלקוחות</v>
      </c>
      <c r="AQ1494" t="str">
        <f>"040"</f>
        <v>040</v>
      </c>
      <c r="AR1494">
        <v>0</v>
      </c>
      <c r="AS1494">
        <v>0</v>
      </c>
      <c r="AT1494">
        <v>3.4329999999999998</v>
      </c>
      <c r="AX1494" t="str">
        <f>"E000362820"</f>
        <v>E000362820</v>
      </c>
      <c r="BD1494" t="str">
        <f>"רחמים זרוק"</f>
        <v>רחמים זרוק</v>
      </c>
    </row>
    <row r="1495" spans="1:56" x14ac:dyDescent="0.3">
      <c r="A1495" s="1">
        <v>44770</v>
      </c>
      <c r="B1495" t="str">
        <f>"SI226000847"</f>
        <v>SI226000847</v>
      </c>
      <c r="C1495" t="str">
        <f>"PR22000393"</f>
        <v>PR22000393</v>
      </c>
      <c r="E1495" t="str">
        <f>"Y"</f>
        <v>Y</v>
      </c>
      <c r="F1495" t="str">
        <f>"חשבוניות מרכזות"</f>
        <v>חשבוניות מרכזות</v>
      </c>
      <c r="G1495" t="str">
        <f>"700065"</f>
        <v>700065</v>
      </c>
      <c r="H1495" t="str">
        <f>"אלתא מערכות בע""מ"</f>
        <v>אלתא מערכות בע"מ</v>
      </c>
      <c r="I1495" t="str">
        <f>"10"</f>
        <v>10</v>
      </c>
      <c r="J1495" t="str">
        <f>"OP-AR03149"</f>
        <v>OP-AR03149</v>
      </c>
      <c r="K1495" t="str">
        <f>"9001G822-001    HARNESS WB002 - PDU TO XRCU"</f>
        <v>9001G822-001    HARNESS WB002 - PDU TO XRCU</v>
      </c>
      <c r="L1495">
        <v>2</v>
      </c>
      <c r="M1495" t="str">
        <f>"יח"</f>
        <v>יח</v>
      </c>
      <c r="N1495">
        <v>2</v>
      </c>
      <c r="O1495" t="str">
        <f>"יח"</f>
        <v>יח</v>
      </c>
      <c r="P1495">
        <v>198.79</v>
      </c>
      <c r="Q1495" t="str">
        <f>"$"</f>
        <v>$</v>
      </c>
      <c r="R1495" t="str">
        <f>"הזמנה"</f>
        <v>הזמנה</v>
      </c>
      <c r="S1495">
        <v>0</v>
      </c>
      <c r="T1495">
        <v>397.58</v>
      </c>
      <c r="U1495">
        <v>0</v>
      </c>
      <c r="V1495">
        <v>397.58</v>
      </c>
      <c r="W1495" t="str">
        <f>"$"</f>
        <v>$</v>
      </c>
      <c r="X1495">
        <v>0</v>
      </c>
      <c r="Y1495">
        <v>0</v>
      </c>
      <c r="Z1495">
        <v>0</v>
      </c>
      <c r="AA1495" t="str">
        <f>"Y"</f>
        <v>Y</v>
      </c>
      <c r="AB1495" t="str">
        <f>"SO22000203"</f>
        <v>SO22000203</v>
      </c>
      <c r="AC1495">
        <v>3</v>
      </c>
      <c r="AD1495" s="1">
        <v>44705</v>
      </c>
      <c r="AE1495" t="str">
        <f>"SH22000896"</f>
        <v>SH22000896</v>
      </c>
      <c r="AF1495" t="str">
        <f>"משלוחים ללקוח"</f>
        <v>משלוחים ללקוח</v>
      </c>
      <c r="AG1495" s="1">
        <v>44770</v>
      </c>
      <c r="AM1495" t="str">
        <f>"10"</f>
        <v>10</v>
      </c>
      <c r="AN1495" t="str">
        <f>"500000"</f>
        <v>500000</v>
      </c>
      <c r="AO1495" t="str">
        <f>"הכנסות  מלקוחות"</f>
        <v>הכנסות  מלקוחות</v>
      </c>
      <c r="AQ1495" t="str">
        <f>"040"</f>
        <v>040</v>
      </c>
      <c r="AR1495">
        <v>0</v>
      </c>
      <c r="AS1495">
        <v>0</v>
      </c>
      <c r="AT1495">
        <v>3.4329999999999998</v>
      </c>
      <c r="AX1495" t="str">
        <f>"E000362820"</f>
        <v>E000362820</v>
      </c>
      <c r="BD1495" t="str">
        <f>"רחמים זרוק"</f>
        <v>רחמים זרוק</v>
      </c>
    </row>
    <row r="1496" spans="1:56" x14ac:dyDescent="0.3">
      <c r="A1496" s="1">
        <v>44770</v>
      </c>
      <c r="B1496" t="str">
        <f>"SI226000846"</f>
        <v>SI226000846</v>
      </c>
      <c r="C1496" t="str">
        <f>"PR22000231"</f>
        <v>PR22000231</v>
      </c>
      <c r="E1496" t="str">
        <f>"Y"</f>
        <v>Y</v>
      </c>
      <c r="F1496" t="str">
        <f>"חשבוניות מרכזות"</f>
        <v>חשבוניות מרכזות</v>
      </c>
      <c r="G1496" t="str">
        <f>"700065"</f>
        <v>700065</v>
      </c>
      <c r="H1496" t="str">
        <f>"אלתא מערכות בע""מ"</f>
        <v>אלתא מערכות בע"מ</v>
      </c>
      <c r="I1496" t="str">
        <f>"10"</f>
        <v>10</v>
      </c>
      <c r="J1496" t="str">
        <f>"OP-AR02350"</f>
        <v>OP-AR02350</v>
      </c>
      <c r="K1496" t="str">
        <f>"2202B032-001    TRW21 CABLE ASSY"</f>
        <v>2202B032-001    TRW21 CABLE ASSY</v>
      </c>
      <c r="L1496">
        <v>1</v>
      </c>
      <c r="M1496" t="str">
        <f>"יח"</f>
        <v>יח</v>
      </c>
      <c r="N1496">
        <v>1</v>
      </c>
      <c r="O1496" t="str">
        <f>"יח"</f>
        <v>יח</v>
      </c>
      <c r="P1496">
        <v>155.47999999999999</v>
      </c>
      <c r="Q1496" t="str">
        <f>"$"</f>
        <v>$</v>
      </c>
      <c r="R1496" t="str">
        <f>"הזמנה"</f>
        <v>הזמנה</v>
      </c>
      <c r="S1496">
        <v>0</v>
      </c>
      <c r="T1496">
        <v>155.47999999999999</v>
      </c>
      <c r="U1496">
        <v>0</v>
      </c>
      <c r="V1496">
        <v>155.47999999999999</v>
      </c>
      <c r="W1496" t="str">
        <f>"$"</f>
        <v>$</v>
      </c>
      <c r="X1496">
        <v>0</v>
      </c>
      <c r="Y1496">
        <v>0</v>
      </c>
      <c r="Z1496">
        <v>0</v>
      </c>
      <c r="AA1496" t="str">
        <f>"Y"</f>
        <v>Y</v>
      </c>
      <c r="AB1496" t="str">
        <f>"SO22000105"</f>
        <v>SO22000105</v>
      </c>
      <c r="AC1496">
        <v>5</v>
      </c>
      <c r="AD1496" s="1">
        <v>44635</v>
      </c>
      <c r="AE1496" t="str">
        <f>"SH22000899"</f>
        <v>SH22000899</v>
      </c>
      <c r="AF1496" t="str">
        <f>"משלוחים ללקוח"</f>
        <v>משלוחים ללקוח</v>
      </c>
      <c r="AG1496" s="1">
        <v>44770</v>
      </c>
      <c r="AM1496" t="str">
        <f>"10"</f>
        <v>10</v>
      </c>
      <c r="AN1496" t="str">
        <f>"500000"</f>
        <v>500000</v>
      </c>
      <c r="AO1496" t="str">
        <f>"הכנסות  מלקוחות"</f>
        <v>הכנסות  מלקוחות</v>
      </c>
      <c r="AQ1496" t="str">
        <f>"040"</f>
        <v>040</v>
      </c>
      <c r="AR1496">
        <v>0</v>
      </c>
      <c r="AS1496">
        <v>0</v>
      </c>
      <c r="AT1496">
        <v>3.4329999999999998</v>
      </c>
      <c r="AX1496" t="str">
        <f>"E000359029"</f>
        <v>E000359029</v>
      </c>
      <c r="BD1496" t="str">
        <f>"רחמים זרוק"</f>
        <v>רחמים זרוק</v>
      </c>
    </row>
    <row r="1497" spans="1:56" x14ac:dyDescent="0.3">
      <c r="A1497" s="1">
        <v>44770</v>
      </c>
      <c r="B1497" t="str">
        <f>"SI226000846"</f>
        <v>SI226000846</v>
      </c>
      <c r="C1497" t="str">
        <f>"PR22000231"</f>
        <v>PR22000231</v>
      </c>
      <c r="E1497" t="str">
        <f>"Y"</f>
        <v>Y</v>
      </c>
      <c r="F1497" t="str">
        <f>"חשבוניות מרכזות"</f>
        <v>חשבוניות מרכזות</v>
      </c>
      <c r="G1497" t="str">
        <f>"700065"</f>
        <v>700065</v>
      </c>
      <c r="H1497" t="str">
        <f>"אלתא מערכות בע""מ"</f>
        <v>אלתא מערכות בע"מ</v>
      </c>
      <c r="I1497" t="str">
        <f>"10"</f>
        <v>10</v>
      </c>
      <c r="J1497" t="str">
        <f>"OP-AR02350"</f>
        <v>OP-AR02350</v>
      </c>
      <c r="K1497" t="str">
        <f>"2202B032-001    TRW21 CABLE ASSY"</f>
        <v>2202B032-001    TRW21 CABLE ASSY</v>
      </c>
      <c r="L1497">
        <v>1</v>
      </c>
      <c r="M1497" t="str">
        <f>"יח"</f>
        <v>יח</v>
      </c>
      <c r="N1497">
        <v>1</v>
      </c>
      <c r="O1497" t="str">
        <f>"יח"</f>
        <v>יח</v>
      </c>
      <c r="P1497">
        <v>155.47999999999999</v>
      </c>
      <c r="Q1497" t="str">
        <f>"$"</f>
        <v>$</v>
      </c>
      <c r="R1497" t="str">
        <f>"הזמנה"</f>
        <v>הזמנה</v>
      </c>
      <c r="S1497">
        <v>0</v>
      </c>
      <c r="T1497">
        <v>155.47999999999999</v>
      </c>
      <c r="U1497">
        <v>0</v>
      </c>
      <c r="V1497">
        <v>155.47999999999999</v>
      </c>
      <c r="W1497" t="str">
        <f>"$"</f>
        <v>$</v>
      </c>
      <c r="X1497">
        <v>0</v>
      </c>
      <c r="Y1497">
        <v>0</v>
      </c>
      <c r="Z1497">
        <v>0</v>
      </c>
      <c r="AA1497" t="str">
        <f>"Y"</f>
        <v>Y</v>
      </c>
      <c r="AB1497" t="str">
        <f>"SO22000105"</f>
        <v>SO22000105</v>
      </c>
      <c r="AC1497">
        <v>6</v>
      </c>
      <c r="AD1497" s="1">
        <v>44635</v>
      </c>
      <c r="AE1497" t="str">
        <f>"SH22000899"</f>
        <v>SH22000899</v>
      </c>
      <c r="AF1497" t="str">
        <f>"משלוחים ללקוח"</f>
        <v>משלוחים ללקוח</v>
      </c>
      <c r="AG1497" s="1">
        <v>44770</v>
      </c>
      <c r="AM1497" t="str">
        <f>"10"</f>
        <v>10</v>
      </c>
      <c r="AN1497" t="str">
        <f>"500000"</f>
        <v>500000</v>
      </c>
      <c r="AO1497" t="str">
        <f>"הכנסות  מלקוחות"</f>
        <v>הכנסות  מלקוחות</v>
      </c>
      <c r="AQ1497" t="str">
        <f>"040"</f>
        <v>040</v>
      </c>
      <c r="AR1497">
        <v>0</v>
      </c>
      <c r="AS1497">
        <v>0</v>
      </c>
      <c r="AT1497">
        <v>3.4329999999999998</v>
      </c>
      <c r="AX1497" t="str">
        <f>"E000359029"</f>
        <v>E000359029</v>
      </c>
      <c r="BD1497" t="str">
        <f>"רחמים זרוק"</f>
        <v>רחמים זרוק</v>
      </c>
    </row>
    <row r="1498" spans="1:56" x14ac:dyDescent="0.3">
      <c r="A1498" s="1">
        <v>44770</v>
      </c>
      <c r="B1498" t="str">
        <f>"SI226000846"</f>
        <v>SI226000846</v>
      </c>
      <c r="C1498" t="str">
        <f>"PR22000231"</f>
        <v>PR22000231</v>
      </c>
      <c r="E1498" t="str">
        <f>"Y"</f>
        <v>Y</v>
      </c>
      <c r="F1498" t="str">
        <f>"חשבוניות מרכזות"</f>
        <v>חשבוניות מרכזות</v>
      </c>
      <c r="G1498" t="str">
        <f>"700065"</f>
        <v>700065</v>
      </c>
      <c r="H1498" t="str">
        <f>"אלתא מערכות בע""מ"</f>
        <v>אלתא מערכות בע"מ</v>
      </c>
      <c r="I1498" t="str">
        <f>"10"</f>
        <v>10</v>
      </c>
      <c r="J1498" t="str">
        <f>"OP-AR02351"</f>
        <v>OP-AR02351</v>
      </c>
      <c r="K1498" t="str">
        <f>"2202B034-001    TRW22 CABLE ASSY"</f>
        <v>2202B034-001    TRW22 CABLE ASSY</v>
      </c>
      <c r="L1498">
        <v>1</v>
      </c>
      <c r="M1498" t="str">
        <f>"יח"</f>
        <v>יח</v>
      </c>
      <c r="N1498">
        <v>1</v>
      </c>
      <c r="O1498" t="str">
        <f>"יח"</f>
        <v>יח</v>
      </c>
      <c r="P1498">
        <v>134.62</v>
      </c>
      <c r="Q1498" t="str">
        <f>"$"</f>
        <v>$</v>
      </c>
      <c r="R1498" t="str">
        <f>"הזמנה"</f>
        <v>הזמנה</v>
      </c>
      <c r="S1498">
        <v>0</v>
      </c>
      <c r="T1498">
        <v>134.62</v>
      </c>
      <c r="U1498">
        <v>0</v>
      </c>
      <c r="V1498">
        <v>134.62</v>
      </c>
      <c r="W1498" t="str">
        <f>"$"</f>
        <v>$</v>
      </c>
      <c r="X1498">
        <v>0</v>
      </c>
      <c r="Y1498">
        <v>0</v>
      </c>
      <c r="Z1498">
        <v>0</v>
      </c>
      <c r="AA1498" t="str">
        <f>"Y"</f>
        <v>Y</v>
      </c>
      <c r="AB1498" t="str">
        <f>"SO22000105"</f>
        <v>SO22000105</v>
      </c>
      <c r="AC1498">
        <v>7</v>
      </c>
      <c r="AD1498" s="1">
        <v>44635</v>
      </c>
      <c r="AE1498" t="str">
        <f>"SH22000899"</f>
        <v>SH22000899</v>
      </c>
      <c r="AF1498" t="str">
        <f>"משלוחים ללקוח"</f>
        <v>משלוחים ללקוח</v>
      </c>
      <c r="AG1498" s="1">
        <v>44770</v>
      </c>
      <c r="AM1498" t="str">
        <f>"10"</f>
        <v>10</v>
      </c>
      <c r="AN1498" t="str">
        <f>"500000"</f>
        <v>500000</v>
      </c>
      <c r="AO1498" t="str">
        <f>"הכנסות  מלקוחות"</f>
        <v>הכנסות  מלקוחות</v>
      </c>
      <c r="AQ1498" t="str">
        <f>"040"</f>
        <v>040</v>
      </c>
      <c r="AR1498">
        <v>0</v>
      </c>
      <c r="AS1498">
        <v>0</v>
      </c>
      <c r="AT1498">
        <v>3.4329999999999998</v>
      </c>
      <c r="AX1498" t="str">
        <f>"E000359029"</f>
        <v>E000359029</v>
      </c>
      <c r="BD1498" t="str">
        <f>"רחמים זרוק"</f>
        <v>רחמים זרוק</v>
      </c>
    </row>
    <row r="1499" spans="1:56" x14ac:dyDescent="0.3">
      <c r="A1499" s="1">
        <v>44770</v>
      </c>
      <c r="B1499" t="str">
        <f>"SI226000846"</f>
        <v>SI226000846</v>
      </c>
      <c r="C1499" t="str">
        <f>"PR22000231"</f>
        <v>PR22000231</v>
      </c>
      <c r="E1499" t="str">
        <f>"Y"</f>
        <v>Y</v>
      </c>
      <c r="F1499" t="str">
        <f>"חשבוניות מרכזות"</f>
        <v>חשבוניות מרכזות</v>
      </c>
      <c r="G1499" t="str">
        <f>"700065"</f>
        <v>700065</v>
      </c>
      <c r="H1499" t="str">
        <f>"אלתא מערכות בע""מ"</f>
        <v>אלתא מערכות בע"מ</v>
      </c>
      <c r="I1499" t="str">
        <f>"10"</f>
        <v>10</v>
      </c>
      <c r="J1499" t="str">
        <f>"OP-AR02351"</f>
        <v>OP-AR02351</v>
      </c>
      <c r="K1499" t="str">
        <f>"2202B034-001    TRW22 CABLE ASSY"</f>
        <v>2202B034-001    TRW22 CABLE ASSY</v>
      </c>
      <c r="L1499">
        <v>1</v>
      </c>
      <c r="M1499" t="str">
        <f>"יח"</f>
        <v>יח</v>
      </c>
      <c r="N1499">
        <v>1</v>
      </c>
      <c r="O1499" t="str">
        <f>"יח"</f>
        <v>יח</v>
      </c>
      <c r="P1499">
        <v>134.62</v>
      </c>
      <c r="Q1499" t="str">
        <f>"$"</f>
        <v>$</v>
      </c>
      <c r="R1499" t="str">
        <f>"הזמנה"</f>
        <v>הזמנה</v>
      </c>
      <c r="S1499">
        <v>0</v>
      </c>
      <c r="T1499">
        <v>134.62</v>
      </c>
      <c r="U1499">
        <v>0</v>
      </c>
      <c r="V1499">
        <v>134.62</v>
      </c>
      <c r="W1499" t="str">
        <f>"$"</f>
        <v>$</v>
      </c>
      <c r="X1499">
        <v>0</v>
      </c>
      <c r="Y1499">
        <v>0</v>
      </c>
      <c r="Z1499">
        <v>0</v>
      </c>
      <c r="AA1499" t="str">
        <f>"Y"</f>
        <v>Y</v>
      </c>
      <c r="AB1499" t="str">
        <f>"SO22000105"</f>
        <v>SO22000105</v>
      </c>
      <c r="AC1499">
        <v>8</v>
      </c>
      <c r="AD1499" s="1">
        <v>44635</v>
      </c>
      <c r="AE1499" t="str">
        <f>"SH22000899"</f>
        <v>SH22000899</v>
      </c>
      <c r="AF1499" t="str">
        <f>"משלוחים ללקוח"</f>
        <v>משלוחים ללקוח</v>
      </c>
      <c r="AG1499" s="1">
        <v>44770</v>
      </c>
      <c r="AM1499" t="str">
        <f>"10"</f>
        <v>10</v>
      </c>
      <c r="AN1499" t="str">
        <f>"500000"</f>
        <v>500000</v>
      </c>
      <c r="AO1499" t="str">
        <f>"הכנסות  מלקוחות"</f>
        <v>הכנסות  מלקוחות</v>
      </c>
      <c r="AQ1499" t="str">
        <f>"040"</f>
        <v>040</v>
      </c>
      <c r="AR1499">
        <v>0</v>
      </c>
      <c r="AS1499">
        <v>0</v>
      </c>
      <c r="AT1499">
        <v>3.4329999999999998</v>
      </c>
      <c r="AX1499" t="str">
        <f>"E000359029"</f>
        <v>E000359029</v>
      </c>
      <c r="BD1499" t="str">
        <f>"רחמים זרוק"</f>
        <v>רחמים זרוק</v>
      </c>
    </row>
    <row r="1500" spans="1:56" x14ac:dyDescent="0.3">
      <c r="A1500" s="1">
        <v>44770</v>
      </c>
      <c r="B1500" t="str">
        <f>"SI226000846"</f>
        <v>SI226000846</v>
      </c>
      <c r="C1500" t="str">
        <f>"PR22000231"</f>
        <v>PR22000231</v>
      </c>
      <c r="E1500" t="str">
        <f>"Y"</f>
        <v>Y</v>
      </c>
      <c r="F1500" t="str">
        <f>"חשבוניות מרכזות"</f>
        <v>חשבוניות מרכזות</v>
      </c>
      <c r="G1500" t="str">
        <f>"700065"</f>
        <v>700065</v>
      </c>
      <c r="H1500" t="str">
        <f>"אלתא מערכות בע""מ"</f>
        <v>אלתא מערכות בע"מ</v>
      </c>
      <c r="I1500" t="str">
        <f>"10"</f>
        <v>10</v>
      </c>
      <c r="J1500" t="str">
        <f>"OP-AR03017"</f>
        <v>OP-AR03017</v>
      </c>
      <c r="K1500" t="str">
        <f>"2203B862-001   POWER TO JIG CABLE ASSY"</f>
        <v>2203B862-001   POWER TO JIG CABLE ASSY</v>
      </c>
      <c r="L1500">
        <v>1</v>
      </c>
      <c r="M1500" t="str">
        <f>"יח"</f>
        <v>יח</v>
      </c>
      <c r="N1500">
        <v>1</v>
      </c>
      <c r="O1500" t="str">
        <f>"יח"</f>
        <v>יח</v>
      </c>
      <c r="P1500">
        <v>173.58</v>
      </c>
      <c r="Q1500" t="str">
        <f>"$"</f>
        <v>$</v>
      </c>
      <c r="R1500" t="str">
        <f>"הזמנה"</f>
        <v>הזמנה</v>
      </c>
      <c r="S1500">
        <v>0</v>
      </c>
      <c r="T1500">
        <v>173.58</v>
      </c>
      <c r="U1500">
        <v>0</v>
      </c>
      <c r="V1500">
        <v>173.58</v>
      </c>
      <c r="W1500" t="str">
        <f>"$"</f>
        <v>$</v>
      </c>
      <c r="X1500">
        <v>0</v>
      </c>
      <c r="Y1500">
        <v>0</v>
      </c>
      <c r="Z1500">
        <v>0</v>
      </c>
      <c r="AA1500" t="str">
        <f>"Y"</f>
        <v>Y</v>
      </c>
      <c r="AB1500" t="str">
        <f>"SO22000105"</f>
        <v>SO22000105</v>
      </c>
      <c r="AC1500">
        <v>13</v>
      </c>
      <c r="AD1500" s="1">
        <v>44635</v>
      </c>
      <c r="AE1500" t="str">
        <f>"SH22000899"</f>
        <v>SH22000899</v>
      </c>
      <c r="AF1500" t="str">
        <f>"משלוחים ללקוח"</f>
        <v>משלוחים ללקוח</v>
      </c>
      <c r="AG1500" s="1">
        <v>44770</v>
      </c>
      <c r="AM1500" t="str">
        <f>"10"</f>
        <v>10</v>
      </c>
      <c r="AN1500" t="str">
        <f>"500000"</f>
        <v>500000</v>
      </c>
      <c r="AO1500" t="str">
        <f>"הכנסות  מלקוחות"</f>
        <v>הכנסות  מלקוחות</v>
      </c>
      <c r="AQ1500" t="str">
        <f>"040"</f>
        <v>040</v>
      </c>
      <c r="AR1500">
        <v>0</v>
      </c>
      <c r="AS1500">
        <v>0</v>
      </c>
      <c r="AT1500">
        <v>3.4329999999999998</v>
      </c>
      <c r="AX1500" t="str">
        <f>"E000359029"</f>
        <v>E000359029</v>
      </c>
      <c r="BD1500" t="str">
        <f>"רחמים זרוק"</f>
        <v>רחמים זרוק</v>
      </c>
    </row>
    <row r="1501" spans="1:56" x14ac:dyDescent="0.3">
      <c r="A1501" s="1">
        <v>44770</v>
      </c>
      <c r="B1501" t="str">
        <f>"SI226000846"</f>
        <v>SI226000846</v>
      </c>
      <c r="C1501" t="str">
        <f>"PR22000231"</f>
        <v>PR22000231</v>
      </c>
      <c r="E1501" t="str">
        <f>"Y"</f>
        <v>Y</v>
      </c>
      <c r="F1501" t="str">
        <f>"חשבוניות מרכזות"</f>
        <v>חשבוניות מרכזות</v>
      </c>
      <c r="G1501" t="str">
        <f>"700065"</f>
        <v>700065</v>
      </c>
      <c r="H1501" t="str">
        <f>"אלתא מערכות בע""מ"</f>
        <v>אלתא מערכות בע"מ</v>
      </c>
      <c r="I1501" t="str">
        <f>"10"</f>
        <v>10</v>
      </c>
      <c r="J1501" t="str">
        <f>"OP-AR03017"</f>
        <v>OP-AR03017</v>
      </c>
      <c r="K1501" t="str">
        <f>"2203B862-001   POWER TO JIG CABLE ASSY"</f>
        <v>2203B862-001   POWER TO JIG CABLE ASSY</v>
      </c>
      <c r="L1501">
        <v>2</v>
      </c>
      <c r="M1501" t="str">
        <f>"יח"</f>
        <v>יח</v>
      </c>
      <c r="N1501">
        <v>2</v>
      </c>
      <c r="O1501" t="str">
        <f>"יח"</f>
        <v>יח</v>
      </c>
      <c r="P1501">
        <v>173.58</v>
      </c>
      <c r="Q1501" t="str">
        <f>"$"</f>
        <v>$</v>
      </c>
      <c r="R1501" t="str">
        <f>"הזמנה"</f>
        <v>הזמנה</v>
      </c>
      <c r="S1501">
        <v>0</v>
      </c>
      <c r="T1501">
        <v>347.16</v>
      </c>
      <c r="U1501">
        <v>0</v>
      </c>
      <c r="V1501">
        <v>347.16</v>
      </c>
      <c r="W1501" t="str">
        <f>"$"</f>
        <v>$</v>
      </c>
      <c r="X1501">
        <v>0</v>
      </c>
      <c r="Y1501">
        <v>0</v>
      </c>
      <c r="Z1501">
        <v>0</v>
      </c>
      <c r="AA1501" t="str">
        <f>"Y"</f>
        <v>Y</v>
      </c>
      <c r="AB1501" t="str">
        <f>"SO22000105"</f>
        <v>SO22000105</v>
      </c>
      <c r="AC1501">
        <v>14</v>
      </c>
      <c r="AD1501" s="1">
        <v>44635</v>
      </c>
      <c r="AE1501" t="str">
        <f>"SH22000899"</f>
        <v>SH22000899</v>
      </c>
      <c r="AF1501" t="str">
        <f>"משלוחים ללקוח"</f>
        <v>משלוחים ללקוח</v>
      </c>
      <c r="AG1501" s="1">
        <v>44770</v>
      </c>
      <c r="AM1501" t="str">
        <f>"10"</f>
        <v>10</v>
      </c>
      <c r="AN1501" t="str">
        <f>"500000"</f>
        <v>500000</v>
      </c>
      <c r="AO1501" t="str">
        <f>"הכנסות  מלקוחות"</f>
        <v>הכנסות  מלקוחות</v>
      </c>
      <c r="AQ1501" t="str">
        <f>"040"</f>
        <v>040</v>
      </c>
      <c r="AR1501">
        <v>0</v>
      </c>
      <c r="AS1501">
        <v>0</v>
      </c>
      <c r="AT1501">
        <v>3.4329999999999998</v>
      </c>
      <c r="AX1501" t="str">
        <f>"E000359029"</f>
        <v>E000359029</v>
      </c>
      <c r="BD1501" t="str">
        <f>"רחמים זרוק"</f>
        <v>רחמים זרוק</v>
      </c>
    </row>
    <row r="1502" spans="1:56" x14ac:dyDescent="0.3">
      <c r="A1502" s="1">
        <v>44770</v>
      </c>
      <c r="B1502" t="str">
        <f>"SI226000846"</f>
        <v>SI226000846</v>
      </c>
      <c r="C1502" t="str">
        <f>"PR22000231"</f>
        <v>PR22000231</v>
      </c>
      <c r="E1502" t="str">
        <f>"Y"</f>
        <v>Y</v>
      </c>
      <c r="F1502" t="str">
        <f>"חשבוניות מרכזות"</f>
        <v>חשבוניות מרכזות</v>
      </c>
      <c r="G1502" t="str">
        <f>"700065"</f>
        <v>700065</v>
      </c>
      <c r="H1502" t="str">
        <f>"אלתא מערכות בע""מ"</f>
        <v>אלתא מערכות בע"מ</v>
      </c>
      <c r="I1502" t="str">
        <f>"10"</f>
        <v>10</v>
      </c>
      <c r="J1502" t="str">
        <f>"OP-AR03022"</f>
        <v>OP-AR03022</v>
      </c>
      <c r="K1502" t="str">
        <f>"2221B772-001   ADW102 FPGA J2 CABLE ASSY"</f>
        <v>2221B772-001   ADW102 FPGA J2 CABLE ASSY</v>
      </c>
      <c r="L1502">
        <v>3</v>
      </c>
      <c r="M1502" t="str">
        <f>"יח"</f>
        <v>יח</v>
      </c>
      <c r="N1502">
        <v>3</v>
      </c>
      <c r="O1502" t="str">
        <f>"יח"</f>
        <v>יח</v>
      </c>
      <c r="P1502">
        <v>762.62</v>
      </c>
      <c r="Q1502" t="str">
        <f>"$"</f>
        <v>$</v>
      </c>
      <c r="R1502" t="str">
        <f>"הזמנה"</f>
        <v>הזמנה</v>
      </c>
      <c r="S1502">
        <v>0</v>
      </c>
      <c r="T1502" s="2">
        <v>2287.86</v>
      </c>
      <c r="U1502">
        <v>0</v>
      </c>
      <c r="V1502" s="2">
        <v>2287.86</v>
      </c>
      <c r="W1502" t="str">
        <f>"$"</f>
        <v>$</v>
      </c>
      <c r="X1502">
        <v>0</v>
      </c>
      <c r="Y1502">
        <v>0</v>
      </c>
      <c r="Z1502">
        <v>0</v>
      </c>
      <c r="AA1502" t="str">
        <f>"Y"</f>
        <v>Y</v>
      </c>
      <c r="AB1502" t="str">
        <f>"SO22000105"</f>
        <v>SO22000105</v>
      </c>
      <c r="AC1502">
        <v>19</v>
      </c>
      <c r="AD1502" s="1">
        <v>44635</v>
      </c>
      <c r="AE1502" t="str">
        <f>"SH22000899"</f>
        <v>SH22000899</v>
      </c>
      <c r="AF1502" t="str">
        <f>"משלוחים ללקוח"</f>
        <v>משלוחים ללקוח</v>
      </c>
      <c r="AG1502" s="1">
        <v>44770</v>
      </c>
      <c r="AM1502" t="str">
        <f>"10"</f>
        <v>10</v>
      </c>
      <c r="AN1502" t="str">
        <f>"500000"</f>
        <v>500000</v>
      </c>
      <c r="AO1502" t="str">
        <f>"הכנסות  מלקוחות"</f>
        <v>הכנסות  מלקוחות</v>
      </c>
      <c r="AQ1502" t="str">
        <f>"040"</f>
        <v>040</v>
      </c>
      <c r="AR1502">
        <v>0</v>
      </c>
      <c r="AS1502">
        <v>0</v>
      </c>
      <c r="AT1502">
        <v>3.4329999999999998</v>
      </c>
      <c r="AX1502" t="str">
        <f>"E000359029"</f>
        <v>E000359029</v>
      </c>
      <c r="BD1502" t="str">
        <f>"רחמים זרוק"</f>
        <v>רחמים זרוק</v>
      </c>
    </row>
    <row r="1503" spans="1:56" x14ac:dyDescent="0.3">
      <c r="A1503" s="1">
        <v>44770</v>
      </c>
      <c r="B1503" t="str">
        <f>"SI226000844"</f>
        <v>SI226000844</v>
      </c>
      <c r="C1503" t="str">
        <f>"PR21000250"</f>
        <v>PR21000250</v>
      </c>
      <c r="E1503" t="str">
        <f>"Y"</f>
        <v>Y</v>
      </c>
      <c r="F1503" t="str">
        <f>"חשבוניות מרכזות"</f>
        <v>חשבוניות מרכזות</v>
      </c>
      <c r="G1503" t="str">
        <f>"700065"</f>
        <v>700065</v>
      </c>
      <c r="H1503" t="str">
        <f>"אלתא מערכות בע""מ"</f>
        <v>אלתא מערכות בע"מ</v>
      </c>
      <c r="I1503" t="str">
        <f>"10"</f>
        <v>10</v>
      </c>
      <c r="J1503" t="str">
        <f>"OP-AR02353"</f>
        <v>OP-AR02353</v>
      </c>
      <c r="K1503" t="str">
        <f>"2203B026-001    FIO CABLE ASSY"</f>
        <v>2203B026-001    FIO CABLE ASSY</v>
      </c>
      <c r="L1503">
        <v>1</v>
      </c>
      <c r="M1503" t="str">
        <f>"יח"</f>
        <v>יח</v>
      </c>
      <c r="N1503">
        <v>1</v>
      </c>
      <c r="O1503" t="str">
        <f>"יח"</f>
        <v>יח</v>
      </c>
      <c r="P1503">
        <v>466.36</v>
      </c>
      <c r="Q1503" t="str">
        <f>"$"</f>
        <v>$</v>
      </c>
      <c r="R1503" t="str">
        <f>"הזמנה"</f>
        <v>הזמנה</v>
      </c>
      <c r="S1503">
        <v>0</v>
      </c>
      <c r="T1503">
        <v>466.36</v>
      </c>
      <c r="U1503">
        <v>0</v>
      </c>
      <c r="V1503">
        <v>466.36</v>
      </c>
      <c r="W1503" t="str">
        <f>"$"</f>
        <v>$</v>
      </c>
      <c r="X1503">
        <v>0</v>
      </c>
      <c r="Y1503">
        <v>0</v>
      </c>
      <c r="Z1503">
        <v>0</v>
      </c>
      <c r="AA1503" t="str">
        <f>"Y"</f>
        <v>Y</v>
      </c>
      <c r="AB1503" t="str">
        <f>"SO21000171"</f>
        <v>SO21000171</v>
      </c>
      <c r="AC1503">
        <v>10</v>
      </c>
      <c r="AD1503" s="1">
        <v>44304</v>
      </c>
      <c r="AE1503" t="str">
        <f>"SH22000900"</f>
        <v>SH22000900</v>
      </c>
      <c r="AF1503" t="str">
        <f>"משלוחים ללקוח"</f>
        <v>משלוחים ללקוח</v>
      </c>
      <c r="AG1503" s="1">
        <v>44770</v>
      </c>
      <c r="AM1503" t="str">
        <f>"10"</f>
        <v>10</v>
      </c>
      <c r="AN1503" t="str">
        <f>"500000"</f>
        <v>500000</v>
      </c>
      <c r="AO1503" t="str">
        <f>"הכנסות  מלקוחות"</f>
        <v>הכנסות  מלקוחות</v>
      </c>
      <c r="AQ1503" t="str">
        <f>"040"</f>
        <v>040</v>
      </c>
      <c r="AR1503">
        <v>0</v>
      </c>
      <c r="AS1503">
        <v>0</v>
      </c>
      <c r="AT1503">
        <v>3.4329999999999998</v>
      </c>
      <c r="AX1503" t="str">
        <f>"E000336785"</f>
        <v>E000336785</v>
      </c>
      <c r="BD1503" t="str">
        <f>"רחמים זרוק"</f>
        <v>רחמים זרוק</v>
      </c>
    </row>
    <row r="1504" spans="1:56" x14ac:dyDescent="0.3">
      <c r="A1504" s="1">
        <v>44770</v>
      </c>
      <c r="B1504" t="str">
        <f>"SI226000830"</f>
        <v>SI226000830</v>
      </c>
      <c r="C1504" t="str">
        <f>"PR22000223"</f>
        <v>PR22000223</v>
      </c>
      <c r="E1504" t="str">
        <f>"Y"</f>
        <v>Y</v>
      </c>
      <c r="F1504" t="str">
        <f>"חשבוניות מרכזות"</f>
        <v>חשבוניות מרכזות</v>
      </c>
      <c r="G1504" t="str">
        <f>"700065"</f>
        <v>700065</v>
      </c>
      <c r="H1504" t="str">
        <f>"אלתא מערכות בע""מ"</f>
        <v>אלתא מערכות בע"מ</v>
      </c>
      <c r="I1504" t="str">
        <f>"10"</f>
        <v>10</v>
      </c>
      <c r="J1504" t="str">
        <f>"OP-AR03002"</f>
        <v>OP-AR03002</v>
      </c>
      <c r="K1504" t="str">
        <f>"1094R032-002   HARNESS W032 - NC2I CONTROL CABLE"</f>
        <v>1094R032-002   HARNESS W032 - NC2I CONTROL CABLE</v>
      </c>
      <c r="L1504">
        <v>4</v>
      </c>
      <c r="M1504" t="str">
        <f>"יח"</f>
        <v>יח</v>
      </c>
      <c r="N1504">
        <v>4</v>
      </c>
      <c r="O1504" t="str">
        <f>"יח"</f>
        <v>יח</v>
      </c>
      <c r="P1504">
        <v>281.70999999999998</v>
      </c>
      <c r="Q1504" t="str">
        <f>"$"</f>
        <v>$</v>
      </c>
      <c r="R1504" t="str">
        <f>"הזמנה"</f>
        <v>הזמנה</v>
      </c>
      <c r="S1504">
        <v>0</v>
      </c>
      <c r="T1504" s="2">
        <v>1126.8399999999999</v>
      </c>
      <c r="U1504">
        <v>0</v>
      </c>
      <c r="V1504" s="2">
        <v>1126.8399999999999</v>
      </c>
      <c r="W1504" t="str">
        <f>"$"</f>
        <v>$</v>
      </c>
      <c r="X1504">
        <v>0</v>
      </c>
      <c r="Y1504">
        <v>0</v>
      </c>
      <c r="Z1504">
        <v>0</v>
      </c>
      <c r="AA1504" t="str">
        <f>"Y"</f>
        <v>Y</v>
      </c>
      <c r="AB1504" t="str">
        <f>"SO22000099"</f>
        <v>SO22000099</v>
      </c>
      <c r="AC1504">
        <v>10</v>
      </c>
      <c r="AD1504" s="1">
        <v>44629</v>
      </c>
      <c r="AE1504" t="str">
        <f>"SH22000902"</f>
        <v>SH22000902</v>
      </c>
      <c r="AF1504" t="str">
        <f>"משלוחים ללקוח"</f>
        <v>משלוחים ללקוח</v>
      </c>
      <c r="AG1504" s="1">
        <v>44770</v>
      </c>
      <c r="AM1504" t="str">
        <f>"10"</f>
        <v>10</v>
      </c>
      <c r="AN1504" t="str">
        <f>"500000"</f>
        <v>500000</v>
      </c>
      <c r="AO1504" t="str">
        <f>"הכנסות  מלקוחות"</f>
        <v>הכנסות  מלקוחות</v>
      </c>
      <c r="AQ1504" t="str">
        <f>"040"</f>
        <v>040</v>
      </c>
      <c r="AR1504">
        <v>0</v>
      </c>
      <c r="AS1504">
        <v>0</v>
      </c>
      <c r="AT1504">
        <v>3.427</v>
      </c>
      <c r="AX1504" t="str">
        <f>"E000358026"</f>
        <v>E000358026</v>
      </c>
      <c r="BD1504" t="str">
        <f>"רחמים זרוק"</f>
        <v>רחמים זרוק</v>
      </c>
    </row>
    <row r="1505" spans="1:56" x14ac:dyDescent="0.3">
      <c r="A1505" s="1">
        <v>44767</v>
      </c>
      <c r="B1505" t="str">
        <f>"SI226000829"</f>
        <v>SI226000829</v>
      </c>
      <c r="C1505" t="str">
        <f>"PR22000478"</f>
        <v>PR22000478</v>
      </c>
      <c r="E1505" t="str">
        <f>"Y"</f>
        <v>Y</v>
      </c>
      <c r="F1505" t="str">
        <f>"חשבוניות מרכזות"</f>
        <v>חשבוניות מרכזות</v>
      </c>
      <c r="G1505" t="str">
        <f>"700065"</f>
        <v>700065</v>
      </c>
      <c r="H1505" t="str">
        <f>"אלתא מערכות בע""מ"</f>
        <v>אלתא מערכות בע"מ</v>
      </c>
      <c r="I1505" t="str">
        <f>"10"</f>
        <v>10</v>
      </c>
      <c r="J1505" t="str">
        <f>"000"</f>
        <v>000</v>
      </c>
      <c r="K1505" t="str">
        <f>"שירות עבור תיקון ואחזקת מיישר"</f>
        <v>שירות עבור תיקון ואחזקת מיישר</v>
      </c>
      <c r="L1505">
        <v>1</v>
      </c>
      <c r="M1505" t="str">
        <f>"יח"</f>
        <v>יח</v>
      </c>
      <c r="N1505">
        <v>1</v>
      </c>
      <c r="O1505" t="str">
        <f>"יח"</f>
        <v>יח</v>
      </c>
      <c r="P1505" s="2">
        <v>4370</v>
      </c>
      <c r="Q1505" t="str">
        <f>"$"</f>
        <v>$</v>
      </c>
      <c r="R1505" t="str">
        <f>"הזמנה"</f>
        <v>הזמנה</v>
      </c>
      <c r="S1505">
        <v>0</v>
      </c>
      <c r="T1505" s="2">
        <v>4370</v>
      </c>
      <c r="U1505">
        <v>0</v>
      </c>
      <c r="V1505" s="2">
        <v>4370</v>
      </c>
      <c r="W1505" t="str">
        <f>"$"</f>
        <v>$</v>
      </c>
      <c r="X1505">
        <v>0</v>
      </c>
      <c r="Y1505">
        <v>0</v>
      </c>
      <c r="Z1505">
        <v>0</v>
      </c>
      <c r="AA1505" t="str">
        <f>"Y"</f>
        <v>Y</v>
      </c>
      <c r="AB1505" t="str">
        <f>"SO22000257"</f>
        <v>SO22000257</v>
      </c>
      <c r="AC1505">
        <v>1</v>
      </c>
      <c r="AD1505" s="1">
        <v>44738</v>
      </c>
      <c r="AE1505" t="str">
        <f>"SH22000865"</f>
        <v>SH22000865</v>
      </c>
      <c r="AF1505" t="str">
        <f>"משלוחים ללקוח"</f>
        <v>משלוחים ללקוח</v>
      </c>
      <c r="AG1505" s="1">
        <v>44766</v>
      </c>
      <c r="AM1505" t="str">
        <f>"10"</f>
        <v>10</v>
      </c>
      <c r="AN1505" t="str">
        <f>"500000"</f>
        <v>500000</v>
      </c>
      <c r="AO1505" t="str">
        <f>"הכנסות  מלקוחות"</f>
        <v>הכנסות  מלקוחות</v>
      </c>
      <c r="AQ1505" t="str">
        <f>"034"</f>
        <v>034</v>
      </c>
      <c r="AR1505">
        <v>0</v>
      </c>
      <c r="AS1505">
        <v>0</v>
      </c>
      <c r="AT1505">
        <v>3.4409999999999998</v>
      </c>
      <c r="AX1505" t="str">
        <f>"E000368158"</f>
        <v>E000368158</v>
      </c>
      <c r="BD1505" t="str">
        <f>"ערן שלו"</f>
        <v>ערן שלו</v>
      </c>
    </row>
    <row r="1506" spans="1:56" x14ac:dyDescent="0.3">
      <c r="A1506" s="1">
        <v>44763</v>
      </c>
      <c r="B1506" t="str">
        <f>"SI226000802"</f>
        <v>SI226000802</v>
      </c>
      <c r="C1506" t="str">
        <f>"PR20000358"</f>
        <v>PR20000358</v>
      </c>
      <c r="D1506" t="str">
        <f>"PR20000358"</f>
        <v>PR20000358</v>
      </c>
      <c r="E1506" t="str">
        <f>"Y"</f>
        <v>Y</v>
      </c>
      <c r="F1506" t="str">
        <f>"חשבוניות מרכזות"</f>
        <v>חשבוניות מרכזות</v>
      </c>
      <c r="G1506" t="str">
        <f>"700065"</f>
        <v>700065</v>
      </c>
      <c r="H1506" t="str">
        <f>"אלתא מערכות בע""מ"</f>
        <v>אלתא מערכות בע"מ</v>
      </c>
      <c r="I1506" t="str">
        <f>"10"</f>
        <v>10</v>
      </c>
      <c r="J1506" t="str">
        <f>"000"</f>
        <v>000</v>
      </c>
      <c r="K1506" t="str">
        <f>"שדרוג תוכנת בקר"</f>
        <v>שדרוג תוכנת בקר</v>
      </c>
      <c r="L1506">
        <v>1</v>
      </c>
      <c r="M1506" t="str">
        <f>"יח"</f>
        <v>יח</v>
      </c>
      <c r="N1506">
        <v>1</v>
      </c>
      <c r="O1506" t="str">
        <f>"יח"</f>
        <v>יח</v>
      </c>
      <c r="P1506" s="2">
        <v>1600</v>
      </c>
      <c r="Q1506" t="str">
        <f>"$"</f>
        <v>$</v>
      </c>
      <c r="R1506" t="str">
        <f>"הזמנה"</f>
        <v>הזמנה</v>
      </c>
      <c r="S1506">
        <v>0</v>
      </c>
      <c r="T1506" s="2">
        <v>1600</v>
      </c>
      <c r="U1506">
        <v>0</v>
      </c>
      <c r="V1506" s="2">
        <v>1600</v>
      </c>
      <c r="W1506" t="str">
        <f>"$"</f>
        <v>$</v>
      </c>
      <c r="X1506">
        <v>0</v>
      </c>
      <c r="Y1506">
        <v>0</v>
      </c>
      <c r="Z1506">
        <v>0</v>
      </c>
      <c r="AA1506" t="str">
        <f>"Y"</f>
        <v>Y</v>
      </c>
      <c r="AB1506" t="str">
        <f>"SO22000284"</f>
        <v>SO22000284</v>
      </c>
      <c r="AC1506">
        <v>1</v>
      </c>
      <c r="AD1506" s="1">
        <v>44762</v>
      </c>
      <c r="AM1506" t="str">
        <f>"10"</f>
        <v>10</v>
      </c>
      <c r="AN1506" t="str">
        <f>"500000"</f>
        <v>500000</v>
      </c>
      <c r="AO1506" t="str">
        <f>"הכנסות  מלקוחות"</f>
        <v>הכנסות  מלקוחות</v>
      </c>
      <c r="AQ1506" t="str">
        <f>"034"</f>
        <v>034</v>
      </c>
      <c r="AR1506">
        <v>0</v>
      </c>
      <c r="AS1506">
        <v>0</v>
      </c>
      <c r="AT1506">
        <v>3.4470000000000001</v>
      </c>
      <c r="AX1506" t="str">
        <f>"E000370331"</f>
        <v>E000370331</v>
      </c>
      <c r="BD1506" t="str">
        <f>"ערן שלו"</f>
        <v>ערן שלו</v>
      </c>
    </row>
    <row r="1507" spans="1:56" x14ac:dyDescent="0.3">
      <c r="A1507" s="1">
        <v>44760</v>
      </c>
      <c r="B1507" t="str">
        <f>"SI226000801"</f>
        <v>SI226000801</v>
      </c>
      <c r="C1507" t="str">
        <f>"PR21000796"</f>
        <v>PR21000796</v>
      </c>
      <c r="E1507" t="str">
        <f>"Y"</f>
        <v>Y</v>
      </c>
      <c r="F1507" t="str">
        <f>"חשבוניות מרכזות"</f>
        <v>חשבוניות מרכזות</v>
      </c>
      <c r="G1507" t="str">
        <f>"700065"</f>
        <v>700065</v>
      </c>
      <c r="H1507" t="str">
        <f>"אלתא מערכות בע""מ"</f>
        <v>אלתא מערכות בע"מ</v>
      </c>
      <c r="I1507" t="str">
        <f>"10"</f>
        <v>10</v>
      </c>
      <c r="J1507" t="str">
        <f>"PS9900118"</f>
        <v>PS9900118</v>
      </c>
      <c r="K1507" t="str">
        <f>"מטען מצברים 1029P515-001 אפור"</f>
        <v>מטען מצברים 1029P515-001 אפור</v>
      </c>
      <c r="L1507">
        <v>1</v>
      </c>
      <c r="M1507" t="str">
        <f>"יח"</f>
        <v>יח</v>
      </c>
      <c r="N1507">
        <v>1</v>
      </c>
      <c r="O1507" t="str">
        <f>"יח"</f>
        <v>יח</v>
      </c>
      <c r="P1507" s="2">
        <v>6000</v>
      </c>
      <c r="Q1507" t="str">
        <f>"$"</f>
        <v>$</v>
      </c>
      <c r="R1507" t="str">
        <f>"הזמנה"</f>
        <v>הזמנה</v>
      </c>
      <c r="S1507">
        <v>0</v>
      </c>
      <c r="T1507" s="2">
        <v>6000</v>
      </c>
      <c r="U1507">
        <v>0</v>
      </c>
      <c r="V1507" s="2">
        <v>6000</v>
      </c>
      <c r="W1507" t="str">
        <f>"$"</f>
        <v>$</v>
      </c>
      <c r="X1507">
        <v>0</v>
      </c>
      <c r="Y1507">
        <v>0</v>
      </c>
      <c r="Z1507">
        <v>0</v>
      </c>
      <c r="AA1507" t="str">
        <f>"Y"</f>
        <v>Y</v>
      </c>
      <c r="AB1507" t="str">
        <f>"SO21000451"</f>
        <v>SO21000451</v>
      </c>
      <c r="AC1507">
        <v>2</v>
      </c>
      <c r="AD1507" s="1">
        <v>44497</v>
      </c>
      <c r="AE1507" t="str">
        <f>"SH22000801"</f>
        <v>SH22000801</v>
      </c>
      <c r="AF1507" t="str">
        <f>"משלוחים ללקוח"</f>
        <v>משלוחים ללקוח</v>
      </c>
      <c r="AG1507" s="1">
        <v>44747</v>
      </c>
      <c r="AM1507" t="str">
        <f>"10"</f>
        <v>10</v>
      </c>
      <c r="AN1507" t="str">
        <f>"500000"</f>
        <v>500000</v>
      </c>
      <c r="AO1507" t="str">
        <f>"הכנסות  מלקוחות"</f>
        <v>הכנסות  מלקוחות</v>
      </c>
      <c r="AQ1507" t="str">
        <f>"034"</f>
        <v>034</v>
      </c>
      <c r="AR1507">
        <v>0</v>
      </c>
      <c r="AS1507">
        <v>0</v>
      </c>
      <c r="AT1507">
        <v>3.4550000000000001</v>
      </c>
      <c r="AX1507" t="str">
        <f>"E000349093"</f>
        <v>E000349093</v>
      </c>
      <c r="BD1507" t="str">
        <f>"ערן שלו"</f>
        <v>ערן שלו</v>
      </c>
    </row>
    <row r="1508" spans="1:56" x14ac:dyDescent="0.3">
      <c r="A1508" s="1">
        <v>44760</v>
      </c>
      <c r="B1508" t="str">
        <f>"SI226000801"</f>
        <v>SI226000801</v>
      </c>
      <c r="C1508" t="str">
        <f>"PR21000796"</f>
        <v>PR21000796</v>
      </c>
      <c r="E1508" t="str">
        <f>"Y"</f>
        <v>Y</v>
      </c>
      <c r="F1508" t="str">
        <f>"חשבוניות מרכזות"</f>
        <v>חשבוניות מרכזות</v>
      </c>
      <c r="G1508" t="str">
        <f>"700065"</f>
        <v>700065</v>
      </c>
      <c r="H1508" t="str">
        <f>"אלתא מערכות בע""מ"</f>
        <v>אלתא מערכות בע"מ</v>
      </c>
      <c r="I1508" t="str">
        <f>"10"</f>
        <v>10</v>
      </c>
      <c r="J1508" t="str">
        <f>"PS9900118"</f>
        <v>PS9900118</v>
      </c>
      <c r="K1508" t="str">
        <f>"מטען מצברים 1029P515-001 אפור"</f>
        <v>מטען מצברים 1029P515-001 אפור</v>
      </c>
      <c r="L1508">
        <v>1</v>
      </c>
      <c r="M1508" t="str">
        <f>"יח"</f>
        <v>יח</v>
      </c>
      <c r="N1508">
        <v>1</v>
      </c>
      <c r="O1508" t="str">
        <f>"יח"</f>
        <v>יח</v>
      </c>
      <c r="P1508" s="2">
        <v>6000</v>
      </c>
      <c r="Q1508" t="str">
        <f>"$"</f>
        <v>$</v>
      </c>
      <c r="R1508" t="str">
        <f>"הזמנה"</f>
        <v>הזמנה</v>
      </c>
      <c r="S1508">
        <v>0</v>
      </c>
      <c r="T1508" s="2">
        <v>6000</v>
      </c>
      <c r="U1508">
        <v>0</v>
      </c>
      <c r="V1508" s="2">
        <v>6000</v>
      </c>
      <c r="W1508" t="str">
        <f>"$"</f>
        <v>$</v>
      </c>
      <c r="X1508">
        <v>0</v>
      </c>
      <c r="Y1508">
        <v>0</v>
      </c>
      <c r="Z1508">
        <v>0</v>
      </c>
      <c r="AA1508" t="str">
        <f>"Y"</f>
        <v>Y</v>
      </c>
      <c r="AB1508" t="str">
        <f>"SO21000451"</f>
        <v>SO21000451</v>
      </c>
      <c r="AC1508">
        <v>4</v>
      </c>
      <c r="AD1508" s="1">
        <v>44497</v>
      </c>
      <c r="AE1508" t="str">
        <f>"SH22000801"</f>
        <v>SH22000801</v>
      </c>
      <c r="AF1508" t="str">
        <f>"משלוחים ללקוח"</f>
        <v>משלוחים ללקוח</v>
      </c>
      <c r="AG1508" s="1">
        <v>44747</v>
      </c>
      <c r="AM1508" t="str">
        <f>"10"</f>
        <v>10</v>
      </c>
      <c r="AN1508" t="str">
        <f>"500000"</f>
        <v>500000</v>
      </c>
      <c r="AO1508" t="str">
        <f>"הכנסות  מלקוחות"</f>
        <v>הכנסות  מלקוחות</v>
      </c>
      <c r="AQ1508" t="str">
        <f>"034"</f>
        <v>034</v>
      </c>
      <c r="AR1508">
        <v>0</v>
      </c>
      <c r="AS1508">
        <v>0</v>
      </c>
      <c r="AT1508">
        <v>3.4550000000000001</v>
      </c>
      <c r="AX1508" t="str">
        <f>"E000349093"</f>
        <v>E000349093</v>
      </c>
      <c r="BD1508" t="str">
        <f>"ערן שלו"</f>
        <v>ערן שלו</v>
      </c>
    </row>
    <row r="1509" spans="1:56" x14ac:dyDescent="0.3">
      <c r="A1509" s="1">
        <v>44754</v>
      </c>
      <c r="B1509" t="str">
        <f>"CR227000046"</f>
        <v>CR227000046</v>
      </c>
      <c r="E1509" t="str">
        <f>"Y"</f>
        <v>Y</v>
      </c>
      <c r="F1509" t="str">
        <f>"חשבוניות זיכוי"</f>
        <v>חשבוניות זיכוי</v>
      </c>
      <c r="G1509" t="str">
        <f>"700065"</f>
        <v>700065</v>
      </c>
      <c r="H1509" t="str">
        <f>"אלתא מערכות בע""מ"</f>
        <v>אלתא מערכות בע"מ</v>
      </c>
      <c r="I1509" t="str">
        <f>"10"</f>
        <v>10</v>
      </c>
      <c r="J1509" t="str">
        <f>"OP-AR02258"</f>
        <v>OP-AR02258</v>
      </c>
      <c r="K1509" t="str">
        <f>"1038H392-001   TEST LAB CABLE"</f>
        <v>1038H392-001   TEST LAB CABLE</v>
      </c>
      <c r="L1509">
        <v>1</v>
      </c>
      <c r="M1509" t="str">
        <f>"יח"</f>
        <v>יח</v>
      </c>
      <c r="N1509">
        <v>1</v>
      </c>
      <c r="O1509" t="str">
        <f>"יח"</f>
        <v>יח</v>
      </c>
      <c r="P1509">
        <v>902.2</v>
      </c>
      <c r="Q1509" t="str">
        <f>"$"</f>
        <v>$</v>
      </c>
      <c r="R1509" t="str">
        <f>"ידני"</f>
        <v>ידני</v>
      </c>
      <c r="S1509">
        <v>0</v>
      </c>
      <c r="T1509">
        <v>902.2</v>
      </c>
      <c r="U1509">
        <v>0</v>
      </c>
      <c r="V1509">
        <v>902.2</v>
      </c>
      <c r="W1509" t="str">
        <f>"$"</f>
        <v>$</v>
      </c>
      <c r="X1509">
        <v>0</v>
      </c>
      <c r="Y1509">
        <v>0</v>
      </c>
      <c r="Z1509">
        <v>0</v>
      </c>
      <c r="AA1509" t="str">
        <f>"Y"</f>
        <v>Y</v>
      </c>
      <c r="AC1509">
        <v>0</v>
      </c>
      <c r="AM1509" t="str">
        <f>"10"</f>
        <v>10</v>
      </c>
      <c r="AN1509" t="str">
        <f>"500000"</f>
        <v>500000</v>
      </c>
      <c r="AO1509" t="str">
        <f>"הכנסות  מלקוחות"</f>
        <v>הכנסות  מלקוחות</v>
      </c>
      <c r="AQ1509" t="str">
        <f>"034"</f>
        <v>034</v>
      </c>
      <c r="AR1509">
        <v>0</v>
      </c>
      <c r="AS1509">
        <v>0</v>
      </c>
      <c r="AT1509">
        <v>3.278</v>
      </c>
      <c r="BD1509" t="str">
        <f>"ערן שלו"</f>
        <v>ערן שלו</v>
      </c>
    </row>
    <row r="1510" spans="1:56" x14ac:dyDescent="0.3">
      <c r="A1510" s="1">
        <v>44754</v>
      </c>
      <c r="B1510" t="str">
        <f>"CR227000045"</f>
        <v>CR227000045</v>
      </c>
      <c r="E1510" t="str">
        <f>"Y"</f>
        <v>Y</v>
      </c>
      <c r="F1510" t="str">
        <f>"חשבוניות זיכוי"</f>
        <v>חשבוניות זיכוי</v>
      </c>
      <c r="G1510" t="str">
        <f>"700065"</f>
        <v>700065</v>
      </c>
      <c r="H1510" t="str">
        <f>"אלתא מערכות בע""מ"</f>
        <v>אלתא מערכות בע"מ</v>
      </c>
      <c r="I1510" t="str">
        <f>"10"</f>
        <v>10</v>
      </c>
      <c r="J1510" t="str">
        <f>"000"</f>
        <v>000</v>
      </c>
      <c r="K1510" t="str">
        <f>"חשבונית זיכוי עבור הזמנה E000319715"</f>
        <v>חשבונית זיכוי עבור הזמנה E000319715</v>
      </c>
      <c r="L1510">
        <v>1</v>
      </c>
      <c r="M1510" t="str">
        <f>"יח"</f>
        <v>יח</v>
      </c>
      <c r="N1510">
        <v>1</v>
      </c>
      <c r="O1510" t="str">
        <f>"יח"</f>
        <v>יח</v>
      </c>
      <c r="P1510" s="2">
        <v>2304</v>
      </c>
      <c r="Q1510" t="str">
        <f>"$"</f>
        <v>$</v>
      </c>
      <c r="R1510" t="str">
        <f>"ידני"</f>
        <v>ידני</v>
      </c>
      <c r="S1510">
        <v>0</v>
      </c>
      <c r="T1510" s="2">
        <v>2304</v>
      </c>
      <c r="U1510">
        <v>0</v>
      </c>
      <c r="V1510" s="2">
        <v>2304</v>
      </c>
      <c r="W1510" t="str">
        <f>"$"</f>
        <v>$</v>
      </c>
      <c r="X1510">
        <v>0</v>
      </c>
      <c r="Y1510">
        <v>0</v>
      </c>
      <c r="Z1510">
        <v>0</v>
      </c>
      <c r="AA1510" t="str">
        <f>"Y"</f>
        <v>Y</v>
      </c>
      <c r="AC1510">
        <v>0</v>
      </c>
      <c r="AM1510" t="str">
        <f>"10"</f>
        <v>10</v>
      </c>
      <c r="AN1510" t="str">
        <f>"500000"</f>
        <v>500000</v>
      </c>
      <c r="AO1510" t="str">
        <f>"הכנסות  מלקוחות"</f>
        <v>הכנסות  מלקוחות</v>
      </c>
      <c r="AQ1510" t="str">
        <f>"034"</f>
        <v>034</v>
      </c>
      <c r="AR1510">
        <v>0</v>
      </c>
      <c r="AS1510">
        <v>0</v>
      </c>
      <c r="AT1510">
        <v>3.2370000000000001</v>
      </c>
      <c r="BD1510" t="str">
        <f>"ערן שלו"</f>
        <v>ערן שלו</v>
      </c>
    </row>
    <row r="1511" spans="1:56" x14ac:dyDescent="0.3">
      <c r="A1511" s="1">
        <v>44753</v>
      </c>
      <c r="B1511" t="str">
        <f>"CR227000044"</f>
        <v>CR227000044</v>
      </c>
      <c r="E1511" t="str">
        <f>"Y"</f>
        <v>Y</v>
      </c>
      <c r="F1511" t="str">
        <f>"חשבוניות זיכוי"</f>
        <v>חשבוניות זיכוי</v>
      </c>
      <c r="G1511" t="str">
        <f>"700065"</f>
        <v>700065</v>
      </c>
      <c r="H1511" t="str">
        <f>"אלתא מערכות בע""מ"</f>
        <v>אלתא מערכות בע"מ</v>
      </c>
      <c r="I1511" t="str">
        <f>"10"</f>
        <v>10</v>
      </c>
      <c r="J1511" t="str">
        <f>"000"</f>
        <v>000</v>
      </c>
      <c r="K1511" t="str">
        <f>"חשבונית זיכוי עבור הזמנה E000319715"</f>
        <v>חשבונית זיכוי עבור הזמנה E000319715</v>
      </c>
      <c r="L1511">
        <v>-1</v>
      </c>
      <c r="M1511" t="str">
        <f>"יח"</f>
        <v>יח</v>
      </c>
      <c r="N1511">
        <v>-1</v>
      </c>
      <c r="O1511" t="str">
        <f>"יח"</f>
        <v>יח</v>
      </c>
      <c r="P1511" s="2">
        <v>2304</v>
      </c>
      <c r="Q1511" t="str">
        <f>"$"</f>
        <v>$</v>
      </c>
      <c r="R1511" t="str">
        <f>"ידני"</f>
        <v>ידני</v>
      </c>
      <c r="S1511">
        <v>0</v>
      </c>
      <c r="T1511" s="2">
        <v>-2304</v>
      </c>
      <c r="U1511">
        <v>0</v>
      </c>
      <c r="V1511" s="2">
        <v>-2304</v>
      </c>
      <c r="W1511" t="str">
        <f>"$"</f>
        <v>$</v>
      </c>
      <c r="X1511">
        <v>0</v>
      </c>
      <c r="Y1511">
        <v>0</v>
      </c>
      <c r="Z1511">
        <v>0</v>
      </c>
      <c r="AA1511" t="str">
        <f>"Y"</f>
        <v>Y</v>
      </c>
      <c r="AC1511">
        <v>0</v>
      </c>
      <c r="AM1511" t="str">
        <f>"10"</f>
        <v>10</v>
      </c>
      <c r="AN1511" t="str">
        <f>"500000"</f>
        <v>500000</v>
      </c>
      <c r="AO1511" t="str">
        <f>"הכנסות  מלקוחות"</f>
        <v>הכנסות  מלקוחות</v>
      </c>
      <c r="AQ1511" t="str">
        <f>"034"</f>
        <v>034</v>
      </c>
      <c r="AR1511">
        <v>0</v>
      </c>
      <c r="AS1511">
        <v>0</v>
      </c>
      <c r="AT1511">
        <v>3.48</v>
      </c>
      <c r="BB1511" t="str">
        <f>"Y"</f>
        <v>Y</v>
      </c>
      <c r="BD1511" t="str">
        <f>"ערן שלו"</f>
        <v>ערן שלו</v>
      </c>
    </row>
    <row r="1512" spans="1:56" x14ac:dyDescent="0.3">
      <c r="A1512" s="1">
        <v>44753</v>
      </c>
      <c r="B1512" t="str">
        <f>"CR227000043"</f>
        <v>CR227000043</v>
      </c>
      <c r="E1512" t="str">
        <f>"Y"</f>
        <v>Y</v>
      </c>
      <c r="F1512" t="str">
        <f>"חשבוניות זיכוי"</f>
        <v>חשבוניות זיכוי</v>
      </c>
      <c r="G1512" t="str">
        <f>"700065"</f>
        <v>700065</v>
      </c>
      <c r="H1512" t="str">
        <f>"אלתא מערכות בע""מ"</f>
        <v>אלתא מערכות בע"מ</v>
      </c>
      <c r="I1512" t="str">
        <f>"10"</f>
        <v>10</v>
      </c>
      <c r="J1512" t="str">
        <f>"000"</f>
        <v>000</v>
      </c>
      <c r="K1512" t="str">
        <f>"חשבונית זיכוי עבור הזמנה E000319715"</f>
        <v>חשבונית זיכוי עבור הזמנה E000319715</v>
      </c>
      <c r="L1512">
        <v>1</v>
      </c>
      <c r="M1512" t="str">
        <f>"יח"</f>
        <v>יח</v>
      </c>
      <c r="N1512">
        <v>1</v>
      </c>
      <c r="O1512" t="str">
        <f>"יח"</f>
        <v>יח</v>
      </c>
      <c r="P1512" s="2">
        <v>2304</v>
      </c>
      <c r="Q1512" t="str">
        <f>"$"</f>
        <v>$</v>
      </c>
      <c r="R1512" t="str">
        <f>"ידני"</f>
        <v>ידני</v>
      </c>
      <c r="S1512">
        <v>0</v>
      </c>
      <c r="T1512" s="2">
        <v>2304</v>
      </c>
      <c r="U1512">
        <v>0</v>
      </c>
      <c r="V1512" s="2">
        <v>2304</v>
      </c>
      <c r="W1512" t="str">
        <f>"$"</f>
        <v>$</v>
      </c>
      <c r="X1512">
        <v>0</v>
      </c>
      <c r="Y1512">
        <v>0</v>
      </c>
      <c r="Z1512">
        <v>0</v>
      </c>
      <c r="AA1512" t="str">
        <f>"Y"</f>
        <v>Y</v>
      </c>
      <c r="AC1512">
        <v>0</v>
      </c>
      <c r="AM1512" t="str">
        <f>"10"</f>
        <v>10</v>
      </c>
      <c r="AN1512" t="str">
        <f>"500000"</f>
        <v>500000</v>
      </c>
      <c r="AO1512" t="str">
        <f>"הכנסות  מלקוחות"</f>
        <v>הכנסות  מלקוחות</v>
      </c>
      <c r="AQ1512" t="str">
        <f>"034"</f>
        <v>034</v>
      </c>
      <c r="AR1512">
        <v>0</v>
      </c>
      <c r="AS1512">
        <v>0</v>
      </c>
      <c r="AT1512">
        <v>3.48</v>
      </c>
      <c r="BB1512" t="str">
        <f>"Y"</f>
        <v>Y</v>
      </c>
      <c r="BD1512" t="str">
        <f>"ערן שלו"</f>
        <v>ערן שלו</v>
      </c>
    </row>
    <row r="1513" spans="1:56" x14ac:dyDescent="0.3">
      <c r="A1513" s="1">
        <v>44748</v>
      </c>
      <c r="B1513" t="str">
        <f>"SI226000775"</f>
        <v>SI226000775</v>
      </c>
      <c r="C1513" t="str">
        <f>"PR21000443"</f>
        <v>PR21000443</v>
      </c>
      <c r="E1513" t="str">
        <f>"Y"</f>
        <v>Y</v>
      </c>
      <c r="F1513" t="str">
        <f>"חשבוניות מרכזות"</f>
        <v>חשבוניות מרכזות</v>
      </c>
      <c r="G1513" t="str">
        <f>"700065"</f>
        <v>700065</v>
      </c>
      <c r="H1513" t="str">
        <f>"אלתא מערכות בע""מ"</f>
        <v>אלתא מערכות בע"מ</v>
      </c>
      <c r="I1513" t="str">
        <f>"10"</f>
        <v>10</v>
      </c>
      <c r="J1513" t="str">
        <f>"OP-ML00197"</f>
        <v>OP-ML00197</v>
      </c>
      <c r="K1513" t="str">
        <f>"1038C816-001 COMPUTER RACK"</f>
        <v>1038C816-001 COMPUTER RACK</v>
      </c>
      <c r="L1513">
        <v>1</v>
      </c>
      <c r="M1513" t="str">
        <f>"יח"</f>
        <v>יח</v>
      </c>
      <c r="N1513">
        <v>1</v>
      </c>
      <c r="O1513" t="str">
        <f>"יח"</f>
        <v>יח</v>
      </c>
      <c r="P1513" s="2">
        <v>47500</v>
      </c>
      <c r="Q1513" t="str">
        <f>"$"</f>
        <v>$</v>
      </c>
      <c r="R1513" t="str">
        <f>"הזמנה"</f>
        <v>הזמנה</v>
      </c>
      <c r="S1513">
        <v>0</v>
      </c>
      <c r="T1513" s="2">
        <v>47500</v>
      </c>
      <c r="U1513">
        <v>0</v>
      </c>
      <c r="V1513" s="2">
        <v>47500</v>
      </c>
      <c r="W1513" t="str">
        <f>"$"</f>
        <v>$</v>
      </c>
      <c r="X1513">
        <v>0</v>
      </c>
      <c r="Y1513">
        <v>0</v>
      </c>
      <c r="Z1513">
        <v>0</v>
      </c>
      <c r="AA1513" t="str">
        <f>"Y"</f>
        <v>Y</v>
      </c>
      <c r="AB1513" t="str">
        <f>"SO21000090"</f>
        <v>SO21000090</v>
      </c>
      <c r="AC1513">
        <v>4</v>
      </c>
      <c r="AD1513" s="1">
        <v>44251</v>
      </c>
      <c r="AE1513" t="str">
        <f>"SH22000804"</f>
        <v>SH22000804</v>
      </c>
      <c r="AF1513" t="str">
        <f>"משלוחים ללקוח"</f>
        <v>משלוחים ללקוח</v>
      </c>
      <c r="AG1513" s="1">
        <v>44747</v>
      </c>
      <c r="AM1513" t="str">
        <f>"10"</f>
        <v>10</v>
      </c>
      <c r="AN1513" t="str">
        <f>"500000"</f>
        <v>500000</v>
      </c>
      <c r="AO1513" t="str">
        <f>"הכנסות  מלקוחות"</f>
        <v>הכנסות  מלקוחות</v>
      </c>
      <c r="AQ1513" t="str">
        <f>"034"</f>
        <v>034</v>
      </c>
      <c r="AR1513">
        <v>0</v>
      </c>
      <c r="AS1513">
        <v>0</v>
      </c>
      <c r="AT1513">
        <v>3.5190000000000001</v>
      </c>
      <c r="AX1513" t="str">
        <f>"E000332763"</f>
        <v>E000332763</v>
      </c>
      <c r="BD1513" t="str">
        <f>"ערן שלו"</f>
        <v>ערן שלו</v>
      </c>
    </row>
    <row r="1514" spans="1:56" x14ac:dyDescent="0.3">
      <c r="A1514" s="1">
        <v>44747</v>
      </c>
      <c r="B1514" t="str">
        <f>"SI226000766"</f>
        <v>SI226000766</v>
      </c>
      <c r="E1514" t="str">
        <f>"Y"</f>
        <v>Y</v>
      </c>
      <c r="F1514" t="str">
        <f>"חשבוניות מרכזות"</f>
        <v>חשבוניות מרכזות</v>
      </c>
      <c r="G1514" t="str">
        <f>"700065"</f>
        <v>700065</v>
      </c>
      <c r="H1514" t="str">
        <f>"אלתא מערכות בע""מ"</f>
        <v>אלתא מערכות בע"מ</v>
      </c>
      <c r="I1514" t="str">
        <f>"10"</f>
        <v>10</v>
      </c>
      <c r="J1514" t="str">
        <f>"PD0200187"</f>
        <v>PD0200187</v>
      </c>
      <c r="K1514" t="str">
        <f>"מאמ""תXT4N 250 TMA In=200A 3p F F"</f>
        <v>מאמ"תXT4N 250 TMA In=200A 3p F F</v>
      </c>
      <c r="L1514">
        <v>2</v>
      </c>
      <c r="M1514" t="str">
        <f>"יח"</f>
        <v>יח</v>
      </c>
      <c r="N1514">
        <v>2</v>
      </c>
      <c r="O1514" t="str">
        <f>"יח"</f>
        <v>יח</v>
      </c>
      <c r="P1514">
        <v>225</v>
      </c>
      <c r="Q1514" t="str">
        <f>"$"</f>
        <v>$</v>
      </c>
      <c r="R1514" t="str">
        <f>"הזמנה"</f>
        <v>הזמנה</v>
      </c>
      <c r="S1514">
        <v>0</v>
      </c>
      <c r="T1514">
        <v>450</v>
      </c>
      <c r="U1514">
        <v>0</v>
      </c>
      <c r="V1514">
        <v>450</v>
      </c>
      <c r="W1514" t="str">
        <f>"$"</f>
        <v>$</v>
      </c>
      <c r="X1514">
        <v>0</v>
      </c>
      <c r="Y1514">
        <v>0</v>
      </c>
      <c r="Z1514">
        <v>0</v>
      </c>
      <c r="AA1514" t="str">
        <f>"Y"</f>
        <v>Y</v>
      </c>
      <c r="AB1514" t="str">
        <f>"SO22000266"</f>
        <v>SO22000266</v>
      </c>
      <c r="AC1514">
        <v>1</v>
      </c>
      <c r="AD1514" s="1">
        <v>44745</v>
      </c>
      <c r="AM1514" t="str">
        <f>"10"</f>
        <v>10</v>
      </c>
      <c r="AN1514" t="str">
        <f>"500000"</f>
        <v>500000</v>
      </c>
      <c r="AO1514" t="str">
        <f>"הכנסות  מלקוחות"</f>
        <v>הכנסות  מלקוחות</v>
      </c>
      <c r="AQ1514" t="str">
        <f>"034"</f>
        <v>034</v>
      </c>
      <c r="AR1514">
        <v>0</v>
      </c>
      <c r="AS1514">
        <v>0</v>
      </c>
      <c r="AT1514">
        <v>3.496</v>
      </c>
      <c r="AX1514" t="str">
        <f>"E000368936"</f>
        <v>E000368936</v>
      </c>
      <c r="BD1514" t="str">
        <f>"ערן שלו"</f>
        <v>ערן שלו</v>
      </c>
    </row>
    <row r="1515" spans="1:56" x14ac:dyDescent="0.3">
      <c r="A1515" s="1">
        <v>44746</v>
      </c>
      <c r="B1515" t="str">
        <f>"SI226000761"</f>
        <v>SI226000761</v>
      </c>
      <c r="E1515" t="str">
        <f>"Y"</f>
        <v>Y</v>
      </c>
      <c r="F1515" t="str">
        <f>"חשבוניות מרכזות"</f>
        <v>חשבוניות מרכזות</v>
      </c>
      <c r="G1515" t="str">
        <f>"700065"</f>
        <v>700065</v>
      </c>
      <c r="H1515" t="str">
        <f>"אלתא מערכות בע""מ"</f>
        <v>אלתא מערכות בע"מ</v>
      </c>
      <c r="I1515" t="str">
        <f>"05"</f>
        <v>05</v>
      </c>
      <c r="J1515" t="str">
        <f>"OP-PD02883"</f>
        <v>OP-PD02883</v>
      </c>
      <c r="K1515" t="str">
        <f>"ISOLATION TRANSFORMER UNIT 70KVA"</f>
        <v>ISOLATION TRANSFORMER UNIT 70KVA</v>
      </c>
      <c r="L1515">
        <v>1</v>
      </c>
      <c r="M1515" t="str">
        <f>"יח"</f>
        <v>יח</v>
      </c>
      <c r="N1515">
        <v>1</v>
      </c>
      <c r="O1515" t="str">
        <f>"יח"</f>
        <v>יח</v>
      </c>
      <c r="P1515" s="2">
        <v>17670</v>
      </c>
      <c r="Q1515" t="str">
        <f>"$"</f>
        <v>$</v>
      </c>
      <c r="R1515" t="str">
        <f>"הזמנה"</f>
        <v>הזמנה</v>
      </c>
      <c r="S1515">
        <v>0</v>
      </c>
      <c r="T1515" s="2">
        <v>17670</v>
      </c>
      <c r="U1515">
        <v>0</v>
      </c>
      <c r="V1515" s="2">
        <v>17670</v>
      </c>
      <c r="W1515" t="str">
        <f>"$"</f>
        <v>$</v>
      </c>
      <c r="X1515">
        <v>0</v>
      </c>
      <c r="Y1515">
        <v>0</v>
      </c>
      <c r="Z1515">
        <v>0</v>
      </c>
      <c r="AA1515" t="str">
        <f>"Y"</f>
        <v>Y</v>
      </c>
      <c r="AB1515" t="str">
        <f>"SO21000184"</f>
        <v>SO21000184</v>
      </c>
      <c r="AC1515">
        <v>12</v>
      </c>
      <c r="AD1515" s="1">
        <v>44307</v>
      </c>
      <c r="AE1515" t="str">
        <f>"SH22000911"</f>
        <v>SH22000911</v>
      </c>
      <c r="AF1515" t="str">
        <f>"משלוחים ללקוח"</f>
        <v>משלוחים ללקוח</v>
      </c>
      <c r="AG1515" s="1">
        <v>44770</v>
      </c>
      <c r="AM1515" t="str">
        <f>"10"</f>
        <v>10</v>
      </c>
      <c r="AN1515" t="str">
        <f>"500000"</f>
        <v>500000</v>
      </c>
      <c r="AO1515" t="str">
        <f>"הכנסות  מלקוחות"</f>
        <v>הכנסות  מלקוחות</v>
      </c>
      <c r="AQ1515" t="str">
        <f>"034"</f>
        <v>034</v>
      </c>
      <c r="AR1515">
        <v>0</v>
      </c>
      <c r="AS1515">
        <v>0</v>
      </c>
      <c r="AT1515">
        <v>3.5259999999999998</v>
      </c>
      <c r="AX1515" t="str">
        <f>"E000336430"</f>
        <v>E000336430</v>
      </c>
      <c r="BD1515" t="str">
        <f>"ערן שלו"</f>
        <v>ערן שלו</v>
      </c>
    </row>
    <row r="1516" spans="1:56" x14ac:dyDescent="0.3">
      <c r="A1516" s="1">
        <v>44746</v>
      </c>
      <c r="B1516" t="str">
        <f>"SI226000760"</f>
        <v>SI226000760</v>
      </c>
      <c r="E1516" t="str">
        <f>"Y"</f>
        <v>Y</v>
      </c>
      <c r="F1516" t="str">
        <f>"חשבוניות מרכזות"</f>
        <v>חשבוניות מרכזות</v>
      </c>
      <c r="G1516" t="str">
        <f>"700065"</f>
        <v>700065</v>
      </c>
      <c r="H1516" t="str">
        <f>"אלתא מערכות בע""מ"</f>
        <v>אלתא מערכות בע"מ</v>
      </c>
      <c r="I1516" t="str">
        <f>"05"</f>
        <v>05</v>
      </c>
      <c r="J1516" t="str">
        <f>"OP-PD02882"</f>
        <v>OP-PD02882</v>
      </c>
      <c r="K1516" t="str">
        <f>"ISOLATION TRANSFORMER UNIT 200KVA"</f>
        <v>ISOLATION TRANSFORMER UNIT 200KVA</v>
      </c>
      <c r="L1516">
        <v>1</v>
      </c>
      <c r="M1516" t="str">
        <f>"יח"</f>
        <v>יח</v>
      </c>
      <c r="N1516">
        <v>1</v>
      </c>
      <c r="O1516" t="str">
        <f>"יח"</f>
        <v>יח</v>
      </c>
      <c r="P1516" s="2">
        <v>35340</v>
      </c>
      <c r="Q1516" t="str">
        <f>"$"</f>
        <v>$</v>
      </c>
      <c r="R1516" t="str">
        <f>"הזמנה"</f>
        <v>הזמנה</v>
      </c>
      <c r="S1516">
        <v>0</v>
      </c>
      <c r="T1516" s="2">
        <v>35340</v>
      </c>
      <c r="U1516">
        <v>0</v>
      </c>
      <c r="V1516" s="2">
        <v>35340</v>
      </c>
      <c r="W1516" t="str">
        <f>"$"</f>
        <v>$</v>
      </c>
      <c r="X1516">
        <v>0</v>
      </c>
      <c r="Y1516">
        <v>0</v>
      </c>
      <c r="Z1516">
        <v>0</v>
      </c>
      <c r="AA1516" t="str">
        <f>"Y"</f>
        <v>Y</v>
      </c>
      <c r="AB1516" t="str">
        <f>"SO21000184"</f>
        <v>SO21000184</v>
      </c>
      <c r="AC1516">
        <v>25</v>
      </c>
      <c r="AD1516" s="1">
        <v>44307</v>
      </c>
      <c r="AE1516" t="str">
        <f>"SH22000910"</f>
        <v>SH22000910</v>
      </c>
      <c r="AF1516" t="str">
        <f>"משלוחים ללקוח"</f>
        <v>משלוחים ללקוח</v>
      </c>
      <c r="AG1516" s="1">
        <v>44770</v>
      </c>
      <c r="AM1516" t="str">
        <f>"10"</f>
        <v>10</v>
      </c>
      <c r="AN1516" t="str">
        <f>"500000"</f>
        <v>500000</v>
      </c>
      <c r="AO1516" t="str">
        <f>"הכנסות  מלקוחות"</f>
        <v>הכנסות  מלקוחות</v>
      </c>
      <c r="AQ1516" t="str">
        <f>"034"</f>
        <v>034</v>
      </c>
      <c r="AR1516">
        <v>0</v>
      </c>
      <c r="AS1516">
        <v>0</v>
      </c>
      <c r="AT1516">
        <v>3.5259999999999998</v>
      </c>
      <c r="AX1516" t="str">
        <f>"E000336430"</f>
        <v>E000336430</v>
      </c>
      <c r="BD1516" t="str">
        <f>"ערן שלו"</f>
        <v>ערן שלו</v>
      </c>
    </row>
    <row r="1517" spans="1:56" x14ac:dyDescent="0.3">
      <c r="A1517" s="1">
        <v>44746</v>
      </c>
      <c r="B1517" t="str">
        <f>"SI226000759"</f>
        <v>SI226000759</v>
      </c>
      <c r="E1517" t="str">
        <f>"Y"</f>
        <v>Y</v>
      </c>
      <c r="F1517" t="str">
        <f>"חשבוניות מרכזות"</f>
        <v>חשבוניות מרכזות</v>
      </c>
      <c r="G1517" t="str">
        <f>"700065"</f>
        <v>700065</v>
      </c>
      <c r="H1517" t="str">
        <f>"אלתא מערכות בע""מ"</f>
        <v>אלתא מערכות בע"מ</v>
      </c>
      <c r="I1517" t="str">
        <f>"05"</f>
        <v>05</v>
      </c>
      <c r="J1517" t="str">
        <f>"OP-PD02882"</f>
        <v>OP-PD02882</v>
      </c>
      <c r="K1517" t="str">
        <f>"ISOLATION TRANSFORMER UNIT 200KVA"</f>
        <v>ISOLATION TRANSFORMER UNIT 200KVA</v>
      </c>
      <c r="L1517">
        <v>1</v>
      </c>
      <c r="M1517" t="str">
        <f>"יח"</f>
        <v>יח</v>
      </c>
      <c r="N1517">
        <v>1</v>
      </c>
      <c r="O1517" t="str">
        <f>"יח"</f>
        <v>יח</v>
      </c>
      <c r="P1517" s="2">
        <v>35340</v>
      </c>
      <c r="Q1517" t="str">
        <f>"$"</f>
        <v>$</v>
      </c>
      <c r="R1517" t="str">
        <f>"הזמנה"</f>
        <v>הזמנה</v>
      </c>
      <c r="S1517">
        <v>0</v>
      </c>
      <c r="T1517" s="2">
        <v>35340</v>
      </c>
      <c r="U1517">
        <v>0</v>
      </c>
      <c r="V1517" s="2">
        <v>35340</v>
      </c>
      <c r="W1517" t="str">
        <f>"$"</f>
        <v>$</v>
      </c>
      <c r="X1517">
        <v>0</v>
      </c>
      <c r="Y1517">
        <v>0</v>
      </c>
      <c r="Z1517">
        <v>0</v>
      </c>
      <c r="AA1517" t="str">
        <f>"Y"</f>
        <v>Y</v>
      </c>
      <c r="AB1517" t="str">
        <f>"SO21000184"</f>
        <v>SO21000184</v>
      </c>
      <c r="AC1517">
        <v>2</v>
      </c>
      <c r="AD1517" s="1">
        <v>44307</v>
      </c>
      <c r="AE1517" t="str">
        <f>"SH22000910"</f>
        <v>SH22000910</v>
      </c>
      <c r="AF1517" t="str">
        <f>"משלוחים ללקוח"</f>
        <v>משלוחים ללקוח</v>
      </c>
      <c r="AG1517" s="1">
        <v>44770</v>
      </c>
      <c r="AM1517" t="str">
        <f>"10"</f>
        <v>10</v>
      </c>
      <c r="AN1517" t="str">
        <f>"500000"</f>
        <v>500000</v>
      </c>
      <c r="AO1517" t="str">
        <f>"הכנסות  מלקוחות"</f>
        <v>הכנסות  מלקוחות</v>
      </c>
      <c r="AQ1517" t="str">
        <f>"034"</f>
        <v>034</v>
      </c>
      <c r="AR1517">
        <v>0</v>
      </c>
      <c r="AS1517">
        <v>0</v>
      </c>
      <c r="AT1517">
        <v>3.5259999999999998</v>
      </c>
      <c r="AX1517" t="str">
        <f>"E000336430"</f>
        <v>E000336430</v>
      </c>
      <c r="BD1517" t="str">
        <f>"ערן שלו"</f>
        <v>ערן שלו</v>
      </c>
    </row>
    <row r="1518" spans="1:56" x14ac:dyDescent="0.3">
      <c r="A1518" s="1">
        <v>44746</v>
      </c>
      <c r="B1518" t="str">
        <f>"SI226000758"</f>
        <v>SI226000758</v>
      </c>
      <c r="E1518" t="str">
        <f>"Y"</f>
        <v>Y</v>
      </c>
      <c r="F1518" t="str">
        <f>"חשבוניות מרכזות"</f>
        <v>חשבוניות מרכזות</v>
      </c>
      <c r="G1518" t="str">
        <f>"700065"</f>
        <v>700065</v>
      </c>
      <c r="H1518" t="str">
        <f>"אלתא מערכות בע""מ"</f>
        <v>אלתא מערכות בע"מ</v>
      </c>
      <c r="I1518" t="str">
        <f>"05"</f>
        <v>05</v>
      </c>
      <c r="J1518" t="str">
        <f>"OP-PD02882"</f>
        <v>OP-PD02882</v>
      </c>
      <c r="K1518" t="str">
        <f>"ISOLATION TRANSFORMER UNIT 200KVA"</f>
        <v>ISOLATION TRANSFORMER UNIT 200KVA</v>
      </c>
      <c r="L1518">
        <v>1</v>
      </c>
      <c r="M1518" t="str">
        <f>"יח"</f>
        <v>יח</v>
      </c>
      <c r="N1518">
        <v>1</v>
      </c>
      <c r="O1518" t="str">
        <f>"יח"</f>
        <v>יח</v>
      </c>
      <c r="P1518" s="2">
        <v>35340</v>
      </c>
      <c r="Q1518" t="str">
        <f>"$"</f>
        <v>$</v>
      </c>
      <c r="R1518" t="str">
        <f>"הזמנה"</f>
        <v>הזמנה</v>
      </c>
      <c r="S1518">
        <v>0</v>
      </c>
      <c r="T1518" s="2">
        <v>35340</v>
      </c>
      <c r="U1518">
        <v>0</v>
      </c>
      <c r="V1518" s="2">
        <v>35340</v>
      </c>
      <c r="W1518" t="str">
        <f>"$"</f>
        <v>$</v>
      </c>
      <c r="X1518">
        <v>0</v>
      </c>
      <c r="Y1518">
        <v>0</v>
      </c>
      <c r="Z1518">
        <v>0</v>
      </c>
      <c r="AA1518" t="str">
        <f>"Y"</f>
        <v>Y</v>
      </c>
      <c r="AB1518" t="str">
        <f>"SO21000184"</f>
        <v>SO21000184</v>
      </c>
      <c r="AC1518">
        <v>2</v>
      </c>
      <c r="AD1518" s="1">
        <v>44307</v>
      </c>
      <c r="AE1518" t="str">
        <f>"SH22000910"</f>
        <v>SH22000910</v>
      </c>
      <c r="AF1518" t="str">
        <f>"משלוחים ללקוח"</f>
        <v>משלוחים ללקוח</v>
      </c>
      <c r="AG1518" s="1">
        <v>44770</v>
      </c>
      <c r="AM1518" t="str">
        <f>"10"</f>
        <v>10</v>
      </c>
      <c r="AN1518" t="str">
        <f>"500000"</f>
        <v>500000</v>
      </c>
      <c r="AO1518" t="str">
        <f>"הכנסות  מלקוחות"</f>
        <v>הכנסות  מלקוחות</v>
      </c>
      <c r="AQ1518" t="str">
        <f>"034"</f>
        <v>034</v>
      </c>
      <c r="AR1518">
        <v>0</v>
      </c>
      <c r="AS1518">
        <v>0</v>
      </c>
      <c r="AT1518">
        <v>3.5259999999999998</v>
      </c>
      <c r="AX1518" t="str">
        <f>"E000336430"</f>
        <v>E000336430</v>
      </c>
      <c r="BD1518" t="str">
        <f>"ערן שלו"</f>
        <v>ערן שלו</v>
      </c>
    </row>
    <row r="1519" spans="1:56" x14ac:dyDescent="0.3">
      <c r="A1519" s="1">
        <v>44746</v>
      </c>
      <c r="B1519" t="str">
        <f>"SI226000757"</f>
        <v>SI226000757</v>
      </c>
      <c r="E1519" t="str">
        <f>"Y"</f>
        <v>Y</v>
      </c>
      <c r="F1519" t="str">
        <f>"חשבוניות מרכזות"</f>
        <v>חשבוניות מרכזות</v>
      </c>
      <c r="G1519" t="str">
        <f>"700065"</f>
        <v>700065</v>
      </c>
      <c r="H1519" t="str">
        <f>"אלתא מערכות בע""מ"</f>
        <v>אלתא מערכות בע"מ</v>
      </c>
      <c r="I1519" t="str">
        <f>"05"</f>
        <v>05</v>
      </c>
      <c r="J1519" t="str">
        <f>"OP-PD02882"</f>
        <v>OP-PD02882</v>
      </c>
      <c r="K1519" t="str">
        <f>"ISOLATION TRANSFORMER UNIT 200KVA"</f>
        <v>ISOLATION TRANSFORMER UNIT 200KVA</v>
      </c>
      <c r="L1519">
        <v>-2</v>
      </c>
      <c r="M1519" t="str">
        <f>"יח"</f>
        <v>יח</v>
      </c>
      <c r="N1519">
        <v>-2</v>
      </c>
      <c r="O1519" t="str">
        <f>"יח"</f>
        <v>יח</v>
      </c>
      <c r="P1519" s="2">
        <v>35340</v>
      </c>
      <c r="Q1519" t="str">
        <f>"$"</f>
        <v>$</v>
      </c>
      <c r="R1519" t="str">
        <f>"הזמנה"</f>
        <v>הזמנה</v>
      </c>
      <c r="S1519">
        <v>0</v>
      </c>
      <c r="T1519" s="2">
        <v>-70680</v>
      </c>
      <c r="U1519">
        <v>0</v>
      </c>
      <c r="V1519" s="2">
        <v>-70680</v>
      </c>
      <c r="W1519" t="str">
        <f>"$"</f>
        <v>$</v>
      </c>
      <c r="X1519">
        <v>0</v>
      </c>
      <c r="Y1519">
        <v>0</v>
      </c>
      <c r="Z1519">
        <v>0</v>
      </c>
      <c r="AA1519" t="str">
        <f>"Y"</f>
        <v>Y</v>
      </c>
      <c r="AC1519">
        <v>0</v>
      </c>
      <c r="AM1519" t="str">
        <f>"10"</f>
        <v>10</v>
      </c>
      <c r="AN1519" t="str">
        <f>"500000"</f>
        <v>500000</v>
      </c>
      <c r="AO1519" t="str">
        <f>"הכנסות  מלקוחות"</f>
        <v>הכנסות  מלקוחות</v>
      </c>
      <c r="AQ1519" t="str">
        <f>"034"</f>
        <v>034</v>
      </c>
      <c r="AR1519">
        <v>0</v>
      </c>
      <c r="AS1519">
        <v>0</v>
      </c>
      <c r="AT1519">
        <v>3.5259999999999998</v>
      </c>
      <c r="BB1519" t="str">
        <f>"Y"</f>
        <v>Y</v>
      </c>
      <c r="BD1519" t="str">
        <f>"ערן שלו"</f>
        <v>ערן שלו</v>
      </c>
    </row>
    <row r="1520" spans="1:56" x14ac:dyDescent="0.3">
      <c r="A1520" s="1">
        <v>44746</v>
      </c>
      <c r="B1520" t="str">
        <f>"SI226000757"</f>
        <v>SI226000757</v>
      </c>
      <c r="E1520" t="str">
        <f>"Y"</f>
        <v>Y</v>
      </c>
      <c r="F1520" t="str">
        <f>"חשבוניות מרכזות"</f>
        <v>חשבוניות מרכזות</v>
      </c>
      <c r="G1520" t="str">
        <f>"700065"</f>
        <v>700065</v>
      </c>
      <c r="H1520" t="str">
        <f>"אלתא מערכות בע""מ"</f>
        <v>אלתא מערכות בע"מ</v>
      </c>
      <c r="I1520" t="str">
        <f>"05"</f>
        <v>05</v>
      </c>
      <c r="J1520" t="str">
        <f>"OP-PD02883"</f>
        <v>OP-PD02883</v>
      </c>
      <c r="K1520" t="str">
        <f>"ISOLATION TRANSFORMER UNIT 70KVA"</f>
        <v>ISOLATION TRANSFORMER UNIT 70KVA</v>
      </c>
      <c r="L1520">
        <v>-1</v>
      </c>
      <c r="M1520" t="str">
        <f>"יח"</f>
        <v>יח</v>
      </c>
      <c r="N1520">
        <v>-1</v>
      </c>
      <c r="O1520" t="str">
        <f>"יח"</f>
        <v>יח</v>
      </c>
      <c r="P1520" s="2">
        <v>17670</v>
      </c>
      <c r="Q1520" t="str">
        <f>"$"</f>
        <v>$</v>
      </c>
      <c r="R1520" t="str">
        <f>"הזמנה"</f>
        <v>הזמנה</v>
      </c>
      <c r="S1520">
        <v>0</v>
      </c>
      <c r="T1520" s="2">
        <v>-17670</v>
      </c>
      <c r="U1520">
        <v>0</v>
      </c>
      <c r="V1520" s="2">
        <v>-17670</v>
      </c>
      <c r="W1520" t="str">
        <f>"$"</f>
        <v>$</v>
      </c>
      <c r="X1520">
        <v>0</v>
      </c>
      <c r="Y1520">
        <v>0</v>
      </c>
      <c r="Z1520">
        <v>0</v>
      </c>
      <c r="AA1520" t="str">
        <f>"Y"</f>
        <v>Y</v>
      </c>
      <c r="AC1520">
        <v>0</v>
      </c>
      <c r="AM1520" t="str">
        <f>"10"</f>
        <v>10</v>
      </c>
      <c r="AN1520" t="str">
        <f>"500000"</f>
        <v>500000</v>
      </c>
      <c r="AO1520" t="str">
        <f>"הכנסות  מלקוחות"</f>
        <v>הכנסות  מלקוחות</v>
      </c>
      <c r="AQ1520" t="str">
        <f>"034"</f>
        <v>034</v>
      </c>
      <c r="AR1520">
        <v>0</v>
      </c>
      <c r="AS1520">
        <v>0</v>
      </c>
      <c r="AT1520">
        <v>3.5259999999999998</v>
      </c>
      <c r="BB1520" t="str">
        <f>"Y"</f>
        <v>Y</v>
      </c>
      <c r="BD1520" t="str">
        <f>"ערן שלו"</f>
        <v>ערן שלו</v>
      </c>
    </row>
    <row r="1521" spans="1:56" x14ac:dyDescent="0.3">
      <c r="A1521" s="1">
        <v>44746</v>
      </c>
      <c r="B1521" t="str">
        <f>"SI226000757"</f>
        <v>SI226000757</v>
      </c>
      <c r="E1521" t="str">
        <f>"Y"</f>
        <v>Y</v>
      </c>
      <c r="F1521" t="str">
        <f>"חשבוניות מרכזות"</f>
        <v>חשבוניות מרכזות</v>
      </c>
      <c r="G1521" t="str">
        <f>"700065"</f>
        <v>700065</v>
      </c>
      <c r="H1521" t="str">
        <f>"אלתא מערכות בע""מ"</f>
        <v>אלתא מערכות בע"מ</v>
      </c>
      <c r="I1521" t="str">
        <f>"05"</f>
        <v>05</v>
      </c>
      <c r="J1521" t="str">
        <f>"OP-PD02882"</f>
        <v>OP-PD02882</v>
      </c>
      <c r="K1521" t="str">
        <f>"ISOLATION TRANSFORMER UNIT 200KVA"</f>
        <v>ISOLATION TRANSFORMER UNIT 200KVA</v>
      </c>
      <c r="L1521">
        <v>-1</v>
      </c>
      <c r="M1521" t="str">
        <f>"יח"</f>
        <v>יח</v>
      </c>
      <c r="N1521">
        <v>-1</v>
      </c>
      <c r="O1521" t="str">
        <f>"יח"</f>
        <v>יח</v>
      </c>
      <c r="P1521" s="2">
        <v>35340</v>
      </c>
      <c r="Q1521" t="str">
        <f>"$"</f>
        <v>$</v>
      </c>
      <c r="R1521" t="str">
        <f>"הזמנה"</f>
        <v>הזמנה</v>
      </c>
      <c r="S1521">
        <v>0</v>
      </c>
      <c r="T1521" s="2">
        <v>-35340</v>
      </c>
      <c r="U1521">
        <v>0</v>
      </c>
      <c r="V1521" s="2">
        <v>-35340</v>
      </c>
      <c r="W1521" t="str">
        <f>"$"</f>
        <v>$</v>
      </c>
      <c r="X1521">
        <v>0</v>
      </c>
      <c r="Y1521">
        <v>0</v>
      </c>
      <c r="Z1521">
        <v>0</v>
      </c>
      <c r="AA1521" t="str">
        <f>"Y"</f>
        <v>Y</v>
      </c>
      <c r="AC1521">
        <v>0</v>
      </c>
      <c r="AM1521" t="str">
        <f>"10"</f>
        <v>10</v>
      </c>
      <c r="AN1521" t="str">
        <f>"500000"</f>
        <v>500000</v>
      </c>
      <c r="AO1521" t="str">
        <f>"הכנסות  מלקוחות"</f>
        <v>הכנסות  מלקוחות</v>
      </c>
      <c r="AQ1521" t="str">
        <f>"034"</f>
        <v>034</v>
      </c>
      <c r="AR1521">
        <v>0</v>
      </c>
      <c r="AS1521">
        <v>0</v>
      </c>
      <c r="AT1521">
        <v>3.5259999999999998</v>
      </c>
      <c r="BB1521" t="str">
        <f>"Y"</f>
        <v>Y</v>
      </c>
      <c r="BD1521" t="str">
        <f>"ערן שלו"</f>
        <v>ערן שלו</v>
      </c>
    </row>
    <row r="1522" spans="1:56" x14ac:dyDescent="0.3">
      <c r="A1522" s="1">
        <v>44746</v>
      </c>
      <c r="B1522" t="str">
        <f>"SI226000756"</f>
        <v>SI226000756</v>
      </c>
      <c r="E1522" t="str">
        <f>"Y"</f>
        <v>Y</v>
      </c>
      <c r="F1522" t="str">
        <f>"חשבוניות מרכזות"</f>
        <v>חשבוניות מרכזות</v>
      </c>
      <c r="G1522" t="str">
        <f>"700065"</f>
        <v>700065</v>
      </c>
      <c r="H1522" t="str">
        <f>"אלתא מערכות בע""מ"</f>
        <v>אלתא מערכות בע"מ</v>
      </c>
      <c r="I1522" t="str">
        <f>"10"</f>
        <v>10</v>
      </c>
      <c r="J1522" t="str">
        <f>"SH0100029"</f>
        <v>SH0100029</v>
      </c>
      <c r="K1522" t="str">
        <f>"שנאי 150KAV לפי מפרט מצורף קומפלט"</f>
        <v>שנאי 150KAV לפי מפרט מצורף קומפלט</v>
      </c>
      <c r="L1522">
        <v>2</v>
      </c>
      <c r="M1522" t="str">
        <f>"יח"</f>
        <v>יח</v>
      </c>
      <c r="N1522">
        <v>2</v>
      </c>
      <c r="O1522" t="str">
        <f>"יח"</f>
        <v>יח</v>
      </c>
      <c r="P1522" s="2">
        <v>18395</v>
      </c>
      <c r="Q1522" t="str">
        <f>"$"</f>
        <v>$</v>
      </c>
      <c r="R1522" t="str">
        <f>"הזמנה"</f>
        <v>הזמנה</v>
      </c>
      <c r="S1522">
        <v>0</v>
      </c>
      <c r="T1522" s="2">
        <v>36790</v>
      </c>
      <c r="U1522">
        <v>0</v>
      </c>
      <c r="V1522" s="2">
        <v>36790</v>
      </c>
      <c r="W1522" t="str">
        <f>"$"</f>
        <v>$</v>
      </c>
      <c r="X1522">
        <v>0</v>
      </c>
      <c r="Y1522">
        <v>0</v>
      </c>
      <c r="Z1522">
        <v>0</v>
      </c>
      <c r="AA1522" t="str">
        <f>"Y"</f>
        <v>Y</v>
      </c>
      <c r="AB1522" t="str">
        <f>"SO22000133"</f>
        <v>SO22000133</v>
      </c>
      <c r="AC1522">
        <v>1</v>
      </c>
      <c r="AD1522" s="1">
        <v>44664</v>
      </c>
      <c r="AE1522" t="str">
        <f>"SH22000843"</f>
        <v>SH22000843</v>
      </c>
      <c r="AF1522" t="str">
        <f>"משלוחים ללקוח"</f>
        <v>משלוחים ללקוח</v>
      </c>
      <c r="AG1522" s="1">
        <v>44759</v>
      </c>
      <c r="AM1522" t="str">
        <f>"10"</f>
        <v>10</v>
      </c>
      <c r="AN1522" t="str">
        <f>"500000"</f>
        <v>500000</v>
      </c>
      <c r="AO1522" t="str">
        <f>"הכנסות  מלקוחות"</f>
        <v>הכנסות  מלקוחות</v>
      </c>
      <c r="AQ1522" t="str">
        <f>"007"</f>
        <v>007</v>
      </c>
      <c r="AR1522">
        <v>0</v>
      </c>
      <c r="AS1522">
        <v>0</v>
      </c>
      <c r="AT1522">
        <v>3.5259999999999998</v>
      </c>
      <c r="AX1522" t="str">
        <f>"E000361934"</f>
        <v>E000361934</v>
      </c>
      <c r="BD1522" t="str">
        <f>"רוני דידי"</f>
        <v>רוני דידי</v>
      </c>
    </row>
    <row r="1523" spans="1:56" x14ac:dyDescent="0.3">
      <c r="A1523" s="1">
        <v>44746</v>
      </c>
      <c r="B1523" t="str">
        <f>"SI226000755"</f>
        <v>SI226000755</v>
      </c>
      <c r="E1523" t="str">
        <f>"Y"</f>
        <v>Y</v>
      </c>
      <c r="F1523" t="str">
        <f>"חשבוניות מרכזות"</f>
        <v>חשבוניות מרכזות</v>
      </c>
      <c r="G1523" t="str">
        <f>"700065"</f>
        <v>700065</v>
      </c>
      <c r="H1523" t="str">
        <f>"אלתא מערכות בע""מ"</f>
        <v>אלתא מערכות בע"מ</v>
      </c>
      <c r="I1523" t="str">
        <f>"05"</f>
        <v>05</v>
      </c>
      <c r="J1523" t="str">
        <f>"OP-PD02882"</f>
        <v>OP-PD02882</v>
      </c>
      <c r="K1523" t="str">
        <f>"ISOLATION TRANSFORMER UNIT 200KVA"</f>
        <v>ISOLATION TRANSFORMER UNIT 200KVA</v>
      </c>
      <c r="L1523">
        <v>2</v>
      </c>
      <c r="M1523" t="str">
        <f>"יח"</f>
        <v>יח</v>
      </c>
      <c r="N1523">
        <v>2</v>
      </c>
      <c r="O1523" t="str">
        <f>"יח"</f>
        <v>יח</v>
      </c>
      <c r="P1523" s="2">
        <v>35340</v>
      </c>
      <c r="Q1523" t="str">
        <f>"$"</f>
        <v>$</v>
      </c>
      <c r="R1523" t="str">
        <f>"הזמנה"</f>
        <v>הזמנה</v>
      </c>
      <c r="S1523">
        <v>0</v>
      </c>
      <c r="T1523" s="2">
        <v>70680</v>
      </c>
      <c r="U1523">
        <v>0</v>
      </c>
      <c r="V1523" s="2">
        <v>70680</v>
      </c>
      <c r="W1523" t="str">
        <f>"$"</f>
        <v>$</v>
      </c>
      <c r="X1523">
        <v>0</v>
      </c>
      <c r="Y1523">
        <v>0</v>
      </c>
      <c r="Z1523">
        <v>0</v>
      </c>
      <c r="AA1523" t="str">
        <f>"Y"</f>
        <v>Y</v>
      </c>
      <c r="AC1523">
        <v>0</v>
      </c>
      <c r="AM1523" t="str">
        <f>"10"</f>
        <v>10</v>
      </c>
      <c r="AN1523" t="str">
        <f>"500000"</f>
        <v>500000</v>
      </c>
      <c r="AO1523" t="str">
        <f>"הכנסות  מלקוחות"</f>
        <v>הכנסות  מלקוחות</v>
      </c>
      <c r="AQ1523" t="str">
        <f>"034"</f>
        <v>034</v>
      </c>
      <c r="AR1523">
        <v>0</v>
      </c>
      <c r="AS1523">
        <v>0</v>
      </c>
      <c r="AT1523">
        <v>3.5259999999999998</v>
      </c>
      <c r="BB1523" t="str">
        <f>"Y"</f>
        <v>Y</v>
      </c>
      <c r="BD1523" t="str">
        <f>"ערן שלו"</f>
        <v>ערן שלו</v>
      </c>
    </row>
    <row r="1524" spans="1:56" x14ac:dyDescent="0.3">
      <c r="A1524" s="1">
        <v>44746</v>
      </c>
      <c r="B1524" t="str">
        <f>"SI226000755"</f>
        <v>SI226000755</v>
      </c>
      <c r="E1524" t="str">
        <f>"Y"</f>
        <v>Y</v>
      </c>
      <c r="F1524" t="str">
        <f>"חשבוניות מרכזות"</f>
        <v>חשבוניות מרכזות</v>
      </c>
      <c r="G1524" t="str">
        <f>"700065"</f>
        <v>700065</v>
      </c>
      <c r="H1524" t="str">
        <f>"אלתא מערכות בע""מ"</f>
        <v>אלתא מערכות בע"מ</v>
      </c>
      <c r="I1524" t="str">
        <f>"05"</f>
        <v>05</v>
      </c>
      <c r="J1524" t="str">
        <f>"OP-PD02883"</f>
        <v>OP-PD02883</v>
      </c>
      <c r="K1524" t="str">
        <f>"ISOLATION TRANSFORMER UNIT 70KVA"</f>
        <v>ISOLATION TRANSFORMER UNIT 70KVA</v>
      </c>
      <c r="L1524">
        <v>1</v>
      </c>
      <c r="M1524" t="str">
        <f>"יח"</f>
        <v>יח</v>
      </c>
      <c r="N1524">
        <v>1</v>
      </c>
      <c r="O1524" t="str">
        <f>"יח"</f>
        <v>יח</v>
      </c>
      <c r="P1524" s="2">
        <v>17670</v>
      </c>
      <c r="Q1524" t="str">
        <f>"$"</f>
        <v>$</v>
      </c>
      <c r="R1524" t="str">
        <f>"הזמנה"</f>
        <v>הזמנה</v>
      </c>
      <c r="S1524">
        <v>0</v>
      </c>
      <c r="T1524" s="2">
        <v>17670</v>
      </c>
      <c r="U1524">
        <v>0</v>
      </c>
      <c r="V1524" s="2">
        <v>17670</v>
      </c>
      <c r="W1524" t="str">
        <f>"$"</f>
        <v>$</v>
      </c>
      <c r="X1524">
        <v>0</v>
      </c>
      <c r="Y1524">
        <v>0</v>
      </c>
      <c r="Z1524">
        <v>0</v>
      </c>
      <c r="AA1524" t="str">
        <f>"Y"</f>
        <v>Y</v>
      </c>
      <c r="AC1524">
        <v>0</v>
      </c>
      <c r="AM1524" t="str">
        <f>"10"</f>
        <v>10</v>
      </c>
      <c r="AN1524" t="str">
        <f>"500000"</f>
        <v>500000</v>
      </c>
      <c r="AO1524" t="str">
        <f>"הכנסות  מלקוחות"</f>
        <v>הכנסות  מלקוחות</v>
      </c>
      <c r="AQ1524" t="str">
        <f>"034"</f>
        <v>034</v>
      </c>
      <c r="AR1524">
        <v>0</v>
      </c>
      <c r="AS1524">
        <v>0</v>
      </c>
      <c r="AT1524">
        <v>3.5259999999999998</v>
      </c>
      <c r="BB1524" t="str">
        <f>"Y"</f>
        <v>Y</v>
      </c>
      <c r="BD1524" t="str">
        <f>"ערן שלו"</f>
        <v>ערן שלו</v>
      </c>
    </row>
    <row r="1525" spans="1:56" x14ac:dyDescent="0.3">
      <c r="A1525" s="1">
        <v>44746</v>
      </c>
      <c r="B1525" t="str">
        <f>"SI226000755"</f>
        <v>SI226000755</v>
      </c>
      <c r="E1525" t="str">
        <f>"Y"</f>
        <v>Y</v>
      </c>
      <c r="F1525" t="str">
        <f>"חשבוניות מרכזות"</f>
        <v>חשבוניות מרכזות</v>
      </c>
      <c r="G1525" t="str">
        <f>"700065"</f>
        <v>700065</v>
      </c>
      <c r="H1525" t="str">
        <f>"אלתא מערכות בע""מ"</f>
        <v>אלתא מערכות בע"מ</v>
      </c>
      <c r="I1525" t="str">
        <f>"05"</f>
        <v>05</v>
      </c>
      <c r="J1525" t="str">
        <f>"OP-PD02882"</f>
        <v>OP-PD02882</v>
      </c>
      <c r="K1525" t="str">
        <f>"ISOLATION TRANSFORMER UNIT 200KVA"</f>
        <v>ISOLATION TRANSFORMER UNIT 200KVA</v>
      </c>
      <c r="L1525">
        <v>1</v>
      </c>
      <c r="M1525" t="str">
        <f>"יח"</f>
        <v>יח</v>
      </c>
      <c r="N1525">
        <v>1</v>
      </c>
      <c r="O1525" t="str">
        <f>"יח"</f>
        <v>יח</v>
      </c>
      <c r="P1525" s="2">
        <v>35340</v>
      </c>
      <c r="Q1525" t="str">
        <f>"$"</f>
        <v>$</v>
      </c>
      <c r="R1525" t="str">
        <f>"הזמנה"</f>
        <v>הזמנה</v>
      </c>
      <c r="S1525">
        <v>0</v>
      </c>
      <c r="T1525" s="2">
        <v>35340</v>
      </c>
      <c r="U1525">
        <v>0</v>
      </c>
      <c r="V1525" s="2">
        <v>35340</v>
      </c>
      <c r="W1525" t="str">
        <f>"$"</f>
        <v>$</v>
      </c>
      <c r="X1525">
        <v>0</v>
      </c>
      <c r="Y1525">
        <v>0</v>
      </c>
      <c r="Z1525">
        <v>0</v>
      </c>
      <c r="AA1525" t="str">
        <f>"Y"</f>
        <v>Y</v>
      </c>
      <c r="AC1525">
        <v>0</v>
      </c>
      <c r="AM1525" t="str">
        <f>"10"</f>
        <v>10</v>
      </c>
      <c r="AN1525" t="str">
        <f>"500000"</f>
        <v>500000</v>
      </c>
      <c r="AO1525" t="str">
        <f>"הכנסות  מלקוחות"</f>
        <v>הכנסות  מלקוחות</v>
      </c>
      <c r="AQ1525" t="str">
        <f>"034"</f>
        <v>034</v>
      </c>
      <c r="AR1525">
        <v>0</v>
      </c>
      <c r="AS1525">
        <v>0</v>
      </c>
      <c r="AT1525">
        <v>3.5259999999999998</v>
      </c>
      <c r="BB1525" t="str">
        <f>"Y"</f>
        <v>Y</v>
      </c>
      <c r="BD1525" t="str">
        <f>"ערן שלו"</f>
        <v>ערן שלו</v>
      </c>
    </row>
    <row r="1526" spans="1:56" x14ac:dyDescent="0.3">
      <c r="A1526" s="1">
        <v>44746</v>
      </c>
      <c r="B1526" t="str">
        <f>"SI226000754"</f>
        <v>SI226000754</v>
      </c>
      <c r="E1526" t="str">
        <f>"Y"</f>
        <v>Y</v>
      </c>
      <c r="F1526" t="str">
        <f>"חשבוניות מרכזות"</f>
        <v>חשבוניות מרכזות</v>
      </c>
      <c r="G1526" t="str">
        <f>"700065"</f>
        <v>700065</v>
      </c>
      <c r="H1526" t="str">
        <f>"אלתא מערכות בע""מ"</f>
        <v>אלתא מערכות בע"מ</v>
      </c>
      <c r="I1526" t="str">
        <f>"10"</f>
        <v>10</v>
      </c>
      <c r="J1526" t="str">
        <f>"OP-KR00001"</f>
        <v>OP-KR00001</v>
      </c>
      <c r="K1526" t="str">
        <f>"MDN SHELTER 1039P040-001"</f>
        <v>MDN SHELTER 1039P040-001</v>
      </c>
      <c r="L1526">
        <v>1</v>
      </c>
      <c r="M1526" t="str">
        <f>"יח"</f>
        <v>יח</v>
      </c>
      <c r="N1526">
        <v>1</v>
      </c>
      <c r="O1526" t="str">
        <f>"יח"</f>
        <v>יח</v>
      </c>
      <c r="P1526" s="2">
        <v>374484</v>
      </c>
      <c r="Q1526" t="str">
        <f>"$"</f>
        <v>$</v>
      </c>
      <c r="R1526" t="str">
        <f>"הזמנה"</f>
        <v>הזמנה</v>
      </c>
      <c r="S1526">
        <v>0</v>
      </c>
      <c r="T1526" s="2">
        <v>374484</v>
      </c>
      <c r="U1526">
        <v>0</v>
      </c>
      <c r="V1526" s="2">
        <v>374484</v>
      </c>
      <c r="W1526" t="str">
        <f>"$"</f>
        <v>$</v>
      </c>
      <c r="X1526">
        <v>0</v>
      </c>
      <c r="Y1526">
        <v>0</v>
      </c>
      <c r="Z1526">
        <v>0</v>
      </c>
      <c r="AA1526" t="str">
        <f>"Y"</f>
        <v>Y</v>
      </c>
      <c r="AB1526" t="str">
        <f>"SO21000120"</f>
        <v>SO21000120</v>
      </c>
      <c r="AC1526">
        <v>1</v>
      </c>
      <c r="AD1526" s="1">
        <v>44269</v>
      </c>
      <c r="AM1526" t="str">
        <f>"10"</f>
        <v>10</v>
      </c>
      <c r="AN1526" t="str">
        <f>"500000"</f>
        <v>500000</v>
      </c>
      <c r="AO1526" t="str">
        <f>"הכנסות  מלקוחות"</f>
        <v>הכנסות  מלקוחות</v>
      </c>
      <c r="AQ1526" t="str">
        <f>"007"</f>
        <v>007</v>
      </c>
      <c r="AR1526">
        <v>0</v>
      </c>
      <c r="AS1526">
        <v>0</v>
      </c>
      <c r="AT1526">
        <v>3.5259999999999998</v>
      </c>
      <c r="AX1526" t="str">
        <f>"E000331858"</f>
        <v>E000331858</v>
      </c>
      <c r="BD1526" t="str">
        <f>"רוני דידי"</f>
        <v>רוני דידי</v>
      </c>
    </row>
    <row r="1527" spans="1:56" x14ac:dyDescent="0.3">
      <c r="A1527" s="1">
        <v>44746</v>
      </c>
      <c r="B1527" t="str">
        <f>"SI226000750"</f>
        <v>SI226000750</v>
      </c>
      <c r="C1527" t="str">
        <f>"PR20000648"</f>
        <v>PR20000648</v>
      </c>
      <c r="E1527" t="str">
        <f>"Y"</f>
        <v>Y</v>
      </c>
      <c r="F1527" t="str">
        <f>"חשבוניות מרכזות"</f>
        <v>חשבוניות מרכזות</v>
      </c>
      <c r="G1527" t="str">
        <f>"700065"</f>
        <v>700065</v>
      </c>
      <c r="H1527" t="str">
        <f>"אלתא מערכות בע""מ"</f>
        <v>אלתא מערכות בע"מ</v>
      </c>
      <c r="I1527" t="str">
        <f>"10"</f>
        <v>10</v>
      </c>
      <c r="J1527" t="str">
        <f>"OP-AR02041"</f>
        <v>OP-AR02041</v>
      </c>
      <c r="K1527" t="str">
        <f>"PDB1 1038C860-001"</f>
        <v>PDB1 1038C860-001</v>
      </c>
      <c r="L1527">
        <v>1</v>
      </c>
      <c r="M1527" t="str">
        <f>"יח"</f>
        <v>יח</v>
      </c>
      <c r="N1527">
        <v>1</v>
      </c>
      <c r="O1527" t="str">
        <f>"יח"</f>
        <v>יח</v>
      </c>
      <c r="P1527" s="2">
        <v>38545</v>
      </c>
      <c r="Q1527" t="str">
        <f>"$"</f>
        <v>$</v>
      </c>
      <c r="R1527" t="str">
        <f>"הזמנה"</f>
        <v>הזמנה</v>
      </c>
      <c r="S1527">
        <v>0</v>
      </c>
      <c r="T1527" s="2">
        <v>38545</v>
      </c>
      <c r="U1527">
        <v>0</v>
      </c>
      <c r="V1527" s="2">
        <v>38545</v>
      </c>
      <c r="W1527" t="str">
        <f>"$"</f>
        <v>$</v>
      </c>
      <c r="X1527">
        <v>0</v>
      </c>
      <c r="Y1527">
        <v>0</v>
      </c>
      <c r="Z1527">
        <v>0</v>
      </c>
      <c r="AA1527" t="str">
        <f>"Y"</f>
        <v>Y</v>
      </c>
      <c r="AC1527">
        <v>0</v>
      </c>
      <c r="AM1527" t="str">
        <f>"10"</f>
        <v>10</v>
      </c>
      <c r="AN1527" t="str">
        <f>"500000"</f>
        <v>500000</v>
      </c>
      <c r="AO1527" t="str">
        <f>"הכנסות  מלקוחות"</f>
        <v>הכנסות  מלקוחות</v>
      </c>
      <c r="AQ1527" t="str">
        <f>"034"</f>
        <v>034</v>
      </c>
      <c r="AR1527">
        <v>0</v>
      </c>
      <c r="AS1527">
        <v>0</v>
      </c>
      <c r="AT1527">
        <v>3.5259999999999998</v>
      </c>
      <c r="BB1527" t="str">
        <f>"Y"</f>
        <v>Y</v>
      </c>
      <c r="BD1527" t="str">
        <f>"ערן שלו"</f>
        <v>ערן שלו</v>
      </c>
    </row>
    <row r="1528" spans="1:56" x14ac:dyDescent="0.3">
      <c r="A1528" s="1">
        <v>44746</v>
      </c>
      <c r="B1528" t="str">
        <f>"SI226000748"</f>
        <v>SI226000748</v>
      </c>
      <c r="C1528" t="str">
        <f>"PR22000191"</f>
        <v>PR22000191</v>
      </c>
      <c r="D1528" t="str">
        <f>"PR22000191"</f>
        <v>PR22000191</v>
      </c>
      <c r="E1528" t="str">
        <f>"Y"</f>
        <v>Y</v>
      </c>
      <c r="F1528" t="str">
        <f>"חשבוניות מרכזות"</f>
        <v>חשבוניות מרכזות</v>
      </c>
      <c r="G1528" t="str">
        <f>"700065"</f>
        <v>700065</v>
      </c>
      <c r="H1528" t="str">
        <f>"אלתא מערכות בע""מ"</f>
        <v>אלתא מערכות בע"מ</v>
      </c>
      <c r="I1528" t="str">
        <f>"10"</f>
        <v>10</v>
      </c>
      <c r="J1528" t="str">
        <f>"OP-AR22723"</f>
        <v>OP-AR22723</v>
      </c>
      <c r="K1528" t="str">
        <f>"CB1100206"</f>
        <v>CB1100206</v>
      </c>
      <c r="L1528">
        <v>3</v>
      </c>
      <c r="M1528" t="str">
        <f>"יח"</f>
        <v>יח</v>
      </c>
      <c r="N1528">
        <v>3</v>
      </c>
      <c r="O1528" t="str">
        <f>"יח"</f>
        <v>יח</v>
      </c>
      <c r="P1528" s="2">
        <v>6180.87</v>
      </c>
      <c r="Q1528" t="str">
        <f>"$"</f>
        <v>$</v>
      </c>
      <c r="R1528" t="str">
        <f>"הזמנה"</f>
        <v>הזמנה</v>
      </c>
      <c r="S1528">
        <v>0</v>
      </c>
      <c r="T1528" s="2">
        <v>18542.61</v>
      </c>
      <c r="U1528">
        <v>0</v>
      </c>
      <c r="V1528" s="2">
        <v>18542.61</v>
      </c>
      <c r="W1528" t="str">
        <f>"$"</f>
        <v>$</v>
      </c>
      <c r="X1528">
        <v>0</v>
      </c>
      <c r="Y1528">
        <v>0</v>
      </c>
      <c r="Z1528">
        <v>0</v>
      </c>
      <c r="AA1528" t="str">
        <f>"Y"</f>
        <v>Y</v>
      </c>
      <c r="AB1528" t="str">
        <f>"SO22000083"</f>
        <v>SO22000083</v>
      </c>
      <c r="AC1528">
        <v>2</v>
      </c>
      <c r="AD1528" s="1">
        <v>44622</v>
      </c>
      <c r="AE1528" t="str">
        <f>"SH22000776"</f>
        <v>SH22000776</v>
      </c>
      <c r="AF1528" t="str">
        <f>"משלוחים ללקוח"</f>
        <v>משלוחים ללקוח</v>
      </c>
      <c r="AG1528" s="1">
        <v>44741</v>
      </c>
      <c r="AM1528" t="str">
        <f>"10"</f>
        <v>10</v>
      </c>
      <c r="AN1528" t="str">
        <f>"500000"</f>
        <v>500000</v>
      </c>
      <c r="AO1528" t="str">
        <f>"הכנסות  מלקוחות"</f>
        <v>הכנסות  מלקוחות</v>
      </c>
      <c r="AQ1528" t="str">
        <f>"040"</f>
        <v>040</v>
      </c>
      <c r="AR1528">
        <v>0</v>
      </c>
      <c r="AS1528">
        <v>0</v>
      </c>
      <c r="AT1528">
        <v>3.5259999999999998</v>
      </c>
      <c r="AX1528" t="str">
        <f>"E000358730"</f>
        <v>E000358730</v>
      </c>
      <c r="BD1528" t="str">
        <f>"רחמים זרוק"</f>
        <v>רחמים זרוק</v>
      </c>
    </row>
    <row r="1529" spans="1:56" x14ac:dyDescent="0.3">
      <c r="A1529" s="1">
        <v>44746</v>
      </c>
      <c r="B1529" t="str">
        <f>"SI226000748"</f>
        <v>SI226000748</v>
      </c>
      <c r="C1529" t="str">
        <f>"PR22000191"</f>
        <v>PR22000191</v>
      </c>
      <c r="D1529" t="str">
        <f>"PR22000191"</f>
        <v>PR22000191</v>
      </c>
      <c r="E1529" t="str">
        <f>"Y"</f>
        <v>Y</v>
      </c>
      <c r="F1529" t="str">
        <f>"חשבוניות מרכזות"</f>
        <v>חשבוניות מרכזות</v>
      </c>
      <c r="G1529" t="str">
        <f>"700065"</f>
        <v>700065</v>
      </c>
      <c r="H1529" t="str">
        <f>"אלתא מערכות בע""מ"</f>
        <v>אלתא מערכות בע"מ</v>
      </c>
      <c r="I1529" t="str">
        <f>"10"</f>
        <v>10</v>
      </c>
      <c r="J1529" t="str">
        <f>"OP-AR03174"</f>
        <v>OP-AR03174</v>
      </c>
      <c r="K1529" t="str">
        <f>"CB1100207"</f>
        <v>CB1100207</v>
      </c>
      <c r="L1529">
        <v>3</v>
      </c>
      <c r="M1529" t="str">
        <f>"יח"</f>
        <v>יח</v>
      </c>
      <c r="N1529">
        <v>3</v>
      </c>
      <c r="O1529" t="str">
        <f>"יח"</f>
        <v>יח</v>
      </c>
      <c r="P1529" s="2">
        <v>6496.07</v>
      </c>
      <c r="Q1529" t="str">
        <f>"$"</f>
        <v>$</v>
      </c>
      <c r="R1529" t="str">
        <f>"הזמנה"</f>
        <v>הזמנה</v>
      </c>
      <c r="S1529">
        <v>0</v>
      </c>
      <c r="T1529" s="2">
        <v>19488.21</v>
      </c>
      <c r="U1529">
        <v>0</v>
      </c>
      <c r="V1529" s="2">
        <v>19488.21</v>
      </c>
      <c r="W1529" t="str">
        <f>"$"</f>
        <v>$</v>
      </c>
      <c r="X1529">
        <v>0</v>
      </c>
      <c r="Y1529">
        <v>0</v>
      </c>
      <c r="Z1529">
        <v>0</v>
      </c>
      <c r="AA1529" t="str">
        <f>"Y"</f>
        <v>Y</v>
      </c>
      <c r="AB1529" t="str">
        <f>"SO22000083"</f>
        <v>SO22000083</v>
      </c>
      <c r="AC1529">
        <v>3</v>
      </c>
      <c r="AD1529" s="1">
        <v>44622</v>
      </c>
      <c r="AE1529" t="str">
        <f>"SH22000776"</f>
        <v>SH22000776</v>
      </c>
      <c r="AF1529" t="str">
        <f>"משלוחים ללקוח"</f>
        <v>משלוחים ללקוח</v>
      </c>
      <c r="AG1529" s="1">
        <v>44741</v>
      </c>
      <c r="AM1529" t="str">
        <f>"10"</f>
        <v>10</v>
      </c>
      <c r="AN1529" t="str">
        <f>"500000"</f>
        <v>500000</v>
      </c>
      <c r="AO1529" t="str">
        <f>"הכנסות  מלקוחות"</f>
        <v>הכנסות  מלקוחות</v>
      </c>
      <c r="AQ1529" t="str">
        <f>"040"</f>
        <v>040</v>
      </c>
      <c r="AR1529">
        <v>0</v>
      </c>
      <c r="AS1529">
        <v>0</v>
      </c>
      <c r="AT1529">
        <v>3.5259999999999998</v>
      </c>
      <c r="AX1529" t="str">
        <f>"E000358730"</f>
        <v>E000358730</v>
      </c>
      <c r="BD1529" t="str">
        <f>"רחמים זרוק"</f>
        <v>רחמים זרוק</v>
      </c>
    </row>
    <row r="1530" spans="1:56" x14ac:dyDescent="0.3">
      <c r="A1530" s="1">
        <v>44746</v>
      </c>
      <c r="B1530" t="str">
        <f>"SI226000748"</f>
        <v>SI226000748</v>
      </c>
      <c r="C1530" t="str">
        <f>"PR22000191"</f>
        <v>PR22000191</v>
      </c>
      <c r="D1530" t="str">
        <f>"PR22000191"</f>
        <v>PR22000191</v>
      </c>
      <c r="E1530" t="str">
        <f>"Y"</f>
        <v>Y</v>
      </c>
      <c r="F1530" t="str">
        <f>"חשבוניות מרכזות"</f>
        <v>חשבוניות מרכזות</v>
      </c>
      <c r="G1530" t="str">
        <f>"700065"</f>
        <v>700065</v>
      </c>
      <c r="H1530" t="str">
        <f>"אלתא מערכות בע""מ"</f>
        <v>אלתא מערכות בע"מ</v>
      </c>
      <c r="I1530" t="str">
        <f>"10"</f>
        <v>10</v>
      </c>
      <c r="J1530" t="str">
        <f>"OP-AR03174"</f>
        <v>OP-AR03174</v>
      </c>
      <c r="K1530" t="str">
        <f>"CB1100207"</f>
        <v>CB1100207</v>
      </c>
      <c r="L1530">
        <v>3</v>
      </c>
      <c r="M1530" t="str">
        <f>"יח"</f>
        <v>יח</v>
      </c>
      <c r="N1530">
        <v>3</v>
      </c>
      <c r="O1530" t="str">
        <f>"יח"</f>
        <v>יח</v>
      </c>
      <c r="P1530" s="2">
        <v>6496.07</v>
      </c>
      <c r="Q1530" t="str">
        <f>"$"</f>
        <v>$</v>
      </c>
      <c r="R1530" t="str">
        <f>"הזמנה"</f>
        <v>הזמנה</v>
      </c>
      <c r="S1530">
        <v>0</v>
      </c>
      <c r="T1530" s="2">
        <v>19488.21</v>
      </c>
      <c r="U1530">
        <v>0</v>
      </c>
      <c r="V1530" s="2">
        <v>19488.21</v>
      </c>
      <c r="W1530" t="str">
        <f>"$"</f>
        <v>$</v>
      </c>
      <c r="X1530">
        <v>0</v>
      </c>
      <c r="Y1530">
        <v>0</v>
      </c>
      <c r="Z1530">
        <v>0</v>
      </c>
      <c r="AA1530" t="str">
        <f>"Y"</f>
        <v>Y</v>
      </c>
      <c r="AB1530" t="str">
        <f>"SO22000083"</f>
        <v>SO22000083</v>
      </c>
      <c r="AC1530">
        <v>4</v>
      </c>
      <c r="AD1530" s="1">
        <v>44622</v>
      </c>
      <c r="AE1530" t="str">
        <f>"SH22000776"</f>
        <v>SH22000776</v>
      </c>
      <c r="AF1530" t="str">
        <f>"משלוחים ללקוח"</f>
        <v>משלוחים ללקוח</v>
      </c>
      <c r="AG1530" s="1">
        <v>44741</v>
      </c>
      <c r="AM1530" t="str">
        <f>"10"</f>
        <v>10</v>
      </c>
      <c r="AN1530" t="str">
        <f>"500000"</f>
        <v>500000</v>
      </c>
      <c r="AO1530" t="str">
        <f>"הכנסות  מלקוחות"</f>
        <v>הכנסות  מלקוחות</v>
      </c>
      <c r="AQ1530" t="str">
        <f>"040"</f>
        <v>040</v>
      </c>
      <c r="AR1530">
        <v>0</v>
      </c>
      <c r="AS1530">
        <v>0</v>
      </c>
      <c r="AT1530">
        <v>3.5259999999999998</v>
      </c>
      <c r="AX1530" t="str">
        <f>"E000358730"</f>
        <v>E000358730</v>
      </c>
      <c r="BD1530" t="str">
        <f>"רחמים זרוק"</f>
        <v>רחמים זרוק</v>
      </c>
    </row>
    <row r="1531" spans="1:56" x14ac:dyDescent="0.3">
      <c r="A1531" s="1">
        <v>44746</v>
      </c>
      <c r="B1531" t="str">
        <f>"SI226000748"</f>
        <v>SI226000748</v>
      </c>
      <c r="C1531" t="str">
        <f>"PR22000191"</f>
        <v>PR22000191</v>
      </c>
      <c r="D1531" t="str">
        <f>"PR22000191"</f>
        <v>PR22000191</v>
      </c>
      <c r="E1531" t="str">
        <f>"Y"</f>
        <v>Y</v>
      </c>
      <c r="F1531" t="str">
        <f>"חשבוניות מרכזות"</f>
        <v>חשבוניות מרכזות</v>
      </c>
      <c r="G1531" t="str">
        <f>"700065"</f>
        <v>700065</v>
      </c>
      <c r="H1531" t="str">
        <f>"אלתא מערכות בע""מ"</f>
        <v>אלתא מערכות בע"מ</v>
      </c>
      <c r="I1531" t="str">
        <f>"10"</f>
        <v>10</v>
      </c>
      <c r="J1531" t="str">
        <f>"OP-AR22723"</f>
        <v>OP-AR22723</v>
      </c>
      <c r="K1531" t="str">
        <f>"CB1100206"</f>
        <v>CB1100206</v>
      </c>
      <c r="L1531">
        <v>3</v>
      </c>
      <c r="M1531" t="str">
        <f>"יח"</f>
        <v>יח</v>
      </c>
      <c r="N1531">
        <v>3</v>
      </c>
      <c r="O1531" t="str">
        <f>"יח"</f>
        <v>יח</v>
      </c>
      <c r="P1531" s="2">
        <v>6180.87</v>
      </c>
      <c r="Q1531" t="str">
        <f>"$"</f>
        <v>$</v>
      </c>
      <c r="R1531" t="str">
        <f>"הזמנה"</f>
        <v>הזמנה</v>
      </c>
      <c r="S1531">
        <v>0</v>
      </c>
      <c r="T1531" s="2">
        <v>18542.61</v>
      </c>
      <c r="U1531">
        <v>0</v>
      </c>
      <c r="V1531" s="2">
        <v>18542.61</v>
      </c>
      <c r="W1531" t="str">
        <f>"$"</f>
        <v>$</v>
      </c>
      <c r="X1531">
        <v>0</v>
      </c>
      <c r="Y1531">
        <v>0</v>
      </c>
      <c r="Z1531">
        <v>0</v>
      </c>
      <c r="AA1531" t="str">
        <f>"Y"</f>
        <v>Y</v>
      </c>
      <c r="AB1531" t="str">
        <f>"SO22000083"</f>
        <v>SO22000083</v>
      </c>
      <c r="AC1531">
        <v>5</v>
      </c>
      <c r="AD1531" s="1">
        <v>44622</v>
      </c>
      <c r="AE1531" t="str">
        <f>"SH22000776"</f>
        <v>SH22000776</v>
      </c>
      <c r="AF1531" t="str">
        <f>"משלוחים ללקוח"</f>
        <v>משלוחים ללקוח</v>
      </c>
      <c r="AG1531" s="1">
        <v>44741</v>
      </c>
      <c r="AM1531" t="str">
        <f>"10"</f>
        <v>10</v>
      </c>
      <c r="AN1531" t="str">
        <f>"500000"</f>
        <v>500000</v>
      </c>
      <c r="AO1531" t="str">
        <f>"הכנסות  מלקוחות"</f>
        <v>הכנסות  מלקוחות</v>
      </c>
      <c r="AQ1531" t="str">
        <f>"040"</f>
        <v>040</v>
      </c>
      <c r="AR1531">
        <v>0</v>
      </c>
      <c r="AS1531">
        <v>0</v>
      </c>
      <c r="AT1531">
        <v>3.5259999999999998</v>
      </c>
      <c r="AX1531" t="str">
        <f>"E000358730"</f>
        <v>E000358730</v>
      </c>
      <c r="BD1531" t="str">
        <f>"רחמים זרוק"</f>
        <v>רחמים זרוק</v>
      </c>
    </row>
    <row r="1532" spans="1:56" x14ac:dyDescent="0.3">
      <c r="A1532" s="1">
        <v>44743</v>
      </c>
      <c r="B1532" t="str">
        <f>"SI226000943"</f>
        <v>SI226000943</v>
      </c>
      <c r="E1532" t="str">
        <f>"Y"</f>
        <v>Y</v>
      </c>
      <c r="F1532" t="str">
        <f>"חשבוניות מרכזות"</f>
        <v>חשבוניות מרכזות</v>
      </c>
      <c r="G1532" t="str">
        <f>"700065"</f>
        <v>700065</v>
      </c>
      <c r="H1532" t="str">
        <f>"אלתא מערכות בע""מ"</f>
        <v>אלתא מערכות בע"מ</v>
      </c>
      <c r="I1532" t="str">
        <f>"10"</f>
        <v>10</v>
      </c>
      <c r="J1532" t="str">
        <f>"000"</f>
        <v>000</v>
      </c>
      <c r="K1532" t="str">
        <f>"צוות טכנאים בצ'כיה - נסיעה II"</f>
        <v>צוות טכנאים בצ'כיה - נסיעה II</v>
      </c>
      <c r="L1532">
        <v>1</v>
      </c>
      <c r="M1532" t="str">
        <f>"יח"</f>
        <v>יח</v>
      </c>
      <c r="N1532">
        <v>1</v>
      </c>
      <c r="O1532" t="str">
        <f>"יח"</f>
        <v>יח</v>
      </c>
      <c r="P1532" s="2">
        <v>12928</v>
      </c>
      <c r="Q1532" t="str">
        <f>"$"</f>
        <v>$</v>
      </c>
      <c r="R1532" t="str">
        <f>"ידני"</f>
        <v>ידני</v>
      </c>
      <c r="S1532">
        <v>0</v>
      </c>
      <c r="T1532" s="2">
        <v>12928</v>
      </c>
      <c r="U1532">
        <v>0</v>
      </c>
      <c r="V1532" s="2">
        <v>12928</v>
      </c>
      <c r="W1532" t="str">
        <f>"$"</f>
        <v>$</v>
      </c>
      <c r="X1532">
        <v>0</v>
      </c>
      <c r="Y1532">
        <v>0</v>
      </c>
      <c r="Z1532">
        <v>0</v>
      </c>
      <c r="AA1532" t="str">
        <f>"Y"</f>
        <v>Y</v>
      </c>
      <c r="AB1532" t="str">
        <f>"SO22000168"</f>
        <v>SO22000168</v>
      </c>
      <c r="AC1532">
        <v>2</v>
      </c>
      <c r="AD1532" s="1">
        <v>44689</v>
      </c>
      <c r="AM1532" t="str">
        <f>"10"</f>
        <v>10</v>
      </c>
      <c r="AN1532" t="str">
        <f>"500000"</f>
        <v>500000</v>
      </c>
      <c r="AO1532" t="str">
        <f>"הכנסות  מלקוחות"</f>
        <v>הכנסות  מלקוחות</v>
      </c>
      <c r="AQ1532" t="str">
        <f>"007"</f>
        <v>007</v>
      </c>
      <c r="AR1532">
        <v>0</v>
      </c>
      <c r="AS1532">
        <v>0</v>
      </c>
      <c r="AT1532">
        <v>3.5259999999999998</v>
      </c>
      <c r="AX1532" t="str">
        <f>"E000364201"</f>
        <v>E000364201</v>
      </c>
      <c r="BD1532" t="str">
        <f>"רוני דידי"</f>
        <v>רוני דידי</v>
      </c>
    </row>
    <row r="1533" spans="1:56" x14ac:dyDescent="0.3">
      <c r="A1533" s="1">
        <v>44743</v>
      </c>
      <c r="B1533" t="str">
        <f>"SI226000942"</f>
        <v>SI226000942</v>
      </c>
      <c r="E1533" t="str">
        <f>"Y"</f>
        <v>Y</v>
      </c>
      <c r="F1533" t="str">
        <f>"חשבוניות מרכזות"</f>
        <v>חשבוניות מרכזות</v>
      </c>
      <c r="G1533" t="str">
        <f>"700065"</f>
        <v>700065</v>
      </c>
      <c r="H1533" t="str">
        <f>"אלתא מערכות בע""מ"</f>
        <v>אלתא מערכות בע"מ</v>
      </c>
      <c r="I1533" t="str">
        <f>"10"</f>
        <v>10</v>
      </c>
      <c r="J1533" t="str">
        <f>"000"</f>
        <v>000</v>
      </c>
      <c r="K1533" t="str">
        <f>"צוות טכנאים בצ'כיה - נסיעה II"</f>
        <v>צוות טכנאים בצ'כיה - נסיעה II</v>
      </c>
      <c r="L1533">
        <v>-1</v>
      </c>
      <c r="M1533" t="str">
        <f>"יח"</f>
        <v>יח</v>
      </c>
      <c r="N1533">
        <v>-1</v>
      </c>
      <c r="O1533" t="str">
        <f>"יח"</f>
        <v>יח</v>
      </c>
      <c r="P1533" s="2">
        <v>14610.89</v>
      </c>
      <c r="Q1533" t="str">
        <f>"$"</f>
        <v>$</v>
      </c>
      <c r="R1533" t="str">
        <f>"הזמנה"</f>
        <v>הזמנה</v>
      </c>
      <c r="S1533">
        <v>0</v>
      </c>
      <c r="T1533" s="2">
        <v>-14610.89</v>
      </c>
      <c r="U1533">
        <v>0</v>
      </c>
      <c r="V1533" s="2">
        <v>-14610.89</v>
      </c>
      <c r="W1533" t="str">
        <f>"$"</f>
        <v>$</v>
      </c>
      <c r="X1533">
        <v>0</v>
      </c>
      <c r="Y1533">
        <v>0</v>
      </c>
      <c r="Z1533">
        <v>0</v>
      </c>
      <c r="AA1533" t="str">
        <f>"Y"</f>
        <v>Y</v>
      </c>
      <c r="AC1533">
        <v>0</v>
      </c>
      <c r="AM1533" t="str">
        <f>"10"</f>
        <v>10</v>
      </c>
      <c r="AN1533" t="str">
        <f>"500000"</f>
        <v>500000</v>
      </c>
      <c r="AO1533" t="str">
        <f>"הכנסות  מלקוחות"</f>
        <v>הכנסות  מלקוחות</v>
      </c>
      <c r="AQ1533" t="str">
        <f>"007"</f>
        <v>007</v>
      </c>
      <c r="AR1533">
        <v>0</v>
      </c>
      <c r="AS1533">
        <v>0</v>
      </c>
      <c r="AT1533">
        <v>3.5259999999999998</v>
      </c>
      <c r="BB1533" t="str">
        <f>"Y"</f>
        <v>Y</v>
      </c>
      <c r="BD1533" t="str">
        <f>"רוני דידי"</f>
        <v>רוני דידי</v>
      </c>
    </row>
    <row r="1534" spans="1:56" x14ac:dyDescent="0.3">
      <c r="A1534" s="1">
        <v>44743</v>
      </c>
      <c r="B1534" t="str">
        <f>"SI226000896"</f>
        <v>SI226000896</v>
      </c>
      <c r="E1534" t="str">
        <f>"Y"</f>
        <v>Y</v>
      </c>
      <c r="F1534" t="str">
        <f>"חשבוניות מרכזות"</f>
        <v>חשבוניות מרכזות</v>
      </c>
      <c r="G1534" t="str">
        <f>"700065"</f>
        <v>700065</v>
      </c>
      <c r="H1534" t="str">
        <f>"אלתא מערכות בע""מ"</f>
        <v>אלתא מערכות בע"מ</v>
      </c>
      <c r="I1534" t="str">
        <f>"05"</f>
        <v>05</v>
      </c>
      <c r="J1534" t="str">
        <f>"OP-PD02883"</f>
        <v>OP-PD02883</v>
      </c>
      <c r="K1534" t="str">
        <f>"ISOLATION TRANSFORMER UNIT 70KVA"</f>
        <v>ISOLATION TRANSFORMER UNIT 70KVA</v>
      </c>
      <c r="L1534">
        <v>1</v>
      </c>
      <c r="M1534" t="str">
        <f>"יח"</f>
        <v>יח</v>
      </c>
      <c r="N1534">
        <v>1</v>
      </c>
      <c r="O1534" t="str">
        <f>"יח"</f>
        <v>יח</v>
      </c>
      <c r="P1534" s="2">
        <v>17670</v>
      </c>
      <c r="Q1534" t="str">
        <f>"$"</f>
        <v>$</v>
      </c>
      <c r="R1534" t="str">
        <f>"הזמנה"</f>
        <v>הזמנה</v>
      </c>
      <c r="S1534">
        <v>0</v>
      </c>
      <c r="T1534" s="2">
        <v>17670</v>
      </c>
      <c r="U1534">
        <v>0</v>
      </c>
      <c r="V1534" s="2">
        <v>17670</v>
      </c>
      <c r="W1534" t="str">
        <f>"$"</f>
        <v>$</v>
      </c>
      <c r="X1534">
        <v>0</v>
      </c>
      <c r="Y1534">
        <v>0</v>
      </c>
      <c r="Z1534">
        <v>0</v>
      </c>
      <c r="AA1534" t="str">
        <f>"Y"</f>
        <v>Y</v>
      </c>
      <c r="AB1534" t="str">
        <f>"SO21000184"</f>
        <v>SO21000184</v>
      </c>
      <c r="AC1534">
        <v>11</v>
      </c>
      <c r="AD1534" s="1">
        <v>44307</v>
      </c>
      <c r="AE1534" t="str">
        <f>"SH22000911"</f>
        <v>SH22000911</v>
      </c>
      <c r="AF1534" t="str">
        <f>"משלוחים ללקוח"</f>
        <v>משלוחים ללקוח</v>
      </c>
      <c r="AG1534" s="1">
        <v>44770</v>
      </c>
      <c r="AM1534" t="str">
        <f>"10"</f>
        <v>10</v>
      </c>
      <c r="AN1534" t="str">
        <f>"500000"</f>
        <v>500000</v>
      </c>
      <c r="AO1534" t="str">
        <f>"הכנסות  מלקוחות"</f>
        <v>הכנסות  מלקוחות</v>
      </c>
      <c r="AQ1534" t="str">
        <f>"034"</f>
        <v>034</v>
      </c>
      <c r="AR1534">
        <v>0</v>
      </c>
      <c r="AS1534">
        <v>0</v>
      </c>
      <c r="AT1534">
        <v>3.5259999999999998</v>
      </c>
      <c r="AX1534" t="str">
        <f>"E000336430"</f>
        <v>E000336430</v>
      </c>
      <c r="BD1534" t="str">
        <f>"ערן שלו"</f>
        <v>ערן שלו</v>
      </c>
    </row>
    <row r="1535" spans="1:56" x14ac:dyDescent="0.3">
      <c r="A1535" s="1">
        <v>44743</v>
      </c>
      <c r="B1535" t="str">
        <f>"SI226000895"</f>
        <v>SI226000895</v>
      </c>
      <c r="E1535" t="str">
        <f>"Y"</f>
        <v>Y</v>
      </c>
      <c r="F1535" t="str">
        <f>"חשבוניות מרכזות"</f>
        <v>חשבוניות מרכזות</v>
      </c>
      <c r="G1535" t="str">
        <f>"700065"</f>
        <v>700065</v>
      </c>
      <c r="H1535" t="str">
        <f>"אלתא מערכות בע""מ"</f>
        <v>אלתא מערכות בע"מ</v>
      </c>
      <c r="I1535" t="str">
        <f>"05"</f>
        <v>05</v>
      </c>
      <c r="J1535" t="str">
        <f>"OP-PD02883"</f>
        <v>OP-PD02883</v>
      </c>
      <c r="K1535" t="str">
        <f>"ISOLATION TRANSFORMER UNIT 70KVA"</f>
        <v>ISOLATION TRANSFORMER UNIT 70KVA</v>
      </c>
      <c r="L1535">
        <v>1</v>
      </c>
      <c r="M1535" t="str">
        <f>"יח"</f>
        <v>יח</v>
      </c>
      <c r="N1535">
        <v>1</v>
      </c>
      <c r="O1535" t="str">
        <f>"יח"</f>
        <v>יח</v>
      </c>
      <c r="P1535" s="2">
        <v>17670</v>
      </c>
      <c r="Q1535" t="str">
        <f>"$"</f>
        <v>$</v>
      </c>
      <c r="R1535" t="str">
        <f>"הזמנה"</f>
        <v>הזמנה</v>
      </c>
      <c r="S1535">
        <v>0</v>
      </c>
      <c r="T1535" s="2">
        <v>17670</v>
      </c>
      <c r="U1535">
        <v>0</v>
      </c>
      <c r="V1535" s="2">
        <v>17670</v>
      </c>
      <c r="W1535" t="str">
        <f>"$"</f>
        <v>$</v>
      </c>
      <c r="X1535">
        <v>0</v>
      </c>
      <c r="Y1535">
        <v>0</v>
      </c>
      <c r="Z1535">
        <v>0</v>
      </c>
      <c r="AA1535" t="str">
        <f>"Y"</f>
        <v>Y</v>
      </c>
      <c r="AB1535" t="str">
        <f>"SO21000184"</f>
        <v>SO21000184</v>
      </c>
      <c r="AC1535">
        <v>10</v>
      </c>
      <c r="AD1535" s="1">
        <v>44307</v>
      </c>
      <c r="AE1535" t="str">
        <f>"SH22000911"</f>
        <v>SH22000911</v>
      </c>
      <c r="AF1535" t="str">
        <f>"משלוחים ללקוח"</f>
        <v>משלוחים ללקוח</v>
      </c>
      <c r="AG1535" s="1">
        <v>44770</v>
      </c>
      <c r="AM1535" t="str">
        <f>"10"</f>
        <v>10</v>
      </c>
      <c r="AN1535" t="str">
        <f>"500000"</f>
        <v>500000</v>
      </c>
      <c r="AO1535" t="str">
        <f>"הכנסות  מלקוחות"</f>
        <v>הכנסות  מלקוחות</v>
      </c>
      <c r="AQ1535" t="str">
        <f>"034"</f>
        <v>034</v>
      </c>
      <c r="AR1535">
        <v>0</v>
      </c>
      <c r="AS1535">
        <v>0</v>
      </c>
      <c r="AT1535">
        <v>3.5259999999999998</v>
      </c>
      <c r="AX1535" t="str">
        <f>"E000336430"</f>
        <v>E000336430</v>
      </c>
      <c r="BD1535" t="str">
        <f>"ערן שלו"</f>
        <v>ערן שלו</v>
      </c>
    </row>
    <row r="1536" spans="1:56" x14ac:dyDescent="0.3">
      <c r="A1536" s="1">
        <v>44743</v>
      </c>
      <c r="B1536" t="str">
        <f>"SI226000894"</f>
        <v>SI226000894</v>
      </c>
      <c r="E1536" t="str">
        <f>"Y"</f>
        <v>Y</v>
      </c>
      <c r="F1536" t="str">
        <f>"חשבוניות מרכזות"</f>
        <v>חשבוניות מרכזות</v>
      </c>
      <c r="G1536" t="str">
        <f>"700065"</f>
        <v>700065</v>
      </c>
      <c r="H1536" t="str">
        <f>"אלתא מערכות בע""מ"</f>
        <v>אלתא מערכות בע"מ</v>
      </c>
      <c r="I1536" t="str">
        <f>"10"</f>
        <v>10</v>
      </c>
      <c r="J1536" t="str">
        <f>"OP-ML00197"</f>
        <v>OP-ML00197</v>
      </c>
      <c r="K1536" t="str">
        <f>"1038C816-001 COMPUTER RACK"</f>
        <v>1038C816-001 COMPUTER RACK</v>
      </c>
      <c r="L1536">
        <v>1</v>
      </c>
      <c r="M1536" t="str">
        <f>"יח"</f>
        <v>יח</v>
      </c>
      <c r="N1536">
        <v>1</v>
      </c>
      <c r="O1536" t="str">
        <f>"יח"</f>
        <v>יח</v>
      </c>
      <c r="P1536" s="2">
        <v>47500</v>
      </c>
      <c r="Q1536" t="str">
        <f>"$"</f>
        <v>$</v>
      </c>
      <c r="R1536" t="str">
        <f>"הזמנה"</f>
        <v>הזמנה</v>
      </c>
      <c r="S1536">
        <v>0</v>
      </c>
      <c r="T1536" s="2">
        <v>47500</v>
      </c>
      <c r="U1536">
        <v>0</v>
      </c>
      <c r="V1536" s="2">
        <v>47500</v>
      </c>
      <c r="W1536" t="str">
        <f>"$"</f>
        <v>$</v>
      </c>
      <c r="X1536">
        <v>0</v>
      </c>
      <c r="Y1536">
        <v>0</v>
      </c>
      <c r="Z1536">
        <v>0</v>
      </c>
      <c r="AA1536" t="str">
        <f>"Y"</f>
        <v>Y</v>
      </c>
      <c r="AB1536" t="str">
        <f>"SO21000090"</f>
        <v>SO21000090</v>
      </c>
      <c r="AC1536">
        <v>13</v>
      </c>
      <c r="AD1536" s="1">
        <v>44251</v>
      </c>
      <c r="AM1536" t="str">
        <f>"10"</f>
        <v>10</v>
      </c>
      <c r="AN1536" t="str">
        <f>"500000"</f>
        <v>500000</v>
      </c>
      <c r="AO1536" t="str">
        <f>"הכנסות  מלקוחות"</f>
        <v>הכנסות  מלקוחות</v>
      </c>
      <c r="AQ1536" t="str">
        <f>"034"</f>
        <v>034</v>
      </c>
      <c r="AR1536">
        <v>0</v>
      </c>
      <c r="AS1536">
        <v>0</v>
      </c>
      <c r="AT1536">
        <v>3.5259999999999998</v>
      </c>
      <c r="AX1536" t="str">
        <f>"E000332763"</f>
        <v>E000332763</v>
      </c>
      <c r="BD1536" t="str">
        <f>"ערן שלו"</f>
        <v>ערן שלו</v>
      </c>
    </row>
    <row r="1537" spans="1:56" x14ac:dyDescent="0.3">
      <c r="A1537" s="1">
        <v>44743</v>
      </c>
      <c r="B1537" t="str">
        <f>"SI226000858"</f>
        <v>SI226000858</v>
      </c>
      <c r="E1537" t="str">
        <f>"Y"</f>
        <v>Y</v>
      </c>
      <c r="F1537" t="str">
        <f>"חשבוניות מרכזות"</f>
        <v>חשבוניות מרכזות</v>
      </c>
      <c r="G1537" t="str">
        <f>"700065"</f>
        <v>700065</v>
      </c>
      <c r="H1537" t="str">
        <f>"אלתא מערכות בע""מ"</f>
        <v>אלתא מערכות בע"מ</v>
      </c>
      <c r="I1537" t="str">
        <f>"10"</f>
        <v>10</v>
      </c>
      <c r="J1537" t="str">
        <f>"000"</f>
        <v>000</v>
      </c>
      <c r="K1537" t="str">
        <f>"צוות טכנאים בצ'כיה - נסיעה II"</f>
        <v>צוות טכנאים בצ'כיה - נסיעה II</v>
      </c>
      <c r="L1537">
        <v>1</v>
      </c>
      <c r="M1537" t="str">
        <f>"יח"</f>
        <v>יח</v>
      </c>
      <c r="N1537">
        <v>1</v>
      </c>
      <c r="O1537" t="str">
        <f>"יח"</f>
        <v>יח</v>
      </c>
      <c r="P1537" s="2">
        <v>14610.89</v>
      </c>
      <c r="Q1537" t="str">
        <f>"$"</f>
        <v>$</v>
      </c>
      <c r="R1537" t="str">
        <f>"הזמנה"</f>
        <v>הזמנה</v>
      </c>
      <c r="S1537">
        <v>0</v>
      </c>
      <c r="T1537" s="2">
        <v>14610.89</v>
      </c>
      <c r="U1537">
        <v>0</v>
      </c>
      <c r="V1537" s="2">
        <v>14610.89</v>
      </c>
      <c r="W1537" t="str">
        <f>"$"</f>
        <v>$</v>
      </c>
      <c r="X1537">
        <v>0</v>
      </c>
      <c r="Y1537">
        <v>0</v>
      </c>
      <c r="Z1537">
        <v>0</v>
      </c>
      <c r="AA1537" t="str">
        <f>"Y"</f>
        <v>Y</v>
      </c>
      <c r="AC1537">
        <v>0</v>
      </c>
      <c r="AM1537" t="str">
        <f>"10"</f>
        <v>10</v>
      </c>
      <c r="AN1537" t="str">
        <f>"500000"</f>
        <v>500000</v>
      </c>
      <c r="AO1537" t="str">
        <f>"הכנסות  מלקוחות"</f>
        <v>הכנסות  מלקוחות</v>
      </c>
      <c r="AQ1537" t="str">
        <f>"007"</f>
        <v>007</v>
      </c>
      <c r="AR1537">
        <v>0</v>
      </c>
      <c r="AS1537">
        <v>0</v>
      </c>
      <c r="AT1537">
        <v>3.5259999999999998</v>
      </c>
      <c r="BB1537" t="str">
        <f>"Y"</f>
        <v>Y</v>
      </c>
      <c r="BD1537" t="str">
        <f>"רוני דידי"</f>
        <v>רוני דידי</v>
      </c>
    </row>
    <row r="1538" spans="1:56" x14ac:dyDescent="0.3">
      <c r="A1538" s="1">
        <v>44741</v>
      </c>
      <c r="B1538" t="str">
        <f>"SI226000751"</f>
        <v>SI226000751</v>
      </c>
      <c r="C1538" t="str">
        <f>"PR22000223"</f>
        <v>PR22000223</v>
      </c>
      <c r="E1538" t="str">
        <f>"Y"</f>
        <v>Y</v>
      </c>
      <c r="F1538" t="str">
        <f>"חשבוניות מרכזות"</f>
        <v>חשבוניות מרכזות</v>
      </c>
      <c r="G1538" t="str">
        <f>"700065"</f>
        <v>700065</v>
      </c>
      <c r="H1538" t="str">
        <f>"אלתא מערכות בע""מ"</f>
        <v>אלתא מערכות בע"מ</v>
      </c>
      <c r="I1538" t="str">
        <f>"10"</f>
        <v>10</v>
      </c>
      <c r="J1538" t="str">
        <f>"OP-AR03034"</f>
        <v>OP-AR03034</v>
      </c>
      <c r="K1538" t="str">
        <f>"AC SUPPLY CONTROL BOX 230V FEED CABLE"</f>
        <v>AC SUPPLY CONTROL BOX 230V FEED CABLE</v>
      </c>
      <c r="L1538">
        <v>1</v>
      </c>
      <c r="M1538" t="str">
        <f>"יח"</f>
        <v>יח</v>
      </c>
      <c r="N1538">
        <v>1</v>
      </c>
      <c r="O1538" t="str">
        <f>"יח"</f>
        <v>יח</v>
      </c>
      <c r="P1538">
        <v>257.98</v>
      </c>
      <c r="Q1538" t="str">
        <f>"$"</f>
        <v>$</v>
      </c>
      <c r="R1538" t="str">
        <f>"הזמנה"</f>
        <v>הזמנה</v>
      </c>
      <c r="S1538">
        <v>0</v>
      </c>
      <c r="T1538">
        <v>257.98</v>
      </c>
      <c r="U1538">
        <v>0</v>
      </c>
      <c r="V1538">
        <v>257.98</v>
      </c>
      <c r="W1538" t="str">
        <f>"$"</f>
        <v>$</v>
      </c>
      <c r="X1538">
        <v>0</v>
      </c>
      <c r="Y1538">
        <v>0</v>
      </c>
      <c r="Z1538">
        <v>0</v>
      </c>
      <c r="AA1538" t="str">
        <f>"Y"</f>
        <v>Y</v>
      </c>
      <c r="AB1538" t="str">
        <f>"SO22000099"</f>
        <v>SO22000099</v>
      </c>
      <c r="AC1538">
        <v>7</v>
      </c>
      <c r="AD1538" s="1">
        <v>44629</v>
      </c>
      <c r="AE1538" t="str">
        <f>"SH22000780"</f>
        <v>SH22000780</v>
      </c>
      <c r="AF1538" t="str">
        <f>"משלוחים ללקוח"</f>
        <v>משלוחים ללקוח</v>
      </c>
      <c r="AG1538" s="1">
        <v>44741</v>
      </c>
      <c r="AM1538" t="str">
        <f>"10"</f>
        <v>10</v>
      </c>
      <c r="AN1538" t="str">
        <f>"500000"</f>
        <v>500000</v>
      </c>
      <c r="AO1538" t="str">
        <f>"הכנסות  מלקוחות"</f>
        <v>הכנסות  מלקוחות</v>
      </c>
      <c r="AQ1538" t="str">
        <f>"040"</f>
        <v>040</v>
      </c>
      <c r="AR1538">
        <v>0</v>
      </c>
      <c r="AS1538">
        <v>0</v>
      </c>
      <c r="AT1538">
        <v>3.45</v>
      </c>
      <c r="AX1538" t="str">
        <f>"E000358026"</f>
        <v>E000358026</v>
      </c>
      <c r="BD1538" t="str">
        <f>"רחמים זרוק"</f>
        <v>רחמים זרוק</v>
      </c>
    </row>
    <row r="1539" spans="1:56" x14ac:dyDescent="0.3">
      <c r="A1539" s="1">
        <v>44741</v>
      </c>
      <c r="B1539" t="str">
        <f>"SI226000751"</f>
        <v>SI226000751</v>
      </c>
      <c r="C1539" t="str">
        <f>"PR22000223"</f>
        <v>PR22000223</v>
      </c>
      <c r="E1539" t="str">
        <f>"Y"</f>
        <v>Y</v>
      </c>
      <c r="F1539" t="str">
        <f>"חשבוניות מרכזות"</f>
        <v>חשבוניות מרכזות</v>
      </c>
      <c r="G1539" t="str">
        <f>"700065"</f>
        <v>700065</v>
      </c>
      <c r="H1539" t="str">
        <f>"אלתא מערכות בע""מ"</f>
        <v>אלתא מערכות בע"מ</v>
      </c>
      <c r="I1539" t="str">
        <f>"10"</f>
        <v>10</v>
      </c>
      <c r="J1539" t="str">
        <f>"OP-AR03035"</f>
        <v>OP-AR03035</v>
      </c>
      <c r="K1539" t="str">
        <f>"AC SUPPLY CONTROL BOX 115V 32A FEED CABLE"</f>
        <v>AC SUPPLY CONTROL BOX 115V 32A FEED CABLE</v>
      </c>
      <c r="L1539">
        <v>1</v>
      </c>
      <c r="M1539" t="str">
        <f>"יח"</f>
        <v>יח</v>
      </c>
      <c r="N1539">
        <v>1</v>
      </c>
      <c r="O1539" t="str">
        <f>"יח"</f>
        <v>יח</v>
      </c>
      <c r="P1539">
        <v>258.39</v>
      </c>
      <c r="Q1539" t="str">
        <f>"$"</f>
        <v>$</v>
      </c>
      <c r="R1539" t="str">
        <f>"הזמנה"</f>
        <v>הזמנה</v>
      </c>
      <c r="S1539">
        <v>0</v>
      </c>
      <c r="T1539">
        <v>258.39</v>
      </c>
      <c r="U1539">
        <v>0</v>
      </c>
      <c r="V1539">
        <v>258.39</v>
      </c>
      <c r="W1539" t="str">
        <f>"$"</f>
        <v>$</v>
      </c>
      <c r="X1539">
        <v>0</v>
      </c>
      <c r="Y1539">
        <v>0</v>
      </c>
      <c r="Z1539">
        <v>0</v>
      </c>
      <c r="AA1539" t="str">
        <f>"Y"</f>
        <v>Y</v>
      </c>
      <c r="AB1539" t="str">
        <f>"SO22000099"</f>
        <v>SO22000099</v>
      </c>
      <c r="AC1539">
        <v>8</v>
      </c>
      <c r="AD1539" s="1">
        <v>44629</v>
      </c>
      <c r="AE1539" t="str">
        <f>"SH22000780"</f>
        <v>SH22000780</v>
      </c>
      <c r="AF1539" t="str">
        <f>"משלוחים ללקוח"</f>
        <v>משלוחים ללקוח</v>
      </c>
      <c r="AG1539" s="1">
        <v>44741</v>
      </c>
      <c r="AM1539" t="str">
        <f>"10"</f>
        <v>10</v>
      </c>
      <c r="AN1539" t="str">
        <f>"500000"</f>
        <v>500000</v>
      </c>
      <c r="AO1539" t="str">
        <f>"הכנסות  מלקוחות"</f>
        <v>הכנסות  מלקוחות</v>
      </c>
      <c r="AQ1539" t="str">
        <f>"040"</f>
        <v>040</v>
      </c>
      <c r="AR1539">
        <v>0</v>
      </c>
      <c r="AS1539">
        <v>0</v>
      </c>
      <c r="AT1539">
        <v>3.45</v>
      </c>
      <c r="AX1539" t="str">
        <f>"E000358026"</f>
        <v>E000358026</v>
      </c>
      <c r="BD1539" t="str">
        <f>"רחמים זרוק"</f>
        <v>רחמים זרוק</v>
      </c>
    </row>
    <row r="1540" spans="1:56" x14ac:dyDescent="0.3">
      <c r="A1540" s="1">
        <v>44741</v>
      </c>
      <c r="B1540" t="str">
        <f>"SI226000721"</f>
        <v>SI226000721</v>
      </c>
      <c r="C1540" t="str">
        <f>"PR21000585"</f>
        <v>PR21000585</v>
      </c>
      <c r="D1540" t="str">
        <f>"PR21000585"</f>
        <v>PR21000585</v>
      </c>
      <c r="E1540" t="str">
        <f>"Y"</f>
        <v>Y</v>
      </c>
      <c r="F1540" t="str">
        <f>"חשבוניות מרכזות"</f>
        <v>חשבוניות מרכזות</v>
      </c>
      <c r="G1540" t="str">
        <f>"700065"</f>
        <v>700065</v>
      </c>
      <c r="H1540" t="str">
        <f>"אלתא מערכות בע""מ"</f>
        <v>אלתא מערכות בע"מ</v>
      </c>
      <c r="I1540" t="str">
        <f>"10"</f>
        <v>10</v>
      </c>
      <c r="J1540" t="str">
        <f>"000"</f>
        <v>000</v>
      </c>
      <c r="K1540" t="str">
        <f>"הזמנת שירות לטובת קליטת פריט"</f>
        <v>הזמנת שירות לטובת קליטת פריט</v>
      </c>
      <c r="L1540">
        <v>1</v>
      </c>
      <c r="M1540" t="str">
        <f>"יח"</f>
        <v>יח</v>
      </c>
      <c r="N1540">
        <v>1</v>
      </c>
      <c r="O1540" t="str">
        <f>"יח"</f>
        <v>יח</v>
      </c>
      <c r="P1540" s="2">
        <v>2065.42</v>
      </c>
      <c r="Q1540" t="str">
        <f>"$"</f>
        <v>$</v>
      </c>
      <c r="R1540" t="str">
        <f>"הזמנה"</f>
        <v>הזמנה</v>
      </c>
      <c r="S1540">
        <v>0</v>
      </c>
      <c r="T1540" s="2">
        <v>2065.42</v>
      </c>
      <c r="U1540">
        <v>0</v>
      </c>
      <c r="V1540" s="2">
        <v>2065.42</v>
      </c>
      <c r="W1540" t="str">
        <f>"$"</f>
        <v>$</v>
      </c>
      <c r="X1540">
        <v>0</v>
      </c>
      <c r="Y1540">
        <v>0</v>
      </c>
      <c r="Z1540">
        <v>0</v>
      </c>
      <c r="AA1540" t="str">
        <f>"Y"</f>
        <v>Y</v>
      </c>
      <c r="AB1540" t="str">
        <f>"SO21000375"</f>
        <v>SO21000375</v>
      </c>
      <c r="AC1540">
        <v>9</v>
      </c>
      <c r="AD1540" s="1">
        <v>44427</v>
      </c>
      <c r="AM1540" t="str">
        <f>"10"</f>
        <v>10</v>
      </c>
      <c r="AN1540" t="str">
        <f>"500000"</f>
        <v>500000</v>
      </c>
      <c r="AO1540" t="str">
        <f>"הכנסות  מלקוחות"</f>
        <v>הכנסות  מלקוחות</v>
      </c>
      <c r="AQ1540" t="str">
        <f>"040"</f>
        <v>040</v>
      </c>
      <c r="AR1540">
        <v>0</v>
      </c>
      <c r="AS1540">
        <v>0</v>
      </c>
      <c r="AT1540">
        <v>3.4359999999999999</v>
      </c>
      <c r="AX1540" t="str">
        <f>"E000345204"</f>
        <v>E000345204</v>
      </c>
      <c r="BD1540" t="str">
        <f>"רחמים זרוק"</f>
        <v>רחמים זרוק</v>
      </c>
    </row>
    <row r="1541" spans="1:56" x14ac:dyDescent="0.3">
      <c r="A1541" s="1">
        <v>44740</v>
      </c>
      <c r="B1541" t="str">
        <f>"SI226000739"</f>
        <v>SI226000739</v>
      </c>
      <c r="C1541" t="str">
        <f>"PR22000244"</f>
        <v>PR22000244</v>
      </c>
      <c r="E1541" t="str">
        <f>"Y"</f>
        <v>Y</v>
      </c>
      <c r="F1541" t="str">
        <f>"חשבוניות מרכזות"</f>
        <v>חשבוניות מרכזות</v>
      </c>
      <c r="G1541" t="str">
        <f>"700065"</f>
        <v>700065</v>
      </c>
      <c r="H1541" t="str">
        <f>"אלתא מערכות בע""מ"</f>
        <v>אלתא מערכות בע"מ</v>
      </c>
      <c r="I1541" t="str">
        <f>"10"</f>
        <v>10</v>
      </c>
      <c r="J1541" t="str">
        <f>"OP-AR03041"</f>
        <v>OP-AR03041</v>
      </c>
      <c r="K1541" t="str">
        <f>"2222B152-001   CABLE ASSY ORW101"</f>
        <v>2222B152-001   CABLE ASSY ORW101</v>
      </c>
      <c r="L1541">
        <v>1</v>
      </c>
      <c r="M1541" t="str">
        <f>"יח"</f>
        <v>יח</v>
      </c>
      <c r="N1541">
        <v>1</v>
      </c>
      <c r="O1541" t="str">
        <f>"יח"</f>
        <v>יח</v>
      </c>
      <c r="P1541">
        <v>728.3</v>
      </c>
      <c r="Q1541" t="str">
        <f>"$"</f>
        <v>$</v>
      </c>
      <c r="R1541" t="str">
        <f>"הזמנה"</f>
        <v>הזמנה</v>
      </c>
      <c r="S1541">
        <v>0</v>
      </c>
      <c r="T1541">
        <v>728.3</v>
      </c>
      <c r="U1541">
        <v>0</v>
      </c>
      <c r="V1541">
        <v>728.3</v>
      </c>
      <c r="W1541" t="str">
        <f>"$"</f>
        <v>$</v>
      </c>
      <c r="X1541">
        <v>0</v>
      </c>
      <c r="Y1541">
        <v>0</v>
      </c>
      <c r="Z1541">
        <v>0</v>
      </c>
      <c r="AA1541" t="str">
        <f>"Y"</f>
        <v>Y</v>
      </c>
      <c r="AB1541" t="str">
        <f>"SO22000114"</f>
        <v>SO22000114</v>
      </c>
      <c r="AC1541">
        <v>2</v>
      </c>
      <c r="AD1541" s="1">
        <v>44641</v>
      </c>
      <c r="AE1541" t="str">
        <f>"SH22000760"</f>
        <v>SH22000760</v>
      </c>
      <c r="AF1541" t="str">
        <f>"משלוחים ללקוח"</f>
        <v>משלוחים ללקוח</v>
      </c>
      <c r="AG1541" s="1">
        <v>44739</v>
      </c>
      <c r="AM1541" t="str">
        <f>"10"</f>
        <v>10</v>
      </c>
      <c r="AN1541" t="str">
        <f>"500000"</f>
        <v>500000</v>
      </c>
      <c r="AO1541" t="str">
        <f>"הכנסות  מלקוחות"</f>
        <v>הכנסות  מלקוחות</v>
      </c>
      <c r="AQ1541" t="str">
        <f>"040"</f>
        <v>040</v>
      </c>
      <c r="AR1541">
        <v>0</v>
      </c>
      <c r="AS1541">
        <v>0</v>
      </c>
      <c r="AT1541">
        <v>3.4359999999999999</v>
      </c>
      <c r="AX1541" t="str">
        <f>"E000360381"</f>
        <v>E000360381</v>
      </c>
      <c r="BD1541" t="str">
        <f>"רחמים זרוק"</f>
        <v>רחמים זרוק</v>
      </c>
    </row>
    <row r="1542" spans="1:56" x14ac:dyDescent="0.3">
      <c r="A1542" s="1">
        <v>44740</v>
      </c>
      <c r="B1542" t="str">
        <f>"SI226000739"</f>
        <v>SI226000739</v>
      </c>
      <c r="C1542" t="str">
        <f>"PR22000244"</f>
        <v>PR22000244</v>
      </c>
      <c r="E1542" t="str">
        <f>"Y"</f>
        <v>Y</v>
      </c>
      <c r="F1542" t="str">
        <f>"חשבוניות מרכזות"</f>
        <v>חשבוניות מרכזות</v>
      </c>
      <c r="G1542" t="str">
        <f>"700065"</f>
        <v>700065</v>
      </c>
      <c r="H1542" t="str">
        <f>"אלתא מערכות בע""מ"</f>
        <v>אלתא מערכות בע"מ</v>
      </c>
      <c r="I1542" t="str">
        <f>"10"</f>
        <v>10</v>
      </c>
      <c r="J1542" t="str">
        <f>"OP-AR03042"</f>
        <v>OP-AR03042</v>
      </c>
      <c r="K1542" t="str">
        <f>"2222B154-001   CABLE ASSY ORW102"</f>
        <v>2222B154-001   CABLE ASSY ORW102</v>
      </c>
      <c r="L1542">
        <v>1</v>
      </c>
      <c r="M1542" t="str">
        <f>"יח"</f>
        <v>יח</v>
      </c>
      <c r="N1542">
        <v>1</v>
      </c>
      <c r="O1542" t="str">
        <f>"יח"</f>
        <v>יח</v>
      </c>
      <c r="P1542">
        <v>825.15</v>
      </c>
      <c r="Q1542" t="str">
        <f>"$"</f>
        <v>$</v>
      </c>
      <c r="R1542" t="str">
        <f>"הזמנה"</f>
        <v>הזמנה</v>
      </c>
      <c r="S1542">
        <v>0</v>
      </c>
      <c r="T1542">
        <v>825.15</v>
      </c>
      <c r="U1542">
        <v>0</v>
      </c>
      <c r="V1542">
        <v>825.15</v>
      </c>
      <c r="W1542" t="str">
        <f>"$"</f>
        <v>$</v>
      </c>
      <c r="X1542">
        <v>0</v>
      </c>
      <c r="Y1542">
        <v>0</v>
      </c>
      <c r="Z1542">
        <v>0</v>
      </c>
      <c r="AA1542" t="str">
        <f>"Y"</f>
        <v>Y</v>
      </c>
      <c r="AB1542" t="str">
        <f>"SO22000114"</f>
        <v>SO22000114</v>
      </c>
      <c r="AC1542">
        <v>3</v>
      </c>
      <c r="AD1542" s="1">
        <v>44641</v>
      </c>
      <c r="AE1542" t="str">
        <f>"SH22000760"</f>
        <v>SH22000760</v>
      </c>
      <c r="AF1542" t="str">
        <f>"משלוחים ללקוח"</f>
        <v>משלוחים ללקוח</v>
      </c>
      <c r="AG1542" s="1">
        <v>44739</v>
      </c>
      <c r="AM1542" t="str">
        <f>"10"</f>
        <v>10</v>
      </c>
      <c r="AN1542" t="str">
        <f>"500000"</f>
        <v>500000</v>
      </c>
      <c r="AO1542" t="str">
        <f>"הכנסות  מלקוחות"</f>
        <v>הכנסות  מלקוחות</v>
      </c>
      <c r="AQ1542" t="str">
        <f>"040"</f>
        <v>040</v>
      </c>
      <c r="AR1542">
        <v>0</v>
      </c>
      <c r="AS1542">
        <v>0</v>
      </c>
      <c r="AT1542">
        <v>3.4359999999999999</v>
      </c>
      <c r="AX1542" t="str">
        <f>"E000360381"</f>
        <v>E000360381</v>
      </c>
      <c r="BD1542" t="str">
        <f>"רחמים זרוק"</f>
        <v>רחמים זרוק</v>
      </c>
    </row>
    <row r="1543" spans="1:56" x14ac:dyDescent="0.3">
      <c r="A1543" s="1">
        <v>44740</v>
      </c>
      <c r="B1543" t="str">
        <f>"SI226000738"</f>
        <v>SI226000738</v>
      </c>
      <c r="C1543" t="str">
        <f>"PR22000231"</f>
        <v>PR22000231</v>
      </c>
      <c r="E1543" t="str">
        <f>"Y"</f>
        <v>Y</v>
      </c>
      <c r="F1543" t="str">
        <f>"חשבוניות מרכזות"</f>
        <v>חשבוניות מרכזות</v>
      </c>
      <c r="G1543" t="str">
        <f>"700065"</f>
        <v>700065</v>
      </c>
      <c r="H1543" t="str">
        <f>"אלתא מערכות בע""מ"</f>
        <v>אלתא מערכות בע"מ</v>
      </c>
      <c r="I1543" t="str">
        <f>"10"</f>
        <v>10</v>
      </c>
      <c r="J1543" t="str">
        <f>"OP-AR02352"</f>
        <v>OP-AR02352</v>
      </c>
      <c r="K1543" t="str">
        <f>"2202B036-001    TRW23 CABLE ASSY"</f>
        <v>2202B036-001    TRW23 CABLE ASSY</v>
      </c>
      <c r="L1543">
        <v>1</v>
      </c>
      <c r="M1543" t="str">
        <f>"יח"</f>
        <v>יח</v>
      </c>
      <c r="N1543">
        <v>1</v>
      </c>
      <c r="O1543" t="str">
        <f>"יח"</f>
        <v>יח</v>
      </c>
      <c r="P1543">
        <v>81.290000000000006</v>
      </c>
      <c r="Q1543" t="str">
        <f>"$"</f>
        <v>$</v>
      </c>
      <c r="R1543" t="str">
        <f>"הזמנה"</f>
        <v>הזמנה</v>
      </c>
      <c r="S1543">
        <v>0</v>
      </c>
      <c r="T1543">
        <v>81.290000000000006</v>
      </c>
      <c r="U1543">
        <v>0</v>
      </c>
      <c r="V1543">
        <v>81.290000000000006</v>
      </c>
      <c r="W1543" t="str">
        <f>"$"</f>
        <v>$</v>
      </c>
      <c r="X1543">
        <v>0</v>
      </c>
      <c r="Y1543">
        <v>0</v>
      </c>
      <c r="Z1543">
        <v>0</v>
      </c>
      <c r="AA1543" t="str">
        <f>"Y"</f>
        <v>Y</v>
      </c>
      <c r="AB1543" t="str">
        <f>"SO22000105"</f>
        <v>SO22000105</v>
      </c>
      <c r="AC1543">
        <v>9</v>
      </c>
      <c r="AD1543" s="1">
        <v>44635</v>
      </c>
      <c r="AE1543" t="str">
        <f>"SH22000757"</f>
        <v>SH22000757</v>
      </c>
      <c r="AF1543" t="str">
        <f>"משלוחים ללקוח"</f>
        <v>משלוחים ללקוח</v>
      </c>
      <c r="AG1543" s="1">
        <v>44739</v>
      </c>
      <c r="AM1543" t="str">
        <f>"10"</f>
        <v>10</v>
      </c>
      <c r="AN1543" t="str">
        <f>"500000"</f>
        <v>500000</v>
      </c>
      <c r="AO1543" t="str">
        <f>"הכנסות  מלקוחות"</f>
        <v>הכנסות  מלקוחות</v>
      </c>
      <c r="AQ1543" t="str">
        <f>"040"</f>
        <v>040</v>
      </c>
      <c r="AR1543">
        <v>0</v>
      </c>
      <c r="AS1543">
        <v>0</v>
      </c>
      <c r="AT1543">
        <v>3.4359999999999999</v>
      </c>
      <c r="AX1543" t="str">
        <f>"E000359029"</f>
        <v>E000359029</v>
      </c>
      <c r="BD1543" t="str">
        <f>"רחמים זרוק"</f>
        <v>רחמים זרוק</v>
      </c>
    </row>
    <row r="1544" spans="1:56" x14ac:dyDescent="0.3">
      <c r="A1544" s="1">
        <v>44740</v>
      </c>
      <c r="B1544" t="str">
        <f>"SI226000738"</f>
        <v>SI226000738</v>
      </c>
      <c r="C1544" t="str">
        <f>"PR22000231"</f>
        <v>PR22000231</v>
      </c>
      <c r="E1544" t="str">
        <f>"Y"</f>
        <v>Y</v>
      </c>
      <c r="F1544" t="str">
        <f>"חשבוניות מרכזות"</f>
        <v>חשבוניות מרכזות</v>
      </c>
      <c r="G1544" t="str">
        <f>"700065"</f>
        <v>700065</v>
      </c>
      <c r="H1544" t="str">
        <f>"אלתא מערכות בע""מ"</f>
        <v>אלתא מערכות בע"מ</v>
      </c>
      <c r="I1544" t="str">
        <f>"10"</f>
        <v>10</v>
      </c>
      <c r="J1544" t="str">
        <f>"OP-AR02352"</f>
        <v>OP-AR02352</v>
      </c>
      <c r="K1544" t="str">
        <f>"2202B036-001    TRW23 CABLE ASSY"</f>
        <v>2202B036-001    TRW23 CABLE ASSY</v>
      </c>
      <c r="L1544">
        <v>1</v>
      </c>
      <c r="M1544" t="str">
        <f>"יח"</f>
        <v>יח</v>
      </c>
      <c r="N1544">
        <v>1</v>
      </c>
      <c r="O1544" t="str">
        <f>"יח"</f>
        <v>יח</v>
      </c>
      <c r="P1544">
        <v>81.290000000000006</v>
      </c>
      <c r="Q1544" t="str">
        <f>"$"</f>
        <v>$</v>
      </c>
      <c r="R1544" t="str">
        <f>"הזמנה"</f>
        <v>הזמנה</v>
      </c>
      <c r="S1544">
        <v>0</v>
      </c>
      <c r="T1544">
        <v>81.290000000000006</v>
      </c>
      <c r="U1544">
        <v>0</v>
      </c>
      <c r="V1544">
        <v>81.290000000000006</v>
      </c>
      <c r="W1544" t="str">
        <f>"$"</f>
        <v>$</v>
      </c>
      <c r="X1544">
        <v>0</v>
      </c>
      <c r="Y1544">
        <v>0</v>
      </c>
      <c r="Z1544">
        <v>0</v>
      </c>
      <c r="AA1544" t="str">
        <f>"Y"</f>
        <v>Y</v>
      </c>
      <c r="AB1544" t="str">
        <f>"SO22000105"</f>
        <v>SO22000105</v>
      </c>
      <c r="AC1544">
        <v>10</v>
      </c>
      <c r="AD1544" s="1">
        <v>44635</v>
      </c>
      <c r="AE1544" t="str">
        <f>"SH22000757"</f>
        <v>SH22000757</v>
      </c>
      <c r="AF1544" t="str">
        <f>"משלוחים ללקוח"</f>
        <v>משלוחים ללקוח</v>
      </c>
      <c r="AG1544" s="1">
        <v>44739</v>
      </c>
      <c r="AM1544" t="str">
        <f>"10"</f>
        <v>10</v>
      </c>
      <c r="AN1544" t="str">
        <f>"500000"</f>
        <v>500000</v>
      </c>
      <c r="AO1544" t="str">
        <f>"הכנסות  מלקוחות"</f>
        <v>הכנסות  מלקוחות</v>
      </c>
      <c r="AQ1544" t="str">
        <f>"040"</f>
        <v>040</v>
      </c>
      <c r="AR1544">
        <v>0</v>
      </c>
      <c r="AS1544">
        <v>0</v>
      </c>
      <c r="AT1544">
        <v>3.4359999999999999</v>
      </c>
      <c r="AX1544" t="str">
        <f>"E000359029"</f>
        <v>E000359029</v>
      </c>
      <c r="BD1544" t="str">
        <f>"רחמים זרוק"</f>
        <v>רחמים זרוק</v>
      </c>
    </row>
    <row r="1545" spans="1:56" x14ac:dyDescent="0.3">
      <c r="A1545" s="1">
        <v>44740</v>
      </c>
      <c r="B1545" t="str">
        <f>"SI226000738"</f>
        <v>SI226000738</v>
      </c>
      <c r="C1545" t="str">
        <f>"PR22000231"</f>
        <v>PR22000231</v>
      </c>
      <c r="E1545" t="str">
        <f>"Y"</f>
        <v>Y</v>
      </c>
      <c r="F1545" t="str">
        <f>"חשבוניות מרכזות"</f>
        <v>חשבוניות מרכזות</v>
      </c>
      <c r="G1545" t="str">
        <f>"700065"</f>
        <v>700065</v>
      </c>
      <c r="H1545" t="str">
        <f>"אלתא מערכות בע""מ"</f>
        <v>אלתא מערכות בע"מ</v>
      </c>
      <c r="I1545" t="str">
        <f>"10"</f>
        <v>10</v>
      </c>
      <c r="J1545" t="str">
        <f>"OP-AR03019"</f>
        <v>OP-AR03019</v>
      </c>
      <c r="K1545" t="str">
        <f>"2218B752-001   W102 CABLE ASSY"</f>
        <v>2218B752-001   W102 CABLE ASSY</v>
      </c>
      <c r="L1545">
        <v>1</v>
      </c>
      <c r="M1545" t="str">
        <f>"יח"</f>
        <v>יח</v>
      </c>
      <c r="N1545">
        <v>1</v>
      </c>
      <c r="O1545" t="str">
        <f>"יח"</f>
        <v>יח</v>
      </c>
      <c r="P1545">
        <v>240.54</v>
      </c>
      <c r="Q1545" t="str">
        <f>"$"</f>
        <v>$</v>
      </c>
      <c r="R1545" t="str">
        <f>"הזמנה"</f>
        <v>הזמנה</v>
      </c>
      <c r="S1545">
        <v>0</v>
      </c>
      <c r="T1545">
        <v>240.54</v>
      </c>
      <c r="U1545">
        <v>0</v>
      </c>
      <c r="V1545">
        <v>240.54</v>
      </c>
      <c r="W1545" t="str">
        <f>"$"</f>
        <v>$</v>
      </c>
      <c r="X1545">
        <v>0</v>
      </c>
      <c r="Y1545">
        <v>0</v>
      </c>
      <c r="Z1545">
        <v>0</v>
      </c>
      <c r="AA1545" t="str">
        <f>"Y"</f>
        <v>Y</v>
      </c>
      <c r="AB1545" t="str">
        <f>"SO22000105"</f>
        <v>SO22000105</v>
      </c>
      <c r="AC1545">
        <v>16</v>
      </c>
      <c r="AD1545" s="1">
        <v>44635</v>
      </c>
      <c r="AE1545" t="str">
        <f>"SH22000757"</f>
        <v>SH22000757</v>
      </c>
      <c r="AF1545" t="str">
        <f>"משלוחים ללקוח"</f>
        <v>משלוחים ללקוח</v>
      </c>
      <c r="AG1545" s="1">
        <v>44739</v>
      </c>
      <c r="AM1545" t="str">
        <f>"10"</f>
        <v>10</v>
      </c>
      <c r="AN1545" t="str">
        <f>"500000"</f>
        <v>500000</v>
      </c>
      <c r="AO1545" t="str">
        <f>"הכנסות  מלקוחות"</f>
        <v>הכנסות  מלקוחות</v>
      </c>
      <c r="AQ1545" t="str">
        <f>"040"</f>
        <v>040</v>
      </c>
      <c r="AR1545">
        <v>0</v>
      </c>
      <c r="AS1545">
        <v>0</v>
      </c>
      <c r="AT1545">
        <v>3.4359999999999999</v>
      </c>
      <c r="AX1545" t="str">
        <f>"E000359029"</f>
        <v>E000359029</v>
      </c>
      <c r="BD1545" t="str">
        <f>"רחמים זרוק"</f>
        <v>רחמים זרוק</v>
      </c>
    </row>
    <row r="1546" spans="1:56" x14ac:dyDescent="0.3">
      <c r="A1546" s="1">
        <v>44740</v>
      </c>
      <c r="B1546" t="str">
        <f>"SI226000738"</f>
        <v>SI226000738</v>
      </c>
      <c r="C1546" t="str">
        <f>"PR22000231"</f>
        <v>PR22000231</v>
      </c>
      <c r="E1546" t="str">
        <f>"Y"</f>
        <v>Y</v>
      </c>
      <c r="F1546" t="str">
        <f>"חשבוניות מרכזות"</f>
        <v>חשבוניות מרכזות</v>
      </c>
      <c r="G1546" t="str">
        <f>"700065"</f>
        <v>700065</v>
      </c>
      <c r="H1546" t="str">
        <f>"אלתא מערכות בע""מ"</f>
        <v>אלתא מערכות בע"מ</v>
      </c>
      <c r="I1546" t="str">
        <f>"10"</f>
        <v>10</v>
      </c>
      <c r="J1546" t="str">
        <f>"OP-AR03020"</f>
        <v>OP-AR03020</v>
      </c>
      <c r="K1546" t="str">
        <f>"2218B754-001   W103 CABLE ASSY"</f>
        <v>2218B754-001   W103 CABLE ASSY</v>
      </c>
      <c r="L1546">
        <v>1</v>
      </c>
      <c r="M1546" t="str">
        <f>"יח"</f>
        <v>יח</v>
      </c>
      <c r="N1546">
        <v>1</v>
      </c>
      <c r="O1546" t="str">
        <f>"יח"</f>
        <v>יח</v>
      </c>
      <c r="P1546">
        <v>615.34</v>
      </c>
      <c r="Q1546" t="str">
        <f>"$"</f>
        <v>$</v>
      </c>
      <c r="R1546" t="str">
        <f>"הזמנה"</f>
        <v>הזמנה</v>
      </c>
      <c r="S1546">
        <v>0</v>
      </c>
      <c r="T1546">
        <v>615.34</v>
      </c>
      <c r="U1546">
        <v>0</v>
      </c>
      <c r="V1546">
        <v>615.34</v>
      </c>
      <c r="W1546" t="str">
        <f>"$"</f>
        <v>$</v>
      </c>
      <c r="X1546">
        <v>0</v>
      </c>
      <c r="Y1546">
        <v>0</v>
      </c>
      <c r="Z1546">
        <v>0</v>
      </c>
      <c r="AA1546" t="str">
        <f>"Y"</f>
        <v>Y</v>
      </c>
      <c r="AB1546" t="str">
        <f>"SO22000105"</f>
        <v>SO22000105</v>
      </c>
      <c r="AC1546">
        <v>17</v>
      </c>
      <c r="AD1546" s="1">
        <v>44635</v>
      </c>
      <c r="AE1546" t="str">
        <f>"SH22000757"</f>
        <v>SH22000757</v>
      </c>
      <c r="AF1546" t="str">
        <f>"משלוחים ללקוח"</f>
        <v>משלוחים ללקוח</v>
      </c>
      <c r="AG1546" s="1">
        <v>44739</v>
      </c>
      <c r="AM1546" t="str">
        <f>"10"</f>
        <v>10</v>
      </c>
      <c r="AN1546" t="str">
        <f>"500000"</f>
        <v>500000</v>
      </c>
      <c r="AO1546" t="str">
        <f>"הכנסות  מלקוחות"</f>
        <v>הכנסות  מלקוחות</v>
      </c>
      <c r="AQ1546" t="str">
        <f>"040"</f>
        <v>040</v>
      </c>
      <c r="AR1546">
        <v>0</v>
      </c>
      <c r="AS1546">
        <v>0</v>
      </c>
      <c r="AT1546">
        <v>3.4359999999999999</v>
      </c>
      <c r="AX1546" t="str">
        <f>"E000359029"</f>
        <v>E000359029</v>
      </c>
      <c r="BD1546" t="str">
        <f>"רחמים זרוק"</f>
        <v>רחמים זרוק</v>
      </c>
    </row>
    <row r="1547" spans="1:56" x14ac:dyDescent="0.3">
      <c r="A1547" s="1">
        <v>44740</v>
      </c>
      <c r="B1547" t="str">
        <f>"SI226000737"</f>
        <v>SI226000737</v>
      </c>
      <c r="C1547" t="str">
        <f>"PR22000223"</f>
        <v>PR22000223</v>
      </c>
      <c r="E1547" t="str">
        <f>"Y"</f>
        <v>Y</v>
      </c>
      <c r="F1547" t="str">
        <f>"חשבוניות מרכזות"</f>
        <v>חשבוניות מרכזות</v>
      </c>
      <c r="G1547" t="str">
        <f>"700065"</f>
        <v>700065</v>
      </c>
      <c r="H1547" t="str">
        <f>"אלתא מערכות בע""מ"</f>
        <v>אלתא מערכות בע"מ</v>
      </c>
      <c r="I1547" t="str">
        <f>"10"</f>
        <v>10</v>
      </c>
      <c r="J1547" t="str">
        <f>"OP-AR02997"</f>
        <v>OP-AR02997</v>
      </c>
      <c r="K1547" t="str">
        <f>"1023M575-001   HARNESS W1"</f>
        <v>1023M575-001   HARNESS W1</v>
      </c>
      <c r="L1547">
        <v>16</v>
      </c>
      <c r="M1547" t="str">
        <f>"יח"</f>
        <v>יח</v>
      </c>
      <c r="N1547">
        <v>16</v>
      </c>
      <c r="O1547" t="str">
        <f>"יח"</f>
        <v>יח</v>
      </c>
      <c r="P1547">
        <v>236.02</v>
      </c>
      <c r="Q1547" t="str">
        <f>"$"</f>
        <v>$</v>
      </c>
      <c r="R1547" t="str">
        <f>"הזמנה"</f>
        <v>הזמנה</v>
      </c>
      <c r="S1547">
        <v>0</v>
      </c>
      <c r="T1547" s="2">
        <v>3776.32</v>
      </c>
      <c r="U1547">
        <v>0</v>
      </c>
      <c r="V1547" s="2">
        <v>3776.32</v>
      </c>
      <c r="W1547" t="str">
        <f>"$"</f>
        <v>$</v>
      </c>
      <c r="X1547">
        <v>0</v>
      </c>
      <c r="Y1547">
        <v>0</v>
      </c>
      <c r="Z1547">
        <v>0</v>
      </c>
      <c r="AA1547" t="str">
        <f>"Y"</f>
        <v>Y</v>
      </c>
      <c r="AB1547" t="str">
        <f>"SO22000099"</f>
        <v>SO22000099</v>
      </c>
      <c r="AC1547">
        <v>3</v>
      </c>
      <c r="AD1547" s="1">
        <v>44629</v>
      </c>
      <c r="AE1547" t="str">
        <f>"SH22000762"</f>
        <v>SH22000762</v>
      </c>
      <c r="AF1547" t="str">
        <f>"משלוחים ללקוח"</f>
        <v>משלוחים ללקוח</v>
      </c>
      <c r="AG1547" s="1">
        <v>44739</v>
      </c>
      <c r="AM1547" t="str">
        <f>"10"</f>
        <v>10</v>
      </c>
      <c r="AN1547" t="str">
        <f>"500000"</f>
        <v>500000</v>
      </c>
      <c r="AO1547" t="str">
        <f>"הכנסות  מלקוחות"</f>
        <v>הכנסות  מלקוחות</v>
      </c>
      <c r="AQ1547" t="str">
        <f>"040"</f>
        <v>040</v>
      </c>
      <c r="AR1547">
        <v>0</v>
      </c>
      <c r="AS1547">
        <v>0</v>
      </c>
      <c r="AT1547">
        <v>3.4359999999999999</v>
      </c>
      <c r="AX1547" t="str">
        <f>"E000358026"</f>
        <v>E000358026</v>
      </c>
      <c r="BD1547" t="str">
        <f>"רחמים זרוק"</f>
        <v>רחמים זרוק</v>
      </c>
    </row>
    <row r="1548" spans="1:56" x14ac:dyDescent="0.3">
      <c r="A1548" s="1">
        <v>44740</v>
      </c>
      <c r="B1548" t="str">
        <f>"SI226000737"</f>
        <v>SI226000737</v>
      </c>
      <c r="C1548" t="str">
        <f>"PR22000223"</f>
        <v>PR22000223</v>
      </c>
      <c r="E1548" t="str">
        <f>"Y"</f>
        <v>Y</v>
      </c>
      <c r="F1548" t="str">
        <f>"חשבוניות מרכזות"</f>
        <v>חשבוניות מרכזות</v>
      </c>
      <c r="G1548" t="str">
        <f>"700065"</f>
        <v>700065</v>
      </c>
      <c r="H1548" t="str">
        <f>"אלתא מערכות בע""מ"</f>
        <v>אלתא מערכות בע"מ</v>
      </c>
      <c r="I1548" t="str">
        <f>"10"</f>
        <v>10</v>
      </c>
      <c r="J1548" t="str">
        <f>"OP-AR03001"</f>
        <v>OP-AR03001</v>
      </c>
      <c r="K1548" t="str">
        <f>"1092E058-001   JTAG ADAPTER CABLE"</f>
        <v>1092E058-001   JTAG ADAPTER CABLE</v>
      </c>
      <c r="L1548">
        <v>10</v>
      </c>
      <c r="M1548" t="str">
        <f>"יח"</f>
        <v>יח</v>
      </c>
      <c r="N1548">
        <v>10</v>
      </c>
      <c r="O1548" t="str">
        <f>"יח"</f>
        <v>יח</v>
      </c>
      <c r="P1548">
        <v>75.8</v>
      </c>
      <c r="Q1548" t="str">
        <f>"$"</f>
        <v>$</v>
      </c>
      <c r="R1548" t="str">
        <f>"הזמנה"</f>
        <v>הזמנה</v>
      </c>
      <c r="S1548">
        <v>0</v>
      </c>
      <c r="T1548">
        <v>758</v>
      </c>
      <c r="U1548">
        <v>0</v>
      </c>
      <c r="V1548">
        <v>758</v>
      </c>
      <c r="W1548" t="str">
        <f>"$"</f>
        <v>$</v>
      </c>
      <c r="X1548">
        <v>0</v>
      </c>
      <c r="Y1548">
        <v>0</v>
      </c>
      <c r="Z1548">
        <v>0</v>
      </c>
      <c r="AA1548" t="str">
        <f>"Y"</f>
        <v>Y</v>
      </c>
      <c r="AB1548" t="str">
        <f>"SO22000099"</f>
        <v>SO22000099</v>
      </c>
      <c r="AC1548">
        <v>9</v>
      </c>
      <c r="AD1548" s="1">
        <v>44629</v>
      </c>
      <c r="AE1548" t="str">
        <f>"SH22000762"</f>
        <v>SH22000762</v>
      </c>
      <c r="AF1548" t="str">
        <f>"משלוחים ללקוח"</f>
        <v>משלוחים ללקוח</v>
      </c>
      <c r="AG1548" s="1">
        <v>44739</v>
      </c>
      <c r="AM1548" t="str">
        <f>"10"</f>
        <v>10</v>
      </c>
      <c r="AN1548" t="str">
        <f>"500000"</f>
        <v>500000</v>
      </c>
      <c r="AO1548" t="str">
        <f>"הכנסות  מלקוחות"</f>
        <v>הכנסות  מלקוחות</v>
      </c>
      <c r="AQ1548" t="str">
        <f>"040"</f>
        <v>040</v>
      </c>
      <c r="AR1548">
        <v>0</v>
      </c>
      <c r="AS1548">
        <v>0</v>
      </c>
      <c r="AT1548">
        <v>3.4359999999999999</v>
      </c>
      <c r="AX1548" t="str">
        <f>"E000358026"</f>
        <v>E000358026</v>
      </c>
      <c r="BD1548" t="str">
        <f>"רחמים זרוק"</f>
        <v>רחמים זרוק</v>
      </c>
    </row>
    <row r="1549" spans="1:56" x14ac:dyDescent="0.3">
      <c r="A1549" s="1">
        <v>44740</v>
      </c>
      <c r="B1549" t="str">
        <f>"SI226000737"</f>
        <v>SI226000737</v>
      </c>
      <c r="C1549" t="str">
        <f>"PR22000223"</f>
        <v>PR22000223</v>
      </c>
      <c r="E1549" t="str">
        <f>"Y"</f>
        <v>Y</v>
      </c>
      <c r="F1549" t="str">
        <f>"חשבוניות מרכזות"</f>
        <v>חשבוניות מרכזות</v>
      </c>
      <c r="G1549" t="str">
        <f>"700065"</f>
        <v>700065</v>
      </c>
      <c r="H1549" t="str">
        <f>"אלתא מערכות בע""מ"</f>
        <v>אלתא מערכות בע"מ</v>
      </c>
      <c r="I1549" t="str">
        <f>"10"</f>
        <v>10</v>
      </c>
      <c r="J1549" t="str">
        <f>"OP-AR03004"</f>
        <v>OP-AR03004</v>
      </c>
      <c r="K1549" t="str">
        <f>"4061D852-001   HARNESS W0852 - HPAFE M AND C CABLE (LAB"</f>
        <v>4061D852-001   HARNESS W0852 - HPAFE M AND C CABLE (LAB</v>
      </c>
      <c r="L1549">
        <v>2</v>
      </c>
      <c r="M1549" t="str">
        <f>"יח"</f>
        <v>יח</v>
      </c>
      <c r="N1549">
        <v>2</v>
      </c>
      <c r="O1549" t="str">
        <f>"יח"</f>
        <v>יח</v>
      </c>
      <c r="P1549">
        <v>258.13</v>
      </c>
      <c r="Q1549" t="str">
        <f>"$"</f>
        <v>$</v>
      </c>
      <c r="R1549" t="str">
        <f>"הזמנה"</f>
        <v>הזמנה</v>
      </c>
      <c r="S1549">
        <v>0</v>
      </c>
      <c r="T1549">
        <v>516.26</v>
      </c>
      <c r="U1549">
        <v>0</v>
      </c>
      <c r="V1549">
        <v>516.26</v>
      </c>
      <c r="W1549" t="str">
        <f>"$"</f>
        <v>$</v>
      </c>
      <c r="X1549">
        <v>0</v>
      </c>
      <c r="Y1549">
        <v>0</v>
      </c>
      <c r="Z1549">
        <v>0</v>
      </c>
      <c r="AA1549" t="str">
        <f>"Y"</f>
        <v>Y</v>
      </c>
      <c r="AB1549" t="str">
        <f>"SO22000099"</f>
        <v>SO22000099</v>
      </c>
      <c r="AC1549">
        <v>12</v>
      </c>
      <c r="AD1549" s="1">
        <v>44629</v>
      </c>
      <c r="AE1549" t="str">
        <f>"SH22000762"</f>
        <v>SH22000762</v>
      </c>
      <c r="AF1549" t="str">
        <f>"משלוחים ללקוח"</f>
        <v>משלוחים ללקוח</v>
      </c>
      <c r="AG1549" s="1">
        <v>44739</v>
      </c>
      <c r="AM1549" t="str">
        <f>"10"</f>
        <v>10</v>
      </c>
      <c r="AN1549" t="str">
        <f>"500000"</f>
        <v>500000</v>
      </c>
      <c r="AO1549" t="str">
        <f>"הכנסות  מלקוחות"</f>
        <v>הכנסות  מלקוחות</v>
      </c>
      <c r="AQ1549" t="str">
        <f>"040"</f>
        <v>040</v>
      </c>
      <c r="AR1549">
        <v>0</v>
      </c>
      <c r="AS1549">
        <v>0</v>
      </c>
      <c r="AT1549">
        <v>3.4359999999999999</v>
      </c>
      <c r="AX1549" t="str">
        <f>"E000358026"</f>
        <v>E000358026</v>
      </c>
      <c r="BD1549" t="str">
        <f>"רחמים זרוק"</f>
        <v>רחמים זרוק</v>
      </c>
    </row>
    <row r="1550" spans="1:56" x14ac:dyDescent="0.3">
      <c r="A1550" s="1">
        <v>44740</v>
      </c>
      <c r="B1550" t="str">
        <f>"SI226000737"</f>
        <v>SI226000737</v>
      </c>
      <c r="C1550" t="str">
        <f>"PR22000223"</f>
        <v>PR22000223</v>
      </c>
      <c r="E1550" t="str">
        <f>"Y"</f>
        <v>Y</v>
      </c>
      <c r="F1550" t="str">
        <f>"חשבוניות מרכזות"</f>
        <v>חשבוניות מרכזות</v>
      </c>
      <c r="G1550" t="str">
        <f>"700065"</f>
        <v>700065</v>
      </c>
      <c r="H1550" t="str">
        <f>"אלתא מערכות בע""מ"</f>
        <v>אלתא מערכות בע"מ</v>
      </c>
      <c r="I1550" t="str">
        <f>"10"</f>
        <v>10</v>
      </c>
      <c r="J1550" t="str">
        <f>"OP-AR03008"</f>
        <v>OP-AR03008</v>
      </c>
      <c r="K1550" t="str">
        <f>"1041E207-001   HARNESS W035 - STAR X - POWER OSC"</f>
        <v>1041E207-001   HARNESS W035 - STAR X - POWER OSC</v>
      </c>
      <c r="L1550">
        <v>3</v>
      </c>
      <c r="M1550" t="str">
        <f>"יח"</f>
        <v>יח</v>
      </c>
      <c r="N1550">
        <v>3</v>
      </c>
      <c r="O1550" t="str">
        <f>"יח"</f>
        <v>יח</v>
      </c>
      <c r="P1550">
        <v>214.99</v>
      </c>
      <c r="Q1550" t="str">
        <f>"$"</f>
        <v>$</v>
      </c>
      <c r="R1550" t="str">
        <f>"הזמנה"</f>
        <v>הזמנה</v>
      </c>
      <c r="S1550">
        <v>0</v>
      </c>
      <c r="T1550">
        <v>644.97</v>
      </c>
      <c r="U1550">
        <v>0</v>
      </c>
      <c r="V1550">
        <v>644.97</v>
      </c>
      <c r="W1550" t="str">
        <f>"$"</f>
        <v>$</v>
      </c>
      <c r="X1550">
        <v>0</v>
      </c>
      <c r="Y1550">
        <v>0</v>
      </c>
      <c r="Z1550">
        <v>0</v>
      </c>
      <c r="AA1550" t="str">
        <f>"Y"</f>
        <v>Y</v>
      </c>
      <c r="AB1550" t="str">
        <f>"SO22000099"</f>
        <v>SO22000099</v>
      </c>
      <c r="AC1550">
        <v>19</v>
      </c>
      <c r="AD1550" s="1">
        <v>44629</v>
      </c>
      <c r="AE1550" t="str">
        <f>"SH22000762"</f>
        <v>SH22000762</v>
      </c>
      <c r="AF1550" t="str">
        <f>"משלוחים ללקוח"</f>
        <v>משלוחים ללקוח</v>
      </c>
      <c r="AG1550" s="1">
        <v>44739</v>
      </c>
      <c r="AM1550" t="str">
        <f>"10"</f>
        <v>10</v>
      </c>
      <c r="AN1550" t="str">
        <f>"500000"</f>
        <v>500000</v>
      </c>
      <c r="AO1550" t="str">
        <f>"הכנסות  מלקוחות"</f>
        <v>הכנסות  מלקוחות</v>
      </c>
      <c r="AQ1550" t="str">
        <f>"040"</f>
        <v>040</v>
      </c>
      <c r="AR1550">
        <v>0</v>
      </c>
      <c r="AS1550">
        <v>0</v>
      </c>
      <c r="AT1550">
        <v>3.4359999999999999</v>
      </c>
      <c r="AX1550" t="str">
        <f>"E000358026"</f>
        <v>E000358026</v>
      </c>
      <c r="BD1550" t="str">
        <f>"רחמים זרוק"</f>
        <v>רחמים זרוק</v>
      </c>
    </row>
    <row r="1551" spans="1:56" x14ac:dyDescent="0.3">
      <c r="A1551" s="1">
        <v>44740</v>
      </c>
      <c r="B1551" t="str">
        <f>"SI226000735"</f>
        <v>SI226000735</v>
      </c>
      <c r="C1551" t="str">
        <f>"PR22000193"</f>
        <v>PR22000193</v>
      </c>
      <c r="D1551" t="str">
        <f>"PR22000193"</f>
        <v>PR22000193</v>
      </c>
      <c r="E1551" t="str">
        <f>"Y"</f>
        <v>Y</v>
      </c>
      <c r="F1551" t="str">
        <f>"חשבוניות מרכזות"</f>
        <v>חשבוניות מרכזות</v>
      </c>
      <c r="G1551" t="str">
        <f>"700065"</f>
        <v>700065</v>
      </c>
      <c r="H1551" t="str">
        <f>"אלתא מערכות בע""מ"</f>
        <v>אלתא מערכות בע"מ</v>
      </c>
      <c r="I1551" t="str">
        <f>"10"</f>
        <v>10</v>
      </c>
      <c r="J1551" t="str">
        <f>"OP-KT00119"</f>
        <v>OP-KT00119</v>
      </c>
      <c r="K1551" t="str">
        <f>"1038C878-001 - SPARE PARTS KIT FOR RECTIFIER RACK"</f>
        <v>1038C878-001 - SPARE PARTS KIT FOR RECTIFIER RACK</v>
      </c>
      <c r="L1551">
        <v>1</v>
      </c>
      <c r="M1551" t="str">
        <f>"יח"</f>
        <v>יח</v>
      </c>
      <c r="N1551">
        <v>1</v>
      </c>
      <c r="O1551" t="str">
        <f>"יח"</f>
        <v>יח</v>
      </c>
      <c r="P1551" s="2">
        <v>7541.71</v>
      </c>
      <c r="Q1551" t="str">
        <f>"$"</f>
        <v>$</v>
      </c>
      <c r="R1551" t="str">
        <f>"הזמנה"</f>
        <v>הזמנה</v>
      </c>
      <c r="S1551">
        <v>0</v>
      </c>
      <c r="T1551" s="2">
        <v>7541.71</v>
      </c>
      <c r="U1551">
        <v>0</v>
      </c>
      <c r="V1551" s="2">
        <v>7541.71</v>
      </c>
      <c r="W1551" t="str">
        <f>"$"</f>
        <v>$</v>
      </c>
      <c r="X1551">
        <v>0</v>
      </c>
      <c r="Y1551">
        <v>0</v>
      </c>
      <c r="Z1551">
        <v>0</v>
      </c>
      <c r="AA1551" t="str">
        <f>"Y"</f>
        <v>Y</v>
      </c>
      <c r="AB1551" t="str">
        <f>"SO22000064"</f>
        <v>SO22000064</v>
      </c>
      <c r="AC1551">
        <v>3</v>
      </c>
      <c r="AD1551" s="1">
        <v>44614</v>
      </c>
      <c r="AE1551" t="str">
        <f>"SH22000767"</f>
        <v>SH22000767</v>
      </c>
      <c r="AF1551" t="str">
        <f>"משלוחים ללקוח"</f>
        <v>משלוחים ללקוח</v>
      </c>
      <c r="AG1551" s="1">
        <v>44739</v>
      </c>
      <c r="AM1551" t="str">
        <f>"10"</f>
        <v>10</v>
      </c>
      <c r="AN1551" t="str">
        <f>"500000"</f>
        <v>500000</v>
      </c>
      <c r="AO1551" t="str">
        <f>"הכנסות  מלקוחות"</f>
        <v>הכנסות  מלקוחות</v>
      </c>
      <c r="AQ1551" t="str">
        <f>"034"</f>
        <v>034</v>
      </c>
      <c r="AR1551">
        <v>0</v>
      </c>
      <c r="AS1551">
        <v>0</v>
      </c>
      <c r="AT1551">
        <v>3.4359999999999999</v>
      </c>
      <c r="AX1551" t="str">
        <f>"E000358714"</f>
        <v>E000358714</v>
      </c>
      <c r="BD1551" t="str">
        <f>"ערן שלו"</f>
        <v>ערן שלו</v>
      </c>
    </row>
    <row r="1552" spans="1:56" x14ac:dyDescent="0.3">
      <c r="A1552" s="1">
        <v>44740</v>
      </c>
      <c r="B1552" t="str">
        <f>"SI226000735"</f>
        <v>SI226000735</v>
      </c>
      <c r="C1552" t="str">
        <f>"PR22000193"</f>
        <v>PR22000193</v>
      </c>
      <c r="D1552" t="str">
        <f>"PR22000193"</f>
        <v>PR22000193</v>
      </c>
      <c r="E1552" t="str">
        <f>"Y"</f>
        <v>Y</v>
      </c>
      <c r="F1552" t="str">
        <f>"חשבוניות מרכזות"</f>
        <v>חשבוניות מרכזות</v>
      </c>
      <c r="G1552" t="str">
        <f>"700065"</f>
        <v>700065</v>
      </c>
      <c r="H1552" t="str">
        <f>"אלתא מערכות בע""מ"</f>
        <v>אלתא מערכות בע"מ</v>
      </c>
      <c r="I1552" t="str">
        <f>"10"</f>
        <v>10</v>
      </c>
      <c r="J1552" t="str">
        <f>"OP-KT00122"</f>
        <v>OP-KT00122</v>
      </c>
      <c r="K1552" t="str">
        <f>"1041M385-001 - FILTERING VENTILATION SYS for RECTIFIER"</f>
        <v>1041M385-001 - FILTERING VENTILATION SYS for RECTIFIER</v>
      </c>
      <c r="L1552">
        <v>1</v>
      </c>
      <c r="M1552" t="str">
        <f>"יח"</f>
        <v>יח</v>
      </c>
      <c r="N1552">
        <v>1</v>
      </c>
      <c r="O1552" t="str">
        <f>"יח"</f>
        <v>יח</v>
      </c>
      <c r="P1552">
        <v>56.64</v>
      </c>
      <c r="Q1552" t="str">
        <f>"$"</f>
        <v>$</v>
      </c>
      <c r="R1552" t="str">
        <f>"הזמנה"</f>
        <v>הזמנה</v>
      </c>
      <c r="S1552">
        <v>0</v>
      </c>
      <c r="T1552">
        <v>56.64</v>
      </c>
      <c r="U1552">
        <v>0</v>
      </c>
      <c r="V1552">
        <v>56.64</v>
      </c>
      <c r="W1552" t="str">
        <f>"$"</f>
        <v>$</v>
      </c>
      <c r="X1552">
        <v>0</v>
      </c>
      <c r="Y1552">
        <v>0</v>
      </c>
      <c r="Z1552">
        <v>0</v>
      </c>
      <c r="AA1552" t="str">
        <f>"Y"</f>
        <v>Y</v>
      </c>
      <c r="AB1552" t="str">
        <f>"SO22000064"</f>
        <v>SO22000064</v>
      </c>
      <c r="AC1552">
        <v>4</v>
      </c>
      <c r="AD1552" s="1">
        <v>44614</v>
      </c>
      <c r="AE1552" t="str">
        <f>"SH22000767"</f>
        <v>SH22000767</v>
      </c>
      <c r="AF1552" t="str">
        <f>"משלוחים ללקוח"</f>
        <v>משלוחים ללקוח</v>
      </c>
      <c r="AG1552" s="1">
        <v>44739</v>
      </c>
      <c r="AM1552" t="str">
        <f>"10"</f>
        <v>10</v>
      </c>
      <c r="AN1552" t="str">
        <f>"500000"</f>
        <v>500000</v>
      </c>
      <c r="AO1552" t="str">
        <f>"הכנסות  מלקוחות"</f>
        <v>הכנסות  מלקוחות</v>
      </c>
      <c r="AQ1552" t="str">
        <f>"034"</f>
        <v>034</v>
      </c>
      <c r="AR1552">
        <v>0</v>
      </c>
      <c r="AS1552">
        <v>0</v>
      </c>
      <c r="AT1552">
        <v>3.4359999999999999</v>
      </c>
      <c r="AX1552" t="str">
        <f>"E000358714"</f>
        <v>E000358714</v>
      </c>
      <c r="BD1552" t="str">
        <f>"ערן שלו"</f>
        <v>ערן שלו</v>
      </c>
    </row>
    <row r="1553" spans="1:56" x14ac:dyDescent="0.3">
      <c r="A1553" s="1">
        <v>44740</v>
      </c>
      <c r="B1553" t="str">
        <f>"SI226000734"</f>
        <v>SI226000734</v>
      </c>
      <c r="C1553" t="str">
        <f>"PR22000167"</f>
        <v>PR22000167</v>
      </c>
      <c r="D1553" t="str">
        <f>"PR22000167"</f>
        <v>PR22000167</v>
      </c>
      <c r="E1553" t="str">
        <f>"Y"</f>
        <v>Y</v>
      </c>
      <c r="F1553" t="str">
        <f>"חשבוניות מרכזות"</f>
        <v>חשבוניות מרכזות</v>
      </c>
      <c r="G1553" t="str">
        <f>"700065"</f>
        <v>700065</v>
      </c>
      <c r="H1553" t="str">
        <f>"אלתא מערכות בע""מ"</f>
        <v>אלתא מערכות בע"מ</v>
      </c>
      <c r="I1553" t="str">
        <f>"10"</f>
        <v>10</v>
      </c>
      <c r="J1553" t="str">
        <f>"OP-AR02925"</f>
        <v>OP-AR02925</v>
      </c>
      <c r="K1553" t="str">
        <f>"9002H703-001   HARNESS W5703 - POD RP-ANT-LVCS INTERFAC"</f>
        <v>9002H703-001   HARNESS W5703 - POD RP-ANT-LVCS INTERFAC</v>
      </c>
      <c r="L1553">
        <v>1</v>
      </c>
      <c r="M1553" t="str">
        <f>"יח"</f>
        <v>יח</v>
      </c>
      <c r="N1553">
        <v>1</v>
      </c>
      <c r="O1553" t="str">
        <f>"יח"</f>
        <v>יח</v>
      </c>
      <c r="P1553" s="2">
        <v>1067.6500000000001</v>
      </c>
      <c r="Q1553" t="str">
        <f>"$"</f>
        <v>$</v>
      </c>
      <c r="R1553" t="str">
        <f>"הזמנה"</f>
        <v>הזמנה</v>
      </c>
      <c r="S1553">
        <v>0</v>
      </c>
      <c r="T1553" s="2">
        <v>1067.6500000000001</v>
      </c>
      <c r="U1553">
        <v>0</v>
      </c>
      <c r="V1553" s="2">
        <v>1067.6500000000001</v>
      </c>
      <c r="W1553" t="str">
        <f>"$"</f>
        <v>$</v>
      </c>
      <c r="X1553">
        <v>0</v>
      </c>
      <c r="Y1553">
        <v>0</v>
      </c>
      <c r="Z1553">
        <v>0</v>
      </c>
      <c r="AA1553" t="str">
        <f>"Y"</f>
        <v>Y</v>
      </c>
      <c r="AB1553" t="str">
        <f>"SO22000056"</f>
        <v>SO22000056</v>
      </c>
      <c r="AC1553">
        <v>1</v>
      </c>
      <c r="AD1553" s="1">
        <v>44608</v>
      </c>
      <c r="AE1553" t="str">
        <f>"SH22000759"</f>
        <v>SH22000759</v>
      </c>
      <c r="AF1553" t="str">
        <f>"משלוחים ללקוח"</f>
        <v>משלוחים ללקוח</v>
      </c>
      <c r="AG1553" s="1">
        <v>44739</v>
      </c>
      <c r="AM1553" t="str">
        <f>"10"</f>
        <v>10</v>
      </c>
      <c r="AN1553" t="str">
        <f>"500000"</f>
        <v>500000</v>
      </c>
      <c r="AO1553" t="str">
        <f>"הכנסות  מלקוחות"</f>
        <v>הכנסות  מלקוחות</v>
      </c>
      <c r="AQ1553" t="str">
        <f>"040"</f>
        <v>040</v>
      </c>
      <c r="AR1553">
        <v>0</v>
      </c>
      <c r="AS1553">
        <v>0</v>
      </c>
      <c r="AT1553">
        <v>3.4359999999999999</v>
      </c>
      <c r="AX1553" t="str">
        <f>"E000357452"</f>
        <v>E000357452</v>
      </c>
      <c r="BD1553" t="str">
        <f>"רחמים זרוק"</f>
        <v>רחמים זרוק</v>
      </c>
    </row>
    <row r="1554" spans="1:56" x14ac:dyDescent="0.3">
      <c r="A1554" s="1">
        <v>44740</v>
      </c>
      <c r="B1554" t="str">
        <f>"SI226000734"</f>
        <v>SI226000734</v>
      </c>
      <c r="C1554" t="str">
        <f>"PR22000167"</f>
        <v>PR22000167</v>
      </c>
      <c r="D1554" t="str">
        <f>"PR22000167"</f>
        <v>PR22000167</v>
      </c>
      <c r="E1554" t="str">
        <f>"Y"</f>
        <v>Y</v>
      </c>
      <c r="F1554" t="str">
        <f>"חשבוניות מרכזות"</f>
        <v>חשבוניות מרכזות</v>
      </c>
      <c r="G1554" t="str">
        <f>"700065"</f>
        <v>700065</v>
      </c>
      <c r="H1554" t="str">
        <f>"אלתא מערכות בע""מ"</f>
        <v>אלתא מערכות בע"מ</v>
      </c>
      <c r="I1554" t="str">
        <f>"10"</f>
        <v>10</v>
      </c>
      <c r="J1554" t="str">
        <f>"OP-AR02954"</f>
        <v>OP-AR02954</v>
      </c>
      <c r="K1554" t="str">
        <f>"9011L911-001   HARNESS W077 - LVCS DC POWER"</f>
        <v>9011L911-001   HARNESS W077 - LVCS DC POWER</v>
      </c>
      <c r="L1554">
        <v>2</v>
      </c>
      <c r="M1554" t="str">
        <f>"יח"</f>
        <v>יח</v>
      </c>
      <c r="N1554">
        <v>2</v>
      </c>
      <c r="O1554" t="str">
        <f>"יח"</f>
        <v>יח</v>
      </c>
      <c r="P1554">
        <v>873.53</v>
      </c>
      <c r="Q1554" t="str">
        <f>"$"</f>
        <v>$</v>
      </c>
      <c r="R1554" t="str">
        <f>"הזמנה"</f>
        <v>הזמנה</v>
      </c>
      <c r="S1554">
        <v>0</v>
      </c>
      <c r="T1554" s="2">
        <v>1747.06</v>
      </c>
      <c r="U1554">
        <v>0</v>
      </c>
      <c r="V1554" s="2">
        <v>1747.06</v>
      </c>
      <c r="W1554" t="str">
        <f>"$"</f>
        <v>$</v>
      </c>
      <c r="X1554">
        <v>0</v>
      </c>
      <c r="Y1554">
        <v>0</v>
      </c>
      <c r="Z1554">
        <v>0</v>
      </c>
      <c r="AA1554" t="str">
        <f>"Y"</f>
        <v>Y</v>
      </c>
      <c r="AB1554" t="str">
        <f>"SO22000056"</f>
        <v>SO22000056</v>
      </c>
      <c r="AC1554">
        <v>2</v>
      </c>
      <c r="AD1554" s="1">
        <v>44608</v>
      </c>
      <c r="AE1554" t="str">
        <f>"SH22000759"</f>
        <v>SH22000759</v>
      </c>
      <c r="AF1554" t="str">
        <f>"משלוחים ללקוח"</f>
        <v>משלוחים ללקוח</v>
      </c>
      <c r="AG1554" s="1">
        <v>44739</v>
      </c>
      <c r="AM1554" t="str">
        <f>"10"</f>
        <v>10</v>
      </c>
      <c r="AN1554" t="str">
        <f>"500000"</f>
        <v>500000</v>
      </c>
      <c r="AO1554" t="str">
        <f>"הכנסות  מלקוחות"</f>
        <v>הכנסות  מלקוחות</v>
      </c>
      <c r="AQ1554" t="str">
        <f>"040"</f>
        <v>040</v>
      </c>
      <c r="AR1554">
        <v>0</v>
      </c>
      <c r="AS1554">
        <v>0</v>
      </c>
      <c r="AT1554">
        <v>3.4359999999999999</v>
      </c>
      <c r="AX1554" t="str">
        <f>"E000357452"</f>
        <v>E000357452</v>
      </c>
      <c r="BD1554" t="str">
        <f>"רחמים זרוק"</f>
        <v>רחמים זרוק</v>
      </c>
    </row>
    <row r="1555" spans="1:56" x14ac:dyDescent="0.3">
      <c r="A1555" s="1">
        <v>44740</v>
      </c>
      <c r="B1555" t="str">
        <f>"SI226000733"</f>
        <v>SI226000733</v>
      </c>
      <c r="C1555" t="str">
        <f>"PR22000134"</f>
        <v>PR22000134</v>
      </c>
      <c r="E1555" t="str">
        <f>"Y"</f>
        <v>Y</v>
      </c>
      <c r="F1555" t="str">
        <f>"חשבוניות מרכזות"</f>
        <v>חשבוניות מרכזות</v>
      </c>
      <c r="G1555" t="str">
        <f>"700065"</f>
        <v>700065</v>
      </c>
      <c r="H1555" t="str">
        <f>"אלתא מערכות בע""מ"</f>
        <v>אלתא מערכות בע"מ</v>
      </c>
      <c r="I1555" t="str">
        <f>"10"</f>
        <v>10</v>
      </c>
      <c r="J1555" t="str">
        <f>"OP-AR02947"</f>
        <v>OP-AR02947</v>
      </c>
      <c r="K1555" t="str">
        <f>"1039H852-001   HARNESS WY052 - PDU REMOTE TO U FULL TK"</f>
        <v>1039H852-001   HARNESS WY052 - PDU REMOTE TO U FULL TK</v>
      </c>
      <c r="L1555">
        <v>1</v>
      </c>
      <c r="M1555" t="str">
        <f>"יח"</f>
        <v>יח</v>
      </c>
      <c r="N1555">
        <v>1</v>
      </c>
      <c r="O1555" t="str">
        <f>"יח"</f>
        <v>יח</v>
      </c>
      <c r="P1555" s="2">
        <v>1332.96</v>
      </c>
      <c r="Q1555" t="str">
        <f>"$"</f>
        <v>$</v>
      </c>
      <c r="R1555" t="str">
        <f>"הזמנה"</f>
        <v>הזמנה</v>
      </c>
      <c r="S1555">
        <v>0</v>
      </c>
      <c r="T1555" s="2">
        <v>1332.96</v>
      </c>
      <c r="U1555">
        <v>0</v>
      </c>
      <c r="V1555" s="2">
        <v>1332.96</v>
      </c>
      <c r="W1555" t="str">
        <f>"$"</f>
        <v>$</v>
      </c>
      <c r="X1555">
        <v>0</v>
      </c>
      <c r="Y1555">
        <v>0</v>
      </c>
      <c r="Z1555">
        <v>0</v>
      </c>
      <c r="AA1555" t="str">
        <f>"Y"</f>
        <v>Y</v>
      </c>
      <c r="AB1555" t="str">
        <f>"SO22000044"</f>
        <v>SO22000044</v>
      </c>
      <c r="AC1555">
        <v>1</v>
      </c>
      <c r="AD1555" s="1">
        <v>44602</v>
      </c>
      <c r="AE1555" t="str">
        <f>"SH22000756"</f>
        <v>SH22000756</v>
      </c>
      <c r="AF1555" t="str">
        <f>"משלוחים ללקוח"</f>
        <v>משלוחים ללקוח</v>
      </c>
      <c r="AG1555" s="1">
        <v>44739</v>
      </c>
      <c r="AM1555" t="str">
        <f>"10"</f>
        <v>10</v>
      </c>
      <c r="AN1555" t="str">
        <f>"500000"</f>
        <v>500000</v>
      </c>
      <c r="AO1555" t="str">
        <f>"הכנסות  מלקוחות"</f>
        <v>הכנסות  מלקוחות</v>
      </c>
      <c r="AQ1555" t="str">
        <f>"040"</f>
        <v>040</v>
      </c>
      <c r="AR1555">
        <v>0</v>
      </c>
      <c r="AS1555">
        <v>0</v>
      </c>
      <c r="AT1555">
        <v>3.4359999999999999</v>
      </c>
      <c r="AX1555" t="str">
        <f>"E000357831"</f>
        <v>E000357831</v>
      </c>
      <c r="BD1555" t="str">
        <f>"רחמים זרוק"</f>
        <v>רחמים זרוק</v>
      </c>
    </row>
    <row r="1556" spans="1:56" x14ac:dyDescent="0.3">
      <c r="A1556" s="1">
        <v>44740</v>
      </c>
      <c r="B1556" t="str">
        <f>"SI226000732"</f>
        <v>SI226000732</v>
      </c>
      <c r="C1556" t="str">
        <f>"PR22000010"</f>
        <v>PR22000010</v>
      </c>
      <c r="E1556" t="str">
        <f>"Y"</f>
        <v>Y</v>
      </c>
      <c r="F1556" t="str">
        <f>"חשבוניות מרכזות"</f>
        <v>חשבוניות מרכזות</v>
      </c>
      <c r="G1556" t="str">
        <f>"700065"</f>
        <v>700065</v>
      </c>
      <c r="H1556" t="str">
        <f>"אלתא מערכות בע""מ"</f>
        <v>אלתא מערכות בע"מ</v>
      </c>
      <c r="I1556" t="str">
        <f>"10"</f>
        <v>10</v>
      </c>
      <c r="J1556" t="str">
        <f>"OP-AR02900"</f>
        <v>OP-AR02900</v>
      </c>
      <c r="K1556" t="str">
        <f>"4005J455-002    WN015 - COMJAM SENSORS"</f>
        <v>4005J455-002    WN015 - COMJAM SENSORS</v>
      </c>
      <c r="L1556">
        <v>10</v>
      </c>
      <c r="M1556" t="str">
        <f>"יח"</f>
        <v>יח</v>
      </c>
      <c r="N1556">
        <v>10</v>
      </c>
      <c r="O1556" t="str">
        <f>"יח"</f>
        <v>יח</v>
      </c>
      <c r="P1556" s="2">
        <v>1910.64</v>
      </c>
      <c r="Q1556" t="str">
        <f>"$"</f>
        <v>$</v>
      </c>
      <c r="R1556" t="str">
        <f>"הזמנה"</f>
        <v>הזמנה</v>
      </c>
      <c r="S1556">
        <v>0</v>
      </c>
      <c r="T1556" s="2">
        <v>19106.400000000001</v>
      </c>
      <c r="U1556">
        <v>0</v>
      </c>
      <c r="V1556" s="2">
        <v>19106.400000000001</v>
      </c>
      <c r="W1556" t="str">
        <f>"$"</f>
        <v>$</v>
      </c>
      <c r="X1556">
        <v>0</v>
      </c>
      <c r="Y1556">
        <v>0</v>
      </c>
      <c r="Z1556">
        <v>0</v>
      </c>
      <c r="AA1556" t="str">
        <f>"Y"</f>
        <v>Y</v>
      </c>
      <c r="AB1556" t="str">
        <f>"SO22000007"</f>
        <v>SO22000007</v>
      </c>
      <c r="AC1556">
        <v>1</v>
      </c>
      <c r="AD1556" s="1">
        <v>44565</v>
      </c>
      <c r="AE1556" t="str">
        <f>"SH22000761"</f>
        <v>SH22000761</v>
      </c>
      <c r="AF1556" t="str">
        <f>"משלוחים ללקוח"</f>
        <v>משלוחים ללקוח</v>
      </c>
      <c r="AG1556" s="1">
        <v>44739</v>
      </c>
      <c r="AM1556" t="str">
        <f>"10"</f>
        <v>10</v>
      </c>
      <c r="AN1556" t="str">
        <f>"500000"</f>
        <v>500000</v>
      </c>
      <c r="AO1556" t="str">
        <f>"הכנסות  מלקוחות"</f>
        <v>הכנסות  מלקוחות</v>
      </c>
      <c r="AQ1556" t="str">
        <f>"040"</f>
        <v>040</v>
      </c>
      <c r="AR1556">
        <v>0</v>
      </c>
      <c r="AS1556">
        <v>0</v>
      </c>
      <c r="AT1556">
        <v>3.4359999999999999</v>
      </c>
      <c r="AX1556" t="str">
        <f>"E000353717"</f>
        <v>E000353717</v>
      </c>
      <c r="BD1556" t="str">
        <f>"רחמים זרוק"</f>
        <v>רחמים זרוק</v>
      </c>
    </row>
    <row r="1557" spans="1:56" x14ac:dyDescent="0.3">
      <c r="A1557" s="1">
        <v>44740</v>
      </c>
      <c r="B1557" t="str">
        <f>"SI226000732"</f>
        <v>SI226000732</v>
      </c>
      <c r="C1557" t="str">
        <f>"PR22000010"</f>
        <v>PR22000010</v>
      </c>
      <c r="E1557" t="str">
        <f>"Y"</f>
        <v>Y</v>
      </c>
      <c r="F1557" t="str">
        <f>"חשבוניות מרכזות"</f>
        <v>חשבוניות מרכזות</v>
      </c>
      <c r="G1557" t="str">
        <f>"700065"</f>
        <v>700065</v>
      </c>
      <c r="H1557" t="str">
        <f>"אלתא מערכות בע""מ"</f>
        <v>אלתא מערכות בע"מ</v>
      </c>
      <c r="I1557" t="str">
        <f>"10"</f>
        <v>10</v>
      </c>
      <c r="J1557" t="str">
        <f>"OP-AR02904"</f>
        <v>OP-AR02904</v>
      </c>
      <c r="K1557" t="str">
        <f>"1037N601-001    GU PS CABLE"</f>
        <v>1037N601-001    GU PS CABLE</v>
      </c>
      <c r="L1557">
        <v>4</v>
      </c>
      <c r="M1557" t="str">
        <f>"יח"</f>
        <v>יח</v>
      </c>
      <c r="N1557">
        <v>4</v>
      </c>
      <c r="O1557" t="str">
        <f>"יח"</f>
        <v>יח</v>
      </c>
      <c r="P1557">
        <v>631.02</v>
      </c>
      <c r="Q1557" t="str">
        <f>"$"</f>
        <v>$</v>
      </c>
      <c r="R1557" t="str">
        <f>"הזמנה"</f>
        <v>הזמנה</v>
      </c>
      <c r="S1557">
        <v>0</v>
      </c>
      <c r="T1557" s="2">
        <v>2524.08</v>
      </c>
      <c r="U1557">
        <v>0</v>
      </c>
      <c r="V1557" s="2">
        <v>2524.08</v>
      </c>
      <c r="W1557" t="str">
        <f>"$"</f>
        <v>$</v>
      </c>
      <c r="X1557">
        <v>0</v>
      </c>
      <c r="Y1557">
        <v>0</v>
      </c>
      <c r="Z1557">
        <v>0</v>
      </c>
      <c r="AA1557" t="str">
        <f>"Y"</f>
        <v>Y</v>
      </c>
      <c r="AB1557" t="str">
        <f>"SO22000007"</f>
        <v>SO22000007</v>
      </c>
      <c r="AC1557">
        <v>5</v>
      </c>
      <c r="AD1557" s="1">
        <v>44565</v>
      </c>
      <c r="AE1557" t="str">
        <f>"SH22000761"</f>
        <v>SH22000761</v>
      </c>
      <c r="AF1557" t="str">
        <f>"משלוחים ללקוח"</f>
        <v>משלוחים ללקוח</v>
      </c>
      <c r="AG1557" s="1">
        <v>44739</v>
      </c>
      <c r="AM1557" t="str">
        <f>"10"</f>
        <v>10</v>
      </c>
      <c r="AN1557" t="str">
        <f>"500000"</f>
        <v>500000</v>
      </c>
      <c r="AO1557" t="str">
        <f>"הכנסות  מלקוחות"</f>
        <v>הכנסות  מלקוחות</v>
      </c>
      <c r="AQ1557" t="str">
        <f>"040"</f>
        <v>040</v>
      </c>
      <c r="AR1557">
        <v>0</v>
      </c>
      <c r="AS1557">
        <v>0</v>
      </c>
      <c r="AT1557">
        <v>3.4359999999999999</v>
      </c>
      <c r="AX1557" t="str">
        <f>"E000353717"</f>
        <v>E000353717</v>
      </c>
      <c r="BD1557" t="str">
        <f>"רחמים זרוק"</f>
        <v>רחמים זרוק</v>
      </c>
    </row>
    <row r="1558" spans="1:56" x14ac:dyDescent="0.3">
      <c r="A1558" s="1">
        <v>44740</v>
      </c>
      <c r="B1558" t="str">
        <f>"SI226000732"</f>
        <v>SI226000732</v>
      </c>
      <c r="C1558" t="str">
        <f>"PR22000010"</f>
        <v>PR22000010</v>
      </c>
      <c r="E1558" t="str">
        <f>"Y"</f>
        <v>Y</v>
      </c>
      <c r="F1558" t="str">
        <f>"חשבוניות מרכזות"</f>
        <v>חשבוניות מרכזות</v>
      </c>
      <c r="G1558" t="str">
        <f>"700065"</f>
        <v>700065</v>
      </c>
      <c r="H1558" t="str">
        <f>"אלתא מערכות בע""מ"</f>
        <v>אלתא מערכות בע"מ</v>
      </c>
      <c r="I1558" t="str">
        <f>"10"</f>
        <v>10</v>
      </c>
      <c r="J1558" t="str">
        <f>"OP-AR02905"</f>
        <v>OP-AR02905</v>
      </c>
      <c r="K1558" t="str">
        <f>"1037N602-001    SGU-BFU PS CABLE"</f>
        <v>1037N602-001    SGU-BFU PS CABLE</v>
      </c>
      <c r="L1558">
        <v>2</v>
      </c>
      <c r="M1558" t="str">
        <f>"יח"</f>
        <v>יח</v>
      </c>
      <c r="N1558">
        <v>2</v>
      </c>
      <c r="O1558" t="str">
        <f>"יח"</f>
        <v>יח</v>
      </c>
      <c r="P1558">
        <v>440.71</v>
      </c>
      <c r="Q1558" t="str">
        <f>"$"</f>
        <v>$</v>
      </c>
      <c r="R1558" t="str">
        <f>"הזמנה"</f>
        <v>הזמנה</v>
      </c>
      <c r="S1558">
        <v>0</v>
      </c>
      <c r="T1558">
        <v>881.42</v>
      </c>
      <c r="U1558">
        <v>0</v>
      </c>
      <c r="V1558">
        <v>881.42</v>
      </c>
      <c r="W1558" t="str">
        <f>"$"</f>
        <v>$</v>
      </c>
      <c r="X1558">
        <v>0</v>
      </c>
      <c r="Y1558">
        <v>0</v>
      </c>
      <c r="Z1558">
        <v>0</v>
      </c>
      <c r="AA1558" t="str">
        <f>"Y"</f>
        <v>Y</v>
      </c>
      <c r="AB1558" t="str">
        <f>"SO22000007"</f>
        <v>SO22000007</v>
      </c>
      <c r="AC1558">
        <v>6</v>
      </c>
      <c r="AD1558" s="1">
        <v>44565</v>
      </c>
      <c r="AE1558" t="str">
        <f>"SH22000761"</f>
        <v>SH22000761</v>
      </c>
      <c r="AF1558" t="str">
        <f>"משלוחים ללקוח"</f>
        <v>משלוחים ללקוח</v>
      </c>
      <c r="AG1558" s="1">
        <v>44739</v>
      </c>
      <c r="AM1558" t="str">
        <f>"10"</f>
        <v>10</v>
      </c>
      <c r="AN1558" t="str">
        <f>"500000"</f>
        <v>500000</v>
      </c>
      <c r="AO1558" t="str">
        <f>"הכנסות  מלקוחות"</f>
        <v>הכנסות  מלקוחות</v>
      </c>
      <c r="AQ1558" t="str">
        <f>"040"</f>
        <v>040</v>
      </c>
      <c r="AR1558">
        <v>0</v>
      </c>
      <c r="AS1558">
        <v>0</v>
      </c>
      <c r="AT1558">
        <v>3.4359999999999999</v>
      </c>
      <c r="AX1558" t="str">
        <f>"E000353717"</f>
        <v>E000353717</v>
      </c>
      <c r="BD1558" t="str">
        <f>"רחמים זרוק"</f>
        <v>רחמים זרוק</v>
      </c>
    </row>
    <row r="1559" spans="1:56" x14ac:dyDescent="0.3">
      <c r="A1559" s="1">
        <v>44740</v>
      </c>
      <c r="B1559" t="str">
        <f>"SI226000732"</f>
        <v>SI226000732</v>
      </c>
      <c r="C1559" t="str">
        <f>"PR22000010"</f>
        <v>PR22000010</v>
      </c>
      <c r="E1559" t="str">
        <f>"Y"</f>
        <v>Y</v>
      </c>
      <c r="F1559" t="str">
        <f>"חשבוניות מרכזות"</f>
        <v>חשבוניות מרכזות</v>
      </c>
      <c r="G1559" t="str">
        <f>"700065"</f>
        <v>700065</v>
      </c>
      <c r="H1559" t="str">
        <f>"אלתא מערכות בע""מ"</f>
        <v>אלתא מערכות בע"מ</v>
      </c>
      <c r="I1559" t="str">
        <f>"10"</f>
        <v>10</v>
      </c>
      <c r="J1559" t="str">
        <f>"OP-AR02903"</f>
        <v>OP-AR02903</v>
      </c>
      <c r="K1559" t="str">
        <f>"4005J468-001    HARNESS WN018 - JUMMER GND"</f>
        <v>4005J468-001    HARNESS WN018 - JUMMER GND</v>
      </c>
      <c r="L1559">
        <v>4</v>
      </c>
      <c r="M1559" t="str">
        <f>"יח"</f>
        <v>יח</v>
      </c>
      <c r="N1559">
        <v>4</v>
      </c>
      <c r="O1559" t="str">
        <f>"יח"</f>
        <v>יח</v>
      </c>
      <c r="P1559">
        <v>44.9</v>
      </c>
      <c r="Q1559" t="str">
        <f>"$"</f>
        <v>$</v>
      </c>
      <c r="R1559" t="str">
        <f>"הזמנה"</f>
        <v>הזמנה</v>
      </c>
      <c r="S1559">
        <v>0</v>
      </c>
      <c r="T1559">
        <v>179.6</v>
      </c>
      <c r="U1559">
        <v>0</v>
      </c>
      <c r="V1559">
        <v>179.6</v>
      </c>
      <c r="W1559" t="str">
        <f>"$"</f>
        <v>$</v>
      </c>
      <c r="X1559">
        <v>0</v>
      </c>
      <c r="Y1559">
        <v>0</v>
      </c>
      <c r="Z1559">
        <v>0</v>
      </c>
      <c r="AA1559" t="str">
        <f>"Y"</f>
        <v>Y</v>
      </c>
      <c r="AB1559" t="str">
        <f>"SO22000007"</f>
        <v>SO22000007</v>
      </c>
      <c r="AC1559">
        <v>18</v>
      </c>
      <c r="AD1559" s="1">
        <v>44565</v>
      </c>
      <c r="AE1559" t="str">
        <f>"SH22000761"</f>
        <v>SH22000761</v>
      </c>
      <c r="AF1559" t="str">
        <f>"משלוחים ללקוח"</f>
        <v>משלוחים ללקוח</v>
      </c>
      <c r="AG1559" s="1">
        <v>44739</v>
      </c>
      <c r="AM1559" t="str">
        <f>"10"</f>
        <v>10</v>
      </c>
      <c r="AN1559" t="str">
        <f>"500000"</f>
        <v>500000</v>
      </c>
      <c r="AO1559" t="str">
        <f>"הכנסות  מלקוחות"</f>
        <v>הכנסות  מלקוחות</v>
      </c>
      <c r="AQ1559" t="str">
        <f>"040"</f>
        <v>040</v>
      </c>
      <c r="AR1559">
        <v>0</v>
      </c>
      <c r="AS1559">
        <v>0</v>
      </c>
      <c r="AT1559">
        <v>3.4359999999999999</v>
      </c>
      <c r="AX1559" t="str">
        <f>"E000353717"</f>
        <v>E000353717</v>
      </c>
      <c r="BD1559" t="str">
        <f>"רחמים זרוק"</f>
        <v>רחמים זרוק</v>
      </c>
    </row>
    <row r="1560" spans="1:56" x14ac:dyDescent="0.3">
      <c r="A1560" s="1">
        <v>44740</v>
      </c>
      <c r="B1560" t="str">
        <f>"SI226000731"</f>
        <v>SI226000731</v>
      </c>
      <c r="C1560" t="str">
        <f>"PR22000223"</f>
        <v>PR22000223</v>
      </c>
      <c r="E1560" t="str">
        <f>"Y"</f>
        <v>Y</v>
      </c>
      <c r="F1560" t="str">
        <f>"חשבוניות מרכזות"</f>
        <v>חשבוניות מרכזות</v>
      </c>
      <c r="G1560" t="str">
        <f>"700065"</f>
        <v>700065</v>
      </c>
      <c r="H1560" t="str">
        <f>"אלתא מערכות בע""מ"</f>
        <v>אלתא מערכות בע"מ</v>
      </c>
      <c r="I1560" t="str">
        <f>"10"</f>
        <v>10</v>
      </c>
      <c r="J1560" t="str">
        <f>"OP-AR02995"</f>
        <v>OP-AR02995</v>
      </c>
      <c r="K1560" t="str">
        <f>"1023M513-001   HARNESS W2"</f>
        <v>1023M513-001   HARNESS W2</v>
      </c>
      <c r="L1560">
        <v>20</v>
      </c>
      <c r="M1560" t="str">
        <f>"יח"</f>
        <v>יח</v>
      </c>
      <c r="N1560">
        <v>20</v>
      </c>
      <c r="O1560" t="str">
        <f>"יח"</f>
        <v>יח</v>
      </c>
      <c r="P1560">
        <v>119.27</v>
      </c>
      <c r="Q1560" t="str">
        <f>"$"</f>
        <v>$</v>
      </c>
      <c r="R1560" t="str">
        <f>"הזמנה"</f>
        <v>הזמנה</v>
      </c>
      <c r="S1560">
        <v>0</v>
      </c>
      <c r="T1560" s="2">
        <v>2385.4</v>
      </c>
      <c r="U1560">
        <v>0</v>
      </c>
      <c r="V1560" s="2">
        <v>2385.4</v>
      </c>
      <c r="W1560" t="str">
        <f>"$"</f>
        <v>$</v>
      </c>
      <c r="X1560">
        <v>0</v>
      </c>
      <c r="Y1560">
        <v>0</v>
      </c>
      <c r="Z1560">
        <v>0</v>
      </c>
      <c r="AA1560" t="str">
        <f>"Y"</f>
        <v>Y</v>
      </c>
      <c r="AB1560" t="str">
        <f>"SO22000099"</f>
        <v>SO22000099</v>
      </c>
      <c r="AC1560">
        <v>1</v>
      </c>
      <c r="AD1560" s="1">
        <v>44629</v>
      </c>
      <c r="AE1560" t="str">
        <f>"SH22000765"</f>
        <v>SH22000765</v>
      </c>
      <c r="AF1560" t="str">
        <f>"משלוחים ללקוח"</f>
        <v>משלוחים ללקוח</v>
      </c>
      <c r="AG1560" s="1">
        <v>44739</v>
      </c>
      <c r="AM1560" t="str">
        <f>"10"</f>
        <v>10</v>
      </c>
      <c r="AN1560" t="str">
        <f>"500000"</f>
        <v>500000</v>
      </c>
      <c r="AO1560" t="str">
        <f>"הכנסות  מלקוחות"</f>
        <v>הכנסות  מלקוחות</v>
      </c>
      <c r="AQ1560" t="str">
        <f>"040"</f>
        <v>040</v>
      </c>
      <c r="AR1560">
        <v>0</v>
      </c>
      <c r="AS1560">
        <v>0</v>
      </c>
      <c r="AT1560">
        <v>3.4359999999999999</v>
      </c>
      <c r="AX1560" t="str">
        <f>"E000358026"</f>
        <v>E000358026</v>
      </c>
      <c r="BD1560" t="str">
        <f>"רחמים זרוק"</f>
        <v>רחמים זרוק</v>
      </c>
    </row>
    <row r="1561" spans="1:56" x14ac:dyDescent="0.3">
      <c r="A1561" s="1">
        <v>44740</v>
      </c>
      <c r="B1561" t="str">
        <f>"SI226000725"</f>
        <v>SI226000725</v>
      </c>
      <c r="C1561" t="str">
        <f>"PR22000231"</f>
        <v>PR22000231</v>
      </c>
      <c r="E1561" t="str">
        <f>"Y"</f>
        <v>Y</v>
      </c>
      <c r="F1561" t="str">
        <f>"חשבוניות מרכזות"</f>
        <v>חשבוניות מרכזות</v>
      </c>
      <c r="G1561" t="str">
        <f>"700065"</f>
        <v>700065</v>
      </c>
      <c r="H1561" t="str">
        <f>"אלתא מערכות בע""מ"</f>
        <v>אלתא מערכות בע"מ</v>
      </c>
      <c r="I1561" t="str">
        <f>"10"</f>
        <v>10</v>
      </c>
      <c r="J1561" t="str">
        <f>"OP-AR03017"</f>
        <v>OP-AR03017</v>
      </c>
      <c r="K1561" t="str">
        <f>"2203B862-001   POWER TO JIG CABLE ASSY"</f>
        <v>2203B862-001   POWER TO JIG CABLE ASSY</v>
      </c>
      <c r="L1561">
        <v>1</v>
      </c>
      <c r="M1561" t="str">
        <f>"יח"</f>
        <v>יח</v>
      </c>
      <c r="N1561">
        <v>1</v>
      </c>
      <c r="O1561" t="str">
        <f>"יח"</f>
        <v>יח</v>
      </c>
      <c r="P1561">
        <v>173.58</v>
      </c>
      <c r="Q1561" t="str">
        <f>"$"</f>
        <v>$</v>
      </c>
      <c r="R1561" t="str">
        <f>"הזמנה"</f>
        <v>הזמנה</v>
      </c>
      <c r="S1561">
        <v>0</v>
      </c>
      <c r="T1561">
        <v>173.58</v>
      </c>
      <c r="U1561">
        <v>0</v>
      </c>
      <c r="V1561">
        <v>173.58</v>
      </c>
      <c r="W1561" t="str">
        <f>"$"</f>
        <v>$</v>
      </c>
      <c r="X1561">
        <v>0</v>
      </c>
      <c r="Y1561">
        <v>0</v>
      </c>
      <c r="Z1561">
        <v>0</v>
      </c>
      <c r="AA1561" t="str">
        <f>"Y"</f>
        <v>Y</v>
      </c>
      <c r="AB1561" t="str">
        <f>"SO22000105"</f>
        <v>SO22000105</v>
      </c>
      <c r="AC1561">
        <v>13</v>
      </c>
      <c r="AD1561" s="1">
        <v>44635</v>
      </c>
      <c r="AE1561" t="str">
        <f>"SH22000766"</f>
        <v>SH22000766</v>
      </c>
      <c r="AF1561" t="str">
        <f>"משלוחים ללקוח"</f>
        <v>משלוחים ללקוח</v>
      </c>
      <c r="AG1561" s="1">
        <v>44739</v>
      </c>
      <c r="AM1561" t="str">
        <f>"10"</f>
        <v>10</v>
      </c>
      <c r="AN1561" t="str">
        <f>"500000"</f>
        <v>500000</v>
      </c>
      <c r="AO1561" t="str">
        <f>"הכנסות  מלקוחות"</f>
        <v>הכנסות  מלקוחות</v>
      </c>
      <c r="AQ1561" t="str">
        <f>"040"</f>
        <v>040</v>
      </c>
      <c r="AR1561">
        <v>0</v>
      </c>
      <c r="AS1561">
        <v>0</v>
      </c>
      <c r="AT1561">
        <v>3.4359999999999999</v>
      </c>
      <c r="AX1561" t="str">
        <f>"E000359029"</f>
        <v>E000359029</v>
      </c>
      <c r="BD1561" t="str">
        <f>"רחמים זרוק"</f>
        <v>רחמים זרוק</v>
      </c>
    </row>
    <row r="1562" spans="1:56" x14ac:dyDescent="0.3">
      <c r="A1562" s="1">
        <v>44740</v>
      </c>
      <c r="B1562" t="str">
        <f>"SI226000706"</f>
        <v>SI226000706</v>
      </c>
      <c r="E1562" t="str">
        <f>"Y"</f>
        <v>Y</v>
      </c>
      <c r="F1562" t="str">
        <f>"חשבוניות מרכזות"</f>
        <v>חשבוניות מרכזות</v>
      </c>
      <c r="G1562" t="str">
        <f>"700065"</f>
        <v>700065</v>
      </c>
      <c r="H1562" t="str">
        <f>"אלתא מערכות בע""מ"</f>
        <v>אלתא מערכות בע"מ</v>
      </c>
      <c r="I1562" t="str">
        <f>"10"</f>
        <v>10</v>
      </c>
      <c r="J1562" t="str">
        <f>"000"</f>
        <v>000</v>
      </c>
      <c r="K1562" t="str">
        <f>"טכנאים לחיווט מסדים"</f>
        <v>טכנאים לחיווט מסדים</v>
      </c>
      <c r="L1562">
        <v>5</v>
      </c>
      <c r="M1562" t="str">
        <f>"יח"</f>
        <v>יח</v>
      </c>
      <c r="N1562">
        <v>5</v>
      </c>
      <c r="O1562" t="str">
        <f>"יח"</f>
        <v>יח</v>
      </c>
      <c r="P1562" s="2">
        <v>2185</v>
      </c>
      <c r="Q1562" t="str">
        <f>"$"</f>
        <v>$</v>
      </c>
      <c r="R1562" t="str">
        <f>"הזמנה"</f>
        <v>הזמנה</v>
      </c>
      <c r="S1562">
        <v>0</v>
      </c>
      <c r="T1562" s="2">
        <v>10925</v>
      </c>
      <c r="U1562">
        <v>0</v>
      </c>
      <c r="V1562" s="2">
        <v>10925</v>
      </c>
      <c r="W1562" t="str">
        <f>"$"</f>
        <v>$</v>
      </c>
      <c r="X1562">
        <v>0</v>
      </c>
      <c r="Y1562">
        <v>0</v>
      </c>
      <c r="Z1562">
        <v>0</v>
      </c>
      <c r="AA1562" t="str">
        <f>"Y"</f>
        <v>Y</v>
      </c>
      <c r="AB1562" t="str">
        <f>"SO21000313"</f>
        <v>SO21000313</v>
      </c>
      <c r="AC1562">
        <v>1</v>
      </c>
      <c r="AD1562" s="1">
        <v>44389</v>
      </c>
      <c r="AM1562" t="str">
        <f>"10"</f>
        <v>10</v>
      </c>
      <c r="AN1562" t="str">
        <f>"500000"</f>
        <v>500000</v>
      </c>
      <c r="AO1562" t="str">
        <f>"הכנסות  מלקוחות"</f>
        <v>הכנסות  מלקוחות</v>
      </c>
      <c r="AQ1562" t="str">
        <f>"007"</f>
        <v>007</v>
      </c>
      <c r="AR1562">
        <v>0</v>
      </c>
      <c r="AS1562">
        <v>0</v>
      </c>
      <c r="AT1562">
        <v>3.3969999999999998</v>
      </c>
      <c r="AX1562" t="str">
        <f>"E000343127"</f>
        <v>E000343127</v>
      </c>
      <c r="BD1562" t="str">
        <f>"רוני דידי"</f>
        <v>רוני דידי</v>
      </c>
    </row>
    <row r="1563" spans="1:56" x14ac:dyDescent="0.3">
      <c r="A1563" s="1">
        <v>44740</v>
      </c>
      <c r="B1563" t="str">
        <f>"SI226000706"</f>
        <v>SI226000706</v>
      </c>
      <c r="E1563" t="str">
        <f>"Y"</f>
        <v>Y</v>
      </c>
      <c r="F1563" t="str">
        <f>"חשבוניות מרכזות"</f>
        <v>חשבוניות מרכזות</v>
      </c>
      <c r="G1563" t="str">
        <f>"700065"</f>
        <v>700065</v>
      </c>
      <c r="H1563" t="str">
        <f>"אלתא מערכות בע""מ"</f>
        <v>אלתא מערכות בע"מ</v>
      </c>
      <c r="I1563" t="str">
        <f>"10"</f>
        <v>10</v>
      </c>
      <c r="J1563" t="str">
        <f>"000"</f>
        <v>000</v>
      </c>
      <c r="K1563" t="str">
        <f>"בנק חומרים"</f>
        <v>בנק חומרים</v>
      </c>
      <c r="L1563">
        <v>1</v>
      </c>
      <c r="M1563" t="str">
        <f>"יח"</f>
        <v>יח</v>
      </c>
      <c r="N1563">
        <v>1</v>
      </c>
      <c r="O1563" t="str">
        <f>"יח"</f>
        <v>יח</v>
      </c>
      <c r="P1563">
        <v>953</v>
      </c>
      <c r="Q1563" t="str">
        <f>"$"</f>
        <v>$</v>
      </c>
      <c r="R1563" t="str">
        <f>"ידני"</f>
        <v>ידני</v>
      </c>
      <c r="S1563">
        <v>0</v>
      </c>
      <c r="T1563">
        <v>953</v>
      </c>
      <c r="U1563">
        <v>0</v>
      </c>
      <c r="V1563">
        <v>953</v>
      </c>
      <c r="W1563" t="str">
        <f>"$"</f>
        <v>$</v>
      </c>
      <c r="X1563">
        <v>0</v>
      </c>
      <c r="Y1563">
        <v>0</v>
      </c>
      <c r="Z1563">
        <v>0</v>
      </c>
      <c r="AA1563" t="str">
        <f>"Y"</f>
        <v>Y</v>
      </c>
      <c r="AB1563" t="str">
        <f>"SO21000313"</f>
        <v>SO21000313</v>
      </c>
      <c r="AC1563">
        <v>2</v>
      </c>
      <c r="AD1563" s="1">
        <v>44389</v>
      </c>
      <c r="AM1563" t="str">
        <f>"10"</f>
        <v>10</v>
      </c>
      <c r="AN1563" t="str">
        <f>"500000"</f>
        <v>500000</v>
      </c>
      <c r="AO1563" t="str">
        <f>"הכנסות  מלקוחות"</f>
        <v>הכנסות  מלקוחות</v>
      </c>
      <c r="AQ1563" t="str">
        <f>"007"</f>
        <v>007</v>
      </c>
      <c r="AR1563">
        <v>0</v>
      </c>
      <c r="AS1563">
        <v>0</v>
      </c>
      <c r="AT1563">
        <v>3.3969999999999998</v>
      </c>
      <c r="AX1563" t="str">
        <f>"E000343127"</f>
        <v>E000343127</v>
      </c>
      <c r="BD1563" t="str">
        <f>"רוני דידי"</f>
        <v>רוני דידי</v>
      </c>
    </row>
    <row r="1564" spans="1:56" x14ac:dyDescent="0.3">
      <c r="A1564" s="1">
        <v>44740</v>
      </c>
      <c r="B1564" t="str">
        <f>"SI226000706"</f>
        <v>SI226000706</v>
      </c>
      <c r="E1564" t="str">
        <f>"Y"</f>
        <v>Y</v>
      </c>
      <c r="F1564" t="str">
        <f>"חשבוניות מרכזות"</f>
        <v>חשבוניות מרכזות</v>
      </c>
      <c r="G1564" t="str">
        <f>"700065"</f>
        <v>700065</v>
      </c>
      <c r="H1564" t="str">
        <f>"אלתא מערכות בע""מ"</f>
        <v>אלתא מערכות בע"מ</v>
      </c>
      <c r="I1564" t="str">
        <f>"10"</f>
        <v>10</v>
      </c>
      <c r="J1564" t="str">
        <f>"000"</f>
        <v>000</v>
      </c>
      <c r="K1564" t="str">
        <f>"הגדלת הזמנה בעוד 20 ימי עבודה"</f>
        <v>הגדלת הזמנה בעוד 20 ימי עבודה</v>
      </c>
      <c r="L1564">
        <v>3</v>
      </c>
      <c r="M1564" t="str">
        <f>"יח"</f>
        <v>יח</v>
      </c>
      <c r="N1564">
        <v>3</v>
      </c>
      <c r="O1564" t="str">
        <f>"יח"</f>
        <v>יח</v>
      </c>
      <c r="P1564" s="2">
        <v>2185</v>
      </c>
      <c r="Q1564" t="str">
        <f>"$"</f>
        <v>$</v>
      </c>
      <c r="R1564" t="str">
        <f>"ידני"</f>
        <v>ידני</v>
      </c>
      <c r="S1564">
        <v>0</v>
      </c>
      <c r="T1564" s="2">
        <v>6555</v>
      </c>
      <c r="U1564">
        <v>0</v>
      </c>
      <c r="V1564" s="2">
        <v>6555</v>
      </c>
      <c r="W1564" t="str">
        <f>"$"</f>
        <v>$</v>
      </c>
      <c r="X1564">
        <v>0</v>
      </c>
      <c r="Y1564">
        <v>0</v>
      </c>
      <c r="Z1564">
        <v>0</v>
      </c>
      <c r="AA1564" t="str">
        <f>"Y"</f>
        <v>Y</v>
      </c>
      <c r="AB1564" t="str">
        <f>"SO21000313"</f>
        <v>SO21000313</v>
      </c>
      <c r="AC1564">
        <v>3</v>
      </c>
      <c r="AD1564" s="1">
        <v>44389</v>
      </c>
      <c r="AM1564" t="str">
        <f>"10"</f>
        <v>10</v>
      </c>
      <c r="AN1564" t="str">
        <f>"500000"</f>
        <v>500000</v>
      </c>
      <c r="AO1564" t="str">
        <f>"הכנסות  מלקוחות"</f>
        <v>הכנסות  מלקוחות</v>
      </c>
      <c r="AQ1564" t="str">
        <f>"007"</f>
        <v>007</v>
      </c>
      <c r="AR1564">
        <v>0</v>
      </c>
      <c r="AS1564">
        <v>0</v>
      </c>
      <c r="AT1564">
        <v>3.3969999999999998</v>
      </c>
      <c r="AX1564" t="str">
        <f>"E000343127"</f>
        <v>E000343127</v>
      </c>
      <c r="BD1564" t="str">
        <f>"רוני דידי"</f>
        <v>רוני דידי</v>
      </c>
    </row>
    <row r="1565" spans="1:56" x14ac:dyDescent="0.3">
      <c r="A1565" s="1">
        <v>44740</v>
      </c>
      <c r="B1565" t="str">
        <f>"SI226000705"</f>
        <v>SI226000705</v>
      </c>
      <c r="E1565" t="str">
        <f>"Y"</f>
        <v>Y</v>
      </c>
      <c r="F1565" t="str">
        <f>"חשבוניות מרכזות"</f>
        <v>חשבוניות מרכזות</v>
      </c>
      <c r="G1565" t="str">
        <f>"700065"</f>
        <v>700065</v>
      </c>
      <c r="H1565" t="str">
        <f>"אלתא מערכות בע""מ"</f>
        <v>אלתא מערכות בע"מ</v>
      </c>
      <c r="I1565" t="str">
        <f>"10"</f>
        <v>10</v>
      </c>
      <c r="J1565" t="str">
        <f>"000"</f>
        <v>000</v>
      </c>
      <c r="K1565" t="str">
        <f>"טכנאים לחיווט מסדים"</f>
        <v>טכנאים לחיווט מסדים</v>
      </c>
      <c r="L1565">
        <v>-5</v>
      </c>
      <c r="M1565" t="str">
        <f>"יח"</f>
        <v>יח</v>
      </c>
      <c r="N1565">
        <v>-5</v>
      </c>
      <c r="O1565" t="str">
        <f>"יח"</f>
        <v>יח</v>
      </c>
      <c r="P1565" s="2">
        <v>2185</v>
      </c>
      <c r="Q1565" t="str">
        <f>"$"</f>
        <v>$</v>
      </c>
      <c r="R1565" t="str">
        <f>"הזמנה"</f>
        <v>הזמנה</v>
      </c>
      <c r="S1565">
        <v>0</v>
      </c>
      <c r="T1565" s="2">
        <v>-10925</v>
      </c>
      <c r="U1565">
        <v>0</v>
      </c>
      <c r="V1565" s="2">
        <v>-10925</v>
      </c>
      <c r="W1565" t="str">
        <f>"$"</f>
        <v>$</v>
      </c>
      <c r="X1565">
        <v>0</v>
      </c>
      <c r="Y1565">
        <v>0</v>
      </c>
      <c r="Z1565">
        <v>0</v>
      </c>
      <c r="AA1565" t="str">
        <f>"Y"</f>
        <v>Y</v>
      </c>
      <c r="AC1565">
        <v>0</v>
      </c>
      <c r="AM1565" t="str">
        <f>"10"</f>
        <v>10</v>
      </c>
      <c r="AN1565" t="str">
        <f>"500000"</f>
        <v>500000</v>
      </c>
      <c r="AO1565" t="str">
        <f>"הכנסות  מלקוחות"</f>
        <v>הכנסות  מלקוחות</v>
      </c>
      <c r="AQ1565" t="str">
        <f>"007"</f>
        <v>007</v>
      </c>
      <c r="AR1565">
        <v>0</v>
      </c>
      <c r="AS1565">
        <v>0</v>
      </c>
      <c r="AT1565">
        <v>3.3969999999999998</v>
      </c>
      <c r="BB1565" t="str">
        <f>"Y"</f>
        <v>Y</v>
      </c>
      <c r="BD1565" t="str">
        <f>"רוני דידי"</f>
        <v>רוני דידי</v>
      </c>
    </row>
    <row r="1566" spans="1:56" x14ac:dyDescent="0.3">
      <c r="A1566" s="1">
        <v>44740</v>
      </c>
      <c r="B1566" t="str">
        <f>"SI226000705"</f>
        <v>SI226000705</v>
      </c>
      <c r="E1566" t="str">
        <f>"Y"</f>
        <v>Y</v>
      </c>
      <c r="F1566" t="str">
        <f>"חשבוניות מרכזות"</f>
        <v>חשבוניות מרכזות</v>
      </c>
      <c r="G1566" t="str">
        <f>"700065"</f>
        <v>700065</v>
      </c>
      <c r="H1566" t="str">
        <f>"אלתא מערכות בע""מ"</f>
        <v>אלתא מערכות בע"מ</v>
      </c>
      <c r="I1566" t="str">
        <f>"10"</f>
        <v>10</v>
      </c>
      <c r="J1566" t="str">
        <f>"000"</f>
        <v>000</v>
      </c>
      <c r="K1566" t="str">
        <f>"בנק חומרים"</f>
        <v>בנק חומרים</v>
      </c>
      <c r="L1566">
        <v>-1</v>
      </c>
      <c r="M1566" t="str">
        <f>"יח"</f>
        <v>יח</v>
      </c>
      <c r="N1566">
        <v>-1</v>
      </c>
      <c r="O1566" t="str">
        <f>"יח"</f>
        <v>יח</v>
      </c>
      <c r="P1566">
        <v>953</v>
      </c>
      <c r="Q1566" t="str">
        <f>"$"</f>
        <v>$</v>
      </c>
      <c r="R1566" t="str">
        <f>"ידני"</f>
        <v>ידני</v>
      </c>
      <c r="S1566">
        <v>0</v>
      </c>
      <c r="T1566">
        <v>-953</v>
      </c>
      <c r="U1566">
        <v>0</v>
      </c>
      <c r="V1566">
        <v>-953</v>
      </c>
      <c r="W1566" t="str">
        <f>"$"</f>
        <v>$</v>
      </c>
      <c r="X1566">
        <v>0</v>
      </c>
      <c r="Y1566">
        <v>0</v>
      </c>
      <c r="Z1566">
        <v>0</v>
      </c>
      <c r="AA1566" t="str">
        <f>"Y"</f>
        <v>Y</v>
      </c>
      <c r="AC1566">
        <v>0</v>
      </c>
      <c r="AM1566" t="str">
        <f>"10"</f>
        <v>10</v>
      </c>
      <c r="AN1566" t="str">
        <f>"500000"</f>
        <v>500000</v>
      </c>
      <c r="AO1566" t="str">
        <f>"הכנסות  מלקוחות"</f>
        <v>הכנסות  מלקוחות</v>
      </c>
      <c r="AQ1566" t="str">
        <f>"007"</f>
        <v>007</v>
      </c>
      <c r="AR1566">
        <v>0</v>
      </c>
      <c r="AS1566">
        <v>0</v>
      </c>
      <c r="AT1566">
        <v>3.3969999999999998</v>
      </c>
      <c r="BB1566" t="str">
        <f>"Y"</f>
        <v>Y</v>
      </c>
      <c r="BD1566" t="str">
        <f>"רוני דידי"</f>
        <v>רוני דידי</v>
      </c>
    </row>
    <row r="1567" spans="1:56" x14ac:dyDescent="0.3">
      <c r="A1567" s="1">
        <v>44740</v>
      </c>
      <c r="B1567" t="str">
        <f>"SI226000705"</f>
        <v>SI226000705</v>
      </c>
      <c r="E1567" t="str">
        <f>"Y"</f>
        <v>Y</v>
      </c>
      <c r="F1567" t="str">
        <f>"חשבוניות מרכזות"</f>
        <v>חשבוניות מרכזות</v>
      </c>
      <c r="G1567" t="str">
        <f>"700065"</f>
        <v>700065</v>
      </c>
      <c r="H1567" t="str">
        <f>"אלתא מערכות בע""מ"</f>
        <v>אלתא מערכות בע"מ</v>
      </c>
      <c r="I1567" t="str">
        <f>"10"</f>
        <v>10</v>
      </c>
      <c r="J1567" t="str">
        <f>"000"</f>
        <v>000</v>
      </c>
      <c r="K1567" t="str">
        <f>"הגדלת הזמנה בעוד 20 ימי עבודה"</f>
        <v>הגדלת הזמנה בעוד 20 ימי עבודה</v>
      </c>
      <c r="L1567">
        <v>-3</v>
      </c>
      <c r="M1567" t="str">
        <f>"יח"</f>
        <v>יח</v>
      </c>
      <c r="N1567">
        <v>-3</v>
      </c>
      <c r="O1567" t="str">
        <f>"יח"</f>
        <v>יח</v>
      </c>
      <c r="P1567" s="2">
        <v>2185</v>
      </c>
      <c r="Q1567" t="str">
        <f>"$"</f>
        <v>$</v>
      </c>
      <c r="R1567" t="str">
        <f>"ידני"</f>
        <v>ידני</v>
      </c>
      <c r="S1567">
        <v>0</v>
      </c>
      <c r="T1567" s="2">
        <v>-6555</v>
      </c>
      <c r="U1567">
        <v>0</v>
      </c>
      <c r="V1567" s="2">
        <v>-6555</v>
      </c>
      <c r="W1567" t="str">
        <f>"$"</f>
        <v>$</v>
      </c>
      <c r="X1567">
        <v>0</v>
      </c>
      <c r="Y1567">
        <v>0</v>
      </c>
      <c r="Z1567">
        <v>0</v>
      </c>
      <c r="AA1567" t="str">
        <f>"Y"</f>
        <v>Y</v>
      </c>
      <c r="AC1567">
        <v>0</v>
      </c>
      <c r="AM1567" t="str">
        <f>"10"</f>
        <v>10</v>
      </c>
      <c r="AN1567" t="str">
        <f>"500000"</f>
        <v>500000</v>
      </c>
      <c r="AO1567" t="str">
        <f>"הכנסות  מלקוחות"</f>
        <v>הכנסות  מלקוחות</v>
      </c>
      <c r="AQ1567" t="str">
        <f>"007"</f>
        <v>007</v>
      </c>
      <c r="AR1567">
        <v>0</v>
      </c>
      <c r="AS1567">
        <v>0</v>
      </c>
      <c r="AT1567">
        <v>3.3969999999999998</v>
      </c>
      <c r="BB1567" t="str">
        <f>"Y"</f>
        <v>Y</v>
      </c>
      <c r="BD1567" t="str">
        <f>"רוני דידי"</f>
        <v>רוני דידי</v>
      </c>
    </row>
    <row r="1568" spans="1:56" x14ac:dyDescent="0.3">
      <c r="A1568" s="1">
        <v>44740</v>
      </c>
      <c r="B1568" t="str">
        <f>"SI226000704"</f>
        <v>SI226000704</v>
      </c>
      <c r="E1568" t="str">
        <f>"Y"</f>
        <v>Y</v>
      </c>
      <c r="F1568" t="str">
        <f>"חשבוניות מרכזות"</f>
        <v>חשבוניות מרכזות</v>
      </c>
      <c r="G1568" t="str">
        <f>"700065"</f>
        <v>700065</v>
      </c>
      <c r="H1568" t="str">
        <f>"אלתא מערכות בע""מ"</f>
        <v>אלתא מערכות בע"מ</v>
      </c>
      <c r="I1568" t="str">
        <f>"10"</f>
        <v>10</v>
      </c>
      <c r="J1568" t="str">
        <f>"000"</f>
        <v>000</v>
      </c>
      <c r="K1568" t="str">
        <f>"טכנאים לחיווט מסדים"</f>
        <v>טכנאים לחיווט מסדים</v>
      </c>
      <c r="L1568">
        <v>5</v>
      </c>
      <c r="M1568" t="str">
        <f>"יח"</f>
        <v>יח</v>
      </c>
      <c r="N1568">
        <v>5</v>
      </c>
      <c r="O1568" t="str">
        <f>"יח"</f>
        <v>יח</v>
      </c>
      <c r="P1568" s="2">
        <v>2185</v>
      </c>
      <c r="Q1568" t="str">
        <f>"$"</f>
        <v>$</v>
      </c>
      <c r="R1568" t="str">
        <f>"הזמנה"</f>
        <v>הזמנה</v>
      </c>
      <c r="S1568">
        <v>0</v>
      </c>
      <c r="T1568" s="2">
        <v>10925</v>
      </c>
      <c r="U1568">
        <v>0</v>
      </c>
      <c r="V1568" s="2">
        <v>10925</v>
      </c>
      <c r="W1568" t="str">
        <f>"$"</f>
        <v>$</v>
      </c>
      <c r="X1568">
        <v>0</v>
      </c>
      <c r="Y1568">
        <v>0</v>
      </c>
      <c r="Z1568">
        <v>0</v>
      </c>
      <c r="AA1568" t="str">
        <f>"Y"</f>
        <v>Y</v>
      </c>
      <c r="AC1568">
        <v>0</v>
      </c>
      <c r="AM1568" t="str">
        <f>"10"</f>
        <v>10</v>
      </c>
      <c r="AN1568" t="str">
        <f>"500000"</f>
        <v>500000</v>
      </c>
      <c r="AO1568" t="str">
        <f>"הכנסות  מלקוחות"</f>
        <v>הכנסות  מלקוחות</v>
      </c>
      <c r="AQ1568" t="str">
        <f>"007"</f>
        <v>007</v>
      </c>
      <c r="AR1568">
        <v>0</v>
      </c>
      <c r="AS1568">
        <v>0</v>
      </c>
      <c r="AT1568">
        <v>3.3969999999999998</v>
      </c>
      <c r="BB1568" t="str">
        <f>"Y"</f>
        <v>Y</v>
      </c>
      <c r="BD1568" t="str">
        <f>"רוני דידי"</f>
        <v>רוני דידי</v>
      </c>
    </row>
    <row r="1569" spans="1:56" x14ac:dyDescent="0.3">
      <c r="A1569" s="1">
        <v>44740</v>
      </c>
      <c r="B1569" t="str">
        <f>"SI226000704"</f>
        <v>SI226000704</v>
      </c>
      <c r="E1569" t="str">
        <f>"Y"</f>
        <v>Y</v>
      </c>
      <c r="F1569" t="str">
        <f>"חשבוניות מרכזות"</f>
        <v>חשבוניות מרכזות</v>
      </c>
      <c r="G1569" t="str">
        <f>"700065"</f>
        <v>700065</v>
      </c>
      <c r="H1569" t="str">
        <f>"אלתא מערכות בע""מ"</f>
        <v>אלתא מערכות בע"מ</v>
      </c>
      <c r="I1569" t="str">
        <f>"10"</f>
        <v>10</v>
      </c>
      <c r="J1569" t="str">
        <f>"000"</f>
        <v>000</v>
      </c>
      <c r="K1569" t="str">
        <f>"בנק חומרים"</f>
        <v>בנק חומרים</v>
      </c>
      <c r="L1569">
        <v>1</v>
      </c>
      <c r="M1569" t="str">
        <f>"יח"</f>
        <v>יח</v>
      </c>
      <c r="N1569">
        <v>1</v>
      </c>
      <c r="O1569" t="str">
        <f>"יח"</f>
        <v>יח</v>
      </c>
      <c r="P1569">
        <v>953</v>
      </c>
      <c r="Q1569" t="str">
        <f>"$"</f>
        <v>$</v>
      </c>
      <c r="R1569" t="str">
        <f>"ידני"</f>
        <v>ידני</v>
      </c>
      <c r="S1569">
        <v>0</v>
      </c>
      <c r="T1569">
        <v>953</v>
      </c>
      <c r="U1569">
        <v>0</v>
      </c>
      <c r="V1569">
        <v>953</v>
      </c>
      <c r="W1569" t="str">
        <f>"$"</f>
        <v>$</v>
      </c>
      <c r="X1569">
        <v>0</v>
      </c>
      <c r="Y1569">
        <v>0</v>
      </c>
      <c r="Z1569">
        <v>0</v>
      </c>
      <c r="AA1569" t="str">
        <f>"Y"</f>
        <v>Y</v>
      </c>
      <c r="AC1569">
        <v>0</v>
      </c>
      <c r="AM1569" t="str">
        <f>"10"</f>
        <v>10</v>
      </c>
      <c r="AN1569" t="str">
        <f>"500000"</f>
        <v>500000</v>
      </c>
      <c r="AO1569" t="str">
        <f>"הכנסות  מלקוחות"</f>
        <v>הכנסות  מלקוחות</v>
      </c>
      <c r="AQ1569" t="str">
        <f>"007"</f>
        <v>007</v>
      </c>
      <c r="AR1569">
        <v>0</v>
      </c>
      <c r="AS1569">
        <v>0</v>
      </c>
      <c r="AT1569">
        <v>3.3969999999999998</v>
      </c>
      <c r="BB1569" t="str">
        <f>"Y"</f>
        <v>Y</v>
      </c>
      <c r="BD1569" t="str">
        <f>"רוני דידי"</f>
        <v>רוני דידי</v>
      </c>
    </row>
    <row r="1570" spans="1:56" x14ac:dyDescent="0.3">
      <c r="A1570" s="1">
        <v>44740</v>
      </c>
      <c r="B1570" t="str">
        <f>"SI226000704"</f>
        <v>SI226000704</v>
      </c>
      <c r="E1570" t="str">
        <f>"Y"</f>
        <v>Y</v>
      </c>
      <c r="F1570" t="str">
        <f>"חשבוניות מרכזות"</f>
        <v>חשבוניות מרכזות</v>
      </c>
      <c r="G1570" t="str">
        <f>"700065"</f>
        <v>700065</v>
      </c>
      <c r="H1570" t="str">
        <f>"אלתא מערכות בע""מ"</f>
        <v>אלתא מערכות בע"מ</v>
      </c>
      <c r="I1570" t="str">
        <f>"10"</f>
        <v>10</v>
      </c>
      <c r="J1570" t="str">
        <f>"000"</f>
        <v>000</v>
      </c>
      <c r="K1570" t="str">
        <f>"הגדלת הזמנה בעוד 20 ימי עבודה"</f>
        <v>הגדלת הזמנה בעוד 20 ימי עבודה</v>
      </c>
      <c r="L1570">
        <v>3</v>
      </c>
      <c r="M1570" t="str">
        <f>"יח"</f>
        <v>יח</v>
      </c>
      <c r="N1570">
        <v>3</v>
      </c>
      <c r="O1570" t="str">
        <f>"יח"</f>
        <v>יח</v>
      </c>
      <c r="P1570" s="2">
        <v>2185</v>
      </c>
      <c r="Q1570" t="str">
        <f>"$"</f>
        <v>$</v>
      </c>
      <c r="R1570" t="str">
        <f>"ידני"</f>
        <v>ידני</v>
      </c>
      <c r="S1570">
        <v>0</v>
      </c>
      <c r="T1570" s="2">
        <v>6555</v>
      </c>
      <c r="U1570">
        <v>0</v>
      </c>
      <c r="V1570" s="2">
        <v>6555</v>
      </c>
      <c r="W1570" t="str">
        <f>"$"</f>
        <v>$</v>
      </c>
      <c r="X1570">
        <v>0</v>
      </c>
      <c r="Y1570">
        <v>0</v>
      </c>
      <c r="Z1570">
        <v>0</v>
      </c>
      <c r="AA1570" t="str">
        <f>"Y"</f>
        <v>Y</v>
      </c>
      <c r="AC1570">
        <v>0</v>
      </c>
      <c r="AM1570" t="str">
        <f>"10"</f>
        <v>10</v>
      </c>
      <c r="AN1570" t="str">
        <f>"500000"</f>
        <v>500000</v>
      </c>
      <c r="AO1570" t="str">
        <f>"הכנסות  מלקוחות"</f>
        <v>הכנסות  מלקוחות</v>
      </c>
      <c r="AQ1570" t="str">
        <f>"007"</f>
        <v>007</v>
      </c>
      <c r="AR1570">
        <v>0</v>
      </c>
      <c r="AS1570">
        <v>0</v>
      </c>
      <c r="AT1570">
        <v>3.3969999999999998</v>
      </c>
      <c r="BB1570" t="str">
        <f>"Y"</f>
        <v>Y</v>
      </c>
      <c r="BD1570" t="str">
        <f>"רוני דידי"</f>
        <v>רוני דידי</v>
      </c>
    </row>
    <row r="1571" spans="1:56" x14ac:dyDescent="0.3">
      <c r="A1571" s="1">
        <v>44740</v>
      </c>
      <c r="B1571" t="str">
        <f>"SI226000702"</f>
        <v>SI226000702</v>
      </c>
      <c r="C1571" t="str">
        <f>"PR21000011"</f>
        <v>PR21000011</v>
      </c>
      <c r="D1571" t="str">
        <f>"PR21000011"</f>
        <v>PR21000011</v>
      </c>
      <c r="E1571" t="str">
        <f>"Y"</f>
        <v>Y</v>
      </c>
      <c r="F1571" t="str">
        <f>"חשבוניות מרכזות"</f>
        <v>חשבוניות מרכזות</v>
      </c>
      <c r="G1571" t="str">
        <f>"700065"</f>
        <v>700065</v>
      </c>
      <c r="H1571" t="str">
        <f>"אלתא מערכות בע""מ"</f>
        <v>אלתא מערכות בע"מ</v>
      </c>
      <c r="I1571" t="str">
        <f>"10"</f>
        <v>10</v>
      </c>
      <c r="J1571" t="str">
        <f>"OP-ML00196"</f>
        <v>OP-ML00196</v>
      </c>
      <c r="K1571" t="str">
        <f>"PORTABLE SIMULATOR 3068H050-001"</f>
        <v>PORTABLE SIMULATOR 3068H050-001</v>
      </c>
      <c r="L1571">
        <v>1</v>
      </c>
      <c r="M1571" t="str">
        <f>"יח"</f>
        <v>יח</v>
      </c>
      <c r="N1571">
        <v>1</v>
      </c>
      <c r="O1571" t="str">
        <f>"יח"</f>
        <v>יח</v>
      </c>
      <c r="P1571" s="2">
        <v>71200</v>
      </c>
      <c r="Q1571" t="str">
        <f>"$"</f>
        <v>$</v>
      </c>
      <c r="R1571" t="str">
        <f>"הזמנה"</f>
        <v>הזמנה</v>
      </c>
      <c r="S1571">
        <v>0</v>
      </c>
      <c r="T1571" s="2">
        <v>71200</v>
      </c>
      <c r="U1571">
        <v>0</v>
      </c>
      <c r="V1571" s="2">
        <v>71200</v>
      </c>
      <c r="W1571" t="str">
        <f>"$"</f>
        <v>$</v>
      </c>
      <c r="X1571">
        <v>0</v>
      </c>
      <c r="Y1571">
        <v>0</v>
      </c>
      <c r="Z1571">
        <v>0</v>
      </c>
      <c r="AA1571" t="str">
        <f>"Y"</f>
        <v>Y</v>
      </c>
      <c r="AB1571" t="str">
        <f>"SO20000561"</f>
        <v>SO20000561</v>
      </c>
      <c r="AC1571">
        <v>1</v>
      </c>
      <c r="AD1571" s="1">
        <v>44167</v>
      </c>
      <c r="AE1571" t="str">
        <f>"SH22000861"</f>
        <v>SH22000861</v>
      </c>
      <c r="AF1571" t="str">
        <f>"משלוחים ללקוח"</f>
        <v>משלוחים ללקוח</v>
      </c>
      <c r="AG1571" s="1">
        <v>44766</v>
      </c>
      <c r="AM1571" t="str">
        <f>"10"</f>
        <v>10</v>
      </c>
      <c r="AN1571" t="str">
        <f>"500000"</f>
        <v>500000</v>
      </c>
      <c r="AO1571" t="str">
        <f>"הכנסות  מלקוחות"</f>
        <v>הכנסות  מלקוחות</v>
      </c>
      <c r="AQ1571" t="str">
        <f>"007"</f>
        <v>007</v>
      </c>
      <c r="AR1571">
        <v>0</v>
      </c>
      <c r="AS1571">
        <v>0</v>
      </c>
      <c r="AT1571">
        <v>3.3969999999999998</v>
      </c>
      <c r="AX1571" t="str">
        <f>"E000327280"</f>
        <v>E000327280</v>
      </c>
      <c r="BD1571" t="str">
        <f>"רוני דידי"</f>
        <v>רוני דידי</v>
      </c>
    </row>
    <row r="1572" spans="1:56" x14ac:dyDescent="0.3">
      <c r="A1572" s="1">
        <v>44740</v>
      </c>
      <c r="B1572" t="str">
        <f>"SI226000701"</f>
        <v>SI226000701</v>
      </c>
      <c r="C1572" t="str">
        <f>"PR20000067"</f>
        <v>PR20000067</v>
      </c>
      <c r="D1572" t="str">
        <f>"PR20000067"</f>
        <v>PR20000067</v>
      </c>
      <c r="E1572" t="str">
        <f>"Y"</f>
        <v>Y</v>
      </c>
      <c r="F1572" t="str">
        <f>"חשבוניות מרכזות"</f>
        <v>חשבוניות מרכזות</v>
      </c>
      <c r="G1572" t="str">
        <f>"700065"</f>
        <v>700065</v>
      </c>
      <c r="H1572" t="str">
        <f>"אלתא מערכות בע""מ"</f>
        <v>אלתא מערכות בע"מ</v>
      </c>
      <c r="I1572" t="str">
        <f>"10"</f>
        <v>10</v>
      </c>
      <c r="J1572" t="str">
        <f>"cust00896"</f>
        <v>cust00896</v>
      </c>
      <c r="K1572" t="str">
        <f>"MEDIA EPC 230V  P33173000 אלתא"</f>
        <v>MEDIA EPC 230V  P33173000 אלתא</v>
      </c>
      <c r="L1572">
        <v>1</v>
      </c>
      <c r="M1572" t="str">
        <f>"יח"</f>
        <v>יח</v>
      </c>
      <c r="N1572">
        <v>1</v>
      </c>
      <c r="O1572" t="str">
        <f>"יח"</f>
        <v>יח</v>
      </c>
      <c r="P1572">
        <v>150</v>
      </c>
      <c r="Q1572" t="str">
        <f>"$"</f>
        <v>$</v>
      </c>
      <c r="R1572" t="str">
        <f>"הזמנה"</f>
        <v>הזמנה</v>
      </c>
      <c r="S1572">
        <v>0</v>
      </c>
      <c r="T1572">
        <v>150</v>
      </c>
      <c r="U1572">
        <v>0</v>
      </c>
      <c r="V1572">
        <v>150</v>
      </c>
      <c r="W1572" t="str">
        <f>"$"</f>
        <v>$</v>
      </c>
      <c r="X1572">
        <v>0</v>
      </c>
      <c r="Y1572">
        <v>0</v>
      </c>
      <c r="Z1572">
        <v>0</v>
      </c>
      <c r="AA1572" t="str">
        <f>"Y"</f>
        <v>Y</v>
      </c>
      <c r="AB1572" t="str">
        <f>"SO20000064"</f>
        <v>SO20000064</v>
      </c>
      <c r="AC1572">
        <v>4</v>
      </c>
      <c r="AD1572" s="1">
        <v>43871</v>
      </c>
      <c r="AM1572" t="str">
        <f>"10"</f>
        <v>10</v>
      </c>
      <c r="AN1572" t="str">
        <f>"500000"</f>
        <v>500000</v>
      </c>
      <c r="AO1572" t="str">
        <f>"הכנסות  מלקוחות"</f>
        <v>הכנסות  מלקוחות</v>
      </c>
      <c r="AQ1572" t="str">
        <f>"034"</f>
        <v>034</v>
      </c>
      <c r="AR1572">
        <v>0</v>
      </c>
      <c r="AS1572">
        <v>0</v>
      </c>
      <c r="AT1572">
        <v>3.3969999999999998</v>
      </c>
      <c r="AX1572" t="str">
        <f>"E000304846"</f>
        <v>E000304846</v>
      </c>
      <c r="BD1572" t="str">
        <f>"ערן שלו"</f>
        <v>ערן שלו</v>
      </c>
    </row>
    <row r="1573" spans="1:56" x14ac:dyDescent="0.3">
      <c r="A1573" s="1">
        <v>44735</v>
      </c>
      <c r="B1573" t="str">
        <f>"SI226000730"</f>
        <v>SI226000730</v>
      </c>
      <c r="C1573" t="str">
        <f>"PR22000191"</f>
        <v>PR22000191</v>
      </c>
      <c r="D1573" t="str">
        <f>"PR22000191"</f>
        <v>PR22000191</v>
      </c>
      <c r="E1573" t="str">
        <f>"Y"</f>
        <v>Y</v>
      </c>
      <c r="F1573" t="str">
        <f>"חשבוניות מרכזות"</f>
        <v>חשבוניות מרכזות</v>
      </c>
      <c r="G1573" t="str">
        <f>"700065"</f>
        <v>700065</v>
      </c>
      <c r="H1573" t="str">
        <f>"אלתא מערכות בע""מ"</f>
        <v>אלתא מערכות בע"מ</v>
      </c>
      <c r="I1573" t="str">
        <f>"10"</f>
        <v>10</v>
      </c>
      <c r="J1573" t="str">
        <f>"OP-AR03173"</f>
        <v>OP-AR03173</v>
      </c>
      <c r="K1573" t="str">
        <f>"כבל הזנה 20 H07RNF 5X35מ', 5X125A IP67 , נעל כבל"</f>
        <v>כבל הזנה 20 H07RNF 5X35מ', 5X125A IP67 , נעל כבל</v>
      </c>
      <c r="L1573">
        <v>3</v>
      </c>
      <c r="M1573" t="str">
        <f>"יח"</f>
        <v>יח</v>
      </c>
      <c r="N1573">
        <v>3</v>
      </c>
      <c r="O1573" t="str">
        <f>"יח"</f>
        <v>יח</v>
      </c>
      <c r="P1573" s="2">
        <v>1433.17</v>
      </c>
      <c r="Q1573" t="str">
        <f>"$"</f>
        <v>$</v>
      </c>
      <c r="R1573" t="str">
        <f>"הזמנה"</f>
        <v>הזמנה</v>
      </c>
      <c r="S1573">
        <v>0</v>
      </c>
      <c r="T1573" s="2">
        <v>4299.51</v>
      </c>
      <c r="U1573">
        <v>0</v>
      </c>
      <c r="V1573" s="2">
        <v>4299.51</v>
      </c>
      <c r="W1573" t="str">
        <f>"$"</f>
        <v>$</v>
      </c>
      <c r="X1573">
        <v>0</v>
      </c>
      <c r="Y1573">
        <v>0</v>
      </c>
      <c r="Z1573">
        <v>0</v>
      </c>
      <c r="AA1573" t="str">
        <f>"Y"</f>
        <v>Y</v>
      </c>
      <c r="AB1573" t="str">
        <f>"SO22000083"</f>
        <v>SO22000083</v>
      </c>
      <c r="AC1573">
        <v>6</v>
      </c>
      <c r="AD1573" s="1">
        <v>44622</v>
      </c>
      <c r="AE1573" t="str">
        <f>"SH22000737"</f>
        <v>SH22000737</v>
      </c>
      <c r="AF1573" t="str">
        <f>"משלוחים ללקוח"</f>
        <v>משלוחים ללקוח</v>
      </c>
      <c r="AG1573" s="1">
        <v>44734</v>
      </c>
      <c r="AM1573" t="str">
        <f>"10"</f>
        <v>10</v>
      </c>
      <c r="AN1573" t="str">
        <f>"500000"</f>
        <v>500000</v>
      </c>
      <c r="AO1573" t="str">
        <f>"הכנסות  מלקוחות"</f>
        <v>הכנסות  מלקוחות</v>
      </c>
      <c r="AQ1573" t="str">
        <f>"040"</f>
        <v>040</v>
      </c>
      <c r="AR1573">
        <v>0</v>
      </c>
      <c r="AS1573">
        <v>0</v>
      </c>
      <c r="AT1573">
        <v>3.4470000000000001</v>
      </c>
      <c r="AX1573" t="str">
        <f>"E000358730"</f>
        <v>E000358730</v>
      </c>
      <c r="BD1573" t="str">
        <f>"רחמים זרוק"</f>
        <v>רחמים זרוק</v>
      </c>
    </row>
    <row r="1574" spans="1:56" x14ac:dyDescent="0.3">
      <c r="A1574" s="1">
        <v>44735</v>
      </c>
      <c r="B1574" t="str">
        <f>"SI226000729"</f>
        <v>SI226000729</v>
      </c>
      <c r="C1574" t="str">
        <f>"PR22000121"</f>
        <v>PR22000121</v>
      </c>
      <c r="E1574" t="str">
        <f>"Y"</f>
        <v>Y</v>
      </c>
      <c r="F1574" t="str">
        <f>"חשבוניות מרכזות"</f>
        <v>חשבוניות מרכזות</v>
      </c>
      <c r="G1574" t="str">
        <f>"700065"</f>
        <v>700065</v>
      </c>
      <c r="H1574" t="str">
        <f>"אלתא מערכות בע""מ"</f>
        <v>אלתא מערכות בע"מ</v>
      </c>
      <c r="I1574" t="str">
        <f>"10"</f>
        <v>10</v>
      </c>
      <c r="J1574" t="str">
        <f>"OP-AR02945"</f>
        <v>OP-AR02945</v>
      </c>
      <c r="K1574" t="str">
        <f>"1033A201-001   HARNESS W0001 - POWER - MAIN - CUST"</f>
        <v>1033A201-001   HARNESS W0001 - POWER - MAIN - CUST</v>
      </c>
      <c r="L1574">
        <v>1</v>
      </c>
      <c r="M1574" t="str">
        <f>"יח"</f>
        <v>יח</v>
      </c>
      <c r="N1574">
        <v>1</v>
      </c>
      <c r="O1574" t="str">
        <f>"יח"</f>
        <v>יח</v>
      </c>
      <c r="P1574">
        <v>222.36</v>
      </c>
      <c r="Q1574" t="str">
        <f>"$"</f>
        <v>$</v>
      </c>
      <c r="R1574" t="str">
        <f>"הזמנה"</f>
        <v>הזמנה</v>
      </c>
      <c r="S1574">
        <v>0</v>
      </c>
      <c r="T1574">
        <v>222.36</v>
      </c>
      <c r="U1574">
        <v>0</v>
      </c>
      <c r="V1574">
        <v>222.36</v>
      </c>
      <c r="W1574" t="str">
        <f>"$"</f>
        <v>$</v>
      </c>
      <c r="X1574">
        <v>0</v>
      </c>
      <c r="Y1574">
        <v>0</v>
      </c>
      <c r="Z1574">
        <v>0</v>
      </c>
      <c r="AA1574" t="str">
        <f>"Y"</f>
        <v>Y</v>
      </c>
      <c r="AB1574" t="str">
        <f>"SO22000042"</f>
        <v>SO22000042</v>
      </c>
      <c r="AC1574">
        <v>1</v>
      </c>
      <c r="AD1574" s="1">
        <v>44599</v>
      </c>
      <c r="AE1574" t="str">
        <f>"SH22000738"</f>
        <v>SH22000738</v>
      </c>
      <c r="AF1574" t="str">
        <f>"משלוחים ללקוח"</f>
        <v>משלוחים ללקוח</v>
      </c>
      <c r="AG1574" s="1">
        <v>44734</v>
      </c>
      <c r="AM1574" t="str">
        <f>"10"</f>
        <v>10</v>
      </c>
      <c r="AN1574" t="str">
        <f>"500000"</f>
        <v>500000</v>
      </c>
      <c r="AO1574" t="str">
        <f>"הכנסות  מלקוחות"</f>
        <v>הכנסות  מלקוחות</v>
      </c>
      <c r="AQ1574" t="str">
        <f>"040"</f>
        <v>040</v>
      </c>
      <c r="AR1574">
        <v>0</v>
      </c>
      <c r="AS1574">
        <v>0</v>
      </c>
      <c r="AT1574">
        <v>3.4470000000000001</v>
      </c>
      <c r="AX1574" t="str">
        <f>"E000357138"</f>
        <v>E000357138</v>
      </c>
      <c r="BD1574" t="str">
        <f>"רחמים זרוק"</f>
        <v>רחמים זרוק</v>
      </c>
    </row>
    <row r="1575" spans="1:56" x14ac:dyDescent="0.3">
      <c r="A1575" s="1">
        <v>44735</v>
      </c>
      <c r="B1575" t="str">
        <f>"SI226000728"</f>
        <v>SI226000728</v>
      </c>
      <c r="C1575" t="str">
        <f>"PR22000469"</f>
        <v>PR22000469</v>
      </c>
      <c r="E1575" t="str">
        <f>"Y"</f>
        <v>Y</v>
      </c>
      <c r="F1575" t="str">
        <f>"חשבוניות מרכזות"</f>
        <v>חשבוניות מרכזות</v>
      </c>
      <c r="G1575" t="str">
        <f>"700065"</f>
        <v>700065</v>
      </c>
      <c r="H1575" t="str">
        <f>"אלתא מערכות בע""מ"</f>
        <v>אלתא מערכות בע"מ</v>
      </c>
      <c r="I1575" t="str">
        <f>"10"</f>
        <v>10</v>
      </c>
      <c r="J1575" t="str">
        <f>"PS0300006"</f>
        <v>PS0300006</v>
      </c>
      <c r="K1575" t="str">
        <f>"TSI-EPC - 380Vac-Module BRAVO"</f>
        <v>TSI-EPC - 380Vac-Module BRAVO</v>
      </c>
      <c r="L1575">
        <v>28</v>
      </c>
      <c r="M1575" t="str">
        <f>"יח"</f>
        <v>יח</v>
      </c>
      <c r="N1575">
        <v>28</v>
      </c>
      <c r="O1575" t="str">
        <f>"יח"</f>
        <v>יח</v>
      </c>
      <c r="P1575" s="2">
        <v>1950</v>
      </c>
      <c r="Q1575" t="str">
        <f>"$"</f>
        <v>$</v>
      </c>
      <c r="R1575" t="str">
        <f>"הזמנה"</f>
        <v>הזמנה</v>
      </c>
      <c r="S1575">
        <v>0</v>
      </c>
      <c r="T1575" s="2">
        <v>54600</v>
      </c>
      <c r="U1575">
        <v>0</v>
      </c>
      <c r="V1575" s="2">
        <v>54600</v>
      </c>
      <c r="W1575" t="str">
        <f>"$"</f>
        <v>$</v>
      </c>
      <c r="X1575">
        <v>0</v>
      </c>
      <c r="Y1575">
        <v>0</v>
      </c>
      <c r="Z1575">
        <v>0</v>
      </c>
      <c r="AA1575" t="str">
        <f>"Y"</f>
        <v>Y</v>
      </c>
      <c r="AB1575" t="str">
        <f>"SO22000225"</f>
        <v>SO22000225</v>
      </c>
      <c r="AC1575">
        <v>1</v>
      </c>
      <c r="AD1575" s="1">
        <v>44720</v>
      </c>
      <c r="AE1575" t="str">
        <f>"SH22000732"</f>
        <v>SH22000732</v>
      </c>
      <c r="AF1575" t="str">
        <f>"משלוחים ללקוח"</f>
        <v>משלוחים ללקוח</v>
      </c>
      <c r="AG1575" s="1">
        <v>44733</v>
      </c>
      <c r="AM1575" t="str">
        <f>"10"</f>
        <v>10</v>
      </c>
      <c r="AN1575" t="str">
        <f>"500000"</f>
        <v>500000</v>
      </c>
      <c r="AO1575" t="str">
        <f>"הכנסות  מלקוחות"</f>
        <v>הכנסות  מלקוחות</v>
      </c>
      <c r="AQ1575" t="str">
        <f>"007"</f>
        <v>007</v>
      </c>
      <c r="AR1575">
        <v>0</v>
      </c>
      <c r="AS1575">
        <v>0</v>
      </c>
      <c r="AT1575">
        <v>3.4470000000000001</v>
      </c>
      <c r="AX1575" t="str">
        <f>"E000365974"</f>
        <v>E000365974</v>
      </c>
      <c r="BD1575" t="str">
        <f>"רוני דידי"</f>
        <v>רוני דידי</v>
      </c>
    </row>
    <row r="1576" spans="1:56" x14ac:dyDescent="0.3">
      <c r="A1576" s="1">
        <v>44735</v>
      </c>
      <c r="B1576" t="str">
        <f>"SI226000728"</f>
        <v>SI226000728</v>
      </c>
      <c r="C1576" t="str">
        <f>"PR22000469"</f>
        <v>PR22000469</v>
      </c>
      <c r="E1576" t="str">
        <f>"Y"</f>
        <v>Y</v>
      </c>
      <c r="F1576" t="str">
        <f>"חשבוניות מרכזות"</f>
        <v>חשבוניות מרכזות</v>
      </c>
      <c r="G1576" t="str">
        <f>"700065"</f>
        <v>700065</v>
      </c>
      <c r="H1576" t="str">
        <f>"אלתא מערכות בע""מ"</f>
        <v>אלתא מערכות בע"מ</v>
      </c>
      <c r="I1576" t="str">
        <f>"10"</f>
        <v>10</v>
      </c>
      <c r="J1576" t="str">
        <f>"PS0300006"</f>
        <v>PS0300006</v>
      </c>
      <c r="K1576" t="str">
        <f>"TSI-EPC - 380Vac-Module BRAVO"</f>
        <v>TSI-EPC - 380Vac-Module BRAVO</v>
      </c>
      <c r="L1576">
        <v>4</v>
      </c>
      <c r="M1576" t="str">
        <f>"יח"</f>
        <v>יח</v>
      </c>
      <c r="N1576">
        <v>4</v>
      </c>
      <c r="O1576" t="str">
        <f>"יח"</f>
        <v>יח</v>
      </c>
      <c r="P1576" s="2">
        <v>1950</v>
      </c>
      <c r="Q1576" t="str">
        <f>"$"</f>
        <v>$</v>
      </c>
      <c r="R1576" t="str">
        <f>"הזמנה"</f>
        <v>הזמנה</v>
      </c>
      <c r="S1576">
        <v>0</v>
      </c>
      <c r="T1576" s="2">
        <v>7800</v>
      </c>
      <c r="U1576">
        <v>0</v>
      </c>
      <c r="V1576" s="2">
        <v>7800</v>
      </c>
      <c r="W1576" t="str">
        <f>"$"</f>
        <v>$</v>
      </c>
      <c r="X1576">
        <v>0</v>
      </c>
      <c r="Y1576">
        <v>0</v>
      </c>
      <c r="Z1576">
        <v>0</v>
      </c>
      <c r="AA1576" t="str">
        <f>"Y"</f>
        <v>Y</v>
      </c>
      <c r="AB1576" t="str">
        <f>"SO22000225"</f>
        <v>SO22000225</v>
      </c>
      <c r="AC1576">
        <v>2</v>
      </c>
      <c r="AD1576" s="1">
        <v>44720</v>
      </c>
      <c r="AE1576" t="str">
        <f>"SH22000732"</f>
        <v>SH22000732</v>
      </c>
      <c r="AF1576" t="str">
        <f>"משלוחים ללקוח"</f>
        <v>משלוחים ללקוח</v>
      </c>
      <c r="AG1576" s="1">
        <v>44733</v>
      </c>
      <c r="AM1576" t="str">
        <f>"10"</f>
        <v>10</v>
      </c>
      <c r="AN1576" t="str">
        <f>"500000"</f>
        <v>500000</v>
      </c>
      <c r="AO1576" t="str">
        <f>"הכנסות  מלקוחות"</f>
        <v>הכנסות  מלקוחות</v>
      </c>
      <c r="AQ1576" t="str">
        <f>"007"</f>
        <v>007</v>
      </c>
      <c r="AR1576">
        <v>0</v>
      </c>
      <c r="AS1576">
        <v>0</v>
      </c>
      <c r="AT1576">
        <v>3.4470000000000001</v>
      </c>
      <c r="AX1576" t="str">
        <f>"E000365974"</f>
        <v>E000365974</v>
      </c>
      <c r="BD1576" t="str">
        <f>"רוני דידי"</f>
        <v>רוני דידי</v>
      </c>
    </row>
    <row r="1577" spans="1:56" x14ac:dyDescent="0.3">
      <c r="A1577" s="1">
        <v>44735</v>
      </c>
      <c r="B1577" t="str">
        <f>"SI226000726"</f>
        <v>SI226000726</v>
      </c>
      <c r="C1577" t="str">
        <f>"PR22000245"</f>
        <v>PR22000245</v>
      </c>
      <c r="E1577" t="str">
        <f>"Y"</f>
        <v>Y</v>
      </c>
      <c r="F1577" t="str">
        <f>"חשבוניות מרכזות"</f>
        <v>חשבוניות מרכזות</v>
      </c>
      <c r="G1577" t="str">
        <f>"700065"</f>
        <v>700065</v>
      </c>
      <c r="H1577" t="str">
        <f>"אלתא מערכות בע""מ"</f>
        <v>אלתא מערכות בע"מ</v>
      </c>
      <c r="I1577" t="str">
        <f>"10"</f>
        <v>10</v>
      </c>
      <c r="J1577" t="str">
        <f>"PS0300006"</f>
        <v>PS0300006</v>
      </c>
      <c r="K1577" t="str">
        <f>"TSI-EPC - 380Vac-Module BRAVO"</f>
        <v>TSI-EPC - 380Vac-Module BRAVO</v>
      </c>
      <c r="L1577">
        <v>2</v>
      </c>
      <c r="M1577" t="str">
        <f>"יח"</f>
        <v>יח</v>
      </c>
      <c r="N1577">
        <v>2</v>
      </c>
      <c r="O1577" t="str">
        <f>"יח"</f>
        <v>יח</v>
      </c>
      <c r="P1577" s="2">
        <v>1950</v>
      </c>
      <c r="Q1577" t="str">
        <f>"$"</f>
        <v>$</v>
      </c>
      <c r="R1577" t="str">
        <f>"הזמנה"</f>
        <v>הזמנה</v>
      </c>
      <c r="S1577">
        <v>0</v>
      </c>
      <c r="T1577" s="2">
        <v>3900</v>
      </c>
      <c r="U1577">
        <v>0</v>
      </c>
      <c r="V1577" s="2">
        <v>3900</v>
      </c>
      <c r="W1577" t="str">
        <f>"$"</f>
        <v>$</v>
      </c>
      <c r="X1577">
        <v>0</v>
      </c>
      <c r="Y1577">
        <v>0</v>
      </c>
      <c r="Z1577">
        <v>0</v>
      </c>
      <c r="AA1577" t="str">
        <f>"Y"</f>
        <v>Y</v>
      </c>
      <c r="AB1577" t="str">
        <f>"SO22000113"</f>
        <v>SO22000113</v>
      </c>
      <c r="AC1577">
        <v>13</v>
      </c>
      <c r="AD1577" s="1">
        <v>44641</v>
      </c>
      <c r="AE1577" t="str">
        <f>"SH22000730"</f>
        <v>SH22000730</v>
      </c>
      <c r="AF1577" t="str">
        <f>"משלוחים ללקוח"</f>
        <v>משלוחים ללקוח</v>
      </c>
      <c r="AG1577" s="1">
        <v>44733</v>
      </c>
      <c r="AM1577" t="str">
        <f>"10"</f>
        <v>10</v>
      </c>
      <c r="AN1577" t="str">
        <f>"500000"</f>
        <v>500000</v>
      </c>
      <c r="AO1577" t="str">
        <f>"הכנסות  מלקוחות"</f>
        <v>הכנסות  מלקוחות</v>
      </c>
      <c r="AQ1577" t="str">
        <f>"007"</f>
        <v>007</v>
      </c>
      <c r="AR1577">
        <v>0</v>
      </c>
      <c r="AS1577">
        <v>0</v>
      </c>
      <c r="AT1577">
        <v>3.4470000000000001</v>
      </c>
      <c r="AX1577" t="str">
        <f>"E000360545"</f>
        <v>E000360545</v>
      </c>
      <c r="BD1577" t="str">
        <f>"רוני דידי"</f>
        <v>רוני דידי</v>
      </c>
    </row>
    <row r="1578" spans="1:56" x14ac:dyDescent="0.3">
      <c r="A1578" s="1">
        <v>44728</v>
      </c>
      <c r="B1578" t="str">
        <f>"SI226000692"</f>
        <v>SI226000692</v>
      </c>
      <c r="C1578" t="str">
        <f>"PR22000191"</f>
        <v>PR22000191</v>
      </c>
      <c r="D1578" t="str">
        <f>"PR22000191"</f>
        <v>PR22000191</v>
      </c>
      <c r="E1578" t="str">
        <f>"Y"</f>
        <v>Y</v>
      </c>
      <c r="F1578" t="str">
        <f>"חשבוניות מרכזות"</f>
        <v>חשבוניות מרכזות</v>
      </c>
      <c r="G1578" t="str">
        <f>"700065"</f>
        <v>700065</v>
      </c>
      <c r="H1578" t="str">
        <f>"אלתא מערכות בע""מ"</f>
        <v>אלתא מערכות בע"מ</v>
      </c>
      <c r="I1578" t="str">
        <f>"10"</f>
        <v>10</v>
      </c>
      <c r="J1578" t="str">
        <f>"OP-AR03173"</f>
        <v>OP-AR03173</v>
      </c>
      <c r="K1578" t="str">
        <f>"כבל הזנה 20 H07RNF 5X35מ', 5X125A IP67 , נעל כבל"</f>
        <v>כבל הזנה 20 H07RNF 5X35מ', 5X125A IP67 , נעל כבל</v>
      </c>
      <c r="L1578">
        <v>3</v>
      </c>
      <c r="M1578" t="str">
        <f>"יח"</f>
        <v>יח</v>
      </c>
      <c r="N1578">
        <v>3</v>
      </c>
      <c r="O1578" t="str">
        <f>"יח"</f>
        <v>יח</v>
      </c>
      <c r="P1578" s="2">
        <v>1433.17</v>
      </c>
      <c r="Q1578" t="str">
        <f>"$"</f>
        <v>$</v>
      </c>
      <c r="R1578" t="str">
        <f>"הזמנה"</f>
        <v>הזמנה</v>
      </c>
      <c r="S1578">
        <v>0</v>
      </c>
      <c r="T1578" s="2">
        <v>4299.51</v>
      </c>
      <c r="U1578">
        <v>0</v>
      </c>
      <c r="V1578" s="2">
        <v>4299.51</v>
      </c>
      <c r="W1578" t="str">
        <f>"$"</f>
        <v>$</v>
      </c>
      <c r="X1578">
        <v>0</v>
      </c>
      <c r="Y1578">
        <v>0</v>
      </c>
      <c r="Z1578">
        <v>0</v>
      </c>
      <c r="AA1578" t="str">
        <f>"Y"</f>
        <v>Y</v>
      </c>
      <c r="AB1578" t="str">
        <f>"SO22000083"</f>
        <v>SO22000083</v>
      </c>
      <c r="AC1578">
        <v>1</v>
      </c>
      <c r="AD1578" s="1">
        <v>44622</v>
      </c>
      <c r="AE1578" t="str">
        <f>"SH22000708"</f>
        <v>SH22000708</v>
      </c>
      <c r="AF1578" t="str">
        <f>"משלוחים ללקוח"</f>
        <v>משלוחים ללקוח</v>
      </c>
      <c r="AG1578" s="1">
        <v>44727</v>
      </c>
      <c r="AM1578" t="str">
        <f>"10"</f>
        <v>10</v>
      </c>
      <c r="AN1578" t="str">
        <f>"500000"</f>
        <v>500000</v>
      </c>
      <c r="AO1578" t="str">
        <f>"הכנסות  מלקוחות"</f>
        <v>הכנסות  מלקוחות</v>
      </c>
      <c r="AQ1578" t="str">
        <f>"040"</f>
        <v>040</v>
      </c>
      <c r="AR1578">
        <v>0</v>
      </c>
      <c r="AS1578">
        <v>0</v>
      </c>
      <c r="AT1578">
        <v>3.4630000000000001</v>
      </c>
      <c r="AX1578" t="str">
        <f>"E000358730"</f>
        <v>E000358730</v>
      </c>
      <c r="BD1578" t="str">
        <f>"רחמים זרוק"</f>
        <v>רחמים זרוק</v>
      </c>
    </row>
    <row r="1579" spans="1:56" x14ac:dyDescent="0.3">
      <c r="A1579" s="1">
        <v>44728</v>
      </c>
      <c r="B1579" t="str">
        <f>"SI226000691"</f>
        <v>SI226000691</v>
      </c>
      <c r="C1579" t="str">
        <f>"PR21000839"</f>
        <v>PR21000839</v>
      </c>
      <c r="E1579" t="str">
        <f>"Y"</f>
        <v>Y</v>
      </c>
      <c r="F1579" t="str">
        <f>"חשבוניות מרכזות"</f>
        <v>חשבוניות מרכזות</v>
      </c>
      <c r="G1579" t="str">
        <f>"700065"</f>
        <v>700065</v>
      </c>
      <c r="H1579" t="str">
        <f>"אלתא מערכות בע""מ"</f>
        <v>אלתא מערכות בע"מ</v>
      </c>
      <c r="I1579" t="str">
        <f>"10"</f>
        <v>10</v>
      </c>
      <c r="J1579" t="str">
        <f>"OP-ML00117"</f>
        <v>OP-ML00117</v>
      </c>
      <c r="K1579" t="str">
        <f>"PDU 1U 110VAC 1PH"</f>
        <v>PDU 1U 110VAC 1PH</v>
      </c>
      <c r="L1579">
        <v>1</v>
      </c>
      <c r="M1579" t="str">
        <f>"יח"</f>
        <v>יח</v>
      </c>
      <c r="N1579">
        <v>1</v>
      </c>
      <c r="O1579" t="str">
        <f>"יח"</f>
        <v>יח</v>
      </c>
      <c r="P1579" s="2">
        <v>3332</v>
      </c>
      <c r="Q1579" t="str">
        <f>"$"</f>
        <v>$</v>
      </c>
      <c r="R1579" t="str">
        <f>"הזמנה"</f>
        <v>הזמנה</v>
      </c>
      <c r="S1579">
        <v>0</v>
      </c>
      <c r="T1579" s="2">
        <v>3332</v>
      </c>
      <c r="U1579">
        <v>0</v>
      </c>
      <c r="V1579" s="2">
        <v>3332</v>
      </c>
      <c r="W1579" t="str">
        <f>"$"</f>
        <v>$</v>
      </c>
      <c r="X1579">
        <v>0</v>
      </c>
      <c r="Y1579">
        <v>0</v>
      </c>
      <c r="Z1579">
        <v>0</v>
      </c>
      <c r="AA1579" t="str">
        <f>"Y"</f>
        <v>Y</v>
      </c>
      <c r="AB1579" t="str">
        <f>"SO22000118"</f>
        <v>SO22000118</v>
      </c>
      <c r="AC1579">
        <v>2</v>
      </c>
      <c r="AD1579" s="1">
        <v>44644</v>
      </c>
      <c r="AE1579" t="str">
        <f>"SH22000664"</f>
        <v>SH22000664</v>
      </c>
      <c r="AF1579" t="str">
        <f>"משלוחים ללקוח"</f>
        <v>משלוחים ללקוח</v>
      </c>
      <c r="AG1579" s="1">
        <v>44721</v>
      </c>
      <c r="AM1579" t="str">
        <f>"10"</f>
        <v>10</v>
      </c>
      <c r="AN1579" t="str">
        <f>"500000"</f>
        <v>500000</v>
      </c>
      <c r="AO1579" t="str">
        <f>"הכנסות  מלקוחות"</f>
        <v>הכנסות  מלקוחות</v>
      </c>
      <c r="AQ1579" t="str">
        <f>"007"</f>
        <v>007</v>
      </c>
      <c r="AR1579">
        <v>0</v>
      </c>
      <c r="AS1579">
        <v>0</v>
      </c>
      <c r="AT1579">
        <v>3.4630000000000001</v>
      </c>
      <c r="AX1579" t="str">
        <f>"E000360845"</f>
        <v>E000360845</v>
      </c>
      <c r="BD1579" t="str">
        <f>"רוני דידי"</f>
        <v>רוני דידי</v>
      </c>
    </row>
    <row r="1580" spans="1:56" x14ac:dyDescent="0.3">
      <c r="A1580" s="1">
        <v>44728</v>
      </c>
      <c r="B1580" t="str">
        <f>"SI226000689"</f>
        <v>SI226000689</v>
      </c>
      <c r="C1580" t="str">
        <f>"PR21000796"</f>
        <v>PR21000796</v>
      </c>
      <c r="E1580" t="str">
        <f>"Y"</f>
        <v>Y</v>
      </c>
      <c r="F1580" t="str">
        <f>"חשבוניות מרכזות"</f>
        <v>חשבוניות מרכזות</v>
      </c>
      <c r="G1580" t="str">
        <f>"700065"</f>
        <v>700065</v>
      </c>
      <c r="H1580" t="str">
        <f>"אלתא מערכות בע""מ"</f>
        <v>אלתא מערכות בע"מ</v>
      </c>
      <c r="I1580" t="str">
        <f>"10"</f>
        <v>10</v>
      </c>
      <c r="J1580" t="str">
        <f>"PS9900081"</f>
        <v>PS9900081</v>
      </c>
      <c r="K1580" t="str">
        <f>"מטען מצברים 1039V517-001 ירוק"</f>
        <v>מטען מצברים 1039V517-001 ירוק</v>
      </c>
      <c r="L1580">
        <v>1</v>
      </c>
      <c r="M1580" t="str">
        <f>"יח"</f>
        <v>יח</v>
      </c>
      <c r="N1580">
        <v>1</v>
      </c>
      <c r="O1580" t="str">
        <f>"יח"</f>
        <v>יח</v>
      </c>
      <c r="P1580" s="2">
        <v>6000</v>
      </c>
      <c r="Q1580" t="str">
        <f>"$"</f>
        <v>$</v>
      </c>
      <c r="R1580" t="str">
        <f>"הזמנה"</f>
        <v>הזמנה</v>
      </c>
      <c r="S1580">
        <v>0</v>
      </c>
      <c r="T1580" s="2">
        <v>6000</v>
      </c>
      <c r="U1580">
        <v>0</v>
      </c>
      <c r="V1580" s="2">
        <v>6000</v>
      </c>
      <c r="W1580" t="str">
        <f>"$"</f>
        <v>$</v>
      </c>
      <c r="X1580">
        <v>0</v>
      </c>
      <c r="Y1580">
        <v>0</v>
      </c>
      <c r="Z1580">
        <v>0</v>
      </c>
      <c r="AA1580" t="str">
        <f>"Y"</f>
        <v>Y</v>
      </c>
      <c r="AB1580" t="str">
        <f>"SO21000451"</f>
        <v>SO21000451</v>
      </c>
      <c r="AC1580">
        <v>1</v>
      </c>
      <c r="AD1580" s="1">
        <v>44497</v>
      </c>
      <c r="AE1580" t="str">
        <f>"SH22000704"</f>
        <v>SH22000704</v>
      </c>
      <c r="AF1580" t="str">
        <f>"משלוחים ללקוח"</f>
        <v>משלוחים ללקוח</v>
      </c>
      <c r="AG1580" s="1">
        <v>44727</v>
      </c>
      <c r="AM1580" t="str">
        <f>"10"</f>
        <v>10</v>
      </c>
      <c r="AN1580" t="str">
        <f>"500000"</f>
        <v>500000</v>
      </c>
      <c r="AO1580" t="str">
        <f>"הכנסות  מלקוחות"</f>
        <v>הכנסות  מלקוחות</v>
      </c>
      <c r="AQ1580" t="str">
        <f>"034"</f>
        <v>034</v>
      </c>
      <c r="AR1580">
        <v>0</v>
      </c>
      <c r="AS1580">
        <v>0</v>
      </c>
      <c r="AT1580">
        <v>3.4630000000000001</v>
      </c>
      <c r="AX1580" t="str">
        <f>"E000349093"</f>
        <v>E000349093</v>
      </c>
      <c r="BD1580" t="str">
        <f>"ערן שלו"</f>
        <v>ערן שלו</v>
      </c>
    </row>
    <row r="1581" spans="1:56" x14ac:dyDescent="0.3">
      <c r="A1581" s="1">
        <v>44728</v>
      </c>
      <c r="B1581" t="str">
        <f>"SI226000689"</f>
        <v>SI226000689</v>
      </c>
      <c r="C1581" t="str">
        <f>"PR21000796"</f>
        <v>PR21000796</v>
      </c>
      <c r="E1581" t="str">
        <f>"Y"</f>
        <v>Y</v>
      </c>
      <c r="F1581" t="str">
        <f>"חשבוניות מרכזות"</f>
        <v>חשבוניות מרכזות</v>
      </c>
      <c r="G1581" t="str">
        <f>"700065"</f>
        <v>700065</v>
      </c>
      <c r="H1581" t="str">
        <f>"אלתא מערכות בע""מ"</f>
        <v>אלתא מערכות בע"מ</v>
      </c>
      <c r="I1581" t="str">
        <f>"10"</f>
        <v>10</v>
      </c>
      <c r="J1581" t="str">
        <f>"PS9900081"</f>
        <v>PS9900081</v>
      </c>
      <c r="K1581" t="str">
        <f>"מטען מצברים 1039V517-001 ירוק"</f>
        <v>מטען מצברים 1039V517-001 ירוק</v>
      </c>
      <c r="L1581">
        <v>1</v>
      </c>
      <c r="M1581" t="str">
        <f>"יח"</f>
        <v>יח</v>
      </c>
      <c r="N1581">
        <v>1</v>
      </c>
      <c r="O1581" t="str">
        <f>"יח"</f>
        <v>יח</v>
      </c>
      <c r="P1581" s="2">
        <v>6000</v>
      </c>
      <c r="Q1581" t="str">
        <f>"$"</f>
        <v>$</v>
      </c>
      <c r="R1581" t="str">
        <f>"הזמנה"</f>
        <v>הזמנה</v>
      </c>
      <c r="S1581">
        <v>0</v>
      </c>
      <c r="T1581" s="2">
        <v>6000</v>
      </c>
      <c r="U1581">
        <v>0</v>
      </c>
      <c r="V1581" s="2">
        <v>6000</v>
      </c>
      <c r="W1581" t="str">
        <f>"$"</f>
        <v>$</v>
      </c>
      <c r="X1581">
        <v>0</v>
      </c>
      <c r="Y1581">
        <v>0</v>
      </c>
      <c r="Z1581">
        <v>0</v>
      </c>
      <c r="AA1581" t="str">
        <f>"Y"</f>
        <v>Y</v>
      </c>
      <c r="AB1581" t="str">
        <f>"SO21000451"</f>
        <v>SO21000451</v>
      </c>
      <c r="AC1581">
        <v>3</v>
      </c>
      <c r="AD1581" s="1">
        <v>44497</v>
      </c>
      <c r="AE1581" t="str">
        <f>"SH22000704"</f>
        <v>SH22000704</v>
      </c>
      <c r="AF1581" t="str">
        <f>"משלוחים ללקוח"</f>
        <v>משלוחים ללקוח</v>
      </c>
      <c r="AG1581" s="1">
        <v>44727</v>
      </c>
      <c r="AM1581" t="str">
        <f>"10"</f>
        <v>10</v>
      </c>
      <c r="AN1581" t="str">
        <f>"500000"</f>
        <v>500000</v>
      </c>
      <c r="AO1581" t="str">
        <f>"הכנסות  מלקוחות"</f>
        <v>הכנסות  מלקוחות</v>
      </c>
      <c r="AQ1581" t="str">
        <f>"034"</f>
        <v>034</v>
      </c>
      <c r="AR1581">
        <v>0</v>
      </c>
      <c r="AS1581">
        <v>0</v>
      </c>
      <c r="AT1581">
        <v>3.4630000000000001</v>
      </c>
      <c r="AX1581" t="str">
        <f>"E000349093"</f>
        <v>E000349093</v>
      </c>
      <c r="BD1581" t="str">
        <f>"ערן שלו"</f>
        <v>ערן שלו</v>
      </c>
    </row>
    <row r="1582" spans="1:56" x14ac:dyDescent="0.3">
      <c r="A1582" s="1">
        <v>44728</v>
      </c>
      <c r="B1582" t="str">
        <f>"SI226000688"</f>
        <v>SI226000688</v>
      </c>
      <c r="C1582" t="str">
        <f>"PR22000231"</f>
        <v>PR22000231</v>
      </c>
      <c r="E1582" t="str">
        <f>"Y"</f>
        <v>Y</v>
      </c>
      <c r="F1582" t="str">
        <f>"חשבוניות מרכזות"</f>
        <v>חשבוניות מרכזות</v>
      </c>
      <c r="G1582" t="str">
        <f>"700065"</f>
        <v>700065</v>
      </c>
      <c r="H1582" t="str">
        <f>"אלתא מערכות בע""מ"</f>
        <v>אלתא מערכות בע"מ</v>
      </c>
      <c r="I1582" t="str">
        <f>"10"</f>
        <v>10</v>
      </c>
      <c r="J1582" t="str">
        <f>"OP-AR03018"</f>
        <v>OP-AR03018</v>
      </c>
      <c r="K1582" t="str">
        <f>"2218B750-001   W101 CABLE ASSY"</f>
        <v>2218B750-001   W101 CABLE ASSY</v>
      </c>
      <c r="L1582">
        <v>1</v>
      </c>
      <c r="M1582" t="str">
        <f>"יח"</f>
        <v>יח</v>
      </c>
      <c r="N1582">
        <v>1</v>
      </c>
      <c r="O1582" t="str">
        <f>"יח"</f>
        <v>יח</v>
      </c>
      <c r="P1582">
        <v>248.46</v>
      </c>
      <c r="Q1582" t="str">
        <f>"$"</f>
        <v>$</v>
      </c>
      <c r="R1582" t="str">
        <f>"הזמנה"</f>
        <v>הזמנה</v>
      </c>
      <c r="S1582">
        <v>0</v>
      </c>
      <c r="T1582">
        <v>248.46</v>
      </c>
      <c r="U1582">
        <v>0</v>
      </c>
      <c r="V1582">
        <v>248.46</v>
      </c>
      <c r="W1582" t="str">
        <f>"$"</f>
        <v>$</v>
      </c>
      <c r="X1582">
        <v>0</v>
      </c>
      <c r="Y1582">
        <v>0</v>
      </c>
      <c r="Z1582">
        <v>0</v>
      </c>
      <c r="AA1582" t="str">
        <f>"Y"</f>
        <v>Y</v>
      </c>
      <c r="AB1582" t="str">
        <f>"SO22000105"</f>
        <v>SO22000105</v>
      </c>
      <c r="AC1582">
        <v>15</v>
      </c>
      <c r="AD1582" s="1">
        <v>44635</v>
      </c>
      <c r="AE1582" t="str">
        <f>"SH22000701"</f>
        <v>SH22000701</v>
      </c>
      <c r="AF1582" t="str">
        <f>"משלוחים ללקוח"</f>
        <v>משלוחים ללקוח</v>
      </c>
      <c r="AG1582" s="1">
        <v>44727</v>
      </c>
      <c r="AM1582" t="str">
        <f>"10"</f>
        <v>10</v>
      </c>
      <c r="AN1582" t="str">
        <f>"500000"</f>
        <v>500000</v>
      </c>
      <c r="AO1582" t="str">
        <f>"הכנסות  מלקוחות"</f>
        <v>הכנסות  מלקוחות</v>
      </c>
      <c r="AQ1582" t="str">
        <f>"040"</f>
        <v>040</v>
      </c>
      <c r="AR1582">
        <v>0</v>
      </c>
      <c r="AS1582">
        <v>0</v>
      </c>
      <c r="AT1582">
        <v>3.4630000000000001</v>
      </c>
      <c r="AX1582" t="str">
        <f>"E000359029"</f>
        <v>E000359029</v>
      </c>
      <c r="BD1582" t="str">
        <f>"רחמים זרוק"</f>
        <v>רחמים זרוק</v>
      </c>
    </row>
    <row r="1583" spans="1:56" x14ac:dyDescent="0.3">
      <c r="A1583" s="1">
        <v>44728</v>
      </c>
      <c r="B1583" t="str">
        <f>"SI226000687"</f>
        <v>SI226000687</v>
      </c>
      <c r="C1583" t="str">
        <f>"PR22000210"</f>
        <v>PR22000210</v>
      </c>
      <c r="E1583" t="str">
        <f>"Y"</f>
        <v>Y</v>
      </c>
      <c r="F1583" t="str">
        <f>"חשבוניות מרכזות"</f>
        <v>חשבוניות מרכזות</v>
      </c>
      <c r="G1583" t="str">
        <f>"700065"</f>
        <v>700065</v>
      </c>
      <c r="H1583" t="str">
        <f>"אלתא מערכות בע""מ"</f>
        <v>אלתא מערכות בע"מ</v>
      </c>
      <c r="I1583" t="str">
        <f>"10"</f>
        <v>10</v>
      </c>
      <c r="J1583" t="str">
        <f>"OP-AR03014"</f>
        <v>OP-AR03014</v>
      </c>
      <c r="K1583" t="str">
        <f>"כבל WR204 באורך 70 מטר 1040U439-001"</f>
        <v>כבל WR204 באורך 70 מטר 1040U439-001</v>
      </c>
      <c r="L1583">
        <v>1</v>
      </c>
      <c r="M1583" t="str">
        <f>"יח"</f>
        <v>יח</v>
      </c>
      <c r="N1583">
        <v>1</v>
      </c>
      <c r="O1583" t="str">
        <f>"יח"</f>
        <v>יח</v>
      </c>
      <c r="P1583" s="2">
        <v>2680</v>
      </c>
      <c r="Q1583" t="str">
        <f>"$"</f>
        <v>$</v>
      </c>
      <c r="R1583" t="str">
        <f>"הזמנה"</f>
        <v>הזמנה</v>
      </c>
      <c r="S1583">
        <v>0</v>
      </c>
      <c r="T1583" s="2">
        <v>2680</v>
      </c>
      <c r="U1583">
        <v>0</v>
      </c>
      <c r="V1583" s="2">
        <v>2680</v>
      </c>
      <c r="W1583" t="str">
        <f>"$"</f>
        <v>$</v>
      </c>
      <c r="X1583">
        <v>0</v>
      </c>
      <c r="Y1583">
        <v>0</v>
      </c>
      <c r="Z1583">
        <v>0</v>
      </c>
      <c r="AA1583" t="str">
        <f>"Y"</f>
        <v>Y</v>
      </c>
      <c r="AB1583" t="str">
        <f>"SO22000131"</f>
        <v>SO22000131</v>
      </c>
      <c r="AC1583">
        <v>3</v>
      </c>
      <c r="AD1583" s="1">
        <v>44662</v>
      </c>
      <c r="AE1583" t="str">
        <f>"SH22000707"</f>
        <v>SH22000707</v>
      </c>
      <c r="AF1583" t="str">
        <f>"משלוחים ללקוח"</f>
        <v>משלוחים ללקוח</v>
      </c>
      <c r="AG1583" s="1">
        <v>44727</v>
      </c>
      <c r="AM1583" t="str">
        <f>"10"</f>
        <v>10</v>
      </c>
      <c r="AN1583" t="str">
        <f>"500000"</f>
        <v>500000</v>
      </c>
      <c r="AO1583" t="str">
        <f>"הכנסות  מלקוחות"</f>
        <v>הכנסות  מלקוחות</v>
      </c>
      <c r="AQ1583" t="str">
        <f>"007"</f>
        <v>007</v>
      </c>
      <c r="AR1583">
        <v>0</v>
      </c>
      <c r="AS1583">
        <v>0</v>
      </c>
      <c r="AT1583">
        <v>3.4630000000000001</v>
      </c>
      <c r="AX1583" t="str">
        <f>"E000362567"</f>
        <v>E000362567</v>
      </c>
      <c r="BD1583" t="str">
        <f>"רוני דידי"</f>
        <v>רוני דידי</v>
      </c>
    </row>
    <row r="1584" spans="1:56" x14ac:dyDescent="0.3">
      <c r="A1584" s="1">
        <v>44728</v>
      </c>
      <c r="B1584" t="str">
        <f>"SI226000687"</f>
        <v>SI226000687</v>
      </c>
      <c r="C1584" t="str">
        <f>"PR22000210"</f>
        <v>PR22000210</v>
      </c>
      <c r="E1584" t="str">
        <f>"Y"</f>
        <v>Y</v>
      </c>
      <c r="F1584" t="str">
        <f>"חשבוניות מרכזות"</f>
        <v>חשבוניות מרכזות</v>
      </c>
      <c r="G1584" t="str">
        <f>"700065"</f>
        <v>700065</v>
      </c>
      <c r="H1584" t="str">
        <f>"אלתא מערכות בע""מ"</f>
        <v>אלתא מערכות בע"מ</v>
      </c>
      <c r="I1584" t="str">
        <f>"10"</f>
        <v>10</v>
      </c>
      <c r="J1584" t="str">
        <f>"OP-AR03033"</f>
        <v>OP-AR03033</v>
      </c>
      <c r="K1584" t="str">
        <f>"1040U434-001 CABLE ASSY WG302  - LRIR"</f>
        <v>1040U434-001 CABLE ASSY WG302  - LRIR</v>
      </c>
      <c r="L1584">
        <v>1</v>
      </c>
      <c r="M1584" t="str">
        <f>"יח"</f>
        <v>יח</v>
      </c>
      <c r="N1584">
        <v>1</v>
      </c>
      <c r="O1584" t="str">
        <f>"יח"</f>
        <v>יח</v>
      </c>
      <c r="P1584">
        <v>150</v>
      </c>
      <c r="Q1584" t="str">
        <f>"$"</f>
        <v>$</v>
      </c>
      <c r="R1584" t="str">
        <f>"הזמנה"</f>
        <v>הזמנה</v>
      </c>
      <c r="S1584">
        <v>0</v>
      </c>
      <c r="T1584">
        <v>150</v>
      </c>
      <c r="U1584">
        <v>0</v>
      </c>
      <c r="V1584">
        <v>150</v>
      </c>
      <c r="W1584" t="str">
        <f>"$"</f>
        <v>$</v>
      </c>
      <c r="X1584">
        <v>0</v>
      </c>
      <c r="Y1584">
        <v>0</v>
      </c>
      <c r="Z1584">
        <v>0</v>
      </c>
      <c r="AA1584" t="str">
        <f>"Y"</f>
        <v>Y</v>
      </c>
      <c r="AB1584" t="str">
        <f>"SO22000131"</f>
        <v>SO22000131</v>
      </c>
      <c r="AC1584">
        <v>8</v>
      </c>
      <c r="AD1584" s="1">
        <v>44662</v>
      </c>
      <c r="AE1584" t="str">
        <f>"SH22000707"</f>
        <v>SH22000707</v>
      </c>
      <c r="AF1584" t="str">
        <f>"משלוחים ללקוח"</f>
        <v>משלוחים ללקוח</v>
      </c>
      <c r="AG1584" s="1">
        <v>44727</v>
      </c>
      <c r="AM1584" t="str">
        <f>"10"</f>
        <v>10</v>
      </c>
      <c r="AN1584" t="str">
        <f>"500000"</f>
        <v>500000</v>
      </c>
      <c r="AO1584" t="str">
        <f>"הכנסות  מלקוחות"</f>
        <v>הכנסות  מלקוחות</v>
      </c>
      <c r="AQ1584" t="str">
        <f>"007"</f>
        <v>007</v>
      </c>
      <c r="AR1584">
        <v>0</v>
      </c>
      <c r="AS1584">
        <v>0</v>
      </c>
      <c r="AT1584">
        <v>3.4630000000000001</v>
      </c>
      <c r="AX1584" t="str">
        <f>"E000362567"</f>
        <v>E000362567</v>
      </c>
      <c r="BD1584" t="str">
        <f>"רוני דידי"</f>
        <v>רוני דידי</v>
      </c>
    </row>
    <row r="1585" spans="1:56" x14ac:dyDescent="0.3">
      <c r="A1585" s="1">
        <v>44727</v>
      </c>
      <c r="B1585" t="str">
        <f>"SI226000685"</f>
        <v>SI226000685</v>
      </c>
      <c r="E1585" t="str">
        <f>"Y"</f>
        <v>Y</v>
      </c>
      <c r="F1585" t="str">
        <f>"חשבוניות מרכזות"</f>
        <v>חשבוניות מרכזות</v>
      </c>
      <c r="G1585" t="str">
        <f>"700065"</f>
        <v>700065</v>
      </c>
      <c r="H1585" t="str">
        <f>"אלתא מערכות בע""מ"</f>
        <v>אלתא מערכות בע"מ</v>
      </c>
      <c r="I1585" t="str">
        <f>"10"</f>
        <v>10</v>
      </c>
      <c r="J1585" t="str">
        <f>"000"</f>
        <v>000</v>
      </c>
      <c r="K1585" t="str">
        <f>"תוספות2לRPU עבור הזמנה E000312785"</f>
        <v>תוספות2לRPU עבור הזמנה E000312785</v>
      </c>
      <c r="L1585">
        <v>-1</v>
      </c>
      <c r="M1585" t="str">
        <f>"יח"</f>
        <v>יח</v>
      </c>
      <c r="N1585">
        <v>-1</v>
      </c>
      <c r="O1585" t="str">
        <f>"יח"</f>
        <v>יח</v>
      </c>
      <c r="P1585" s="2">
        <v>2530</v>
      </c>
      <c r="Q1585" t="str">
        <f>"$"</f>
        <v>$</v>
      </c>
      <c r="R1585" t="str">
        <f>"הזמנה"</f>
        <v>הזמנה</v>
      </c>
      <c r="S1585">
        <v>0</v>
      </c>
      <c r="T1585" s="2">
        <v>-2530</v>
      </c>
      <c r="U1585">
        <v>0</v>
      </c>
      <c r="V1585" s="2">
        <v>-2530</v>
      </c>
      <c r="W1585" t="str">
        <f>"$"</f>
        <v>$</v>
      </c>
      <c r="X1585">
        <v>0</v>
      </c>
      <c r="Y1585">
        <v>0</v>
      </c>
      <c r="Z1585">
        <v>0</v>
      </c>
      <c r="AA1585" t="str">
        <f>"Y"</f>
        <v>Y</v>
      </c>
      <c r="AC1585">
        <v>0</v>
      </c>
      <c r="AM1585" t="str">
        <f>"10"</f>
        <v>10</v>
      </c>
      <c r="AN1585" t="str">
        <f>"500000"</f>
        <v>500000</v>
      </c>
      <c r="AO1585" t="str">
        <f>"הכנסות  מלקוחות"</f>
        <v>הכנסות  מלקוחות</v>
      </c>
      <c r="AQ1585" t="str">
        <f>"034"</f>
        <v>034</v>
      </c>
      <c r="AR1585">
        <v>0</v>
      </c>
      <c r="AS1585">
        <v>0</v>
      </c>
      <c r="AT1585">
        <v>3.4460000000000002</v>
      </c>
      <c r="BB1585" t="str">
        <f>"Y"</f>
        <v>Y</v>
      </c>
      <c r="BD1585" t="str">
        <f>"ערן שלו"</f>
        <v>ערן שלו</v>
      </c>
    </row>
    <row r="1586" spans="1:56" x14ac:dyDescent="0.3">
      <c r="A1586" s="1">
        <v>44727</v>
      </c>
      <c r="B1586" t="str">
        <f>"SI226000684"</f>
        <v>SI226000684</v>
      </c>
      <c r="E1586" t="str">
        <f>"Y"</f>
        <v>Y</v>
      </c>
      <c r="F1586" t="str">
        <f>"חשבוניות מרכזות"</f>
        <v>חשבוניות מרכזות</v>
      </c>
      <c r="G1586" t="str">
        <f>"700065"</f>
        <v>700065</v>
      </c>
      <c r="H1586" t="str">
        <f>"אלתא מערכות בע""מ"</f>
        <v>אלתא מערכות בע"מ</v>
      </c>
      <c r="I1586" t="str">
        <f>"10"</f>
        <v>10</v>
      </c>
      <c r="J1586" t="str">
        <f>"000"</f>
        <v>000</v>
      </c>
      <c r="K1586" t="str">
        <f>"תוספת עלות לייצור לאחר שינויים ב-RPS3"</f>
        <v>תוספת עלות לייצור לאחר שינויים ב-RPS3</v>
      </c>
      <c r="L1586">
        <v>1</v>
      </c>
      <c r="M1586" t="str">
        <f>"יח"</f>
        <v>יח</v>
      </c>
      <c r="N1586">
        <v>1</v>
      </c>
      <c r="O1586" t="str">
        <f>"יח"</f>
        <v>יח</v>
      </c>
      <c r="P1586" s="2">
        <v>25000</v>
      </c>
      <c r="Q1586" t="str">
        <f>"$"</f>
        <v>$</v>
      </c>
      <c r="R1586" t="str">
        <f>"הזמנה"</f>
        <v>הזמנה</v>
      </c>
      <c r="S1586">
        <v>0</v>
      </c>
      <c r="T1586" s="2">
        <v>25000</v>
      </c>
      <c r="U1586">
        <v>0</v>
      </c>
      <c r="V1586" s="2">
        <v>25000</v>
      </c>
      <c r="W1586" t="str">
        <f>"$"</f>
        <v>$</v>
      </c>
      <c r="X1586">
        <v>0</v>
      </c>
      <c r="Y1586">
        <v>0</v>
      </c>
      <c r="Z1586">
        <v>0</v>
      </c>
      <c r="AA1586" t="str">
        <f>"Y"</f>
        <v>Y</v>
      </c>
      <c r="AB1586" t="str">
        <f>"SO22000061"</f>
        <v>SO22000061</v>
      </c>
      <c r="AC1586">
        <v>3</v>
      </c>
      <c r="AD1586" s="1">
        <v>44612</v>
      </c>
      <c r="AM1586" t="str">
        <f>"10"</f>
        <v>10</v>
      </c>
      <c r="AN1586" t="str">
        <f>"500000"</f>
        <v>500000</v>
      </c>
      <c r="AO1586" t="str">
        <f>"הכנסות  מלקוחות"</f>
        <v>הכנסות  מלקוחות</v>
      </c>
      <c r="AQ1586" t="str">
        <f>"034"</f>
        <v>034</v>
      </c>
      <c r="AR1586">
        <v>0</v>
      </c>
      <c r="AS1586">
        <v>0</v>
      </c>
      <c r="AT1586">
        <v>3.4460000000000002</v>
      </c>
      <c r="AX1586" t="str">
        <f>"E000356936"</f>
        <v>E000356936</v>
      </c>
      <c r="BD1586" t="str">
        <f>"ערן שלו"</f>
        <v>ערן שלו</v>
      </c>
    </row>
    <row r="1587" spans="1:56" x14ac:dyDescent="0.3">
      <c r="A1587" s="1">
        <v>44727</v>
      </c>
      <c r="B1587" t="str">
        <f>"SI226000683"</f>
        <v>SI226000683</v>
      </c>
      <c r="E1587" t="str">
        <f>"Y"</f>
        <v>Y</v>
      </c>
      <c r="F1587" t="str">
        <f>"חשבוניות מרכזות"</f>
        <v>חשבוניות מרכזות</v>
      </c>
      <c r="G1587" t="str">
        <f>"700065"</f>
        <v>700065</v>
      </c>
      <c r="H1587" t="str">
        <f>"אלתא מערכות בע""מ"</f>
        <v>אלתא מערכות בע"מ</v>
      </c>
      <c r="I1587" t="str">
        <f>"10"</f>
        <v>10</v>
      </c>
      <c r="J1587" t="str">
        <f>"000"</f>
        <v>000</v>
      </c>
      <c r="K1587" t="str">
        <f>"תוספות2לRPU עבור הזמנה E000312785"</f>
        <v>תוספות2לRPU עבור הזמנה E000312785</v>
      </c>
      <c r="L1587">
        <v>1</v>
      </c>
      <c r="M1587" t="str">
        <f>"יח"</f>
        <v>יח</v>
      </c>
      <c r="N1587">
        <v>1</v>
      </c>
      <c r="O1587" t="str">
        <f>"יח"</f>
        <v>יח</v>
      </c>
      <c r="P1587" s="2">
        <v>2530</v>
      </c>
      <c r="Q1587" t="str">
        <f>"$"</f>
        <v>$</v>
      </c>
      <c r="R1587" t="str">
        <f>"הזמנה"</f>
        <v>הזמנה</v>
      </c>
      <c r="S1587">
        <v>0</v>
      </c>
      <c r="T1587" s="2">
        <v>2530</v>
      </c>
      <c r="U1587">
        <v>0</v>
      </c>
      <c r="V1587" s="2">
        <v>2530</v>
      </c>
      <c r="W1587" t="str">
        <f>"$"</f>
        <v>$</v>
      </c>
      <c r="X1587">
        <v>0</v>
      </c>
      <c r="Y1587">
        <v>0</v>
      </c>
      <c r="Z1587">
        <v>0</v>
      </c>
      <c r="AA1587" t="str">
        <f>"Y"</f>
        <v>Y</v>
      </c>
      <c r="AC1587">
        <v>0</v>
      </c>
      <c r="AM1587" t="str">
        <f>"10"</f>
        <v>10</v>
      </c>
      <c r="AN1587" t="str">
        <f>"500000"</f>
        <v>500000</v>
      </c>
      <c r="AO1587" t="str">
        <f>"הכנסות  מלקוחות"</f>
        <v>הכנסות  מלקוחות</v>
      </c>
      <c r="AQ1587" t="str">
        <f>"034"</f>
        <v>034</v>
      </c>
      <c r="AR1587">
        <v>0</v>
      </c>
      <c r="AS1587">
        <v>0</v>
      </c>
      <c r="AT1587">
        <v>3.4460000000000002</v>
      </c>
      <c r="BB1587" t="str">
        <f>"Y"</f>
        <v>Y</v>
      </c>
      <c r="BD1587" t="str">
        <f>"ערן שלו"</f>
        <v>ערן שלו</v>
      </c>
    </row>
    <row r="1588" spans="1:56" x14ac:dyDescent="0.3">
      <c r="A1588" s="1">
        <v>44727</v>
      </c>
      <c r="B1588" t="str">
        <f>"SI226000682"</f>
        <v>SI226000682</v>
      </c>
      <c r="E1588" t="str">
        <f>"Y"</f>
        <v>Y</v>
      </c>
      <c r="F1588" t="str">
        <f>"חשבוניות מרכזות"</f>
        <v>חשבוניות מרכזות</v>
      </c>
      <c r="G1588" t="str">
        <f>"700065"</f>
        <v>700065</v>
      </c>
      <c r="H1588" t="str">
        <f>"אלתא מערכות בע""מ"</f>
        <v>אלתא מערכות בע"מ</v>
      </c>
      <c r="I1588" t="str">
        <f>"10"</f>
        <v>10</v>
      </c>
      <c r="J1588" t="str">
        <f>"000"</f>
        <v>000</v>
      </c>
      <c r="K1588" t="str">
        <f>"NRE FOR 1038C906-001"</f>
        <v>NRE FOR 1038C906-001</v>
      </c>
      <c r="L1588">
        <v>1</v>
      </c>
      <c r="M1588" t="str">
        <f>"יח"</f>
        <v>יח</v>
      </c>
      <c r="N1588">
        <v>1</v>
      </c>
      <c r="O1588" t="str">
        <f>"יח"</f>
        <v>יח</v>
      </c>
      <c r="P1588" s="2">
        <v>16252.5</v>
      </c>
      <c r="Q1588" t="str">
        <f>"$"</f>
        <v>$</v>
      </c>
      <c r="R1588" t="str">
        <f>"הזמנה"</f>
        <v>הזמנה</v>
      </c>
      <c r="S1588">
        <v>0</v>
      </c>
      <c r="T1588" s="2">
        <v>16252.5</v>
      </c>
      <c r="U1588">
        <v>0</v>
      </c>
      <c r="V1588" s="2">
        <v>16252.5</v>
      </c>
      <c r="W1588" t="str">
        <f>"$"</f>
        <v>$</v>
      </c>
      <c r="X1588">
        <v>0</v>
      </c>
      <c r="Y1588">
        <v>0</v>
      </c>
      <c r="Z1588">
        <v>0</v>
      </c>
      <c r="AA1588" t="str">
        <f>"Y"</f>
        <v>Y</v>
      </c>
      <c r="AB1588" t="str">
        <f>"SO20000218"</f>
        <v>SO20000218</v>
      </c>
      <c r="AC1588">
        <v>21</v>
      </c>
      <c r="AD1588" s="1">
        <v>43982</v>
      </c>
      <c r="AM1588" t="str">
        <f>"10"</f>
        <v>10</v>
      </c>
      <c r="AN1588" t="str">
        <f>"500000"</f>
        <v>500000</v>
      </c>
      <c r="AO1588" t="str">
        <f>"הכנסות  מלקוחות"</f>
        <v>הכנסות  מלקוחות</v>
      </c>
      <c r="AQ1588" t="str">
        <f>"034"</f>
        <v>034</v>
      </c>
      <c r="AR1588">
        <v>0</v>
      </c>
      <c r="AS1588">
        <v>0</v>
      </c>
      <c r="AT1588">
        <v>3.4460000000000002</v>
      </c>
      <c r="AX1588" t="str">
        <f>"E000312785"</f>
        <v>E000312785</v>
      </c>
      <c r="BD1588" t="str">
        <f>"ערן שלו"</f>
        <v>ערן שלו</v>
      </c>
    </row>
    <row r="1589" spans="1:56" x14ac:dyDescent="0.3">
      <c r="A1589" s="1">
        <v>44721</v>
      </c>
      <c r="B1589" t="str">
        <f>"SI226000679"</f>
        <v>SI226000679</v>
      </c>
      <c r="C1589" t="str">
        <f>"PR21000890"</f>
        <v>PR21000890</v>
      </c>
      <c r="D1589" t="str">
        <f>"PR21000890"</f>
        <v>PR21000890</v>
      </c>
      <c r="E1589" t="str">
        <f>"Y"</f>
        <v>Y</v>
      </c>
      <c r="F1589" t="str">
        <f>"חשבוניות מרכזות"</f>
        <v>חשבוניות מרכזות</v>
      </c>
      <c r="G1589" t="str">
        <f>"700065"</f>
        <v>700065</v>
      </c>
      <c r="H1589" t="str">
        <f>"אלתא מערכות בע""מ"</f>
        <v>אלתא מערכות בע"מ</v>
      </c>
      <c r="I1589" t="str">
        <f>"10"</f>
        <v>10</v>
      </c>
      <c r="J1589" t="str">
        <f>"OP-AR02889"</f>
        <v>OP-AR02889</v>
      </c>
      <c r="K1589" t="str">
        <f>"1023F915-001   WEXT15 PWR LRC SHELTER TO IFF SYS"</f>
        <v>1023F915-001   WEXT15 PWR LRC SHELTER TO IFF SYS</v>
      </c>
      <c r="L1589">
        <v>1</v>
      </c>
      <c r="M1589" t="str">
        <f>"יח"</f>
        <v>יח</v>
      </c>
      <c r="N1589">
        <v>1</v>
      </c>
      <c r="O1589" t="str">
        <f>"יח"</f>
        <v>יח</v>
      </c>
      <c r="P1589" s="2">
        <v>5961.94</v>
      </c>
      <c r="Q1589" t="str">
        <f>"$"</f>
        <v>$</v>
      </c>
      <c r="R1589" t="str">
        <f>"הזמנה"</f>
        <v>הזמנה</v>
      </c>
      <c r="S1589">
        <v>0</v>
      </c>
      <c r="T1589" s="2">
        <v>5961.94</v>
      </c>
      <c r="U1589">
        <v>0</v>
      </c>
      <c r="V1589" s="2">
        <v>5961.94</v>
      </c>
      <c r="W1589" t="str">
        <f>"$"</f>
        <v>$</v>
      </c>
      <c r="X1589">
        <v>0</v>
      </c>
      <c r="Y1589">
        <v>0</v>
      </c>
      <c r="Z1589">
        <v>0</v>
      </c>
      <c r="AA1589" t="str">
        <f>"Y"</f>
        <v>Y</v>
      </c>
      <c r="AB1589" t="str">
        <f>"SO22000004"</f>
        <v>SO22000004</v>
      </c>
      <c r="AC1589">
        <v>15</v>
      </c>
      <c r="AD1589" s="1">
        <v>44564</v>
      </c>
      <c r="AE1589" t="str">
        <f>"SH22000649"</f>
        <v>SH22000649</v>
      </c>
      <c r="AF1589" t="str">
        <f>"משלוחים ללקוח"</f>
        <v>משלוחים ללקוח</v>
      </c>
      <c r="AG1589" s="1">
        <v>44720</v>
      </c>
      <c r="AM1589" t="str">
        <f>"10"</f>
        <v>10</v>
      </c>
      <c r="AN1589" t="str">
        <f>"500000"</f>
        <v>500000</v>
      </c>
      <c r="AO1589" t="str">
        <f>"הכנסות  מלקוחות"</f>
        <v>הכנסות  מלקוחות</v>
      </c>
      <c r="AQ1589" t="str">
        <f>"040"</f>
        <v>040</v>
      </c>
      <c r="AR1589">
        <v>0</v>
      </c>
      <c r="AS1589">
        <v>0</v>
      </c>
      <c r="AT1589">
        <v>3.3380000000000001</v>
      </c>
      <c r="AX1589" t="str">
        <f>"E000350605"</f>
        <v>E000350605</v>
      </c>
      <c r="BD1589" t="str">
        <f>"רחמים זרוק"</f>
        <v>רחמים זרוק</v>
      </c>
    </row>
    <row r="1590" spans="1:56" x14ac:dyDescent="0.3">
      <c r="A1590" s="1">
        <v>44721</v>
      </c>
      <c r="B1590" t="str">
        <f>"SI226000675"</f>
        <v>SI226000675</v>
      </c>
      <c r="C1590" t="str">
        <f>"PR21000839"</f>
        <v>PR21000839</v>
      </c>
      <c r="E1590" t="str">
        <f>"Y"</f>
        <v>Y</v>
      </c>
      <c r="F1590" t="str">
        <f>"חשבוניות מרכזות"</f>
        <v>חשבוניות מרכזות</v>
      </c>
      <c r="G1590" t="str">
        <f>"700065"</f>
        <v>700065</v>
      </c>
      <c r="H1590" t="str">
        <f>"אלתא מערכות בע""מ"</f>
        <v>אלתא מערכות בע"מ</v>
      </c>
      <c r="I1590" t="str">
        <f>"10"</f>
        <v>10</v>
      </c>
      <c r="J1590" t="str">
        <f>"OP-ML00117"</f>
        <v>OP-ML00117</v>
      </c>
      <c r="K1590" t="str">
        <f>"PDU 1U 110VAC 1PH"</f>
        <v>PDU 1U 110VAC 1PH</v>
      </c>
      <c r="L1590">
        <v>1</v>
      </c>
      <c r="M1590" t="str">
        <f>"יח"</f>
        <v>יח</v>
      </c>
      <c r="N1590">
        <v>1</v>
      </c>
      <c r="O1590" t="str">
        <f>"יח"</f>
        <v>יח</v>
      </c>
      <c r="P1590" s="2">
        <v>3332</v>
      </c>
      <c r="Q1590" t="str">
        <f>"$"</f>
        <v>$</v>
      </c>
      <c r="R1590" t="str">
        <f>"הזמנה"</f>
        <v>הזמנה</v>
      </c>
      <c r="S1590">
        <v>0</v>
      </c>
      <c r="T1590" s="2">
        <v>3332</v>
      </c>
      <c r="U1590">
        <v>0</v>
      </c>
      <c r="V1590" s="2">
        <v>3332</v>
      </c>
      <c r="W1590" t="str">
        <f>"$"</f>
        <v>$</v>
      </c>
      <c r="X1590">
        <v>0</v>
      </c>
      <c r="Y1590">
        <v>0</v>
      </c>
      <c r="Z1590">
        <v>0</v>
      </c>
      <c r="AA1590" t="str">
        <f>"Y"</f>
        <v>Y</v>
      </c>
      <c r="AB1590" t="str">
        <f>"SO22000118"</f>
        <v>SO22000118</v>
      </c>
      <c r="AC1590">
        <v>1</v>
      </c>
      <c r="AD1590" s="1">
        <v>44644</v>
      </c>
      <c r="AE1590" t="str">
        <f>"SH22000646"</f>
        <v>SH22000646</v>
      </c>
      <c r="AF1590" t="str">
        <f>"משלוחים ללקוח"</f>
        <v>משלוחים ללקוח</v>
      </c>
      <c r="AG1590" s="1">
        <v>44719</v>
      </c>
      <c r="AM1590" t="str">
        <f>"10"</f>
        <v>10</v>
      </c>
      <c r="AN1590" t="str">
        <f>"500000"</f>
        <v>500000</v>
      </c>
      <c r="AO1590" t="str">
        <f>"הכנסות  מלקוחות"</f>
        <v>הכנסות  מלקוחות</v>
      </c>
      <c r="AQ1590" t="str">
        <f>"007"</f>
        <v>007</v>
      </c>
      <c r="AR1590">
        <v>0</v>
      </c>
      <c r="AS1590">
        <v>0</v>
      </c>
      <c r="AT1590">
        <v>3.3380000000000001</v>
      </c>
      <c r="AX1590" t="str">
        <f>"E000360845"</f>
        <v>E000360845</v>
      </c>
      <c r="BD1590" t="str">
        <f>"רוני דידי"</f>
        <v>רוני דידי</v>
      </c>
    </row>
    <row r="1591" spans="1:56" x14ac:dyDescent="0.3">
      <c r="A1591" s="1">
        <v>44721</v>
      </c>
      <c r="B1591" t="str">
        <f>"SI226000674"</f>
        <v>SI226000674</v>
      </c>
      <c r="C1591" t="str">
        <f>"PR22000245"</f>
        <v>PR22000245</v>
      </c>
      <c r="E1591" t="str">
        <f>"Y"</f>
        <v>Y</v>
      </c>
      <c r="F1591" t="str">
        <f>"חשבוניות מרכזות"</f>
        <v>חשבוניות מרכזות</v>
      </c>
      <c r="G1591" t="str">
        <f>"700065"</f>
        <v>700065</v>
      </c>
      <c r="H1591" t="str">
        <f>"אלתא מערכות בע""מ"</f>
        <v>אלתא מערכות בע"מ</v>
      </c>
      <c r="I1591" t="str">
        <f>"10"</f>
        <v>10</v>
      </c>
      <c r="J1591" t="str">
        <f>"PD0300364"</f>
        <v>PD0300364</v>
      </c>
      <c r="K1591" t="str">
        <f>"כרטיס דיגיטלי יציאה לבקר סימנס 6ES7132-6BF01-0BA0"</f>
        <v>כרטיס דיגיטלי יציאה לבקר סימנס 6ES7132-6BF01-0BA0</v>
      </c>
      <c r="L1591">
        <v>1</v>
      </c>
      <c r="M1591" t="str">
        <f>"יח"</f>
        <v>יח</v>
      </c>
      <c r="N1591">
        <v>1</v>
      </c>
      <c r="O1591" t="str">
        <f>"יח"</f>
        <v>יח</v>
      </c>
      <c r="P1591">
        <v>130</v>
      </c>
      <c r="Q1591" t="str">
        <f>"$"</f>
        <v>$</v>
      </c>
      <c r="R1591" t="str">
        <f>"הזמנה"</f>
        <v>הזמנה</v>
      </c>
      <c r="S1591">
        <v>0</v>
      </c>
      <c r="T1591">
        <v>130</v>
      </c>
      <c r="U1591">
        <v>0</v>
      </c>
      <c r="V1591">
        <v>130</v>
      </c>
      <c r="W1591" t="str">
        <f>"$"</f>
        <v>$</v>
      </c>
      <c r="X1591">
        <v>0</v>
      </c>
      <c r="Y1591">
        <v>0</v>
      </c>
      <c r="Z1591">
        <v>0</v>
      </c>
      <c r="AA1591" t="str">
        <f>"Y"</f>
        <v>Y</v>
      </c>
      <c r="AB1591" t="str">
        <f>"SO22000113"</f>
        <v>SO22000113</v>
      </c>
      <c r="AC1591">
        <v>16</v>
      </c>
      <c r="AD1591" s="1">
        <v>44641</v>
      </c>
      <c r="AE1591" t="str">
        <f>"SH22000661"</f>
        <v>SH22000661</v>
      </c>
      <c r="AF1591" t="str">
        <f>"משלוחים ללקוח"</f>
        <v>משלוחים ללקוח</v>
      </c>
      <c r="AG1591" s="1">
        <v>44721</v>
      </c>
      <c r="AM1591" t="str">
        <f>"10"</f>
        <v>10</v>
      </c>
      <c r="AN1591" t="str">
        <f>"500000"</f>
        <v>500000</v>
      </c>
      <c r="AO1591" t="str">
        <f>"הכנסות  מלקוחות"</f>
        <v>הכנסות  מלקוחות</v>
      </c>
      <c r="AQ1591" t="str">
        <f>"007"</f>
        <v>007</v>
      </c>
      <c r="AR1591">
        <v>0</v>
      </c>
      <c r="AS1591">
        <v>0</v>
      </c>
      <c r="AT1591">
        <v>3.3380000000000001</v>
      </c>
      <c r="AX1591" t="str">
        <f>"E000360545"</f>
        <v>E000360545</v>
      </c>
      <c r="BD1591" t="str">
        <f>"רוני דידי"</f>
        <v>רוני דידי</v>
      </c>
    </row>
    <row r="1592" spans="1:56" x14ac:dyDescent="0.3">
      <c r="A1592" s="1">
        <v>44721</v>
      </c>
      <c r="B1592" t="str">
        <f>"SI226000674"</f>
        <v>SI226000674</v>
      </c>
      <c r="C1592" t="str">
        <f>"PR22000245"</f>
        <v>PR22000245</v>
      </c>
      <c r="E1592" t="str">
        <f>"Y"</f>
        <v>Y</v>
      </c>
      <c r="F1592" t="str">
        <f>"חשבוניות מרכזות"</f>
        <v>חשבוניות מרכזות</v>
      </c>
      <c r="G1592" t="str">
        <f>"700065"</f>
        <v>700065</v>
      </c>
      <c r="H1592" t="str">
        <f>"אלתא מערכות בע""מ"</f>
        <v>אלתא מערכות בע"מ</v>
      </c>
      <c r="I1592" t="str">
        <f>"10"</f>
        <v>10</v>
      </c>
      <c r="J1592" t="str">
        <f>"PD0300363"</f>
        <v>PD0300363</v>
      </c>
      <c r="K1592" t="str">
        <f>"כרטיס דיגיטלי כניס לבקר סימנס 6ES7131-6BF01-0BA0"</f>
        <v>כרטיס דיגיטלי כניס לבקר סימנס 6ES7131-6BF01-0BA0</v>
      </c>
      <c r="L1592">
        <v>1</v>
      </c>
      <c r="M1592" t="str">
        <f>"יח"</f>
        <v>יח</v>
      </c>
      <c r="N1592">
        <v>1</v>
      </c>
      <c r="O1592" t="str">
        <f>"יח"</f>
        <v>יח</v>
      </c>
      <c r="P1592">
        <v>115</v>
      </c>
      <c r="Q1592" t="str">
        <f>"$"</f>
        <v>$</v>
      </c>
      <c r="R1592" t="str">
        <f>"הזמנה"</f>
        <v>הזמנה</v>
      </c>
      <c r="S1592">
        <v>0</v>
      </c>
      <c r="T1592">
        <v>115</v>
      </c>
      <c r="U1592">
        <v>0</v>
      </c>
      <c r="V1592">
        <v>115</v>
      </c>
      <c r="W1592" t="str">
        <f>"$"</f>
        <v>$</v>
      </c>
      <c r="X1592">
        <v>0</v>
      </c>
      <c r="Y1592">
        <v>0</v>
      </c>
      <c r="Z1592">
        <v>0</v>
      </c>
      <c r="AA1592" t="str">
        <f>"Y"</f>
        <v>Y</v>
      </c>
      <c r="AB1592" t="str">
        <f>"SO22000113"</f>
        <v>SO22000113</v>
      </c>
      <c r="AC1592">
        <v>17</v>
      </c>
      <c r="AD1592" s="1">
        <v>44641</v>
      </c>
      <c r="AE1592" t="str">
        <f>"SH22000661"</f>
        <v>SH22000661</v>
      </c>
      <c r="AF1592" t="str">
        <f>"משלוחים ללקוח"</f>
        <v>משלוחים ללקוח</v>
      </c>
      <c r="AG1592" s="1">
        <v>44721</v>
      </c>
      <c r="AM1592" t="str">
        <f>"10"</f>
        <v>10</v>
      </c>
      <c r="AN1592" t="str">
        <f>"500000"</f>
        <v>500000</v>
      </c>
      <c r="AO1592" t="str">
        <f>"הכנסות  מלקוחות"</f>
        <v>הכנסות  מלקוחות</v>
      </c>
      <c r="AQ1592" t="str">
        <f>"007"</f>
        <v>007</v>
      </c>
      <c r="AR1592">
        <v>0</v>
      </c>
      <c r="AS1592">
        <v>0</v>
      </c>
      <c r="AT1592">
        <v>3.3380000000000001</v>
      </c>
      <c r="AX1592" t="str">
        <f>"E000360545"</f>
        <v>E000360545</v>
      </c>
      <c r="BD1592" t="str">
        <f>"רוני דידי"</f>
        <v>רוני דידי</v>
      </c>
    </row>
    <row r="1593" spans="1:56" x14ac:dyDescent="0.3">
      <c r="A1593" s="1">
        <v>44721</v>
      </c>
      <c r="B1593" t="str">
        <f>"SI226000674"</f>
        <v>SI226000674</v>
      </c>
      <c r="C1593" t="str">
        <f>"PR22000245"</f>
        <v>PR22000245</v>
      </c>
      <c r="E1593" t="str">
        <f>"Y"</f>
        <v>Y</v>
      </c>
      <c r="F1593" t="str">
        <f>"חשבוניות מרכזות"</f>
        <v>חשבוניות מרכזות</v>
      </c>
      <c r="G1593" t="str">
        <f>"700065"</f>
        <v>700065</v>
      </c>
      <c r="H1593" t="str">
        <f>"אלתא מערכות בע""מ"</f>
        <v>אלתא מערכות בע"מ</v>
      </c>
      <c r="I1593" t="str">
        <f>"10"</f>
        <v>10</v>
      </c>
      <c r="J1593" t="str">
        <f>"PD0300362"</f>
        <v>PD0300362</v>
      </c>
      <c r="K1593" t="str">
        <f>"כרטיס תקשורת לבקר סימנס 6ES7137-6AA00-0BA0"</f>
        <v>כרטיס תקשורת לבקר סימנס 6ES7137-6AA00-0BA0</v>
      </c>
      <c r="L1593">
        <v>1</v>
      </c>
      <c r="M1593" t="str">
        <f>"יח"</f>
        <v>יח</v>
      </c>
      <c r="N1593">
        <v>1</v>
      </c>
      <c r="O1593" t="str">
        <f>"יח"</f>
        <v>יח</v>
      </c>
      <c r="P1593">
        <v>608</v>
      </c>
      <c r="Q1593" t="str">
        <f>"$"</f>
        <v>$</v>
      </c>
      <c r="R1593" t="str">
        <f>"הזמנה"</f>
        <v>הזמנה</v>
      </c>
      <c r="S1593">
        <v>0</v>
      </c>
      <c r="T1593">
        <v>608</v>
      </c>
      <c r="U1593">
        <v>0</v>
      </c>
      <c r="V1593">
        <v>608</v>
      </c>
      <c r="W1593" t="str">
        <f>"$"</f>
        <v>$</v>
      </c>
      <c r="X1593">
        <v>0</v>
      </c>
      <c r="Y1593">
        <v>0</v>
      </c>
      <c r="Z1593">
        <v>0</v>
      </c>
      <c r="AA1593" t="str">
        <f>"Y"</f>
        <v>Y</v>
      </c>
      <c r="AB1593" t="str">
        <f>"SO22000113"</f>
        <v>SO22000113</v>
      </c>
      <c r="AC1593">
        <v>18</v>
      </c>
      <c r="AD1593" s="1">
        <v>44641</v>
      </c>
      <c r="AE1593" t="str">
        <f>"SH22000661"</f>
        <v>SH22000661</v>
      </c>
      <c r="AF1593" t="str">
        <f>"משלוחים ללקוח"</f>
        <v>משלוחים ללקוח</v>
      </c>
      <c r="AG1593" s="1">
        <v>44721</v>
      </c>
      <c r="AM1593" t="str">
        <f>"10"</f>
        <v>10</v>
      </c>
      <c r="AN1593" t="str">
        <f>"500000"</f>
        <v>500000</v>
      </c>
      <c r="AO1593" t="str">
        <f>"הכנסות  מלקוחות"</f>
        <v>הכנסות  מלקוחות</v>
      </c>
      <c r="AQ1593" t="str">
        <f>"007"</f>
        <v>007</v>
      </c>
      <c r="AR1593">
        <v>0</v>
      </c>
      <c r="AS1593">
        <v>0</v>
      </c>
      <c r="AT1593">
        <v>3.3380000000000001</v>
      </c>
      <c r="AX1593" t="str">
        <f>"E000360545"</f>
        <v>E000360545</v>
      </c>
      <c r="BD1593" t="str">
        <f>"רוני דידי"</f>
        <v>רוני דידי</v>
      </c>
    </row>
    <row r="1594" spans="1:56" x14ac:dyDescent="0.3">
      <c r="A1594" s="1">
        <v>44721</v>
      </c>
      <c r="B1594" t="str">
        <f>"SI226000674"</f>
        <v>SI226000674</v>
      </c>
      <c r="C1594" t="str">
        <f>"PR22000245"</f>
        <v>PR22000245</v>
      </c>
      <c r="E1594" t="str">
        <f>"Y"</f>
        <v>Y</v>
      </c>
      <c r="F1594" t="str">
        <f>"חשבוניות מרכזות"</f>
        <v>חשבוניות מרכזות</v>
      </c>
      <c r="G1594" t="str">
        <f>"700065"</f>
        <v>700065</v>
      </c>
      <c r="H1594" t="str">
        <f>"אלתא מערכות בע""מ"</f>
        <v>אלתא מערכות בע"מ</v>
      </c>
      <c r="I1594" t="str">
        <f>"10"</f>
        <v>10</v>
      </c>
      <c r="J1594" t="str">
        <f>"PD0300361"</f>
        <v>PD0300361</v>
      </c>
      <c r="K1594" t="str">
        <f>"כרטים אנלוגי לבקר סימנס 6ES7134-6GD01-0BA1"</f>
        <v>כרטים אנלוגי לבקר סימנס 6ES7134-6GD01-0BA1</v>
      </c>
      <c r="L1594">
        <v>1</v>
      </c>
      <c r="M1594" t="str">
        <f>"יח"</f>
        <v>יח</v>
      </c>
      <c r="N1594">
        <v>1</v>
      </c>
      <c r="O1594" t="str">
        <f>"יח"</f>
        <v>יח</v>
      </c>
      <c r="P1594">
        <v>398</v>
      </c>
      <c r="Q1594" t="str">
        <f>"$"</f>
        <v>$</v>
      </c>
      <c r="R1594" t="str">
        <f>"הזמנה"</f>
        <v>הזמנה</v>
      </c>
      <c r="S1594">
        <v>0</v>
      </c>
      <c r="T1594">
        <v>398</v>
      </c>
      <c r="U1594">
        <v>0</v>
      </c>
      <c r="V1594">
        <v>398</v>
      </c>
      <c r="W1594" t="str">
        <f>"$"</f>
        <v>$</v>
      </c>
      <c r="X1594">
        <v>0</v>
      </c>
      <c r="Y1594">
        <v>0</v>
      </c>
      <c r="Z1594">
        <v>0</v>
      </c>
      <c r="AA1594" t="str">
        <f>"Y"</f>
        <v>Y</v>
      </c>
      <c r="AB1594" t="str">
        <f>"SO22000113"</f>
        <v>SO22000113</v>
      </c>
      <c r="AC1594">
        <v>19</v>
      </c>
      <c r="AD1594" s="1">
        <v>44641</v>
      </c>
      <c r="AE1594" t="str">
        <f>"SH22000661"</f>
        <v>SH22000661</v>
      </c>
      <c r="AF1594" t="str">
        <f>"משלוחים ללקוח"</f>
        <v>משלוחים ללקוח</v>
      </c>
      <c r="AG1594" s="1">
        <v>44721</v>
      </c>
      <c r="AM1594" t="str">
        <f>"10"</f>
        <v>10</v>
      </c>
      <c r="AN1594" t="str">
        <f>"500000"</f>
        <v>500000</v>
      </c>
      <c r="AO1594" t="str">
        <f>"הכנסות  מלקוחות"</f>
        <v>הכנסות  מלקוחות</v>
      </c>
      <c r="AQ1594" t="str">
        <f>"007"</f>
        <v>007</v>
      </c>
      <c r="AR1594">
        <v>0</v>
      </c>
      <c r="AS1594">
        <v>0</v>
      </c>
      <c r="AT1594">
        <v>3.3380000000000001</v>
      </c>
      <c r="AX1594" t="str">
        <f>"E000360545"</f>
        <v>E000360545</v>
      </c>
      <c r="BD1594" t="str">
        <f>"רוני דידי"</f>
        <v>רוני דידי</v>
      </c>
    </row>
    <row r="1595" spans="1:56" x14ac:dyDescent="0.3">
      <c r="A1595" s="1">
        <v>44719</v>
      </c>
      <c r="B1595" t="str">
        <f>"SI226000655"</f>
        <v>SI226000655</v>
      </c>
      <c r="E1595" t="str">
        <f>"Y"</f>
        <v>Y</v>
      </c>
      <c r="F1595" t="str">
        <f>"חשבוניות מרכזות"</f>
        <v>חשבוניות מרכזות</v>
      </c>
      <c r="G1595" t="str">
        <f>"700065"</f>
        <v>700065</v>
      </c>
      <c r="H1595" t="str">
        <f>"אלתא מערכות בע""מ"</f>
        <v>אלתא מערכות בע"מ</v>
      </c>
      <c r="I1595" t="str">
        <f>"10"</f>
        <v>10</v>
      </c>
      <c r="J1595" t="str">
        <f>"cust001248"</f>
        <v>cust001248</v>
      </c>
      <c r="K1595" t="str">
        <f>"ELTA PDU2 1030G480-001"</f>
        <v>ELTA PDU2 1030G480-001</v>
      </c>
      <c r="L1595">
        <v>1</v>
      </c>
      <c r="M1595" t="str">
        <f>"יח"</f>
        <v>יח</v>
      </c>
      <c r="N1595">
        <v>1</v>
      </c>
      <c r="O1595" t="str">
        <f>"יח"</f>
        <v>יח</v>
      </c>
      <c r="P1595" s="2">
        <v>3465</v>
      </c>
      <c r="Q1595" t="str">
        <f>"$"</f>
        <v>$</v>
      </c>
      <c r="R1595" t="str">
        <f>"הזמנה"</f>
        <v>הזמנה</v>
      </c>
      <c r="S1595">
        <v>0</v>
      </c>
      <c r="T1595" s="2">
        <v>3465</v>
      </c>
      <c r="U1595">
        <v>0</v>
      </c>
      <c r="V1595" s="2">
        <v>3465</v>
      </c>
      <c r="W1595" t="str">
        <f>"$"</f>
        <v>$</v>
      </c>
      <c r="X1595">
        <v>0</v>
      </c>
      <c r="Y1595">
        <v>0</v>
      </c>
      <c r="Z1595">
        <v>0</v>
      </c>
      <c r="AA1595" t="str">
        <f>"Y"</f>
        <v>Y</v>
      </c>
      <c r="AB1595" t="str">
        <f>"SO22000074"</f>
        <v>SO22000074</v>
      </c>
      <c r="AC1595">
        <v>1</v>
      </c>
      <c r="AD1595" s="1">
        <v>44620</v>
      </c>
      <c r="AE1595" t="str">
        <f>"SH22000427"</f>
        <v>SH22000427</v>
      </c>
      <c r="AF1595" t="str">
        <f>"משלוחים ללקוח"</f>
        <v>משלוחים ללקוח</v>
      </c>
      <c r="AG1595" s="1">
        <v>44665</v>
      </c>
      <c r="AM1595" t="str">
        <f>"10"</f>
        <v>10</v>
      </c>
      <c r="AN1595" t="str">
        <f>"500000"</f>
        <v>500000</v>
      </c>
      <c r="AO1595" t="str">
        <f>"הכנסות  מלקוחות"</f>
        <v>הכנסות  מלקוחות</v>
      </c>
      <c r="AQ1595" t="str">
        <f>"007"</f>
        <v>007</v>
      </c>
      <c r="AR1595">
        <v>0</v>
      </c>
      <c r="AS1595">
        <v>0</v>
      </c>
      <c r="AT1595">
        <v>3.3319999999999999</v>
      </c>
      <c r="AX1595" t="str">
        <f>"E000358934"</f>
        <v>E000358934</v>
      </c>
      <c r="BD1595" t="str">
        <f>"רוני דידי"</f>
        <v>רוני דידי</v>
      </c>
    </row>
    <row r="1596" spans="1:56" x14ac:dyDescent="0.3">
      <c r="A1596" s="1">
        <v>44718</v>
      </c>
      <c r="B1596" t="str">
        <f>"SI226000646"</f>
        <v>SI226000646</v>
      </c>
      <c r="C1596" t="str">
        <f>"PR22000163"</f>
        <v>PR22000163</v>
      </c>
      <c r="E1596" t="str">
        <f>"Y"</f>
        <v>Y</v>
      </c>
      <c r="F1596" t="str">
        <f>"חשבוניות מרכזות"</f>
        <v>חשבוניות מרכזות</v>
      </c>
      <c r="G1596" t="str">
        <f>"700065"</f>
        <v>700065</v>
      </c>
      <c r="H1596" t="str">
        <f>"אלתא מערכות בע""מ"</f>
        <v>אלתא מערכות בע"מ</v>
      </c>
      <c r="I1596" t="str">
        <f>"11"</f>
        <v>11</v>
      </c>
      <c r="J1596" t="str">
        <f>"OP-KT00127"</f>
        <v>OP-KT00127</v>
      </c>
      <c r="K1596" t="str">
        <f>"מצברים ח""ח למערכת MADR"</f>
        <v>מצברים ח"ח למערכת MADR</v>
      </c>
      <c r="L1596">
        <v>1</v>
      </c>
      <c r="M1596" t="str">
        <f>"יח"</f>
        <v>יח</v>
      </c>
      <c r="N1596">
        <v>1</v>
      </c>
      <c r="O1596" t="str">
        <f>"יח"</f>
        <v>יח</v>
      </c>
      <c r="P1596" s="2">
        <v>2355</v>
      </c>
      <c r="Q1596" t="str">
        <f>"$"</f>
        <v>$</v>
      </c>
      <c r="R1596" t="str">
        <f>"הזמנה"</f>
        <v>הזמנה</v>
      </c>
      <c r="S1596">
        <v>0</v>
      </c>
      <c r="T1596" s="2">
        <v>2355</v>
      </c>
      <c r="U1596">
        <v>0</v>
      </c>
      <c r="V1596" s="2">
        <v>2355</v>
      </c>
      <c r="W1596" t="str">
        <f>"$"</f>
        <v>$</v>
      </c>
      <c r="X1596">
        <v>0</v>
      </c>
      <c r="Y1596">
        <v>0</v>
      </c>
      <c r="Z1596">
        <v>0</v>
      </c>
      <c r="AA1596" t="str">
        <f>"Y"</f>
        <v>Y</v>
      </c>
      <c r="AB1596" t="str">
        <f>"SO22000048"</f>
        <v>SO22000048</v>
      </c>
      <c r="AC1596">
        <v>2</v>
      </c>
      <c r="AD1596" s="1">
        <v>44605</v>
      </c>
      <c r="AE1596" t="str">
        <f>"SH22000443"</f>
        <v>SH22000443</v>
      </c>
      <c r="AF1596" t="str">
        <f>"משלוחים ללקוח"</f>
        <v>משלוחים ללקוח</v>
      </c>
      <c r="AG1596" s="1">
        <v>44676</v>
      </c>
      <c r="AM1596" t="str">
        <f>"10"</f>
        <v>10</v>
      </c>
      <c r="AN1596" t="str">
        <f>"500000"</f>
        <v>500000</v>
      </c>
      <c r="AO1596" t="str">
        <f>"הכנסות  מלקוחות"</f>
        <v>הכנסות  מלקוחות</v>
      </c>
      <c r="AQ1596" t="str">
        <f>"034"</f>
        <v>034</v>
      </c>
      <c r="AR1596">
        <v>0</v>
      </c>
      <c r="AS1596">
        <v>0</v>
      </c>
      <c r="AT1596">
        <v>3.34</v>
      </c>
      <c r="AX1596" t="str">
        <f>"E000357303"</f>
        <v>E000357303</v>
      </c>
      <c r="BD1596" t="str">
        <f>"ערן שלו"</f>
        <v>ערן שלו</v>
      </c>
    </row>
    <row r="1597" spans="1:56" x14ac:dyDescent="0.3">
      <c r="A1597" s="1">
        <v>44718</v>
      </c>
      <c r="B1597" t="str">
        <f>"SI226000645"</f>
        <v>SI226000645</v>
      </c>
      <c r="C1597" t="str">
        <f>"PR22000163"</f>
        <v>PR22000163</v>
      </c>
      <c r="E1597" t="str">
        <f>"Y"</f>
        <v>Y</v>
      </c>
      <c r="F1597" t="str">
        <f>"חשבוניות מרכזות"</f>
        <v>חשבוניות מרכזות</v>
      </c>
      <c r="G1597" t="str">
        <f>"700065"</f>
        <v>700065</v>
      </c>
      <c r="H1597" t="str">
        <f>"אלתא מערכות בע""מ"</f>
        <v>אלתא מערכות בע"מ</v>
      </c>
      <c r="I1597" t="str">
        <f>"11"</f>
        <v>11</v>
      </c>
      <c r="J1597" t="str">
        <f>"OP-KT00127"</f>
        <v>OP-KT00127</v>
      </c>
      <c r="K1597" t="str">
        <f>"מצברים ח""ח למערכת MADR"</f>
        <v>מצברים ח"ח למערכת MADR</v>
      </c>
      <c r="L1597">
        <v>-1</v>
      </c>
      <c r="M1597" t="str">
        <f>"יח"</f>
        <v>יח</v>
      </c>
      <c r="N1597">
        <v>-1</v>
      </c>
      <c r="O1597" t="str">
        <f>"יח"</f>
        <v>יח</v>
      </c>
      <c r="P1597" s="2">
        <v>2355</v>
      </c>
      <c r="Q1597" t="str">
        <f>"$"</f>
        <v>$</v>
      </c>
      <c r="R1597" t="str">
        <f>"הזמנה"</f>
        <v>הזמנה</v>
      </c>
      <c r="S1597">
        <v>0</v>
      </c>
      <c r="T1597" s="2">
        <v>-2355</v>
      </c>
      <c r="U1597">
        <v>0</v>
      </c>
      <c r="V1597" s="2">
        <v>-2355</v>
      </c>
      <c r="W1597" t="str">
        <f>"$"</f>
        <v>$</v>
      </c>
      <c r="X1597">
        <v>0</v>
      </c>
      <c r="Y1597">
        <v>0</v>
      </c>
      <c r="Z1597">
        <v>0</v>
      </c>
      <c r="AA1597" t="str">
        <f>"Y"</f>
        <v>Y</v>
      </c>
      <c r="AC1597">
        <v>0</v>
      </c>
      <c r="AM1597" t="str">
        <f>"10"</f>
        <v>10</v>
      </c>
      <c r="AN1597" t="str">
        <f>"500000"</f>
        <v>500000</v>
      </c>
      <c r="AO1597" t="str">
        <f>"הכנסות  מלקוחות"</f>
        <v>הכנסות  מלקוחות</v>
      </c>
      <c r="AQ1597" t="str">
        <f>"034"</f>
        <v>034</v>
      </c>
      <c r="AR1597">
        <v>0</v>
      </c>
      <c r="AS1597">
        <v>0</v>
      </c>
      <c r="AT1597">
        <v>3.3250000000000002</v>
      </c>
      <c r="BB1597" t="str">
        <f>"Y"</f>
        <v>Y</v>
      </c>
      <c r="BD1597" t="str">
        <f>"ערן שלו"</f>
        <v>ערן שלו</v>
      </c>
    </row>
    <row r="1598" spans="1:56" x14ac:dyDescent="0.3">
      <c r="A1598" s="1">
        <v>44712</v>
      </c>
      <c r="B1598" t="str">
        <f>"SI226000662"</f>
        <v>SI226000662</v>
      </c>
      <c r="C1598" t="str">
        <f>"PR19000454"</f>
        <v>PR19000454</v>
      </c>
      <c r="E1598" t="str">
        <f>"Y"</f>
        <v>Y</v>
      </c>
      <c r="F1598" t="str">
        <f>"חשבוניות מרכזות"</f>
        <v>חשבוניות מרכזות</v>
      </c>
      <c r="G1598" t="str">
        <f>"700065"</f>
        <v>700065</v>
      </c>
      <c r="H1598" t="str">
        <f>"אלתא מערכות בע""מ"</f>
        <v>אלתא מערכות בע"מ</v>
      </c>
      <c r="I1598" t="str">
        <f>"10"</f>
        <v>10</v>
      </c>
      <c r="J1598" t="str">
        <f>"OP-AR01297"</f>
        <v>OP-AR01297</v>
      </c>
      <c r="K1598" t="str">
        <f>"שדרוג יחידה LB PDB"</f>
        <v>שדרוג יחידה LB PDB</v>
      </c>
      <c r="L1598">
        <v>1</v>
      </c>
      <c r="M1598" t="str">
        <f>"יח"</f>
        <v>יח</v>
      </c>
      <c r="N1598">
        <v>1</v>
      </c>
      <c r="O1598" t="str">
        <f>"יח"</f>
        <v>יח</v>
      </c>
      <c r="P1598" s="2">
        <v>2549</v>
      </c>
      <c r="Q1598" t="str">
        <f>"$"</f>
        <v>$</v>
      </c>
      <c r="R1598" t="str">
        <f>"הזמנה"</f>
        <v>הזמנה</v>
      </c>
      <c r="S1598">
        <v>0</v>
      </c>
      <c r="T1598" s="2">
        <v>2549</v>
      </c>
      <c r="U1598">
        <v>0</v>
      </c>
      <c r="V1598" s="2">
        <v>2549</v>
      </c>
      <c r="W1598" t="str">
        <f>"$"</f>
        <v>$</v>
      </c>
      <c r="X1598">
        <v>0</v>
      </c>
      <c r="Y1598">
        <v>0</v>
      </c>
      <c r="Z1598">
        <v>0</v>
      </c>
      <c r="AA1598" t="str">
        <f>"Y"</f>
        <v>Y</v>
      </c>
      <c r="AB1598" t="str">
        <f>"SO22000039"</f>
        <v>SO22000039</v>
      </c>
      <c r="AC1598">
        <v>1</v>
      </c>
      <c r="AD1598" s="1">
        <v>44598</v>
      </c>
      <c r="AE1598" t="str">
        <f>"SH22000625"</f>
        <v>SH22000625</v>
      </c>
      <c r="AF1598" t="str">
        <f>"משלוחים ללקוח"</f>
        <v>משלוחים ללקוח</v>
      </c>
      <c r="AG1598" s="1">
        <v>44712</v>
      </c>
      <c r="AM1598" t="str">
        <f>"10"</f>
        <v>10</v>
      </c>
      <c r="AN1598" t="str">
        <f>"500000"</f>
        <v>500000</v>
      </c>
      <c r="AO1598" t="str">
        <f>"הכנסות  מלקוחות"</f>
        <v>הכנסות  מלקוחות</v>
      </c>
      <c r="AQ1598" t="str">
        <f>"007"</f>
        <v>007</v>
      </c>
      <c r="AR1598">
        <v>0</v>
      </c>
      <c r="AS1598">
        <v>0</v>
      </c>
      <c r="AT1598">
        <v>3.3380000000000001</v>
      </c>
      <c r="AX1598" t="str">
        <f>"E000357011"</f>
        <v>E000357011</v>
      </c>
      <c r="BD1598" t="str">
        <f>"רוני דידי"</f>
        <v>רוני דידי</v>
      </c>
    </row>
    <row r="1599" spans="1:56" x14ac:dyDescent="0.3">
      <c r="A1599" s="1">
        <v>44712</v>
      </c>
      <c r="B1599" t="str">
        <f>"SI226000662"</f>
        <v>SI226000662</v>
      </c>
      <c r="C1599" t="str">
        <f>"PR19000454"</f>
        <v>PR19000454</v>
      </c>
      <c r="E1599" t="str">
        <f>"Y"</f>
        <v>Y</v>
      </c>
      <c r="F1599" t="str">
        <f>"חשבוניות מרכזות"</f>
        <v>חשבוניות מרכזות</v>
      </c>
      <c r="G1599" t="str">
        <f>"700065"</f>
        <v>700065</v>
      </c>
      <c r="H1599" t="str">
        <f>"אלתא מערכות בע""מ"</f>
        <v>אלתא מערכות בע"מ</v>
      </c>
      <c r="I1599" t="str">
        <f>"10"</f>
        <v>10</v>
      </c>
      <c r="J1599" t="str">
        <f>"PA11TA1763"</f>
        <v>PA11TA1763</v>
      </c>
      <c r="K1599" t="str">
        <f>"אריזה ל PDB לפי שרטוט"</f>
        <v>אריזה ל PDB לפי שרטוט</v>
      </c>
      <c r="L1599">
        <v>1</v>
      </c>
      <c r="M1599" t="str">
        <f>"יח"</f>
        <v>יח</v>
      </c>
      <c r="N1599">
        <v>1</v>
      </c>
      <c r="O1599" t="str">
        <f>"יח"</f>
        <v>יח</v>
      </c>
      <c r="P1599">
        <v>700</v>
      </c>
      <c r="Q1599" t="str">
        <f>"$"</f>
        <v>$</v>
      </c>
      <c r="R1599" t="str">
        <f>"הזמנה"</f>
        <v>הזמנה</v>
      </c>
      <c r="S1599">
        <v>0</v>
      </c>
      <c r="T1599">
        <v>700</v>
      </c>
      <c r="U1599">
        <v>0</v>
      </c>
      <c r="V1599">
        <v>700</v>
      </c>
      <c r="W1599" t="str">
        <f>"$"</f>
        <v>$</v>
      </c>
      <c r="X1599">
        <v>0</v>
      </c>
      <c r="Y1599">
        <v>0</v>
      </c>
      <c r="Z1599">
        <v>0</v>
      </c>
      <c r="AA1599" t="str">
        <f>"Y"</f>
        <v>Y</v>
      </c>
      <c r="AB1599" t="str">
        <f>"SO22000039"</f>
        <v>SO22000039</v>
      </c>
      <c r="AC1599">
        <v>2</v>
      </c>
      <c r="AD1599" s="1">
        <v>44598</v>
      </c>
      <c r="AE1599" t="str">
        <f>"SH22000625"</f>
        <v>SH22000625</v>
      </c>
      <c r="AF1599" t="str">
        <f>"משלוחים ללקוח"</f>
        <v>משלוחים ללקוח</v>
      </c>
      <c r="AG1599" s="1">
        <v>44712</v>
      </c>
      <c r="AM1599" t="str">
        <f>"10"</f>
        <v>10</v>
      </c>
      <c r="AN1599" t="str">
        <f>"500000"</f>
        <v>500000</v>
      </c>
      <c r="AO1599" t="str">
        <f>"הכנסות  מלקוחות"</f>
        <v>הכנסות  מלקוחות</v>
      </c>
      <c r="AQ1599" t="str">
        <f>"007"</f>
        <v>007</v>
      </c>
      <c r="AR1599">
        <v>0</v>
      </c>
      <c r="AS1599">
        <v>0</v>
      </c>
      <c r="AT1599">
        <v>3.3380000000000001</v>
      </c>
      <c r="AX1599" t="str">
        <f>"E000357011"</f>
        <v>E000357011</v>
      </c>
      <c r="BD1599" t="str">
        <f>"רוני דידי"</f>
        <v>רוני דידי</v>
      </c>
    </row>
    <row r="1600" spans="1:56" x14ac:dyDescent="0.3">
      <c r="A1600" s="1">
        <v>44712</v>
      </c>
      <c r="B1600" t="str">
        <f>"SI226000624"</f>
        <v>SI226000624</v>
      </c>
      <c r="C1600" t="str">
        <f>"PR19000454"</f>
        <v>PR19000454</v>
      </c>
      <c r="E1600" t="str">
        <f>"Y"</f>
        <v>Y</v>
      </c>
      <c r="F1600" t="str">
        <f>"חשבוניות מרכזות"</f>
        <v>חשבוניות מרכזות</v>
      </c>
      <c r="G1600" t="str">
        <f>"700065"</f>
        <v>700065</v>
      </c>
      <c r="H1600" t="str">
        <f>"אלתא מערכות בע""מ"</f>
        <v>אלתא מערכות בע"מ</v>
      </c>
      <c r="I1600" t="str">
        <f>"10"</f>
        <v>10</v>
      </c>
      <c r="J1600" t="str">
        <f>"OP-AR01297"</f>
        <v>OP-AR01297</v>
      </c>
      <c r="K1600" t="str">
        <f>"שדרוג יחידה LB PDB"</f>
        <v>שדרוג יחידה LB PDB</v>
      </c>
      <c r="L1600">
        <v>1</v>
      </c>
      <c r="M1600" t="str">
        <f>"יח"</f>
        <v>יח</v>
      </c>
      <c r="N1600">
        <v>1</v>
      </c>
      <c r="O1600" t="str">
        <f>"יח"</f>
        <v>יח</v>
      </c>
      <c r="P1600" s="2">
        <v>5121</v>
      </c>
      <c r="Q1600" t="str">
        <f>"$"</f>
        <v>$</v>
      </c>
      <c r="R1600" t="str">
        <f>"הזמנה"</f>
        <v>הזמנה</v>
      </c>
      <c r="S1600">
        <v>0</v>
      </c>
      <c r="T1600" s="2">
        <v>5121</v>
      </c>
      <c r="U1600">
        <v>0</v>
      </c>
      <c r="V1600" s="2">
        <v>5121</v>
      </c>
      <c r="W1600" t="str">
        <f>"$"</f>
        <v>$</v>
      </c>
      <c r="X1600">
        <v>0</v>
      </c>
      <c r="Y1600">
        <v>0</v>
      </c>
      <c r="Z1600">
        <v>0</v>
      </c>
      <c r="AA1600" t="str">
        <f>"Y"</f>
        <v>Y</v>
      </c>
      <c r="AB1600" t="str">
        <f>"SO22000038"</f>
        <v>SO22000038</v>
      </c>
      <c r="AC1600">
        <v>1</v>
      </c>
      <c r="AD1600" s="1">
        <v>44598</v>
      </c>
      <c r="AE1600" t="str">
        <f>"SH22000626"</f>
        <v>SH22000626</v>
      </c>
      <c r="AF1600" t="str">
        <f>"משלוחים ללקוח"</f>
        <v>משלוחים ללקוח</v>
      </c>
      <c r="AG1600" s="1">
        <v>44712</v>
      </c>
      <c r="AM1600" t="str">
        <f>"10"</f>
        <v>10</v>
      </c>
      <c r="AN1600" t="str">
        <f>"500000"</f>
        <v>500000</v>
      </c>
      <c r="AO1600" t="str">
        <f>"הכנסות  מלקוחות"</f>
        <v>הכנסות  מלקוחות</v>
      </c>
      <c r="AQ1600" t="str">
        <f>"007"</f>
        <v>007</v>
      </c>
      <c r="AR1600">
        <v>0</v>
      </c>
      <c r="AS1600">
        <v>0</v>
      </c>
      <c r="AT1600">
        <v>3.3380000000000001</v>
      </c>
      <c r="AX1600" t="str">
        <f>"E000354389"</f>
        <v>E000354389</v>
      </c>
      <c r="BD1600" t="str">
        <f>"רוני דידי"</f>
        <v>רוני דידי</v>
      </c>
    </row>
    <row r="1601" spans="1:56" x14ac:dyDescent="0.3">
      <c r="A1601" s="1">
        <v>44712</v>
      </c>
      <c r="B1601" t="str">
        <f>"SI226000623"</f>
        <v>SI226000623</v>
      </c>
      <c r="C1601" t="str">
        <f>"PR20000777"</f>
        <v>PR20000777</v>
      </c>
      <c r="E1601" t="str">
        <f>"Y"</f>
        <v>Y</v>
      </c>
      <c r="F1601" t="str">
        <f>"חשבוניות מרכזות"</f>
        <v>חשבוניות מרכזות</v>
      </c>
      <c r="G1601" t="str">
        <f>"700065"</f>
        <v>700065</v>
      </c>
      <c r="H1601" t="str">
        <f>"אלתא מערכות בע""מ"</f>
        <v>אלתא מערכות בע"מ</v>
      </c>
      <c r="I1601" t="str">
        <f>"05"</f>
        <v>05</v>
      </c>
      <c r="J1601" t="str">
        <f>"OP-PD02881"</f>
        <v>OP-PD02881</v>
      </c>
      <c r="K1601" t="str">
        <f>"POWER DISTRIBUTION BOARD 09-SOCD"</f>
        <v>POWER DISTRIBUTION BOARD 09-SOCD</v>
      </c>
      <c r="L1601">
        <v>1</v>
      </c>
      <c r="M1601" t="str">
        <f>"יח"</f>
        <v>יח</v>
      </c>
      <c r="N1601">
        <v>1</v>
      </c>
      <c r="O1601" t="str">
        <f>"יח"</f>
        <v>יח</v>
      </c>
      <c r="P1601" s="2">
        <v>39999.300000000003</v>
      </c>
      <c r="Q1601" t="str">
        <f>"$"</f>
        <v>$</v>
      </c>
      <c r="R1601" t="str">
        <f>"הזמנה"</f>
        <v>הזמנה</v>
      </c>
      <c r="S1601">
        <v>0</v>
      </c>
      <c r="T1601" s="2">
        <v>39999.300000000003</v>
      </c>
      <c r="U1601">
        <v>0</v>
      </c>
      <c r="V1601" s="2">
        <v>39999.300000000003</v>
      </c>
      <c r="W1601" t="str">
        <f>"$"</f>
        <v>$</v>
      </c>
      <c r="X1601">
        <v>0</v>
      </c>
      <c r="Y1601">
        <v>0</v>
      </c>
      <c r="Z1601">
        <v>0</v>
      </c>
      <c r="AA1601" t="str">
        <f>"Y"</f>
        <v>Y</v>
      </c>
      <c r="AB1601" t="str">
        <f>"SO21000184"</f>
        <v>SO21000184</v>
      </c>
      <c r="AC1601">
        <v>18</v>
      </c>
      <c r="AD1601" s="1">
        <v>44307</v>
      </c>
      <c r="AE1601" t="str">
        <f>"SH22000628"</f>
        <v>SH22000628</v>
      </c>
      <c r="AF1601" t="str">
        <f>"משלוחים ללקוח"</f>
        <v>משלוחים ללקוח</v>
      </c>
      <c r="AG1601" s="1">
        <v>44712</v>
      </c>
      <c r="AM1601" t="str">
        <f>"10"</f>
        <v>10</v>
      </c>
      <c r="AN1601" t="str">
        <f>"500000"</f>
        <v>500000</v>
      </c>
      <c r="AO1601" t="str">
        <f>"הכנסות  מלקוחות"</f>
        <v>הכנסות  מלקוחות</v>
      </c>
      <c r="AQ1601" t="str">
        <f>"034"</f>
        <v>034</v>
      </c>
      <c r="AR1601">
        <v>0</v>
      </c>
      <c r="AS1601">
        <v>0</v>
      </c>
      <c r="AT1601">
        <v>3.3380000000000001</v>
      </c>
      <c r="AX1601" t="str">
        <f>"E000336430"</f>
        <v>E000336430</v>
      </c>
      <c r="BD1601" t="str">
        <f>"ערן שלו"</f>
        <v>ערן שלו</v>
      </c>
    </row>
    <row r="1602" spans="1:56" x14ac:dyDescent="0.3">
      <c r="A1602" s="1">
        <v>44712</v>
      </c>
      <c r="B1602" t="str">
        <f>"SI226000622"</f>
        <v>SI226000622</v>
      </c>
      <c r="C1602" t="str">
        <f>"PR20000778"</f>
        <v>PR20000778</v>
      </c>
      <c r="E1602" t="str">
        <f>"Y"</f>
        <v>Y</v>
      </c>
      <c r="F1602" t="str">
        <f>"חשבוניות מרכזות"</f>
        <v>חשבוניות מרכזות</v>
      </c>
      <c r="G1602" t="str">
        <f>"700065"</f>
        <v>700065</v>
      </c>
      <c r="H1602" t="str">
        <f>"אלתא מערכות בע""מ"</f>
        <v>אלתא מערכות בע"מ</v>
      </c>
      <c r="I1602" t="str">
        <f>"05"</f>
        <v>05</v>
      </c>
      <c r="J1602" t="str">
        <f>"OP-PD02880"</f>
        <v>OP-PD02880</v>
      </c>
      <c r="K1602" t="str">
        <f>"POWER DISTRIBUTION BOARD 06/07-SOCD"</f>
        <v>POWER DISTRIBUTION BOARD 06/07-SOCD</v>
      </c>
      <c r="L1602">
        <v>2</v>
      </c>
      <c r="M1602" t="str">
        <f>"יח"</f>
        <v>יח</v>
      </c>
      <c r="N1602">
        <v>2</v>
      </c>
      <c r="O1602" t="str">
        <f>"יח"</f>
        <v>יח</v>
      </c>
      <c r="P1602" s="2">
        <v>47244</v>
      </c>
      <c r="Q1602" t="str">
        <f>"$"</f>
        <v>$</v>
      </c>
      <c r="R1602" t="str">
        <f>"הזמנה"</f>
        <v>הזמנה</v>
      </c>
      <c r="S1602">
        <v>0</v>
      </c>
      <c r="T1602" s="2">
        <v>94488</v>
      </c>
      <c r="U1602">
        <v>0</v>
      </c>
      <c r="V1602" s="2">
        <v>94488</v>
      </c>
      <c r="W1602" t="str">
        <f>"$"</f>
        <v>$</v>
      </c>
      <c r="X1602">
        <v>0</v>
      </c>
      <c r="Y1602">
        <v>0</v>
      </c>
      <c r="Z1602">
        <v>0</v>
      </c>
      <c r="AA1602" t="str">
        <f>"Y"</f>
        <v>Y</v>
      </c>
      <c r="AB1602" t="str">
        <f>"SO21000184"</f>
        <v>SO21000184</v>
      </c>
      <c r="AC1602">
        <v>20</v>
      </c>
      <c r="AD1602" s="1">
        <v>44307</v>
      </c>
      <c r="AE1602" t="str">
        <f>"SH22000627"</f>
        <v>SH22000627</v>
      </c>
      <c r="AF1602" t="str">
        <f>"משלוחים ללקוח"</f>
        <v>משלוחים ללקוח</v>
      </c>
      <c r="AG1602" s="1">
        <v>44712</v>
      </c>
      <c r="AM1602" t="str">
        <f>"10"</f>
        <v>10</v>
      </c>
      <c r="AN1602" t="str">
        <f>"500000"</f>
        <v>500000</v>
      </c>
      <c r="AO1602" t="str">
        <f>"הכנסות  מלקוחות"</f>
        <v>הכנסות  מלקוחות</v>
      </c>
      <c r="AQ1602" t="str">
        <f>"034"</f>
        <v>034</v>
      </c>
      <c r="AR1602">
        <v>0</v>
      </c>
      <c r="AS1602">
        <v>0</v>
      </c>
      <c r="AT1602">
        <v>3.3380000000000001</v>
      </c>
      <c r="AX1602" t="str">
        <f>"E000336430"</f>
        <v>E000336430</v>
      </c>
      <c r="BD1602" t="str">
        <f>"ערן שלו"</f>
        <v>ערן שלו</v>
      </c>
    </row>
    <row r="1603" spans="1:56" x14ac:dyDescent="0.3">
      <c r="A1603" s="1">
        <v>44712</v>
      </c>
      <c r="B1603" t="str">
        <f>"SI226000613"</f>
        <v>SI226000613</v>
      </c>
      <c r="E1603" t="str">
        <f>"Y"</f>
        <v>Y</v>
      </c>
      <c r="F1603" t="str">
        <f>"חשבוניות מרכזות"</f>
        <v>חשבוניות מרכזות</v>
      </c>
      <c r="G1603" t="str">
        <f>"700065"</f>
        <v>700065</v>
      </c>
      <c r="H1603" t="str">
        <f>"אלתא מערכות בע""מ"</f>
        <v>אלתא מערכות בע"מ</v>
      </c>
      <c r="I1603" t="str">
        <f>"10"</f>
        <v>10</v>
      </c>
      <c r="J1603" t="str">
        <f>"000"</f>
        <v>000</v>
      </c>
      <c r="K1603" t="str">
        <f>"התקנת מערכת כוח באתר פיליפיני"</f>
        <v>התקנת מערכת כוח באתר פיליפיני</v>
      </c>
      <c r="L1603">
        <v>1</v>
      </c>
      <c r="M1603" t="str">
        <f>"יח"</f>
        <v>יח</v>
      </c>
      <c r="N1603">
        <v>1</v>
      </c>
      <c r="O1603" t="str">
        <f>"יח"</f>
        <v>יח</v>
      </c>
      <c r="P1603" s="2">
        <v>20800</v>
      </c>
      <c r="Q1603" t="str">
        <f>"$"</f>
        <v>$</v>
      </c>
      <c r="R1603" t="str">
        <f>"ידני"</f>
        <v>ידני</v>
      </c>
      <c r="S1603">
        <v>0</v>
      </c>
      <c r="T1603" s="2">
        <v>20800</v>
      </c>
      <c r="U1603">
        <v>0</v>
      </c>
      <c r="V1603" s="2">
        <v>20800</v>
      </c>
      <c r="W1603" t="str">
        <f>"$"</f>
        <v>$</v>
      </c>
      <c r="X1603">
        <v>0</v>
      </c>
      <c r="Y1603">
        <v>0</v>
      </c>
      <c r="Z1603">
        <v>0</v>
      </c>
      <c r="AA1603" t="str">
        <f>"Y"</f>
        <v>Y</v>
      </c>
      <c r="AB1603" t="str">
        <f>"SO18000637"</f>
        <v>SO18000637</v>
      </c>
      <c r="AC1603">
        <v>4</v>
      </c>
      <c r="AD1603" s="1">
        <v>43419</v>
      </c>
      <c r="AM1603" t="str">
        <f>"10"</f>
        <v>10</v>
      </c>
      <c r="AN1603" t="str">
        <f>"500000"</f>
        <v>500000</v>
      </c>
      <c r="AO1603" t="str">
        <f>"הכנסות  מלקוחות"</f>
        <v>הכנסות  מלקוחות</v>
      </c>
      <c r="AQ1603" t="str">
        <f>"007"</f>
        <v>007</v>
      </c>
      <c r="AR1603">
        <v>0</v>
      </c>
      <c r="AS1603">
        <v>0</v>
      </c>
      <c r="AT1603">
        <v>3.3159999999999998</v>
      </c>
      <c r="AX1603" t="str">
        <f>"E000272778"</f>
        <v>E000272778</v>
      </c>
      <c r="BD1603" t="str">
        <f>"רוני דידי"</f>
        <v>רוני דידי</v>
      </c>
    </row>
    <row r="1604" spans="1:56" x14ac:dyDescent="0.3">
      <c r="A1604" s="1">
        <v>44712</v>
      </c>
      <c r="B1604" t="str">
        <f>"SI226000612"</f>
        <v>SI226000612</v>
      </c>
      <c r="E1604" t="str">
        <f>"Y"</f>
        <v>Y</v>
      </c>
      <c r="F1604" t="str">
        <f>"חשבוניות מרכזות"</f>
        <v>חשבוניות מרכזות</v>
      </c>
      <c r="G1604" t="str">
        <f>"700065"</f>
        <v>700065</v>
      </c>
      <c r="H1604" t="str">
        <f>"אלתא מערכות בע""מ"</f>
        <v>אלתא מערכות בע"מ</v>
      </c>
      <c r="I1604" t="str">
        <f>"10"</f>
        <v>10</v>
      </c>
      <c r="J1604" t="str">
        <f>"000"</f>
        <v>000</v>
      </c>
      <c r="K1604" t="str">
        <f>"התקנת מערכת כוח באתר פיליפיני"</f>
        <v>התקנת מערכת כוח באתר פיליפיני</v>
      </c>
      <c r="L1604">
        <v>-1</v>
      </c>
      <c r="M1604" t="str">
        <f>"יח"</f>
        <v>יח</v>
      </c>
      <c r="N1604">
        <v>-1</v>
      </c>
      <c r="O1604" t="str">
        <f>"יח"</f>
        <v>יח</v>
      </c>
      <c r="P1604" s="2">
        <v>20800</v>
      </c>
      <c r="Q1604" t="str">
        <f>"$"</f>
        <v>$</v>
      </c>
      <c r="R1604" t="str">
        <f>"ידני"</f>
        <v>ידני</v>
      </c>
      <c r="S1604">
        <v>0</v>
      </c>
      <c r="T1604" s="2">
        <v>-20800</v>
      </c>
      <c r="U1604">
        <v>0</v>
      </c>
      <c r="V1604" s="2">
        <v>-20800</v>
      </c>
      <c r="W1604" t="str">
        <f>"$"</f>
        <v>$</v>
      </c>
      <c r="X1604">
        <v>0</v>
      </c>
      <c r="Y1604">
        <v>0</v>
      </c>
      <c r="Z1604">
        <v>0</v>
      </c>
      <c r="AA1604" t="str">
        <f>"Y"</f>
        <v>Y</v>
      </c>
      <c r="AC1604">
        <v>0</v>
      </c>
      <c r="AM1604" t="str">
        <f>"10"</f>
        <v>10</v>
      </c>
      <c r="AN1604" t="str">
        <f>"500000"</f>
        <v>500000</v>
      </c>
      <c r="AO1604" t="str">
        <f>"הכנסות  מלקוחות"</f>
        <v>הכנסות  מלקוחות</v>
      </c>
      <c r="AQ1604" t="str">
        <f>"007"</f>
        <v>007</v>
      </c>
      <c r="AR1604">
        <v>0</v>
      </c>
      <c r="AS1604">
        <v>0</v>
      </c>
      <c r="AT1604">
        <v>3.3159999999999998</v>
      </c>
      <c r="BB1604" t="str">
        <f>"Y"</f>
        <v>Y</v>
      </c>
      <c r="BD1604" t="str">
        <f>"רוני דידי"</f>
        <v>רוני דידי</v>
      </c>
    </row>
    <row r="1605" spans="1:56" x14ac:dyDescent="0.3">
      <c r="A1605" s="1">
        <v>44712</v>
      </c>
      <c r="B1605" t="str">
        <f>"SI226000611"</f>
        <v>SI226000611</v>
      </c>
      <c r="E1605" t="str">
        <f>"Y"</f>
        <v>Y</v>
      </c>
      <c r="F1605" t="str">
        <f>"חשבוניות מרכזות"</f>
        <v>חשבוניות מרכזות</v>
      </c>
      <c r="G1605" t="str">
        <f>"700065"</f>
        <v>700065</v>
      </c>
      <c r="H1605" t="str">
        <f>"אלתא מערכות בע""מ"</f>
        <v>אלתא מערכות בע"מ</v>
      </c>
      <c r="I1605" t="str">
        <f>"10"</f>
        <v>10</v>
      </c>
      <c r="J1605" t="str">
        <f>"000"</f>
        <v>000</v>
      </c>
      <c r="K1605" t="str">
        <f>"התקנת מערכת כוח באתר פיליפיני"</f>
        <v>התקנת מערכת כוח באתר פיליפיני</v>
      </c>
      <c r="L1605">
        <v>1</v>
      </c>
      <c r="M1605" t="str">
        <f>"יח"</f>
        <v>יח</v>
      </c>
      <c r="N1605">
        <v>1</v>
      </c>
      <c r="O1605" t="str">
        <f>"יח"</f>
        <v>יח</v>
      </c>
      <c r="P1605" s="2">
        <v>20800</v>
      </c>
      <c r="Q1605" t="str">
        <f>"$"</f>
        <v>$</v>
      </c>
      <c r="R1605" t="str">
        <f>"ידני"</f>
        <v>ידני</v>
      </c>
      <c r="S1605">
        <v>0</v>
      </c>
      <c r="T1605" s="2">
        <v>20800</v>
      </c>
      <c r="U1605">
        <v>0</v>
      </c>
      <c r="V1605" s="2">
        <v>20800</v>
      </c>
      <c r="W1605" t="str">
        <f>"$"</f>
        <v>$</v>
      </c>
      <c r="X1605">
        <v>0</v>
      </c>
      <c r="Y1605">
        <v>0</v>
      </c>
      <c r="Z1605">
        <v>0</v>
      </c>
      <c r="AA1605" t="str">
        <f>"Y"</f>
        <v>Y</v>
      </c>
      <c r="AC1605">
        <v>0</v>
      </c>
      <c r="AM1605" t="str">
        <f>"10"</f>
        <v>10</v>
      </c>
      <c r="AN1605" t="str">
        <f>"500000"</f>
        <v>500000</v>
      </c>
      <c r="AO1605" t="str">
        <f>"הכנסות  מלקוחות"</f>
        <v>הכנסות  מלקוחות</v>
      </c>
      <c r="AQ1605" t="str">
        <f>"007"</f>
        <v>007</v>
      </c>
      <c r="AR1605">
        <v>0</v>
      </c>
      <c r="AS1605">
        <v>0</v>
      </c>
      <c r="AT1605">
        <v>3.3159999999999998</v>
      </c>
      <c r="BB1605" t="str">
        <f>"Y"</f>
        <v>Y</v>
      </c>
      <c r="BD1605" t="str">
        <f>"רוני דידי"</f>
        <v>רוני דידי</v>
      </c>
    </row>
    <row r="1606" spans="1:56" x14ac:dyDescent="0.3">
      <c r="A1606" s="1">
        <v>44712</v>
      </c>
      <c r="B1606" t="str">
        <f>"SI226000604"</f>
        <v>SI226000604</v>
      </c>
      <c r="C1606" t="str">
        <f>"PR21000890"</f>
        <v>PR21000890</v>
      </c>
      <c r="E1606" t="str">
        <f>"Y"</f>
        <v>Y</v>
      </c>
      <c r="F1606" t="str">
        <f>"חשבוניות מרכזות"</f>
        <v>חשבוניות מרכזות</v>
      </c>
      <c r="G1606" t="str">
        <f>"700065"</f>
        <v>700065</v>
      </c>
      <c r="H1606" t="str">
        <f>"אלתא מערכות בע""מ"</f>
        <v>אלתא מערכות בע"מ</v>
      </c>
      <c r="I1606" t="str">
        <f>"10"</f>
        <v>10</v>
      </c>
      <c r="J1606" t="str">
        <f>"OP-AR02879"</f>
        <v>OP-AR02879</v>
      </c>
      <c r="K1606" t="str">
        <f>"1023B194-001   WSV131 CABLE ASSY"</f>
        <v>1023B194-001   WSV131 CABLE ASSY</v>
      </c>
      <c r="L1606">
        <v>-2</v>
      </c>
      <c r="M1606" t="str">
        <f>"יח"</f>
        <v>יח</v>
      </c>
      <c r="N1606">
        <v>-2</v>
      </c>
      <c r="O1606" t="str">
        <f>"יח"</f>
        <v>יח</v>
      </c>
      <c r="P1606">
        <v>602.48</v>
      </c>
      <c r="Q1606" t="str">
        <f>"$"</f>
        <v>$</v>
      </c>
      <c r="R1606" t="str">
        <f>"הזמנה"</f>
        <v>הזמנה</v>
      </c>
      <c r="S1606">
        <v>0</v>
      </c>
      <c r="T1606" s="2">
        <v>-1204.96</v>
      </c>
      <c r="U1606">
        <v>0</v>
      </c>
      <c r="V1606" s="2">
        <v>-1204.96</v>
      </c>
      <c r="W1606" t="str">
        <f>"$"</f>
        <v>$</v>
      </c>
      <c r="X1606">
        <v>0</v>
      </c>
      <c r="Y1606">
        <v>0</v>
      </c>
      <c r="Z1606">
        <v>0</v>
      </c>
      <c r="AA1606" t="str">
        <f>"Y"</f>
        <v>Y</v>
      </c>
      <c r="AC1606">
        <v>0</v>
      </c>
      <c r="AM1606" t="str">
        <f>"10"</f>
        <v>10</v>
      </c>
      <c r="AN1606" t="str">
        <f>"500000"</f>
        <v>500000</v>
      </c>
      <c r="AO1606" t="str">
        <f>"הכנסות  מלקוחות"</f>
        <v>הכנסות  מלקוחות</v>
      </c>
      <c r="AQ1606" t="str">
        <f>"040"</f>
        <v>040</v>
      </c>
      <c r="AR1606">
        <v>0</v>
      </c>
      <c r="AS1606">
        <v>0</v>
      </c>
      <c r="AT1606">
        <v>3.3159999999999998</v>
      </c>
      <c r="BB1606" t="str">
        <f>"Y"</f>
        <v>Y</v>
      </c>
      <c r="BD1606" t="str">
        <f>"רחמים זרוק"</f>
        <v>רחמים זרוק</v>
      </c>
    </row>
    <row r="1607" spans="1:56" x14ac:dyDescent="0.3">
      <c r="A1607" s="1">
        <v>44712</v>
      </c>
      <c r="B1607" t="str">
        <f>"SI226000604"</f>
        <v>SI226000604</v>
      </c>
      <c r="C1607" t="str">
        <f>"PR21000890"</f>
        <v>PR21000890</v>
      </c>
      <c r="E1607" t="str">
        <f>"Y"</f>
        <v>Y</v>
      </c>
      <c r="F1607" t="str">
        <f>"חשבוניות מרכזות"</f>
        <v>חשבוניות מרכזות</v>
      </c>
      <c r="G1607" t="str">
        <f>"700065"</f>
        <v>700065</v>
      </c>
      <c r="H1607" t="str">
        <f>"אלתא מערכות בע""מ"</f>
        <v>אלתא מערכות בע"מ</v>
      </c>
      <c r="I1607" t="str">
        <f>"10"</f>
        <v>10</v>
      </c>
      <c r="J1607" t="str">
        <f>"OP-AR02884"</f>
        <v>OP-AR02884</v>
      </c>
      <c r="K1607" t="str">
        <f>"1023B440-001   WSA113 CABLE ASSY"</f>
        <v>1023B440-001   WSA113 CABLE ASSY</v>
      </c>
      <c r="L1607">
        <v>-1</v>
      </c>
      <c r="M1607" t="str">
        <f>"יח"</f>
        <v>יח</v>
      </c>
      <c r="N1607">
        <v>-1</v>
      </c>
      <c r="O1607" t="str">
        <f>"יח"</f>
        <v>יח</v>
      </c>
      <c r="P1607" s="2">
        <v>1021.14</v>
      </c>
      <c r="Q1607" t="str">
        <f>"$"</f>
        <v>$</v>
      </c>
      <c r="R1607" t="str">
        <f>"הזמנה"</f>
        <v>הזמנה</v>
      </c>
      <c r="S1607">
        <v>0</v>
      </c>
      <c r="T1607" s="2">
        <v>-1021.14</v>
      </c>
      <c r="U1607">
        <v>0</v>
      </c>
      <c r="V1607" s="2">
        <v>-1021.14</v>
      </c>
      <c r="W1607" t="str">
        <f>"$"</f>
        <v>$</v>
      </c>
      <c r="X1607">
        <v>0</v>
      </c>
      <c r="Y1607">
        <v>0</v>
      </c>
      <c r="Z1607">
        <v>0</v>
      </c>
      <c r="AA1607" t="str">
        <f>"Y"</f>
        <v>Y</v>
      </c>
      <c r="AC1607">
        <v>0</v>
      </c>
      <c r="AM1607" t="str">
        <f>"10"</f>
        <v>10</v>
      </c>
      <c r="AN1607" t="str">
        <f>"500000"</f>
        <v>500000</v>
      </c>
      <c r="AO1607" t="str">
        <f>"הכנסות  מלקוחות"</f>
        <v>הכנסות  מלקוחות</v>
      </c>
      <c r="AQ1607" t="str">
        <f>"040"</f>
        <v>040</v>
      </c>
      <c r="AR1607">
        <v>0</v>
      </c>
      <c r="AS1607">
        <v>0</v>
      </c>
      <c r="AT1607">
        <v>3.3159999999999998</v>
      </c>
      <c r="BB1607" t="str">
        <f>"Y"</f>
        <v>Y</v>
      </c>
      <c r="BD1607" t="str">
        <f>"רחמים זרוק"</f>
        <v>רחמים זרוק</v>
      </c>
    </row>
    <row r="1608" spans="1:56" x14ac:dyDescent="0.3">
      <c r="A1608" s="1">
        <v>44712</v>
      </c>
      <c r="B1608" t="str">
        <f>"SI226000603"</f>
        <v>SI226000603</v>
      </c>
      <c r="C1608" t="str">
        <f>"PR21000890"</f>
        <v>PR21000890</v>
      </c>
      <c r="E1608" t="str">
        <f>"Y"</f>
        <v>Y</v>
      </c>
      <c r="F1608" t="str">
        <f>"חשבוניות מרכזות"</f>
        <v>חשבוניות מרכזות</v>
      </c>
      <c r="G1608" t="str">
        <f>"700065"</f>
        <v>700065</v>
      </c>
      <c r="H1608" t="str">
        <f>"אלתא מערכות בע""מ"</f>
        <v>אלתא מערכות בע"מ</v>
      </c>
      <c r="I1608" t="str">
        <f>"10"</f>
        <v>10</v>
      </c>
      <c r="J1608" t="str">
        <f>"OP-AR02879"</f>
        <v>OP-AR02879</v>
      </c>
      <c r="K1608" t="str">
        <f>"1023B194-001   WSV131 CABLE ASSY"</f>
        <v>1023B194-001   WSV131 CABLE ASSY</v>
      </c>
      <c r="L1608">
        <v>2</v>
      </c>
      <c r="M1608" t="str">
        <f>"יח"</f>
        <v>יח</v>
      </c>
      <c r="N1608">
        <v>2</v>
      </c>
      <c r="O1608" t="str">
        <f>"יח"</f>
        <v>יח</v>
      </c>
      <c r="P1608">
        <v>602.48</v>
      </c>
      <c r="Q1608" t="str">
        <f>"$"</f>
        <v>$</v>
      </c>
      <c r="R1608" t="str">
        <f>"הזמנה"</f>
        <v>הזמנה</v>
      </c>
      <c r="S1608">
        <v>0</v>
      </c>
      <c r="T1608" s="2">
        <v>1204.96</v>
      </c>
      <c r="U1608">
        <v>0</v>
      </c>
      <c r="V1608" s="2">
        <v>1204.96</v>
      </c>
      <c r="W1608" t="str">
        <f>"$"</f>
        <v>$</v>
      </c>
      <c r="X1608">
        <v>0</v>
      </c>
      <c r="Y1608">
        <v>0</v>
      </c>
      <c r="Z1608">
        <v>0</v>
      </c>
      <c r="AA1608" t="str">
        <f>"Y"</f>
        <v>Y</v>
      </c>
      <c r="AC1608">
        <v>0</v>
      </c>
      <c r="AM1608" t="str">
        <f>"10"</f>
        <v>10</v>
      </c>
      <c r="AN1608" t="str">
        <f>"500000"</f>
        <v>500000</v>
      </c>
      <c r="AO1608" t="str">
        <f>"הכנסות  מלקוחות"</f>
        <v>הכנסות  מלקוחות</v>
      </c>
      <c r="AQ1608" t="str">
        <f>"040"</f>
        <v>040</v>
      </c>
      <c r="AR1608">
        <v>0</v>
      </c>
      <c r="AS1608">
        <v>0</v>
      </c>
      <c r="AT1608">
        <v>3.3159999999999998</v>
      </c>
      <c r="BB1608" t="str">
        <f>"Y"</f>
        <v>Y</v>
      </c>
      <c r="BD1608" t="str">
        <f>"רחמים זרוק"</f>
        <v>רחמים זרוק</v>
      </c>
    </row>
    <row r="1609" spans="1:56" x14ac:dyDescent="0.3">
      <c r="A1609" s="1">
        <v>44712</v>
      </c>
      <c r="B1609" t="str">
        <f>"SI226000603"</f>
        <v>SI226000603</v>
      </c>
      <c r="C1609" t="str">
        <f>"PR21000890"</f>
        <v>PR21000890</v>
      </c>
      <c r="E1609" t="str">
        <f>"Y"</f>
        <v>Y</v>
      </c>
      <c r="F1609" t="str">
        <f>"חשבוניות מרכזות"</f>
        <v>חשבוניות מרכזות</v>
      </c>
      <c r="G1609" t="str">
        <f>"700065"</f>
        <v>700065</v>
      </c>
      <c r="H1609" t="str">
        <f>"אלתא מערכות בע""מ"</f>
        <v>אלתא מערכות בע"מ</v>
      </c>
      <c r="I1609" t="str">
        <f>"10"</f>
        <v>10</v>
      </c>
      <c r="J1609" t="str">
        <f>"OP-AR02884"</f>
        <v>OP-AR02884</v>
      </c>
      <c r="K1609" t="str">
        <f>"1023B440-001   WSA113 CABLE ASSY"</f>
        <v>1023B440-001   WSA113 CABLE ASSY</v>
      </c>
      <c r="L1609">
        <v>1</v>
      </c>
      <c r="M1609" t="str">
        <f>"יח"</f>
        <v>יח</v>
      </c>
      <c r="N1609">
        <v>1</v>
      </c>
      <c r="O1609" t="str">
        <f>"יח"</f>
        <v>יח</v>
      </c>
      <c r="P1609" s="2">
        <v>1021.14</v>
      </c>
      <c r="Q1609" t="str">
        <f>"$"</f>
        <v>$</v>
      </c>
      <c r="R1609" t="str">
        <f>"הזמנה"</f>
        <v>הזמנה</v>
      </c>
      <c r="S1609">
        <v>0</v>
      </c>
      <c r="T1609" s="2">
        <v>1021.14</v>
      </c>
      <c r="U1609">
        <v>0</v>
      </c>
      <c r="V1609" s="2">
        <v>1021.14</v>
      </c>
      <c r="W1609" t="str">
        <f>"$"</f>
        <v>$</v>
      </c>
      <c r="X1609">
        <v>0</v>
      </c>
      <c r="Y1609">
        <v>0</v>
      </c>
      <c r="Z1609">
        <v>0</v>
      </c>
      <c r="AA1609" t="str">
        <f>"Y"</f>
        <v>Y</v>
      </c>
      <c r="AC1609">
        <v>0</v>
      </c>
      <c r="AM1609" t="str">
        <f>"10"</f>
        <v>10</v>
      </c>
      <c r="AN1609" t="str">
        <f>"500000"</f>
        <v>500000</v>
      </c>
      <c r="AO1609" t="str">
        <f>"הכנסות  מלקוחות"</f>
        <v>הכנסות  מלקוחות</v>
      </c>
      <c r="AQ1609" t="str">
        <f>"040"</f>
        <v>040</v>
      </c>
      <c r="AR1609">
        <v>0</v>
      </c>
      <c r="AS1609">
        <v>0</v>
      </c>
      <c r="AT1609">
        <v>3.3159999999999998</v>
      </c>
      <c r="BB1609" t="str">
        <f>"Y"</f>
        <v>Y</v>
      </c>
      <c r="BD1609" t="str">
        <f>"רחמים זרוק"</f>
        <v>רחמים זרוק</v>
      </c>
    </row>
    <row r="1610" spans="1:56" x14ac:dyDescent="0.3">
      <c r="A1610" s="1">
        <v>44712</v>
      </c>
      <c r="B1610" t="str">
        <f>"SI226000598"</f>
        <v>SI226000598</v>
      </c>
      <c r="C1610" t="str">
        <f>"PR20000699"</f>
        <v>PR20000699</v>
      </c>
      <c r="E1610" t="str">
        <f>"Y"</f>
        <v>Y</v>
      </c>
      <c r="F1610" t="str">
        <f>"חשבוניות מרכזות"</f>
        <v>חשבוניות מרכזות</v>
      </c>
      <c r="G1610" t="str">
        <f>"700065"</f>
        <v>700065</v>
      </c>
      <c r="H1610" t="str">
        <f>"אלתא מערכות בע""מ"</f>
        <v>אלתא מערכות בע"מ</v>
      </c>
      <c r="I1610" t="str">
        <f>"10"</f>
        <v>10</v>
      </c>
      <c r="J1610" t="str">
        <f>"000"</f>
        <v>000</v>
      </c>
      <c r="K1610" t="str">
        <f>"תוספת עלות לייצור לאחר שינויים ב-RPS2"</f>
        <v>תוספת עלות לייצור לאחר שינויים ב-RPS2</v>
      </c>
      <c r="L1610">
        <v>1</v>
      </c>
      <c r="M1610" t="str">
        <f>"יח"</f>
        <v>יח</v>
      </c>
      <c r="N1610">
        <v>1</v>
      </c>
      <c r="O1610" t="str">
        <f>"יח"</f>
        <v>יח</v>
      </c>
      <c r="P1610" s="2">
        <v>25000</v>
      </c>
      <c r="Q1610" t="str">
        <f>"$"</f>
        <v>$</v>
      </c>
      <c r="R1610" t="str">
        <f>"הזמנה"</f>
        <v>הזמנה</v>
      </c>
      <c r="S1610">
        <v>0</v>
      </c>
      <c r="T1610" s="2">
        <v>25000</v>
      </c>
      <c r="U1610">
        <v>0</v>
      </c>
      <c r="V1610" s="2">
        <v>25000</v>
      </c>
      <c r="W1610" t="str">
        <f>"$"</f>
        <v>$</v>
      </c>
      <c r="X1610">
        <v>0</v>
      </c>
      <c r="Y1610">
        <v>0</v>
      </c>
      <c r="Z1610">
        <v>0</v>
      </c>
      <c r="AA1610" t="str">
        <f>"Y"</f>
        <v>Y</v>
      </c>
      <c r="AB1610" t="str">
        <f>"SO22000061"</f>
        <v>SO22000061</v>
      </c>
      <c r="AC1610">
        <v>2</v>
      </c>
      <c r="AD1610" s="1">
        <v>44612</v>
      </c>
      <c r="AE1610" t="str">
        <f>"SH22000409"</f>
        <v>SH22000409</v>
      </c>
      <c r="AF1610" t="str">
        <f>"משלוחים ללקוח"</f>
        <v>משלוחים ללקוח</v>
      </c>
      <c r="AG1610" s="1">
        <v>44662</v>
      </c>
      <c r="AM1610" t="str">
        <f>"10"</f>
        <v>10</v>
      </c>
      <c r="AN1610" t="str">
        <f>"500000"</f>
        <v>500000</v>
      </c>
      <c r="AO1610" t="str">
        <f>"הכנסות  מלקוחות"</f>
        <v>הכנסות  מלקוחות</v>
      </c>
      <c r="AQ1610" t="str">
        <f>"034"</f>
        <v>034</v>
      </c>
      <c r="AR1610">
        <v>0</v>
      </c>
      <c r="AS1610">
        <v>0</v>
      </c>
      <c r="AT1610">
        <v>3.3159999999999998</v>
      </c>
      <c r="AX1610" t="str">
        <f>"E000356936"</f>
        <v>E000356936</v>
      </c>
      <c r="BD1610" t="str">
        <f>"ערן שלו"</f>
        <v>ערן שלו</v>
      </c>
    </row>
    <row r="1611" spans="1:56" x14ac:dyDescent="0.3">
      <c r="A1611" s="1">
        <v>44711</v>
      </c>
      <c r="B1611" t="str">
        <f>"SI226000661"</f>
        <v>SI226000661</v>
      </c>
      <c r="C1611" t="str">
        <f>"PR22000245"</f>
        <v>PR22000245</v>
      </c>
      <c r="E1611" t="str">
        <f>"Y"</f>
        <v>Y</v>
      </c>
      <c r="F1611" t="str">
        <f>"חשבוניות מרכזות"</f>
        <v>חשבוניות מרכזות</v>
      </c>
      <c r="G1611" t="str">
        <f>"700065"</f>
        <v>700065</v>
      </c>
      <c r="H1611" t="str">
        <f>"אלתא מערכות בע""מ"</f>
        <v>אלתא מערכות בע"מ</v>
      </c>
      <c r="I1611" t="str">
        <f>"10"</f>
        <v>10</v>
      </c>
      <c r="J1611" t="str">
        <f>"PD0248754"</f>
        <v>PD0248754</v>
      </c>
      <c r="K1611" t="str">
        <f>"מנוע הפעלה ABB T4-T5 220V"</f>
        <v>מנוע הפעלה ABB T4-T5 220V</v>
      </c>
      <c r="L1611">
        <v>2</v>
      </c>
      <c r="M1611" t="str">
        <f>"יח"</f>
        <v>יח</v>
      </c>
      <c r="N1611">
        <v>2</v>
      </c>
      <c r="O1611" t="str">
        <f>"יח"</f>
        <v>יח</v>
      </c>
      <c r="P1611">
        <v>390</v>
      </c>
      <c r="Q1611" t="str">
        <f>"$"</f>
        <v>$</v>
      </c>
      <c r="R1611" t="str">
        <f>"הזמנה"</f>
        <v>הזמנה</v>
      </c>
      <c r="S1611">
        <v>0</v>
      </c>
      <c r="T1611">
        <v>780</v>
      </c>
      <c r="U1611">
        <v>0</v>
      </c>
      <c r="V1611">
        <v>780</v>
      </c>
      <c r="W1611" t="str">
        <f>"$"</f>
        <v>$</v>
      </c>
      <c r="X1611">
        <v>0</v>
      </c>
      <c r="Y1611">
        <v>0</v>
      </c>
      <c r="Z1611">
        <v>0</v>
      </c>
      <c r="AA1611" t="str">
        <f>"Y"</f>
        <v>Y</v>
      </c>
      <c r="AB1611" t="str">
        <f>"SO22000113"</f>
        <v>SO22000113</v>
      </c>
      <c r="AC1611">
        <v>20</v>
      </c>
      <c r="AD1611" s="1">
        <v>44641</v>
      </c>
      <c r="AE1611" t="str">
        <f>"SH22000623"</f>
        <v>SH22000623</v>
      </c>
      <c r="AF1611" t="str">
        <f>"משלוחים ללקוח"</f>
        <v>משלוחים ללקוח</v>
      </c>
      <c r="AG1611" s="1">
        <v>44711</v>
      </c>
      <c r="AM1611" t="str">
        <f>"10"</f>
        <v>10</v>
      </c>
      <c r="AN1611" t="str">
        <f>"500000"</f>
        <v>500000</v>
      </c>
      <c r="AO1611" t="str">
        <f>"הכנסות  מלקוחות"</f>
        <v>הכנסות  מלקוחות</v>
      </c>
      <c r="AQ1611" t="str">
        <f>"007"</f>
        <v>007</v>
      </c>
      <c r="AR1611">
        <v>0</v>
      </c>
      <c r="AS1611">
        <v>0</v>
      </c>
      <c r="AT1611">
        <v>3.3159999999999998</v>
      </c>
      <c r="AX1611" t="str">
        <f>"E000360545"</f>
        <v>E000360545</v>
      </c>
      <c r="BD1611" t="str">
        <f>"רוני דידי"</f>
        <v>רוני דידי</v>
      </c>
    </row>
    <row r="1612" spans="1:56" x14ac:dyDescent="0.3">
      <c r="A1612" s="1">
        <v>44711</v>
      </c>
      <c r="B1612" t="str">
        <f>"SI226000661"</f>
        <v>SI226000661</v>
      </c>
      <c r="C1612" t="str">
        <f>"PR22000245"</f>
        <v>PR22000245</v>
      </c>
      <c r="E1612" t="str">
        <f>"Y"</f>
        <v>Y</v>
      </c>
      <c r="F1612" t="str">
        <f>"חשבוניות מרכזות"</f>
        <v>חשבוניות מרכזות</v>
      </c>
      <c r="G1612" t="str">
        <f>"700065"</f>
        <v>700065</v>
      </c>
      <c r="H1612" t="str">
        <f>"אלתא מערכות בע""מ"</f>
        <v>אלתא מערכות בע"מ</v>
      </c>
      <c r="I1612" t="str">
        <f>"10"</f>
        <v>10</v>
      </c>
      <c r="J1612" t="str">
        <f>"PS0200161"</f>
        <v>PS0200161</v>
      </c>
      <c r="K1612" t="str">
        <f>"ספק כח ווידמולר 1478150000 pro max 960W 24V 40A"</f>
        <v>ספק כח ווידמולר 1478150000 pro max 960W 24V 40A</v>
      </c>
      <c r="L1612">
        <v>5</v>
      </c>
      <c r="M1612" t="str">
        <f>"יח"</f>
        <v>יח</v>
      </c>
      <c r="N1612">
        <v>5</v>
      </c>
      <c r="O1612" t="str">
        <f>"יח"</f>
        <v>יח</v>
      </c>
      <c r="P1612">
        <v>630</v>
      </c>
      <c r="Q1612" t="str">
        <f>"$"</f>
        <v>$</v>
      </c>
      <c r="R1612" t="str">
        <f>"הזמנה"</f>
        <v>הזמנה</v>
      </c>
      <c r="S1612">
        <v>0</v>
      </c>
      <c r="T1612" s="2">
        <v>3150</v>
      </c>
      <c r="U1612">
        <v>0</v>
      </c>
      <c r="V1612" s="2">
        <v>3150</v>
      </c>
      <c r="W1612" t="str">
        <f>"$"</f>
        <v>$</v>
      </c>
      <c r="X1612">
        <v>0</v>
      </c>
      <c r="Y1612">
        <v>0</v>
      </c>
      <c r="Z1612">
        <v>0</v>
      </c>
      <c r="AA1612" t="str">
        <f>"Y"</f>
        <v>Y</v>
      </c>
      <c r="AB1612" t="str">
        <f>"SO22000113"</f>
        <v>SO22000113</v>
      </c>
      <c r="AC1612">
        <v>21</v>
      </c>
      <c r="AD1612" s="1">
        <v>44641</v>
      </c>
      <c r="AE1612" t="str">
        <f>"SH22000623"</f>
        <v>SH22000623</v>
      </c>
      <c r="AF1612" t="str">
        <f>"משלוחים ללקוח"</f>
        <v>משלוחים ללקוח</v>
      </c>
      <c r="AG1612" s="1">
        <v>44711</v>
      </c>
      <c r="AM1612" t="str">
        <f>"10"</f>
        <v>10</v>
      </c>
      <c r="AN1612" t="str">
        <f>"500000"</f>
        <v>500000</v>
      </c>
      <c r="AO1612" t="str">
        <f>"הכנסות  מלקוחות"</f>
        <v>הכנסות  מלקוחות</v>
      </c>
      <c r="AQ1612" t="str">
        <f>"007"</f>
        <v>007</v>
      </c>
      <c r="AR1612">
        <v>0</v>
      </c>
      <c r="AS1612">
        <v>0</v>
      </c>
      <c r="AT1612">
        <v>3.3159999999999998</v>
      </c>
      <c r="AX1612" t="str">
        <f>"E000360545"</f>
        <v>E000360545</v>
      </c>
      <c r="BD1612" t="str">
        <f>"רוני דידי"</f>
        <v>רוני דידי</v>
      </c>
    </row>
    <row r="1613" spans="1:56" x14ac:dyDescent="0.3">
      <c r="A1613" s="1">
        <v>44711</v>
      </c>
      <c r="B1613" t="str">
        <f>"SI226000607"</f>
        <v>SI226000607</v>
      </c>
      <c r="C1613" t="str">
        <f>"PR22000373"</f>
        <v>PR22000373</v>
      </c>
      <c r="E1613" t="str">
        <f>"Y"</f>
        <v>Y</v>
      </c>
      <c r="F1613" t="str">
        <f>"חשבוניות מרכזות"</f>
        <v>חשבוניות מרכזות</v>
      </c>
      <c r="G1613" t="str">
        <f>"700065"</f>
        <v>700065</v>
      </c>
      <c r="H1613" t="str">
        <f>"אלתא מערכות בע""מ"</f>
        <v>אלתא מערכות בע"מ</v>
      </c>
      <c r="I1613" t="str">
        <f>"10"</f>
        <v>10</v>
      </c>
      <c r="J1613" t="str">
        <f>"PS0400063"</f>
        <v>PS0400063</v>
      </c>
      <c r="K1613" t="str">
        <f>"TSI-EPC-48V-230Vac-Module MEDIA ( Stainless)"</f>
        <v>TSI-EPC-48V-230Vac-Module MEDIA ( Stainless)</v>
      </c>
      <c r="L1613">
        <v>2</v>
      </c>
      <c r="M1613" t="str">
        <f>"יח"</f>
        <v>יח</v>
      </c>
      <c r="N1613">
        <v>2</v>
      </c>
      <c r="O1613" t="str">
        <f>"יח"</f>
        <v>יח</v>
      </c>
      <c r="P1613" s="2">
        <v>3350</v>
      </c>
      <c r="Q1613" t="str">
        <f>"$"</f>
        <v>$</v>
      </c>
      <c r="R1613" t="str">
        <f>"הזמנה"</f>
        <v>הזמנה</v>
      </c>
      <c r="S1613">
        <v>0</v>
      </c>
      <c r="T1613" s="2">
        <v>6700</v>
      </c>
      <c r="U1613">
        <v>0</v>
      </c>
      <c r="V1613" s="2">
        <v>6700</v>
      </c>
      <c r="W1613" t="str">
        <f>"$"</f>
        <v>$</v>
      </c>
      <c r="X1613">
        <v>0</v>
      </c>
      <c r="Y1613">
        <v>0</v>
      </c>
      <c r="Z1613">
        <v>0</v>
      </c>
      <c r="AA1613" t="str">
        <f>"Y"</f>
        <v>Y</v>
      </c>
      <c r="AB1613" t="str">
        <f>"SO22000196"</f>
        <v>SO22000196</v>
      </c>
      <c r="AC1613">
        <v>1</v>
      </c>
      <c r="AD1613" s="1">
        <v>44699</v>
      </c>
      <c r="AE1613" t="str">
        <f>"SH22000571"</f>
        <v>SH22000571</v>
      </c>
      <c r="AF1613" t="str">
        <f>"משלוחים ללקוח"</f>
        <v>משלוחים ללקוח</v>
      </c>
      <c r="AG1613" s="1">
        <v>44703</v>
      </c>
      <c r="AM1613" t="str">
        <f>"10"</f>
        <v>10</v>
      </c>
      <c r="AN1613" t="str">
        <f>"500000"</f>
        <v>500000</v>
      </c>
      <c r="AO1613" t="str">
        <f>"הכנסות  מלקוחות"</f>
        <v>הכנסות  מלקוחות</v>
      </c>
      <c r="AQ1613" t="str">
        <f>"007"</f>
        <v>007</v>
      </c>
      <c r="AR1613">
        <v>0</v>
      </c>
      <c r="AS1613">
        <v>0</v>
      </c>
      <c r="AT1613">
        <v>3.3159999999999998</v>
      </c>
      <c r="AX1613" t="str">
        <f>"E000364968"</f>
        <v>E000364968</v>
      </c>
      <c r="BD1613" t="str">
        <f>"רוני דידי"</f>
        <v>רוני דידי</v>
      </c>
    </row>
    <row r="1614" spans="1:56" x14ac:dyDescent="0.3">
      <c r="A1614" s="1">
        <v>44711</v>
      </c>
      <c r="B1614" t="str">
        <f>"SI226000606"</f>
        <v>SI226000606</v>
      </c>
      <c r="C1614" t="str">
        <f>"PR21000643"</f>
        <v>PR21000643</v>
      </c>
      <c r="E1614" t="str">
        <f>"Y"</f>
        <v>Y</v>
      </c>
      <c r="F1614" t="str">
        <f>"חשבוניות מרכזות"</f>
        <v>חשבוניות מרכזות</v>
      </c>
      <c r="G1614" t="str">
        <f>"700065"</f>
        <v>700065</v>
      </c>
      <c r="H1614" t="str">
        <f>"אלתא מערכות בע""מ"</f>
        <v>אלתא מערכות בע"מ</v>
      </c>
      <c r="I1614" t="str">
        <f>"10"</f>
        <v>10</v>
      </c>
      <c r="J1614" t="str">
        <f>"OP-AR02796"</f>
        <v>OP-AR02796</v>
      </c>
      <c r="K1614" t="str">
        <f>"2218B942-001   W51SP1 CABLE ASSY"</f>
        <v>2218B942-001   W51SP1 CABLE ASSY</v>
      </c>
      <c r="L1614">
        <v>1</v>
      </c>
      <c r="M1614" t="str">
        <f>"יח"</f>
        <v>יח</v>
      </c>
      <c r="N1614">
        <v>1</v>
      </c>
      <c r="O1614" t="str">
        <f>"יח"</f>
        <v>יח</v>
      </c>
      <c r="P1614">
        <v>264.91000000000003</v>
      </c>
      <c r="Q1614" t="str">
        <f>"$"</f>
        <v>$</v>
      </c>
      <c r="R1614" t="str">
        <f>"הזמנה"</f>
        <v>הזמנה</v>
      </c>
      <c r="S1614">
        <v>0</v>
      </c>
      <c r="T1614">
        <v>264.91000000000003</v>
      </c>
      <c r="U1614">
        <v>0</v>
      </c>
      <c r="V1614">
        <v>264.91000000000003</v>
      </c>
      <c r="W1614" t="str">
        <f>"$"</f>
        <v>$</v>
      </c>
      <c r="X1614">
        <v>0</v>
      </c>
      <c r="Y1614">
        <v>0</v>
      </c>
      <c r="Z1614">
        <v>0</v>
      </c>
      <c r="AA1614" t="str">
        <f>"Y"</f>
        <v>Y</v>
      </c>
      <c r="AB1614" t="str">
        <f>"SO21000406"</f>
        <v>SO21000406</v>
      </c>
      <c r="AC1614">
        <v>4</v>
      </c>
      <c r="AD1614" s="1">
        <v>44458</v>
      </c>
      <c r="AE1614" t="str">
        <f>"SH22000582"</f>
        <v>SH22000582</v>
      </c>
      <c r="AF1614" t="str">
        <f>"משלוחים ללקוח"</f>
        <v>משלוחים ללקוח</v>
      </c>
      <c r="AG1614" s="1">
        <v>44704</v>
      </c>
      <c r="AM1614" t="str">
        <f>"10"</f>
        <v>10</v>
      </c>
      <c r="AN1614" t="str">
        <f>"500000"</f>
        <v>500000</v>
      </c>
      <c r="AO1614" t="str">
        <f>"הכנסות  מלקוחות"</f>
        <v>הכנסות  מלקוחות</v>
      </c>
      <c r="AQ1614" t="str">
        <f>"040"</f>
        <v>040</v>
      </c>
      <c r="AR1614">
        <v>0</v>
      </c>
      <c r="AS1614">
        <v>0</v>
      </c>
      <c r="AT1614">
        <v>3.3159999999999998</v>
      </c>
      <c r="AX1614" t="str">
        <f>"E000345587"</f>
        <v>E000345587</v>
      </c>
      <c r="BD1614" t="str">
        <f>"רחמים זרוק"</f>
        <v>רחמים זרוק</v>
      </c>
    </row>
    <row r="1615" spans="1:56" x14ac:dyDescent="0.3">
      <c r="A1615" s="1">
        <v>44711</v>
      </c>
      <c r="B1615" t="str">
        <f>"SI226000606"</f>
        <v>SI226000606</v>
      </c>
      <c r="C1615" t="str">
        <f>"PR21000643"</f>
        <v>PR21000643</v>
      </c>
      <c r="E1615" t="str">
        <f>"Y"</f>
        <v>Y</v>
      </c>
      <c r="F1615" t="str">
        <f>"חשבוניות מרכזות"</f>
        <v>חשבוניות מרכזות</v>
      </c>
      <c r="G1615" t="str">
        <f>"700065"</f>
        <v>700065</v>
      </c>
      <c r="H1615" t="str">
        <f>"אלתא מערכות בע""מ"</f>
        <v>אלתא מערכות בע"מ</v>
      </c>
      <c r="I1615" t="str">
        <f>"10"</f>
        <v>10</v>
      </c>
      <c r="J1615" t="str">
        <f>"OP-AR02797"</f>
        <v>OP-AR02797</v>
      </c>
      <c r="K1615" t="str">
        <f>"2218B944-001   W51SP2 CABLE ASSY"</f>
        <v>2218B944-001   W51SP2 CABLE ASSY</v>
      </c>
      <c r="L1615">
        <v>1</v>
      </c>
      <c r="M1615" t="str">
        <f>"יח"</f>
        <v>יח</v>
      </c>
      <c r="N1615">
        <v>1</v>
      </c>
      <c r="O1615" t="str">
        <f>"יח"</f>
        <v>יח</v>
      </c>
      <c r="P1615">
        <v>264.20999999999998</v>
      </c>
      <c r="Q1615" t="str">
        <f>"$"</f>
        <v>$</v>
      </c>
      <c r="R1615" t="str">
        <f>"הזמנה"</f>
        <v>הזמנה</v>
      </c>
      <c r="S1615">
        <v>0</v>
      </c>
      <c r="T1615">
        <v>264.20999999999998</v>
      </c>
      <c r="U1615">
        <v>0</v>
      </c>
      <c r="V1615">
        <v>264.20999999999998</v>
      </c>
      <c r="W1615" t="str">
        <f>"$"</f>
        <v>$</v>
      </c>
      <c r="X1615">
        <v>0</v>
      </c>
      <c r="Y1615">
        <v>0</v>
      </c>
      <c r="Z1615">
        <v>0</v>
      </c>
      <c r="AA1615" t="str">
        <f>"Y"</f>
        <v>Y</v>
      </c>
      <c r="AB1615" t="str">
        <f>"SO21000406"</f>
        <v>SO21000406</v>
      </c>
      <c r="AC1615">
        <v>5</v>
      </c>
      <c r="AD1615" s="1">
        <v>44458</v>
      </c>
      <c r="AE1615" t="str">
        <f>"SH22000582"</f>
        <v>SH22000582</v>
      </c>
      <c r="AF1615" t="str">
        <f>"משלוחים ללקוח"</f>
        <v>משלוחים ללקוח</v>
      </c>
      <c r="AG1615" s="1">
        <v>44704</v>
      </c>
      <c r="AM1615" t="str">
        <f>"10"</f>
        <v>10</v>
      </c>
      <c r="AN1615" t="str">
        <f>"500000"</f>
        <v>500000</v>
      </c>
      <c r="AO1615" t="str">
        <f>"הכנסות  מלקוחות"</f>
        <v>הכנסות  מלקוחות</v>
      </c>
      <c r="AQ1615" t="str">
        <f>"040"</f>
        <v>040</v>
      </c>
      <c r="AR1615">
        <v>0</v>
      </c>
      <c r="AS1615">
        <v>0</v>
      </c>
      <c r="AT1615">
        <v>3.3159999999999998</v>
      </c>
      <c r="AX1615" t="str">
        <f>"E000345587"</f>
        <v>E000345587</v>
      </c>
      <c r="BD1615" t="str">
        <f>"רחמים זרוק"</f>
        <v>רחמים זרוק</v>
      </c>
    </row>
    <row r="1616" spans="1:56" x14ac:dyDescent="0.3">
      <c r="A1616" s="1">
        <v>44711</v>
      </c>
      <c r="B1616" t="str">
        <f>"SI226000605"</f>
        <v>SI226000605</v>
      </c>
      <c r="C1616" t="str">
        <f>"PR21000890"</f>
        <v>PR21000890</v>
      </c>
      <c r="D1616" t="str">
        <f>"PR21000890"</f>
        <v>PR21000890</v>
      </c>
      <c r="E1616" t="str">
        <f>"Y"</f>
        <v>Y</v>
      </c>
      <c r="F1616" t="str">
        <f>"חשבוניות מרכזות"</f>
        <v>חשבוניות מרכזות</v>
      </c>
      <c r="G1616" t="str">
        <f>"700065"</f>
        <v>700065</v>
      </c>
      <c r="H1616" t="str">
        <f>"אלתא מערכות בע""מ"</f>
        <v>אלתא מערכות בע"מ</v>
      </c>
      <c r="I1616" t="str">
        <f>"10"</f>
        <v>10</v>
      </c>
      <c r="J1616" t="str">
        <f>"OP-AR02879"</f>
        <v>OP-AR02879</v>
      </c>
      <c r="K1616" t="str">
        <f>"1023B194-001   WSV131 CABLE ASSY"</f>
        <v>1023B194-001   WSV131 CABLE ASSY</v>
      </c>
      <c r="L1616">
        <v>2</v>
      </c>
      <c r="M1616" t="str">
        <f>"יח"</f>
        <v>יח</v>
      </c>
      <c r="N1616">
        <v>2</v>
      </c>
      <c r="O1616" t="str">
        <f>"יח"</f>
        <v>יח</v>
      </c>
      <c r="P1616">
        <v>602.48</v>
      </c>
      <c r="Q1616" t="str">
        <f>"$"</f>
        <v>$</v>
      </c>
      <c r="R1616" t="str">
        <f>"הזמנה"</f>
        <v>הזמנה</v>
      </c>
      <c r="S1616">
        <v>0</v>
      </c>
      <c r="T1616" s="2">
        <v>1204.96</v>
      </c>
      <c r="U1616">
        <v>0</v>
      </c>
      <c r="V1616" s="2">
        <v>1204.96</v>
      </c>
      <c r="W1616" t="str">
        <f>"$"</f>
        <v>$</v>
      </c>
      <c r="X1616">
        <v>0</v>
      </c>
      <c r="Y1616">
        <v>0</v>
      </c>
      <c r="Z1616">
        <v>0</v>
      </c>
      <c r="AA1616" t="str">
        <f>"Y"</f>
        <v>Y</v>
      </c>
      <c r="AB1616" t="str">
        <f>"SO22000004"</f>
        <v>SO22000004</v>
      </c>
      <c r="AC1616">
        <v>4</v>
      </c>
      <c r="AD1616" s="1">
        <v>44564</v>
      </c>
      <c r="AE1616" t="str">
        <f>"SH22000600"</f>
        <v>SH22000600</v>
      </c>
      <c r="AF1616" t="str">
        <f>"משלוחים ללקוח"</f>
        <v>משלוחים ללקוח</v>
      </c>
      <c r="AG1616" s="1">
        <v>44710</v>
      </c>
      <c r="AM1616" t="str">
        <f>"10"</f>
        <v>10</v>
      </c>
      <c r="AN1616" t="str">
        <f>"500000"</f>
        <v>500000</v>
      </c>
      <c r="AO1616" t="str">
        <f>"הכנסות  מלקוחות"</f>
        <v>הכנסות  מלקוחות</v>
      </c>
      <c r="AQ1616" t="str">
        <f>"040"</f>
        <v>040</v>
      </c>
      <c r="AR1616">
        <v>0</v>
      </c>
      <c r="AS1616">
        <v>0</v>
      </c>
      <c r="AT1616">
        <v>3.3159999999999998</v>
      </c>
      <c r="AX1616" t="str">
        <f>"E000350605"</f>
        <v>E000350605</v>
      </c>
      <c r="BD1616" t="str">
        <f>"רחמים זרוק"</f>
        <v>רחמים זרוק</v>
      </c>
    </row>
    <row r="1617" spans="1:56" x14ac:dyDescent="0.3">
      <c r="A1617" s="1">
        <v>44711</v>
      </c>
      <c r="B1617" t="str">
        <f>"SI226000605"</f>
        <v>SI226000605</v>
      </c>
      <c r="C1617" t="str">
        <f>"PR21000890"</f>
        <v>PR21000890</v>
      </c>
      <c r="D1617" t="str">
        <f>"PR21000890"</f>
        <v>PR21000890</v>
      </c>
      <c r="E1617" t="str">
        <f>"Y"</f>
        <v>Y</v>
      </c>
      <c r="F1617" t="str">
        <f>"חשבוניות מרכזות"</f>
        <v>חשבוניות מרכזות</v>
      </c>
      <c r="G1617" t="str">
        <f>"700065"</f>
        <v>700065</v>
      </c>
      <c r="H1617" t="str">
        <f>"אלתא מערכות בע""מ"</f>
        <v>אלתא מערכות בע"מ</v>
      </c>
      <c r="I1617" t="str">
        <f>"10"</f>
        <v>10</v>
      </c>
      <c r="J1617" t="str">
        <f>"OP-AR02884"</f>
        <v>OP-AR02884</v>
      </c>
      <c r="K1617" t="str">
        <f>"1023B440-001   WSA113 CABLE ASSY"</f>
        <v>1023B440-001   WSA113 CABLE ASSY</v>
      </c>
      <c r="L1617">
        <v>1</v>
      </c>
      <c r="M1617" t="str">
        <f>"יח"</f>
        <v>יח</v>
      </c>
      <c r="N1617">
        <v>1</v>
      </c>
      <c r="O1617" t="str">
        <f>"יח"</f>
        <v>יח</v>
      </c>
      <c r="P1617" s="2">
        <v>1021.14</v>
      </c>
      <c r="Q1617" t="str">
        <f>"$"</f>
        <v>$</v>
      </c>
      <c r="R1617" t="str">
        <f>"הזמנה"</f>
        <v>הזמנה</v>
      </c>
      <c r="S1617">
        <v>0</v>
      </c>
      <c r="T1617" s="2">
        <v>1021.14</v>
      </c>
      <c r="U1617">
        <v>0</v>
      </c>
      <c r="V1617" s="2">
        <v>1021.14</v>
      </c>
      <c r="W1617" t="str">
        <f>"$"</f>
        <v>$</v>
      </c>
      <c r="X1617">
        <v>0</v>
      </c>
      <c r="Y1617">
        <v>0</v>
      </c>
      <c r="Z1617">
        <v>0</v>
      </c>
      <c r="AA1617" t="str">
        <f>"Y"</f>
        <v>Y</v>
      </c>
      <c r="AB1617" t="str">
        <f>"SO22000004"</f>
        <v>SO22000004</v>
      </c>
      <c r="AC1617">
        <v>9</v>
      </c>
      <c r="AD1617" s="1">
        <v>44564</v>
      </c>
      <c r="AE1617" t="str">
        <f>"SH22000600"</f>
        <v>SH22000600</v>
      </c>
      <c r="AF1617" t="str">
        <f>"משלוחים ללקוח"</f>
        <v>משלוחים ללקוח</v>
      </c>
      <c r="AG1617" s="1">
        <v>44710</v>
      </c>
      <c r="AM1617" t="str">
        <f>"10"</f>
        <v>10</v>
      </c>
      <c r="AN1617" t="str">
        <f>"500000"</f>
        <v>500000</v>
      </c>
      <c r="AO1617" t="str">
        <f>"הכנסות  מלקוחות"</f>
        <v>הכנסות  מלקוחות</v>
      </c>
      <c r="AQ1617" t="str">
        <f>"040"</f>
        <v>040</v>
      </c>
      <c r="AR1617">
        <v>0</v>
      </c>
      <c r="AS1617">
        <v>0</v>
      </c>
      <c r="AT1617">
        <v>3.3159999999999998</v>
      </c>
      <c r="AX1617" t="str">
        <f>"E000350605"</f>
        <v>E000350605</v>
      </c>
      <c r="BD1617" t="str">
        <f>"רחמים זרוק"</f>
        <v>רחמים זרוק</v>
      </c>
    </row>
    <row r="1618" spans="1:56" x14ac:dyDescent="0.3">
      <c r="A1618" s="1">
        <v>44711</v>
      </c>
      <c r="B1618" t="str">
        <f>"SI226000602"</f>
        <v>SI226000602</v>
      </c>
      <c r="C1618" t="str">
        <f>"PR22000045"</f>
        <v>PR22000045</v>
      </c>
      <c r="D1618" t="str">
        <f>"PR22000045"</f>
        <v>PR22000045</v>
      </c>
      <c r="E1618" t="str">
        <f>"Y"</f>
        <v>Y</v>
      </c>
      <c r="F1618" t="str">
        <f>"חשבוניות מרכזות"</f>
        <v>חשבוניות מרכזות</v>
      </c>
      <c r="G1618" t="str">
        <f>"700065"</f>
        <v>700065</v>
      </c>
      <c r="H1618" t="str">
        <f>"אלתא מערכות בע""מ"</f>
        <v>אלתא מערכות בע"מ</v>
      </c>
      <c r="I1618" t="str">
        <f>"10"</f>
        <v>10</v>
      </c>
      <c r="J1618" t="str">
        <f>"OP-AR02926"</f>
        <v>OP-AR02926</v>
      </c>
      <c r="K1618" t="str">
        <f>"2013E738-001   CABLE POWER ASSY"</f>
        <v>2013E738-001   CABLE POWER ASSY</v>
      </c>
      <c r="L1618">
        <v>1</v>
      </c>
      <c r="M1618" t="str">
        <f>"יח"</f>
        <v>יח</v>
      </c>
      <c r="N1618">
        <v>1</v>
      </c>
      <c r="O1618" t="str">
        <f>"יח"</f>
        <v>יח</v>
      </c>
      <c r="P1618">
        <v>235.11</v>
      </c>
      <c r="Q1618" t="str">
        <f>"$"</f>
        <v>$</v>
      </c>
      <c r="R1618" t="str">
        <f>"הזמנה"</f>
        <v>הזמנה</v>
      </c>
      <c r="S1618">
        <v>0</v>
      </c>
      <c r="T1618">
        <v>235.11</v>
      </c>
      <c r="U1618">
        <v>0</v>
      </c>
      <c r="V1618">
        <v>235.11</v>
      </c>
      <c r="W1618" t="str">
        <f>"$"</f>
        <v>$</v>
      </c>
      <c r="X1618">
        <v>0</v>
      </c>
      <c r="Y1618">
        <v>0</v>
      </c>
      <c r="Z1618">
        <v>0</v>
      </c>
      <c r="AA1618" t="str">
        <f>"Y"</f>
        <v>Y</v>
      </c>
      <c r="AB1618" t="str">
        <f>"SO22000033"</f>
        <v>SO22000033</v>
      </c>
      <c r="AC1618">
        <v>8</v>
      </c>
      <c r="AD1618" s="1">
        <v>44591</v>
      </c>
      <c r="AE1618" t="str">
        <f>"SH22000578"</f>
        <v>SH22000578</v>
      </c>
      <c r="AF1618" t="str">
        <f>"משלוחים ללקוח"</f>
        <v>משלוחים ללקוח</v>
      </c>
      <c r="AG1618" s="1">
        <v>44703</v>
      </c>
      <c r="AM1618" t="str">
        <f>"10"</f>
        <v>10</v>
      </c>
      <c r="AN1618" t="str">
        <f>"500000"</f>
        <v>500000</v>
      </c>
      <c r="AO1618" t="str">
        <f>"הכנסות  מלקוחות"</f>
        <v>הכנסות  מלקוחות</v>
      </c>
      <c r="AQ1618" t="str">
        <f>"040"</f>
        <v>040</v>
      </c>
      <c r="AR1618">
        <v>0</v>
      </c>
      <c r="AS1618">
        <v>0</v>
      </c>
      <c r="AT1618">
        <v>3.3159999999999998</v>
      </c>
      <c r="AX1618" t="str">
        <f>"E000355431"</f>
        <v>E000355431</v>
      </c>
      <c r="BD1618" t="str">
        <f>"רחמים זרוק"</f>
        <v>רחמים זרוק</v>
      </c>
    </row>
    <row r="1619" spans="1:56" x14ac:dyDescent="0.3">
      <c r="A1619" s="1">
        <v>44711</v>
      </c>
      <c r="B1619" t="str">
        <f>"SI226000601"</f>
        <v>SI226000601</v>
      </c>
      <c r="C1619" t="str">
        <f>"PR21000891"</f>
        <v>PR21000891</v>
      </c>
      <c r="D1619" t="str">
        <f>"PR21000891"</f>
        <v>PR21000891</v>
      </c>
      <c r="E1619" t="str">
        <f>"Y"</f>
        <v>Y</v>
      </c>
      <c r="F1619" t="str">
        <f>"חשבוניות מרכזות"</f>
        <v>חשבוניות מרכזות</v>
      </c>
      <c r="G1619" t="str">
        <f>"700065"</f>
        <v>700065</v>
      </c>
      <c r="H1619" t="str">
        <f>"אלתא מערכות בע""מ"</f>
        <v>אלתא מערכות בע"מ</v>
      </c>
      <c r="I1619" t="str">
        <f>"10"</f>
        <v>10</v>
      </c>
      <c r="J1619" t="str">
        <f>"OP-AR02894"</f>
        <v>OP-AR02894</v>
      </c>
      <c r="K1619" t="str">
        <f>"1032G436-001    BRANCHED CABLE"</f>
        <v>1032G436-001    BRANCHED CABLE</v>
      </c>
      <c r="L1619">
        <v>1</v>
      </c>
      <c r="M1619" t="str">
        <f>"יח"</f>
        <v>יח</v>
      </c>
      <c r="N1619">
        <v>1</v>
      </c>
      <c r="O1619" t="str">
        <f>"יח"</f>
        <v>יח</v>
      </c>
      <c r="P1619">
        <v>992.71</v>
      </c>
      <c r="Q1619" t="str">
        <f>"$"</f>
        <v>$</v>
      </c>
      <c r="R1619" t="str">
        <f>"הזמנה"</f>
        <v>הזמנה</v>
      </c>
      <c r="S1619">
        <v>0</v>
      </c>
      <c r="T1619">
        <v>992.71</v>
      </c>
      <c r="U1619">
        <v>0</v>
      </c>
      <c r="V1619">
        <v>992.71</v>
      </c>
      <c r="W1619" t="str">
        <f>"$"</f>
        <v>$</v>
      </c>
      <c r="X1619">
        <v>0</v>
      </c>
      <c r="Y1619">
        <v>0</v>
      </c>
      <c r="Z1619">
        <v>0</v>
      </c>
      <c r="AA1619" t="str">
        <f>"Y"</f>
        <v>Y</v>
      </c>
      <c r="AB1619" t="str">
        <f>"SO22000006"</f>
        <v>SO22000006</v>
      </c>
      <c r="AC1619">
        <v>3</v>
      </c>
      <c r="AD1619" s="1">
        <v>44565</v>
      </c>
      <c r="AE1619" t="str">
        <f>"SH22000581"</f>
        <v>SH22000581</v>
      </c>
      <c r="AF1619" t="str">
        <f>"משלוחים ללקוח"</f>
        <v>משלוחים ללקוח</v>
      </c>
      <c r="AG1619" s="1">
        <v>44704</v>
      </c>
      <c r="AM1619" t="str">
        <f>"10"</f>
        <v>10</v>
      </c>
      <c r="AN1619" t="str">
        <f>"500000"</f>
        <v>500000</v>
      </c>
      <c r="AO1619" t="str">
        <f>"הכנסות  מלקוחות"</f>
        <v>הכנסות  מלקוחות</v>
      </c>
      <c r="AQ1619" t="str">
        <f>"040"</f>
        <v>040</v>
      </c>
      <c r="AR1619">
        <v>0</v>
      </c>
      <c r="AS1619">
        <v>0</v>
      </c>
      <c r="AT1619">
        <v>3.3159999999999998</v>
      </c>
      <c r="AX1619" t="str">
        <f>"E000352407"</f>
        <v>E000352407</v>
      </c>
      <c r="BD1619" t="str">
        <f>"רחמים זרוק"</f>
        <v>רחמים זרוק</v>
      </c>
    </row>
    <row r="1620" spans="1:56" x14ac:dyDescent="0.3">
      <c r="A1620" s="1">
        <v>44711</v>
      </c>
      <c r="B1620" t="str">
        <f>"SI226000600"</f>
        <v>SI226000600</v>
      </c>
      <c r="C1620" t="str">
        <f>"PR22000121"</f>
        <v>PR22000121</v>
      </c>
      <c r="E1620" t="str">
        <f>"Y"</f>
        <v>Y</v>
      </c>
      <c r="F1620" t="str">
        <f>"חשבוניות מרכזות"</f>
        <v>חשבוניות מרכזות</v>
      </c>
      <c r="G1620" t="str">
        <f>"700065"</f>
        <v>700065</v>
      </c>
      <c r="H1620" t="str">
        <f>"אלתא מערכות בע""מ"</f>
        <v>אלתא מערכות בע"מ</v>
      </c>
      <c r="I1620" t="str">
        <f>"10"</f>
        <v>10</v>
      </c>
      <c r="J1620" t="str">
        <f>"OP-AR02946"</f>
        <v>OP-AR02946</v>
      </c>
      <c r="K1620" t="str">
        <f>"1032M789-001    HARNESS 1W117 - TCG"</f>
        <v>1032M789-001    HARNESS 1W117 - TCG</v>
      </c>
      <c r="L1620">
        <v>11</v>
      </c>
      <c r="M1620" t="str">
        <f>"יח"</f>
        <v>יח</v>
      </c>
      <c r="N1620">
        <v>11</v>
      </c>
      <c r="O1620" t="str">
        <f>"יח"</f>
        <v>יח</v>
      </c>
      <c r="P1620">
        <v>188.47</v>
      </c>
      <c r="Q1620" t="str">
        <f>"$"</f>
        <v>$</v>
      </c>
      <c r="R1620" t="str">
        <f>"הזמנה"</f>
        <v>הזמנה</v>
      </c>
      <c r="S1620">
        <v>0</v>
      </c>
      <c r="T1620" s="2">
        <v>2073.17</v>
      </c>
      <c r="U1620">
        <v>0</v>
      </c>
      <c r="V1620" s="2">
        <v>2073.17</v>
      </c>
      <c r="W1620" t="str">
        <f>"$"</f>
        <v>$</v>
      </c>
      <c r="X1620">
        <v>0</v>
      </c>
      <c r="Y1620">
        <v>0</v>
      </c>
      <c r="Z1620">
        <v>0</v>
      </c>
      <c r="AA1620" t="str">
        <f>"Y"</f>
        <v>Y</v>
      </c>
      <c r="AB1620" t="str">
        <f>"SO22000042"</f>
        <v>SO22000042</v>
      </c>
      <c r="AC1620">
        <v>3</v>
      </c>
      <c r="AD1620" s="1">
        <v>44599</v>
      </c>
      <c r="AE1620" t="str">
        <f>"SH22000577"</f>
        <v>SH22000577</v>
      </c>
      <c r="AF1620" t="str">
        <f>"משלוחים ללקוח"</f>
        <v>משלוחים ללקוח</v>
      </c>
      <c r="AG1620" s="1">
        <v>44703</v>
      </c>
      <c r="AM1620" t="str">
        <f>"10"</f>
        <v>10</v>
      </c>
      <c r="AN1620" t="str">
        <f>"500000"</f>
        <v>500000</v>
      </c>
      <c r="AO1620" t="str">
        <f>"הכנסות  מלקוחות"</f>
        <v>הכנסות  מלקוחות</v>
      </c>
      <c r="AQ1620" t="str">
        <f>"040"</f>
        <v>040</v>
      </c>
      <c r="AR1620">
        <v>0</v>
      </c>
      <c r="AS1620">
        <v>0</v>
      </c>
      <c r="AT1620">
        <v>3.3159999999999998</v>
      </c>
      <c r="AX1620" t="str">
        <f>"E000357138"</f>
        <v>E000357138</v>
      </c>
      <c r="BD1620" t="str">
        <f>"רחמים זרוק"</f>
        <v>רחמים זרוק</v>
      </c>
    </row>
    <row r="1621" spans="1:56" x14ac:dyDescent="0.3">
      <c r="A1621" s="1">
        <v>44711</v>
      </c>
      <c r="B1621" t="str">
        <f>"SI226000599"</f>
        <v>SI226000599</v>
      </c>
      <c r="C1621" t="str">
        <f>"PR22000210"</f>
        <v>PR22000210</v>
      </c>
      <c r="E1621" t="str">
        <f>"Y"</f>
        <v>Y</v>
      </c>
      <c r="F1621" t="str">
        <f>"חשבוניות מרכזות"</f>
        <v>חשבוניות מרכזות</v>
      </c>
      <c r="G1621" t="str">
        <f>"700065"</f>
        <v>700065</v>
      </c>
      <c r="H1621" t="str">
        <f>"אלתא מערכות בע""מ"</f>
        <v>אלתא מערכות בע"מ</v>
      </c>
      <c r="I1621" t="str">
        <f>"10"</f>
        <v>10</v>
      </c>
      <c r="J1621" t="str">
        <f>"OP-AR03012"</f>
        <v>OP-AR03012</v>
      </c>
      <c r="K1621" t="str">
        <f>"כבל WR202 באורך 70 מטר 1040U438-001"</f>
        <v>כבל WR202 באורך 70 מטר 1040U438-001</v>
      </c>
      <c r="L1621">
        <v>1</v>
      </c>
      <c r="M1621" t="str">
        <f>"יח"</f>
        <v>יח</v>
      </c>
      <c r="N1621">
        <v>1</v>
      </c>
      <c r="O1621" t="str">
        <f>"יח"</f>
        <v>יח</v>
      </c>
      <c r="P1621" s="2">
        <v>2680</v>
      </c>
      <c r="Q1621" t="str">
        <f>"$"</f>
        <v>$</v>
      </c>
      <c r="R1621" t="str">
        <f>"הזמנה"</f>
        <v>הזמנה</v>
      </c>
      <c r="S1621">
        <v>0</v>
      </c>
      <c r="T1621" s="2">
        <v>2680</v>
      </c>
      <c r="U1621">
        <v>0</v>
      </c>
      <c r="V1621" s="2">
        <v>2680</v>
      </c>
      <c r="W1621" t="str">
        <f>"$"</f>
        <v>$</v>
      </c>
      <c r="X1621">
        <v>0</v>
      </c>
      <c r="Y1621">
        <v>0</v>
      </c>
      <c r="Z1621">
        <v>0</v>
      </c>
      <c r="AA1621" t="str">
        <f>"Y"</f>
        <v>Y</v>
      </c>
      <c r="AB1621" t="str">
        <f>"SO22000131"</f>
        <v>SO22000131</v>
      </c>
      <c r="AC1621">
        <v>4</v>
      </c>
      <c r="AD1621" s="1">
        <v>44662</v>
      </c>
      <c r="AE1621" t="str">
        <f>"SH22000599"</f>
        <v>SH22000599</v>
      </c>
      <c r="AF1621" t="str">
        <f>"משלוחים ללקוח"</f>
        <v>משלוחים ללקוח</v>
      </c>
      <c r="AG1621" s="1">
        <v>44710</v>
      </c>
      <c r="AM1621" t="str">
        <f>"10"</f>
        <v>10</v>
      </c>
      <c r="AN1621" t="str">
        <f>"500000"</f>
        <v>500000</v>
      </c>
      <c r="AO1621" t="str">
        <f>"הכנסות  מלקוחות"</f>
        <v>הכנסות  מלקוחות</v>
      </c>
      <c r="AQ1621" t="str">
        <f>"007"</f>
        <v>007</v>
      </c>
      <c r="AR1621">
        <v>0</v>
      </c>
      <c r="AS1621">
        <v>0</v>
      </c>
      <c r="AT1621">
        <v>3.3159999999999998</v>
      </c>
      <c r="AX1621" t="str">
        <f>"E000362567"</f>
        <v>E000362567</v>
      </c>
      <c r="BD1621" t="str">
        <f>"רוני דידי"</f>
        <v>רוני דידי</v>
      </c>
    </row>
    <row r="1622" spans="1:56" x14ac:dyDescent="0.3">
      <c r="A1622" s="1">
        <v>44711</v>
      </c>
      <c r="B1622" t="str">
        <f>"SI226000599"</f>
        <v>SI226000599</v>
      </c>
      <c r="C1622" t="str">
        <f>"PR22000210"</f>
        <v>PR22000210</v>
      </c>
      <c r="E1622" t="str">
        <f>"Y"</f>
        <v>Y</v>
      </c>
      <c r="F1622" t="str">
        <f>"חשבוניות מרכזות"</f>
        <v>חשבוניות מרכזות</v>
      </c>
      <c r="G1622" t="str">
        <f>"700065"</f>
        <v>700065</v>
      </c>
      <c r="H1622" t="str">
        <f>"אלתא מערכות בע""מ"</f>
        <v>אלתא מערכות בע"מ</v>
      </c>
      <c r="I1622" t="str">
        <f>"10"</f>
        <v>10</v>
      </c>
      <c r="J1622" t="str">
        <f>"OP-AR03015"</f>
        <v>OP-AR03015</v>
      </c>
      <c r="K1622" t="str">
        <f>"כבל WR302 באורך של 3.5 מטר 1040U437-001"</f>
        <v>כבל WR302 באורך של 3.5 מטר 1040U437-001</v>
      </c>
      <c r="L1622">
        <v>1</v>
      </c>
      <c r="M1622" t="str">
        <f>"יח"</f>
        <v>יח</v>
      </c>
      <c r="N1622">
        <v>1</v>
      </c>
      <c r="O1622" t="str">
        <f>"יח"</f>
        <v>יח</v>
      </c>
      <c r="P1622">
        <v>535</v>
      </c>
      <c r="Q1622" t="str">
        <f>"$"</f>
        <v>$</v>
      </c>
      <c r="R1622" t="str">
        <f>"הזמנה"</f>
        <v>הזמנה</v>
      </c>
      <c r="S1622">
        <v>0</v>
      </c>
      <c r="T1622">
        <v>535</v>
      </c>
      <c r="U1622">
        <v>0</v>
      </c>
      <c r="V1622">
        <v>535</v>
      </c>
      <c r="W1622" t="str">
        <f>"$"</f>
        <v>$</v>
      </c>
      <c r="X1622">
        <v>0</v>
      </c>
      <c r="Y1622">
        <v>0</v>
      </c>
      <c r="Z1622">
        <v>0</v>
      </c>
      <c r="AA1622" t="str">
        <f>"Y"</f>
        <v>Y</v>
      </c>
      <c r="AB1622" t="str">
        <f>"SO22000131"</f>
        <v>SO22000131</v>
      </c>
      <c r="AC1622">
        <v>5</v>
      </c>
      <c r="AD1622" s="1">
        <v>44662</v>
      </c>
      <c r="AE1622" t="str">
        <f>"SH22000599"</f>
        <v>SH22000599</v>
      </c>
      <c r="AF1622" t="str">
        <f>"משלוחים ללקוח"</f>
        <v>משלוחים ללקוח</v>
      </c>
      <c r="AG1622" s="1">
        <v>44710</v>
      </c>
      <c r="AM1622" t="str">
        <f>"10"</f>
        <v>10</v>
      </c>
      <c r="AN1622" t="str">
        <f>"500000"</f>
        <v>500000</v>
      </c>
      <c r="AO1622" t="str">
        <f>"הכנסות  מלקוחות"</f>
        <v>הכנסות  מלקוחות</v>
      </c>
      <c r="AQ1622" t="str">
        <f>"007"</f>
        <v>007</v>
      </c>
      <c r="AR1622">
        <v>0</v>
      </c>
      <c r="AS1622">
        <v>0</v>
      </c>
      <c r="AT1622">
        <v>3.3159999999999998</v>
      </c>
      <c r="AX1622" t="str">
        <f>"E000362567"</f>
        <v>E000362567</v>
      </c>
      <c r="BD1622" t="str">
        <f>"רוני דידי"</f>
        <v>רוני דידי</v>
      </c>
    </row>
    <row r="1623" spans="1:56" x14ac:dyDescent="0.3">
      <c r="A1623" s="1">
        <v>44711</v>
      </c>
      <c r="B1623" t="str">
        <f>"SI226000599"</f>
        <v>SI226000599</v>
      </c>
      <c r="C1623" t="str">
        <f>"PR22000210"</f>
        <v>PR22000210</v>
      </c>
      <c r="E1623" t="str">
        <f>"Y"</f>
        <v>Y</v>
      </c>
      <c r="F1623" t="str">
        <f>"חשבוניות מרכזות"</f>
        <v>חשבוניות מרכזות</v>
      </c>
      <c r="G1623" t="str">
        <f>"700065"</f>
        <v>700065</v>
      </c>
      <c r="H1623" t="str">
        <f>"אלתא מערכות בע""מ"</f>
        <v>אלתא מערכות בע"מ</v>
      </c>
      <c r="I1623" t="str">
        <f>"10"</f>
        <v>10</v>
      </c>
      <c r="J1623" t="str">
        <f>"OP-AR03029"</f>
        <v>OP-AR03029</v>
      </c>
      <c r="K1623" t="str">
        <f>"כבל WR304 באורך של 3.5 מטר 1040U436-001"</f>
        <v>כבל WR304 באורך של 3.5 מטר 1040U436-001</v>
      </c>
      <c r="L1623">
        <v>1</v>
      </c>
      <c r="M1623" t="str">
        <f>"יח"</f>
        <v>יח</v>
      </c>
      <c r="N1623">
        <v>1</v>
      </c>
      <c r="O1623" t="str">
        <f>"יח"</f>
        <v>יח</v>
      </c>
      <c r="P1623">
        <v>535</v>
      </c>
      <c r="Q1623" t="str">
        <f>"$"</f>
        <v>$</v>
      </c>
      <c r="R1623" t="str">
        <f>"הזמנה"</f>
        <v>הזמנה</v>
      </c>
      <c r="S1623">
        <v>0</v>
      </c>
      <c r="T1623">
        <v>535</v>
      </c>
      <c r="U1623">
        <v>0</v>
      </c>
      <c r="V1623">
        <v>535</v>
      </c>
      <c r="W1623" t="str">
        <f>"$"</f>
        <v>$</v>
      </c>
      <c r="X1623">
        <v>0</v>
      </c>
      <c r="Y1623">
        <v>0</v>
      </c>
      <c r="Z1623">
        <v>0</v>
      </c>
      <c r="AA1623" t="str">
        <f>"Y"</f>
        <v>Y</v>
      </c>
      <c r="AB1623" t="str">
        <f>"SO22000131"</f>
        <v>SO22000131</v>
      </c>
      <c r="AC1623">
        <v>6</v>
      </c>
      <c r="AD1623" s="1">
        <v>44662</v>
      </c>
      <c r="AE1623" t="str">
        <f>"SH22000599"</f>
        <v>SH22000599</v>
      </c>
      <c r="AF1623" t="str">
        <f>"משלוחים ללקוח"</f>
        <v>משלוחים ללקוח</v>
      </c>
      <c r="AG1623" s="1">
        <v>44710</v>
      </c>
      <c r="AM1623" t="str">
        <f>"10"</f>
        <v>10</v>
      </c>
      <c r="AN1623" t="str">
        <f>"500000"</f>
        <v>500000</v>
      </c>
      <c r="AO1623" t="str">
        <f>"הכנסות  מלקוחות"</f>
        <v>הכנסות  מלקוחות</v>
      </c>
      <c r="AQ1623" t="str">
        <f>"007"</f>
        <v>007</v>
      </c>
      <c r="AR1623">
        <v>0</v>
      </c>
      <c r="AS1623">
        <v>0</v>
      </c>
      <c r="AT1623">
        <v>3.3159999999999998</v>
      </c>
      <c r="AX1623" t="str">
        <f>"E000362567"</f>
        <v>E000362567</v>
      </c>
      <c r="BD1623" t="str">
        <f>"רוני דידי"</f>
        <v>רוני דידי</v>
      </c>
    </row>
    <row r="1624" spans="1:56" x14ac:dyDescent="0.3">
      <c r="A1624" s="1">
        <v>44711</v>
      </c>
      <c r="B1624" t="str">
        <f>"SI226000599"</f>
        <v>SI226000599</v>
      </c>
      <c r="C1624" t="str">
        <f>"PR22000210"</f>
        <v>PR22000210</v>
      </c>
      <c r="E1624" t="str">
        <f>"Y"</f>
        <v>Y</v>
      </c>
      <c r="F1624" t="str">
        <f>"חשבוניות מרכזות"</f>
        <v>חשבוניות מרכזות</v>
      </c>
      <c r="G1624" t="str">
        <f>"700065"</f>
        <v>700065</v>
      </c>
      <c r="H1624" t="str">
        <f>"אלתא מערכות בע""מ"</f>
        <v>אלתא מערכות בע"מ</v>
      </c>
      <c r="I1624" t="str">
        <f>"10"</f>
        <v>10</v>
      </c>
      <c r="J1624" t="str">
        <f>"OP-AR03028"</f>
        <v>OP-AR03028</v>
      </c>
      <c r="K1624" t="str">
        <f>"כבל WR303 באורך של 3.5 מטר 1040U435-001"</f>
        <v>כבל WR303 באורך של 3.5 מטר 1040U435-001</v>
      </c>
      <c r="L1624">
        <v>1</v>
      </c>
      <c r="M1624" t="str">
        <f>"יח"</f>
        <v>יח</v>
      </c>
      <c r="N1624">
        <v>1</v>
      </c>
      <c r="O1624" t="str">
        <f>"יח"</f>
        <v>יח</v>
      </c>
      <c r="P1624">
        <v>535</v>
      </c>
      <c r="Q1624" t="str">
        <f>"$"</f>
        <v>$</v>
      </c>
      <c r="R1624" t="str">
        <f>"הזמנה"</f>
        <v>הזמנה</v>
      </c>
      <c r="S1624">
        <v>0</v>
      </c>
      <c r="T1624">
        <v>535</v>
      </c>
      <c r="U1624">
        <v>0</v>
      </c>
      <c r="V1624">
        <v>535</v>
      </c>
      <c r="W1624" t="str">
        <f>"$"</f>
        <v>$</v>
      </c>
      <c r="X1624">
        <v>0</v>
      </c>
      <c r="Y1624">
        <v>0</v>
      </c>
      <c r="Z1624">
        <v>0</v>
      </c>
      <c r="AA1624" t="str">
        <f>"Y"</f>
        <v>Y</v>
      </c>
      <c r="AB1624" t="str">
        <f>"SO22000131"</f>
        <v>SO22000131</v>
      </c>
      <c r="AC1624">
        <v>7</v>
      </c>
      <c r="AD1624" s="1">
        <v>44662</v>
      </c>
      <c r="AE1624" t="str">
        <f>"SH22000599"</f>
        <v>SH22000599</v>
      </c>
      <c r="AF1624" t="str">
        <f>"משלוחים ללקוח"</f>
        <v>משלוחים ללקוח</v>
      </c>
      <c r="AG1624" s="1">
        <v>44710</v>
      </c>
      <c r="AM1624" t="str">
        <f>"10"</f>
        <v>10</v>
      </c>
      <c r="AN1624" t="str">
        <f>"500000"</f>
        <v>500000</v>
      </c>
      <c r="AO1624" t="str">
        <f>"הכנסות  מלקוחות"</f>
        <v>הכנסות  מלקוחות</v>
      </c>
      <c r="AQ1624" t="str">
        <f>"007"</f>
        <v>007</v>
      </c>
      <c r="AR1624">
        <v>0</v>
      </c>
      <c r="AS1624">
        <v>0</v>
      </c>
      <c r="AT1624">
        <v>3.3159999999999998</v>
      </c>
      <c r="AX1624" t="str">
        <f>"E000362567"</f>
        <v>E000362567</v>
      </c>
      <c r="BD1624" t="str">
        <f>"רוני דידי"</f>
        <v>רוני דידי</v>
      </c>
    </row>
    <row r="1625" spans="1:56" x14ac:dyDescent="0.3">
      <c r="A1625" s="1">
        <v>44711</v>
      </c>
      <c r="B1625" t="str">
        <f>"SI226000599"</f>
        <v>SI226000599</v>
      </c>
      <c r="C1625" t="str">
        <f>"PR22000210"</f>
        <v>PR22000210</v>
      </c>
      <c r="E1625" t="str">
        <f>"Y"</f>
        <v>Y</v>
      </c>
      <c r="F1625" t="str">
        <f>"חשבוניות מרכזות"</f>
        <v>חשבוניות מרכזות</v>
      </c>
      <c r="G1625" t="str">
        <f>"700065"</f>
        <v>700065</v>
      </c>
      <c r="H1625" t="str">
        <f>"אלתא מערכות בע""מ"</f>
        <v>אלתא מערכות בע"מ</v>
      </c>
      <c r="I1625" t="str">
        <f>"10"</f>
        <v>10</v>
      </c>
      <c r="J1625" t="str">
        <f>"OP-AR03032"</f>
        <v>OP-AR03032</v>
      </c>
      <c r="K1625" t="str">
        <f>"1040U433-001 CABLE ASSY WP207  - LRIR"</f>
        <v>1040U433-001 CABLE ASSY WP207  - LRIR</v>
      </c>
      <c r="L1625">
        <v>1</v>
      </c>
      <c r="M1625" t="str">
        <f>"יח"</f>
        <v>יח</v>
      </c>
      <c r="N1625">
        <v>1</v>
      </c>
      <c r="O1625" t="str">
        <f>"יח"</f>
        <v>יח</v>
      </c>
      <c r="P1625" s="2">
        <v>3980</v>
      </c>
      <c r="Q1625" t="str">
        <f>"$"</f>
        <v>$</v>
      </c>
      <c r="R1625" t="str">
        <f>"הזמנה"</f>
        <v>הזמנה</v>
      </c>
      <c r="S1625">
        <v>0</v>
      </c>
      <c r="T1625" s="2">
        <v>3980</v>
      </c>
      <c r="U1625">
        <v>0</v>
      </c>
      <c r="V1625" s="2">
        <v>3980</v>
      </c>
      <c r="W1625" t="str">
        <f>"$"</f>
        <v>$</v>
      </c>
      <c r="X1625">
        <v>0</v>
      </c>
      <c r="Y1625">
        <v>0</v>
      </c>
      <c r="Z1625">
        <v>0</v>
      </c>
      <c r="AA1625" t="str">
        <f>"Y"</f>
        <v>Y</v>
      </c>
      <c r="AB1625" t="str">
        <f>"SO22000131"</f>
        <v>SO22000131</v>
      </c>
      <c r="AC1625">
        <v>9</v>
      </c>
      <c r="AD1625" s="1">
        <v>44662</v>
      </c>
      <c r="AE1625" t="str">
        <f>"SH22000599"</f>
        <v>SH22000599</v>
      </c>
      <c r="AF1625" t="str">
        <f>"משלוחים ללקוח"</f>
        <v>משלוחים ללקוח</v>
      </c>
      <c r="AG1625" s="1">
        <v>44710</v>
      </c>
      <c r="AM1625" t="str">
        <f>"10"</f>
        <v>10</v>
      </c>
      <c r="AN1625" t="str">
        <f>"500000"</f>
        <v>500000</v>
      </c>
      <c r="AO1625" t="str">
        <f>"הכנסות  מלקוחות"</f>
        <v>הכנסות  מלקוחות</v>
      </c>
      <c r="AQ1625" t="str">
        <f>"007"</f>
        <v>007</v>
      </c>
      <c r="AR1625">
        <v>0</v>
      </c>
      <c r="AS1625">
        <v>0</v>
      </c>
      <c r="AT1625">
        <v>3.3159999999999998</v>
      </c>
      <c r="AX1625" t="str">
        <f>"E000362567"</f>
        <v>E000362567</v>
      </c>
      <c r="BD1625" t="str">
        <f>"רוני דידי"</f>
        <v>רוני דידי</v>
      </c>
    </row>
    <row r="1626" spans="1:56" x14ac:dyDescent="0.3">
      <c r="A1626" s="1">
        <v>44711</v>
      </c>
      <c r="B1626" t="str">
        <f>"SI226000599"</f>
        <v>SI226000599</v>
      </c>
      <c r="C1626" t="str">
        <f>"PR22000210"</f>
        <v>PR22000210</v>
      </c>
      <c r="E1626" t="str">
        <f>"Y"</f>
        <v>Y</v>
      </c>
      <c r="F1626" t="str">
        <f>"חשבוניות מרכזות"</f>
        <v>חשבוניות מרכזות</v>
      </c>
      <c r="G1626" t="str">
        <f>"700065"</f>
        <v>700065</v>
      </c>
      <c r="H1626" t="str">
        <f>"אלתא מערכות בע""מ"</f>
        <v>אלתא מערכות בע"מ</v>
      </c>
      <c r="I1626" t="str">
        <f>"10"</f>
        <v>10</v>
      </c>
      <c r="J1626" t="str">
        <f>"OP-AR03013"</f>
        <v>OP-AR03013</v>
      </c>
      <c r="K1626" t="str">
        <f>"כבל WR203 באורך של 70 מטר 1040U432-001"</f>
        <v>כבל WR203 באורך של 70 מטר 1040U432-001</v>
      </c>
      <c r="L1626">
        <v>1</v>
      </c>
      <c r="M1626" t="str">
        <f>"יח"</f>
        <v>יח</v>
      </c>
      <c r="N1626">
        <v>1</v>
      </c>
      <c r="O1626" t="str">
        <f>"יח"</f>
        <v>יח</v>
      </c>
      <c r="P1626" s="2">
        <v>2680</v>
      </c>
      <c r="Q1626" t="str">
        <f>"$"</f>
        <v>$</v>
      </c>
      <c r="R1626" t="str">
        <f>"הזמנה"</f>
        <v>הזמנה</v>
      </c>
      <c r="S1626">
        <v>0</v>
      </c>
      <c r="T1626" s="2">
        <v>2680</v>
      </c>
      <c r="U1626">
        <v>0</v>
      </c>
      <c r="V1626" s="2">
        <v>2680</v>
      </c>
      <c r="W1626" t="str">
        <f>"$"</f>
        <v>$</v>
      </c>
      <c r="X1626">
        <v>0</v>
      </c>
      <c r="Y1626">
        <v>0</v>
      </c>
      <c r="Z1626">
        <v>0</v>
      </c>
      <c r="AA1626" t="str">
        <f>"Y"</f>
        <v>Y</v>
      </c>
      <c r="AB1626" t="str">
        <f>"SO22000131"</f>
        <v>SO22000131</v>
      </c>
      <c r="AC1626">
        <v>10</v>
      </c>
      <c r="AD1626" s="1">
        <v>44662</v>
      </c>
      <c r="AE1626" t="str">
        <f>"SH22000599"</f>
        <v>SH22000599</v>
      </c>
      <c r="AF1626" t="str">
        <f>"משלוחים ללקוח"</f>
        <v>משלוחים ללקוח</v>
      </c>
      <c r="AG1626" s="1">
        <v>44710</v>
      </c>
      <c r="AM1626" t="str">
        <f>"10"</f>
        <v>10</v>
      </c>
      <c r="AN1626" t="str">
        <f>"500000"</f>
        <v>500000</v>
      </c>
      <c r="AO1626" t="str">
        <f>"הכנסות  מלקוחות"</f>
        <v>הכנסות  מלקוחות</v>
      </c>
      <c r="AQ1626" t="str">
        <f>"007"</f>
        <v>007</v>
      </c>
      <c r="AR1626">
        <v>0</v>
      </c>
      <c r="AS1626">
        <v>0</v>
      </c>
      <c r="AT1626">
        <v>3.3159999999999998</v>
      </c>
      <c r="AX1626" t="str">
        <f>"E000362567"</f>
        <v>E000362567</v>
      </c>
      <c r="BD1626" t="str">
        <f>"רוני דידי"</f>
        <v>רוני דידי</v>
      </c>
    </row>
    <row r="1627" spans="1:56" x14ac:dyDescent="0.3">
      <c r="A1627" s="1">
        <v>44707</v>
      </c>
      <c r="B1627" t="str">
        <f>"SI226000584"</f>
        <v>SI226000584</v>
      </c>
      <c r="E1627" t="str">
        <f>"Y"</f>
        <v>Y</v>
      </c>
      <c r="F1627" t="str">
        <f>"חשבוניות מרכזות"</f>
        <v>חשבוניות מרכזות</v>
      </c>
      <c r="G1627" t="str">
        <f>"700065"</f>
        <v>700065</v>
      </c>
      <c r="H1627" t="str">
        <f>"אלתא מערכות בע""מ"</f>
        <v>אלתא מערכות בע"מ</v>
      </c>
      <c r="I1627" t="str">
        <f>"10"</f>
        <v>10</v>
      </c>
      <c r="J1627" t="str">
        <f>"000"</f>
        <v>000</v>
      </c>
      <c r="K1627" t="str">
        <f>"החלפת מפסק"</f>
        <v>החלפת מפסק</v>
      </c>
      <c r="L1627">
        <v>1</v>
      </c>
      <c r="M1627" t="str">
        <f>"יח"</f>
        <v>יח</v>
      </c>
      <c r="N1627">
        <v>1</v>
      </c>
      <c r="O1627" t="str">
        <f>"יח"</f>
        <v>יח</v>
      </c>
      <c r="P1627" s="2">
        <v>1202</v>
      </c>
      <c r="Q1627" t="str">
        <f>"$"</f>
        <v>$</v>
      </c>
      <c r="R1627" t="str">
        <f>"הזמנה"</f>
        <v>הזמנה</v>
      </c>
      <c r="S1627">
        <v>0</v>
      </c>
      <c r="T1627" s="2">
        <v>1202</v>
      </c>
      <c r="U1627">
        <v>0</v>
      </c>
      <c r="V1627" s="2">
        <v>1202</v>
      </c>
      <c r="W1627" t="str">
        <f>"$"</f>
        <v>$</v>
      </c>
      <c r="X1627">
        <v>0</v>
      </c>
      <c r="Y1627">
        <v>0</v>
      </c>
      <c r="Z1627">
        <v>0</v>
      </c>
      <c r="AA1627" t="str">
        <f>"Y"</f>
        <v>Y</v>
      </c>
      <c r="AB1627" t="str">
        <f>"SO22000207"</f>
        <v>SO22000207</v>
      </c>
      <c r="AC1627">
        <v>1</v>
      </c>
      <c r="AD1627" s="1">
        <v>44707</v>
      </c>
      <c r="AM1627" t="str">
        <f>"10"</f>
        <v>10</v>
      </c>
      <c r="AN1627" t="str">
        <f>"500000"</f>
        <v>500000</v>
      </c>
      <c r="AO1627" t="str">
        <f>"הכנסות  מלקוחות"</f>
        <v>הכנסות  מלקוחות</v>
      </c>
      <c r="AQ1627" t="str">
        <f>"007"</f>
        <v>007</v>
      </c>
      <c r="AR1627">
        <v>0</v>
      </c>
      <c r="AS1627">
        <v>0</v>
      </c>
      <c r="AT1627">
        <v>3.359</v>
      </c>
      <c r="AX1627" t="str">
        <f>"E000365917"</f>
        <v>E000365917</v>
      </c>
      <c r="BD1627" t="str">
        <f>"רוני דידי"</f>
        <v>רוני דידי</v>
      </c>
    </row>
    <row r="1628" spans="1:56" x14ac:dyDescent="0.3">
      <c r="A1628" s="1">
        <v>44705</v>
      </c>
      <c r="B1628" t="str">
        <f>"SI226000596"</f>
        <v>SI226000596</v>
      </c>
      <c r="E1628" t="str">
        <f>"Y"</f>
        <v>Y</v>
      </c>
      <c r="F1628" t="str">
        <f>"חשבוניות מרכזות"</f>
        <v>חשבוניות מרכזות</v>
      </c>
      <c r="G1628" t="str">
        <f>"700065"</f>
        <v>700065</v>
      </c>
      <c r="H1628" t="str">
        <f>"אלתא מערכות בע""מ"</f>
        <v>אלתא מערכות בע"מ</v>
      </c>
      <c r="I1628" t="str">
        <f>"10"</f>
        <v>10</v>
      </c>
      <c r="J1628" t="str">
        <f>"OP-AR02798"</f>
        <v>OP-AR02798</v>
      </c>
      <c r="K1628" t="str">
        <f>"NRE לכבלים בהזמנה E000345587"</f>
        <v>NRE לכבלים בהזמנה E000345587</v>
      </c>
      <c r="L1628">
        <v>-1</v>
      </c>
      <c r="M1628" t="str">
        <f>"יח"</f>
        <v>יח</v>
      </c>
      <c r="N1628">
        <v>-1</v>
      </c>
      <c r="O1628" t="str">
        <f>"יח"</f>
        <v>יח</v>
      </c>
      <c r="P1628">
        <v>378</v>
      </c>
      <c r="Q1628" t="str">
        <f>"$"</f>
        <v>$</v>
      </c>
      <c r="R1628" t="str">
        <f>"הזמנה"</f>
        <v>הזמנה</v>
      </c>
      <c r="S1628">
        <v>0</v>
      </c>
      <c r="T1628">
        <v>-378</v>
      </c>
      <c r="U1628">
        <v>0</v>
      </c>
      <c r="V1628">
        <v>-378</v>
      </c>
      <c r="W1628" t="str">
        <f>"$"</f>
        <v>$</v>
      </c>
      <c r="X1628">
        <v>0</v>
      </c>
      <c r="Y1628">
        <v>0</v>
      </c>
      <c r="Z1628">
        <v>0</v>
      </c>
      <c r="AA1628" t="str">
        <f>"Y"</f>
        <v>Y</v>
      </c>
      <c r="AC1628">
        <v>0</v>
      </c>
      <c r="AM1628" t="str">
        <f>"10"</f>
        <v>10</v>
      </c>
      <c r="AN1628" t="str">
        <f>"500000"</f>
        <v>500000</v>
      </c>
      <c r="AO1628" t="str">
        <f>"הכנסות  מלקוחות"</f>
        <v>הכנסות  מלקוחות</v>
      </c>
      <c r="AQ1628" t="str">
        <f>"040"</f>
        <v>040</v>
      </c>
      <c r="AR1628">
        <v>0</v>
      </c>
      <c r="AS1628">
        <v>0</v>
      </c>
      <c r="AT1628">
        <v>3.3559999999999999</v>
      </c>
      <c r="BB1628" t="str">
        <f>"Y"</f>
        <v>Y</v>
      </c>
      <c r="BD1628" t="str">
        <f>"רחמים זרוק"</f>
        <v>רחמים זרוק</v>
      </c>
    </row>
    <row r="1629" spans="1:56" x14ac:dyDescent="0.3">
      <c r="A1629" s="1">
        <v>44705</v>
      </c>
      <c r="B1629" t="str">
        <f>"SI226000578"</f>
        <v>SI226000578</v>
      </c>
      <c r="E1629" t="str">
        <f>"Y"</f>
        <v>Y</v>
      </c>
      <c r="F1629" t="str">
        <f>"חשבוניות מרכזות"</f>
        <v>חשבוניות מרכזות</v>
      </c>
      <c r="G1629" t="str">
        <f>"700065"</f>
        <v>700065</v>
      </c>
      <c r="H1629" t="str">
        <f>"אלתא מערכות בע""מ"</f>
        <v>אלתא מערכות בע"מ</v>
      </c>
      <c r="I1629" t="str">
        <f>"10"</f>
        <v>10</v>
      </c>
      <c r="J1629" t="str">
        <f>"OP-AR02798"</f>
        <v>OP-AR02798</v>
      </c>
      <c r="K1629" t="str">
        <f>"NRE לכבלים בהזמנה E000345587"</f>
        <v>NRE לכבלים בהזמנה E000345587</v>
      </c>
      <c r="L1629">
        <v>1</v>
      </c>
      <c r="M1629" t="str">
        <f>"יח"</f>
        <v>יח</v>
      </c>
      <c r="N1629">
        <v>1</v>
      </c>
      <c r="O1629" t="str">
        <f>"יח"</f>
        <v>יח</v>
      </c>
      <c r="P1629">
        <v>378</v>
      </c>
      <c r="Q1629" t="str">
        <f>"$"</f>
        <v>$</v>
      </c>
      <c r="R1629" t="str">
        <f>"הזמנה"</f>
        <v>הזמנה</v>
      </c>
      <c r="S1629">
        <v>0</v>
      </c>
      <c r="T1629">
        <v>378</v>
      </c>
      <c r="U1629">
        <v>0</v>
      </c>
      <c r="V1629">
        <v>378</v>
      </c>
      <c r="W1629" t="str">
        <f>"$"</f>
        <v>$</v>
      </c>
      <c r="X1629">
        <v>0</v>
      </c>
      <c r="Y1629">
        <v>0</v>
      </c>
      <c r="Z1629">
        <v>0</v>
      </c>
      <c r="AA1629" t="str">
        <f>"Y"</f>
        <v>Y</v>
      </c>
      <c r="AC1629">
        <v>0</v>
      </c>
      <c r="AM1629" t="str">
        <f>"10"</f>
        <v>10</v>
      </c>
      <c r="AN1629" t="str">
        <f>"500000"</f>
        <v>500000</v>
      </c>
      <c r="AO1629" t="str">
        <f>"הכנסות  מלקוחות"</f>
        <v>הכנסות  מלקוחות</v>
      </c>
      <c r="AQ1629" t="str">
        <f>"040"</f>
        <v>040</v>
      </c>
      <c r="AR1629">
        <v>0</v>
      </c>
      <c r="AS1629">
        <v>0</v>
      </c>
      <c r="AT1629">
        <v>3.3559999999999999</v>
      </c>
      <c r="BB1629" t="str">
        <f>"Y"</f>
        <v>Y</v>
      </c>
      <c r="BD1629" t="str">
        <f>"רחמים זרוק"</f>
        <v>רחמים זרוק</v>
      </c>
    </row>
    <row r="1630" spans="1:56" x14ac:dyDescent="0.3">
      <c r="A1630" s="1">
        <v>44705</v>
      </c>
      <c r="B1630" t="str">
        <f>"SI226000577"</f>
        <v>SI226000577</v>
      </c>
      <c r="E1630" t="str">
        <f>"Y"</f>
        <v>Y</v>
      </c>
      <c r="F1630" t="str">
        <f>"חשבוניות מרכזות"</f>
        <v>חשבוניות מרכזות</v>
      </c>
      <c r="G1630" t="str">
        <f>"700065"</f>
        <v>700065</v>
      </c>
      <c r="H1630" t="str">
        <f>"אלתא מערכות בע""מ"</f>
        <v>אלתא מערכות בע"מ</v>
      </c>
      <c r="I1630" t="str">
        <f>"10"</f>
        <v>10</v>
      </c>
      <c r="J1630" t="str">
        <f>"OP-AR02798"</f>
        <v>OP-AR02798</v>
      </c>
      <c r="K1630" t="str">
        <f>"NRE לכבלים בהזמנה E000345587"</f>
        <v>NRE לכבלים בהזמנה E000345587</v>
      </c>
      <c r="L1630">
        <v>-1</v>
      </c>
      <c r="M1630" t="str">
        <f>"יח"</f>
        <v>יח</v>
      </c>
      <c r="N1630">
        <v>-1</v>
      </c>
      <c r="O1630" t="str">
        <f>"יח"</f>
        <v>יח</v>
      </c>
      <c r="P1630">
        <v>378</v>
      </c>
      <c r="Q1630" t="str">
        <f>"$"</f>
        <v>$</v>
      </c>
      <c r="R1630" t="str">
        <f>"הזמנה"</f>
        <v>הזמנה</v>
      </c>
      <c r="S1630">
        <v>0</v>
      </c>
      <c r="T1630">
        <v>-378</v>
      </c>
      <c r="U1630">
        <v>0</v>
      </c>
      <c r="V1630">
        <v>-378</v>
      </c>
      <c r="W1630" t="str">
        <f>"$"</f>
        <v>$</v>
      </c>
      <c r="X1630">
        <v>0</v>
      </c>
      <c r="Y1630">
        <v>0</v>
      </c>
      <c r="Z1630">
        <v>0</v>
      </c>
      <c r="AA1630" t="str">
        <f>"Y"</f>
        <v>Y</v>
      </c>
      <c r="AC1630">
        <v>0</v>
      </c>
      <c r="AM1630" t="str">
        <f>"10"</f>
        <v>10</v>
      </c>
      <c r="AN1630" t="str">
        <f>"500000"</f>
        <v>500000</v>
      </c>
      <c r="AO1630" t="str">
        <f>"הכנסות  מלקוחות"</f>
        <v>הכנסות  מלקוחות</v>
      </c>
      <c r="AQ1630" t="str">
        <f>"040"</f>
        <v>040</v>
      </c>
      <c r="AR1630">
        <v>0</v>
      </c>
      <c r="AS1630">
        <v>0</v>
      </c>
      <c r="AT1630">
        <v>3.3559999999999999</v>
      </c>
      <c r="BB1630" t="str">
        <f>"Y"</f>
        <v>Y</v>
      </c>
      <c r="BD1630" t="str">
        <f>"רחמים זרוק"</f>
        <v>רחמים זרוק</v>
      </c>
    </row>
    <row r="1631" spans="1:56" x14ac:dyDescent="0.3">
      <c r="A1631" s="1">
        <v>44705</v>
      </c>
      <c r="B1631" t="str">
        <f>"SI226000576"</f>
        <v>SI226000576</v>
      </c>
      <c r="E1631" t="str">
        <f>"Y"</f>
        <v>Y</v>
      </c>
      <c r="F1631" t="str">
        <f>"חשבוניות מרכזות"</f>
        <v>חשבוניות מרכזות</v>
      </c>
      <c r="G1631" t="str">
        <f>"700065"</f>
        <v>700065</v>
      </c>
      <c r="H1631" t="str">
        <f>"אלתא מערכות בע""מ"</f>
        <v>אלתא מערכות בע"מ</v>
      </c>
      <c r="I1631" t="str">
        <f>"10"</f>
        <v>10</v>
      </c>
      <c r="J1631" t="str">
        <f>"OP-AR02798"</f>
        <v>OP-AR02798</v>
      </c>
      <c r="K1631" t="str">
        <f>"NRE לכבלים בהזמנה E000345587"</f>
        <v>NRE לכבלים בהזמנה E000345587</v>
      </c>
      <c r="L1631">
        <v>1</v>
      </c>
      <c r="M1631" t="str">
        <f>"יח"</f>
        <v>יח</v>
      </c>
      <c r="N1631">
        <v>1</v>
      </c>
      <c r="O1631" t="str">
        <f>"יח"</f>
        <v>יח</v>
      </c>
      <c r="P1631">
        <v>378</v>
      </c>
      <c r="Q1631" t="str">
        <f>"$"</f>
        <v>$</v>
      </c>
      <c r="R1631" t="str">
        <f>"הזמנה"</f>
        <v>הזמנה</v>
      </c>
      <c r="S1631">
        <v>0</v>
      </c>
      <c r="T1631">
        <v>378</v>
      </c>
      <c r="U1631">
        <v>0</v>
      </c>
      <c r="V1631">
        <v>378</v>
      </c>
      <c r="W1631" t="str">
        <f>"$"</f>
        <v>$</v>
      </c>
      <c r="X1631">
        <v>0</v>
      </c>
      <c r="Y1631">
        <v>0</v>
      </c>
      <c r="Z1631">
        <v>0</v>
      </c>
      <c r="AA1631" t="str">
        <f>"Y"</f>
        <v>Y</v>
      </c>
      <c r="AC1631">
        <v>0</v>
      </c>
      <c r="AM1631" t="str">
        <f>"10"</f>
        <v>10</v>
      </c>
      <c r="AN1631" t="str">
        <f>"500000"</f>
        <v>500000</v>
      </c>
      <c r="AO1631" t="str">
        <f>"הכנסות  מלקוחות"</f>
        <v>הכנסות  מלקוחות</v>
      </c>
      <c r="AQ1631" t="str">
        <f>"040"</f>
        <v>040</v>
      </c>
      <c r="AR1631">
        <v>0</v>
      </c>
      <c r="AS1631">
        <v>0</v>
      </c>
      <c r="AT1631">
        <v>3.3559999999999999</v>
      </c>
      <c r="BB1631" t="str">
        <f>"Y"</f>
        <v>Y</v>
      </c>
      <c r="BD1631" t="str">
        <f>"רחמים זרוק"</f>
        <v>רחמים זרוק</v>
      </c>
    </row>
    <row r="1632" spans="1:56" x14ac:dyDescent="0.3">
      <c r="A1632" s="1">
        <v>44705</v>
      </c>
      <c r="B1632" t="str">
        <f>"SI226000575"</f>
        <v>SI226000575</v>
      </c>
      <c r="E1632" t="str">
        <f>"Y"</f>
        <v>Y</v>
      </c>
      <c r="F1632" t="str">
        <f>"חשבוניות מרכזות"</f>
        <v>חשבוניות מרכזות</v>
      </c>
      <c r="G1632" t="str">
        <f>"700065"</f>
        <v>700065</v>
      </c>
      <c r="H1632" t="str">
        <f>"אלתא מערכות בע""מ"</f>
        <v>אלתא מערכות בע"מ</v>
      </c>
      <c r="I1632" t="str">
        <f>"10"</f>
        <v>10</v>
      </c>
      <c r="J1632" t="str">
        <f>"000"</f>
        <v>000</v>
      </c>
      <c r="K1632" t="str">
        <f>"טכנאים לחיווט מסדים"</f>
        <v>טכנאים לחיווט מסדים</v>
      </c>
      <c r="L1632">
        <v>4</v>
      </c>
      <c r="M1632" t="str">
        <f>"יח"</f>
        <v>יח</v>
      </c>
      <c r="N1632">
        <v>4</v>
      </c>
      <c r="O1632" t="str">
        <f>"יח"</f>
        <v>יח</v>
      </c>
      <c r="P1632" s="2">
        <v>2185</v>
      </c>
      <c r="Q1632" t="str">
        <f>"$"</f>
        <v>$</v>
      </c>
      <c r="R1632" t="str">
        <f>"הזמנה"</f>
        <v>הזמנה</v>
      </c>
      <c r="S1632">
        <v>0</v>
      </c>
      <c r="T1632" s="2">
        <v>8740</v>
      </c>
      <c r="U1632">
        <v>0</v>
      </c>
      <c r="V1632" s="2">
        <v>8740</v>
      </c>
      <c r="W1632" t="str">
        <f>"$"</f>
        <v>$</v>
      </c>
      <c r="X1632">
        <v>0</v>
      </c>
      <c r="Y1632">
        <v>0</v>
      </c>
      <c r="Z1632">
        <v>0</v>
      </c>
      <c r="AA1632" t="str">
        <f>"Y"</f>
        <v>Y</v>
      </c>
      <c r="AB1632" t="str">
        <f>"SO21000313"</f>
        <v>SO21000313</v>
      </c>
      <c r="AC1632">
        <v>1</v>
      </c>
      <c r="AD1632" s="1">
        <v>44389</v>
      </c>
      <c r="AM1632" t="str">
        <f>"10"</f>
        <v>10</v>
      </c>
      <c r="AN1632" t="str">
        <f>"500000"</f>
        <v>500000</v>
      </c>
      <c r="AO1632" t="str">
        <f>"הכנסות  מלקוחות"</f>
        <v>הכנסות  מלקוחות</v>
      </c>
      <c r="AQ1632" t="str">
        <f>"007"</f>
        <v>007</v>
      </c>
      <c r="AR1632">
        <v>0</v>
      </c>
      <c r="AS1632">
        <v>0</v>
      </c>
      <c r="AT1632">
        <v>3.3559999999999999</v>
      </c>
      <c r="AX1632" t="str">
        <f>"E000343127"</f>
        <v>E000343127</v>
      </c>
      <c r="BD1632" t="str">
        <f>"רוני דידי"</f>
        <v>רוני דידי</v>
      </c>
    </row>
    <row r="1633" spans="1:56" x14ac:dyDescent="0.3">
      <c r="A1633" s="1">
        <v>44705</v>
      </c>
      <c r="B1633" t="str">
        <f>"SI226000575"</f>
        <v>SI226000575</v>
      </c>
      <c r="E1633" t="str">
        <f>"Y"</f>
        <v>Y</v>
      </c>
      <c r="F1633" t="str">
        <f>"חשבוניות מרכזות"</f>
        <v>חשבוניות מרכזות</v>
      </c>
      <c r="G1633" t="str">
        <f>"700065"</f>
        <v>700065</v>
      </c>
      <c r="H1633" t="str">
        <f>"אלתא מערכות בע""מ"</f>
        <v>אלתא מערכות בע"מ</v>
      </c>
      <c r="I1633" t="str">
        <f>"10"</f>
        <v>10</v>
      </c>
      <c r="J1633" t="str">
        <f>"000"</f>
        <v>000</v>
      </c>
      <c r="K1633" t="str">
        <f>"בנק חומרים"</f>
        <v>בנק חומרים</v>
      </c>
      <c r="L1633">
        <v>1</v>
      </c>
      <c r="M1633" t="str">
        <f>"יח"</f>
        <v>יח</v>
      </c>
      <c r="N1633">
        <v>1</v>
      </c>
      <c r="O1633" t="str">
        <f>"יח"</f>
        <v>יח</v>
      </c>
      <c r="P1633">
        <v>236</v>
      </c>
      <c r="Q1633" t="str">
        <f>"$"</f>
        <v>$</v>
      </c>
      <c r="R1633" t="str">
        <f>"ידני"</f>
        <v>ידני</v>
      </c>
      <c r="S1633">
        <v>0</v>
      </c>
      <c r="T1633">
        <v>236</v>
      </c>
      <c r="U1633">
        <v>0</v>
      </c>
      <c r="V1633">
        <v>236</v>
      </c>
      <c r="W1633" t="str">
        <f>"$"</f>
        <v>$</v>
      </c>
      <c r="X1633">
        <v>0</v>
      </c>
      <c r="Y1633">
        <v>0</v>
      </c>
      <c r="Z1633">
        <v>0</v>
      </c>
      <c r="AA1633" t="str">
        <f>"Y"</f>
        <v>Y</v>
      </c>
      <c r="AB1633" t="str">
        <f>"SO21000313"</f>
        <v>SO21000313</v>
      </c>
      <c r="AC1633">
        <v>2</v>
      </c>
      <c r="AD1633" s="1">
        <v>44389</v>
      </c>
      <c r="AM1633" t="str">
        <f>"10"</f>
        <v>10</v>
      </c>
      <c r="AN1633" t="str">
        <f>"500000"</f>
        <v>500000</v>
      </c>
      <c r="AO1633" t="str">
        <f>"הכנסות  מלקוחות"</f>
        <v>הכנסות  מלקוחות</v>
      </c>
      <c r="AQ1633" t="str">
        <f>"007"</f>
        <v>007</v>
      </c>
      <c r="AR1633">
        <v>0</v>
      </c>
      <c r="AS1633">
        <v>0</v>
      </c>
      <c r="AT1633">
        <v>3.3559999999999999</v>
      </c>
      <c r="AX1633" t="str">
        <f>"E000343127"</f>
        <v>E000343127</v>
      </c>
      <c r="BD1633" t="str">
        <f>"רוני דידי"</f>
        <v>רוני דידי</v>
      </c>
    </row>
    <row r="1634" spans="1:56" x14ac:dyDescent="0.3">
      <c r="A1634" s="1">
        <v>44703</v>
      </c>
      <c r="B1634" t="str">
        <f>"SI226000572"</f>
        <v>SI226000572</v>
      </c>
      <c r="C1634" t="str">
        <f>"PR20000699"</f>
        <v>PR20000699</v>
      </c>
      <c r="E1634" t="str">
        <f>"Y"</f>
        <v>Y</v>
      </c>
      <c r="F1634" t="str">
        <f>"חשבוניות מרכזות"</f>
        <v>חשבוניות מרכזות</v>
      </c>
      <c r="G1634" t="str">
        <f>"700065"</f>
        <v>700065</v>
      </c>
      <c r="H1634" t="str">
        <f>"אלתא מערכות בע""מ"</f>
        <v>אלתא מערכות בע"מ</v>
      </c>
      <c r="I1634" t="str">
        <f>"10"</f>
        <v>10</v>
      </c>
      <c r="J1634" t="str">
        <f>"OP-ML00179"</f>
        <v>OP-ML00179</v>
      </c>
      <c r="K1634" t="str">
        <f>"1038C906-001 Radar Power Unit (RPU) Platform"</f>
        <v>1038C906-001 Radar Power Unit (RPU) Platform</v>
      </c>
      <c r="L1634">
        <v>-1</v>
      </c>
      <c r="M1634" t="str">
        <f>"יח"</f>
        <v>יח</v>
      </c>
      <c r="N1634">
        <v>-1</v>
      </c>
      <c r="O1634" t="str">
        <f>"יח"</f>
        <v>יח</v>
      </c>
      <c r="P1634" s="2">
        <v>284970</v>
      </c>
      <c r="Q1634" t="str">
        <f>"$"</f>
        <v>$</v>
      </c>
      <c r="R1634" t="str">
        <f>"הזמנה"</f>
        <v>הזמנה</v>
      </c>
      <c r="S1634">
        <v>0</v>
      </c>
      <c r="T1634" s="2">
        <v>-284970</v>
      </c>
      <c r="U1634">
        <v>0</v>
      </c>
      <c r="V1634" s="2">
        <v>-284970</v>
      </c>
      <c r="W1634" t="str">
        <f>"$"</f>
        <v>$</v>
      </c>
      <c r="X1634">
        <v>0</v>
      </c>
      <c r="Y1634">
        <v>0</v>
      </c>
      <c r="Z1634">
        <v>0</v>
      </c>
      <c r="AA1634" t="str">
        <f>"Y"</f>
        <v>Y</v>
      </c>
      <c r="AC1634">
        <v>0</v>
      </c>
      <c r="AM1634" t="str">
        <f>"10"</f>
        <v>10</v>
      </c>
      <c r="AN1634" t="str">
        <f>"500000"</f>
        <v>500000</v>
      </c>
      <c r="AO1634" t="str">
        <f>"הכנסות  מלקוחות"</f>
        <v>הכנסות  מלקוחות</v>
      </c>
      <c r="AQ1634" t="str">
        <f>"034"</f>
        <v>034</v>
      </c>
      <c r="AR1634">
        <v>0</v>
      </c>
      <c r="AS1634">
        <v>0</v>
      </c>
      <c r="AT1634">
        <v>3.359</v>
      </c>
      <c r="BB1634" t="str">
        <f>"Y"</f>
        <v>Y</v>
      </c>
      <c r="BD1634" t="str">
        <f>"ערן שלו"</f>
        <v>ערן שלו</v>
      </c>
    </row>
    <row r="1635" spans="1:56" x14ac:dyDescent="0.3">
      <c r="A1635" s="1">
        <v>44703</v>
      </c>
      <c r="B1635" t="str">
        <f>"SI226000571"</f>
        <v>SI226000571</v>
      </c>
      <c r="C1635" t="str">
        <f>"PR20000699"</f>
        <v>PR20000699</v>
      </c>
      <c r="E1635" t="str">
        <f>"Y"</f>
        <v>Y</v>
      </c>
      <c r="F1635" t="str">
        <f>"חשבוניות מרכזות"</f>
        <v>חשבוניות מרכזות</v>
      </c>
      <c r="G1635" t="str">
        <f>"700065"</f>
        <v>700065</v>
      </c>
      <c r="H1635" t="str">
        <f>"אלתא מערכות בע""מ"</f>
        <v>אלתא מערכות בע"מ</v>
      </c>
      <c r="I1635" t="str">
        <f>"10"</f>
        <v>10</v>
      </c>
      <c r="J1635" t="str">
        <f>"OP-ML00179"</f>
        <v>OP-ML00179</v>
      </c>
      <c r="K1635" t="str">
        <f>"1038C906-001 Radar Power Unit (RPU) Platform"</f>
        <v>1038C906-001 Radar Power Unit (RPU) Platform</v>
      </c>
      <c r="L1635">
        <v>1</v>
      </c>
      <c r="M1635" t="str">
        <f>"יח"</f>
        <v>יח</v>
      </c>
      <c r="N1635">
        <v>1</v>
      </c>
      <c r="O1635" t="str">
        <f>"יח"</f>
        <v>יח</v>
      </c>
      <c r="P1635" s="2">
        <v>284970</v>
      </c>
      <c r="Q1635" t="str">
        <f>"$"</f>
        <v>$</v>
      </c>
      <c r="R1635" t="str">
        <f>"הזמנה"</f>
        <v>הזמנה</v>
      </c>
      <c r="S1635">
        <v>0</v>
      </c>
      <c r="T1635" s="2">
        <v>284970</v>
      </c>
      <c r="U1635">
        <v>0</v>
      </c>
      <c r="V1635" s="2">
        <v>284970</v>
      </c>
      <c r="W1635" t="str">
        <f>"$"</f>
        <v>$</v>
      </c>
      <c r="X1635">
        <v>0</v>
      </c>
      <c r="Y1635">
        <v>0</v>
      </c>
      <c r="Z1635">
        <v>0</v>
      </c>
      <c r="AA1635" t="str">
        <f>"Y"</f>
        <v>Y</v>
      </c>
      <c r="AC1635">
        <v>0</v>
      </c>
      <c r="AM1635" t="str">
        <f>"10"</f>
        <v>10</v>
      </c>
      <c r="AN1635" t="str">
        <f>"500000"</f>
        <v>500000</v>
      </c>
      <c r="AO1635" t="str">
        <f>"הכנסות  מלקוחות"</f>
        <v>הכנסות  מלקוחות</v>
      </c>
      <c r="AQ1635" t="str">
        <f>"034"</f>
        <v>034</v>
      </c>
      <c r="AR1635">
        <v>0</v>
      </c>
      <c r="AS1635">
        <v>0</v>
      </c>
      <c r="AT1635">
        <v>3.359</v>
      </c>
      <c r="BB1635" t="str">
        <f>"Y"</f>
        <v>Y</v>
      </c>
      <c r="BD1635" t="str">
        <f>"ערן שלו"</f>
        <v>ערן שלו</v>
      </c>
    </row>
    <row r="1636" spans="1:56" x14ac:dyDescent="0.3">
      <c r="A1636" s="1">
        <v>44703</v>
      </c>
      <c r="B1636" t="str">
        <f>"SI226000569"</f>
        <v>SI226000569</v>
      </c>
      <c r="C1636" t="str">
        <f>"PR21000890"</f>
        <v>PR21000890</v>
      </c>
      <c r="D1636" t="str">
        <f>"PR21000890"</f>
        <v>PR21000890</v>
      </c>
      <c r="E1636" t="str">
        <f>"Y"</f>
        <v>Y</v>
      </c>
      <c r="F1636" t="str">
        <f>"חשבוניות מרכזות"</f>
        <v>חשבוניות מרכזות</v>
      </c>
      <c r="G1636" t="str">
        <f>"700065"</f>
        <v>700065</v>
      </c>
      <c r="H1636" t="str">
        <f>"אלתא מערכות בע""מ"</f>
        <v>אלתא מערכות בע"מ</v>
      </c>
      <c r="I1636" t="str">
        <f>"10"</f>
        <v>10</v>
      </c>
      <c r="J1636" t="str">
        <f>"OP-AR02880"</f>
        <v>OP-AR02880</v>
      </c>
      <c r="K1636" t="str">
        <f>"1023B195-001   WSA132 CABLE ASSY"</f>
        <v>1023B195-001   WSA132 CABLE ASSY</v>
      </c>
      <c r="L1636">
        <v>2</v>
      </c>
      <c r="M1636" t="str">
        <f>"יח"</f>
        <v>יח</v>
      </c>
      <c r="N1636">
        <v>2</v>
      </c>
      <c r="O1636" t="str">
        <f>"יח"</f>
        <v>יח</v>
      </c>
      <c r="P1636" s="2">
        <v>1105.4100000000001</v>
      </c>
      <c r="Q1636" t="str">
        <f>"$"</f>
        <v>$</v>
      </c>
      <c r="R1636" t="str">
        <f>"הזמנה"</f>
        <v>הזמנה</v>
      </c>
      <c r="S1636">
        <v>0</v>
      </c>
      <c r="T1636" s="2">
        <v>2210.8200000000002</v>
      </c>
      <c r="U1636">
        <v>0</v>
      </c>
      <c r="V1636" s="2">
        <v>2210.8200000000002</v>
      </c>
      <c r="W1636" t="str">
        <f>"$"</f>
        <v>$</v>
      </c>
      <c r="X1636">
        <v>0</v>
      </c>
      <c r="Y1636">
        <v>0</v>
      </c>
      <c r="Z1636">
        <v>0</v>
      </c>
      <c r="AA1636" t="str">
        <f>"Y"</f>
        <v>Y</v>
      </c>
      <c r="AB1636" t="str">
        <f>"SO22000004"</f>
        <v>SO22000004</v>
      </c>
      <c r="AC1636">
        <v>5</v>
      </c>
      <c r="AD1636" s="1">
        <v>44564</v>
      </c>
      <c r="AE1636" t="str">
        <f>"SH22000565"</f>
        <v>SH22000565</v>
      </c>
      <c r="AF1636" t="str">
        <f>"משלוחים ללקוח"</f>
        <v>משלוחים ללקוח</v>
      </c>
      <c r="AG1636" s="1">
        <v>44700</v>
      </c>
      <c r="AM1636" t="str">
        <f>"10"</f>
        <v>10</v>
      </c>
      <c r="AN1636" t="str">
        <f>"500000"</f>
        <v>500000</v>
      </c>
      <c r="AO1636" t="str">
        <f>"הכנסות  מלקוחות"</f>
        <v>הכנסות  מלקוחות</v>
      </c>
      <c r="AQ1636" t="str">
        <f>"040"</f>
        <v>040</v>
      </c>
      <c r="AR1636">
        <v>0</v>
      </c>
      <c r="AS1636">
        <v>0</v>
      </c>
      <c r="AT1636">
        <v>3.359</v>
      </c>
      <c r="AX1636" t="str">
        <f>"E000350605"</f>
        <v>E000350605</v>
      </c>
      <c r="BD1636" t="str">
        <f>"רחמים זרוק"</f>
        <v>רחמים זרוק</v>
      </c>
    </row>
    <row r="1637" spans="1:56" x14ac:dyDescent="0.3">
      <c r="A1637" s="1">
        <v>44703</v>
      </c>
      <c r="B1637" t="str">
        <f>"SI226000569"</f>
        <v>SI226000569</v>
      </c>
      <c r="C1637" t="str">
        <f>"PR21000890"</f>
        <v>PR21000890</v>
      </c>
      <c r="D1637" t="str">
        <f>"PR21000890"</f>
        <v>PR21000890</v>
      </c>
      <c r="E1637" t="str">
        <f>"Y"</f>
        <v>Y</v>
      </c>
      <c r="F1637" t="str">
        <f>"חשבוניות מרכזות"</f>
        <v>חשבוניות מרכזות</v>
      </c>
      <c r="G1637" t="str">
        <f>"700065"</f>
        <v>700065</v>
      </c>
      <c r="H1637" t="str">
        <f>"אלתא מערכות בע""מ"</f>
        <v>אלתא מערכות בע"מ</v>
      </c>
      <c r="I1637" t="str">
        <f>"10"</f>
        <v>10</v>
      </c>
      <c r="J1637" t="str">
        <f>"OP-AR02881"</f>
        <v>OP-AR02881</v>
      </c>
      <c r="K1637" t="str">
        <f>"1023B197-001   WSA133 CABLE ASSY"</f>
        <v>1023B197-001   WSA133 CABLE ASSY</v>
      </c>
      <c r="L1637">
        <v>2</v>
      </c>
      <c r="M1637" t="str">
        <f>"יח"</f>
        <v>יח</v>
      </c>
      <c r="N1637">
        <v>2</v>
      </c>
      <c r="O1637" t="str">
        <f>"יח"</f>
        <v>יח</v>
      </c>
      <c r="P1637">
        <v>938.53</v>
      </c>
      <c r="Q1637" t="str">
        <f>"$"</f>
        <v>$</v>
      </c>
      <c r="R1637" t="str">
        <f>"הזמנה"</f>
        <v>הזמנה</v>
      </c>
      <c r="S1637">
        <v>0</v>
      </c>
      <c r="T1637" s="2">
        <v>1877.06</v>
      </c>
      <c r="U1637">
        <v>0</v>
      </c>
      <c r="V1637" s="2">
        <v>1877.06</v>
      </c>
      <c r="W1637" t="str">
        <f>"$"</f>
        <v>$</v>
      </c>
      <c r="X1637">
        <v>0</v>
      </c>
      <c r="Y1637">
        <v>0</v>
      </c>
      <c r="Z1637">
        <v>0</v>
      </c>
      <c r="AA1637" t="str">
        <f>"Y"</f>
        <v>Y</v>
      </c>
      <c r="AB1637" t="str">
        <f>"SO22000004"</f>
        <v>SO22000004</v>
      </c>
      <c r="AC1637">
        <v>6</v>
      </c>
      <c r="AD1637" s="1">
        <v>44564</v>
      </c>
      <c r="AE1637" t="str">
        <f>"SH22000565"</f>
        <v>SH22000565</v>
      </c>
      <c r="AF1637" t="str">
        <f>"משלוחים ללקוח"</f>
        <v>משלוחים ללקוח</v>
      </c>
      <c r="AG1637" s="1">
        <v>44700</v>
      </c>
      <c r="AM1637" t="str">
        <f>"10"</f>
        <v>10</v>
      </c>
      <c r="AN1637" t="str">
        <f>"500000"</f>
        <v>500000</v>
      </c>
      <c r="AO1637" t="str">
        <f>"הכנסות  מלקוחות"</f>
        <v>הכנסות  מלקוחות</v>
      </c>
      <c r="AQ1637" t="str">
        <f>"040"</f>
        <v>040</v>
      </c>
      <c r="AR1637">
        <v>0</v>
      </c>
      <c r="AS1637">
        <v>0</v>
      </c>
      <c r="AT1637">
        <v>3.359</v>
      </c>
      <c r="AX1637" t="str">
        <f>"E000350605"</f>
        <v>E000350605</v>
      </c>
      <c r="BD1637" t="str">
        <f>"רחמים זרוק"</f>
        <v>רחמים זרוק</v>
      </c>
    </row>
    <row r="1638" spans="1:56" x14ac:dyDescent="0.3">
      <c r="A1638" s="1">
        <v>44703</v>
      </c>
      <c r="B1638" t="str">
        <f>"SI226000569"</f>
        <v>SI226000569</v>
      </c>
      <c r="C1638" t="str">
        <f>"PR21000890"</f>
        <v>PR21000890</v>
      </c>
      <c r="D1638" t="str">
        <f>"PR21000890"</f>
        <v>PR21000890</v>
      </c>
      <c r="E1638" t="str">
        <f>"Y"</f>
        <v>Y</v>
      </c>
      <c r="F1638" t="str">
        <f>"חשבוניות מרכזות"</f>
        <v>חשבוניות מרכזות</v>
      </c>
      <c r="G1638" t="str">
        <f>"700065"</f>
        <v>700065</v>
      </c>
      <c r="H1638" t="str">
        <f>"אלתא מערכות בע""מ"</f>
        <v>אלתא מערכות בע"מ</v>
      </c>
      <c r="I1638" t="str">
        <f>"10"</f>
        <v>10</v>
      </c>
      <c r="J1638" t="str">
        <f>"OP-AR02882"</f>
        <v>OP-AR02882</v>
      </c>
      <c r="K1638" t="str">
        <f>"1023B198-001   WSA134 CABLE ASSY"</f>
        <v>1023B198-001   WSA134 CABLE ASSY</v>
      </c>
      <c r="L1638">
        <v>2</v>
      </c>
      <c r="M1638" t="str">
        <f>"יח"</f>
        <v>יח</v>
      </c>
      <c r="N1638">
        <v>2</v>
      </c>
      <c r="O1638" t="str">
        <f>"יח"</f>
        <v>יח</v>
      </c>
      <c r="P1638">
        <v>972.36</v>
      </c>
      <c r="Q1638" t="str">
        <f>"$"</f>
        <v>$</v>
      </c>
      <c r="R1638" t="str">
        <f>"הזמנה"</f>
        <v>הזמנה</v>
      </c>
      <c r="S1638">
        <v>0</v>
      </c>
      <c r="T1638" s="2">
        <v>1944.72</v>
      </c>
      <c r="U1638">
        <v>0</v>
      </c>
      <c r="V1638" s="2">
        <v>1944.72</v>
      </c>
      <c r="W1638" t="str">
        <f>"$"</f>
        <v>$</v>
      </c>
      <c r="X1638">
        <v>0</v>
      </c>
      <c r="Y1638">
        <v>0</v>
      </c>
      <c r="Z1638">
        <v>0</v>
      </c>
      <c r="AA1638" t="str">
        <f>"Y"</f>
        <v>Y</v>
      </c>
      <c r="AB1638" t="str">
        <f>"SO22000004"</f>
        <v>SO22000004</v>
      </c>
      <c r="AC1638">
        <v>7</v>
      </c>
      <c r="AD1638" s="1">
        <v>44564</v>
      </c>
      <c r="AE1638" t="str">
        <f>"SH22000565"</f>
        <v>SH22000565</v>
      </c>
      <c r="AF1638" t="str">
        <f>"משלוחים ללקוח"</f>
        <v>משלוחים ללקוח</v>
      </c>
      <c r="AG1638" s="1">
        <v>44700</v>
      </c>
      <c r="AM1638" t="str">
        <f>"10"</f>
        <v>10</v>
      </c>
      <c r="AN1638" t="str">
        <f>"500000"</f>
        <v>500000</v>
      </c>
      <c r="AO1638" t="str">
        <f>"הכנסות  מלקוחות"</f>
        <v>הכנסות  מלקוחות</v>
      </c>
      <c r="AQ1638" t="str">
        <f>"040"</f>
        <v>040</v>
      </c>
      <c r="AR1638">
        <v>0</v>
      </c>
      <c r="AS1638">
        <v>0</v>
      </c>
      <c r="AT1638">
        <v>3.359</v>
      </c>
      <c r="AX1638" t="str">
        <f>"E000350605"</f>
        <v>E000350605</v>
      </c>
      <c r="BD1638" t="str">
        <f>"רחמים זרוק"</f>
        <v>רחמים זרוק</v>
      </c>
    </row>
    <row r="1639" spans="1:56" x14ac:dyDescent="0.3">
      <c r="A1639" s="1">
        <v>44703</v>
      </c>
      <c r="B1639" t="str">
        <f>"SI226000569"</f>
        <v>SI226000569</v>
      </c>
      <c r="C1639" t="str">
        <f>"PR21000890"</f>
        <v>PR21000890</v>
      </c>
      <c r="D1639" t="str">
        <f>"PR21000890"</f>
        <v>PR21000890</v>
      </c>
      <c r="E1639" t="str">
        <f>"Y"</f>
        <v>Y</v>
      </c>
      <c r="F1639" t="str">
        <f>"חשבוניות מרכזות"</f>
        <v>חשבוניות מרכזות</v>
      </c>
      <c r="G1639" t="str">
        <f>"700065"</f>
        <v>700065</v>
      </c>
      <c r="H1639" t="str">
        <f>"אלתא מערכות בע""מ"</f>
        <v>אלתא מערכות בע"מ</v>
      </c>
      <c r="I1639" t="str">
        <f>"10"</f>
        <v>10</v>
      </c>
      <c r="J1639" t="str">
        <f>"OP-AR02884"</f>
        <v>OP-AR02884</v>
      </c>
      <c r="K1639" t="str">
        <f>"1023B440-001   WSA113 CABLE ASSY"</f>
        <v>1023B440-001   WSA113 CABLE ASSY</v>
      </c>
      <c r="L1639">
        <v>1</v>
      </c>
      <c r="M1639" t="str">
        <f>"יח"</f>
        <v>יח</v>
      </c>
      <c r="N1639">
        <v>1</v>
      </c>
      <c r="O1639" t="str">
        <f>"יח"</f>
        <v>יח</v>
      </c>
      <c r="P1639" s="2">
        <v>1021.14</v>
      </c>
      <c r="Q1639" t="str">
        <f>"$"</f>
        <v>$</v>
      </c>
      <c r="R1639" t="str">
        <f>"הזמנה"</f>
        <v>הזמנה</v>
      </c>
      <c r="S1639">
        <v>0</v>
      </c>
      <c r="T1639" s="2">
        <v>1021.14</v>
      </c>
      <c r="U1639">
        <v>0</v>
      </c>
      <c r="V1639" s="2">
        <v>1021.14</v>
      </c>
      <c r="W1639" t="str">
        <f>"$"</f>
        <v>$</v>
      </c>
      <c r="X1639">
        <v>0</v>
      </c>
      <c r="Y1639">
        <v>0</v>
      </c>
      <c r="Z1639">
        <v>0</v>
      </c>
      <c r="AA1639" t="str">
        <f>"Y"</f>
        <v>Y</v>
      </c>
      <c r="AB1639" t="str">
        <f>"SO22000004"</f>
        <v>SO22000004</v>
      </c>
      <c r="AC1639">
        <v>9</v>
      </c>
      <c r="AD1639" s="1">
        <v>44564</v>
      </c>
      <c r="AE1639" t="str">
        <f>"SH22000565"</f>
        <v>SH22000565</v>
      </c>
      <c r="AF1639" t="str">
        <f>"משלוחים ללקוח"</f>
        <v>משלוחים ללקוח</v>
      </c>
      <c r="AG1639" s="1">
        <v>44700</v>
      </c>
      <c r="AM1639" t="str">
        <f>"10"</f>
        <v>10</v>
      </c>
      <c r="AN1639" t="str">
        <f>"500000"</f>
        <v>500000</v>
      </c>
      <c r="AO1639" t="str">
        <f>"הכנסות  מלקוחות"</f>
        <v>הכנסות  מלקוחות</v>
      </c>
      <c r="AQ1639" t="str">
        <f>"040"</f>
        <v>040</v>
      </c>
      <c r="AR1639">
        <v>0</v>
      </c>
      <c r="AS1639">
        <v>0</v>
      </c>
      <c r="AT1639">
        <v>3.359</v>
      </c>
      <c r="AX1639" t="str">
        <f>"E000350605"</f>
        <v>E000350605</v>
      </c>
      <c r="BD1639" t="str">
        <f>"רחמים זרוק"</f>
        <v>רחמים זרוק</v>
      </c>
    </row>
    <row r="1640" spans="1:56" x14ac:dyDescent="0.3">
      <c r="A1640" s="1">
        <v>44703</v>
      </c>
      <c r="B1640" t="str">
        <f>"SI226000569"</f>
        <v>SI226000569</v>
      </c>
      <c r="C1640" t="str">
        <f>"PR21000890"</f>
        <v>PR21000890</v>
      </c>
      <c r="D1640" t="str">
        <f>"PR21000890"</f>
        <v>PR21000890</v>
      </c>
      <c r="E1640" t="str">
        <f>"Y"</f>
        <v>Y</v>
      </c>
      <c r="F1640" t="str">
        <f>"חשבוניות מרכזות"</f>
        <v>חשבוניות מרכזות</v>
      </c>
      <c r="G1640" t="str">
        <f>"700065"</f>
        <v>700065</v>
      </c>
      <c r="H1640" t="str">
        <f>"אלתא מערכות בע""מ"</f>
        <v>אלתא מערכות בע"מ</v>
      </c>
      <c r="I1640" t="str">
        <f>"10"</f>
        <v>10</v>
      </c>
      <c r="J1640" t="str">
        <f>"OP-AR02875"</f>
        <v>OP-AR02875</v>
      </c>
      <c r="K1640" t="str">
        <f>"1023B163-001   WA163 POWER SUPPLY TO BFU"</f>
        <v>1023B163-001   WA163 POWER SUPPLY TO BFU</v>
      </c>
      <c r="L1640">
        <v>2</v>
      </c>
      <c r="M1640" t="str">
        <f>"יח"</f>
        <v>יח</v>
      </c>
      <c r="N1640">
        <v>2</v>
      </c>
      <c r="O1640" t="str">
        <f>"יח"</f>
        <v>יח</v>
      </c>
      <c r="P1640">
        <v>594.04999999999995</v>
      </c>
      <c r="Q1640" t="str">
        <f>"$"</f>
        <v>$</v>
      </c>
      <c r="R1640" t="str">
        <f>"הזמנה"</f>
        <v>הזמנה</v>
      </c>
      <c r="S1640">
        <v>0</v>
      </c>
      <c r="T1640" s="2">
        <v>1188.0999999999999</v>
      </c>
      <c r="U1640">
        <v>0</v>
      </c>
      <c r="V1640" s="2">
        <v>1188.0999999999999</v>
      </c>
      <c r="W1640" t="str">
        <f>"$"</f>
        <v>$</v>
      </c>
      <c r="X1640">
        <v>0</v>
      </c>
      <c r="Y1640">
        <v>0</v>
      </c>
      <c r="Z1640">
        <v>0</v>
      </c>
      <c r="AA1640" t="str">
        <f>"Y"</f>
        <v>Y</v>
      </c>
      <c r="AB1640" t="str">
        <f>"SO22000004"</f>
        <v>SO22000004</v>
      </c>
      <c r="AC1640">
        <v>11</v>
      </c>
      <c r="AD1640" s="1">
        <v>44564</v>
      </c>
      <c r="AE1640" t="str">
        <f>"SH22000565"</f>
        <v>SH22000565</v>
      </c>
      <c r="AF1640" t="str">
        <f>"משלוחים ללקוח"</f>
        <v>משלוחים ללקוח</v>
      </c>
      <c r="AG1640" s="1">
        <v>44700</v>
      </c>
      <c r="AM1640" t="str">
        <f>"10"</f>
        <v>10</v>
      </c>
      <c r="AN1640" t="str">
        <f>"500000"</f>
        <v>500000</v>
      </c>
      <c r="AO1640" t="str">
        <f>"הכנסות  מלקוחות"</f>
        <v>הכנסות  מלקוחות</v>
      </c>
      <c r="AQ1640" t="str">
        <f>"040"</f>
        <v>040</v>
      </c>
      <c r="AR1640">
        <v>0</v>
      </c>
      <c r="AS1640">
        <v>0</v>
      </c>
      <c r="AT1640">
        <v>3.359</v>
      </c>
      <c r="AX1640" t="str">
        <f>"E000350605"</f>
        <v>E000350605</v>
      </c>
      <c r="BD1640" t="str">
        <f>"רחמים זרוק"</f>
        <v>רחמים זרוק</v>
      </c>
    </row>
    <row r="1641" spans="1:56" x14ac:dyDescent="0.3">
      <c r="A1641" s="1">
        <v>44703</v>
      </c>
      <c r="B1641" t="str">
        <f>"SI226000569"</f>
        <v>SI226000569</v>
      </c>
      <c r="C1641" t="str">
        <f>"PR21000890"</f>
        <v>PR21000890</v>
      </c>
      <c r="D1641" t="str">
        <f>"PR21000890"</f>
        <v>PR21000890</v>
      </c>
      <c r="E1641" t="str">
        <f>"Y"</f>
        <v>Y</v>
      </c>
      <c r="F1641" t="str">
        <f>"חשבוניות מרכזות"</f>
        <v>חשבוניות מרכזות</v>
      </c>
      <c r="G1641" t="str">
        <f>"700065"</f>
        <v>700065</v>
      </c>
      <c r="H1641" t="str">
        <f>"אלתא מערכות בע""מ"</f>
        <v>אלתא מערכות בע"מ</v>
      </c>
      <c r="I1641" t="str">
        <f>"10"</f>
        <v>10</v>
      </c>
      <c r="J1641" t="str">
        <f>"OP-AR02886"</f>
        <v>OP-AR02886</v>
      </c>
      <c r="K1641" t="str">
        <f>"1023F311-001   WZ001 IFF EXT POWER"</f>
        <v>1023F311-001   WZ001 IFF EXT POWER</v>
      </c>
      <c r="L1641">
        <v>2</v>
      </c>
      <c r="M1641" t="str">
        <f>"יח"</f>
        <v>יח</v>
      </c>
      <c r="N1641">
        <v>2</v>
      </c>
      <c r="O1641" t="str">
        <f>"יח"</f>
        <v>יח</v>
      </c>
      <c r="P1641">
        <v>349.57</v>
      </c>
      <c r="Q1641" t="str">
        <f>"$"</f>
        <v>$</v>
      </c>
      <c r="R1641" t="str">
        <f>"הזמנה"</f>
        <v>הזמנה</v>
      </c>
      <c r="S1641">
        <v>0</v>
      </c>
      <c r="T1641">
        <v>699.14</v>
      </c>
      <c r="U1641">
        <v>0</v>
      </c>
      <c r="V1641">
        <v>699.14</v>
      </c>
      <c r="W1641" t="str">
        <f>"$"</f>
        <v>$</v>
      </c>
      <c r="X1641">
        <v>0</v>
      </c>
      <c r="Y1641">
        <v>0</v>
      </c>
      <c r="Z1641">
        <v>0</v>
      </c>
      <c r="AA1641" t="str">
        <f>"Y"</f>
        <v>Y</v>
      </c>
      <c r="AB1641" t="str">
        <f>"SO22000004"</f>
        <v>SO22000004</v>
      </c>
      <c r="AC1641">
        <v>12</v>
      </c>
      <c r="AD1641" s="1">
        <v>44564</v>
      </c>
      <c r="AE1641" t="str">
        <f>"SH22000565"</f>
        <v>SH22000565</v>
      </c>
      <c r="AF1641" t="str">
        <f>"משלוחים ללקוח"</f>
        <v>משלוחים ללקוח</v>
      </c>
      <c r="AG1641" s="1">
        <v>44700</v>
      </c>
      <c r="AM1641" t="str">
        <f>"10"</f>
        <v>10</v>
      </c>
      <c r="AN1641" t="str">
        <f>"500000"</f>
        <v>500000</v>
      </c>
      <c r="AO1641" t="str">
        <f>"הכנסות  מלקוחות"</f>
        <v>הכנסות  מלקוחות</v>
      </c>
      <c r="AQ1641" t="str">
        <f>"040"</f>
        <v>040</v>
      </c>
      <c r="AR1641">
        <v>0</v>
      </c>
      <c r="AS1641">
        <v>0</v>
      </c>
      <c r="AT1641">
        <v>3.359</v>
      </c>
      <c r="AX1641" t="str">
        <f>"E000350605"</f>
        <v>E000350605</v>
      </c>
      <c r="BD1641" t="str">
        <f>"רחמים זרוק"</f>
        <v>רחמים זרוק</v>
      </c>
    </row>
    <row r="1642" spans="1:56" x14ac:dyDescent="0.3">
      <c r="A1642" s="1">
        <v>44697</v>
      </c>
      <c r="B1642" t="str">
        <f>"SI226000540"</f>
        <v>SI226000540</v>
      </c>
      <c r="E1642" t="str">
        <f>"Y"</f>
        <v>Y</v>
      </c>
      <c r="F1642" t="str">
        <f>"חשבוניות מרכזות"</f>
        <v>חשבוניות מרכזות</v>
      </c>
      <c r="G1642" t="str">
        <f>"700065"</f>
        <v>700065</v>
      </c>
      <c r="H1642" t="str">
        <f>"אלתא מערכות בע""מ"</f>
        <v>אלתא מערכות בע"מ</v>
      </c>
      <c r="I1642" t="str">
        <f>"10"</f>
        <v>10</v>
      </c>
      <c r="J1642" t="str">
        <f>"000"</f>
        <v>000</v>
      </c>
      <c r="K1642" t="str">
        <f>"חשבונית זיכוי עבור הזמנה E000329195"</f>
        <v>חשבונית זיכוי עבור הזמנה E000329195</v>
      </c>
      <c r="L1642">
        <v>-1</v>
      </c>
      <c r="M1642" t="str">
        <f>"יח"</f>
        <v>יח</v>
      </c>
      <c r="N1642">
        <v>-1</v>
      </c>
      <c r="O1642" t="str">
        <f>"יח"</f>
        <v>יח</v>
      </c>
      <c r="P1642" s="2">
        <v>4103</v>
      </c>
      <c r="Q1642" t="str">
        <f>"$"</f>
        <v>$</v>
      </c>
      <c r="R1642" t="str">
        <f>"ידני"</f>
        <v>ידני</v>
      </c>
      <c r="S1642">
        <v>0</v>
      </c>
      <c r="T1642" s="2">
        <v>-4103</v>
      </c>
      <c r="U1642">
        <v>0</v>
      </c>
      <c r="V1642" s="2">
        <v>-4103</v>
      </c>
      <c r="W1642" t="str">
        <f>"$"</f>
        <v>$</v>
      </c>
      <c r="X1642">
        <v>0</v>
      </c>
      <c r="Y1642">
        <v>0</v>
      </c>
      <c r="Z1642">
        <v>0</v>
      </c>
      <c r="AA1642" t="str">
        <f>"Y"</f>
        <v>Y</v>
      </c>
      <c r="AC1642">
        <v>0</v>
      </c>
      <c r="AM1642" t="str">
        <f>"10"</f>
        <v>10</v>
      </c>
      <c r="AN1642" t="str">
        <f>"500000"</f>
        <v>500000</v>
      </c>
      <c r="AO1642" t="str">
        <f>"הכנסות  מלקוחות"</f>
        <v>הכנסות  מלקוחות</v>
      </c>
      <c r="AQ1642" t="str">
        <f>"034"</f>
        <v>034</v>
      </c>
      <c r="AR1642">
        <v>0</v>
      </c>
      <c r="AS1642">
        <v>0</v>
      </c>
      <c r="AT1642">
        <v>3.4119999999999999</v>
      </c>
      <c r="BB1642" t="str">
        <f>"Y"</f>
        <v>Y</v>
      </c>
      <c r="BD1642" t="str">
        <f>"ערן שלו"</f>
        <v>ערן שלו</v>
      </c>
    </row>
    <row r="1643" spans="1:56" x14ac:dyDescent="0.3">
      <c r="A1643" s="1">
        <v>44697</v>
      </c>
      <c r="B1643" t="str">
        <f>"SI226000539"</f>
        <v>SI226000539</v>
      </c>
      <c r="E1643" t="str">
        <f>"Y"</f>
        <v>Y</v>
      </c>
      <c r="F1643" t="str">
        <f>"חשבוניות מרכזות"</f>
        <v>חשבוניות מרכזות</v>
      </c>
      <c r="G1643" t="str">
        <f>"700065"</f>
        <v>700065</v>
      </c>
      <c r="H1643" t="str">
        <f>"אלתא מערכות בע""מ"</f>
        <v>אלתא מערכות בע"מ</v>
      </c>
      <c r="I1643" t="str">
        <f>"10"</f>
        <v>10</v>
      </c>
      <c r="J1643" t="str">
        <f>"000"</f>
        <v>000</v>
      </c>
      <c r="K1643" t="str">
        <f>"חשבונית זיכוי עבור הזמנה E000329195"</f>
        <v>חשבונית זיכוי עבור הזמנה E000329195</v>
      </c>
      <c r="L1643">
        <v>1</v>
      </c>
      <c r="M1643" t="str">
        <f>"יח"</f>
        <v>יח</v>
      </c>
      <c r="N1643">
        <v>1</v>
      </c>
      <c r="O1643" t="str">
        <f>"יח"</f>
        <v>יח</v>
      </c>
      <c r="P1643" s="2">
        <v>4103</v>
      </c>
      <c r="Q1643" t="str">
        <f>"$"</f>
        <v>$</v>
      </c>
      <c r="R1643" t="str">
        <f>"ידני"</f>
        <v>ידני</v>
      </c>
      <c r="S1643">
        <v>0</v>
      </c>
      <c r="T1643" s="2">
        <v>4103</v>
      </c>
      <c r="U1643">
        <v>0</v>
      </c>
      <c r="V1643" s="2">
        <v>4103</v>
      </c>
      <c r="W1643" t="str">
        <f>"$"</f>
        <v>$</v>
      </c>
      <c r="X1643">
        <v>0</v>
      </c>
      <c r="Y1643">
        <v>0</v>
      </c>
      <c r="Z1643">
        <v>0</v>
      </c>
      <c r="AA1643" t="str">
        <f>"Y"</f>
        <v>Y</v>
      </c>
      <c r="AC1643">
        <v>0</v>
      </c>
      <c r="AM1643" t="str">
        <f>"10"</f>
        <v>10</v>
      </c>
      <c r="AN1643" t="str">
        <f>"500000"</f>
        <v>500000</v>
      </c>
      <c r="AO1643" t="str">
        <f>"הכנסות  מלקוחות"</f>
        <v>הכנסות  מלקוחות</v>
      </c>
      <c r="AQ1643" t="str">
        <f>"034"</f>
        <v>034</v>
      </c>
      <c r="AR1643">
        <v>0</v>
      </c>
      <c r="AS1643">
        <v>0</v>
      </c>
      <c r="AT1643">
        <v>3.4119999999999999</v>
      </c>
      <c r="BB1643" t="str">
        <f>"Y"</f>
        <v>Y</v>
      </c>
      <c r="BD1643" t="str">
        <f>"ערן שלו"</f>
        <v>ערן שלו</v>
      </c>
    </row>
    <row r="1644" spans="1:56" x14ac:dyDescent="0.3">
      <c r="A1644" s="1">
        <v>44697</v>
      </c>
      <c r="B1644" t="str">
        <f>"CR227000036"</f>
        <v>CR227000036</v>
      </c>
      <c r="E1644" t="str">
        <f>"Y"</f>
        <v>Y</v>
      </c>
      <c r="F1644" t="str">
        <f>"חשבוניות זיכוי"</f>
        <v>חשבוניות זיכוי</v>
      </c>
      <c r="G1644" t="str">
        <f>"700065"</f>
        <v>700065</v>
      </c>
      <c r="H1644" t="str">
        <f>"אלתא מערכות בע""מ"</f>
        <v>אלתא מערכות בע"מ</v>
      </c>
      <c r="I1644" t="str">
        <f>"10"</f>
        <v>10</v>
      </c>
      <c r="J1644" t="str">
        <f>"000"</f>
        <v>000</v>
      </c>
      <c r="K1644" t="str">
        <f>"חשבונית זיכוי עבור הזמנה E000329195"</f>
        <v>חשבונית זיכוי עבור הזמנה E000329195</v>
      </c>
      <c r="L1644">
        <v>1</v>
      </c>
      <c r="M1644" t="str">
        <f>"יח"</f>
        <v>יח</v>
      </c>
      <c r="N1644">
        <v>1</v>
      </c>
      <c r="O1644" t="str">
        <f>"יח"</f>
        <v>יח</v>
      </c>
      <c r="P1644" s="2">
        <v>4103</v>
      </c>
      <c r="Q1644" t="str">
        <f>"$"</f>
        <v>$</v>
      </c>
      <c r="R1644" t="str">
        <f>"ידני"</f>
        <v>ידני</v>
      </c>
      <c r="S1644">
        <v>0</v>
      </c>
      <c r="T1644" s="2">
        <v>4103</v>
      </c>
      <c r="U1644">
        <v>0</v>
      </c>
      <c r="V1644" s="2">
        <v>4103</v>
      </c>
      <c r="W1644" t="str">
        <f>"$"</f>
        <v>$</v>
      </c>
      <c r="X1644">
        <v>0</v>
      </c>
      <c r="Y1644">
        <v>0</v>
      </c>
      <c r="Z1644">
        <v>0</v>
      </c>
      <c r="AA1644" t="str">
        <f>"Y"</f>
        <v>Y</v>
      </c>
      <c r="AC1644">
        <v>0</v>
      </c>
      <c r="AM1644" t="str">
        <f>"10"</f>
        <v>10</v>
      </c>
      <c r="AN1644" t="str">
        <f>"500000"</f>
        <v>500000</v>
      </c>
      <c r="AO1644" t="str">
        <f>"הכנסות  מלקוחות"</f>
        <v>הכנסות  מלקוחות</v>
      </c>
      <c r="AQ1644" t="str">
        <f>"034"</f>
        <v>034</v>
      </c>
      <c r="AR1644">
        <v>0</v>
      </c>
      <c r="AS1644">
        <v>0</v>
      </c>
      <c r="AT1644">
        <v>3.4119999999999999</v>
      </c>
      <c r="BD1644" t="str">
        <f>"ערן שלו"</f>
        <v>ערן שלו</v>
      </c>
    </row>
    <row r="1645" spans="1:56" x14ac:dyDescent="0.3">
      <c r="A1645" s="1">
        <v>44696</v>
      </c>
      <c r="B1645" t="str">
        <f>"CR227000035"</f>
        <v>CR227000035</v>
      </c>
      <c r="E1645" t="str">
        <f>"Y"</f>
        <v>Y</v>
      </c>
      <c r="F1645" t="str">
        <f>"חשבוניות זיכוי"</f>
        <v>חשבוניות זיכוי</v>
      </c>
      <c r="G1645" t="str">
        <f>"700065"</f>
        <v>700065</v>
      </c>
      <c r="H1645" t="str">
        <f>"אלתא מערכות בע""מ"</f>
        <v>אלתא מערכות בע"מ</v>
      </c>
      <c r="I1645" t="str">
        <f>"10"</f>
        <v>10</v>
      </c>
      <c r="J1645" t="str">
        <f>"000"</f>
        <v>000</v>
      </c>
      <c r="K1645" t="str">
        <f>"חשבונית זיכוי עבור הזמנה E000329195"</f>
        <v>חשבונית זיכוי עבור הזמנה E000329195</v>
      </c>
      <c r="L1645">
        <v>-1</v>
      </c>
      <c r="M1645" t="str">
        <f>"יח"</f>
        <v>יח</v>
      </c>
      <c r="N1645">
        <v>-1</v>
      </c>
      <c r="O1645" t="str">
        <f>"יח"</f>
        <v>יח</v>
      </c>
      <c r="P1645" s="2">
        <v>4103</v>
      </c>
      <c r="Q1645" t="str">
        <f>"$"</f>
        <v>$</v>
      </c>
      <c r="R1645" t="str">
        <f>"ידני"</f>
        <v>ידני</v>
      </c>
      <c r="S1645">
        <v>0</v>
      </c>
      <c r="T1645" s="2">
        <v>-4103</v>
      </c>
      <c r="U1645">
        <v>0</v>
      </c>
      <c r="V1645" s="2">
        <v>-4103</v>
      </c>
      <c r="W1645" t="str">
        <f>"$"</f>
        <v>$</v>
      </c>
      <c r="X1645">
        <v>0</v>
      </c>
      <c r="Y1645">
        <v>0</v>
      </c>
      <c r="Z1645">
        <v>0</v>
      </c>
      <c r="AA1645" t="str">
        <f>"Y"</f>
        <v>Y</v>
      </c>
      <c r="AC1645">
        <v>0</v>
      </c>
      <c r="AM1645" t="str">
        <f>"10"</f>
        <v>10</v>
      </c>
      <c r="AN1645" t="str">
        <f>"500000"</f>
        <v>500000</v>
      </c>
      <c r="AO1645" t="str">
        <f>"הכנסות  מלקוחות"</f>
        <v>הכנסות  מלקוחות</v>
      </c>
      <c r="AQ1645" t="str">
        <f>"034"</f>
        <v>034</v>
      </c>
      <c r="AR1645">
        <v>0</v>
      </c>
      <c r="AS1645">
        <v>0</v>
      </c>
      <c r="AT1645">
        <v>3.238</v>
      </c>
      <c r="BB1645" t="str">
        <f>"Y"</f>
        <v>Y</v>
      </c>
      <c r="BD1645" t="str">
        <f>"ערן שלו"</f>
        <v>ערן שלו</v>
      </c>
    </row>
    <row r="1646" spans="1:56" x14ac:dyDescent="0.3">
      <c r="A1646" s="1">
        <v>44696</v>
      </c>
      <c r="B1646" t="str">
        <f>"CR227000034"</f>
        <v>CR227000034</v>
      </c>
      <c r="E1646" t="str">
        <f>"Y"</f>
        <v>Y</v>
      </c>
      <c r="F1646" t="str">
        <f>"חשבוניות זיכוי"</f>
        <v>חשבוניות זיכוי</v>
      </c>
      <c r="G1646" t="str">
        <f>"700065"</f>
        <v>700065</v>
      </c>
      <c r="H1646" t="str">
        <f>"אלתא מערכות בע""מ"</f>
        <v>אלתא מערכות בע"מ</v>
      </c>
      <c r="I1646" t="str">
        <f>"10"</f>
        <v>10</v>
      </c>
      <c r="J1646" t="str">
        <f>"000"</f>
        <v>000</v>
      </c>
      <c r="K1646" t="str">
        <f>"חשבונית זיכוי עבור הזמנה E000329195"</f>
        <v>חשבונית זיכוי עבור הזמנה E000329195</v>
      </c>
      <c r="L1646">
        <v>1</v>
      </c>
      <c r="M1646" t="str">
        <f>"יח"</f>
        <v>יח</v>
      </c>
      <c r="N1646">
        <v>1</v>
      </c>
      <c r="O1646" t="str">
        <f>"יח"</f>
        <v>יח</v>
      </c>
      <c r="P1646" s="2">
        <v>4103</v>
      </c>
      <c r="Q1646" t="str">
        <f>"$"</f>
        <v>$</v>
      </c>
      <c r="R1646" t="str">
        <f>"ידני"</f>
        <v>ידני</v>
      </c>
      <c r="S1646">
        <v>0</v>
      </c>
      <c r="T1646" s="2">
        <v>4103</v>
      </c>
      <c r="U1646">
        <v>0</v>
      </c>
      <c r="V1646" s="2">
        <v>4103</v>
      </c>
      <c r="W1646" t="str">
        <f>"$"</f>
        <v>$</v>
      </c>
      <c r="X1646">
        <v>0</v>
      </c>
      <c r="Y1646">
        <v>0</v>
      </c>
      <c r="Z1646">
        <v>0</v>
      </c>
      <c r="AA1646" t="str">
        <f>"Y"</f>
        <v>Y</v>
      </c>
      <c r="AC1646">
        <v>0</v>
      </c>
      <c r="AM1646" t="str">
        <f>"10"</f>
        <v>10</v>
      </c>
      <c r="AN1646" t="str">
        <f>"500000"</f>
        <v>500000</v>
      </c>
      <c r="AO1646" t="str">
        <f>"הכנסות  מלקוחות"</f>
        <v>הכנסות  מלקוחות</v>
      </c>
      <c r="AQ1646" t="str">
        <f>"034"</f>
        <v>034</v>
      </c>
      <c r="AR1646">
        <v>0</v>
      </c>
      <c r="AS1646">
        <v>0</v>
      </c>
      <c r="AT1646">
        <v>3.238</v>
      </c>
      <c r="BB1646" t="str">
        <f>"Y"</f>
        <v>Y</v>
      </c>
      <c r="BD1646" t="str">
        <f>"ערן שלו"</f>
        <v>ערן שלו</v>
      </c>
    </row>
    <row r="1647" spans="1:56" x14ac:dyDescent="0.3">
      <c r="A1647" s="1">
        <v>44693</v>
      </c>
      <c r="B1647" t="str">
        <f>"SI226000519"</f>
        <v>SI226000519</v>
      </c>
      <c r="C1647" t="str">
        <f>"PR20000152"</f>
        <v>PR20000152</v>
      </c>
      <c r="E1647" t="str">
        <f>"Y"</f>
        <v>Y</v>
      </c>
      <c r="F1647" t="str">
        <f>"חשבוניות מרכזות"</f>
        <v>חשבוניות מרכזות</v>
      </c>
      <c r="G1647" t="str">
        <f>"700065"</f>
        <v>700065</v>
      </c>
      <c r="H1647" t="str">
        <f>"אלתא מערכות בע""מ"</f>
        <v>אלתא מערכות בע"מ</v>
      </c>
      <c r="I1647" t="str">
        <f>"10"</f>
        <v>10</v>
      </c>
      <c r="J1647" t="str">
        <f>"OP-AR09107-1"</f>
        <v>OP-AR09107-1</v>
      </c>
      <c r="K1647" t="str">
        <f>"לוח AUX BOX מק""ט לקוח 1036V320 001"</f>
        <v>לוח AUX BOX מק"ט לקוח 1036V320 001</v>
      </c>
      <c r="L1647">
        <v>1</v>
      </c>
      <c r="M1647" t="str">
        <f>"יח"</f>
        <v>יח</v>
      </c>
      <c r="N1647">
        <v>1</v>
      </c>
      <c r="O1647" t="str">
        <f>"יח"</f>
        <v>יח</v>
      </c>
      <c r="P1647" s="2">
        <v>26958</v>
      </c>
      <c r="Q1647" t="str">
        <f>"$"</f>
        <v>$</v>
      </c>
      <c r="R1647" t="str">
        <f>"ידני"</f>
        <v>ידני</v>
      </c>
      <c r="S1647">
        <v>0</v>
      </c>
      <c r="T1647" s="2">
        <v>26958</v>
      </c>
      <c r="U1647">
        <v>0</v>
      </c>
      <c r="V1647" s="2">
        <v>26958</v>
      </c>
      <c r="W1647" t="str">
        <f>"$"</f>
        <v>$</v>
      </c>
      <c r="X1647">
        <v>0</v>
      </c>
      <c r="Y1647">
        <v>0</v>
      </c>
      <c r="Z1647">
        <v>0</v>
      </c>
      <c r="AA1647" t="str">
        <f>"Y"</f>
        <v>Y</v>
      </c>
      <c r="AB1647" t="str">
        <f>"SO20000381"</f>
        <v>SO20000381</v>
      </c>
      <c r="AC1647">
        <v>21</v>
      </c>
      <c r="AD1647" s="1">
        <v>44073</v>
      </c>
      <c r="AE1647" t="str">
        <f>"SH22000530"</f>
        <v>SH22000530</v>
      </c>
      <c r="AF1647" t="str">
        <f>"משלוחים ללקוח"</f>
        <v>משלוחים ללקוח</v>
      </c>
      <c r="AG1647" s="1">
        <v>44690</v>
      </c>
      <c r="AM1647" t="str">
        <f>"10"</f>
        <v>10</v>
      </c>
      <c r="AN1647" t="str">
        <f>"500000"</f>
        <v>500000</v>
      </c>
      <c r="AO1647" t="str">
        <f>"הכנסות  מלקוחות"</f>
        <v>הכנסות  מלקוחות</v>
      </c>
      <c r="AQ1647" t="str">
        <f>"034"</f>
        <v>034</v>
      </c>
      <c r="AR1647">
        <v>0</v>
      </c>
      <c r="AS1647">
        <v>0</v>
      </c>
      <c r="AT1647">
        <v>3.46</v>
      </c>
      <c r="AX1647" t="str">
        <f>"E000319715"</f>
        <v>E000319715</v>
      </c>
      <c r="BD1647" t="str">
        <f>"ערן שלו"</f>
        <v>ערן שלו</v>
      </c>
    </row>
    <row r="1648" spans="1:56" x14ac:dyDescent="0.3">
      <c r="A1648" s="1">
        <v>44693</v>
      </c>
      <c r="B1648" t="str">
        <f>"SI226000518"</f>
        <v>SI226000518</v>
      </c>
      <c r="C1648" t="str">
        <f>"PR21000839"</f>
        <v>PR21000839</v>
      </c>
      <c r="E1648" t="str">
        <f>"Y"</f>
        <v>Y</v>
      </c>
      <c r="F1648" t="str">
        <f>"חשבוניות מרכזות"</f>
        <v>חשבוניות מרכזות</v>
      </c>
      <c r="G1648" t="str">
        <f>"700065"</f>
        <v>700065</v>
      </c>
      <c r="H1648" t="str">
        <f>"אלתא מערכות בע""מ"</f>
        <v>אלתא מערכות בע"מ</v>
      </c>
      <c r="I1648" t="str">
        <f>"10"</f>
        <v>10</v>
      </c>
      <c r="J1648" t="str">
        <f>"OP-ML00117"</f>
        <v>OP-ML00117</v>
      </c>
      <c r="K1648" t="str">
        <f>"PDU 1U 110VAC 1PH"</f>
        <v>PDU 1U 110VAC 1PH</v>
      </c>
      <c r="L1648">
        <v>3</v>
      </c>
      <c r="M1648" t="str">
        <f>"יח"</f>
        <v>יח</v>
      </c>
      <c r="N1648">
        <v>3</v>
      </c>
      <c r="O1648" t="str">
        <f>"יח"</f>
        <v>יח</v>
      </c>
      <c r="P1648" s="2">
        <v>3332</v>
      </c>
      <c r="Q1648" t="str">
        <f>"$"</f>
        <v>$</v>
      </c>
      <c r="R1648" t="str">
        <f>"ידני"</f>
        <v>ידני</v>
      </c>
      <c r="S1648">
        <v>0</v>
      </c>
      <c r="T1648" s="2">
        <v>9996</v>
      </c>
      <c r="U1648">
        <v>0</v>
      </c>
      <c r="V1648" s="2">
        <v>9996</v>
      </c>
      <c r="W1648" t="str">
        <f>"$"</f>
        <v>$</v>
      </c>
      <c r="X1648">
        <v>0</v>
      </c>
      <c r="Y1648">
        <v>0</v>
      </c>
      <c r="Z1648">
        <v>0</v>
      </c>
      <c r="AA1648" t="str">
        <f>"Y"</f>
        <v>Y</v>
      </c>
      <c r="AB1648" t="str">
        <f>"SO21000480"</f>
        <v>SO21000480</v>
      </c>
      <c r="AC1648">
        <v>1</v>
      </c>
      <c r="AD1648" s="1">
        <v>44521</v>
      </c>
      <c r="AE1648" t="str">
        <f>"SH22000540"</f>
        <v>SH22000540</v>
      </c>
      <c r="AF1648" t="str">
        <f>"משלוחים ללקוח"</f>
        <v>משלוחים ללקוח</v>
      </c>
      <c r="AG1648" s="1">
        <v>44692</v>
      </c>
      <c r="AM1648" t="str">
        <f>"10"</f>
        <v>10</v>
      </c>
      <c r="AN1648" t="str">
        <f>"500000"</f>
        <v>500000</v>
      </c>
      <c r="AO1648" t="str">
        <f>"הכנסות  מלקוחות"</f>
        <v>הכנסות  מלקוחות</v>
      </c>
      <c r="AQ1648" t="str">
        <f>"034"</f>
        <v>034</v>
      </c>
      <c r="AR1648">
        <v>0</v>
      </c>
      <c r="AS1648">
        <v>0</v>
      </c>
      <c r="AT1648">
        <v>3.46</v>
      </c>
      <c r="AX1648" t="str">
        <f>"E000351388"</f>
        <v>E000351388</v>
      </c>
      <c r="BD1648" t="str">
        <f>"ערן שלו"</f>
        <v>ערן שלו</v>
      </c>
    </row>
    <row r="1649" spans="1:56" x14ac:dyDescent="0.3">
      <c r="A1649" s="1">
        <v>44693</v>
      </c>
      <c r="B1649" t="str">
        <f>"SI226000517"</f>
        <v>SI226000517</v>
      </c>
      <c r="C1649" t="str">
        <f>"PR22000245"</f>
        <v>PR22000245</v>
      </c>
      <c r="E1649" t="str">
        <f>"Y"</f>
        <v>Y</v>
      </c>
      <c r="F1649" t="str">
        <f>"חשבוניות מרכזות"</f>
        <v>חשבוניות מרכזות</v>
      </c>
      <c r="G1649" t="str">
        <f>"700065"</f>
        <v>700065</v>
      </c>
      <c r="H1649" t="str">
        <f>"אלתא מערכות בע""מ"</f>
        <v>אלתא מערכות בע"מ</v>
      </c>
      <c r="I1649" t="str">
        <f>"10"</f>
        <v>10</v>
      </c>
      <c r="J1649" t="str">
        <f>"PS9900048"</f>
        <v>PS9900048</v>
      </c>
      <c r="K1649" t="str">
        <f>"ELTEK- Smartpack 2 Master G2"</f>
        <v>ELTEK- Smartpack 2 Master G2</v>
      </c>
      <c r="L1649">
        <v>2</v>
      </c>
      <c r="M1649" t="str">
        <f>"יח"</f>
        <v>יח</v>
      </c>
      <c r="N1649">
        <v>2</v>
      </c>
      <c r="O1649" t="str">
        <f>"יח"</f>
        <v>יח</v>
      </c>
      <c r="P1649">
        <v>295</v>
      </c>
      <c r="Q1649" t="str">
        <f>"$"</f>
        <v>$</v>
      </c>
      <c r="R1649" t="str">
        <f>"ידני"</f>
        <v>ידני</v>
      </c>
      <c r="S1649">
        <v>0</v>
      </c>
      <c r="T1649">
        <v>590</v>
      </c>
      <c r="U1649">
        <v>0</v>
      </c>
      <c r="V1649">
        <v>590</v>
      </c>
      <c r="W1649" t="str">
        <f>"$"</f>
        <v>$</v>
      </c>
      <c r="X1649">
        <v>0</v>
      </c>
      <c r="Y1649">
        <v>0</v>
      </c>
      <c r="Z1649">
        <v>0</v>
      </c>
      <c r="AA1649" t="str">
        <f>"Y"</f>
        <v>Y</v>
      </c>
      <c r="AB1649" t="str">
        <f>"SO22000113"</f>
        <v>SO22000113</v>
      </c>
      <c r="AC1649">
        <v>2</v>
      </c>
      <c r="AD1649" s="1">
        <v>44641</v>
      </c>
      <c r="AE1649" t="str">
        <f>"SH22000541"</f>
        <v>SH22000541</v>
      </c>
      <c r="AF1649" t="str">
        <f>"משלוחים ללקוח"</f>
        <v>משלוחים ללקוח</v>
      </c>
      <c r="AG1649" s="1">
        <v>44692</v>
      </c>
      <c r="AM1649" t="str">
        <f>"10"</f>
        <v>10</v>
      </c>
      <c r="AN1649" t="str">
        <f>"500000"</f>
        <v>500000</v>
      </c>
      <c r="AO1649" t="str">
        <f>"הכנסות  מלקוחות"</f>
        <v>הכנסות  מלקוחות</v>
      </c>
      <c r="AQ1649" t="str">
        <f>"007"</f>
        <v>007</v>
      </c>
      <c r="AR1649">
        <v>0</v>
      </c>
      <c r="AS1649">
        <v>0</v>
      </c>
      <c r="AT1649">
        <v>3.46</v>
      </c>
      <c r="AX1649" t="str">
        <f>"E000360545"</f>
        <v>E000360545</v>
      </c>
      <c r="BD1649" t="str">
        <f>"רוני דידי"</f>
        <v>רוני דידי</v>
      </c>
    </row>
    <row r="1650" spans="1:56" x14ac:dyDescent="0.3">
      <c r="A1650" s="1">
        <v>44693</v>
      </c>
      <c r="B1650" t="str">
        <f>"SI226000517"</f>
        <v>SI226000517</v>
      </c>
      <c r="C1650" t="str">
        <f>"PR22000245"</f>
        <v>PR22000245</v>
      </c>
      <c r="E1650" t="str">
        <f>"Y"</f>
        <v>Y</v>
      </c>
      <c r="F1650" t="str">
        <f>"חשבוניות מרכזות"</f>
        <v>חשבוניות מרכזות</v>
      </c>
      <c r="G1650" t="str">
        <f>"700065"</f>
        <v>700065</v>
      </c>
      <c r="H1650" t="str">
        <f>"אלתא מערכות בע""מ"</f>
        <v>אלתא מערכות בע"מ</v>
      </c>
      <c r="I1650" t="str">
        <f>"10"</f>
        <v>10</v>
      </c>
      <c r="J1650" t="str">
        <f>"PS0200082"</f>
        <v>PS0200082</v>
      </c>
      <c r="K1650" t="str">
        <f>"ספק כח-ווידמולר 895138000 CP M SNT 1000W 24V 40A"</f>
        <v>ספק כח-ווידמולר 895138000 CP M SNT 1000W 24V 40A</v>
      </c>
      <c r="L1650">
        <v>1</v>
      </c>
      <c r="M1650" t="str">
        <f>"יח"</f>
        <v>יח</v>
      </c>
      <c r="N1650">
        <v>1</v>
      </c>
      <c r="O1650" t="str">
        <f>"יח"</f>
        <v>יח</v>
      </c>
      <c r="P1650">
        <v>630</v>
      </c>
      <c r="Q1650" t="str">
        <f>"$"</f>
        <v>$</v>
      </c>
      <c r="R1650" t="str">
        <f>"ידני"</f>
        <v>ידני</v>
      </c>
      <c r="S1650">
        <v>0</v>
      </c>
      <c r="T1650">
        <v>630</v>
      </c>
      <c r="U1650">
        <v>0</v>
      </c>
      <c r="V1650">
        <v>630</v>
      </c>
      <c r="W1650" t="str">
        <f>"$"</f>
        <v>$</v>
      </c>
      <c r="X1650">
        <v>0</v>
      </c>
      <c r="Y1650">
        <v>0</v>
      </c>
      <c r="Z1650">
        <v>0</v>
      </c>
      <c r="AA1650" t="str">
        <f>"Y"</f>
        <v>Y</v>
      </c>
      <c r="AB1650" t="str">
        <f>"SO22000113"</f>
        <v>SO22000113</v>
      </c>
      <c r="AC1650">
        <v>3</v>
      </c>
      <c r="AD1650" s="1">
        <v>44641</v>
      </c>
      <c r="AE1650" t="str">
        <f>"SH22000541"</f>
        <v>SH22000541</v>
      </c>
      <c r="AF1650" t="str">
        <f>"משלוחים ללקוח"</f>
        <v>משלוחים ללקוח</v>
      </c>
      <c r="AG1650" s="1">
        <v>44692</v>
      </c>
      <c r="AM1650" t="str">
        <f>"10"</f>
        <v>10</v>
      </c>
      <c r="AN1650" t="str">
        <f>"500000"</f>
        <v>500000</v>
      </c>
      <c r="AO1650" t="str">
        <f>"הכנסות  מלקוחות"</f>
        <v>הכנסות  מלקוחות</v>
      </c>
      <c r="AQ1650" t="str">
        <f>"007"</f>
        <v>007</v>
      </c>
      <c r="AR1650">
        <v>0</v>
      </c>
      <c r="AS1650">
        <v>0</v>
      </c>
      <c r="AT1650">
        <v>3.46</v>
      </c>
      <c r="AX1650" t="str">
        <f>"E000360545"</f>
        <v>E000360545</v>
      </c>
      <c r="BD1650" t="str">
        <f>"רוני דידי"</f>
        <v>רוני דידי</v>
      </c>
    </row>
    <row r="1651" spans="1:56" x14ac:dyDescent="0.3">
      <c r="A1651" s="1">
        <v>44693</v>
      </c>
      <c r="B1651" t="str">
        <f>"SI226000517"</f>
        <v>SI226000517</v>
      </c>
      <c r="C1651" t="str">
        <f>"PR22000245"</f>
        <v>PR22000245</v>
      </c>
      <c r="E1651" t="str">
        <f>"Y"</f>
        <v>Y</v>
      </c>
      <c r="F1651" t="str">
        <f>"חשבוניות מרכזות"</f>
        <v>חשבוניות מרכזות</v>
      </c>
      <c r="G1651" t="str">
        <f>"700065"</f>
        <v>700065</v>
      </c>
      <c r="H1651" t="str">
        <f>"אלתא מערכות בע""מ"</f>
        <v>אלתא מערכות בע"מ</v>
      </c>
      <c r="I1651" t="str">
        <f>"10"</f>
        <v>10</v>
      </c>
      <c r="J1651" t="str">
        <f>"PD0300259"</f>
        <v>PD0300259</v>
      </c>
      <c r="K1651" t="str">
        <f>"משגוח בידוד -איזומטר דגם ISORW425-D4W-4"</f>
        <v>משגוח בידוד -איזומטר דגם ISORW425-D4W-4</v>
      </c>
      <c r="L1651">
        <v>1</v>
      </c>
      <c r="M1651" t="str">
        <f>"יח"</f>
        <v>יח</v>
      </c>
      <c r="N1651">
        <v>1</v>
      </c>
      <c r="O1651" t="str">
        <f>"יח"</f>
        <v>יח</v>
      </c>
      <c r="P1651" s="2">
        <v>1333</v>
      </c>
      <c r="Q1651" t="str">
        <f>"$"</f>
        <v>$</v>
      </c>
      <c r="R1651" t="str">
        <f>"ידני"</f>
        <v>ידני</v>
      </c>
      <c r="S1651">
        <v>0</v>
      </c>
      <c r="T1651" s="2">
        <v>1333</v>
      </c>
      <c r="U1651">
        <v>0</v>
      </c>
      <c r="V1651" s="2">
        <v>1333</v>
      </c>
      <c r="W1651" t="str">
        <f>"$"</f>
        <v>$</v>
      </c>
      <c r="X1651">
        <v>0</v>
      </c>
      <c r="Y1651">
        <v>0</v>
      </c>
      <c r="Z1651">
        <v>0</v>
      </c>
      <c r="AA1651" t="str">
        <f>"Y"</f>
        <v>Y</v>
      </c>
      <c r="AB1651" t="str">
        <f>"SO22000113"</f>
        <v>SO22000113</v>
      </c>
      <c r="AC1651">
        <v>9</v>
      </c>
      <c r="AD1651" s="1">
        <v>44641</v>
      </c>
      <c r="AE1651" t="str">
        <f>"SH22000541"</f>
        <v>SH22000541</v>
      </c>
      <c r="AF1651" t="str">
        <f>"משלוחים ללקוח"</f>
        <v>משלוחים ללקוח</v>
      </c>
      <c r="AG1651" s="1">
        <v>44692</v>
      </c>
      <c r="AM1651" t="str">
        <f>"10"</f>
        <v>10</v>
      </c>
      <c r="AN1651" t="str">
        <f>"500000"</f>
        <v>500000</v>
      </c>
      <c r="AO1651" t="str">
        <f>"הכנסות  מלקוחות"</f>
        <v>הכנסות  מלקוחות</v>
      </c>
      <c r="AQ1651" t="str">
        <f>"007"</f>
        <v>007</v>
      </c>
      <c r="AR1651">
        <v>0</v>
      </c>
      <c r="AS1651">
        <v>0</v>
      </c>
      <c r="AT1651">
        <v>3.46</v>
      </c>
      <c r="AX1651" t="str">
        <f>"E000360545"</f>
        <v>E000360545</v>
      </c>
      <c r="BD1651" t="str">
        <f>"רוני דידי"</f>
        <v>רוני דידי</v>
      </c>
    </row>
    <row r="1652" spans="1:56" x14ac:dyDescent="0.3">
      <c r="A1652" s="1">
        <v>44693</v>
      </c>
      <c r="B1652" t="str">
        <f>"SI226000517"</f>
        <v>SI226000517</v>
      </c>
      <c r="C1652" t="str">
        <f>"PR22000245"</f>
        <v>PR22000245</v>
      </c>
      <c r="E1652" t="str">
        <f>"Y"</f>
        <v>Y</v>
      </c>
      <c r="F1652" t="str">
        <f>"חשבוניות מרכזות"</f>
        <v>חשבוניות מרכזות</v>
      </c>
      <c r="G1652" t="str">
        <f>"700065"</f>
        <v>700065</v>
      </c>
      <c r="H1652" t="str">
        <f>"אלתא מערכות בע""מ"</f>
        <v>אלתא מערכות בע"מ</v>
      </c>
      <c r="I1652" t="str">
        <f>"10"</f>
        <v>10</v>
      </c>
      <c r="J1652" t="str">
        <f>"PD0300245"</f>
        <v>PD0300245</v>
      </c>
      <c r="K1652" t="str">
        <f>"רב מודד SATEC PM135EH"</f>
        <v>רב מודד SATEC PM135EH</v>
      </c>
      <c r="L1652">
        <v>2</v>
      </c>
      <c r="M1652" t="str">
        <f>"יח"</f>
        <v>יח</v>
      </c>
      <c r="N1652">
        <v>2</v>
      </c>
      <c r="O1652" t="str">
        <f>"יח"</f>
        <v>יח</v>
      </c>
      <c r="P1652">
        <v>170</v>
      </c>
      <c r="Q1652" t="str">
        <f>"$"</f>
        <v>$</v>
      </c>
      <c r="R1652" t="str">
        <f>"ידני"</f>
        <v>ידני</v>
      </c>
      <c r="S1652">
        <v>0</v>
      </c>
      <c r="T1652">
        <v>340</v>
      </c>
      <c r="U1652">
        <v>0</v>
      </c>
      <c r="V1652">
        <v>340</v>
      </c>
      <c r="W1652" t="str">
        <f>"$"</f>
        <v>$</v>
      </c>
      <c r="X1652">
        <v>0</v>
      </c>
      <c r="Y1652">
        <v>0</v>
      </c>
      <c r="Z1652">
        <v>0</v>
      </c>
      <c r="AA1652" t="str">
        <f>"Y"</f>
        <v>Y</v>
      </c>
      <c r="AB1652" t="str">
        <f>"SO22000113"</f>
        <v>SO22000113</v>
      </c>
      <c r="AC1652">
        <v>11</v>
      </c>
      <c r="AD1652" s="1">
        <v>44641</v>
      </c>
      <c r="AE1652" t="str">
        <f>"SH22000541"</f>
        <v>SH22000541</v>
      </c>
      <c r="AF1652" t="str">
        <f>"משלוחים ללקוח"</f>
        <v>משלוחים ללקוח</v>
      </c>
      <c r="AG1652" s="1">
        <v>44692</v>
      </c>
      <c r="AM1652" t="str">
        <f>"10"</f>
        <v>10</v>
      </c>
      <c r="AN1652" t="str">
        <f>"500000"</f>
        <v>500000</v>
      </c>
      <c r="AO1652" t="str">
        <f>"הכנסות  מלקוחות"</f>
        <v>הכנסות  מלקוחות</v>
      </c>
      <c r="AQ1652" t="str">
        <f>"007"</f>
        <v>007</v>
      </c>
      <c r="AR1652">
        <v>0</v>
      </c>
      <c r="AS1652">
        <v>0</v>
      </c>
      <c r="AT1652">
        <v>3.46</v>
      </c>
      <c r="AX1652" t="str">
        <f>"E000360545"</f>
        <v>E000360545</v>
      </c>
      <c r="BD1652" t="str">
        <f>"רוני דידי"</f>
        <v>רוני דידי</v>
      </c>
    </row>
    <row r="1653" spans="1:56" x14ac:dyDescent="0.3">
      <c r="A1653" s="1">
        <v>44693</v>
      </c>
      <c r="B1653" t="str">
        <f>"SI226000517"</f>
        <v>SI226000517</v>
      </c>
      <c r="C1653" t="str">
        <f>"PR22000245"</f>
        <v>PR22000245</v>
      </c>
      <c r="E1653" t="str">
        <f>"Y"</f>
        <v>Y</v>
      </c>
      <c r="F1653" t="str">
        <f>"חשבוניות מרכזות"</f>
        <v>חשבוניות מרכזות</v>
      </c>
      <c r="G1653" t="str">
        <f>"700065"</f>
        <v>700065</v>
      </c>
      <c r="H1653" t="str">
        <f>"אלתא מערכות בע""מ"</f>
        <v>אלתא מערכות בע"מ</v>
      </c>
      <c r="I1653" t="str">
        <f>"10"</f>
        <v>10</v>
      </c>
      <c r="J1653" t="str">
        <f>"PS0300006"</f>
        <v>PS0300006</v>
      </c>
      <c r="K1653" t="str">
        <f>"TSI-EPC - 380Vac-Module BRAVO"</f>
        <v>TSI-EPC - 380Vac-Module BRAVO</v>
      </c>
      <c r="L1653">
        <v>8</v>
      </c>
      <c r="M1653" t="str">
        <f>"יח"</f>
        <v>יח</v>
      </c>
      <c r="N1653">
        <v>8</v>
      </c>
      <c r="O1653" t="str">
        <f>"יח"</f>
        <v>יח</v>
      </c>
      <c r="P1653" s="2">
        <v>1950</v>
      </c>
      <c r="Q1653" t="str">
        <f>"$"</f>
        <v>$</v>
      </c>
      <c r="R1653" t="str">
        <f>"ידני"</f>
        <v>ידני</v>
      </c>
      <c r="S1653">
        <v>0</v>
      </c>
      <c r="T1653" s="2">
        <v>15600</v>
      </c>
      <c r="U1653">
        <v>0</v>
      </c>
      <c r="V1653" s="2">
        <v>15600</v>
      </c>
      <c r="W1653" t="str">
        <f>"$"</f>
        <v>$</v>
      </c>
      <c r="X1653">
        <v>0</v>
      </c>
      <c r="Y1653">
        <v>0</v>
      </c>
      <c r="Z1653">
        <v>0</v>
      </c>
      <c r="AA1653" t="str">
        <f>"Y"</f>
        <v>Y</v>
      </c>
      <c r="AB1653" t="str">
        <f>"SO22000113"</f>
        <v>SO22000113</v>
      </c>
      <c r="AC1653">
        <v>13</v>
      </c>
      <c r="AD1653" s="1">
        <v>44641</v>
      </c>
      <c r="AE1653" t="str">
        <f>"SH22000541"</f>
        <v>SH22000541</v>
      </c>
      <c r="AF1653" t="str">
        <f>"משלוחים ללקוח"</f>
        <v>משלוחים ללקוח</v>
      </c>
      <c r="AG1653" s="1">
        <v>44692</v>
      </c>
      <c r="AM1653" t="str">
        <f>"10"</f>
        <v>10</v>
      </c>
      <c r="AN1653" t="str">
        <f>"500000"</f>
        <v>500000</v>
      </c>
      <c r="AO1653" t="str">
        <f>"הכנסות  מלקוחות"</f>
        <v>הכנסות  מלקוחות</v>
      </c>
      <c r="AQ1653" t="str">
        <f>"007"</f>
        <v>007</v>
      </c>
      <c r="AR1653">
        <v>0</v>
      </c>
      <c r="AS1653">
        <v>0</v>
      </c>
      <c r="AT1653">
        <v>3.46</v>
      </c>
      <c r="AX1653" t="str">
        <f>"E000360545"</f>
        <v>E000360545</v>
      </c>
      <c r="BD1653" t="str">
        <f>"רוני דידי"</f>
        <v>רוני דידי</v>
      </c>
    </row>
    <row r="1654" spans="1:56" x14ac:dyDescent="0.3">
      <c r="A1654" s="1">
        <v>44691</v>
      </c>
      <c r="B1654" t="str">
        <f>"SI226000507"</f>
        <v>SI226000507</v>
      </c>
      <c r="E1654" t="str">
        <f>"Y"</f>
        <v>Y</v>
      </c>
      <c r="F1654" t="str">
        <f>"חשבוניות מרכזות"</f>
        <v>חשבוניות מרכזות</v>
      </c>
      <c r="G1654" t="str">
        <f>"700065"</f>
        <v>700065</v>
      </c>
      <c r="H1654" t="str">
        <f>"אלתא מערכות בע""מ"</f>
        <v>אלתא מערכות בע"מ</v>
      </c>
      <c r="I1654" t="str">
        <f>"10"</f>
        <v>10</v>
      </c>
      <c r="J1654" t="str">
        <f>"000"</f>
        <v>000</v>
      </c>
      <c r="K1654" t="str">
        <f>"צוות טכנאים בצ'כיה - נסיעה I"</f>
        <v>צוות טכנאים בצ'כיה - נסיעה I</v>
      </c>
      <c r="L1654">
        <v>1</v>
      </c>
      <c r="M1654" t="str">
        <f>"יח"</f>
        <v>יח</v>
      </c>
      <c r="N1654">
        <v>1</v>
      </c>
      <c r="O1654" t="str">
        <f>"יח"</f>
        <v>יח</v>
      </c>
      <c r="P1654" s="2">
        <v>14610.86</v>
      </c>
      <c r="Q1654" t="str">
        <f>"$"</f>
        <v>$</v>
      </c>
      <c r="R1654" t="str">
        <f>"הזמנה"</f>
        <v>הזמנה</v>
      </c>
      <c r="S1654">
        <v>0</v>
      </c>
      <c r="T1654" s="2">
        <v>14610.86</v>
      </c>
      <c r="U1654">
        <v>0</v>
      </c>
      <c r="V1654" s="2">
        <v>14610.86</v>
      </c>
      <c r="W1654" t="str">
        <f>"$"</f>
        <v>$</v>
      </c>
      <c r="X1654">
        <v>0</v>
      </c>
      <c r="Y1654">
        <v>0</v>
      </c>
      <c r="Z1654">
        <v>0</v>
      </c>
      <c r="AA1654" t="str">
        <f>"Y"</f>
        <v>Y</v>
      </c>
      <c r="AB1654" t="str">
        <f>"SO22000168"</f>
        <v>SO22000168</v>
      </c>
      <c r="AC1654">
        <v>1</v>
      </c>
      <c r="AD1654" s="1">
        <v>44689</v>
      </c>
      <c r="AM1654" t="str">
        <f>"10"</f>
        <v>10</v>
      </c>
      <c r="AN1654" t="str">
        <f>"500000"</f>
        <v>500000</v>
      </c>
      <c r="AO1654" t="str">
        <f>"הכנסות  מלקוחות"</f>
        <v>הכנסות  מלקוחות</v>
      </c>
      <c r="AQ1654" t="str">
        <f>"007"</f>
        <v>007</v>
      </c>
      <c r="AR1654">
        <v>0</v>
      </c>
      <c r="AS1654">
        <v>0</v>
      </c>
      <c r="AT1654">
        <v>3.4380000000000002</v>
      </c>
      <c r="AX1654" t="str">
        <f>"E000364201"</f>
        <v>E000364201</v>
      </c>
      <c r="BD1654" t="str">
        <f>"רוני דידי"</f>
        <v>רוני דידי</v>
      </c>
    </row>
    <row r="1655" spans="1:56" x14ac:dyDescent="0.3">
      <c r="A1655" s="1">
        <v>44683</v>
      </c>
      <c r="B1655" t="str">
        <f>"SI226000505"</f>
        <v>SI226000505</v>
      </c>
      <c r="C1655" t="str">
        <f>"PR22000009"</f>
        <v>PR22000009</v>
      </c>
      <c r="E1655" t="str">
        <f>"Y"</f>
        <v>Y</v>
      </c>
      <c r="F1655" t="str">
        <f>"חשבוניות מרכזות"</f>
        <v>חשבוניות מרכזות</v>
      </c>
      <c r="G1655" t="str">
        <f>"700065"</f>
        <v>700065</v>
      </c>
      <c r="H1655" t="str">
        <f>"אלתא מערכות בע""מ"</f>
        <v>אלתא מערכות בע"מ</v>
      </c>
      <c r="I1655" t="str">
        <f>"10"</f>
        <v>10</v>
      </c>
      <c r="J1655" t="str">
        <f>"cust001171"</f>
        <v>cust001171</v>
      </c>
      <c r="K1655" t="str">
        <f>"1039H840-001 ELTA"</f>
        <v>1039H840-001 ELTA</v>
      </c>
      <c r="L1655">
        <v>2</v>
      </c>
      <c r="M1655" t="str">
        <f>"יח"</f>
        <v>יח</v>
      </c>
      <c r="N1655">
        <v>2</v>
      </c>
      <c r="O1655" t="str">
        <f>"יח"</f>
        <v>יח</v>
      </c>
      <c r="P1655">
        <v>235.7</v>
      </c>
      <c r="Q1655" t="str">
        <f>"$"</f>
        <v>$</v>
      </c>
      <c r="R1655" t="str">
        <f>"הזמנה"</f>
        <v>הזמנה</v>
      </c>
      <c r="S1655">
        <v>0</v>
      </c>
      <c r="T1655">
        <v>471.4</v>
      </c>
      <c r="U1655">
        <v>0</v>
      </c>
      <c r="V1655">
        <v>471.4</v>
      </c>
      <c r="W1655" t="str">
        <f>"$"</f>
        <v>$</v>
      </c>
      <c r="X1655">
        <v>0</v>
      </c>
      <c r="Y1655">
        <v>0</v>
      </c>
      <c r="Z1655">
        <v>0</v>
      </c>
      <c r="AA1655" t="str">
        <f>"Y"</f>
        <v>Y</v>
      </c>
      <c r="AB1655" t="str">
        <f>"SO22000008"</f>
        <v>SO22000008</v>
      </c>
      <c r="AC1655">
        <v>13</v>
      </c>
      <c r="AD1655" s="1">
        <v>44570</v>
      </c>
      <c r="AE1655" t="str">
        <f>"SH22000499"</f>
        <v>SH22000499</v>
      </c>
      <c r="AF1655" t="str">
        <f>"משלוחים ללקוח"</f>
        <v>משלוחים ללקוח</v>
      </c>
      <c r="AG1655" s="1">
        <v>44682</v>
      </c>
      <c r="AM1655" t="str">
        <f>"10"</f>
        <v>10</v>
      </c>
      <c r="AN1655" t="str">
        <f>"500000"</f>
        <v>500000</v>
      </c>
      <c r="AO1655" t="str">
        <f>"הכנסות  מלקוחות"</f>
        <v>הכנסות  מלקוחות</v>
      </c>
      <c r="AQ1655" t="str">
        <f>"040"</f>
        <v>040</v>
      </c>
      <c r="AR1655">
        <v>0</v>
      </c>
      <c r="AS1655">
        <v>0</v>
      </c>
      <c r="AT1655">
        <v>3.3519999999999999</v>
      </c>
      <c r="AX1655" t="str">
        <f>"E000353826"</f>
        <v>E000353826</v>
      </c>
      <c r="BD1655" t="str">
        <f>"רחמים זרוק"</f>
        <v>רחמים זרוק</v>
      </c>
    </row>
    <row r="1656" spans="1:56" x14ac:dyDescent="0.3">
      <c r="A1656" s="1">
        <v>44682</v>
      </c>
      <c r="B1656" t="str">
        <f>"SI226000463"</f>
        <v>SI226000463</v>
      </c>
      <c r="C1656" t="str">
        <f>"PR22000010"</f>
        <v>PR22000010</v>
      </c>
      <c r="E1656" t="str">
        <f>"Y"</f>
        <v>Y</v>
      </c>
      <c r="F1656" t="str">
        <f>"חשבוניות מרכזות"</f>
        <v>חשבוניות מרכזות</v>
      </c>
      <c r="G1656" t="str">
        <f>"700065"</f>
        <v>700065</v>
      </c>
      <c r="H1656" t="str">
        <f>"אלתא מערכות בע""מ"</f>
        <v>אלתא מערכות בע"מ</v>
      </c>
      <c r="I1656" t="str">
        <f>"10"</f>
        <v>10</v>
      </c>
      <c r="J1656" t="str">
        <f>"OP-AR02915"</f>
        <v>OP-AR02915</v>
      </c>
      <c r="K1656" t="str">
        <f>"9000Y504-001    HARNESS WA004 - INTERNAL PWR AND CONT TO"</f>
        <v>9000Y504-001    HARNESS WA004 - INTERNAL PWR AND CONT TO</v>
      </c>
      <c r="L1656">
        <v>-10</v>
      </c>
      <c r="M1656" t="str">
        <f>"יח"</f>
        <v>יח</v>
      </c>
      <c r="N1656">
        <v>-10</v>
      </c>
      <c r="O1656" t="str">
        <f>"יח"</f>
        <v>יח</v>
      </c>
      <c r="P1656">
        <v>184.17</v>
      </c>
      <c r="Q1656" t="str">
        <f>"$"</f>
        <v>$</v>
      </c>
      <c r="R1656" t="str">
        <f>"הזמנה"</f>
        <v>הזמנה</v>
      </c>
      <c r="S1656">
        <v>0</v>
      </c>
      <c r="T1656" s="2">
        <v>-1841.7</v>
      </c>
      <c r="U1656">
        <v>0</v>
      </c>
      <c r="V1656" s="2">
        <v>-1841.7</v>
      </c>
      <c r="W1656" t="str">
        <f>"$"</f>
        <v>$</v>
      </c>
      <c r="X1656">
        <v>0</v>
      </c>
      <c r="Y1656">
        <v>0</v>
      </c>
      <c r="Z1656">
        <v>0</v>
      </c>
      <c r="AA1656" t="str">
        <f>"Y"</f>
        <v>Y</v>
      </c>
      <c r="AC1656">
        <v>0</v>
      </c>
      <c r="AM1656" t="str">
        <f>"10"</f>
        <v>10</v>
      </c>
      <c r="AN1656" t="str">
        <f>"500000"</f>
        <v>500000</v>
      </c>
      <c r="AO1656" t="str">
        <f>"הכנסות  מלקוחות"</f>
        <v>הכנסות  מלקוחות</v>
      </c>
      <c r="AQ1656" t="str">
        <f>"040"</f>
        <v>040</v>
      </c>
      <c r="AR1656">
        <v>0</v>
      </c>
      <c r="AS1656">
        <v>0</v>
      </c>
      <c r="AT1656">
        <v>3.3170000000000002</v>
      </c>
      <c r="BB1656" t="str">
        <f>"Y"</f>
        <v>Y</v>
      </c>
      <c r="BD1656" t="str">
        <f>"רחמים זרוק"</f>
        <v>רחמים זרוק</v>
      </c>
    </row>
    <row r="1657" spans="1:56" x14ac:dyDescent="0.3">
      <c r="A1657" s="1">
        <v>44682</v>
      </c>
      <c r="B1657" t="str">
        <f>"SI226000462"</f>
        <v>SI226000462</v>
      </c>
      <c r="C1657" t="str">
        <f>"PR22000010"</f>
        <v>PR22000010</v>
      </c>
      <c r="E1657" t="str">
        <f>"Y"</f>
        <v>Y</v>
      </c>
      <c r="F1657" t="str">
        <f>"חשבוניות מרכזות"</f>
        <v>חשבוניות מרכזות</v>
      </c>
      <c r="G1657" t="str">
        <f>"700065"</f>
        <v>700065</v>
      </c>
      <c r="H1657" t="str">
        <f>"אלתא מערכות בע""מ"</f>
        <v>אלתא מערכות בע"מ</v>
      </c>
      <c r="I1657" t="str">
        <f>"10"</f>
        <v>10</v>
      </c>
      <c r="J1657" t="str">
        <f>"OP-AR02915"</f>
        <v>OP-AR02915</v>
      </c>
      <c r="K1657" t="str">
        <f>"9000Y504-001    HARNESS WA004 - INTERNAL PWR AND CONT TO"</f>
        <v>9000Y504-001    HARNESS WA004 - INTERNAL PWR AND CONT TO</v>
      </c>
      <c r="L1657">
        <v>10</v>
      </c>
      <c r="M1657" t="str">
        <f>"יח"</f>
        <v>יח</v>
      </c>
      <c r="N1657">
        <v>10</v>
      </c>
      <c r="O1657" t="str">
        <f>"יח"</f>
        <v>יח</v>
      </c>
      <c r="P1657">
        <v>184.17</v>
      </c>
      <c r="Q1657" t="str">
        <f>"$"</f>
        <v>$</v>
      </c>
      <c r="R1657" t="str">
        <f>"הזמנה"</f>
        <v>הזמנה</v>
      </c>
      <c r="S1657">
        <v>0</v>
      </c>
      <c r="T1657" s="2">
        <v>1841.7</v>
      </c>
      <c r="U1657">
        <v>0</v>
      </c>
      <c r="V1657" s="2">
        <v>1841.7</v>
      </c>
      <c r="W1657" t="str">
        <f>"$"</f>
        <v>$</v>
      </c>
      <c r="X1657">
        <v>0</v>
      </c>
      <c r="Y1657">
        <v>0</v>
      </c>
      <c r="Z1657">
        <v>0</v>
      </c>
      <c r="AA1657" t="str">
        <f>"Y"</f>
        <v>Y</v>
      </c>
      <c r="AC1657">
        <v>0</v>
      </c>
      <c r="AM1657" t="str">
        <f>"10"</f>
        <v>10</v>
      </c>
      <c r="AN1657" t="str">
        <f>"500000"</f>
        <v>500000</v>
      </c>
      <c r="AO1657" t="str">
        <f>"הכנסות  מלקוחות"</f>
        <v>הכנסות  מלקוחות</v>
      </c>
      <c r="AQ1657" t="str">
        <f>"040"</f>
        <v>040</v>
      </c>
      <c r="AR1657">
        <v>0</v>
      </c>
      <c r="AS1657">
        <v>0</v>
      </c>
      <c r="AT1657">
        <v>3.3170000000000002</v>
      </c>
      <c r="BB1657" t="str">
        <f>"Y"</f>
        <v>Y</v>
      </c>
      <c r="BD1657" t="str">
        <f>"רחמים זרוק"</f>
        <v>רחמים זרוק</v>
      </c>
    </row>
    <row r="1658" spans="1:56" x14ac:dyDescent="0.3">
      <c r="A1658" s="1">
        <v>44679</v>
      </c>
      <c r="B1658" t="str">
        <f>"SI226000554"</f>
        <v>SI226000554</v>
      </c>
      <c r="C1658" t="str">
        <f>"PR21000189"</f>
        <v>PR21000189</v>
      </c>
      <c r="E1658" t="str">
        <f>"Y"</f>
        <v>Y</v>
      </c>
      <c r="F1658" t="str">
        <f>"חשבוניות מרכזות"</f>
        <v>חשבוניות מרכזות</v>
      </c>
      <c r="G1658" t="str">
        <f>"700065"</f>
        <v>700065</v>
      </c>
      <c r="H1658" t="str">
        <f>"אלתא מערכות בע""מ"</f>
        <v>אלתא מערכות בע"מ</v>
      </c>
      <c r="I1658" t="str">
        <f>"10"</f>
        <v>10</v>
      </c>
      <c r="J1658" t="str">
        <f>"OP-AR01025-01"</f>
        <v>OP-AR01025-01</v>
      </c>
      <c r="K1658" t="str">
        <f>"BATTERY BOX 1029P520-001אפור"</f>
        <v>BATTERY BOX 1029P520-001אפור</v>
      </c>
      <c r="L1658">
        <v>1</v>
      </c>
      <c r="M1658" t="str">
        <f>"יח"</f>
        <v>יח</v>
      </c>
      <c r="N1658">
        <v>1</v>
      </c>
      <c r="O1658" t="str">
        <f>"יח"</f>
        <v>יח</v>
      </c>
      <c r="P1658" s="2">
        <v>5750</v>
      </c>
      <c r="Q1658" t="str">
        <f>"$"</f>
        <v>$</v>
      </c>
      <c r="R1658" t="str">
        <f>"הזמנה"</f>
        <v>הזמנה</v>
      </c>
      <c r="S1658">
        <v>0</v>
      </c>
      <c r="T1658" s="2">
        <v>5750</v>
      </c>
      <c r="U1658">
        <v>0</v>
      </c>
      <c r="V1658" s="2">
        <v>5750</v>
      </c>
      <c r="W1658" t="str">
        <f>"$"</f>
        <v>$</v>
      </c>
      <c r="X1658">
        <v>0</v>
      </c>
      <c r="Y1658">
        <v>0</v>
      </c>
      <c r="Z1658">
        <v>0</v>
      </c>
      <c r="AA1658" t="str">
        <f>"Y"</f>
        <v>Y</v>
      </c>
      <c r="AC1658">
        <v>0</v>
      </c>
      <c r="AM1658" t="str">
        <f>"10"</f>
        <v>10</v>
      </c>
      <c r="AN1658" t="str">
        <f>"500000"</f>
        <v>500000</v>
      </c>
      <c r="AO1658" t="str">
        <f>"הכנסות  מלקוחות"</f>
        <v>הכנסות  מלקוחות</v>
      </c>
      <c r="AQ1658" t="str">
        <f>"034"</f>
        <v>034</v>
      </c>
      <c r="AR1658">
        <v>0</v>
      </c>
      <c r="AS1658">
        <v>0</v>
      </c>
      <c r="AT1658">
        <v>3.32</v>
      </c>
      <c r="BB1658" t="str">
        <f>"Y"</f>
        <v>Y</v>
      </c>
      <c r="BD1658" t="str">
        <f>"ערן שלו"</f>
        <v>ערן שלו</v>
      </c>
    </row>
    <row r="1659" spans="1:56" x14ac:dyDescent="0.3">
      <c r="A1659" s="1">
        <v>44679</v>
      </c>
      <c r="B1659" t="str">
        <f>"SI226000553"</f>
        <v>SI226000553</v>
      </c>
      <c r="C1659" t="str">
        <f>"PR21000189"</f>
        <v>PR21000189</v>
      </c>
      <c r="E1659" t="str">
        <f>"Y"</f>
        <v>Y</v>
      </c>
      <c r="F1659" t="str">
        <f>"חשבוניות מרכזות"</f>
        <v>חשבוניות מרכזות</v>
      </c>
      <c r="G1659" t="str">
        <f>"700065"</f>
        <v>700065</v>
      </c>
      <c r="H1659" t="str">
        <f>"אלתא מערכות בע""מ"</f>
        <v>אלתא מערכות בע"מ</v>
      </c>
      <c r="I1659" t="str">
        <f>"10"</f>
        <v>10</v>
      </c>
      <c r="J1659" t="str">
        <f>"OP-AR01025-01"</f>
        <v>OP-AR01025-01</v>
      </c>
      <c r="K1659" t="str">
        <f>"BATTERY BOX 1029P520-001אפור"</f>
        <v>BATTERY BOX 1029P520-001אפור</v>
      </c>
      <c r="L1659">
        <v>-1</v>
      </c>
      <c r="M1659" t="str">
        <f>"יח"</f>
        <v>יח</v>
      </c>
      <c r="N1659">
        <v>-1</v>
      </c>
      <c r="O1659" t="str">
        <f>"יח"</f>
        <v>יח</v>
      </c>
      <c r="P1659" s="2">
        <v>5750</v>
      </c>
      <c r="Q1659" t="str">
        <f>"$"</f>
        <v>$</v>
      </c>
      <c r="R1659" t="str">
        <f>"הזמנה"</f>
        <v>הזמנה</v>
      </c>
      <c r="S1659">
        <v>0</v>
      </c>
      <c r="T1659" s="2">
        <v>-5750</v>
      </c>
      <c r="U1659">
        <v>0</v>
      </c>
      <c r="V1659" s="2">
        <v>-5750</v>
      </c>
      <c r="W1659" t="str">
        <f>"$"</f>
        <v>$</v>
      </c>
      <c r="X1659">
        <v>0</v>
      </c>
      <c r="Y1659">
        <v>0</v>
      </c>
      <c r="Z1659">
        <v>0</v>
      </c>
      <c r="AA1659" t="str">
        <f>"Y"</f>
        <v>Y</v>
      </c>
      <c r="AC1659">
        <v>0</v>
      </c>
      <c r="AM1659" t="str">
        <f>"10"</f>
        <v>10</v>
      </c>
      <c r="AN1659" t="str">
        <f>"500000"</f>
        <v>500000</v>
      </c>
      <c r="AO1659" t="str">
        <f>"הכנסות  מלקוחות"</f>
        <v>הכנסות  מלקוחות</v>
      </c>
      <c r="AQ1659" t="str">
        <f>"034"</f>
        <v>034</v>
      </c>
      <c r="AR1659">
        <v>0</v>
      </c>
      <c r="AS1659">
        <v>0</v>
      </c>
      <c r="AT1659">
        <v>3.3250000000000002</v>
      </c>
      <c r="BB1659" t="str">
        <f>"Y"</f>
        <v>Y</v>
      </c>
      <c r="BD1659" t="str">
        <f>"ערן שלו"</f>
        <v>ערן שלו</v>
      </c>
    </row>
    <row r="1660" spans="1:56" x14ac:dyDescent="0.3">
      <c r="A1660" s="1">
        <v>44679</v>
      </c>
      <c r="B1660" t="str">
        <f>"SI226000552"</f>
        <v>SI226000552</v>
      </c>
      <c r="C1660" t="str">
        <f>"PR20000158"</f>
        <v>PR20000158</v>
      </c>
      <c r="E1660" t="str">
        <f>"Y"</f>
        <v>Y</v>
      </c>
      <c r="F1660" t="str">
        <f>"חשבוניות מרכזות"</f>
        <v>חשבוניות מרכזות</v>
      </c>
      <c r="G1660" t="str">
        <f>"700065"</f>
        <v>700065</v>
      </c>
      <c r="H1660" t="str">
        <f>"אלתא מערכות בע""מ"</f>
        <v>אלתא מערכות בע"מ</v>
      </c>
      <c r="I1660" t="str">
        <f>"10"</f>
        <v>10</v>
      </c>
      <c r="J1660" t="str">
        <f>"OP-AR01025"</f>
        <v>OP-AR01025</v>
      </c>
      <c r="K1660" t="str">
        <f>"BATTERY BOX 1039V520-001"</f>
        <v>BATTERY BOX 1039V520-001</v>
      </c>
      <c r="L1660">
        <v>1</v>
      </c>
      <c r="M1660" t="str">
        <f>"יח"</f>
        <v>יח</v>
      </c>
      <c r="N1660">
        <v>1</v>
      </c>
      <c r="O1660" t="str">
        <f>"יח"</f>
        <v>יח</v>
      </c>
      <c r="P1660" s="2">
        <v>5577</v>
      </c>
      <c r="Q1660" t="str">
        <f>"$"</f>
        <v>$</v>
      </c>
      <c r="R1660" t="str">
        <f>"הזמנה"</f>
        <v>הזמנה</v>
      </c>
      <c r="S1660">
        <v>0</v>
      </c>
      <c r="T1660" s="2">
        <v>5577</v>
      </c>
      <c r="U1660">
        <v>0</v>
      </c>
      <c r="V1660" s="2">
        <v>5577</v>
      </c>
      <c r="W1660" t="str">
        <f>"$"</f>
        <v>$</v>
      </c>
      <c r="X1660">
        <v>0</v>
      </c>
      <c r="Y1660">
        <v>0</v>
      </c>
      <c r="Z1660">
        <v>0</v>
      </c>
      <c r="AA1660" t="str">
        <f>"Y"</f>
        <v>Y</v>
      </c>
      <c r="AB1660" t="str">
        <f>"SO20000381"</f>
        <v>SO20000381</v>
      </c>
      <c r="AC1660">
        <v>14</v>
      </c>
      <c r="AD1660" s="1">
        <v>44073</v>
      </c>
      <c r="AE1660" t="str">
        <f>"SH22000482"</f>
        <v>SH22000482</v>
      </c>
      <c r="AF1660" t="str">
        <f>"משלוחים ללקוח"</f>
        <v>משלוחים ללקוח</v>
      </c>
      <c r="AG1660" s="1">
        <v>44679</v>
      </c>
      <c r="AM1660" t="str">
        <f>"10"</f>
        <v>10</v>
      </c>
      <c r="AN1660" t="str">
        <f>"500000"</f>
        <v>500000</v>
      </c>
      <c r="AO1660" t="str">
        <f>"הכנסות  מלקוחות"</f>
        <v>הכנסות  מלקוחות</v>
      </c>
      <c r="AQ1660" t="str">
        <f>"034"</f>
        <v>034</v>
      </c>
      <c r="AR1660">
        <v>0</v>
      </c>
      <c r="AS1660">
        <v>0</v>
      </c>
      <c r="AT1660">
        <v>3.32</v>
      </c>
      <c r="AX1660" t="str">
        <f>"E000319715"</f>
        <v>E000319715</v>
      </c>
      <c r="BD1660" t="str">
        <f>"ערן שלו"</f>
        <v>ערן שלו</v>
      </c>
    </row>
    <row r="1661" spans="1:56" x14ac:dyDescent="0.3">
      <c r="A1661" s="1">
        <v>44679</v>
      </c>
      <c r="B1661" t="str">
        <f>"SI226000552"</f>
        <v>SI226000552</v>
      </c>
      <c r="C1661" t="str">
        <f>"PR20000158"</f>
        <v>PR20000158</v>
      </c>
      <c r="E1661" t="str">
        <f>"Y"</f>
        <v>Y</v>
      </c>
      <c r="F1661" t="str">
        <f>"חשבוניות מרכזות"</f>
        <v>חשבוניות מרכזות</v>
      </c>
      <c r="G1661" t="str">
        <f>"700065"</f>
        <v>700065</v>
      </c>
      <c r="H1661" t="str">
        <f>"אלתא מערכות בע""מ"</f>
        <v>אלתא מערכות בע"מ</v>
      </c>
      <c r="I1661" t="str">
        <f>"10"</f>
        <v>10</v>
      </c>
      <c r="J1661" t="str">
        <f>"OP-AR01025"</f>
        <v>OP-AR01025</v>
      </c>
      <c r="K1661" t="str">
        <f>"BATTERY BOX 1039V520-001"</f>
        <v>BATTERY BOX 1039V520-001</v>
      </c>
      <c r="L1661">
        <v>1</v>
      </c>
      <c r="M1661" t="str">
        <f>"יח"</f>
        <v>יח</v>
      </c>
      <c r="N1661">
        <v>1</v>
      </c>
      <c r="O1661" t="str">
        <f>"יח"</f>
        <v>יח</v>
      </c>
      <c r="P1661" s="2">
        <v>5577</v>
      </c>
      <c r="Q1661" t="str">
        <f>"$"</f>
        <v>$</v>
      </c>
      <c r="R1661" t="str">
        <f>"הזמנה"</f>
        <v>הזמנה</v>
      </c>
      <c r="S1661">
        <v>0</v>
      </c>
      <c r="T1661" s="2">
        <v>5577</v>
      </c>
      <c r="U1661">
        <v>0</v>
      </c>
      <c r="V1661" s="2">
        <v>5577</v>
      </c>
      <c r="W1661" t="str">
        <f>"$"</f>
        <v>$</v>
      </c>
      <c r="X1661">
        <v>0</v>
      </c>
      <c r="Y1661">
        <v>0</v>
      </c>
      <c r="Z1661">
        <v>0</v>
      </c>
      <c r="AA1661" t="str">
        <f>"Y"</f>
        <v>Y</v>
      </c>
      <c r="AB1661" t="str">
        <f>"SO20000381"</f>
        <v>SO20000381</v>
      </c>
      <c r="AC1661">
        <v>15</v>
      </c>
      <c r="AD1661" s="1">
        <v>44073</v>
      </c>
      <c r="AE1661" t="str">
        <f>"SH22000482"</f>
        <v>SH22000482</v>
      </c>
      <c r="AF1661" t="str">
        <f>"משלוחים ללקוח"</f>
        <v>משלוחים ללקוח</v>
      </c>
      <c r="AG1661" s="1">
        <v>44679</v>
      </c>
      <c r="AM1661" t="str">
        <f>"10"</f>
        <v>10</v>
      </c>
      <c r="AN1661" t="str">
        <f>"500000"</f>
        <v>500000</v>
      </c>
      <c r="AO1661" t="str">
        <f>"הכנסות  מלקוחות"</f>
        <v>הכנסות  מלקוחות</v>
      </c>
      <c r="AQ1661" t="str">
        <f>"034"</f>
        <v>034</v>
      </c>
      <c r="AR1661">
        <v>0</v>
      </c>
      <c r="AS1661">
        <v>0</v>
      </c>
      <c r="AT1661">
        <v>3.32</v>
      </c>
      <c r="AX1661" t="str">
        <f>"E000319715"</f>
        <v>E000319715</v>
      </c>
      <c r="BD1661" t="str">
        <f>"ערן שלו"</f>
        <v>ערן שלו</v>
      </c>
    </row>
    <row r="1662" spans="1:56" x14ac:dyDescent="0.3">
      <c r="A1662" s="1">
        <v>44679</v>
      </c>
      <c r="B1662" t="str">
        <f>"SI226000551"</f>
        <v>SI226000551</v>
      </c>
      <c r="C1662" t="str">
        <f>"PR20000659"</f>
        <v>PR20000659</v>
      </c>
      <c r="E1662" t="str">
        <f>"Y"</f>
        <v>Y</v>
      </c>
      <c r="F1662" t="str">
        <f>"חשבוניות מרכזות"</f>
        <v>חשבוניות מרכזות</v>
      </c>
      <c r="G1662" t="str">
        <f>"700065"</f>
        <v>700065</v>
      </c>
      <c r="H1662" t="str">
        <f>"אלתא מערכות בע""מ"</f>
        <v>אלתא מערכות בע"מ</v>
      </c>
      <c r="I1662" t="str">
        <f>"10"</f>
        <v>10</v>
      </c>
      <c r="J1662" t="str">
        <f>"OP-AR02042"</f>
        <v>OP-AR02042</v>
      </c>
      <c r="K1662" t="str">
        <f>"PDB2  1038C870-001"</f>
        <v>PDB2  1038C870-001</v>
      </c>
      <c r="L1662">
        <v>1</v>
      </c>
      <c r="M1662" t="str">
        <f>"יח"</f>
        <v>יח</v>
      </c>
      <c r="N1662">
        <v>1</v>
      </c>
      <c r="O1662" t="str">
        <f>"יח"</f>
        <v>יח</v>
      </c>
      <c r="P1662" s="2">
        <v>26985</v>
      </c>
      <c r="Q1662" t="str">
        <f>"$"</f>
        <v>$</v>
      </c>
      <c r="R1662" t="str">
        <f>"הזמנה"</f>
        <v>הזמנה</v>
      </c>
      <c r="S1662">
        <v>0</v>
      </c>
      <c r="T1662" s="2">
        <v>26985</v>
      </c>
      <c r="U1662">
        <v>0</v>
      </c>
      <c r="V1662" s="2">
        <v>26985</v>
      </c>
      <c r="W1662" t="str">
        <f>"$"</f>
        <v>$</v>
      </c>
      <c r="X1662">
        <v>0</v>
      </c>
      <c r="Y1662">
        <v>0</v>
      </c>
      <c r="Z1662">
        <v>0</v>
      </c>
      <c r="AA1662" t="str">
        <f>"Y"</f>
        <v>Y</v>
      </c>
      <c r="AB1662" t="str">
        <f>"SO20000418"</f>
        <v>SO20000418</v>
      </c>
      <c r="AC1662">
        <v>31</v>
      </c>
      <c r="AD1662" s="1">
        <v>44083</v>
      </c>
      <c r="AE1662" t="str">
        <f>"SH22000481"</f>
        <v>SH22000481</v>
      </c>
      <c r="AF1662" t="str">
        <f>"משלוחים ללקוח"</f>
        <v>משלוחים ללקוח</v>
      </c>
      <c r="AG1662" s="1">
        <v>44679</v>
      </c>
      <c r="AM1662" t="str">
        <f>"10"</f>
        <v>10</v>
      </c>
      <c r="AN1662" t="str">
        <f>"500000"</f>
        <v>500000</v>
      </c>
      <c r="AO1662" t="str">
        <f>"הכנסות  מלקוחות"</f>
        <v>הכנסות  מלקוחות</v>
      </c>
      <c r="AQ1662" t="str">
        <f>"034"</f>
        <v>034</v>
      </c>
      <c r="AR1662">
        <v>0</v>
      </c>
      <c r="AS1662">
        <v>0</v>
      </c>
      <c r="AT1662">
        <v>3.32</v>
      </c>
      <c r="AX1662" t="str">
        <f>"E000320964"</f>
        <v>E000320964</v>
      </c>
      <c r="BD1662" t="str">
        <f>"ערן שלו"</f>
        <v>ערן שלו</v>
      </c>
    </row>
    <row r="1663" spans="1:56" x14ac:dyDescent="0.3">
      <c r="A1663" s="1">
        <v>44679</v>
      </c>
      <c r="B1663" t="str">
        <f>"SI226000550"</f>
        <v>SI226000550</v>
      </c>
      <c r="C1663" t="str">
        <f>"PR20000651"</f>
        <v>PR20000651</v>
      </c>
      <c r="E1663" t="str">
        <f>"Y"</f>
        <v>Y</v>
      </c>
      <c r="F1663" t="str">
        <f>"חשבוניות מרכזות"</f>
        <v>חשבוניות מרכזות</v>
      </c>
      <c r="G1663" t="str">
        <f>"700065"</f>
        <v>700065</v>
      </c>
      <c r="H1663" t="str">
        <f>"אלתא מערכות בע""מ"</f>
        <v>אלתא מערכות בע"מ</v>
      </c>
      <c r="I1663" t="str">
        <f>"10"</f>
        <v>10</v>
      </c>
      <c r="J1663" t="str">
        <f>"OP-AR02041"</f>
        <v>OP-AR02041</v>
      </c>
      <c r="K1663" t="str">
        <f>"PDB1 1038C860-001"</f>
        <v>PDB1 1038C860-001</v>
      </c>
      <c r="L1663">
        <v>1</v>
      </c>
      <c r="M1663" t="str">
        <f>"יח"</f>
        <v>יח</v>
      </c>
      <c r="N1663">
        <v>1</v>
      </c>
      <c r="O1663" t="str">
        <f>"יח"</f>
        <v>יח</v>
      </c>
      <c r="P1663" s="2">
        <v>38545</v>
      </c>
      <c r="Q1663" t="str">
        <f>"$"</f>
        <v>$</v>
      </c>
      <c r="R1663" t="str">
        <f>"הזמנה"</f>
        <v>הזמנה</v>
      </c>
      <c r="S1663">
        <v>0</v>
      </c>
      <c r="T1663" s="2">
        <v>38545</v>
      </c>
      <c r="U1663">
        <v>0</v>
      </c>
      <c r="V1663" s="2">
        <v>38545</v>
      </c>
      <c r="W1663" t="str">
        <f>"$"</f>
        <v>$</v>
      </c>
      <c r="X1663">
        <v>0</v>
      </c>
      <c r="Y1663">
        <v>0</v>
      </c>
      <c r="Z1663">
        <v>0</v>
      </c>
      <c r="AA1663" t="str">
        <f>"Y"</f>
        <v>Y</v>
      </c>
      <c r="AB1663" t="str">
        <f>"SO20000418"</f>
        <v>SO20000418</v>
      </c>
      <c r="AC1663">
        <v>23</v>
      </c>
      <c r="AD1663" s="1">
        <v>44083</v>
      </c>
      <c r="AE1663" t="str">
        <f>"SH22000480"</f>
        <v>SH22000480</v>
      </c>
      <c r="AF1663" t="str">
        <f>"משלוחים ללקוח"</f>
        <v>משלוחים ללקוח</v>
      </c>
      <c r="AG1663" s="1">
        <v>44679</v>
      </c>
      <c r="AM1663" t="str">
        <f>"10"</f>
        <v>10</v>
      </c>
      <c r="AN1663" t="str">
        <f>"500000"</f>
        <v>500000</v>
      </c>
      <c r="AO1663" t="str">
        <f>"הכנסות  מלקוחות"</f>
        <v>הכנסות  מלקוחות</v>
      </c>
      <c r="AQ1663" t="str">
        <f>"034"</f>
        <v>034</v>
      </c>
      <c r="AR1663">
        <v>0</v>
      </c>
      <c r="AS1663">
        <v>0</v>
      </c>
      <c r="AT1663">
        <v>3.32</v>
      </c>
      <c r="AX1663" t="str">
        <f>"E000320964"</f>
        <v>E000320964</v>
      </c>
      <c r="BD1663" t="str">
        <f>"ערן שלו"</f>
        <v>ערן שלו</v>
      </c>
    </row>
    <row r="1664" spans="1:56" x14ac:dyDescent="0.3">
      <c r="A1664" s="1">
        <v>44679</v>
      </c>
      <c r="B1664" t="str">
        <f>"SI226000549"</f>
        <v>SI226000549</v>
      </c>
      <c r="C1664" t="str">
        <f>"PR20000650"</f>
        <v>PR20000650</v>
      </c>
      <c r="E1664" t="str">
        <f>"Y"</f>
        <v>Y</v>
      </c>
      <c r="F1664" t="str">
        <f>"חשבוניות מרכזות"</f>
        <v>חשבוניות מרכזות</v>
      </c>
      <c r="G1664" t="str">
        <f>"700065"</f>
        <v>700065</v>
      </c>
      <c r="H1664" t="str">
        <f>"אלתא מערכות בע""מ"</f>
        <v>אלתא מערכות בע"מ</v>
      </c>
      <c r="I1664" t="str">
        <f>"10"</f>
        <v>10</v>
      </c>
      <c r="J1664" t="str">
        <f>"OP-AR02041"</f>
        <v>OP-AR02041</v>
      </c>
      <c r="K1664" t="str">
        <f>"PDB1 1038C860-001"</f>
        <v>PDB1 1038C860-001</v>
      </c>
      <c r="L1664">
        <v>1</v>
      </c>
      <c r="M1664" t="str">
        <f>"יח"</f>
        <v>יח</v>
      </c>
      <c r="N1664">
        <v>1</v>
      </c>
      <c r="O1664" t="str">
        <f>"יח"</f>
        <v>יח</v>
      </c>
      <c r="P1664" s="2">
        <v>38545</v>
      </c>
      <c r="Q1664" t="str">
        <f>"$"</f>
        <v>$</v>
      </c>
      <c r="R1664" t="str">
        <f>"הזמנה"</f>
        <v>הזמנה</v>
      </c>
      <c r="S1664">
        <v>0</v>
      </c>
      <c r="T1664" s="2">
        <v>38545</v>
      </c>
      <c r="U1664">
        <v>0</v>
      </c>
      <c r="V1664" s="2">
        <v>38545</v>
      </c>
      <c r="W1664" t="str">
        <f>"$"</f>
        <v>$</v>
      </c>
      <c r="X1664">
        <v>0</v>
      </c>
      <c r="Y1664">
        <v>0</v>
      </c>
      <c r="Z1664">
        <v>0</v>
      </c>
      <c r="AA1664" t="str">
        <f>"Y"</f>
        <v>Y</v>
      </c>
      <c r="AB1664" t="str">
        <f>"SO20000418"</f>
        <v>SO20000418</v>
      </c>
      <c r="AC1664">
        <v>22</v>
      </c>
      <c r="AD1664" s="1">
        <v>44083</v>
      </c>
      <c r="AE1664" t="str">
        <f>"SH22000479"</f>
        <v>SH22000479</v>
      </c>
      <c r="AF1664" t="str">
        <f>"משלוחים ללקוח"</f>
        <v>משלוחים ללקוח</v>
      </c>
      <c r="AG1664" s="1">
        <v>44679</v>
      </c>
      <c r="AM1664" t="str">
        <f>"10"</f>
        <v>10</v>
      </c>
      <c r="AN1664" t="str">
        <f>"500000"</f>
        <v>500000</v>
      </c>
      <c r="AO1664" t="str">
        <f>"הכנסות  מלקוחות"</f>
        <v>הכנסות  מלקוחות</v>
      </c>
      <c r="AQ1664" t="str">
        <f>"034"</f>
        <v>034</v>
      </c>
      <c r="AR1664">
        <v>0</v>
      </c>
      <c r="AS1664">
        <v>0</v>
      </c>
      <c r="AT1664">
        <v>3.3250000000000002</v>
      </c>
      <c r="AX1664" t="str">
        <f>"E000320964"</f>
        <v>E000320964</v>
      </c>
      <c r="BD1664" t="str">
        <f>"ערן שלו"</f>
        <v>ערן שלו</v>
      </c>
    </row>
    <row r="1665" spans="1:56" x14ac:dyDescent="0.3">
      <c r="A1665" s="1">
        <v>44679</v>
      </c>
      <c r="B1665" t="str">
        <f>"SI226000548"</f>
        <v>SI226000548</v>
      </c>
      <c r="C1665" t="str">
        <f>"PR21000189"</f>
        <v>PR21000189</v>
      </c>
      <c r="E1665" t="str">
        <f>"Y"</f>
        <v>Y</v>
      </c>
      <c r="F1665" t="str">
        <f>"חשבוניות מרכזות"</f>
        <v>חשבוניות מרכזות</v>
      </c>
      <c r="G1665" t="str">
        <f>"700065"</f>
        <v>700065</v>
      </c>
      <c r="H1665" t="str">
        <f>"אלתא מערכות בע""מ"</f>
        <v>אלתא מערכות בע"מ</v>
      </c>
      <c r="I1665" t="str">
        <f>"10"</f>
        <v>10</v>
      </c>
      <c r="J1665" t="str">
        <f>"OP-AR01025-01"</f>
        <v>OP-AR01025-01</v>
      </c>
      <c r="K1665" t="str">
        <f>"BATTERY BOX 1029P520-001אפור"</f>
        <v>BATTERY BOX 1029P520-001אפור</v>
      </c>
      <c r="L1665">
        <v>1</v>
      </c>
      <c r="M1665" t="str">
        <f>"יח"</f>
        <v>יח</v>
      </c>
      <c r="N1665">
        <v>1</v>
      </c>
      <c r="O1665" t="str">
        <f>"יח"</f>
        <v>יח</v>
      </c>
      <c r="P1665" s="2">
        <v>5750</v>
      </c>
      <c r="Q1665" t="str">
        <f>"$"</f>
        <v>$</v>
      </c>
      <c r="R1665" t="str">
        <f>"הזמנה"</f>
        <v>הזמנה</v>
      </c>
      <c r="S1665">
        <v>0</v>
      </c>
      <c r="T1665" s="2">
        <v>5750</v>
      </c>
      <c r="U1665">
        <v>0</v>
      </c>
      <c r="V1665" s="2">
        <v>5750</v>
      </c>
      <c r="W1665" t="str">
        <f>"$"</f>
        <v>$</v>
      </c>
      <c r="X1665">
        <v>0</v>
      </c>
      <c r="Y1665">
        <v>0</v>
      </c>
      <c r="Z1665">
        <v>0</v>
      </c>
      <c r="AA1665" t="str">
        <f>"Y"</f>
        <v>Y</v>
      </c>
      <c r="AC1665">
        <v>0</v>
      </c>
      <c r="AM1665" t="str">
        <f>"10"</f>
        <v>10</v>
      </c>
      <c r="AN1665" t="str">
        <f>"500000"</f>
        <v>500000</v>
      </c>
      <c r="AO1665" t="str">
        <f>"הכנסות  מלקוחות"</f>
        <v>הכנסות  מלקוחות</v>
      </c>
      <c r="AQ1665" t="str">
        <f>"034"</f>
        <v>034</v>
      </c>
      <c r="AR1665">
        <v>0</v>
      </c>
      <c r="AS1665">
        <v>0</v>
      </c>
      <c r="AT1665">
        <v>3.3250000000000002</v>
      </c>
      <c r="BB1665" t="str">
        <f>"Y"</f>
        <v>Y</v>
      </c>
      <c r="BD1665" t="str">
        <f>"ערן שלו"</f>
        <v>ערן שלו</v>
      </c>
    </row>
    <row r="1666" spans="1:56" x14ac:dyDescent="0.3">
      <c r="A1666" s="1">
        <v>44678</v>
      </c>
      <c r="B1666" t="str">
        <f>"SI226000496"</f>
        <v>SI226000496</v>
      </c>
      <c r="C1666" t="str">
        <f>"PR21000890"</f>
        <v>PR21000890</v>
      </c>
      <c r="D1666" t="str">
        <f>"PR21000890"</f>
        <v>PR21000890</v>
      </c>
      <c r="E1666" t="str">
        <f>"Y"</f>
        <v>Y</v>
      </c>
      <c r="F1666" t="str">
        <f>"חשבוניות מרכזות"</f>
        <v>חשבוניות מרכזות</v>
      </c>
      <c r="G1666" t="str">
        <f>"700065"</f>
        <v>700065</v>
      </c>
      <c r="H1666" t="str">
        <f>"אלתא מערכות בע""מ"</f>
        <v>אלתא מערכות בע"מ</v>
      </c>
      <c r="I1666" t="str">
        <f>"10"</f>
        <v>10</v>
      </c>
      <c r="J1666" t="str">
        <f>"OP-AR02877"</f>
        <v>OP-AR02877</v>
      </c>
      <c r="K1666" t="str">
        <f>"1023B189-001   WSA126 CABLE ASSY"</f>
        <v>1023B189-001   WSA126 CABLE ASSY</v>
      </c>
      <c r="L1666">
        <v>2</v>
      </c>
      <c r="M1666" t="str">
        <f>"יח"</f>
        <v>יח</v>
      </c>
      <c r="N1666">
        <v>2</v>
      </c>
      <c r="O1666" t="str">
        <f>"יח"</f>
        <v>יח</v>
      </c>
      <c r="P1666">
        <v>684.74</v>
      </c>
      <c r="Q1666" t="str">
        <f>"$"</f>
        <v>$</v>
      </c>
      <c r="R1666" t="str">
        <f>"הזמנה"</f>
        <v>הזמנה</v>
      </c>
      <c r="S1666">
        <v>0</v>
      </c>
      <c r="T1666" s="2">
        <v>1369.48</v>
      </c>
      <c r="U1666">
        <v>0</v>
      </c>
      <c r="V1666" s="2">
        <v>1369.48</v>
      </c>
      <c r="W1666" t="str">
        <f>"$"</f>
        <v>$</v>
      </c>
      <c r="X1666">
        <v>0</v>
      </c>
      <c r="Y1666">
        <v>0</v>
      </c>
      <c r="Z1666">
        <v>0</v>
      </c>
      <c r="AA1666" t="str">
        <f>"Y"</f>
        <v>Y</v>
      </c>
      <c r="AB1666" t="str">
        <f>"SO22000004"</f>
        <v>SO22000004</v>
      </c>
      <c r="AC1666">
        <v>2</v>
      </c>
      <c r="AD1666" s="1">
        <v>44564</v>
      </c>
      <c r="AE1666" t="str">
        <f>"SH22000448"</f>
        <v>SH22000448</v>
      </c>
      <c r="AF1666" t="str">
        <f>"משלוחים ללקוח"</f>
        <v>משלוחים ללקוח</v>
      </c>
      <c r="AG1666" s="1">
        <v>44676</v>
      </c>
      <c r="AM1666" t="str">
        <f>"10"</f>
        <v>10</v>
      </c>
      <c r="AN1666" t="str">
        <f>"500000"</f>
        <v>500000</v>
      </c>
      <c r="AO1666" t="str">
        <f>"הכנסות  מלקוחות"</f>
        <v>הכנסות  מלקוחות</v>
      </c>
      <c r="AQ1666" t="str">
        <f>"040"</f>
        <v>040</v>
      </c>
      <c r="AR1666">
        <v>0</v>
      </c>
      <c r="AS1666">
        <v>0</v>
      </c>
      <c r="AT1666">
        <v>3.3250000000000002</v>
      </c>
      <c r="AX1666" t="str">
        <f>"E000350605"</f>
        <v>E000350605</v>
      </c>
      <c r="BD1666" t="str">
        <f>"רחמים זרוק"</f>
        <v>רחמים זרוק</v>
      </c>
    </row>
    <row r="1667" spans="1:56" x14ac:dyDescent="0.3">
      <c r="A1667" s="1">
        <v>44678</v>
      </c>
      <c r="B1667" t="str">
        <f>"SI226000496"</f>
        <v>SI226000496</v>
      </c>
      <c r="C1667" t="str">
        <f>"PR21000890"</f>
        <v>PR21000890</v>
      </c>
      <c r="D1667" t="str">
        <f>"PR21000890"</f>
        <v>PR21000890</v>
      </c>
      <c r="E1667" t="str">
        <f>"Y"</f>
        <v>Y</v>
      </c>
      <c r="F1667" t="str">
        <f>"חשבוניות מרכזות"</f>
        <v>חשבוניות מרכזות</v>
      </c>
      <c r="G1667" t="str">
        <f>"700065"</f>
        <v>700065</v>
      </c>
      <c r="H1667" t="str">
        <f>"אלתא מערכות בע""מ"</f>
        <v>אלתא מערכות בע"מ</v>
      </c>
      <c r="I1667" t="str">
        <f>"10"</f>
        <v>10</v>
      </c>
      <c r="J1667" t="str">
        <f>"OP-AR02878"</f>
        <v>OP-AR02878</v>
      </c>
      <c r="K1667" t="str">
        <f>"1023B190-001   WSA127 CABLE ASSY"</f>
        <v>1023B190-001   WSA127 CABLE ASSY</v>
      </c>
      <c r="L1667">
        <v>2</v>
      </c>
      <c r="M1667" t="str">
        <f>"יח"</f>
        <v>יח</v>
      </c>
      <c r="N1667">
        <v>2</v>
      </c>
      <c r="O1667" t="str">
        <f>"יח"</f>
        <v>יח</v>
      </c>
      <c r="P1667">
        <v>780.31</v>
      </c>
      <c r="Q1667" t="str">
        <f>"$"</f>
        <v>$</v>
      </c>
      <c r="R1667" t="str">
        <f>"הזמנה"</f>
        <v>הזמנה</v>
      </c>
      <c r="S1667">
        <v>0</v>
      </c>
      <c r="T1667" s="2">
        <v>1560.62</v>
      </c>
      <c r="U1667">
        <v>0</v>
      </c>
      <c r="V1667" s="2">
        <v>1560.62</v>
      </c>
      <c r="W1667" t="str">
        <f>"$"</f>
        <v>$</v>
      </c>
      <c r="X1667">
        <v>0</v>
      </c>
      <c r="Y1667">
        <v>0</v>
      </c>
      <c r="Z1667">
        <v>0</v>
      </c>
      <c r="AA1667" t="str">
        <f>"Y"</f>
        <v>Y</v>
      </c>
      <c r="AB1667" t="str">
        <f>"SO22000004"</f>
        <v>SO22000004</v>
      </c>
      <c r="AC1667">
        <v>3</v>
      </c>
      <c r="AD1667" s="1">
        <v>44564</v>
      </c>
      <c r="AE1667" t="str">
        <f>"SH22000448"</f>
        <v>SH22000448</v>
      </c>
      <c r="AF1667" t="str">
        <f>"משלוחים ללקוח"</f>
        <v>משלוחים ללקוח</v>
      </c>
      <c r="AG1667" s="1">
        <v>44676</v>
      </c>
      <c r="AM1667" t="str">
        <f>"10"</f>
        <v>10</v>
      </c>
      <c r="AN1667" t="str">
        <f>"500000"</f>
        <v>500000</v>
      </c>
      <c r="AO1667" t="str">
        <f>"הכנסות  מלקוחות"</f>
        <v>הכנסות  מלקוחות</v>
      </c>
      <c r="AQ1667" t="str">
        <f>"040"</f>
        <v>040</v>
      </c>
      <c r="AR1667">
        <v>0</v>
      </c>
      <c r="AS1667">
        <v>0</v>
      </c>
      <c r="AT1667">
        <v>3.3250000000000002</v>
      </c>
      <c r="AX1667" t="str">
        <f>"E000350605"</f>
        <v>E000350605</v>
      </c>
      <c r="BD1667" t="str">
        <f>"רחמים זרוק"</f>
        <v>רחמים זרוק</v>
      </c>
    </row>
    <row r="1668" spans="1:56" x14ac:dyDescent="0.3">
      <c r="A1668" s="1">
        <v>44678</v>
      </c>
      <c r="B1668" t="str">
        <f>"SI226000496"</f>
        <v>SI226000496</v>
      </c>
      <c r="C1668" t="str">
        <f>"PR21000890"</f>
        <v>PR21000890</v>
      </c>
      <c r="D1668" t="str">
        <f>"PR21000890"</f>
        <v>PR21000890</v>
      </c>
      <c r="E1668" t="str">
        <f>"Y"</f>
        <v>Y</v>
      </c>
      <c r="F1668" t="str">
        <f>"חשבוניות מרכזות"</f>
        <v>חשבוניות מרכזות</v>
      </c>
      <c r="G1668" t="str">
        <f>"700065"</f>
        <v>700065</v>
      </c>
      <c r="H1668" t="str">
        <f>"אלתא מערכות בע""מ"</f>
        <v>אלתא מערכות בע"מ</v>
      </c>
      <c r="I1668" t="str">
        <f>"10"</f>
        <v>10</v>
      </c>
      <c r="J1668" t="str">
        <f>"OP-AR02887"</f>
        <v>OP-AR02887</v>
      </c>
      <c r="K1668" t="str">
        <f>"1023F312-001   WZ002 IFF EXT CONTROL"</f>
        <v>1023F312-001   WZ002 IFF EXT CONTROL</v>
      </c>
      <c r="L1668">
        <v>2</v>
      </c>
      <c r="M1668" t="str">
        <f>"יח"</f>
        <v>יח</v>
      </c>
      <c r="N1668">
        <v>2</v>
      </c>
      <c r="O1668" t="str">
        <f>"יח"</f>
        <v>יח</v>
      </c>
      <c r="P1668">
        <v>399.93</v>
      </c>
      <c r="Q1668" t="str">
        <f>"$"</f>
        <v>$</v>
      </c>
      <c r="R1668" t="str">
        <f>"הזמנה"</f>
        <v>הזמנה</v>
      </c>
      <c r="S1668">
        <v>0</v>
      </c>
      <c r="T1668">
        <v>799.86</v>
      </c>
      <c r="U1668">
        <v>0</v>
      </c>
      <c r="V1668">
        <v>799.86</v>
      </c>
      <c r="W1668" t="str">
        <f>"$"</f>
        <v>$</v>
      </c>
      <c r="X1668">
        <v>0</v>
      </c>
      <c r="Y1668">
        <v>0</v>
      </c>
      <c r="Z1668">
        <v>0</v>
      </c>
      <c r="AA1668" t="str">
        <f>"Y"</f>
        <v>Y</v>
      </c>
      <c r="AB1668" t="str">
        <f>"SO22000004"</f>
        <v>SO22000004</v>
      </c>
      <c r="AC1668">
        <v>13</v>
      </c>
      <c r="AD1668" s="1">
        <v>44564</v>
      </c>
      <c r="AE1668" t="str">
        <f>"SH22000448"</f>
        <v>SH22000448</v>
      </c>
      <c r="AF1668" t="str">
        <f>"משלוחים ללקוח"</f>
        <v>משלוחים ללקוח</v>
      </c>
      <c r="AG1668" s="1">
        <v>44676</v>
      </c>
      <c r="AM1668" t="str">
        <f>"10"</f>
        <v>10</v>
      </c>
      <c r="AN1668" t="str">
        <f>"500000"</f>
        <v>500000</v>
      </c>
      <c r="AO1668" t="str">
        <f>"הכנסות  מלקוחות"</f>
        <v>הכנסות  מלקוחות</v>
      </c>
      <c r="AQ1668" t="str">
        <f>"040"</f>
        <v>040</v>
      </c>
      <c r="AR1668">
        <v>0</v>
      </c>
      <c r="AS1668">
        <v>0</v>
      </c>
      <c r="AT1668">
        <v>3.3250000000000002</v>
      </c>
      <c r="AX1668" t="str">
        <f>"E000350605"</f>
        <v>E000350605</v>
      </c>
      <c r="BD1668" t="str">
        <f>"רחמים זרוק"</f>
        <v>רחמים זרוק</v>
      </c>
    </row>
    <row r="1669" spans="1:56" x14ac:dyDescent="0.3">
      <c r="A1669" s="1">
        <v>44678</v>
      </c>
      <c r="B1669" t="str">
        <f>"SI226000495"</f>
        <v>SI226000495</v>
      </c>
      <c r="C1669" t="str">
        <f>"PR21000890"</f>
        <v>PR21000890</v>
      </c>
      <c r="D1669" t="str">
        <f>"PR21000890"</f>
        <v>PR21000890</v>
      </c>
      <c r="E1669" t="str">
        <f>"Y"</f>
        <v>Y</v>
      </c>
      <c r="F1669" t="str">
        <f>"חשבוניות מרכזות"</f>
        <v>חשבוניות מרכזות</v>
      </c>
      <c r="G1669" t="str">
        <f>"700065"</f>
        <v>700065</v>
      </c>
      <c r="H1669" t="str">
        <f>"אלתא מערכות בע""מ"</f>
        <v>אלתא מערכות בע"מ</v>
      </c>
      <c r="I1669" t="str">
        <f>"10"</f>
        <v>10</v>
      </c>
      <c r="J1669" t="str">
        <f>"OP-AR02890"</f>
        <v>OP-AR02890</v>
      </c>
      <c r="K1669" t="str">
        <f>"1023F916-001   WEXT16 CTRL LRC SHELTER TO IFF SYS"</f>
        <v>1023F916-001   WEXT16 CTRL LRC SHELTER TO IFF SYS</v>
      </c>
      <c r="L1669">
        <v>1</v>
      </c>
      <c r="M1669" t="str">
        <f>"יח"</f>
        <v>יח</v>
      </c>
      <c r="N1669">
        <v>1</v>
      </c>
      <c r="O1669" t="str">
        <f>"יח"</f>
        <v>יח</v>
      </c>
      <c r="P1669" s="2">
        <v>5018.51</v>
      </c>
      <c r="Q1669" t="str">
        <f>"$"</f>
        <v>$</v>
      </c>
      <c r="R1669" t="str">
        <f>"הזמנה"</f>
        <v>הזמנה</v>
      </c>
      <c r="S1669">
        <v>0</v>
      </c>
      <c r="T1669" s="2">
        <v>5018.51</v>
      </c>
      <c r="U1669">
        <v>0</v>
      </c>
      <c r="V1669" s="2">
        <v>5018.51</v>
      </c>
      <c r="W1669" t="str">
        <f>"$"</f>
        <v>$</v>
      </c>
      <c r="X1669">
        <v>0</v>
      </c>
      <c r="Y1669">
        <v>0</v>
      </c>
      <c r="Z1669">
        <v>0</v>
      </c>
      <c r="AA1669" t="str">
        <f>"Y"</f>
        <v>Y</v>
      </c>
      <c r="AB1669" t="str">
        <f>"SO22000004"</f>
        <v>SO22000004</v>
      </c>
      <c r="AC1669">
        <v>16</v>
      </c>
      <c r="AD1669" s="1">
        <v>44564</v>
      </c>
      <c r="AE1669" t="str">
        <f>"SH22000459"</f>
        <v>SH22000459</v>
      </c>
      <c r="AF1669" t="str">
        <f>"משלוחים ללקוח"</f>
        <v>משלוחים ללקוח</v>
      </c>
      <c r="AG1669" s="1">
        <v>44678</v>
      </c>
      <c r="AM1669" t="str">
        <f>"10"</f>
        <v>10</v>
      </c>
      <c r="AN1669" t="str">
        <f>"500000"</f>
        <v>500000</v>
      </c>
      <c r="AO1669" t="str">
        <f>"הכנסות  מלקוחות"</f>
        <v>הכנסות  מלקוחות</v>
      </c>
      <c r="AQ1669" t="str">
        <f>"040"</f>
        <v>040</v>
      </c>
      <c r="AR1669">
        <v>0</v>
      </c>
      <c r="AS1669">
        <v>0</v>
      </c>
      <c r="AT1669">
        <v>3.3250000000000002</v>
      </c>
      <c r="AX1669" t="str">
        <f>"E000350605"</f>
        <v>E000350605</v>
      </c>
      <c r="BD1669" t="str">
        <f>"רחמים זרוק"</f>
        <v>רחמים זרוק</v>
      </c>
    </row>
    <row r="1670" spans="1:56" x14ac:dyDescent="0.3">
      <c r="A1670" s="1">
        <v>44678</v>
      </c>
      <c r="B1670" t="str">
        <f>"SI226000494"</f>
        <v>SI226000494</v>
      </c>
      <c r="C1670" t="str">
        <f>"PR22000010"</f>
        <v>PR22000010</v>
      </c>
      <c r="E1670" t="str">
        <f>"Y"</f>
        <v>Y</v>
      </c>
      <c r="F1670" t="str">
        <f>"חשבוניות מרכזות"</f>
        <v>חשבוניות מרכזות</v>
      </c>
      <c r="G1670" t="str">
        <f>"700065"</f>
        <v>700065</v>
      </c>
      <c r="H1670" t="str">
        <f>"אלתא מערכות בע""מ"</f>
        <v>אלתא מערכות בע"מ</v>
      </c>
      <c r="I1670" t="str">
        <f>"10"</f>
        <v>10</v>
      </c>
      <c r="J1670" t="str">
        <f>"OP-AR02913"</f>
        <v>OP-AR02913</v>
      </c>
      <c r="K1670" t="str">
        <f>"1038A648-001    SGU-BFU (VR9/MCM) TEST CABLE"</f>
        <v>1038A648-001    SGU-BFU (VR9/MCM) TEST CABLE</v>
      </c>
      <c r="L1670">
        <v>2</v>
      </c>
      <c r="M1670" t="str">
        <f>"יח"</f>
        <v>יח</v>
      </c>
      <c r="N1670">
        <v>2</v>
      </c>
      <c r="O1670" t="str">
        <f>"יח"</f>
        <v>יח</v>
      </c>
      <c r="P1670">
        <v>645.75</v>
      </c>
      <c r="Q1670" t="str">
        <f>"$"</f>
        <v>$</v>
      </c>
      <c r="R1670" t="str">
        <f>"הזמנה"</f>
        <v>הזמנה</v>
      </c>
      <c r="S1670">
        <v>0</v>
      </c>
      <c r="T1670" s="2">
        <v>1291.5</v>
      </c>
      <c r="U1670">
        <v>0</v>
      </c>
      <c r="V1670" s="2">
        <v>1291.5</v>
      </c>
      <c r="W1670" t="str">
        <f>"$"</f>
        <v>$</v>
      </c>
      <c r="X1670">
        <v>0</v>
      </c>
      <c r="Y1670">
        <v>0</v>
      </c>
      <c r="Z1670">
        <v>0</v>
      </c>
      <c r="AA1670" t="str">
        <f>"Y"</f>
        <v>Y</v>
      </c>
      <c r="AB1670" t="str">
        <f>"SO22000007"</f>
        <v>SO22000007</v>
      </c>
      <c r="AC1670">
        <v>14</v>
      </c>
      <c r="AD1670" s="1">
        <v>44565</v>
      </c>
      <c r="AE1670" t="str">
        <f>"SH22000449"</f>
        <v>SH22000449</v>
      </c>
      <c r="AF1670" t="str">
        <f>"משלוחים ללקוח"</f>
        <v>משלוחים ללקוח</v>
      </c>
      <c r="AG1670" s="1">
        <v>44676</v>
      </c>
      <c r="AM1670" t="str">
        <f>"10"</f>
        <v>10</v>
      </c>
      <c r="AN1670" t="str">
        <f>"500000"</f>
        <v>500000</v>
      </c>
      <c r="AO1670" t="str">
        <f>"הכנסות  מלקוחות"</f>
        <v>הכנסות  מלקוחות</v>
      </c>
      <c r="AQ1670" t="str">
        <f>"040"</f>
        <v>040</v>
      </c>
      <c r="AR1670">
        <v>0</v>
      </c>
      <c r="AS1670">
        <v>0</v>
      </c>
      <c r="AT1670">
        <v>3.3250000000000002</v>
      </c>
      <c r="AX1670" t="str">
        <f>"E000353717"</f>
        <v>E000353717</v>
      </c>
      <c r="BD1670" t="str">
        <f>"רחמים זרוק"</f>
        <v>רחמים זרוק</v>
      </c>
    </row>
    <row r="1671" spans="1:56" x14ac:dyDescent="0.3">
      <c r="A1671" s="1">
        <v>44678</v>
      </c>
      <c r="B1671" t="str">
        <f>"SI226000493"</f>
        <v>SI226000493</v>
      </c>
      <c r="C1671" t="str">
        <f>"PR22000045"</f>
        <v>PR22000045</v>
      </c>
      <c r="D1671" t="str">
        <f>"PR22000045"</f>
        <v>PR22000045</v>
      </c>
      <c r="E1671" t="str">
        <f>"Y"</f>
        <v>Y</v>
      </c>
      <c r="F1671" t="str">
        <f>"חשבוניות מרכזות"</f>
        <v>חשבוניות מרכזות</v>
      </c>
      <c r="G1671" t="str">
        <f>"700065"</f>
        <v>700065</v>
      </c>
      <c r="H1671" t="str">
        <f>"אלתא מערכות בע""מ"</f>
        <v>אלתא מערכות בע"מ</v>
      </c>
      <c r="I1671" t="str">
        <f>"10"</f>
        <v>10</v>
      </c>
      <c r="J1671" t="str">
        <f>"OP-AR02925"</f>
        <v>OP-AR02925</v>
      </c>
      <c r="K1671" t="str">
        <f>"9002H703-001   HARNESS W5703 - POD RP-ANT-LVCS INTERFAC"</f>
        <v>9002H703-001   HARNESS W5703 - POD RP-ANT-LVCS INTERFAC</v>
      </c>
      <c r="L1671">
        <v>1</v>
      </c>
      <c r="M1671" t="str">
        <f>"יח"</f>
        <v>יח</v>
      </c>
      <c r="N1671">
        <v>1</v>
      </c>
      <c r="O1671" t="str">
        <f>"יח"</f>
        <v>יח</v>
      </c>
      <c r="P1671" s="2">
        <v>1306.77</v>
      </c>
      <c r="Q1671" t="str">
        <f>"$"</f>
        <v>$</v>
      </c>
      <c r="R1671" t="str">
        <f>"הזמנה"</f>
        <v>הזמנה</v>
      </c>
      <c r="S1671">
        <v>0</v>
      </c>
      <c r="T1671" s="2">
        <v>1306.77</v>
      </c>
      <c r="U1671">
        <v>0</v>
      </c>
      <c r="V1671" s="2">
        <v>1306.77</v>
      </c>
      <c r="W1671" t="str">
        <f>"$"</f>
        <v>$</v>
      </c>
      <c r="X1671">
        <v>0</v>
      </c>
      <c r="Y1671">
        <v>0</v>
      </c>
      <c r="Z1671">
        <v>0</v>
      </c>
      <c r="AA1671" t="str">
        <f>"Y"</f>
        <v>Y</v>
      </c>
      <c r="AB1671" t="str">
        <f>"SO22000033"</f>
        <v>SO22000033</v>
      </c>
      <c r="AC1671">
        <v>7</v>
      </c>
      <c r="AD1671" s="1">
        <v>44591</v>
      </c>
      <c r="AE1671" t="str">
        <f>"SH22000446"</f>
        <v>SH22000446</v>
      </c>
      <c r="AF1671" t="str">
        <f>"משלוחים ללקוח"</f>
        <v>משלוחים ללקוח</v>
      </c>
      <c r="AG1671" s="1">
        <v>44676</v>
      </c>
      <c r="AM1671" t="str">
        <f>"10"</f>
        <v>10</v>
      </c>
      <c r="AN1671" t="str">
        <f>"500000"</f>
        <v>500000</v>
      </c>
      <c r="AO1671" t="str">
        <f>"הכנסות  מלקוחות"</f>
        <v>הכנסות  מלקוחות</v>
      </c>
      <c r="AQ1671" t="str">
        <f>"040"</f>
        <v>040</v>
      </c>
      <c r="AR1671">
        <v>0</v>
      </c>
      <c r="AS1671">
        <v>0</v>
      </c>
      <c r="AT1671">
        <v>3.3250000000000002</v>
      </c>
      <c r="AX1671" t="str">
        <f>"E000355431"</f>
        <v>E000355431</v>
      </c>
      <c r="BD1671" t="str">
        <f>"רחמים זרוק"</f>
        <v>רחמים זרוק</v>
      </c>
    </row>
    <row r="1672" spans="1:56" x14ac:dyDescent="0.3">
      <c r="A1672" s="1">
        <v>44678</v>
      </c>
      <c r="B1672" t="str">
        <f>"SI226000493"</f>
        <v>SI226000493</v>
      </c>
      <c r="C1672" t="str">
        <f>"PR22000045"</f>
        <v>PR22000045</v>
      </c>
      <c r="D1672" t="str">
        <f>"PR22000045"</f>
        <v>PR22000045</v>
      </c>
      <c r="E1672" t="str">
        <f>"Y"</f>
        <v>Y</v>
      </c>
      <c r="F1672" t="str">
        <f>"חשבוניות מרכזות"</f>
        <v>חשבוניות מרכזות</v>
      </c>
      <c r="G1672" t="str">
        <f>"700065"</f>
        <v>700065</v>
      </c>
      <c r="H1672" t="str">
        <f>"אלתא מערכות בע""מ"</f>
        <v>אלתא מערכות בע"מ</v>
      </c>
      <c r="I1672" t="str">
        <f>"10"</f>
        <v>10</v>
      </c>
      <c r="J1672" t="str">
        <f>"OP-AR02926"</f>
        <v>OP-AR02926</v>
      </c>
      <c r="K1672" t="str">
        <f>"2013E738-001   CABLE POWER ASSY"</f>
        <v>2013E738-001   CABLE POWER ASSY</v>
      </c>
      <c r="L1672">
        <v>1</v>
      </c>
      <c r="M1672" t="str">
        <f>"יח"</f>
        <v>יח</v>
      </c>
      <c r="N1672">
        <v>1</v>
      </c>
      <c r="O1672" t="str">
        <f>"יח"</f>
        <v>יח</v>
      </c>
      <c r="P1672">
        <v>235.11</v>
      </c>
      <c r="Q1672" t="str">
        <f>"$"</f>
        <v>$</v>
      </c>
      <c r="R1672" t="str">
        <f>"הזמנה"</f>
        <v>הזמנה</v>
      </c>
      <c r="S1672">
        <v>0</v>
      </c>
      <c r="T1672">
        <v>235.11</v>
      </c>
      <c r="U1672">
        <v>0</v>
      </c>
      <c r="V1672">
        <v>235.11</v>
      </c>
      <c r="W1672" t="str">
        <f>"$"</f>
        <v>$</v>
      </c>
      <c r="X1672">
        <v>0</v>
      </c>
      <c r="Y1672">
        <v>0</v>
      </c>
      <c r="Z1672">
        <v>0</v>
      </c>
      <c r="AA1672" t="str">
        <f>"Y"</f>
        <v>Y</v>
      </c>
      <c r="AB1672" t="str">
        <f>"SO22000033"</f>
        <v>SO22000033</v>
      </c>
      <c r="AC1672">
        <v>8</v>
      </c>
      <c r="AD1672" s="1">
        <v>44591</v>
      </c>
      <c r="AE1672" t="str">
        <f>"SH22000446"</f>
        <v>SH22000446</v>
      </c>
      <c r="AF1672" t="str">
        <f>"משלוחים ללקוח"</f>
        <v>משלוחים ללקוח</v>
      </c>
      <c r="AG1672" s="1">
        <v>44676</v>
      </c>
      <c r="AM1672" t="str">
        <f>"10"</f>
        <v>10</v>
      </c>
      <c r="AN1672" t="str">
        <f>"500000"</f>
        <v>500000</v>
      </c>
      <c r="AO1672" t="str">
        <f>"הכנסות  מלקוחות"</f>
        <v>הכנסות  מלקוחות</v>
      </c>
      <c r="AQ1672" t="str">
        <f>"040"</f>
        <v>040</v>
      </c>
      <c r="AR1672">
        <v>0</v>
      </c>
      <c r="AS1672">
        <v>0</v>
      </c>
      <c r="AT1672">
        <v>3.3250000000000002</v>
      </c>
      <c r="AX1672" t="str">
        <f>"E000355431"</f>
        <v>E000355431</v>
      </c>
      <c r="BD1672" t="str">
        <f>"רחמים זרוק"</f>
        <v>רחמים זרוק</v>
      </c>
    </row>
    <row r="1673" spans="1:56" x14ac:dyDescent="0.3">
      <c r="A1673" s="1">
        <v>44678</v>
      </c>
      <c r="B1673" t="str">
        <f>"SI226000493"</f>
        <v>SI226000493</v>
      </c>
      <c r="C1673" t="str">
        <f>"PR22000045"</f>
        <v>PR22000045</v>
      </c>
      <c r="D1673" t="str">
        <f>"PR22000045"</f>
        <v>PR22000045</v>
      </c>
      <c r="E1673" t="str">
        <f>"Y"</f>
        <v>Y</v>
      </c>
      <c r="F1673" t="str">
        <f>"חשבוניות מרכזות"</f>
        <v>חשבוניות מרכזות</v>
      </c>
      <c r="G1673" t="str">
        <f>"700065"</f>
        <v>700065</v>
      </c>
      <c r="H1673" t="str">
        <f>"אלתא מערכות בע""מ"</f>
        <v>אלתא מערכות בע"מ</v>
      </c>
      <c r="I1673" t="str">
        <f>"10"</f>
        <v>10</v>
      </c>
      <c r="J1673" t="str">
        <f>"OP-AR02927"</f>
        <v>OP-AR02927</v>
      </c>
      <c r="K1673" t="str">
        <f>"2018E040-001   INS JTAG CABLE"</f>
        <v>2018E040-001   INS JTAG CABLE</v>
      </c>
      <c r="L1673">
        <v>1</v>
      </c>
      <c r="M1673" t="str">
        <f>"יח"</f>
        <v>יח</v>
      </c>
      <c r="N1673">
        <v>1</v>
      </c>
      <c r="O1673" t="str">
        <f>"יח"</f>
        <v>יח</v>
      </c>
      <c r="P1673">
        <v>145.25</v>
      </c>
      <c r="Q1673" t="str">
        <f>"$"</f>
        <v>$</v>
      </c>
      <c r="R1673" t="str">
        <f>"הזמנה"</f>
        <v>הזמנה</v>
      </c>
      <c r="S1673">
        <v>0</v>
      </c>
      <c r="T1673">
        <v>145.25</v>
      </c>
      <c r="U1673">
        <v>0</v>
      </c>
      <c r="V1673">
        <v>145.25</v>
      </c>
      <c r="W1673" t="str">
        <f>"$"</f>
        <v>$</v>
      </c>
      <c r="X1673">
        <v>0</v>
      </c>
      <c r="Y1673">
        <v>0</v>
      </c>
      <c r="Z1673">
        <v>0</v>
      </c>
      <c r="AA1673" t="str">
        <f>"Y"</f>
        <v>Y</v>
      </c>
      <c r="AB1673" t="str">
        <f>"SO22000033"</f>
        <v>SO22000033</v>
      </c>
      <c r="AC1673">
        <v>9</v>
      </c>
      <c r="AD1673" s="1">
        <v>44591</v>
      </c>
      <c r="AE1673" t="str">
        <f>"SH22000446"</f>
        <v>SH22000446</v>
      </c>
      <c r="AF1673" t="str">
        <f>"משלוחים ללקוח"</f>
        <v>משלוחים ללקוח</v>
      </c>
      <c r="AG1673" s="1">
        <v>44676</v>
      </c>
      <c r="AM1673" t="str">
        <f>"10"</f>
        <v>10</v>
      </c>
      <c r="AN1673" t="str">
        <f>"500000"</f>
        <v>500000</v>
      </c>
      <c r="AO1673" t="str">
        <f>"הכנסות  מלקוחות"</f>
        <v>הכנסות  מלקוחות</v>
      </c>
      <c r="AQ1673" t="str">
        <f>"040"</f>
        <v>040</v>
      </c>
      <c r="AR1673">
        <v>0</v>
      </c>
      <c r="AS1673">
        <v>0</v>
      </c>
      <c r="AT1673">
        <v>3.3250000000000002</v>
      </c>
      <c r="AX1673" t="str">
        <f>"E000355431"</f>
        <v>E000355431</v>
      </c>
      <c r="BD1673" t="str">
        <f>"רחמים זרוק"</f>
        <v>רחמים זרוק</v>
      </c>
    </row>
    <row r="1674" spans="1:56" x14ac:dyDescent="0.3">
      <c r="A1674" s="1">
        <v>44678</v>
      </c>
      <c r="B1674" t="str">
        <f>"SI226000479"</f>
        <v>SI226000479</v>
      </c>
      <c r="C1674" t="str">
        <f>"PR21000685"</f>
        <v>PR21000685</v>
      </c>
      <c r="E1674" t="str">
        <f>"Y"</f>
        <v>Y</v>
      </c>
      <c r="F1674" t="str">
        <f>"חשבוניות מרכזות"</f>
        <v>חשבוניות מרכזות</v>
      </c>
      <c r="G1674" t="str">
        <f>"700065"</f>
        <v>700065</v>
      </c>
      <c r="H1674" t="str">
        <f>"אלתא מערכות בע""מ"</f>
        <v>אלתא מערכות בע"מ</v>
      </c>
      <c r="I1674" t="str">
        <f>"10"</f>
        <v>10</v>
      </c>
      <c r="J1674" t="str">
        <f>"OP-AR02812"</f>
        <v>OP-AR02812</v>
      </c>
      <c r="K1674" t="str">
        <f>"2081B138-001   W49F-8 FILTER OUTPUT POWER CABLE"</f>
        <v>2081B138-001   W49F-8 FILTER OUTPUT POWER CABLE</v>
      </c>
      <c r="L1674">
        <v>4</v>
      </c>
      <c r="M1674" t="str">
        <f>"יח"</f>
        <v>יח</v>
      </c>
      <c r="N1674">
        <v>4</v>
      </c>
      <c r="O1674" t="str">
        <f>"יח"</f>
        <v>יח</v>
      </c>
      <c r="P1674">
        <v>589.42999999999995</v>
      </c>
      <c r="Q1674" t="str">
        <f>"$"</f>
        <v>$</v>
      </c>
      <c r="R1674" t="str">
        <f>"הזמנה"</f>
        <v>הזמנה</v>
      </c>
      <c r="S1674">
        <v>0</v>
      </c>
      <c r="T1674" s="2">
        <v>2357.7199999999998</v>
      </c>
      <c r="U1674">
        <v>0</v>
      </c>
      <c r="V1674" s="2">
        <v>2357.7199999999998</v>
      </c>
      <c r="W1674" t="str">
        <f>"$"</f>
        <v>$</v>
      </c>
      <c r="X1674">
        <v>0</v>
      </c>
      <c r="Y1674">
        <v>0</v>
      </c>
      <c r="Z1674">
        <v>0</v>
      </c>
      <c r="AA1674" t="str">
        <f>"Y"</f>
        <v>Y</v>
      </c>
      <c r="AB1674" t="str">
        <f>"SO21000435"</f>
        <v>SO21000435</v>
      </c>
      <c r="AC1674">
        <v>4</v>
      </c>
      <c r="AD1674" s="1">
        <v>44486</v>
      </c>
      <c r="AE1674" t="str">
        <f>"SH22000460"</f>
        <v>SH22000460</v>
      </c>
      <c r="AF1674" t="str">
        <f>"משלוחים ללקוח"</f>
        <v>משלוחים ללקוח</v>
      </c>
      <c r="AG1674" s="1">
        <v>44678</v>
      </c>
      <c r="AM1674" t="str">
        <f>"10"</f>
        <v>10</v>
      </c>
      <c r="AN1674" t="str">
        <f>"500000"</f>
        <v>500000</v>
      </c>
      <c r="AO1674" t="str">
        <f>"הכנסות  מלקוחות"</f>
        <v>הכנסות  מלקוחות</v>
      </c>
      <c r="AQ1674" t="str">
        <f>"040"</f>
        <v>040</v>
      </c>
      <c r="AR1674">
        <v>0</v>
      </c>
      <c r="AS1674">
        <v>0</v>
      </c>
      <c r="AT1674">
        <v>3.3250000000000002</v>
      </c>
      <c r="AX1674" t="str">
        <f>"E000347054"</f>
        <v>E000347054</v>
      </c>
      <c r="BD1674" t="str">
        <f>"רחמים זרוק"</f>
        <v>רחמים זרוק</v>
      </c>
    </row>
    <row r="1675" spans="1:56" x14ac:dyDescent="0.3">
      <c r="A1675" s="1">
        <v>44678</v>
      </c>
      <c r="B1675" t="str">
        <f>"SI226000447"</f>
        <v>SI226000447</v>
      </c>
      <c r="E1675" t="str">
        <f>"Y"</f>
        <v>Y</v>
      </c>
      <c r="F1675" t="str">
        <f>"חשבוניות מרכזות"</f>
        <v>חשבוניות מרכזות</v>
      </c>
      <c r="G1675" t="str">
        <f>"700065"</f>
        <v>700065</v>
      </c>
      <c r="H1675" t="str">
        <f>"אלתא מערכות בע""מ"</f>
        <v>אלתא מערכות בע"מ</v>
      </c>
      <c r="I1675" t="str">
        <f>"10"</f>
        <v>10</v>
      </c>
      <c r="J1675" t="str">
        <f>"000"</f>
        <v>000</v>
      </c>
      <c r="K1675" t="str">
        <f>"התקנת מערכת כח בחול"</f>
        <v>התקנת מערכת כח בחול</v>
      </c>
      <c r="L1675">
        <v>1</v>
      </c>
      <c r="M1675" t="str">
        <f>"יח"</f>
        <v>יח</v>
      </c>
      <c r="N1675">
        <v>1</v>
      </c>
      <c r="O1675" t="str">
        <f>"יח"</f>
        <v>יח</v>
      </c>
      <c r="P1675" s="2">
        <v>20000</v>
      </c>
      <c r="Q1675" t="str">
        <f>"$"</f>
        <v>$</v>
      </c>
      <c r="R1675" t="str">
        <f>"הזמנה"</f>
        <v>הזמנה</v>
      </c>
      <c r="S1675">
        <v>0</v>
      </c>
      <c r="T1675" s="2">
        <v>20000</v>
      </c>
      <c r="U1675">
        <v>0</v>
      </c>
      <c r="V1675" s="2">
        <v>20000</v>
      </c>
      <c r="W1675" t="str">
        <f>"$"</f>
        <v>$</v>
      </c>
      <c r="X1675">
        <v>0</v>
      </c>
      <c r="Y1675">
        <v>0</v>
      </c>
      <c r="Z1675">
        <v>0</v>
      </c>
      <c r="AA1675" t="str">
        <f>"Y"</f>
        <v>Y</v>
      </c>
      <c r="AB1675" t="str">
        <f>"SO18000279"</f>
        <v>SO18000279</v>
      </c>
      <c r="AC1675">
        <v>6</v>
      </c>
      <c r="AD1675" s="1">
        <v>43226</v>
      </c>
      <c r="AM1675" t="str">
        <f>"10"</f>
        <v>10</v>
      </c>
      <c r="AN1675" t="str">
        <f>"500000"</f>
        <v>500000</v>
      </c>
      <c r="AO1675" t="str">
        <f>"הכנסות  מלקוחות"</f>
        <v>הכנסות  מלקוחות</v>
      </c>
      <c r="AQ1675" t="str">
        <f>"007"</f>
        <v>007</v>
      </c>
      <c r="AR1675">
        <v>0</v>
      </c>
      <c r="AS1675">
        <v>0</v>
      </c>
      <c r="AT1675">
        <v>3.2919999999999998</v>
      </c>
      <c r="AX1675" t="str">
        <f>"E000261104"</f>
        <v>E000261104</v>
      </c>
      <c r="BD1675" t="str">
        <f>"רוני דידי"</f>
        <v>רוני דידי</v>
      </c>
    </row>
    <row r="1676" spans="1:56" x14ac:dyDescent="0.3">
      <c r="A1676" s="1">
        <v>44677</v>
      </c>
      <c r="B1676" t="str">
        <f>"SI226000456"</f>
        <v>SI226000456</v>
      </c>
      <c r="C1676" t="str">
        <f>"PR22000210"</f>
        <v>PR22000210</v>
      </c>
      <c r="E1676" t="str">
        <f>"Y"</f>
        <v>Y</v>
      </c>
      <c r="F1676" t="str">
        <f>"חשבוניות מרכזות"</f>
        <v>חשבוניות מרכזות</v>
      </c>
      <c r="G1676" t="str">
        <f>"700065"</f>
        <v>700065</v>
      </c>
      <c r="H1676" t="str">
        <f>"אלתא מערכות בע""מ"</f>
        <v>אלתא מערכות בע"מ</v>
      </c>
      <c r="I1676" t="str">
        <f>"10"</f>
        <v>10</v>
      </c>
      <c r="J1676" t="str">
        <f>"OP-AR03030"</f>
        <v>OP-AR03030</v>
      </c>
      <c r="K1676" t="str">
        <f>"1040U430-001 CABLE ASSY WP305  - LRIR"</f>
        <v>1040U430-001 CABLE ASSY WP305  - LRIR</v>
      </c>
      <c r="L1676">
        <v>1</v>
      </c>
      <c r="M1676" t="str">
        <f>"יח"</f>
        <v>יח</v>
      </c>
      <c r="N1676">
        <v>1</v>
      </c>
      <c r="O1676" t="str">
        <f>"יח"</f>
        <v>יח</v>
      </c>
      <c r="P1676">
        <v>855</v>
      </c>
      <c r="Q1676" t="str">
        <f>"$"</f>
        <v>$</v>
      </c>
      <c r="R1676" t="str">
        <f>"הזמנה"</f>
        <v>הזמנה</v>
      </c>
      <c r="S1676">
        <v>0</v>
      </c>
      <c r="T1676">
        <v>855</v>
      </c>
      <c r="U1676">
        <v>0</v>
      </c>
      <c r="V1676">
        <v>855</v>
      </c>
      <c r="W1676" t="str">
        <f>"$"</f>
        <v>$</v>
      </c>
      <c r="X1676">
        <v>0</v>
      </c>
      <c r="Y1676">
        <v>0</v>
      </c>
      <c r="Z1676">
        <v>0</v>
      </c>
      <c r="AA1676" t="str">
        <f>"Y"</f>
        <v>Y</v>
      </c>
      <c r="AC1676">
        <v>0</v>
      </c>
      <c r="AM1676" t="str">
        <f>"10"</f>
        <v>10</v>
      </c>
      <c r="AN1676" t="str">
        <f>"500000"</f>
        <v>500000</v>
      </c>
      <c r="AO1676" t="str">
        <f>"הכנסות  מלקוחות"</f>
        <v>הכנסות  מלקוחות</v>
      </c>
      <c r="AQ1676" t="str">
        <f>"007"</f>
        <v>007</v>
      </c>
      <c r="AR1676">
        <v>0</v>
      </c>
      <c r="AS1676">
        <v>0</v>
      </c>
      <c r="AT1676">
        <v>3.3250000000000002</v>
      </c>
      <c r="BB1676" t="str">
        <f>"Y"</f>
        <v>Y</v>
      </c>
      <c r="BD1676" t="str">
        <f>"רוני דידי"</f>
        <v>רוני דידי</v>
      </c>
    </row>
    <row r="1677" spans="1:56" x14ac:dyDescent="0.3">
      <c r="A1677" s="1">
        <v>44677</v>
      </c>
      <c r="B1677" t="str">
        <f>"SI226000456"</f>
        <v>SI226000456</v>
      </c>
      <c r="C1677" t="str">
        <f>"PR22000210"</f>
        <v>PR22000210</v>
      </c>
      <c r="E1677" t="str">
        <f>"Y"</f>
        <v>Y</v>
      </c>
      <c r="F1677" t="str">
        <f>"חשבוניות מרכזות"</f>
        <v>חשבוניות מרכזות</v>
      </c>
      <c r="G1677" t="str">
        <f>"700065"</f>
        <v>700065</v>
      </c>
      <c r="H1677" t="str">
        <f>"אלתא מערכות בע""מ"</f>
        <v>אלתא מערכות בע"מ</v>
      </c>
      <c r="I1677" t="str">
        <f>"10"</f>
        <v>10</v>
      </c>
      <c r="J1677" t="str">
        <f>"OP-AR03031"</f>
        <v>OP-AR03031</v>
      </c>
      <c r="K1677" t="str">
        <f>"1040U431-001 CABLE ASSY WP306  - LRIR"</f>
        <v>1040U431-001 CABLE ASSY WP306  - LRIR</v>
      </c>
      <c r="L1677">
        <v>1</v>
      </c>
      <c r="M1677" t="str">
        <f>"יח"</f>
        <v>יח</v>
      </c>
      <c r="N1677">
        <v>1</v>
      </c>
      <c r="O1677" t="str">
        <f>"יח"</f>
        <v>יח</v>
      </c>
      <c r="P1677">
        <v>965</v>
      </c>
      <c r="Q1677" t="str">
        <f>"$"</f>
        <v>$</v>
      </c>
      <c r="R1677" t="str">
        <f>"הזמנה"</f>
        <v>הזמנה</v>
      </c>
      <c r="S1677">
        <v>0</v>
      </c>
      <c r="T1677">
        <v>965</v>
      </c>
      <c r="U1677">
        <v>0</v>
      </c>
      <c r="V1677">
        <v>965</v>
      </c>
      <c r="W1677" t="str">
        <f>"$"</f>
        <v>$</v>
      </c>
      <c r="X1677">
        <v>0</v>
      </c>
      <c r="Y1677">
        <v>0</v>
      </c>
      <c r="Z1677">
        <v>0</v>
      </c>
      <c r="AA1677" t="str">
        <f>"Y"</f>
        <v>Y</v>
      </c>
      <c r="AC1677">
        <v>0</v>
      </c>
      <c r="AM1677" t="str">
        <f>"10"</f>
        <v>10</v>
      </c>
      <c r="AN1677" t="str">
        <f>"500000"</f>
        <v>500000</v>
      </c>
      <c r="AO1677" t="str">
        <f>"הכנסות  מלקוחות"</f>
        <v>הכנסות  מלקוחות</v>
      </c>
      <c r="AQ1677" t="str">
        <f>"007"</f>
        <v>007</v>
      </c>
      <c r="AR1677">
        <v>0</v>
      </c>
      <c r="AS1677">
        <v>0</v>
      </c>
      <c r="AT1677">
        <v>3.3250000000000002</v>
      </c>
      <c r="BB1677" t="str">
        <f>"Y"</f>
        <v>Y</v>
      </c>
      <c r="BD1677" t="str">
        <f>"רוני דידי"</f>
        <v>רוני דידי</v>
      </c>
    </row>
    <row r="1678" spans="1:56" x14ac:dyDescent="0.3">
      <c r="A1678" s="1">
        <v>44677</v>
      </c>
      <c r="B1678" t="str">
        <f>"SI226000452"</f>
        <v>SI226000452</v>
      </c>
      <c r="C1678" t="str">
        <f>"PR22000163"</f>
        <v>PR22000163</v>
      </c>
      <c r="E1678" t="str">
        <f>"Y"</f>
        <v>Y</v>
      </c>
      <c r="F1678" t="str">
        <f>"חשבוניות מרכזות"</f>
        <v>חשבוניות מרכזות</v>
      </c>
      <c r="G1678" t="str">
        <f>"700065"</f>
        <v>700065</v>
      </c>
      <c r="H1678" t="str">
        <f>"אלתא מערכות בע""מ"</f>
        <v>אלתא מערכות בע"מ</v>
      </c>
      <c r="I1678" t="str">
        <f>"11"</f>
        <v>11</v>
      </c>
      <c r="J1678" t="str">
        <f>"OP-KT00127"</f>
        <v>OP-KT00127</v>
      </c>
      <c r="K1678" t="str">
        <f>"מצברים ח""ח למערכת MADR"</f>
        <v>מצברים ח"ח למערכת MADR</v>
      </c>
      <c r="L1678">
        <v>1</v>
      </c>
      <c r="M1678" t="str">
        <f>"יח"</f>
        <v>יח</v>
      </c>
      <c r="N1678">
        <v>1</v>
      </c>
      <c r="O1678" t="str">
        <f>"יח"</f>
        <v>יח</v>
      </c>
      <c r="P1678" s="2">
        <v>2355</v>
      </c>
      <c r="Q1678" t="str">
        <f>"$"</f>
        <v>$</v>
      </c>
      <c r="R1678" t="str">
        <f>"הזמנה"</f>
        <v>הזמנה</v>
      </c>
      <c r="S1678">
        <v>0</v>
      </c>
      <c r="T1678" s="2">
        <v>2355</v>
      </c>
      <c r="U1678">
        <v>0</v>
      </c>
      <c r="V1678" s="2">
        <v>2355</v>
      </c>
      <c r="W1678" t="str">
        <f>"$"</f>
        <v>$</v>
      </c>
      <c r="X1678">
        <v>0</v>
      </c>
      <c r="Y1678">
        <v>0</v>
      </c>
      <c r="Z1678">
        <v>0</v>
      </c>
      <c r="AA1678" t="str">
        <f>"Y"</f>
        <v>Y</v>
      </c>
      <c r="AC1678">
        <v>0</v>
      </c>
      <c r="AM1678" t="str">
        <f>"10"</f>
        <v>10</v>
      </c>
      <c r="AN1678" t="str">
        <f>"500000"</f>
        <v>500000</v>
      </c>
      <c r="AO1678" t="str">
        <f>"הכנסות  מלקוחות"</f>
        <v>הכנסות  מלקוחות</v>
      </c>
      <c r="AQ1678" t="str">
        <f>"034"</f>
        <v>034</v>
      </c>
      <c r="AR1678">
        <v>0</v>
      </c>
      <c r="AS1678">
        <v>0</v>
      </c>
      <c r="AT1678">
        <v>3.3250000000000002</v>
      </c>
      <c r="BB1678" t="str">
        <f>"Y"</f>
        <v>Y</v>
      </c>
      <c r="BD1678" t="str">
        <f>"ערן שלו"</f>
        <v>ערן שלו</v>
      </c>
    </row>
    <row r="1679" spans="1:56" x14ac:dyDescent="0.3">
      <c r="A1679" s="1">
        <v>44677</v>
      </c>
      <c r="B1679" t="str">
        <f>"SI226000446"</f>
        <v>SI226000446</v>
      </c>
      <c r="E1679" t="str">
        <f>"Y"</f>
        <v>Y</v>
      </c>
      <c r="F1679" t="str">
        <f>"חשבוניות מרכזות"</f>
        <v>חשבוניות מרכזות</v>
      </c>
      <c r="G1679" t="str">
        <f>"700065"</f>
        <v>700065</v>
      </c>
      <c r="H1679" t="str">
        <f>"אלתא מערכות בע""מ"</f>
        <v>אלתא מערכות בע"מ</v>
      </c>
      <c r="I1679" t="str">
        <f>"10"</f>
        <v>10</v>
      </c>
      <c r="J1679" t="str">
        <f>"000"</f>
        <v>000</v>
      </c>
      <c r="K1679" t="str">
        <f>"התקנת מערכת כח בחול"</f>
        <v>התקנת מערכת כח בחול</v>
      </c>
      <c r="L1679">
        <v>-1</v>
      </c>
      <c r="M1679" t="str">
        <f>"יח"</f>
        <v>יח</v>
      </c>
      <c r="N1679">
        <v>-1</v>
      </c>
      <c r="O1679" t="str">
        <f>"יח"</f>
        <v>יח</v>
      </c>
      <c r="P1679" s="2">
        <v>20000</v>
      </c>
      <c r="Q1679" t="str">
        <f>"$"</f>
        <v>$</v>
      </c>
      <c r="R1679" t="str">
        <f>"הזמנה"</f>
        <v>הזמנה</v>
      </c>
      <c r="S1679">
        <v>0</v>
      </c>
      <c r="T1679" s="2">
        <v>-20000</v>
      </c>
      <c r="U1679">
        <v>0</v>
      </c>
      <c r="V1679" s="2">
        <v>-20000</v>
      </c>
      <c r="W1679" t="str">
        <f>"$"</f>
        <v>$</v>
      </c>
      <c r="X1679">
        <v>0</v>
      </c>
      <c r="Y1679">
        <v>0</v>
      </c>
      <c r="Z1679">
        <v>0</v>
      </c>
      <c r="AA1679" t="str">
        <f>"Y"</f>
        <v>Y</v>
      </c>
      <c r="AC1679">
        <v>0</v>
      </c>
      <c r="AM1679" t="str">
        <f>"10"</f>
        <v>10</v>
      </c>
      <c r="AN1679" t="str">
        <f>"500000"</f>
        <v>500000</v>
      </c>
      <c r="AO1679" t="str">
        <f>"הכנסות  מלקוחות"</f>
        <v>הכנסות  מלקוחות</v>
      </c>
      <c r="AQ1679" t="str">
        <f>"007"</f>
        <v>007</v>
      </c>
      <c r="AR1679">
        <v>0</v>
      </c>
      <c r="AS1679">
        <v>0</v>
      </c>
      <c r="AT1679">
        <v>3.2170000000000001</v>
      </c>
      <c r="BB1679" t="str">
        <f>"Y"</f>
        <v>Y</v>
      </c>
      <c r="BD1679" t="str">
        <f>"רוני דידי"</f>
        <v>רוני דידי</v>
      </c>
    </row>
    <row r="1680" spans="1:56" x14ac:dyDescent="0.3">
      <c r="A1680" s="1">
        <v>44677</v>
      </c>
      <c r="B1680" t="str">
        <f>"SI226000429"</f>
        <v>SI226000429</v>
      </c>
      <c r="E1680" t="str">
        <f>"Y"</f>
        <v>Y</v>
      </c>
      <c r="F1680" t="str">
        <f>"חשבוניות מרכזות"</f>
        <v>חשבוניות מרכזות</v>
      </c>
      <c r="G1680" t="str">
        <f>"700065"</f>
        <v>700065</v>
      </c>
      <c r="H1680" t="str">
        <f>"אלתא מערכות בע""מ"</f>
        <v>אלתא מערכות בע"מ</v>
      </c>
      <c r="I1680" t="str">
        <f>"10"</f>
        <v>10</v>
      </c>
      <c r="J1680" t="str">
        <f>"000"</f>
        <v>000</v>
      </c>
      <c r="K1680" t="str">
        <f>"התקנת מערכת כח בחול"</f>
        <v>התקנת מערכת כח בחול</v>
      </c>
      <c r="L1680">
        <v>1</v>
      </c>
      <c r="M1680" t="str">
        <f>"יח"</f>
        <v>יח</v>
      </c>
      <c r="N1680">
        <v>1</v>
      </c>
      <c r="O1680" t="str">
        <f>"יח"</f>
        <v>יח</v>
      </c>
      <c r="P1680" s="2">
        <v>20000</v>
      </c>
      <c r="Q1680" t="str">
        <f>"$"</f>
        <v>$</v>
      </c>
      <c r="R1680" t="str">
        <f>"הזמנה"</f>
        <v>הזמנה</v>
      </c>
      <c r="S1680">
        <v>0</v>
      </c>
      <c r="T1680" s="2">
        <v>20000</v>
      </c>
      <c r="U1680">
        <v>0</v>
      </c>
      <c r="V1680" s="2">
        <v>20000</v>
      </c>
      <c r="W1680" t="str">
        <f>"$"</f>
        <v>$</v>
      </c>
      <c r="X1680">
        <v>0</v>
      </c>
      <c r="Y1680">
        <v>0</v>
      </c>
      <c r="Z1680">
        <v>0</v>
      </c>
      <c r="AA1680" t="str">
        <f>"Y"</f>
        <v>Y</v>
      </c>
      <c r="AC1680">
        <v>0</v>
      </c>
      <c r="AM1680" t="str">
        <f>"10"</f>
        <v>10</v>
      </c>
      <c r="AN1680" t="str">
        <f>"500000"</f>
        <v>500000</v>
      </c>
      <c r="AO1680" t="str">
        <f>"הכנסות  מלקוחות"</f>
        <v>הכנסות  מלקוחות</v>
      </c>
      <c r="AQ1680" t="str">
        <f>"007"</f>
        <v>007</v>
      </c>
      <c r="AR1680">
        <v>0</v>
      </c>
      <c r="AS1680">
        <v>0</v>
      </c>
      <c r="AT1680">
        <v>3.2170000000000001</v>
      </c>
      <c r="BB1680" t="str">
        <f>"Y"</f>
        <v>Y</v>
      </c>
      <c r="BD1680" t="str">
        <f>"רוני דידי"</f>
        <v>רוני דידי</v>
      </c>
    </row>
    <row r="1681" spans="1:56" x14ac:dyDescent="0.3">
      <c r="A1681" s="1">
        <v>44676</v>
      </c>
      <c r="B1681" t="str">
        <f>"SI226000421"</f>
        <v>SI226000421</v>
      </c>
      <c r="E1681" t="str">
        <f>"Y"</f>
        <v>Y</v>
      </c>
      <c r="F1681" t="str">
        <f>"חשבוניות מרכזות"</f>
        <v>חשבוניות מרכזות</v>
      </c>
      <c r="G1681" t="str">
        <f>"700065"</f>
        <v>700065</v>
      </c>
      <c r="H1681" t="str">
        <f>"אלתא מערכות בע""מ"</f>
        <v>אלתא מערכות בע"מ</v>
      </c>
      <c r="I1681" t="str">
        <f>"10"</f>
        <v>10</v>
      </c>
      <c r="J1681" t="str">
        <f>"OP-AR09105-1"</f>
        <v>OP-AR09105-1</v>
      </c>
      <c r="K1681" t="str">
        <f>"לוח ARMY מק""ט לקוח 1036V310-001"</f>
        <v>לוח ARMY מק"ט לקוח 1036V310-001</v>
      </c>
      <c r="L1681">
        <v>1</v>
      </c>
      <c r="M1681" t="str">
        <f>"יח"</f>
        <v>יח</v>
      </c>
      <c r="N1681">
        <v>1</v>
      </c>
      <c r="O1681" t="str">
        <f>"יח"</f>
        <v>יח</v>
      </c>
      <c r="P1681" s="2">
        <v>38749</v>
      </c>
      <c r="Q1681" t="str">
        <f>"$"</f>
        <v>$</v>
      </c>
      <c r="R1681" t="str">
        <f>"הזמנה"</f>
        <v>הזמנה</v>
      </c>
      <c r="S1681">
        <v>0</v>
      </c>
      <c r="T1681" s="2">
        <v>38749</v>
      </c>
      <c r="U1681">
        <v>0</v>
      </c>
      <c r="V1681" s="2">
        <v>38749</v>
      </c>
      <c r="W1681" t="str">
        <f>"$"</f>
        <v>$</v>
      </c>
      <c r="X1681">
        <v>0</v>
      </c>
      <c r="Y1681">
        <v>0</v>
      </c>
      <c r="Z1681">
        <v>0</v>
      </c>
      <c r="AA1681" t="str">
        <f>"Y"</f>
        <v>Y</v>
      </c>
      <c r="AB1681" t="str">
        <f>"SO20000381"</f>
        <v>SO20000381</v>
      </c>
      <c r="AC1681">
        <v>10</v>
      </c>
      <c r="AD1681" s="1">
        <v>44073</v>
      </c>
      <c r="AE1681" t="str">
        <f>"SH22001053"</f>
        <v>SH22001053</v>
      </c>
      <c r="AF1681" t="str">
        <f>"משלוחים ללקוח"</f>
        <v>משלוחים ללקוח</v>
      </c>
      <c r="AG1681" s="1">
        <v>44803</v>
      </c>
      <c r="AM1681" t="str">
        <f>"10"</f>
        <v>10</v>
      </c>
      <c r="AN1681" t="str">
        <f>"500000"</f>
        <v>500000</v>
      </c>
      <c r="AO1681" t="str">
        <f>"הכנסות  מלקוחות"</f>
        <v>הכנסות  מלקוחות</v>
      </c>
      <c r="AQ1681" t="str">
        <f>"034"</f>
        <v>034</v>
      </c>
      <c r="AR1681">
        <v>0</v>
      </c>
      <c r="AS1681">
        <v>0</v>
      </c>
      <c r="AT1681">
        <v>3.2170000000000001</v>
      </c>
      <c r="AX1681" t="str">
        <f>"E000319715"</f>
        <v>E000319715</v>
      </c>
      <c r="BD1681" t="str">
        <f>"ערן שלו"</f>
        <v>ערן שלו</v>
      </c>
    </row>
    <row r="1682" spans="1:56" x14ac:dyDescent="0.3">
      <c r="A1682" s="1">
        <v>44676</v>
      </c>
      <c r="B1682" t="str">
        <f>"SI226000420"</f>
        <v>SI226000420</v>
      </c>
      <c r="E1682" t="str">
        <f>"Y"</f>
        <v>Y</v>
      </c>
      <c r="F1682" t="str">
        <f>"חשבוניות מרכזות"</f>
        <v>חשבוניות מרכזות</v>
      </c>
      <c r="G1682" t="str">
        <f>"700065"</f>
        <v>700065</v>
      </c>
      <c r="H1682" t="str">
        <f>"אלתא מערכות בע""מ"</f>
        <v>אלתא מערכות בע"מ</v>
      </c>
      <c r="I1682" t="str">
        <f>"05"</f>
        <v>05</v>
      </c>
      <c r="J1682" t="str">
        <f>"OP-PD02881"</f>
        <v>OP-PD02881</v>
      </c>
      <c r="K1682" t="str">
        <f>"POWER DISTRIBUTION BOARD 09-SOCD"</f>
        <v>POWER DISTRIBUTION BOARD 09-SOCD</v>
      </c>
      <c r="L1682">
        <v>1</v>
      </c>
      <c r="M1682" t="str">
        <f>"יח"</f>
        <v>יח</v>
      </c>
      <c r="N1682">
        <v>1</v>
      </c>
      <c r="O1682" t="str">
        <f>"יח"</f>
        <v>יח</v>
      </c>
      <c r="P1682" s="2">
        <v>39999.300000000003</v>
      </c>
      <c r="Q1682" t="str">
        <f>"$"</f>
        <v>$</v>
      </c>
      <c r="R1682" t="str">
        <f>"הזמנה"</f>
        <v>הזמנה</v>
      </c>
      <c r="S1682">
        <v>0</v>
      </c>
      <c r="T1682" s="2">
        <v>39999.300000000003</v>
      </c>
      <c r="U1682">
        <v>0</v>
      </c>
      <c r="V1682" s="2">
        <v>39999.300000000003</v>
      </c>
      <c r="W1682" t="str">
        <f>"$"</f>
        <v>$</v>
      </c>
      <c r="X1682">
        <v>0</v>
      </c>
      <c r="Y1682">
        <v>0</v>
      </c>
      <c r="Z1682">
        <v>0</v>
      </c>
      <c r="AA1682" t="str">
        <f>"Y"</f>
        <v>Y</v>
      </c>
      <c r="AC1682">
        <v>0</v>
      </c>
      <c r="AM1682" t="str">
        <f>"10"</f>
        <v>10</v>
      </c>
      <c r="AN1682" t="str">
        <f>"500000"</f>
        <v>500000</v>
      </c>
      <c r="AO1682" t="str">
        <f>"הכנסות  מלקוחות"</f>
        <v>הכנסות  מלקוחות</v>
      </c>
      <c r="AQ1682" t="str">
        <f>"034"</f>
        <v>034</v>
      </c>
      <c r="AR1682">
        <v>0</v>
      </c>
      <c r="AS1682">
        <v>0</v>
      </c>
      <c r="AT1682">
        <v>3.2170000000000001</v>
      </c>
      <c r="BB1682" t="str">
        <f>"Y"</f>
        <v>Y</v>
      </c>
      <c r="BD1682" t="str">
        <f>"ערן שלו"</f>
        <v>ערן שלו</v>
      </c>
    </row>
    <row r="1683" spans="1:56" x14ac:dyDescent="0.3">
      <c r="A1683" s="1">
        <v>44676</v>
      </c>
      <c r="B1683" t="str">
        <f>"SI226000420"</f>
        <v>SI226000420</v>
      </c>
      <c r="E1683" t="str">
        <f>"Y"</f>
        <v>Y</v>
      </c>
      <c r="F1683" t="str">
        <f>"חשבוניות מרכזות"</f>
        <v>חשבוניות מרכזות</v>
      </c>
      <c r="G1683" t="str">
        <f>"700065"</f>
        <v>700065</v>
      </c>
      <c r="H1683" t="str">
        <f>"אלתא מערכות בע""מ"</f>
        <v>אלתא מערכות בע"מ</v>
      </c>
      <c r="I1683" t="str">
        <f>"05"</f>
        <v>05</v>
      </c>
      <c r="J1683" t="str">
        <f>"OP-PD02880"</f>
        <v>OP-PD02880</v>
      </c>
      <c r="K1683" t="str">
        <f>"POWER DISTRIBUTION BOARD 06/07-SOCD"</f>
        <v>POWER DISTRIBUTION BOARD 06/07-SOCD</v>
      </c>
      <c r="L1683">
        <v>2</v>
      </c>
      <c r="M1683" t="str">
        <f>"יח"</f>
        <v>יח</v>
      </c>
      <c r="N1683">
        <v>2</v>
      </c>
      <c r="O1683" t="str">
        <f>"יח"</f>
        <v>יח</v>
      </c>
      <c r="P1683" s="2">
        <v>47244</v>
      </c>
      <c r="Q1683" t="str">
        <f>"$"</f>
        <v>$</v>
      </c>
      <c r="R1683" t="str">
        <f>"הזמנה"</f>
        <v>הזמנה</v>
      </c>
      <c r="S1683">
        <v>0</v>
      </c>
      <c r="T1683" s="2">
        <v>94488</v>
      </c>
      <c r="U1683">
        <v>0</v>
      </c>
      <c r="V1683" s="2">
        <v>94488</v>
      </c>
      <c r="W1683" t="str">
        <f>"$"</f>
        <v>$</v>
      </c>
      <c r="X1683">
        <v>0</v>
      </c>
      <c r="Y1683">
        <v>0</v>
      </c>
      <c r="Z1683">
        <v>0</v>
      </c>
      <c r="AA1683" t="str">
        <f>"Y"</f>
        <v>Y</v>
      </c>
      <c r="AC1683">
        <v>0</v>
      </c>
      <c r="AM1683" t="str">
        <f>"10"</f>
        <v>10</v>
      </c>
      <c r="AN1683" t="str">
        <f>"500000"</f>
        <v>500000</v>
      </c>
      <c r="AO1683" t="str">
        <f>"הכנסות  מלקוחות"</f>
        <v>הכנסות  מלקוחות</v>
      </c>
      <c r="AQ1683" t="str">
        <f>"034"</f>
        <v>034</v>
      </c>
      <c r="AR1683">
        <v>0</v>
      </c>
      <c r="AS1683">
        <v>0</v>
      </c>
      <c r="AT1683">
        <v>3.2170000000000001</v>
      </c>
      <c r="BB1683" t="str">
        <f>"Y"</f>
        <v>Y</v>
      </c>
      <c r="BD1683" t="str">
        <f>"ערן שלו"</f>
        <v>ערן שלו</v>
      </c>
    </row>
    <row r="1684" spans="1:56" x14ac:dyDescent="0.3">
      <c r="A1684" s="1">
        <v>44676</v>
      </c>
      <c r="B1684" t="str">
        <f>"SI226000419"</f>
        <v>SI226000419</v>
      </c>
      <c r="E1684" t="str">
        <f>"Y"</f>
        <v>Y</v>
      </c>
      <c r="F1684" t="str">
        <f>"חשבוניות מרכזות"</f>
        <v>חשבוניות מרכזות</v>
      </c>
      <c r="G1684" t="str">
        <f>"700065"</f>
        <v>700065</v>
      </c>
      <c r="H1684" t="str">
        <f>"אלתא מערכות בע""מ"</f>
        <v>אלתא מערכות בע"מ</v>
      </c>
      <c r="I1684" t="str">
        <f>"10"</f>
        <v>10</v>
      </c>
      <c r="J1684" t="str">
        <f>"OP-AR09107-1"</f>
        <v>OP-AR09107-1</v>
      </c>
      <c r="K1684" t="str">
        <f>"לוח AUX BOX מק""ט לקוח 1036V320 001"</f>
        <v>לוח AUX BOX מק"ט לקוח 1036V320 001</v>
      </c>
      <c r="L1684">
        <v>1</v>
      </c>
      <c r="M1684" t="str">
        <f>"יח"</f>
        <v>יח</v>
      </c>
      <c r="N1684">
        <v>1</v>
      </c>
      <c r="O1684" t="str">
        <f>"יח"</f>
        <v>יח</v>
      </c>
      <c r="P1684" s="2">
        <v>26958</v>
      </c>
      <c r="Q1684" t="str">
        <f>"$"</f>
        <v>$</v>
      </c>
      <c r="R1684" t="str">
        <f>"הזמנה"</f>
        <v>הזמנה</v>
      </c>
      <c r="S1684">
        <v>0</v>
      </c>
      <c r="T1684" s="2">
        <v>26958</v>
      </c>
      <c r="U1684">
        <v>0</v>
      </c>
      <c r="V1684" s="2">
        <v>26958</v>
      </c>
      <c r="W1684" t="str">
        <f>"$"</f>
        <v>$</v>
      </c>
      <c r="X1684">
        <v>0</v>
      </c>
      <c r="Y1684">
        <v>0</v>
      </c>
      <c r="Z1684">
        <v>0</v>
      </c>
      <c r="AA1684" t="str">
        <f>"Y"</f>
        <v>Y</v>
      </c>
      <c r="AB1684" t="str">
        <f>"SO20000381"</f>
        <v>SO20000381</v>
      </c>
      <c r="AC1684">
        <v>22</v>
      </c>
      <c r="AD1684" s="1">
        <v>44073</v>
      </c>
      <c r="AE1684" t="str">
        <f>"SH22000629"</f>
        <v>SH22000629</v>
      </c>
      <c r="AF1684" t="str">
        <f>"משלוחים ללקוח"</f>
        <v>משלוחים ללקוח</v>
      </c>
      <c r="AG1684" s="1">
        <v>44712</v>
      </c>
      <c r="AM1684" t="str">
        <f>"10"</f>
        <v>10</v>
      </c>
      <c r="AN1684" t="str">
        <f>"500000"</f>
        <v>500000</v>
      </c>
      <c r="AO1684" t="str">
        <f>"הכנסות  מלקוחות"</f>
        <v>הכנסות  מלקוחות</v>
      </c>
      <c r="AQ1684" t="str">
        <f>"034"</f>
        <v>034</v>
      </c>
      <c r="AR1684">
        <v>0</v>
      </c>
      <c r="AS1684">
        <v>0</v>
      </c>
      <c r="AT1684">
        <v>3.2170000000000001</v>
      </c>
      <c r="AX1684" t="str">
        <f>"E000319715"</f>
        <v>E000319715</v>
      </c>
      <c r="BD1684" t="str">
        <f>"ערן שלו"</f>
        <v>ערן שלו</v>
      </c>
    </row>
    <row r="1685" spans="1:56" x14ac:dyDescent="0.3">
      <c r="A1685" s="1">
        <v>44665</v>
      </c>
      <c r="B1685" t="str">
        <f>"SI226000433"</f>
        <v>SI226000433</v>
      </c>
      <c r="C1685" t="str">
        <f>"PR21000891"</f>
        <v>PR21000891</v>
      </c>
      <c r="D1685" t="str">
        <f>"PR21000891"</f>
        <v>PR21000891</v>
      </c>
      <c r="E1685" t="str">
        <f>"Y"</f>
        <v>Y</v>
      </c>
      <c r="F1685" t="str">
        <f>"חשבוניות מרכזות"</f>
        <v>חשבוניות מרכזות</v>
      </c>
      <c r="G1685" t="str">
        <f>"700065"</f>
        <v>700065</v>
      </c>
      <c r="H1685" t="str">
        <f>"אלתא מערכות בע""מ"</f>
        <v>אלתא מערכות בע"מ</v>
      </c>
      <c r="I1685" t="str">
        <f>"10"</f>
        <v>10</v>
      </c>
      <c r="J1685" t="str">
        <f>"OP-AR02896"</f>
        <v>OP-AR02896</v>
      </c>
      <c r="K1685" t="str">
        <f>"2076B580-001    MW009 CABLE ASSY"</f>
        <v>2076B580-001    MW009 CABLE ASSY</v>
      </c>
      <c r="L1685">
        <v>1</v>
      </c>
      <c r="M1685" t="str">
        <f>"יח"</f>
        <v>יח</v>
      </c>
      <c r="N1685">
        <v>1</v>
      </c>
      <c r="O1685" t="str">
        <f>"יח"</f>
        <v>יח</v>
      </c>
      <c r="P1685">
        <v>828.22</v>
      </c>
      <c r="Q1685" t="str">
        <f>"$"</f>
        <v>$</v>
      </c>
      <c r="R1685" t="str">
        <f>"הזמנה"</f>
        <v>הזמנה</v>
      </c>
      <c r="S1685">
        <v>0</v>
      </c>
      <c r="T1685">
        <v>828.22</v>
      </c>
      <c r="U1685">
        <v>0</v>
      </c>
      <c r="V1685">
        <v>828.22</v>
      </c>
      <c r="W1685" t="str">
        <f>"$"</f>
        <v>$</v>
      </c>
      <c r="X1685">
        <v>0</v>
      </c>
      <c r="Y1685">
        <v>0</v>
      </c>
      <c r="Z1685">
        <v>0</v>
      </c>
      <c r="AA1685" t="str">
        <f>"Y"</f>
        <v>Y</v>
      </c>
      <c r="AB1685" t="str">
        <f>"SO22000006"</f>
        <v>SO22000006</v>
      </c>
      <c r="AC1685">
        <v>5</v>
      </c>
      <c r="AD1685" s="1">
        <v>44565</v>
      </c>
      <c r="AE1685" t="str">
        <f>"SH22000421"</f>
        <v>SH22000421</v>
      </c>
      <c r="AF1685" t="str">
        <f>"משלוחים ללקוח"</f>
        <v>משלוחים ללקוח</v>
      </c>
      <c r="AG1685" s="1">
        <v>44664</v>
      </c>
      <c r="AM1685" t="str">
        <f>"10"</f>
        <v>10</v>
      </c>
      <c r="AN1685" t="str">
        <f>"500000"</f>
        <v>500000</v>
      </c>
      <c r="AO1685" t="str">
        <f>"הכנסות  מלקוחות"</f>
        <v>הכנסות  מלקוחות</v>
      </c>
      <c r="AQ1685" t="str">
        <f>"040"</f>
        <v>040</v>
      </c>
      <c r="AR1685">
        <v>0</v>
      </c>
      <c r="AS1685">
        <v>0</v>
      </c>
      <c r="AT1685">
        <v>3.2069999999999999</v>
      </c>
      <c r="AX1685" t="str">
        <f>"E000352407"</f>
        <v>E000352407</v>
      </c>
      <c r="BD1685" t="str">
        <f>"רחמים זרוק"</f>
        <v>רחמים זרוק</v>
      </c>
    </row>
    <row r="1686" spans="1:56" x14ac:dyDescent="0.3">
      <c r="A1686" s="1">
        <v>44665</v>
      </c>
      <c r="B1686" t="str">
        <f>"SI226000432"</f>
        <v>SI226000432</v>
      </c>
      <c r="C1686" t="str">
        <f>"PR21000890"</f>
        <v>PR21000890</v>
      </c>
      <c r="D1686" t="str">
        <f>"PR21000890"</f>
        <v>PR21000890</v>
      </c>
      <c r="E1686" t="str">
        <f>"Y"</f>
        <v>Y</v>
      </c>
      <c r="F1686" t="str">
        <f>"חשבוניות מרכזות"</f>
        <v>חשבוניות מרכזות</v>
      </c>
      <c r="G1686" t="str">
        <f>"700065"</f>
        <v>700065</v>
      </c>
      <c r="H1686" t="str">
        <f>"אלתא מערכות בע""מ"</f>
        <v>אלתא מערכות בע"מ</v>
      </c>
      <c r="I1686" t="str">
        <f>"10"</f>
        <v>10</v>
      </c>
      <c r="J1686" t="str">
        <f>"OP-AR02883"</f>
        <v>OP-AR02883</v>
      </c>
      <c r="K1686" t="str">
        <f>"1023B436-001   WSA109 CABLE ASSY"</f>
        <v>1023B436-001   WSA109 CABLE ASSY</v>
      </c>
      <c r="L1686">
        <v>2</v>
      </c>
      <c r="M1686" t="str">
        <f>"יח"</f>
        <v>יח</v>
      </c>
      <c r="N1686">
        <v>2</v>
      </c>
      <c r="O1686" t="str">
        <f>"יח"</f>
        <v>יח</v>
      </c>
      <c r="P1686">
        <v>362.75</v>
      </c>
      <c r="Q1686" t="str">
        <f>"$"</f>
        <v>$</v>
      </c>
      <c r="R1686" t="str">
        <f>"הזמנה"</f>
        <v>הזמנה</v>
      </c>
      <c r="S1686">
        <v>0</v>
      </c>
      <c r="T1686">
        <v>725.5</v>
      </c>
      <c r="U1686">
        <v>0</v>
      </c>
      <c r="V1686">
        <v>725.5</v>
      </c>
      <c r="W1686" t="str">
        <f>"$"</f>
        <v>$</v>
      </c>
      <c r="X1686">
        <v>0</v>
      </c>
      <c r="Y1686">
        <v>0</v>
      </c>
      <c r="Z1686">
        <v>0</v>
      </c>
      <c r="AA1686" t="str">
        <f>"Y"</f>
        <v>Y</v>
      </c>
      <c r="AB1686" t="str">
        <f>"SO22000004"</f>
        <v>SO22000004</v>
      </c>
      <c r="AC1686">
        <v>8</v>
      </c>
      <c r="AD1686" s="1">
        <v>44564</v>
      </c>
      <c r="AE1686" t="str">
        <f>"SH22000422"</f>
        <v>SH22000422</v>
      </c>
      <c r="AF1686" t="str">
        <f>"משלוחים ללקוח"</f>
        <v>משלוחים ללקוח</v>
      </c>
      <c r="AG1686" s="1">
        <v>44664</v>
      </c>
      <c r="AM1686" t="str">
        <f>"10"</f>
        <v>10</v>
      </c>
      <c r="AN1686" t="str">
        <f>"500000"</f>
        <v>500000</v>
      </c>
      <c r="AO1686" t="str">
        <f>"הכנסות  מלקוחות"</f>
        <v>הכנסות  מלקוחות</v>
      </c>
      <c r="AQ1686" t="str">
        <f>"040"</f>
        <v>040</v>
      </c>
      <c r="AR1686">
        <v>0</v>
      </c>
      <c r="AS1686">
        <v>0</v>
      </c>
      <c r="AT1686">
        <v>3.2069999999999999</v>
      </c>
      <c r="AX1686" t="str">
        <f>"E000350605"</f>
        <v>E000350605</v>
      </c>
      <c r="BD1686" t="str">
        <f>"רחמים זרוק"</f>
        <v>רחמים זרוק</v>
      </c>
    </row>
    <row r="1687" spans="1:56" x14ac:dyDescent="0.3">
      <c r="A1687" s="1">
        <v>44665</v>
      </c>
      <c r="B1687" t="str">
        <f>"SI226000431"</f>
        <v>SI226000431</v>
      </c>
      <c r="C1687" t="str">
        <f>"PR22000010"</f>
        <v>PR22000010</v>
      </c>
      <c r="E1687" t="str">
        <f>"Y"</f>
        <v>Y</v>
      </c>
      <c r="F1687" t="str">
        <f>"חשבוניות מרכזות"</f>
        <v>חשבוניות מרכזות</v>
      </c>
      <c r="G1687" t="str">
        <f>"700065"</f>
        <v>700065</v>
      </c>
      <c r="H1687" t="str">
        <f>"אלתא מערכות בע""מ"</f>
        <v>אלתא מערכות בע"מ</v>
      </c>
      <c r="I1687" t="str">
        <f>"10"</f>
        <v>10</v>
      </c>
      <c r="J1687" t="str">
        <f>"OP-AR02910"</f>
        <v>OP-AR02910</v>
      </c>
      <c r="K1687" t="str">
        <f>"1037N618-001    BFU MB1 LOOPBACK PLUG"</f>
        <v>1037N618-001    BFU MB1 LOOPBACK PLUG</v>
      </c>
      <c r="L1687">
        <v>2</v>
      </c>
      <c r="M1687" t="str">
        <f>"יח"</f>
        <v>יח</v>
      </c>
      <c r="N1687">
        <v>2</v>
      </c>
      <c r="O1687" t="str">
        <f>"יח"</f>
        <v>יח</v>
      </c>
      <c r="P1687">
        <v>176.3</v>
      </c>
      <c r="Q1687" t="str">
        <f>"$"</f>
        <v>$</v>
      </c>
      <c r="R1687" t="str">
        <f>"הזמנה"</f>
        <v>הזמנה</v>
      </c>
      <c r="S1687">
        <v>0</v>
      </c>
      <c r="T1687">
        <v>352.6</v>
      </c>
      <c r="U1687">
        <v>0</v>
      </c>
      <c r="V1687">
        <v>352.6</v>
      </c>
      <c r="W1687" t="str">
        <f>"$"</f>
        <v>$</v>
      </c>
      <c r="X1687">
        <v>0</v>
      </c>
      <c r="Y1687">
        <v>0</v>
      </c>
      <c r="Z1687">
        <v>0</v>
      </c>
      <c r="AA1687" t="str">
        <f>"Y"</f>
        <v>Y</v>
      </c>
      <c r="AB1687" t="str">
        <f>"SO22000007"</f>
        <v>SO22000007</v>
      </c>
      <c r="AC1687">
        <v>11</v>
      </c>
      <c r="AD1687" s="1">
        <v>44565</v>
      </c>
      <c r="AE1687" t="str">
        <f>"SH22000420"</f>
        <v>SH22000420</v>
      </c>
      <c r="AF1687" t="str">
        <f>"משלוחים ללקוח"</f>
        <v>משלוחים ללקוח</v>
      </c>
      <c r="AG1687" s="1">
        <v>44664</v>
      </c>
      <c r="AM1687" t="str">
        <f>"10"</f>
        <v>10</v>
      </c>
      <c r="AN1687" t="str">
        <f>"500000"</f>
        <v>500000</v>
      </c>
      <c r="AO1687" t="str">
        <f>"הכנסות  מלקוחות"</f>
        <v>הכנסות  מלקוחות</v>
      </c>
      <c r="AQ1687" t="str">
        <f>"040"</f>
        <v>040</v>
      </c>
      <c r="AR1687">
        <v>0</v>
      </c>
      <c r="AS1687">
        <v>0</v>
      </c>
      <c r="AT1687">
        <v>3.2069999999999999</v>
      </c>
      <c r="AX1687" t="str">
        <f>"E000353717"</f>
        <v>E000353717</v>
      </c>
      <c r="BD1687" t="str">
        <f>"רחמים זרוק"</f>
        <v>רחמים זרוק</v>
      </c>
    </row>
    <row r="1688" spans="1:56" x14ac:dyDescent="0.3">
      <c r="A1688" s="1">
        <v>44665</v>
      </c>
      <c r="B1688" t="str">
        <f>"SI226000431"</f>
        <v>SI226000431</v>
      </c>
      <c r="C1688" t="str">
        <f>"PR22000010"</f>
        <v>PR22000010</v>
      </c>
      <c r="E1688" t="str">
        <f>"Y"</f>
        <v>Y</v>
      </c>
      <c r="F1688" t="str">
        <f>"חשבוניות מרכזות"</f>
        <v>חשבוניות מרכזות</v>
      </c>
      <c r="G1688" t="str">
        <f>"700065"</f>
        <v>700065</v>
      </c>
      <c r="H1688" t="str">
        <f>"אלתא מערכות בע""מ"</f>
        <v>אלתא מערכות בע"מ</v>
      </c>
      <c r="I1688" t="str">
        <f>"10"</f>
        <v>10</v>
      </c>
      <c r="J1688" t="str">
        <f>"OP-AR02911"</f>
        <v>OP-AR02911</v>
      </c>
      <c r="K1688" t="str">
        <f>"1037N619-001    BFU MB2 LOOPBACK PLUG"</f>
        <v>1037N619-001    BFU MB2 LOOPBACK PLUG</v>
      </c>
      <c r="L1688">
        <v>2</v>
      </c>
      <c r="M1688" t="str">
        <f>"יח"</f>
        <v>יח</v>
      </c>
      <c r="N1688">
        <v>2</v>
      </c>
      <c r="O1688" t="str">
        <f>"יח"</f>
        <v>יח</v>
      </c>
      <c r="P1688">
        <v>181.78</v>
      </c>
      <c r="Q1688" t="str">
        <f>"$"</f>
        <v>$</v>
      </c>
      <c r="R1688" t="str">
        <f>"הזמנה"</f>
        <v>הזמנה</v>
      </c>
      <c r="S1688">
        <v>0</v>
      </c>
      <c r="T1688">
        <v>363.56</v>
      </c>
      <c r="U1688">
        <v>0</v>
      </c>
      <c r="V1688">
        <v>363.56</v>
      </c>
      <c r="W1688" t="str">
        <f>"$"</f>
        <v>$</v>
      </c>
      <c r="X1688">
        <v>0</v>
      </c>
      <c r="Y1688">
        <v>0</v>
      </c>
      <c r="Z1688">
        <v>0</v>
      </c>
      <c r="AA1688" t="str">
        <f>"Y"</f>
        <v>Y</v>
      </c>
      <c r="AB1688" t="str">
        <f>"SO22000007"</f>
        <v>SO22000007</v>
      </c>
      <c r="AC1688">
        <v>12</v>
      </c>
      <c r="AD1688" s="1">
        <v>44565</v>
      </c>
      <c r="AE1688" t="str">
        <f>"SH22000420"</f>
        <v>SH22000420</v>
      </c>
      <c r="AF1688" t="str">
        <f>"משלוחים ללקוח"</f>
        <v>משלוחים ללקוח</v>
      </c>
      <c r="AG1688" s="1">
        <v>44664</v>
      </c>
      <c r="AM1688" t="str">
        <f>"10"</f>
        <v>10</v>
      </c>
      <c r="AN1688" t="str">
        <f>"500000"</f>
        <v>500000</v>
      </c>
      <c r="AO1688" t="str">
        <f>"הכנסות  מלקוחות"</f>
        <v>הכנסות  מלקוחות</v>
      </c>
      <c r="AQ1688" t="str">
        <f>"040"</f>
        <v>040</v>
      </c>
      <c r="AR1688">
        <v>0</v>
      </c>
      <c r="AS1688">
        <v>0</v>
      </c>
      <c r="AT1688">
        <v>3.2069999999999999</v>
      </c>
      <c r="AX1688" t="str">
        <f>"E000353717"</f>
        <v>E000353717</v>
      </c>
      <c r="BD1688" t="str">
        <f>"רחמים זרוק"</f>
        <v>רחמים זרוק</v>
      </c>
    </row>
    <row r="1689" spans="1:56" x14ac:dyDescent="0.3">
      <c r="A1689" s="1">
        <v>44665</v>
      </c>
      <c r="B1689" t="str">
        <f>"SI226000430"</f>
        <v>SI226000430</v>
      </c>
      <c r="C1689" t="str">
        <f>"PR21000332"</f>
        <v>PR21000332</v>
      </c>
      <c r="D1689" t="str">
        <f>"PR21000332"</f>
        <v>PR21000332</v>
      </c>
      <c r="E1689" t="str">
        <f>"Y"</f>
        <v>Y</v>
      </c>
      <c r="F1689" t="str">
        <f>"חשבוניות מרכזות"</f>
        <v>חשבוניות מרכזות</v>
      </c>
      <c r="G1689" t="str">
        <f>"700065"</f>
        <v>700065</v>
      </c>
      <c r="H1689" t="str">
        <f>"אלתא מערכות בע""מ"</f>
        <v>אלתא מערכות בע"מ</v>
      </c>
      <c r="I1689" t="str">
        <f>"10"</f>
        <v>10</v>
      </c>
      <c r="J1689" t="str">
        <f>"OP-AR02565"</f>
        <v>OP-AR02565</v>
      </c>
      <c r="K1689" t="str">
        <f>"2012A759-001   PS MB CABLE"</f>
        <v>2012A759-001   PS MB CABLE</v>
      </c>
      <c r="L1689">
        <v>5</v>
      </c>
      <c r="M1689" t="str">
        <f>"יח"</f>
        <v>יח</v>
      </c>
      <c r="N1689">
        <v>5</v>
      </c>
      <c r="O1689" t="str">
        <f>"יח"</f>
        <v>יח</v>
      </c>
      <c r="P1689">
        <v>467.14</v>
      </c>
      <c r="Q1689" t="str">
        <f>"$"</f>
        <v>$</v>
      </c>
      <c r="R1689" t="str">
        <f>"הזמנה"</f>
        <v>הזמנה</v>
      </c>
      <c r="S1689">
        <v>0</v>
      </c>
      <c r="T1689" s="2">
        <v>2335.6999999999998</v>
      </c>
      <c r="U1689">
        <v>0</v>
      </c>
      <c r="V1689" s="2">
        <v>2335.6999999999998</v>
      </c>
      <c r="W1689" t="str">
        <f>"$"</f>
        <v>$</v>
      </c>
      <c r="X1689">
        <v>0</v>
      </c>
      <c r="Y1689">
        <v>0</v>
      </c>
      <c r="Z1689">
        <v>0</v>
      </c>
      <c r="AA1689" t="str">
        <f>"Y"</f>
        <v>Y</v>
      </c>
      <c r="AB1689" t="str">
        <f>"SO21000268"</f>
        <v>SO21000268</v>
      </c>
      <c r="AC1689">
        <v>4</v>
      </c>
      <c r="AD1689" s="1">
        <v>44355</v>
      </c>
      <c r="AE1689" t="str">
        <f>"SH22000423"</f>
        <v>SH22000423</v>
      </c>
      <c r="AF1689" t="str">
        <f>"משלוחים ללקוח"</f>
        <v>משלוחים ללקוח</v>
      </c>
      <c r="AG1689" s="1">
        <v>44664</v>
      </c>
      <c r="AM1689" t="str">
        <f>"10"</f>
        <v>10</v>
      </c>
      <c r="AN1689" t="str">
        <f>"500000"</f>
        <v>500000</v>
      </c>
      <c r="AO1689" t="str">
        <f>"הכנסות  מלקוחות"</f>
        <v>הכנסות  מלקוחות</v>
      </c>
      <c r="AQ1689" t="str">
        <f>"040"</f>
        <v>040</v>
      </c>
      <c r="AR1689">
        <v>0</v>
      </c>
      <c r="AS1689">
        <v>0</v>
      </c>
      <c r="AT1689">
        <v>3.2069999999999999</v>
      </c>
      <c r="AX1689" t="str">
        <f>"E000336279"</f>
        <v>E000336279</v>
      </c>
      <c r="BD1689" t="str">
        <f>"רחמים זרוק"</f>
        <v>רחמים זרוק</v>
      </c>
    </row>
    <row r="1690" spans="1:56" x14ac:dyDescent="0.3">
      <c r="A1690" s="1">
        <v>44665</v>
      </c>
      <c r="B1690" t="str">
        <f>"SI226000430"</f>
        <v>SI226000430</v>
      </c>
      <c r="C1690" t="str">
        <f>"PR21000332"</f>
        <v>PR21000332</v>
      </c>
      <c r="D1690" t="str">
        <f>"PR21000332"</f>
        <v>PR21000332</v>
      </c>
      <c r="E1690" t="str">
        <f>"Y"</f>
        <v>Y</v>
      </c>
      <c r="F1690" t="str">
        <f>"חשבוניות מרכזות"</f>
        <v>חשבוניות מרכזות</v>
      </c>
      <c r="G1690" t="str">
        <f>"700065"</f>
        <v>700065</v>
      </c>
      <c r="H1690" t="str">
        <f>"אלתא מערכות בע""מ"</f>
        <v>אלתא מערכות בע"מ</v>
      </c>
      <c r="I1690" t="str">
        <f>"10"</f>
        <v>10</v>
      </c>
      <c r="J1690" t="str">
        <f>"OP-AR02565"</f>
        <v>OP-AR02565</v>
      </c>
      <c r="K1690" t="str">
        <f>"2012A759-001   PS MB CABLE"</f>
        <v>2012A759-001   PS MB CABLE</v>
      </c>
      <c r="L1690">
        <v>6</v>
      </c>
      <c r="M1690" t="str">
        <f>"יח"</f>
        <v>יח</v>
      </c>
      <c r="N1690">
        <v>6</v>
      </c>
      <c r="O1690" t="str">
        <f>"יח"</f>
        <v>יח</v>
      </c>
      <c r="P1690">
        <v>467.14</v>
      </c>
      <c r="Q1690" t="str">
        <f>"$"</f>
        <v>$</v>
      </c>
      <c r="R1690" t="str">
        <f>"הזמנה"</f>
        <v>הזמנה</v>
      </c>
      <c r="S1690">
        <v>0</v>
      </c>
      <c r="T1690" s="2">
        <v>2802.84</v>
      </c>
      <c r="U1690">
        <v>0</v>
      </c>
      <c r="V1690" s="2">
        <v>2802.84</v>
      </c>
      <c r="W1690" t="str">
        <f>"$"</f>
        <v>$</v>
      </c>
      <c r="X1690">
        <v>0</v>
      </c>
      <c r="Y1690">
        <v>0</v>
      </c>
      <c r="Z1690">
        <v>0</v>
      </c>
      <c r="AA1690" t="str">
        <f>"Y"</f>
        <v>Y</v>
      </c>
      <c r="AB1690" t="str">
        <f>"SO21000268"</f>
        <v>SO21000268</v>
      </c>
      <c r="AC1690">
        <v>5</v>
      </c>
      <c r="AD1690" s="1">
        <v>44355</v>
      </c>
      <c r="AE1690" t="str">
        <f>"SH22000423"</f>
        <v>SH22000423</v>
      </c>
      <c r="AF1690" t="str">
        <f>"משלוחים ללקוח"</f>
        <v>משלוחים ללקוח</v>
      </c>
      <c r="AG1690" s="1">
        <v>44664</v>
      </c>
      <c r="AM1690" t="str">
        <f>"10"</f>
        <v>10</v>
      </c>
      <c r="AN1690" t="str">
        <f>"500000"</f>
        <v>500000</v>
      </c>
      <c r="AO1690" t="str">
        <f>"הכנסות  מלקוחות"</f>
        <v>הכנסות  מלקוחות</v>
      </c>
      <c r="AQ1690" t="str">
        <f>"040"</f>
        <v>040</v>
      </c>
      <c r="AR1690">
        <v>0</v>
      </c>
      <c r="AS1690">
        <v>0</v>
      </c>
      <c r="AT1690">
        <v>3.2069999999999999</v>
      </c>
      <c r="AX1690" t="str">
        <f>"E000336279"</f>
        <v>E000336279</v>
      </c>
      <c r="BD1690" t="str">
        <f>"רחמים זרוק"</f>
        <v>רחמים זרוק</v>
      </c>
    </row>
    <row r="1691" spans="1:56" x14ac:dyDescent="0.3">
      <c r="A1691" s="1">
        <v>44665</v>
      </c>
      <c r="B1691" t="str">
        <f>"SI226000430"</f>
        <v>SI226000430</v>
      </c>
      <c r="C1691" t="str">
        <f>"PR21000332"</f>
        <v>PR21000332</v>
      </c>
      <c r="D1691" t="str">
        <f>"PR21000332"</f>
        <v>PR21000332</v>
      </c>
      <c r="E1691" t="str">
        <f>"Y"</f>
        <v>Y</v>
      </c>
      <c r="F1691" t="str">
        <f>"חשבוניות מרכזות"</f>
        <v>חשבוניות מרכזות</v>
      </c>
      <c r="G1691" t="str">
        <f>"700065"</f>
        <v>700065</v>
      </c>
      <c r="H1691" t="str">
        <f>"אלתא מערכות בע""מ"</f>
        <v>אלתא מערכות בע"מ</v>
      </c>
      <c r="I1691" t="str">
        <f>"10"</f>
        <v>10</v>
      </c>
      <c r="J1691" t="str">
        <f>"OP-AR02565"</f>
        <v>OP-AR02565</v>
      </c>
      <c r="K1691" t="str">
        <f>"2012A759-001   PS MB CABLE"</f>
        <v>2012A759-001   PS MB CABLE</v>
      </c>
      <c r="L1691">
        <v>12</v>
      </c>
      <c r="M1691" t="str">
        <f>"יח"</f>
        <v>יח</v>
      </c>
      <c r="N1691">
        <v>12</v>
      </c>
      <c r="O1691" t="str">
        <f>"יח"</f>
        <v>יח</v>
      </c>
      <c r="P1691">
        <v>467.14</v>
      </c>
      <c r="Q1691" t="str">
        <f>"$"</f>
        <v>$</v>
      </c>
      <c r="R1691" t="str">
        <f>"הזמנה"</f>
        <v>הזמנה</v>
      </c>
      <c r="S1691">
        <v>0</v>
      </c>
      <c r="T1691" s="2">
        <v>5605.68</v>
      </c>
      <c r="U1691">
        <v>0</v>
      </c>
      <c r="V1691" s="2">
        <v>5605.68</v>
      </c>
      <c r="W1691" t="str">
        <f>"$"</f>
        <v>$</v>
      </c>
      <c r="X1691">
        <v>0</v>
      </c>
      <c r="Y1691">
        <v>0</v>
      </c>
      <c r="Z1691">
        <v>0</v>
      </c>
      <c r="AA1691" t="str">
        <f>"Y"</f>
        <v>Y</v>
      </c>
      <c r="AB1691" t="str">
        <f>"SO21000268"</f>
        <v>SO21000268</v>
      </c>
      <c r="AC1691">
        <v>6</v>
      </c>
      <c r="AD1691" s="1">
        <v>44355</v>
      </c>
      <c r="AE1691" t="str">
        <f>"SH22000423"</f>
        <v>SH22000423</v>
      </c>
      <c r="AF1691" t="str">
        <f>"משלוחים ללקוח"</f>
        <v>משלוחים ללקוח</v>
      </c>
      <c r="AG1691" s="1">
        <v>44664</v>
      </c>
      <c r="AM1691" t="str">
        <f>"10"</f>
        <v>10</v>
      </c>
      <c r="AN1691" t="str">
        <f>"500000"</f>
        <v>500000</v>
      </c>
      <c r="AO1691" t="str">
        <f>"הכנסות  מלקוחות"</f>
        <v>הכנסות  מלקוחות</v>
      </c>
      <c r="AQ1691" t="str">
        <f>"040"</f>
        <v>040</v>
      </c>
      <c r="AR1691">
        <v>0</v>
      </c>
      <c r="AS1691">
        <v>0</v>
      </c>
      <c r="AT1691">
        <v>3.2069999999999999</v>
      </c>
      <c r="AX1691" t="str">
        <f>"E000336279"</f>
        <v>E000336279</v>
      </c>
      <c r="BD1691" t="str">
        <f>"רחמים זרוק"</f>
        <v>רחמים זרוק</v>
      </c>
    </row>
    <row r="1692" spans="1:56" x14ac:dyDescent="0.3">
      <c r="A1692" s="1">
        <v>44664</v>
      </c>
      <c r="B1692" t="str">
        <f>"SI226000411"</f>
        <v>SI226000411</v>
      </c>
      <c r="E1692" t="str">
        <f>"Y"</f>
        <v>Y</v>
      </c>
      <c r="F1692" t="str">
        <f>"חשבוניות מרכזות"</f>
        <v>חשבוניות מרכזות</v>
      </c>
      <c r="G1692" t="str">
        <f>"700065"</f>
        <v>700065</v>
      </c>
      <c r="H1692" t="str">
        <f>"אלתא מערכות בע""מ"</f>
        <v>אלתא מערכות בע"מ</v>
      </c>
      <c r="I1692" t="str">
        <f>"10"</f>
        <v>10</v>
      </c>
      <c r="J1692" t="str">
        <f>"OP-ML00179"</f>
        <v>OP-ML00179</v>
      </c>
      <c r="K1692" t="str">
        <f>"1038C906-001 Radar Power Unit (RPU) Platform"</f>
        <v>1038C906-001 Radar Power Unit (RPU) Platform</v>
      </c>
      <c r="L1692">
        <v>1</v>
      </c>
      <c r="M1692" t="str">
        <f>"יח"</f>
        <v>יח</v>
      </c>
      <c r="N1692">
        <v>1</v>
      </c>
      <c r="O1692" t="str">
        <f>"יח"</f>
        <v>יח</v>
      </c>
      <c r="P1692" s="2">
        <v>284970</v>
      </c>
      <c r="Q1692" t="str">
        <f>"$"</f>
        <v>$</v>
      </c>
      <c r="R1692" t="str">
        <f>"הזמנה"</f>
        <v>הזמנה</v>
      </c>
      <c r="S1692">
        <v>0</v>
      </c>
      <c r="T1692" s="2">
        <v>284970</v>
      </c>
      <c r="U1692">
        <v>0</v>
      </c>
      <c r="V1692" s="2">
        <v>284970</v>
      </c>
      <c r="W1692" t="str">
        <f>"$"</f>
        <v>$</v>
      </c>
      <c r="X1692">
        <v>0</v>
      </c>
      <c r="Y1692">
        <v>0</v>
      </c>
      <c r="Z1692">
        <v>0</v>
      </c>
      <c r="AA1692" t="str">
        <f>"Y"</f>
        <v>Y</v>
      </c>
      <c r="AB1692" t="str">
        <f>"SO20000218"</f>
        <v>SO20000218</v>
      </c>
      <c r="AC1692">
        <v>3</v>
      </c>
      <c r="AD1692" s="1">
        <v>43982</v>
      </c>
      <c r="AE1692" t="str">
        <f>"SH22000953"</f>
        <v>SH22000953</v>
      </c>
      <c r="AF1692" t="str">
        <f>"משלוחים ללקוח"</f>
        <v>משלוחים ללקוח</v>
      </c>
      <c r="AG1692" s="1">
        <v>44777</v>
      </c>
      <c r="AM1692" t="str">
        <f>"10"</f>
        <v>10</v>
      </c>
      <c r="AN1692" t="str">
        <f>"500000"</f>
        <v>500000</v>
      </c>
      <c r="AO1692" t="str">
        <f>"הכנסות  מלקוחות"</f>
        <v>הכנסות  מלקוחות</v>
      </c>
      <c r="AQ1692" t="str">
        <f>"034"</f>
        <v>034</v>
      </c>
      <c r="AR1692">
        <v>0</v>
      </c>
      <c r="AS1692">
        <v>0</v>
      </c>
      <c r="AT1692">
        <v>3.2149999999999999</v>
      </c>
      <c r="AX1692" t="str">
        <f>"E000312785"</f>
        <v>E000312785</v>
      </c>
      <c r="BD1692" t="str">
        <f>"ערן שלו"</f>
        <v>ערן שלו</v>
      </c>
    </row>
    <row r="1693" spans="1:56" x14ac:dyDescent="0.3">
      <c r="A1693" s="1">
        <v>44662</v>
      </c>
      <c r="B1693" t="str">
        <f>"SI226000409"</f>
        <v>SI226000409</v>
      </c>
      <c r="C1693" t="str">
        <f>"PR21000122"</f>
        <v>PR21000122</v>
      </c>
      <c r="D1693" t="str">
        <f>"PR21000122"</f>
        <v>PR21000122</v>
      </c>
      <c r="E1693" t="str">
        <f>"Y"</f>
        <v>Y</v>
      </c>
      <c r="F1693" t="str">
        <f>"חשבוניות מרכזות"</f>
        <v>חשבוניות מרכזות</v>
      </c>
      <c r="G1693" t="str">
        <f>"700065"</f>
        <v>700065</v>
      </c>
      <c r="H1693" t="str">
        <f>"אלתא מערכות בע""מ"</f>
        <v>אלתא מערכות בע"מ</v>
      </c>
      <c r="I1693" t="str">
        <f>"10"</f>
        <v>10</v>
      </c>
      <c r="J1693" t="str">
        <f>"OP-AR02306"</f>
        <v>OP-AR02306</v>
      </c>
      <c r="K1693" t="str">
        <f>"HVJB 1026L230-001"</f>
        <v>HVJB 1026L230-001</v>
      </c>
      <c r="L1693">
        <v>4</v>
      </c>
      <c r="M1693" t="str">
        <f>"יח"</f>
        <v>יח</v>
      </c>
      <c r="N1693">
        <v>4</v>
      </c>
      <c r="O1693" t="str">
        <f>"יח"</f>
        <v>יח</v>
      </c>
      <c r="P1693" s="2">
        <v>9921</v>
      </c>
      <c r="Q1693" t="str">
        <f>"$"</f>
        <v>$</v>
      </c>
      <c r="R1693" t="str">
        <f>"הזמנה"</f>
        <v>הזמנה</v>
      </c>
      <c r="S1693">
        <v>0</v>
      </c>
      <c r="T1693" s="2">
        <v>39684</v>
      </c>
      <c r="U1693">
        <v>0</v>
      </c>
      <c r="V1693" s="2">
        <v>39684</v>
      </c>
      <c r="W1693" t="str">
        <f>"$"</f>
        <v>$</v>
      </c>
      <c r="X1693">
        <v>0</v>
      </c>
      <c r="Y1693">
        <v>0</v>
      </c>
      <c r="Z1693">
        <v>0</v>
      </c>
      <c r="AA1693" t="str">
        <f>"Y"</f>
        <v>Y</v>
      </c>
      <c r="AB1693" t="str">
        <f>"SO21000079"</f>
        <v>SO21000079</v>
      </c>
      <c r="AC1693">
        <v>3</v>
      </c>
      <c r="AD1693" s="1">
        <v>44242</v>
      </c>
      <c r="AE1693" t="str">
        <f>"SH22000210"</f>
        <v>SH22000210</v>
      </c>
      <c r="AF1693" t="str">
        <f>"משלוחים ללקוח"</f>
        <v>משלוחים ללקוח</v>
      </c>
      <c r="AG1693" s="1">
        <v>44615</v>
      </c>
      <c r="AM1693" t="str">
        <f>"10"</f>
        <v>10</v>
      </c>
      <c r="AN1693" t="str">
        <f>"500000"</f>
        <v>500000</v>
      </c>
      <c r="AO1693" t="str">
        <f>"הכנסות  מלקוחות"</f>
        <v>הכנסות  מלקוחות</v>
      </c>
      <c r="AQ1693" t="str">
        <f>"034"</f>
        <v>034</v>
      </c>
      <c r="AR1693">
        <v>0</v>
      </c>
      <c r="AS1693">
        <v>0</v>
      </c>
      <c r="AT1693">
        <v>3.2109999999999999</v>
      </c>
      <c r="AX1693" t="str">
        <f>"E000320637"</f>
        <v>E000320637</v>
      </c>
      <c r="BD1693" t="str">
        <f>"ערן שלו"</f>
        <v>ערן שלו</v>
      </c>
    </row>
    <row r="1694" spans="1:56" x14ac:dyDescent="0.3">
      <c r="A1694" s="1">
        <v>44662</v>
      </c>
      <c r="B1694" t="str">
        <f>"SI226000388"</f>
        <v>SI226000388</v>
      </c>
      <c r="C1694" t="str">
        <f>"PR20000699"</f>
        <v>PR20000699</v>
      </c>
      <c r="E1694" t="str">
        <f>"Y"</f>
        <v>Y</v>
      </c>
      <c r="F1694" t="str">
        <f>"חשבוניות מרכזות"</f>
        <v>חשבוניות מרכזות</v>
      </c>
      <c r="G1694" t="str">
        <f>"700065"</f>
        <v>700065</v>
      </c>
      <c r="H1694" t="str">
        <f>"אלתא מערכות בע""מ"</f>
        <v>אלתא מערכות בע"מ</v>
      </c>
      <c r="I1694" t="str">
        <f>"10"</f>
        <v>10</v>
      </c>
      <c r="J1694" t="str">
        <f>"000"</f>
        <v>000</v>
      </c>
      <c r="K1694" t="str">
        <f>"NRE FOR 1038C906-001"</f>
        <v>NRE FOR 1038C906-001</v>
      </c>
      <c r="L1694">
        <v>1</v>
      </c>
      <c r="M1694" t="str">
        <f>"יח"</f>
        <v>יח</v>
      </c>
      <c r="N1694">
        <v>1</v>
      </c>
      <c r="O1694" t="str">
        <f>"יח"</f>
        <v>יח</v>
      </c>
      <c r="P1694" s="2">
        <v>16252.5</v>
      </c>
      <c r="Q1694" t="str">
        <f>"$"</f>
        <v>$</v>
      </c>
      <c r="R1694" t="str">
        <f>"הזמנה"</f>
        <v>הזמנה</v>
      </c>
      <c r="S1694">
        <v>0</v>
      </c>
      <c r="T1694" s="2">
        <v>16252.5</v>
      </c>
      <c r="U1694">
        <v>0</v>
      </c>
      <c r="V1694" s="2">
        <v>16252.5</v>
      </c>
      <c r="W1694" t="str">
        <f>"$"</f>
        <v>$</v>
      </c>
      <c r="X1694">
        <v>0</v>
      </c>
      <c r="Y1694">
        <v>0</v>
      </c>
      <c r="Z1694">
        <v>0</v>
      </c>
      <c r="AA1694" t="str">
        <f>"Y"</f>
        <v>Y</v>
      </c>
      <c r="AB1694" t="str">
        <f>"SO20000218"</f>
        <v>SO20000218</v>
      </c>
      <c r="AC1694">
        <v>20</v>
      </c>
      <c r="AD1694" s="1">
        <v>43982</v>
      </c>
      <c r="AE1694" t="str">
        <f>"SH22000413"</f>
        <v>SH22000413</v>
      </c>
      <c r="AF1694" t="str">
        <f>"משלוחים ללקוח"</f>
        <v>משלוחים ללקוח</v>
      </c>
      <c r="AG1694" s="1">
        <v>44662</v>
      </c>
      <c r="AM1694" t="str">
        <f>"10"</f>
        <v>10</v>
      </c>
      <c r="AN1694" t="str">
        <f>"500000"</f>
        <v>500000</v>
      </c>
      <c r="AO1694" t="str">
        <f>"הכנסות  מלקוחות"</f>
        <v>הכנסות  מלקוחות</v>
      </c>
      <c r="AQ1694" t="str">
        <f>"034"</f>
        <v>034</v>
      </c>
      <c r="AR1694">
        <v>0</v>
      </c>
      <c r="AS1694">
        <v>0</v>
      </c>
      <c r="AT1694">
        <v>3.2250000000000001</v>
      </c>
      <c r="AX1694" t="str">
        <f>"E000312785"</f>
        <v>E000312785</v>
      </c>
      <c r="BD1694" t="str">
        <f>"ערן שלו"</f>
        <v>ערן שלו</v>
      </c>
    </row>
    <row r="1695" spans="1:56" x14ac:dyDescent="0.3">
      <c r="A1695" s="1">
        <v>44662</v>
      </c>
      <c r="B1695" t="str">
        <f>"SI226000387"</f>
        <v>SI226000387</v>
      </c>
      <c r="C1695" t="str">
        <f>"PR20000699"</f>
        <v>PR20000699</v>
      </c>
      <c r="E1695" t="str">
        <f>"Y"</f>
        <v>Y</v>
      </c>
      <c r="F1695" t="str">
        <f>"חשבוניות מרכזות"</f>
        <v>חשבוניות מרכזות</v>
      </c>
      <c r="G1695" t="str">
        <f>"700065"</f>
        <v>700065</v>
      </c>
      <c r="H1695" t="str">
        <f>"אלתא מערכות בע""מ"</f>
        <v>אלתא מערכות בע"מ</v>
      </c>
      <c r="I1695" t="str">
        <f>"10"</f>
        <v>10</v>
      </c>
      <c r="J1695" t="str">
        <f>"000"</f>
        <v>000</v>
      </c>
      <c r="K1695" t="str">
        <f>"תוספות2לRPU עבור הזמנה RPU02 E000312785"</f>
        <v>תוספות2לRPU עבור הזמנה RPU02 E000312785</v>
      </c>
      <c r="L1695">
        <v>1</v>
      </c>
      <c r="M1695" t="str">
        <f>"יח"</f>
        <v>יח</v>
      </c>
      <c r="N1695">
        <v>1</v>
      </c>
      <c r="O1695" t="str">
        <f>"יח"</f>
        <v>יח</v>
      </c>
      <c r="P1695" s="2">
        <v>2530</v>
      </c>
      <c r="Q1695" t="str">
        <f>"$"</f>
        <v>$</v>
      </c>
      <c r="R1695" t="str">
        <f>"הזמנה"</f>
        <v>הזמנה</v>
      </c>
      <c r="S1695">
        <v>0</v>
      </c>
      <c r="T1695" s="2">
        <v>2530</v>
      </c>
      <c r="U1695">
        <v>0</v>
      </c>
      <c r="V1695" s="2">
        <v>2530</v>
      </c>
      <c r="W1695" t="str">
        <f>"$"</f>
        <v>$</v>
      </c>
      <c r="X1695">
        <v>0</v>
      </c>
      <c r="Y1695">
        <v>0</v>
      </c>
      <c r="Z1695">
        <v>0</v>
      </c>
      <c r="AA1695" t="str">
        <f>"Y"</f>
        <v>Y</v>
      </c>
      <c r="AB1695" t="str">
        <f>"SO21000055"</f>
        <v>SO21000055</v>
      </c>
      <c r="AC1695">
        <v>12</v>
      </c>
      <c r="AD1695" s="1">
        <v>44228</v>
      </c>
      <c r="AE1695" t="str">
        <f>"SH22000412"</f>
        <v>SH22000412</v>
      </c>
      <c r="AF1695" t="str">
        <f>"משלוחים ללקוח"</f>
        <v>משלוחים ללקוח</v>
      </c>
      <c r="AG1695" s="1">
        <v>44662</v>
      </c>
      <c r="AM1695" t="str">
        <f>"10"</f>
        <v>10</v>
      </c>
      <c r="AN1695" t="str">
        <f>"500000"</f>
        <v>500000</v>
      </c>
      <c r="AO1695" t="str">
        <f>"הכנסות  מלקוחות"</f>
        <v>הכנסות  מלקוחות</v>
      </c>
      <c r="AQ1695" t="str">
        <f>"034"</f>
        <v>034</v>
      </c>
      <c r="AR1695">
        <v>0</v>
      </c>
      <c r="AS1695">
        <v>0</v>
      </c>
      <c r="AT1695">
        <v>3.2250000000000001</v>
      </c>
      <c r="AX1695" t="str">
        <f>"E000331489"</f>
        <v>E000331489</v>
      </c>
      <c r="BD1695" t="str">
        <f>"ערן שלו"</f>
        <v>ערן שלו</v>
      </c>
    </row>
    <row r="1696" spans="1:56" x14ac:dyDescent="0.3">
      <c r="A1696" s="1">
        <v>44662</v>
      </c>
      <c r="B1696" t="str">
        <f>"SI226000386"</f>
        <v>SI226000386</v>
      </c>
      <c r="C1696" t="str">
        <f>"PR20000699"</f>
        <v>PR20000699</v>
      </c>
      <c r="E1696" t="str">
        <f>"Y"</f>
        <v>Y</v>
      </c>
      <c r="F1696" t="str">
        <f>"חשבוניות מרכזות"</f>
        <v>חשבוניות מרכזות</v>
      </c>
      <c r="G1696" t="str">
        <f>"700065"</f>
        <v>700065</v>
      </c>
      <c r="H1696" t="str">
        <f>"אלתא מערכות בע""מ"</f>
        <v>אלתא מערכות בע"מ</v>
      </c>
      <c r="I1696" t="str">
        <f>"10"</f>
        <v>10</v>
      </c>
      <c r="J1696" t="str">
        <f>"000"</f>
        <v>000</v>
      </c>
      <c r="K1696" t="str">
        <f>"תוספות לRPU עבור הזמנה E000312785"</f>
        <v>תוספות לRPU עבור הזמנה E000312785</v>
      </c>
      <c r="L1696">
        <v>1</v>
      </c>
      <c r="M1696" t="str">
        <f>"יח"</f>
        <v>יח</v>
      </c>
      <c r="N1696">
        <v>1</v>
      </c>
      <c r="O1696" t="str">
        <f>"יח"</f>
        <v>יח</v>
      </c>
      <c r="P1696" s="2">
        <v>32780</v>
      </c>
      <c r="Q1696" t="str">
        <f>"$"</f>
        <v>$</v>
      </c>
      <c r="R1696" t="str">
        <f>"הזמנה"</f>
        <v>הזמנה</v>
      </c>
      <c r="S1696">
        <v>0</v>
      </c>
      <c r="T1696" s="2">
        <v>32780</v>
      </c>
      <c r="U1696">
        <v>0</v>
      </c>
      <c r="V1696" s="2">
        <v>32780</v>
      </c>
      <c r="W1696" t="str">
        <f>"$"</f>
        <v>$</v>
      </c>
      <c r="X1696">
        <v>0</v>
      </c>
      <c r="Y1696">
        <v>0</v>
      </c>
      <c r="Z1696">
        <v>0</v>
      </c>
      <c r="AA1696" t="str">
        <f>"Y"</f>
        <v>Y</v>
      </c>
      <c r="AB1696" t="str">
        <f>"SO21000055"</f>
        <v>SO21000055</v>
      </c>
      <c r="AC1696">
        <v>3</v>
      </c>
      <c r="AD1696" s="1">
        <v>44228</v>
      </c>
      <c r="AE1696" t="str">
        <f>"SH22000411"</f>
        <v>SH22000411</v>
      </c>
      <c r="AF1696" t="str">
        <f>"משלוחים ללקוח"</f>
        <v>משלוחים ללקוח</v>
      </c>
      <c r="AG1696" s="1">
        <v>44662</v>
      </c>
      <c r="AM1696" t="str">
        <f>"10"</f>
        <v>10</v>
      </c>
      <c r="AN1696" t="str">
        <f>"500000"</f>
        <v>500000</v>
      </c>
      <c r="AO1696" t="str">
        <f>"הכנסות  מלקוחות"</f>
        <v>הכנסות  מלקוחות</v>
      </c>
      <c r="AQ1696" t="str">
        <f>"034"</f>
        <v>034</v>
      </c>
      <c r="AR1696">
        <v>0</v>
      </c>
      <c r="AS1696">
        <v>0</v>
      </c>
      <c r="AT1696">
        <v>3.2250000000000001</v>
      </c>
      <c r="AX1696" t="str">
        <f>"E000331489"</f>
        <v>E000331489</v>
      </c>
      <c r="BD1696" t="str">
        <f>"ערן שלו"</f>
        <v>ערן שלו</v>
      </c>
    </row>
    <row r="1697" spans="1:56" x14ac:dyDescent="0.3">
      <c r="A1697" s="1">
        <v>44662</v>
      </c>
      <c r="B1697" t="str">
        <f>"SI226000385"</f>
        <v>SI226000385</v>
      </c>
      <c r="C1697" t="str">
        <f>"PR20000699"</f>
        <v>PR20000699</v>
      </c>
      <c r="E1697" t="str">
        <f>"Y"</f>
        <v>Y</v>
      </c>
      <c r="F1697" t="str">
        <f>"חשבוניות מרכזות"</f>
        <v>חשבוניות מרכזות</v>
      </c>
      <c r="G1697" t="str">
        <f>"700065"</f>
        <v>700065</v>
      </c>
      <c r="H1697" t="str">
        <f>"אלתא מערכות בע""מ"</f>
        <v>אלתא מערכות בע"מ</v>
      </c>
      <c r="I1697" t="str">
        <f>"10"</f>
        <v>10</v>
      </c>
      <c r="J1697" t="str">
        <f>"000"</f>
        <v>000</v>
      </c>
      <c r="K1697" t="str">
        <f>"תוספת עבור חומר גלם וש""ע בייצור ה RPU"</f>
        <v>תוספת עבור חומר גלם וש"ע בייצור ה RPU</v>
      </c>
      <c r="L1697">
        <v>1</v>
      </c>
      <c r="M1697" t="str">
        <f>"יח"</f>
        <v>יח</v>
      </c>
      <c r="N1697">
        <v>1</v>
      </c>
      <c r="O1697" t="str">
        <f>"יח"</f>
        <v>יח</v>
      </c>
      <c r="P1697" s="2">
        <v>25000</v>
      </c>
      <c r="Q1697" t="str">
        <f>"$"</f>
        <v>$</v>
      </c>
      <c r="R1697" t="str">
        <f>"הזמנה"</f>
        <v>הזמנה</v>
      </c>
      <c r="S1697">
        <v>0</v>
      </c>
      <c r="T1697" s="2">
        <v>25000</v>
      </c>
      <c r="U1697">
        <v>0</v>
      </c>
      <c r="V1697" s="2">
        <v>25000</v>
      </c>
      <c r="W1697" t="str">
        <f>"$"</f>
        <v>$</v>
      </c>
      <c r="X1697">
        <v>0</v>
      </c>
      <c r="Y1697">
        <v>0</v>
      </c>
      <c r="Z1697">
        <v>0</v>
      </c>
      <c r="AA1697" t="str">
        <f>"Y"</f>
        <v>Y</v>
      </c>
      <c r="AB1697" t="str">
        <f>"SO21000418"</f>
        <v>SO21000418</v>
      </c>
      <c r="AC1697">
        <v>3</v>
      </c>
      <c r="AD1697" s="1">
        <v>44474</v>
      </c>
      <c r="AE1697" t="str">
        <f>"SH22000410"</f>
        <v>SH22000410</v>
      </c>
      <c r="AF1697" t="str">
        <f>"משלוחים ללקוח"</f>
        <v>משלוחים ללקוח</v>
      </c>
      <c r="AG1697" s="1">
        <v>44662</v>
      </c>
      <c r="AM1697" t="str">
        <f>"10"</f>
        <v>10</v>
      </c>
      <c r="AN1697" t="str">
        <f>"500000"</f>
        <v>500000</v>
      </c>
      <c r="AO1697" t="str">
        <f>"הכנסות  מלקוחות"</f>
        <v>הכנסות  מלקוחות</v>
      </c>
      <c r="AQ1697" t="str">
        <f>"034"</f>
        <v>034</v>
      </c>
      <c r="AR1697">
        <v>0</v>
      </c>
      <c r="AS1697">
        <v>0</v>
      </c>
      <c r="AT1697">
        <v>3.2250000000000001</v>
      </c>
      <c r="AX1697" t="str">
        <f>"E000346956"</f>
        <v>E000346956</v>
      </c>
      <c r="BD1697" t="str">
        <f>"ערן שלו"</f>
        <v>ערן שלו</v>
      </c>
    </row>
    <row r="1698" spans="1:56" x14ac:dyDescent="0.3">
      <c r="A1698" s="1">
        <v>44658</v>
      </c>
      <c r="B1698" t="str">
        <f>"SI226000405"</f>
        <v>SI226000405</v>
      </c>
      <c r="C1698" t="str">
        <f>"PR22000045"</f>
        <v>PR22000045</v>
      </c>
      <c r="D1698" t="str">
        <f>"PR22000045"</f>
        <v>PR22000045</v>
      </c>
      <c r="E1698" t="str">
        <f>"Y"</f>
        <v>Y</v>
      </c>
      <c r="F1698" t="str">
        <f>"חשבוניות מרכזות"</f>
        <v>חשבוניות מרכזות</v>
      </c>
      <c r="G1698" t="str">
        <f>"700065"</f>
        <v>700065</v>
      </c>
      <c r="H1698" t="str">
        <f>"אלתא מערכות בע""מ"</f>
        <v>אלתא מערכות בע"מ</v>
      </c>
      <c r="I1698" t="str">
        <f>"10"</f>
        <v>10</v>
      </c>
      <c r="J1698" t="str">
        <f>"OP-AR02928"</f>
        <v>OP-AR02928</v>
      </c>
      <c r="K1698" t="str">
        <f>"1023B388-001   WCG028 CUG F D00R GND STRAP ASSY"</f>
        <v>1023B388-001   WCG028 CUG F D00R GND STRAP ASSY</v>
      </c>
      <c r="L1698">
        <v>4</v>
      </c>
      <c r="M1698" t="str">
        <f>"יח"</f>
        <v>יח</v>
      </c>
      <c r="N1698">
        <v>4</v>
      </c>
      <c r="O1698" t="str">
        <f>"יח"</f>
        <v>יח</v>
      </c>
      <c r="P1698">
        <v>35.299999999999997</v>
      </c>
      <c r="Q1698" t="str">
        <f>"$"</f>
        <v>$</v>
      </c>
      <c r="R1698" t="str">
        <f>"הזמנה"</f>
        <v>הזמנה</v>
      </c>
      <c r="S1698">
        <v>0</v>
      </c>
      <c r="T1698">
        <v>141.19999999999999</v>
      </c>
      <c r="U1698">
        <v>0</v>
      </c>
      <c r="V1698">
        <v>141.19999999999999</v>
      </c>
      <c r="W1698" t="str">
        <f>"$"</f>
        <v>$</v>
      </c>
      <c r="X1698">
        <v>0</v>
      </c>
      <c r="Y1698">
        <v>0</v>
      </c>
      <c r="Z1698">
        <v>0</v>
      </c>
      <c r="AA1698" t="str">
        <f>"Y"</f>
        <v>Y</v>
      </c>
      <c r="AB1698" t="str">
        <f>"SO22000033"</f>
        <v>SO22000033</v>
      </c>
      <c r="AC1698">
        <v>10</v>
      </c>
      <c r="AD1698" s="1">
        <v>44591</v>
      </c>
      <c r="AE1698" t="str">
        <f>"SH22000383"</f>
        <v>SH22000383</v>
      </c>
      <c r="AF1698" t="str">
        <f>"משלוחים ללקוח"</f>
        <v>משלוחים ללקוח</v>
      </c>
      <c r="AG1698" s="1">
        <v>44655</v>
      </c>
      <c r="AM1698" t="str">
        <f>"10"</f>
        <v>10</v>
      </c>
      <c r="AN1698" t="str">
        <f>"500000"</f>
        <v>500000</v>
      </c>
      <c r="AO1698" t="str">
        <f>"הכנסות  מלקוחות"</f>
        <v>הכנסות  מלקוחות</v>
      </c>
      <c r="AQ1698" t="str">
        <f>"040"</f>
        <v>040</v>
      </c>
      <c r="AR1698">
        <v>0</v>
      </c>
      <c r="AS1698">
        <v>0</v>
      </c>
      <c r="AT1698">
        <v>3.2250000000000001</v>
      </c>
      <c r="AX1698" t="str">
        <f>"E000355431"</f>
        <v>E000355431</v>
      </c>
      <c r="BD1698" t="str">
        <f>"רחמים זרוק"</f>
        <v>רחמים זרוק</v>
      </c>
    </row>
    <row r="1699" spans="1:56" x14ac:dyDescent="0.3">
      <c r="A1699" s="1">
        <v>44658</v>
      </c>
      <c r="B1699" t="str">
        <f>"SI226000405"</f>
        <v>SI226000405</v>
      </c>
      <c r="C1699" t="str">
        <f>"PR22000045"</f>
        <v>PR22000045</v>
      </c>
      <c r="D1699" t="str">
        <f>"PR22000045"</f>
        <v>PR22000045</v>
      </c>
      <c r="E1699" t="str">
        <f>"Y"</f>
        <v>Y</v>
      </c>
      <c r="F1699" t="str">
        <f>"חשבוניות מרכזות"</f>
        <v>חשבוניות מרכזות</v>
      </c>
      <c r="G1699" t="str">
        <f>"700065"</f>
        <v>700065</v>
      </c>
      <c r="H1699" t="str">
        <f>"אלתא מערכות בע""מ"</f>
        <v>אלתא מערכות בע"מ</v>
      </c>
      <c r="I1699" t="str">
        <f>"10"</f>
        <v>10</v>
      </c>
      <c r="J1699" t="str">
        <f>"OP-AR02928"</f>
        <v>OP-AR02928</v>
      </c>
      <c r="K1699" t="str">
        <f>"1023B388-001   WCG028 CUG F D00R GND STRAP ASSY"</f>
        <v>1023B388-001   WCG028 CUG F D00R GND STRAP ASSY</v>
      </c>
      <c r="L1699">
        <v>12</v>
      </c>
      <c r="M1699" t="str">
        <f>"יח"</f>
        <v>יח</v>
      </c>
      <c r="N1699">
        <v>12</v>
      </c>
      <c r="O1699" t="str">
        <f>"יח"</f>
        <v>יח</v>
      </c>
      <c r="P1699">
        <v>35.299999999999997</v>
      </c>
      <c r="Q1699" t="str">
        <f>"$"</f>
        <v>$</v>
      </c>
      <c r="R1699" t="str">
        <f>"הזמנה"</f>
        <v>הזמנה</v>
      </c>
      <c r="S1699">
        <v>0</v>
      </c>
      <c r="T1699">
        <v>423.6</v>
      </c>
      <c r="U1699">
        <v>0</v>
      </c>
      <c r="V1699">
        <v>423.6</v>
      </c>
      <c r="W1699" t="str">
        <f>"$"</f>
        <v>$</v>
      </c>
      <c r="X1699">
        <v>0</v>
      </c>
      <c r="Y1699">
        <v>0</v>
      </c>
      <c r="Z1699">
        <v>0</v>
      </c>
      <c r="AA1699" t="str">
        <f>"Y"</f>
        <v>Y</v>
      </c>
      <c r="AB1699" t="str">
        <f>"SO22000033"</f>
        <v>SO22000033</v>
      </c>
      <c r="AC1699">
        <v>11</v>
      </c>
      <c r="AD1699" s="1">
        <v>44591</v>
      </c>
      <c r="AE1699" t="str">
        <f>"SH22000383"</f>
        <v>SH22000383</v>
      </c>
      <c r="AF1699" t="str">
        <f>"משלוחים ללקוח"</f>
        <v>משלוחים ללקוח</v>
      </c>
      <c r="AG1699" s="1">
        <v>44655</v>
      </c>
      <c r="AM1699" t="str">
        <f>"10"</f>
        <v>10</v>
      </c>
      <c r="AN1699" t="str">
        <f>"500000"</f>
        <v>500000</v>
      </c>
      <c r="AO1699" t="str">
        <f>"הכנסות  מלקוחות"</f>
        <v>הכנסות  מלקוחות</v>
      </c>
      <c r="AQ1699" t="str">
        <f>"040"</f>
        <v>040</v>
      </c>
      <c r="AR1699">
        <v>0</v>
      </c>
      <c r="AS1699">
        <v>0</v>
      </c>
      <c r="AT1699">
        <v>3.2250000000000001</v>
      </c>
      <c r="AX1699" t="str">
        <f>"E000355431"</f>
        <v>E000355431</v>
      </c>
      <c r="BD1699" t="str">
        <f>"רחמים זרוק"</f>
        <v>רחמים זרוק</v>
      </c>
    </row>
    <row r="1700" spans="1:56" x14ac:dyDescent="0.3">
      <c r="A1700" s="1">
        <v>44658</v>
      </c>
      <c r="B1700" t="str">
        <f>"SI226000405"</f>
        <v>SI226000405</v>
      </c>
      <c r="C1700" t="str">
        <f>"PR22000045"</f>
        <v>PR22000045</v>
      </c>
      <c r="D1700" t="str">
        <f>"PR22000045"</f>
        <v>PR22000045</v>
      </c>
      <c r="E1700" t="str">
        <f>"Y"</f>
        <v>Y</v>
      </c>
      <c r="F1700" t="str">
        <f>"חשבוניות מרכזות"</f>
        <v>חשבוניות מרכזות</v>
      </c>
      <c r="G1700" t="str">
        <f>"700065"</f>
        <v>700065</v>
      </c>
      <c r="H1700" t="str">
        <f>"אלתא מערכות בע""מ"</f>
        <v>אלתא מערכות בע"מ</v>
      </c>
      <c r="I1700" t="str">
        <f>"10"</f>
        <v>10</v>
      </c>
      <c r="J1700" t="str">
        <f>"OP-AR02928"</f>
        <v>OP-AR02928</v>
      </c>
      <c r="K1700" t="str">
        <f>"1023B388-001   WCG028 CUG F D00R GND STRAP ASSY"</f>
        <v>1023B388-001   WCG028 CUG F D00R GND STRAP ASSY</v>
      </c>
      <c r="L1700">
        <v>6</v>
      </c>
      <c r="M1700" t="str">
        <f>"יח"</f>
        <v>יח</v>
      </c>
      <c r="N1700">
        <v>6</v>
      </c>
      <c r="O1700" t="str">
        <f>"יח"</f>
        <v>יח</v>
      </c>
      <c r="P1700">
        <v>35.299999999999997</v>
      </c>
      <c r="Q1700" t="str">
        <f>"$"</f>
        <v>$</v>
      </c>
      <c r="R1700" t="str">
        <f>"הזמנה"</f>
        <v>הזמנה</v>
      </c>
      <c r="S1700">
        <v>0</v>
      </c>
      <c r="T1700">
        <v>211.8</v>
      </c>
      <c r="U1700">
        <v>0</v>
      </c>
      <c r="V1700">
        <v>211.8</v>
      </c>
      <c r="W1700" t="str">
        <f>"$"</f>
        <v>$</v>
      </c>
      <c r="X1700">
        <v>0</v>
      </c>
      <c r="Y1700">
        <v>0</v>
      </c>
      <c r="Z1700">
        <v>0</v>
      </c>
      <c r="AA1700" t="str">
        <f>"Y"</f>
        <v>Y</v>
      </c>
      <c r="AB1700" t="str">
        <f>"SO22000033"</f>
        <v>SO22000033</v>
      </c>
      <c r="AC1700">
        <v>12</v>
      </c>
      <c r="AD1700" s="1">
        <v>44591</v>
      </c>
      <c r="AE1700" t="str">
        <f>"SH22000383"</f>
        <v>SH22000383</v>
      </c>
      <c r="AF1700" t="str">
        <f>"משלוחים ללקוח"</f>
        <v>משלוחים ללקוח</v>
      </c>
      <c r="AG1700" s="1">
        <v>44655</v>
      </c>
      <c r="AM1700" t="str">
        <f>"10"</f>
        <v>10</v>
      </c>
      <c r="AN1700" t="str">
        <f>"500000"</f>
        <v>500000</v>
      </c>
      <c r="AO1700" t="str">
        <f>"הכנסות  מלקוחות"</f>
        <v>הכנסות  מלקוחות</v>
      </c>
      <c r="AQ1700" t="str">
        <f>"040"</f>
        <v>040</v>
      </c>
      <c r="AR1700">
        <v>0</v>
      </c>
      <c r="AS1700">
        <v>0</v>
      </c>
      <c r="AT1700">
        <v>3.2250000000000001</v>
      </c>
      <c r="AX1700" t="str">
        <f>"E000355431"</f>
        <v>E000355431</v>
      </c>
      <c r="BD1700" t="str">
        <f>"רחמים זרוק"</f>
        <v>רחמים זרוק</v>
      </c>
    </row>
    <row r="1701" spans="1:56" x14ac:dyDescent="0.3">
      <c r="A1701" s="1">
        <v>44658</v>
      </c>
      <c r="B1701" t="str">
        <f>"SI226000405"</f>
        <v>SI226000405</v>
      </c>
      <c r="C1701" t="str">
        <f>"PR22000045"</f>
        <v>PR22000045</v>
      </c>
      <c r="D1701" t="str">
        <f>"PR22000045"</f>
        <v>PR22000045</v>
      </c>
      <c r="E1701" t="str">
        <f>"Y"</f>
        <v>Y</v>
      </c>
      <c r="F1701" t="str">
        <f>"חשבוניות מרכזות"</f>
        <v>חשבוניות מרכזות</v>
      </c>
      <c r="G1701" t="str">
        <f>"700065"</f>
        <v>700065</v>
      </c>
      <c r="H1701" t="str">
        <f>"אלתא מערכות בע""מ"</f>
        <v>אלתא מערכות בע"מ</v>
      </c>
      <c r="I1701" t="str">
        <f>"10"</f>
        <v>10</v>
      </c>
      <c r="J1701" t="str">
        <f>"OP-AR02928"</f>
        <v>OP-AR02928</v>
      </c>
      <c r="K1701" t="str">
        <f>"1023B388-001   WCG028 CUG F D00R GND STRAP ASSY"</f>
        <v>1023B388-001   WCG028 CUG F D00R GND STRAP ASSY</v>
      </c>
      <c r="L1701">
        <v>2</v>
      </c>
      <c r="M1701" t="str">
        <f>"יח"</f>
        <v>יח</v>
      </c>
      <c r="N1701">
        <v>2</v>
      </c>
      <c r="O1701" t="str">
        <f>"יח"</f>
        <v>יח</v>
      </c>
      <c r="P1701">
        <v>35.299999999999997</v>
      </c>
      <c r="Q1701" t="str">
        <f>"$"</f>
        <v>$</v>
      </c>
      <c r="R1701" t="str">
        <f>"הזמנה"</f>
        <v>הזמנה</v>
      </c>
      <c r="S1701">
        <v>0</v>
      </c>
      <c r="T1701">
        <v>70.599999999999994</v>
      </c>
      <c r="U1701">
        <v>0</v>
      </c>
      <c r="V1701">
        <v>70.599999999999994</v>
      </c>
      <c r="W1701" t="str">
        <f>"$"</f>
        <v>$</v>
      </c>
      <c r="X1701">
        <v>0</v>
      </c>
      <c r="Y1701">
        <v>0</v>
      </c>
      <c r="Z1701">
        <v>0</v>
      </c>
      <c r="AA1701" t="str">
        <f>"Y"</f>
        <v>Y</v>
      </c>
      <c r="AB1701" t="str">
        <f>"SO22000033"</f>
        <v>SO22000033</v>
      </c>
      <c r="AC1701">
        <v>13</v>
      </c>
      <c r="AD1701" s="1">
        <v>44591</v>
      </c>
      <c r="AE1701" t="str">
        <f>"SH22000383"</f>
        <v>SH22000383</v>
      </c>
      <c r="AF1701" t="str">
        <f>"משלוחים ללקוח"</f>
        <v>משלוחים ללקוח</v>
      </c>
      <c r="AG1701" s="1">
        <v>44655</v>
      </c>
      <c r="AM1701" t="str">
        <f>"10"</f>
        <v>10</v>
      </c>
      <c r="AN1701" t="str">
        <f>"500000"</f>
        <v>500000</v>
      </c>
      <c r="AO1701" t="str">
        <f>"הכנסות  מלקוחות"</f>
        <v>הכנסות  מלקוחות</v>
      </c>
      <c r="AQ1701" t="str">
        <f>"040"</f>
        <v>040</v>
      </c>
      <c r="AR1701">
        <v>0</v>
      </c>
      <c r="AS1701">
        <v>0</v>
      </c>
      <c r="AT1701">
        <v>3.2250000000000001</v>
      </c>
      <c r="AX1701" t="str">
        <f>"E000355431"</f>
        <v>E000355431</v>
      </c>
      <c r="BD1701" t="str">
        <f>"רחמים זרוק"</f>
        <v>רחמים זרוק</v>
      </c>
    </row>
    <row r="1702" spans="1:56" x14ac:dyDescent="0.3">
      <c r="A1702" s="1">
        <v>44658</v>
      </c>
      <c r="B1702" t="str">
        <f>"SI226000404"</f>
        <v>SI226000404</v>
      </c>
      <c r="C1702" t="str">
        <f>"PR21000890"</f>
        <v>PR21000890</v>
      </c>
      <c r="D1702" t="str">
        <f>"PR21000890"</f>
        <v>PR21000890</v>
      </c>
      <c r="E1702" t="str">
        <f>"Y"</f>
        <v>Y</v>
      </c>
      <c r="F1702" t="str">
        <f>"חשבוניות מרכזות"</f>
        <v>חשבוניות מרכזות</v>
      </c>
      <c r="G1702" t="str">
        <f>"700065"</f>
        <v>700065</v>
      </c>
      <c r="H1702" t="str">
        <f>"אלתא מערכות בע""מ"</f>
        <v>אלתא מערכות בע"מ</v>
      </c>
      <c r="I1702" t="str">
        <f>"10"</f>
        <v>10</v>
      </c>
      <c r="J1702" t="str">
        <f>"OP-AR02888"</f>
        <v>OP-AR02888</v>
      </c>
      <c r="K1702" t="str">
        <f>"1023F313-001   WZ003 IFF INT POWER AND CONTROL"</f>
        <v>1023F313-001   WZ003 IFF INT POWER AND CONTROL</v>
      </c>
      <c r="L1702">
        <v>2</v>
      </c>
      <c r="M1702" t="str">
        <f>"יח"</f>
        <v>יח</v>
      </c>
      <c r="N1702">
        <v>2</v>
      </c>
      <c r="O1702" t="str">
        <f>"יח"</f>
        <v>יח</v>
      </c>
      <c r="P1702">
        <v>827.32</v>
      </c>
      <c r="Q1702" t="str">
        <f>"$"</f>
        <v>$</v>
      </c>
      <c r="R1702" t="str">
        <f>"הזמנה"</f>
        <v>הזמנה</v>
      </c>
      <c r="S1702">
        <v>0</v>
      </c>
      <c r="T1702" s="2">
        <v>1654.64</v>
      </c>
      <c r="U1702">
        <v>0</v>
      </c>
      <c r="V1702" s="2">
        <v>1654.64</v>
      </c>
      <c r="W1702" t="str">
        <f>"$"</f>
        <v>$</v>
      </c>
      <c r="X1702">
        <v>0</v>
      </c>
      <c r="Y1702">
        <v>0</v>
      </c>
      <c r="Z1702">
        <v>0</v>
      </c>
      <c r="AA1702" t="str">
        <f>"Y"</f>
        <v>Y</v>
      </c>
      <c r="AB1702" t="str">
        <f>"SO22000004"</f>
        <v>SO22000004</v>
      </c>
      <c r="AC1702">
        <v>14</v>
      </c>
      <c r="AD1702" s="1">
        <v>44564</v>
      </c>
      <c r="AE1702" t="str">
        <f>"SH22000382"</f>
        <v>SH22000382</v>
      </c>
      <c r="AF1702" t="str">
        <f>"משלוחים ללקוח"</f>
        <v>משלוחים ללקוח</v>
      </c>
      <c r="AG1702" s="1">
        <v>44655</v>
      </c>
      <c r="AM1702" t="str">
        <f>"10"</f>
        <v>10</v>
      </c>
      <c r="AN1702" t="str">
        <f>"500000"</f>
        <v>500000</v>
      </c>
      <c r="AO1702" t="str">
        <f>"הכנסות  מלקוחות"</f>
        <v>הכנסות  מלקוחות</v>
      </c>
      <c r="AQ1702" t="str">
        <f>"040"</f>
        <v>040</v>
      </c>
      <c r="AR1702">
        <v>0</v>
      </c>
      <c r="AS1702">
        <v>0</v>
      </c>
      <c r="AT1702">
        <v>3.2250000000000001</v>
      </c>
      <c r="AX1702" t="str">
        <f>"E000350605"</f>
        <v>E000350605</v>
      </c>
      <c r="BD1702" t="str">
        <f>"רחמים זרוק"</f>
        <v>רחמים זרוק</v>
      </c>
    </row>
    <row r="1703" spans="1:56" x14ac:dyDescent="0.3">
      <c r="A1703" s="1">
        <v>44658</v>
      </c>
      <c r="B1703" t="str">
        <f>"SI226000403"</f>
        <v>SI226000403</v>
      </c>
      <c r="C1703" t="str">
        <f>"PR22000010"</f>
        <v>PR22000010</v>
      </c>
      <c r="E1703" t="str">
        <f>"Y"</f>
        <v>Y</v>
      </c>
      <c r="F1703" t="str">
        <f>"חשבוניות מרכזות"</f>
        <v>חשבוניות מרכזות</v>
      </c>
      <c r="G1703" t="str">
        <f>"700065"</f>
        <v>700065</v>
      </c>
      <c r="H1703" t="str">
        <f>"אלתא מערכות בע""מ"</f>
        <v>אלתא מערכות בע"מ</v>
      </c>
      <c r="I1703" t="str">
        <f>"10"</f>
        <v>10</v>
      </c>
      <c r="J1703" t="str">
        <f>"OP-AR02906"</f>
        <v>OP-AR02906</v>
      </c>
      <c r="K1703" t="str">
        <f>"1037N606-001    GU MB1 LOOPBACK PLUG"</f>
        <v>1037N606-001    GU MB1 LOOPBACK PLUG</v>
      </c>
      <c r="L1703">
        <v>4</v>
      </c>
      <c r="M1703" t="str">
        <f>"יח"</f>
        <v>יח</v>
      </c>
      <c r="N1703">
        <v>4</v>
      </c>
      <c r="O1703" t="str">
        <f>"יח"</f>
        <v>יח</v>
      </c>
      <c r="P1703">
        <v>224.39</v>
      </c>
      <c r="Q1703" t="str">
        <f>"$"</f>
        <v>$</v>
      </c>
      <c r="R1703" t="str">
        <f>"הזמנה"</f>
        <v>הזמנה</v>
      </c>
      <c r="S1703">
        <v>0</v>
      </c>
      <c r="T1703">
        <v>897.56</v>
      </c>
      <c r="U1703">
        <v>0</v>
      </c>
      <c r="V1703">
        <v>897.56</v>
      </c>
      <c r="W1703" t="str">
        <f>"$"</f>
        <v>$</v>
      </c>
      <c r="X1703">
        <v>0</v>
      </c>
      <c r="Y1703">
        <v>0</v>
      </c>
      <c r="Z1703">
        <v>0</v>
      </c>
      <c r="AA1703" t="str">
        <f>"Y"</f>
        <v>Y</v>
      </c>
      <c r="AB1703" t="str">
        <f>"SO22000007"</f>
        <v>SO22000007</v>
      </c>
      <c r="AC1703">
        <v>7</v>
      </c>
      <c r="AD1703" s="1">
        <v>44565</v>
      </c>
      <c r="AE1703" t="str">
        <f>"SH22000398"</f>
        <v>SH22000398</v>
      </c>
      <c r="AF1703" t="str">
        <f>"משלוחים ללקוח"</f>
        <v>משלוחים ללקוח</v>
      </c>
      <c r="AG1703" s="1">
        <v>44657</v>
      </c>
      <c r="AM1703" t="str">
        <f>"10"</f>
        <v>10</v>
      </c>
      <c r="AN1703" t="str">
        <f>"500000"</f>
        <v>500000</v>
      </c>
      <c r="AO1703" t="str">
        <f>"הכנסות  מלקוחות"</f>
        <v>הכנסות  מלקוחות</v>
      </c>
      <c r="AQ1703" t="str">
        <f>"040"</f>
        <v>040</v>
      </c>
      <c r="AR1703">
        <v>0</v>
      </c>
      <c r="AS1703">
        <v>0</v>
      </c>
      <c r="AT1703">
        <v>3.2250000000000001</v>
      </c>
      <c r="AX1703" t="str">
        <f>"E000353717"</f>
        <v>E000353717</v>
      </c>
      <c r="BD1703" t="str">
        <f>"רחמים זרוק"</f>
        <v>רחמים זרוק</v>
      </c>
    </row>
    <row r="1704" spans="1:56" x14ac:dyDescent="0.3">
      <c r="A1704" s="1">
        <v>44658</v>
      </c>
      <c r="B1704" t="str">
        <f>"SI226000403"</f>
        <v>SI226000403</v>
      </c>
      <c r="C1704" t="str">
        <f>"PR22000010"</f>
        <v>PR22000010</v>
      </c>
      <c r="E1704" t="str">
        <f>"Y"</f>
        <v>Y</v>
      </c>
      <c r="F1704" t="str">
        <f>"חשבוניות מרכזות"</f>
        <v>חשבוניות מרכזות</v>
      </c>
      <c r="G1704" t="str">
        <f>"700065"</f>
        <v>700065</v>
      </c>
      <c r="H1704" t="str">
        <f>"אלתא מערכות בע""מ"</f>
        <v>אלתא מערכות בע"מ</v>
      </c>
      <c r="I1704" t="str">
        <f>"10"</f>
        <v>10</v>
      </c>
      <c r="J1704" t="str">
        <f>"OP-AR02908"</f>
        <v>OP-AR02908</v>
      </c>
      <c r="K1704" t="str">
        <f>"1037N609-001    GU MB3 LOOPBACK PLUG"</f>
        <v>1037N609-001    GU MB3 LOOPBACK PLUG</v>
      </c>
      <c r="L1704">
        <v>4</v>
      </c>
      <c r="M1704" t="str">
        <f>"יח"</f>
        <v>יח</v>
      </c>
      <c r="N1704">
        <v>4</v>
      </c>
      <c r="O1704" t="str">
        <f>"יח"</f>
        <v>יח</v>
      </c>
      <c r="P1704">
        <v>224.39</v>
      </c>
      <c r="Q1704" t="str">
        <f>"$"</f>
        <v>$</v>
      </c>
      <c r="R1704" t="str">
        <f>"הזמנה"</f>
        <v>הזמנה</v>
      </c>
      <c r="S1704">
        <v>0</v>
      </c>
      <c r="T1704">
        <v>897.56</v>
      </c>
      <c r="U1704">
        <v>0</v>
      </c>
      <c r="V1704">
        <v>897.56</v>
      </c>
      <c r="W1704" t="str">
        <f>"$"</f>
        <v>$</v>
      </c>
      <c r="X1704">
        <v>0</v>
      </c>
      <c r="Y1704">
        <v>0</v>
      </c>
      <c r="Z1704">
        <v>0</v>
      </c>
      <c r="AA1704" t="str">
        <f>"Y"</f>
        <v>Y</v>
      </c>
      <c r="AB1704" t="str">
        <f>"SO22000007"</f>
        <v>SO22000007</v>
      </c>
      <c r="AC1704">
        <v>9</v>
      </c>
      <c r="AD1704" s="1">
        <v>44565</v>
      </c>
      <c r="AE1704" t="str">
        <f>"SH22000398"</f>
        <v>SH22000398</v>
      </c>
      <c r="AF1704" t="str">
        <f>"משלוחים ללקוח"</f>
        <v>משלוחים ללקוח</v>
      </c>
      <c r="AG1704" s="1">
        <v>44657</v>
      </c>
      <c r="AM1704" t="str">
        <f>"10"</f>
        <v>10</v>
      </c>
      <c r="AN1704" t="str">
        <f>"500000"</f>
        <v>500000</v>
      </c>
      <c r="AO1704" t="str">
        <f>"הכנסות  מלקוחות"</f>
        <v>הכנסות  מלקוחות</v>
      </c>
      <c r="AQ1704" t="str">
        <f>"040"</f>
        <v>040</v>
      </c>
      <c r="AR1704">
        <v>0</v>
      </c>
      <c r="AS1704">
        <v>0</v>
      </c>
      <c r="AT1704">
        <v>3.2250000000000001</v>
      </c>
      <c r="AX1704" t="str">
        <f>"E000353717"</f>
        <v>E000353717</v>
      </c>
      <c r="BD1704" t="str">
        <f>"רחמים זרוק"</f>
        <v>רחמים זרוק</v>
      </c>
    </row>
    <row r="1705" spans="1:56" x14ac:dyDescent="0.3">
      <c r="A1705" s="1">
        <v>44658</v>
      </c>
      <c r="B1705" t="str">
        <f>"SI226000396"</f>
        <v>SI226000396</v>
      </c>
      <c r="C1705" t="str">
        <f>"PR21000332"</f>
        <v>PR21000332</v>
      </c>
      <c r="D1705" t="str">
        <f>"PR21000332"</f>
        <v>PR21000332</v>
      </c>
      <c r="E1705" t="str">
        <f>"Y"</f>
        <v>Y</v>
      </c>
      <c r="F1705" t="str">
        <f>"חשבוניות מרכזות"</f>
        <v>חשבוניות מרכזות</v>
      </c>
      <c r="G1705" t="str">
        <f>"700065"</f>
        <v>700065</v>
      </c>
      <c r="H1705" t="str">
        <f>"אלתא מערכות בע""מ"</f>
        <v>אלתא מערכות בע"מ</v>
      </c>
      <c r="I1705" t="str">
        <f>"10"</f>
        <v>10</v>
      </c>
      <c r="J1705" t="str">
        <f>"OP-AR02565"</f>
        <v>OP-AR02565</v>
      </c>
      <c r="K1705" t="str">
        <f>"2012A759-001   PS MB CABLE"</f>
        <v>2012A759-001   PS MB CABLE</v>
      </c>
      <c r="L1705">
        <v>8</v>
      </c>
      <c r="M1705" t="str">
        <f>"יח"</f>
        <v>יח</v>
      </c>
      <c r="N1705">
        <v>8</v>
      </c>
      <c r="O1705" t="str">
        <f>"יח"</f>
        <v>יח</v>
      </c>
      <c r="P1705">
        <v>467.14</v>
      </c>
      <c r="Q1705" t="str">
        <f>"$"</f>
        <v>$</v>
      </c>
      <c r="R1705" t="str">
        <f>"הזמנה"</f>
        <v>הזמנה</v>
      </c>
      <c r="S1705">
        <v>0</v>
      </c>
      <c r="T1705" s="2">
        <v>3737.12</v>
      </c>
      <c r="U1705">
        <v>0</v>
      </c>
      <c r="V1705" s="2">
        <v>3737.12</v>
      </c>
      <c r="W1705" t="str">
        <f>"$"</f>
        <v>$</v>
      </c>
      <c r="X1705">
        <v>0</v>
      </c>
      <c r="Y1705">
        <v>0</v>
      </c>
      <c r="Z1705">
        <v>0</v>
      </c>
      <c r="AA1705" t="str">
        <f>"Y"</f>
        <v>Y</v>
      </c>
      <c r="AB1705" t="str">
        <f>"SO21000268"</f>
        <v>SO21000268</v>
      </c>
      <c r="AC1705">
        <v>5</v>
      </c>
      <c r="AD1705" s="1">
        <v>44355</v>
      </c>
      <c r="AE1705" t="str">
        <f>"SH22000390"</f>
        <v>SH22000390</v>
      </c>
      <c r="AF1705" t="str">
        <f>"משלוחים ללקוח"</f>
        <v>משלוחים ללקוח</v>
      </c>
      <c r="AG1705" s="1">
        <v>44656</v>
      </c>
      <c r="AM1705" t="str">
        <f>"10"</f>
        <v>10</v>
      </c>
      <c r="AN1705" t="str">
        <f>"500000"</f>
        <v>500000</v>
      </c>
      <c r="AO1705" t="str">
        <f>"הכנסות  מלקוחות"</f>
        <v>הכנסות  מלקוחות</v>
      </c>
      <c r="AQ1705" t="str">
        <f>"040"</f>
        <v>040</v>
      </c>
      <c r="AR1705">
        <v>0</v>
      </c>
      <c r="AS1705">
        <v>0</v>
      </c>
      <c r="AT1705">
        <v>3.2250000000000001</v>
      </c>
      <c r="AX1705" t="str">
        <f>"E000336279"</f>
        <v>E000336279</v>
      </c>
      <c r="BD1705" t="str">
        <f>"רחמים זרוק"</f>
        <v>רחמים זרוק</v>
      </c>
    </row>
    <row r="1706" spans="1:56" x14ac:dyDescent="0.3">
      <c r="A1706" s="1">
        <v>44656</v>
      </c>
      <c r="B1706" t="str">
        <f>"SI226000371"</f>
        <v>SI226000371</v>
      </c>
      <c r="C1706" t="str">
        <f>"PR21000417"</f>
        <v>PR21000417</v>
      </c>
      <c r="E1706" t="str">
        <f>"Y"</f>
        <v>Y</v>
      </c>
      <c r="F1706" t="str">
        <f>"חשבוניות מרכזות"</f>
        <v>חשבוניות מרכזות</v>
      </c>
      <c r="G1706" t="str">
        <f>"700065"</f>
        <v>700065</v>
      </c>
      <c r="H1706" t="str">
        <f>"אלתא מערכות בע""מ"</f>
        <v>אלתא מערכות בע"מ</v>
      </c>
      <c r="I1706" t="str">
        <f>"10"</f>
        <v>10</v>
      </c>
      <c r="J1706" t="str">
        <f>"OP-ML00197"</f>
        <v>OP-ML00197</v>
      </c>
      <c r="K1706" t="str">
        <f>"1038C816-001 COMPUTER RACK"</f>
        <v>1038C816-001 COMPUTER RACK</v>
      </c>
      <c r="L1706">
        <v>1</v>
      </c>
      <c r="M1706" t="str">
        <f>"יח"</f>
        <v>יח</v>
      </c>
      <c r="N1706">
        <v>1</v>
      </c>
      <c r="O1706" t="str">
        <f>"יח"</f>
        <v>יח</v>
      </c>
      <c r="P1706" s="2">
        <v>47500</v>
      </c>
      <c r="Q1706" t="str">
        <f>"$"</f>
        <v>$</v>
      </c>
      <c r="R1706" t="str">
        <f>"הזמנה"</f>
        <v>הזמנה</v>
      </c>
      <c r="S1706">
        <v>0</v>
      </c>
      <c r="T1706" s="2">
        <v>47500</v>
      </c>
      <c r="U1706">
        <v>0</v>
      </c>
      <c r="V1706" s="2">
        <v>47500</v>
      </c>
      <c r="W1706" t="str">
        <f>"$"</f>
        <v>$</v>
      </c>
      <c r="X1706">
        <v>0</v>
      </c>
      <c r="Y1706">
        <v>0</v>
      </c>
      <c r="Z1706">
        <v>0</v>
      </c>
      <c r="AA1706" t="str">
        <f>"Y"</f>
        <v>Y</v>
      </c>
      <c r="AB1706" t="str">
        <f>"SO21000090"</f>
        <v>SO21000090</v>
      </c>
      <c r="AC1706">
        <v>3</v>
      </c>
      <c r="AD1706" s="1">
        <v>44251</v>
      </c>
      <c r="AE1706" t="str">
        <f>"SH22000064"</f>
        <v>SH22000064</v>
      </c>
      <c r="AF1706" t="str">
        <f>"משלוחים ללקוח"</f>
        <v>משלוחים ללקוח</v>
      </c>
      <c r="AG1706" s="1">
        <v>44581</v>
      </c>
      <c r="AM1706" t="str">
        <f>"10"</f>
        <v>10</v>
      </c>
      <c r="AN1706" t="str">
        <f>"500000"</f>
        <v>500000</v>
      </c>
      <c r="AO1706" t="str">
        <f>"הכנסות  מלקוחות"</f>
        <v>הכנסות  מלקוחות</v>
      </c>
      <c r="AQ1706" t="str">
        <f>"034"</f>
        <v>034</v>
      </c>
      <c r="AR1706">
        <v>0</v>
      </c>
      <c r="AS1706">
        <v>0</v>
      </c>
      <c r="AT1706">
        <v>3.2090000000000001</v>
      </c>
      <c r="AX1706" t="str">
        <f>"E000332763"</f>
        <v>E000332763</v>
      </c>
      <c r="BD1706" t="str">
        <f>"ערן שלו"</f>
        <v>ערן שלו</v>
      </c>
    </row>
    <row r="1707" spans="1:56" x14ac:dyDescent="0.3">
      <c r="A1707" s="1">
        <v>44654</v>
      </c>
      <c r="B1707" t="str">
        <f>"SI226000401"</f>
        <v>SI226000401</v>
      </c>
      <c r="C1707" t="str">
        <f>"PR20000777"</f>
        <v>PR20000777</v>
      </c>
      <c r="E1707" t="str">
        <f>"Y"</f>
        <v>Y</v>
      </c>
      <c r="F1707" t="str">
        <f>"חשבוניות מרכזות"</f>
        <v>חשבוניות מרכזות</v>
      </c>
      <c r="G1707" t="str">
        <f>"700065"</f>
        <v>700065</v>
      </c>
      <c r="H1707" t="str">
        <f>"אלתא מערכות בע""מ"</f>
        <v>אלתא מערכות בע"מ</v>
      </c>
      <c r="I1707" t="str">
        <f>"05"</f>
        <v>05</v>
      </c>
      <c r="J1707" t="str">
        <f>"OP-PD02881"</f>
        <v>OP-PD02881</v>
      </c>
      <c r="K1707" t="str">
        <f>"POWER DISTRIBUTION BOARD 09-SOCD"</f>
        <v>POWER DISTRIBUTION BOARD 09-SOCD</v>
      </c>
      <c r="L1707">
        <v>-1</v>
      </c>
      <c r="M1707" t="str">
        <f>"יח"</f>
        <v>יח</v>
      </c>
      <c r="N1707">
        <v>-1</v>
      </c>
      <c r="O1707" t="str">
        <f>"יח"</f>
        <v>יח</v>
      </c>
      <c r="P1707" s="2">
        <v>39999.300000000003</v>
      </c>
      <c r="Q1707" t="str">
        <f>"$"</f>
        <v>$</v>
      </c>
      <c r="R1707" t="str">
        <f>"הזמנה"</f>
        <v>הזמנה</v>
      </c>
      <c r="S1707">
        <v>0</v>
      </c>
      <c r="T1707" s="2">
        <v>-39999.300000000003</v>
      </c>
      <c r="U1707">
        <v>0</v>
      </c>
      <c r="V1707" s="2">
        <v>-39999.300000000003</v>
      </c>
      <c r="W1707" t="str">
        <f>"$"</f>
        <v>$</v>
      </c>
      <c r="X1707">
        <v>0</v>
      </c>
      <c r="Y1707">
        <v>0</v>
      </c>
      <c r="Z1707">
        <v>0</v>
      </c>
      <c r="AA1707" t="str">
        <f>"Y"</f>
        <v>Y</v>
      </c>
      <c r="AC1707">
        <v>0</v>
      </c>
      <c r="AM1707" t="str">
        <f>"10"</f>
        <v>10</v>
      </c>
      <c r="AN1707" t="str">
        <f>"500000"</f>
        <v>500000</v>
      </c>
      <c r="AO1707" t="str">
        <f>"הכנסות  מלקוחות"</f>
        <v>הכנסות  מלקוחות</v>
      </c>
      <c r="AQ1707" t="str">
        <f>"034"</f>
        <v>034</v>
      </c>
      <c r="AR1707">
        <v>0</v>
      </c>
      <c r="AS1707">
        <v>0</v>
      </c>
      <c r="AT1707">
        <v>3.2029999999999998</v>
      </c>
      <c r="BB1707" t="str">
        <f>"Y"</f>
        <v>Y</v>
      </c>
      <c r="BD1707" t="str">
        <f>"ערן שלו"</f>
        <v>ערן שלו</v>
      </c>
    </row>
    <row r="1708" spans="1:56" x14ac:dyDescent="0.3">
      <c r="A1708" s="1">
        <v>44654</v>
      </c>
      <c r="B1708" t="str">
        <f>"SI226000400"</f>
        <v>SI226000400</v>
      </c>
      <c r="C1708" t="str">
        <f>"PR20000778"</f>
        <v>PR20000778</v>
      </c>
      <c r="E1708" t="str">
        <f>"Y"</f>
        <v>Y</v>
      </c>
      <c r="F1708" t="str">
        <f>"חשבוניות מרכזות"</f>
        <v>חשבוניות מרכזות</v>
      </c>
      <c r="G1708" t="str">
        <f>"700065"</f>
        <v>700065</v>
      </c>
      <c r="H1708" t="str">
        <f>"אלתא מערכות בע""מ"</f>
        <v>אלתא מערכות בע"מ</v>
      </c>
      <c r="I1708" t="str">
        <f>"05"</f>
        <v>05</v>
      </c>
      <c r="J1708" t="str">
        <f>"OP-PD02880"</f>
        <v>OP-PD02880</v>
      </c>
      <c r="K1708" t="str">
        <f>"POWER DISTRIBUTION BOARD 06/07-SOCD"</f>
        <v>POWER DISTRIBUTION BOARD 06/07-SOCD</v>
      </c>
      <c r="L1708">
        <v>-2</v>
      </c>
      <c r="M1708" t="str">
        <f>"יח"</f>
        <v>יח</v>
      </c>
      <c r="N1708">
        <v>-2</v>
      </c>
      <c r="O1708" t="str">
        <f>"יח"</f>
        <v>יח</v>
      </c>
      <c r="P1708" s="2">
        <v>47244</v>
      </c>
      <c r="Q1708" t="str">
        <f>"$"</f>
        <v>$</v>
      </c>
      <c r="R1708" t="str">
        <f>"הזמנה"</f>
        <v>הזמנה</v>
      </c>
      <c r="S1708">
        <v>0</v>
      </c>
      <c r="T1708" s="2">
        <v>-94488</v>
      </c>
      <c r="U1708">
        <v>0</v>
      </c>
      <c r="V1708" s="2">
        <v>-94488</v>
      </c>
      <c r="W1708" t="str">
        <f>"$"</f>
        <v>$</v>
      </c>
      <c r="X1708">
        <v>0</v>
      </c>
      <c r="Y1708">
        <v>0</v>
      </c>
      <c r="Z1708">
        <v>0</v>
      </c>
      <c r="AA1708" t="str">
        <f>"Y"</f>
        <v>Y</v>
      </c>
      <c r="AC1708">
        <v>0</v>
      </c>
      <c r="AM1708" t="str">
        <f>"10"</f>
        <v>10</v>
      </c>
      <c r="AN1708" t="str">
        <f>"500000"</f>
        <v>500000</v>
      </c>
      <c r="AO1708" t="str">
        <f>"הכנסות  מלקוחות"</f>
        <v>הכנסות  מלקוחות</v>
      </c>
      <c r="AQ1708" t="str">
        <f>"034"</f>
        <v>034</v>
      </c>
      <c r="AR1708">
        <v>0</v>
      </c>
      <c r="AS1708">
        <v>0</v>
      </c>
      <c r="AT1708">
        <v>3.2029999999999998</v>
      </c>
      <c r="BB1708" t="str">
        <f>"Y"</f>
        <v>Y</v>
      </c>
      <c r="BD1708" t="str">
        <f>"ערן שלו"</f>
        <v>ערן שלו</v>
      </c>
    </row>
    <row r="1709" spans="1:56" x14ac:dyDescent="0.3">
      <c r="A1709" s="1">
        <v>44654</v>
      </c>
      <c r="B1709" t="str">
        <f>"SI226000395"</f>
        <v>SI226000395</v>
      </c>
      <c r="C1709" t="str">
        <f>"PR20000777"</f>
        <v>PR20000777</v>
      </c>
      <c r="E1709" t="str">
        <f>"Y"</f>
        <v>Y</v>
      </c>
      <c r="F1709" t="str">
        <f>"חשבוניות מרכזות"</f>
        <v>חשבוניות מרכזות</v>
      </c>
      <c r="G1709" t="str">
        <f>"700065"</f>
        <v>700065</v>
      </c>
      <c r="H1709" t="str">
        <f>"אלתא מערכות בע""מ"</f>
        <v>אלתא מערכות בע"מ</v>
      </c>
      <c r="I1709" t="str">
        <f>"05"</f>
        <v>05</v>
      </c>
      <c r="J1709" t="str">
        <f>"OP-PD02881"</f>
        <v>OP-PD02881</v>
      </c>
      <c r="K1709" t="str">
        <f>"POWER DISTRIBUTION BOARD 09-SOCD"</f>
        <v>POWER DISTRIBUTION BOARD 09-SOCD</v>
      </c>
      <c r="L1709">
        <v>1</v>
      </c>
      <c r="M1709" t="str">
        <f>"יח"</f>
        <v>יח</v>
      </c>
      <c r="N1709">
        <v>1</v>
      </c>
      <c r="O1709" t="str">
        <f>"יח"</f>
        <v>יח</v>
      </c>
      <c r="P1709" s="2">
        <v>39999.300000000003</v>
      </c>
      <c r="Q1709" t="str">
        <f>"$"</f>
        <v>$</v>
      </c>
      <c r="R1709" t="str">
        <f>"הזמנה"</f>
        <v>הזמנה</v>
      </c>
      <c r="S1709">
        <v>0</v>
      </c>
      <c r="T1709" s="2">
        <v>39999.300000000003</v>
      </c>
      <c r="U1709">
        <v>0</v>
      </c>
      <c r="V1709" s="2">
        <v>39999.300000000003</v>
      </c>
      <c r="W1709" t="str">
        <f>"$"</f>
        <v>$</v>
      </c>
      <c r="X1709">
        <v>0</v>
      </c>
      <c r="Y1709">
        <v>0</v>
      </c>
      <c r="Z1709">
        <v>0</v>
      </c>
      <c r="AA1709" t="str">
        <f>"Y"</f>
        <v>Y</v>
      </c>
      <c r="AC1709">
        <v>0</v>
      </c>
      <c r="AM1709" t="str">
        <f>"10"</f>
        <v>10</v>
      </c>
      <c r="AN1709" t="str">
        <f>"500000"</f>
        <v>500000</v>
      </c>
      <c r="AO1709" t="str">
        <f>"הכנסות  מלקוחות"</f>
        <v>הכנסות  מלקוחות</v>
      </c>
      <c r="AQ1709" t="str">
        <f>"034"</f>
        <v>034</v>
      </c>
      <c r="AR1709">
        <v>0</v>
      </c>
      <c r="AS1709">
        <v>0</v>
      </c>
      <c r="AT1709">
        <v>3.2029999999999998</v>
      </c>
      <c r="BB1709" t="str">
        <f>"Y"</f>
        <v>Y</v>
      </c>
      <c r="BD1709" t="str">
        <f>"ערן שלו"</f>
        <v>ערן שלו</v>
      </c>
    </row>
    <row r="1710" spans="1:56" x14ac:dyDescent="0.3">
      <c r="A1710" s="1">
        <v>44654</v>
      </c>
      <c r="B1710" t="str">
        <f>"SI226000394"</f>
        <v>SI226000394</v>
      </c>
      <c r="C1710" t="str">
        <f>"PR20000778"</f>
        <v>PR20000778</v>
      </c>
      <c r="E1710" t="str">
        <f>"Y"</f>
        <v>Y</v>
      </c>
      <c r="F1710" t="str">
        <f>"חשבוניות מרכזות"</f>
        <v>חשבוניות מרכזות</v>
      </c>
      <c r="G1710" t="str">
        <f>"700065"</f>
        <v>700065</v>
      </c>
      <c r="H1710" t="str">
        <f>"אלתא מערכות בע""מ"</f>
        <v>אלתא מערכות בע"מ</v>
      </c>
      <c r="I1710" t="str">
        <f>"05"</f>
        <v>05</v>
      </c>
      <c r="J1710" t="str">
        <f>"OP-PD02880"</f>
        <v>OP-PD02880</v>
      </c>
      <c r="K1710" t="str">
        <f>"POWER DISTRIBUTION BOARD 06/07-SOCD"</f>
        <v>POWER DISTRIBUTION BOARD 06/07-SOCD</v>
      </c>
      <c r="L1710">
        <v>2</v>
      </c>
      <c r="M1710" t="str">
        <f>"יח"</f>
        <v>יח</v>
      </c>
      <c r="N1710">
        <v>2</v>
      </c>
      <c r="O1710" t="str">
        <f>"יח"</f>
        <v>יח</v>
      </c>
      <c r="P1710" s="2">
        <v>47244</v>
      </c>
      <c r="Q1710" t="str">
        <f>"$"</f>
        <v>$</v>
      </c>
      <c r="R1710" t="str">
        <f>"הזמנה"</f>
        <v>הזמנה</v>
      </c>
      <c r="S1710">
        <v>0</v>
      </c>
      <c r="T1710" s="2">
        <v>94488</v>
      </c>
      <c r="U1710">
        <v>0</v>
      </c>
      <c r="V1710" s="2">
        <v>94488</v>
      </c>
      <c r="W1710" t="str">
        <f>"$"</f>
        <v>$</v>
      </c>
      <c r="X1710">
        <v>0</v>
      </c>
      <c r="Y1710">
        <v>0</v>
      </c>
      <c r="Z1710">
        <v>0</v>
      </c>
      <c r="AA1710" t="str">
        <f>"Y"</f>
        <v>Y</v>
      </c>
      <c r="AC1710">
        <v>0</v>
      </c>
      <c r="AM1710" t="str">
        <f>"10"</f>
        <v>10</v>
      </c>
      <c r="AN1710" t="str">
        <f>"500000"</f>
        <v>500000</v>
      </c>
      <c r="AO1710" t="str">
        <f>"הכנסות  מלקוחות"</f>
        <v>הכנסות  מלקוחות</v>
      </c>
      <c r="AQ1710" t="str">
        <f>"034"</f>
        <v>034</v>
      </c>
      <c r="AR1710">
        <v>0</v>
      </c>
      <c r="AS1710">
        <v>0</v>
      </c>
      <c r="AT1710">
        <v>3.2029999999999998</v>
      </c>
      <c r="BB1710" t="str">
        <f>"Y"</f>
        <v>Y</v>
      </c>
      <c r="BD1710" t="str">
        <f>"ערן שלו"</f>
        <v>ערן שלו</v>
      </c>
    </row>
    <row r="1711" spans="1:56" x14ac:dyDescent="0.3">
      <c r="A1711" s="1">
        <v>44651</v>
      </c>
      <c r="B1711" t="str">
        <f>"SI226000418"</f>
        <v>SI226000418</v>
      </c>
      <c r="E1711" t="str">
        <f>"Y"</f>
        <v>Y</v>
      </c>
      <c r="F1711" t="str">
        <f>"חשבוניות מרכזות"</f>
        <v>חשבוניות מרכזות</v>
      </c>
      <c r="G1711" t="str">
        <f>"700065"</f>
        <v>700065</v>
      </c>
      <c r="H1711" t="str">
        <f>"אלתא מערכות בע""מ"</f>
        <v>אלתא מערכות בע"מ</v>
      </c>
      <c r="I1711" t="str">
        <f>"10"</f>
        <v>10</v>
      </c>
      <c r="J1711" t="str">
        <f>"OP-ML00197"</f>
        <v>OP-ML00197</v>
      </c>
      <c r="K1711" t="str">
        <f>"1038C816-001 COMPUTER RACK"</f>
        <v>1038C816-001 COMPUTER RACK</v>
      </c>
      <c r="L1711">
        <v>-1</v>
      </c>
      <c r="M1711" t="str">
        <f>"יח"</f>
        <v>יח</v>
      </c>
      <c r="N1711">
        <v>-1</v>
      </c>
      <c r="O1711" t="str">
        <f>"יח"</f>
        <v>יח</v>
      </c>
      <c r="P1711" s="2">
        <v>47500</v>
      </c>
      <c r="Q1711" t="str">
        <f>"$"</f>
        <v>$</v>
      </c>
      <c r="R1711" t="str">
        <f>"הזמנה"</f>
        <v>הזמנה</v>
      </c>
      <c r="S1711">
        <v>0</v>
      </c>
      <c r="T1711" s="2">
        <v>-47500</v>
      </c>
      <c r="U1711">
        <v>0</v>
      </c>
      <c r="V1711" s="2">
        <v>-47500</v>
      </c>
      <c r="W1711" t="str">
        <f>"$"</f>
        <v>$</v>
      </c>
      <c r="X1711">
        <v>0</v>
      </c>
      <c r="Y1711">
        <v>0</v>
      </c>
      <c r="Z1711">
        <v>0</v>
      </c>
      <c r="AA1711" t="str">
        <f>"Y"</f>
        <v>Y</v>
      </c>
      <c r="AC1711">
        <v>0</v>
      </c>
      <c r="AM1711" t="str">
        <f>"10"</f>
        <v>10</v>
      </c>
      <c r="AN1711" t="str">
        <f>"500000"</f>
        <v>500000</v>
      </c>
      <c r="AO1711" t="str">
        <f>"הכנסות  מלקוחות"</f>
        <v>הכנסות  מלקוחות</v>
      </c>
      <c r="AQ1711" t="str">
        <f>"034"</f>
        <v>034</v>
      </c>
      <c r="AR1711">
        <v>0</v>
      </c>
      <c r="AS1711">
        <v>0</v>
      </c>
      <c r="AT1711">
        <v>3.15</v>
      </c>
      <c r="BB1711" t="str">
        <f>"Y"</f>
        <v>Y</v>
      </c>
      <c r="BD1711" t="str">
        <f>"ערן שלו"</f>
        <v>ערן שלו</v>
      </c>
    </row>
    <row r="1712" spans="1:56" x14ac:dyDescent="0.3">
      <c r="A1712" s="1">
        <v>44651</v>
      </c>
      <c r="B1712" t="str">
        <f>"SI226000418"</f>
        <v>SI226000418</v>
      </c>
      <c r="E1712" t="str">
        <f>"Y"</f>
        <v>Y</v>
      </c>
      <c r="F1712" t="str">
        <f>"חשבוניות מרכזות"</f>
        <v>חשבוניות מרכזות</v>
      </c>
      <c r="G1712" t="str">
        <f>"700065"</f>
        <v>700065</v>
      </c>
      <c r="H1712" t="str">
        <f>"אלתא מערכות בע""מ"</f>
        <v>אלתא מערכות בע"מ</v>
      </c>
      <c r="I1712" t="str">
        <f>"10"</f>
        <v>10</v>
      </c>
      <c r="J1712" t="str">
        <f>"OP-ML00197"</f>
        <v>OP-ML00197</v>
      </c>
      <c r="K1712" t="str">
        <f>"1038C816-001 COMPUTER RACK"</f>
        <v>1038C816-001 COMPUTER RACK</v>
      </c>
      <c r="L1712">
        <v>-1</v>
      </c>
      <c r="M1712" t="str">
        <f>"יח"</f>
        <v>יח</v>
      </c>
      <c r="N1712">
        <v>-1</v>
      </c>
      <c r="O1712" t="str">
        <f>"יח"</f>
        <v>יח</v>
      </c>
      <c r="P1712" s="2">
        <v>47500</v>
      </c>
      <c r="Q1712" t="str">
        <f>"$"</f>
        <v>$</v>
      </c>
      <c r="R1712" t="str">
        <f>"הזמנה"</f>
        <v>הזמנה</v>
      </c>
      <c r="S1712">
        <v>0</v>
      </c>
      <c r="T1712" s="2">
        <v>-47500</v>
      </c>
      <c r="U1712">
        <v>0</v>
      </c>
      <c r="V1712" s="2">
        <v>-47500</v>
      </c>
      <c r="W1712" t="str">
        <f>"$"</f>
        <v>$</v>
      </c>
      <c r="X1712">
        <v>0</v>
      </c>
      <c r="Y1712">
        <v>0</v>
      </c>
      <c r="Z1712">
        <v>0</v>
      </c>
      <c r="AA1712" t="str">
        <f>"Y"</f>
        <v>Y</v>
      </c>
      <c r="AC1712">
        <v>0</v>
      </c>
      <c r="AM1712" t="str">
        <f>"10"</f>
        <v>10</v>
      </c>
      <c r="AN1712" t="str">
        <f>"500000"</f>
        <v>500000</v>
      </c>
      <c r="AO1712" t="str">
        <f>"הכנסות  מלקוחות"</f>
        <v>הכנסות  מלקוחות</v>
      </c>
      <c r="AQ1712" t="str">
        <f>"034"</f>
        <v>034</v>
      </c>
      <c r="AR1712">
        <v>0</v>
      </c>
      <c r="AS1712">
        <v>0</v>
      </c>
      <c r="AT1712">
        <v>3.15</v>
      </c>
      <c r="BB1712" t="str">
        <f>"Y"</f>
        <v>Y</v>
      </c>
      <c r="BD1712" t="str">
        <f>"ערן שלו"</f>
        <v>ערן שלו</v>
      </c>
    </row>
    <row r="1713" spans="1:56" x14ac:dyDescent="0.3">
      <c r="A1713" s="1">
        <v>44651</v>
      </c>
      <c r="B1713" t="str">
        <f>"SI226000353"</f>
        <v>SI226000353</v>
      </c>
      <c r="C1713" t="str">
        <f>"PR21000890"</f>
        <v>PR21000890</v>
      </c>
      <c r="D1713" t="str">
        <f>"PR21000890"</f>
        <v>PR21000890</v>
      </c>
      <c r="E1713" t="str">
        <f>"Y"</f>
        <v>Y</v>
      </c>
      <c r="F1713" t="str">
        <f>"חשבוניות מרכזות"</f>
        <v>חשבוניות מרכזות</v>
      </c>
      <c r="G1713" t="str">
        <f>"700065"</f>
        <v>700065</v>
      </c>
      <c r="H1713" t="str">
        <f>"אלתא מערכות בע""מ"</f>
        <v>אלתא מערכות בע"מ</v>
      </c>
      <c r="I1713" t="str">
        <f>"10"</f>
        <v>10</v>
      </c>
      <c r="J1713" t="str">
        <f>"OP-AR02885"</f>
        <v>OP-AR02885</v>
      </c>
      <c r="K1713" t="str">
        <f>"1023B447-001   WSA118 CABLE ASSY"</f>
        <v>1023B447-001   WSA118 CABLE ASSY</v>
      </c>
      <c r="L1713">
        <v>2</v>
      </c>
      <c r="M1713" t="str">
        <f>"יח"</f>
        <v>יח</v>
      </c>
      <c r="N1713">
        <v>2</v>
      </c>
      <c r="O1713" t="str">
        <f>"יח"</f>
        <v>יח</v>
      </c>
      <c r="P1713" s="2">
        <v>1044.23</v>
      </c>
      <c r="Q1713" t="str">
        <f>"$"</f>
        <v>$</v>
      </c>
      <c r="R1713" t="str">
        <f>"הזמנה"</f>
        <v>הזמנה</v>
      </c>
      <c r="S1713">
        <v>0</v>
      </c>
      <c r="T1713" s="2">
        <v>2088.46</v>
      </c>
      <c r="U1713">
        <v>0</v>
      </c>
      <c r="V1713" s="2">
        <v>2088.46</v>
      </c>
      <c r="W1713" t="str">
        <f>"$"</f>
        <v>$</v>
      </c>
      <c r="X1713">
        <v>0</v>
      </c>
      <c r="Y1713">
        <v>0</v>
      </c>
      <c r="Z1713">
        <v>0</v>
      </c>
      <c r="AA1713" t="str">
        <f>"Y"</f>
        <v>Y</v>
      </c>
      <c r="AB1713" t="str">
        <f>"SO22000004"</f>
        <v>SO22000004</v>
      </c>
      <c r="AC1713">
        <v>10</v>
      </c>
      <c r="AD1713" s="1">
        <v>44564</v>
      </c>
      <c r="AE1713" t="str">
        <f>"SH22000364"</f>
        <v>SH22000364</v>
      </c>
      <c r="AF1713" t="str">
        <f>"משלוחים ללקוח"</f>
        <v>משלוחים ללקוח</v>
      </c>
      <c r="AG1713" s="1">
        <v>44651</v>
      </c>
      <c r="AM1713" t="str">
        <f>"10"</f>
        <v>10</v>
      </c>
      <c r="AN1713" t="str">
        <f>"500000"</f>
        <v>500000</v>
      </c>
      <c r="AO1713" t="str">
        <f>"הכנסות  מלקוחות"</f>
        <v>הכנסות  מלקוחות</v>
      </c>
      <c r="AQ1713" t="str">
        <f>"040"</f>
        <v>040</v>
      </c>
      <c r="AR1713">
        <v>0</v>
      </c>
      <c r="AS1713">
        <v>0</v>
      </c>
      <c r="AT1713">
        <v>3.1880000000000002</v>
      </c>
      <c r="AX1713" t="str">
        <f>"E000350605"</f>
        <v>E000350605</v>
      </c>
      <c r="BD1713" t="str">
        <f>"רחמים זרוק"</f>
        <v>רחמים זרוק</v>
      </c>
    </row>
    <row r="1714" spans="1:56" x14ac:dyDescent="0.3">
      <c r="A1714" s="1">
        <v>44651</v>
      </c>
      <c r="B1714" t="str">
        <f>"SI226000352"</f>
        <v>SI226000352</v>
      </c>
      <c r="C1714" t="str">
        <f>"PR21000890"</f>
        <v>PR21000890</v>
      </c>
      <c r="D1714" t="str">
        <f>"PR21000890"</f>
        <v>PR21000890</v>
      </c>
      <c r="E1714" t="str">
        <f>"Y"</f>
        <v>Y</v>
      </c>
      <c r="F1714" t="str">
        <f>"חשבוניות מרכזות"</f>
        <v>חשבוניות מרכזות</v>
      </c>
      <c r="G1714" t="str">
        <f>"700065"</f>
        <v>700065</v>
      </c>
      <c r="H1714" t="str">
        <f>"אלתא מערכות בע""מ"</f>
        <v>אלתא מערכות בע"מ</v>
      </c>
      <c r="I1714" t="str">
        <f>"10"</f>
        <v>10</v>
      </c>
      <c r="J1714" t="str">
        <f>"OP-AR02876"</f>
        <v>OP-AR02876</v>
      </c>
      <c r="K1714" t="str">
        <f>"1023B187-001   WSA124 CABLE ASSY"</f>
        <v>1023B187-001   WSA124 CABLE ASSY</v>
      </c>
      <c r="L1714">
        <v>2</v>
      </c>
      <c r="M1714" t="str">
        <f>"יח"</f>
        <v>יח</v>
      </c>
      <c r="N1714">
        <v>2</v>
      </c>
      <c r="O1714" t="str">
        <f>"יח"</f>
        <v>יח</v>
      </c>
      <c r="P1714" s="2">
        <v>1751.28</v>
      </c>
      <c r="Q1714" t="str">
        <f>"$"</f>
        <v>$</v>
      </c>
      <c r="R1714" t="str">
        <f>"הזמנה"</f>
        <v>הזמנה</v>
      </c>
      <c r="S1714">
        <v>0</v>
      </c>
      <c r="T1714" s="2">
        <v>3502.56</v>
      </c>
      <c r="U1714">
        <v>0</v>
      </c>
      <c r="V1714" s="2">
        <v>3502.56</v>
      </c>
      <c r="W1714" t="str">
        <f>"$"</f>
        <v>$</v>
      </c>
      <c r="X1714">
        <v>0</v>
      </c>
      <c r="Y1714">
        <v>0</v>
      </c>
      <c r="Z1714">
        <v>0</v>
      </c>
      <c r="AA1714" t="str">
        <f>"Y"</f>
        <v>Y</v>
      </c>
      <c r="AB1714" t="str">
        <f>"SO22000004"</f>
        <v>SO22000004</v>
      </c>
      <c r="AC1714">
        <v>1</v>
      </c>
      <c r="AD1714" s="1">
        <v>44564</v>
      </c>
      <c r="AE1714" t="str">
        <f>"SH22000361"</f>
        <v>SH22000361</v>
      </c>
      <c r="AF1714" t="str">
        <f>"משלוחים ללקוח"</f>
        <v>משלוחים ללקוח</v>
      </c>
      <c r="AG1714" s="1">
        <v>44650</v>
      </c>
      <c r="AM1714" t="str">
        <f>"10"</f>
        <v>10</v>
      </c>
      <c r="AN1714" t="str">
        <f>"500000"</f>
        <v>500000</v>
      </c>
      <c r="AO1714" t="str">
        <f>"הכנסות  מלקוחות"</f>
        <v>הכנסות  מלקוחות</v>
      </c>
      <c r="AQ1714" t="str">
        <f>"040"</f>
        <v>040</v>
      </c>
      <c r="AR1714">
        <v>0</v>
      </c>
      <c r="AS1714">
        <v>0</v>
      </c>
      <c r="AT1714">
        <v>3.1880000000000002</v>
      </c>
      <c r="AX1714" t="str">
        <f>"E000350605"</f>
        <v>E000350605</v>
      </c>
      <c r="BD1714" t="str">
        <f>"רחמים זרוק"</f>
        <v>רחמים זרוק</v>
      </c>
    </row>
    <row r="1715" spans="1:56" x14ac:dyDescent="0.3">
      <c r="A1715" s="1">
        <v>44651</v>
      </c>
      <c r="B1715" t="str">
        <f>"SI226000351"</f>
        <v>SI226000351</v>
      </c>
      <c r="C1715" t="str">
        <f>"PR21000890"</f>
        <v>PR21000890</v>
      </c>
      <c r="D1715" t="str">
        <f>"PR21000890"</f>
        <v>PR21000890</v>
      </c>
      <c r="E1715" t="str">
        <f>"Y"</f>
        <v>Y</v>
      </c>
      <c r="F1715" t="str">
        <f>"חשבוניות מרכזות"</f>
        <v>חשבוניות מרכזות</v>
      </c>
      <c r="G1715" t="str">
        <f>"700065"</f>
        <v>700065</v>
      </c>
      <c r="H1715" t="str">
        <f>"אלתא מערכות בע""מ"</f>
        <v>אלתא מערכות בע"מ</v>
      </c>
      <c r="I1715" t="str">
        <f>"10"</f>
        <v>10</v>
      </c>
      <c r="J1715" t="str">
        <f>"OP-AR02879"</f>
        <v>OP-AR02879</v>
      </c>
      <c r="K1715" t="str">
        <f>"1023B194-001   WSV131 CABLE ASSY"</f>
        <v>1023B194-001   WSV131 CABLE ASSY</v>
      </c>
      <c r="L1715">
        <v>2</v>
      </c>
      <c r="M1715" t="str">
        <f>"יח"</f>
        <v>יח</v>
      </c>
      <c r="N1715">
        <v>2</v>
      </c>
      <c r="O1715" t="str">
        <f>"יח"</f>
        <v>יח</v>
      </c>
      <c r="P1715">
        <v>602.48</v>
      </c>
      <c r="Q1715" t="str">
        <f>"$"</f>
        <v>$</v>
      </c>
      <c r="R1715" t="str">
        <f>"הזמנה"</f>
        <v>הזמנה</v>
      </c>
      <c r="S1715">
        <v>0</v>
      </c>
      <c r="T1715" s="2">
        <v>1204.96</v>
      </c>
      <c r="U1715">
        <v>0</v>
      </c>
      <c r="V1715" s="2">
        <v>1204.96</v>
      </c>
      <c r="W1715" t="str">
        <f>"$"</f>
        <v>$</v>
      </c>
      <c r="X1715">
        <v>0</v>
      </c>
      <c r="Y1715">
        <v>0</v>
      </c>
      <c r="Z1715">
        <v>0</v>
      </c>
      <c r="AA1715" t="str">
        <f>"Y"</f>
        <v>Y</v>
      </c>
      <c r="AB1715" t="str">
        <f>"SO22000004"</f>
        <v>SO22000004</v>
      </c>
      <c r="AC1715">
        <v>4</v>
      </c>
      <c r="AD1715" s="1">
        <v>44564</v>
      </c>
      <c r="AE1715" t="str">
        <f>"SH22000362"</f>
        <v>SH22000362</v>
      </c>
      <c r="AF1715" t="str">
        <f>"משלוחים ללקוח"</f>
        <v>משלוחים ללקוח</v>
      </c>
      <c r="AG1715" s="1">
        <v>44651</v>
      </c>
      <c r="AM1715" t="str">
        <f>"10"</f>
        <v>10</v>
      </c>
      <c r="AN1715" t="str">
        <f>"500000"</f>
        <v>500000</v>
      </c>
      <c r="AO1715" t="str">
        <f>"הכנסות  מלקוחות"</f>
        <v>הכנסות  מלקוחות</v>
      </c>
      <c r="AQ1715" t="str">
        <f>"040"</f>
        <v>040</v>
      </c>
      <c r="AR1715">
        <v>0</v>
      </c>
      <c r="AS1715">
        <v>0</v>
      </c>
      <c r="AT1715">
        <v>3.1880000000000002</v>
      </c>
      <c r="AX1715" t="str">
        <f>"E000350605"</f>
        <v>E000350605</v>
      </c>
      <c r="BD1715" t="str">
        <f>"רחמים זרוק"</f>
        <v>רחמים זרוק</v>
      </c>
    </row>
    <row r="1716" spans="1:56" x14ac:dyDescent="0.3">
      <c r="A1716" s="1">
        <v>44651</v>
      </c>
      <c r="B1716" t="str">
        <f>"SI226000350"</f>
        <v>SI226000350</v>
      </c>
      <c r="C1716" t="str">
        <f>"PR21000643"</f>
        <v>PR21000643</v>
      </c>
      <c r="E1716" t="str">
        <f>"Y"</f>
        <v>Y</v>
      </c>
      <c r="F1716" t="str">
        <f>"חשבוניות מרכזות"</f>
        <v>חשבוניות מרכזות</v>
      </c>
      <c r="G1716" t="str">
        <f>"700065"</f>
        <v>700065</v>
      </c>
      <c r="H1716" t="str">
        <f>"אלתא מערכות בע""מ"</f>
        <v>אלתא מערכות בע"מ</v>
      </c>
      <c r="I1716" t="str">
        <f>"10"</f>
        <v>10</v>
      </c>
      <c r="J1716" t="str">
        <f>"OP-AR02793"</f>
        <v>OP-AR02793</v>
      </c>
      <c r="K1716" t="str">
        <f>"2126B064-001   SHW4 - TEST Plug Signal CABLE ASSY"</f>
        <v>2126B064-001   SHW4 - TEST Plug Signal CABLE ASSY</v>
      </c>
      <c r="L1716">
        <v>1</v>
      </c>
      <c r="M1716" t="str">
        <f>"יח"</f>
        <v>יח</v>
      </c>
      <c r="N1716">
        <v>1</v>
      </c>
      <c r="O1716" t="str">
        <f>"יח"</f>
        <v>יח</v>
      </c>
      <c r="P1716">
        <v>953.73</v>
      </c>
      <c r="Q1716" t="str">
        <f>"$"</f>
        <v>$</v>
      </c>
      <c r="R1716" t="str">
        <f>"הזמנה"</f>
        <v>הזמנה</v>
      </c>
      <c r="S1716">
        <v>0</v>
      </c>
      <c r="T1716">
        <v>953.73</v>
      </c>
      <c r="U1716">
        <v>0</v>
      </c>
      <c r="V1716">
        <v>953.73</v>
      </c>
      <c r="W1716" t="str">
        <f>"$"</f>
        <v>$</v>
      </c>
      <c r="X1716">
        <v>0</v>
      </c>
      <c r="Y1716">
        <v>0</v>
      </c>
      <c r="Z1716">
        <v>0</v>
      </c>
      <c r="AA1716" t="str">
        <f>"Y"</f>
        <v>Y</v>
      </c>
      <c r="AB1716" t="str">
        <f>"SO21000406"</f>
        <v>SO21000406</v>
      </c>
      <c r="AC1716">
        <v>1</v>
      </c>
      <c r="AD1716" s="1">
        <v>44458</v>
      </c>
      <c r="AE1716" t="str">
        <f>"SH22000365"</f>
        <v>SH22000365</v>
      </c>
      <c r="AF1716" t="str">
        <f>"משלוחים ללקוח"</f>
        <v>משלוחים ללקוח</v>
      </c>
      <c r="AG1716" s="1">
        <v>44651</v>
      </c>
      <c r="AM1716" t="str">
        <f>"10"</f>
        <v>10</v>
      </c>
      <c r="AN1716" t="str">
        <f>"500000"</f>
        <v>500000</v>
      </c>
      <c r="AO1716" t="str">
        <f>"הכנסות  מלקוחות"</f>
        <v>הכנסות  מלקוחות</v>
      </c>
      <c r="AQ1716" t="str">
        <f>"040"</f>
        <v>040</v>
      </c>
      <c r="AR1716">
        <v>0</v>
      </c>
      <c r="AS1716">
        <v>0</v>
      </c>
      <c r="AT1716">
        <v>3.1880000000000002</v>
      </c>
      <c r="AX1716" t="str">
        <f>"E000345587"</f>
        <v>E000345587</v>
      </c>
      <c r="BD1716" t="str">
        <f>"רחמים זרוק"</f>
        <v>רחמים זרוק</v>
      </c>
    </row>
    <row r="1717" spans="1:56" x14ac:dyDescent="0.3">
      <c r="A1717" s="1">
        <v>44651</v>
      </c>
      <c r="B1717" t="str">
        <f>"SI226000349"</f>
        <v>SI226000349</v>
      </c>
      <c r="C1717" t="str">
        <f>"PR22000010"</f>
        <v>PR22000010</v>
      </c>
      <c r="E1717" t="str">
        <f>"Y"</f>
        <v>Y</v>
      </c>
      <c r="F1717" t="str">
        <f>"חשבוניות מרכזות"</f>
        <v>חשבוניות מרכזות</v>
      </c>
      <c r="G1717" t="str">
        <f>"700065"</f>
        <v>700065</v>
      </c>
      <c r="H1717" t="str">
        <f>"אלתא מערכות בע""מ"</f>
        <v>אלתא מערכות בע"מ</v>
      </c>
      <c r="I1717" t="str">
        <f>"10"</f>
        <v>10</v>
      </c>
      <c r="J1717" t="str">
        <f>"OP-AR02909"</f>
        <v>OP-AR02909</v>
      </c>
      <c r="K1717" t="str">
        <f>"1037N613-001    GU MB4 LOOPBACK PLUG"</f>
        <v>1037N613-001    GU MB4 LOOPBACK PLUG</v>
      </c>
      <c r="L1717">
        <v>4</v>
      </c>
      <c r="M1717" t="str">
        <f>"יח"</f>
        <v>יח</v>
      </c>
      <c r="N1717">
        <v>4</v>
      </c>
      <c r="O1717" t="str">
        <f>"יח"</f>
        <v>יח</v>
      </c>
      <c r="P1717">
        <v>224.39</v>
      </c>
      <c r="Q1717" t="str">
        <f>"$"</f>
        <v>$</v>
      </c>
      <c r="R1717" t="str">
        <f>"הזמנה"</f>
        <v>הזמנה</v>
      </c>
      <c r="S1717">
        <v>0</v>
      </c>
      <c r="T1717">
        <v>897.56</v>
      </c>
      <c r="U1717">
        <v>0</v>
      </c>
      <c r="V1717">
        <v>897.56</v>
      </c>
      <c r="W1717" t="str">
        <f>"$"</f>
        <v>$</v>
      </c>
      <c r="X1717">
        <v>0</v>
      </c>
      <c r="Y1717">
        <v>0</v>
      </c>
      <c r="Z1717">
        <v>0</v>
      </c>
      <c r="AA1717" t="str">
        <f>"Y"</f>
        <v>Y</v>
      </c>
      <c r="AB1717" t="str">
        <f>"SO22000007"</f>
        <v>SO22000007</v>
      </c>
      <c r="AC1717">
        <v>10</v>
      </c>
      <c r="AD1717" s="1">
        <v>44565</v>
      </c>
      <c r="AE1717" t="str">
        <f>"SH22000360"</f>
        <v>SH22000360</v>
      </c>
      <c r="AF1717" t="str">
        <f>"משלוחים ללקוח"</f>
        <v>משלוחים ללקוח</v>
      </c>
      <c r="AG1717" s="1">
        <v>44650</v>
      </c>
      <c r="AM1717" t="str">
        <f>"10"</f>
        <v>10</v>
      </c>
      <c r="AN1717" t="str">
        <f>"500000"</f>
        <v>500000</v>
      </c>
      <c r="AO1717" t="str">
        <f>"הכנסות  מלקוחות"</f>
        <v>הכנסות  מלקוחות</v>
      </c>
      <c r="AQ1717" t="str">
        <f>"040"</f>
        <v>040</v>
      </c>
      <c r="AR1717">
        <v>0</v>
      </c>
      <c r="AS1717">
        <v>0</v>
      </c>
      <c r="AT1717">
        <v>3.1880000000000002</v>
      </c>
      <c r="AX1717" t="str">
        <f>"E000353717"</f>
        <v>E000353717</v>
      </c>
      <c r="BD1717" t="str">
        <f>"רחמים זרוק"</f>
        <v>רחמים זרוק</v>
      </c>
    </row>
    <row r="1718" spans="1:56" x14ac:dyDescent="0.3">
      <c r="A1718" s="1">
        <v>44651</v>
      </c>
      <c r="B1718" t="str">
        <f>"SI226000348"</f>
        <v>SI226000348</v>
      </c>
      <c r="C1718" t="str">
        <f>"PR21000767"</f>
        <v>PR21000767</v>
      </c>
      <c r="D1718" t="str">
        <f>"PR21000767"</f>
        <v>PR21000767</v>
      </c>
      <c r="E1718" t="str">
        <f>"Y"</f>
        <v>Y</v>
      </c>
      <c r="F1718" t="str">
        <f>"חשבוניות מרכזות"</f>
        <v>חשבוניות מרכזות</v>
      </c>
      <c r="G1718" t="str">
        <f>"700065"</f>
        <v>700065</v>
      </c>
      <c r="H1718" t="str">
        <f>"אלתא מערכות בע""מ"</f>
        <v>אלתא מערכות בע"מ</v>
      </c>
      <c r="I1718" t="str">
        <f>"10"</f>
        <v>10</v>
      </c>
      <c r="J1718" t="str">
        <f>"OP-AR02829"</f>
        <v>OP-AR02829</v>
      </c>
      <c r="K1718" t="str">
        <f>"1039H858-001    HARNESS WY058 - PDU2 TO ADSB"</f>
        <v>1039H858-001    HARNESS WY058 - PDU2 TO ADSB</v>
      </c>
      <c r="L1718">
        <v>5</v>
      </c>
      <c r="M1718" t="str">
        <f>"יח"</f>
        <v>יח</v>
      </c>
      <c r="N1718">
        <v>5</v>
      </c>
      <c r="O1718" t="str">
        <f>"יח"</f>
        <v>יח</v>
      </c>
      <c r="P1718">
        <v>345.72</v>
      </c>
      <c r="Q1718" t="str">
        <f>"$"</f>
        <v>$</v>
      </c>
      <c r="R1718" t="str">
        <f>"הזמנה"</f>
        <v>הזמנה</v>
      </c>
      <c r="S1718">
        <v>0</v>
      </c>
      <c r="T1718" s="2">
        <v>1728.6</v>
      </c>
      <c r="U1718">
        <v>0</v>
      </c>
      <c r="V1718" s="2">
        <v>1728.6</v>
      </c>
      <c r="W1718" t="str">
        <f>"$"</f>
        <v>$</v>
      </c>
      <c r="X1718">
        <v>0</v>
      </c>
      <c r="Y1718">
        <v>0</v>
      </c>
      <c r="Z1718">
        <v>0</v>
      </c>
      <c r="AA1718" t="str">
        <f>"Y"</f>
        <v>Y</v>
      </c>
      <c r="AB1718" t="str">
        <f>"SO21000450"</f>
        <v>SO21000450</v>
      </c>
      <c r="AC1718">
        <v>1</v>
      </c>
      <c r="AD1718" s="1">
        <v>44497</v>
      </c>
      <c r="AE1718" t="str">
        <f>"SH22000366"</f>
        <v>SH22000366</v>
      </c>
      <c r="AF1718" t="str">
        <f>"משלוחים ללקוח"</f>
        <v>משלוחים ללקוח</v>
      </c>
      <c r="AG1718" s="1">
        <v>44651</v>
      </c>
      <c r="AM1718" t="str">
        <f>"10"</f>
        <v>10</v>
      </c>
      <c r="AN1718" t="str">
        <f>"500000"</f>
        <v>500000</v>
      </c>
      <c r="AO1718" t="str">
        <f>"הכנסות  מלקוחות"</f>
        <v>הכנסות  מלקוחות</v>
      </c>
      <c r="AQ1718" t="str">
        <f>"040"</f>
        <v>040</v>
      </c>
      <c r="AR1718">
        <v>0</v>
      </c>
      <c r="AS1718">
        <v>0</v>
      </c>
      <c r="AT1718">
        <v>3.1880000000000002</v>
      </c>
      <c r="AX1718" t="str">
        <f>"E000349592"</f>
        <v>E000349592</v>
      </c>
      <c r="BD1718" t="str">
        <f>"רחמים זרוק"</f>
        <v>רחמים זרוק</v>
      </c>
    </row>
    <row r="1719" spans="1:56" x14ac:dyDescent="0.3">
      <c r="A1719" s="1">
        <v>44651</v>
      </c>
      <c r="B1719" t="str">
        <f>"SI226000347"</f>
        <v>SI226000347</v>
      </c>
      <c r="C1719" t="str">
        <f>"PR21000890"</f>
        <v>PR21000890</v>
      </c>
      <c r="D1719" t="str">
        <f>"PR21000891"</f>
        <v>PR21000891</v>
      </c>
      <c r="E1719" t="str">
        <f>"Y"</f>
        <v>Y</v>
      </c>
      <c r="F1719" t="str">
        <f>"חשבוניות מרכזות"</f>
        <v>חשבוניות מרכזות</v>
      </c>
      <c r="G1719" t="str">
        <f>"700065"</f>
        <v>700065</v>
      </c>
      <c r="H1719" t="str">
        <f>"אלתא מערכות בע""מ"</f>
        <v>אלתא מערכות בע"מ</v>
      </c>
      <c r="I1719" t="str">
        <f>"10"</f>
        <v>10</v>
      </c>
      <c r="J1719" t="str">
        <f>"OP-AR02897"</f>
        <v>OP-AR02897</v>
      </c>
      <c r="K1719" t="str">
        <f>"2076B586-001    MW005 CABLE ASSY"</f>
        <v>2076B586-001    MW005 CABLE ASSY</v>
      </c>
      <c r="L1719">
        <v>1</v>
      </c>
      <c r="M1719" t="str">
        <f>"יח"</f>
        <v>יח</v>
      </c>
      <c r="N1719">
        <v>1</v>
      </c>
      <c r="O1719" t="str">
        <f>"יח"</f>
        <v>יח</v>
      </c>
      <c r="P1719">
        <v>359.6</v>
      </c>
      <c r="Q1719" t="str">
        <f>"$"</f>
        <v>$</v>
      </c>
      <c r="R1719" t="str">
        <f>"הזמנה"</f>
        <v>הזמנה</v>
      </c>
      <c r="S1719">
        <v>0</v>
      </c>
      <c r="T1719">
        <v>359.6</v>
      </c>
      <c r="U1719">
        <v>0</v>
      </c>
      <c r="V1719">
        <v>359.6</v>
      </c>
      <c r="W1719" t="str">
        <f>"$"</f>
        <v>$</v>
      </c>
      <c r="X1719">
        <v>0</v>
      </c>
      <c r="Y1719">
        <v>0</v>
      </c>
      <c r="Z1719">
        <v>0</v>
      </c>
      <c r="AA1719" t="str">
        <f>"Y"</f>
        <v>Y</v>
      </c>
      <c r="AB1719" t="str">
        <f>"SO22000006"</f>
        <v>SO22000006</v>
      </c>
      <c r="AC1719">
        <v>6</v>
      </c>
      <c r="AD1719" s="1">
        <v>44565</v>
      </c>
      <c r="AE1719" t="str">
        <f>"SH22000363"</f>
        <v>SH22000363</v>
      </c>
      <c r="AF1719" t="str">
        <f>"משלוחים ללקוח"</f>
        <v>משלוחים ללקוח</v>
      </c>
      <c r="AG1719" s="1">
        <v>44651</v>
      </c>
      <c r="AM1719" t="str">
        <f>"10"</f>
        <v>10</v>
      </c>
      <c r="AN1719" t="str">
        <f>"500000"</f>
        <v>500000</v>
      </c>
      <c r="AO1719" t="str">
        <f>"הכנסות  מלקוחות"</f>
        <v>הכנסות  מלקוחות</v>
      </c>
      <c r="AQ1719" t="str">
        <f>"040"</f>
        <v>040</v>
      </c>
      <c r="AR1719">
        <v>0</v>
      </c>
      <c r="AS1719">
        <v>0</v>
      </c>
      <c r="AT1719">
        <v>3.1880000000000002</v>
      </c>
      <c r="AX1719" t="str">
        <f>"E000352407"</f>
        <v>E000352407</v>
      </c>
      <c r="BD1719" t="str">
        <f>"רחמים זרוק"</f>
        <v>רחמים זרוק</v>
      </c>
    </row>
    <row r="1720" spans="1:56" x14ac:dyDescent="0.3">
      <c r="A1720" s="1">
        <v>44651</v>
      </c>
      <c r="B1720" t="str">
        <f>"SI226000346"</f>
        <v>SI226000346</v>
      </c>
      <c r="C1720" t="str">
        <f>"PR21000891"</f>
        <v>PR21000891</v>
      </c>
      <c r="D1720" t="str">
        <f>"PR21000891"</f>
        <v>PR21000891</v>
      </c>
      <c r="E1720" t="str">
        <f>"Y"</f>
        <v>Y</v>
      </c>
      <c r="F1720" t="str">
        <f>"חשבוניות מרכזות"</f>
        <v>חשבוניות מרכזות</v>
      </c>
      <c r="G1720" t="str">
        <f>"700065"</f>
        <v>700065</v>
      </c>
      <c r="H1720" t="str">
        <f>"אלתא מערכות בע""מ"</f>
        <v>אלתא מערכות בע"מ</v>
      </c>
      <c r="I1720" t="str">
        <f>"10"</f>
        <v>10</v>
      </c>
      <c r="J1720" t="str">
        <f>"OP-AR02893"</f>
        <v>OP-AR02893</v>
      </c>
      <c r="K1720" t="str">
        <f>"1032G434-001    TAM-CE102 CABLE"</f>
        <v>1032G434-001    TAM-CE102 CABLE</v>
      </c>
      <c r="L1720">
        <v>1</v>
      </c>
      <c r="M1720" t="str">
        <f>"יח"</f>
        <v>יח</v>
      </c>
      <c r="N1720">
        <v>1</v>
      </c>
      <c r="O1720" t="str">
        <f>"יח"</f>
        <v>יח</v>
      </c>
      <c r="P1720">
        <v>400.52</v>
      </c>
      <c r="Q1720" t="str">
        <f>"$"</f>
        <v>$</v>
      </c>
      <c r="R1720" t="str">
        <f>"הזמנה"</f>
        <v>הזמנה</v>
      </c>
      <c r="S1720">
        <v>0</v>
      </c>
      <c r="T1720">
        <v>400.52</v>
      </c>
      <c r="U1720">
        <v>0</v>
      </c>
      <c r="V1720">
        <v>400.52</v>
      </c>
      <c r="W1720" t="str">
        <f>"$"</f>
        <v>$</v>
      </c>
      <c r="X1720">
        <v>0</v>
      </c>
      <c r="Y1720">
        <v>0</v>
      </c>
      <c r="Z1720">
        <v>0</v>
      </c>
      <c r="AA1720" t="str">
        <f>"Y"</f>
        <v>Y</v>
      </c>
      <c r="AB1720" t="str">
        <f>"SO22000006"</f>
        <v>SO22000006</v>
      </c>
      <c r="AC1720">
        <v>2</v>
      </c>
      <c r="AD1720" s="1">
        <v>44565</v>
      </c>
      <c r="AE1720" t="str">
        <f>"SH22000359"</f>
        <v>SH22000359</v>
      </c>
      <c r="AF1720" t="str">
        <f>"משלוחים ללקוח"</f>
        <v>משלוחים ללקוח</v>
      </c>
      <c r="AG1720" s="1">
        <v>44650</v>
      </c>
      <c r="AM1720" t="str">
        <f>"10"</f>
        <v>10</v>
      </c>
      <c r="AN1720" t="str">
        <f>"500000"</f>
        <v>500000</v>
      </c>
      <c r="AO1720" t="str">
        <f>"הכנסות  מלקוחות"</f>
        <v>הכנסות  מלקוחות</v>
      </c>
      <c r="AQ1720" t="str">
        <f>"040"</f>
        <v>040</v>
      </c>
      <c r="AR1720">
        <v>0</v>
      </c>
      <c r="AS1720">
        <v>0</v>
      </c>
      <c r="AT1720">
        <v>3.1880000000000002</v>
      </c>
      <c r="AX1720" t="str">
        <f>"E000352407"</f>
        <v>E000352407</v>
      </c>
      <c r="BD1720" t="str">
        <f>"רחמים זרוק"</f>
        <v>רחמים זרוק</v>
      </c>
    </row>
    <row r="1721" spans="1:56" x14ac:dyDescent="0.3">
      <c r="A1721" s="1">
        <v>44650</v>
      </c>
      <c r="B1721" t="str">
        <f>"SI226000368"</f>
        <v>SI226000368</v>
      </c>
      <c r="E1721" t="str">
        <f>"Y"</f>
        <v>Y</v>
      </c>
      <c r="F1721" t="str">
        <f>"חשבוניות מרכזות"</f>
        <v>חשבוניות מרכזות</v>
      </c>
      <c r="G1721" t="str">
        <f>"700065"</f>
        <v>700065</v>
      </c>
      <c r="H1721" t="str">
        <f>"אלתא מערכות בע""מ"</f>
        <v>אלתא מערכות בע"מ</v>
      </c>
      <c r="I1721" t="str">
        <f>"10"</f>
        <v>10</v>
      </c>
      <c r="J1721" t="str">
        <f>"000"</f>
        <v>000</v>
      </c>
      <c r="K1721" t="str">
        <f>"כיסוי, הנפה מפינות עליונות) לאנליזת חוזק שבוצעה בפרויקט MDN"</f>
        <v>כיסוי, הנפה מפינות עליונות) לאנליזת חוזק שבוצעה בפרויקט MDN</v>
      </c>
      <c r="L1721">
        <v>1</v>
      </c>
      <c r="M1721" t="str">
        <f>"יח"</f>
        <v>יח</v>
      </c>
      <c r="N1721">
        <v>1</v>
      </c>
      <c r="O1721" t="str">
        <f>"יח"</f>
        <v>יח</v>
      </c>
      <c r="P1721" s="2">
        <v>14550</v>
      </c>
      <c r="Q1721" t="str">
        <f>"$"</f>
        <v>$</v>
      </c>
      <c r="R1721" t="str">
        <f>"הזמנה"</f>
        <v>הזמנה</v>
      </c>
      <c r="S1721">
        <v>0</v>
      </c>
      <c r="T1721" s="2">
        <v>14550</v>
      </c>
      <c r="U1721">
        <v>0</v>
      </c>
      <c r="V1721" s="2">
        <v>14550</v>
      </c>
      <c r="W1721" t="str">
        <f>"$"</f>
        <v>$</v>
      </c>
      <c r="X1721">
        <v>0</v>
      </c>
      <c r="Y1721">
        <v>0</v>
      </c>
      <c r="Z1721">
        <v>0</v>
      </c>
      <c r="AA1721" t="str">
        <f>"Y"</f>
        <v>Y</v>
      </c>
      <c r="AB1721" t="str">
        <f>"SO22000027"</f>
        <v>SO22000027</v>
      </c>
      <c r="AC1721">
        <v>1</v>
      </c>
      <c r="AD1721" s="1">
        <v>44650</v>
      </c>
      <c r="AM1721" t="str">
        <f>"10"</f>
        <v>10</v>
      </c>
      <c r="AN1721" t="str">
        <f>"500000"</f>
        <v>500000</v>
      </c>
      <c r="AO1721" t="str">
        <f>"הכנסות  מלקוחות"</f>
        <v>הכנסות  מלקוחות</v>
      </c>
      <c r="AQ1721" t="str">
        <f>"007"</f>
        <v>007</v>
      </c>
      <c r="AR1721">
        <v>0</v>
      </c>
      <c r="AS1721">
        <v>0</v>
      </c>
      <c r="AT1721">
        <v>3.1880000000000002</v>
      </c>
      <c r="AX1721" t="str">
        <f>"E000355846"</f>
        <v>E000355846</v>
      </c>
      <c r="BD1721" t="str">
        <f>"רוני דידי"</f>
        <v>רוני דידי</v>
      </c>
    </row>
    <row r="1722" spans="1:56" x14ac:dyDescent="0.3">
      <c r="A1722" s="1">
        <v>44650</v>
      </c>
      <c r="B1722" t="str">
        <f>"SI226000367"</f>
        <v>SI226000367</v>
      </c>
      <c r="C1722" t="str">
        <f>"PR22000164"</f>
        <v>PR22000164</v>
      </c>
      <c r="E1722" t="str">
        <f>"Y"</f>
        <v>Y</v>
      </c>
      <c r="F1722" t="str">
        <f>"חשבוניות מרכזות"</f>
        <v>חשבוניות מרכזות</v>
      </c>
      <c r="G1722" t="str">
        <f>"700065"</f>
        <v>700065</v>
      </c>
      <c r="H1722" t="str">
        <f>"אלתא מערכות בע""מ"</f>
        <v>אלתא מערכות בע"מ</v>
      </c>
      <c r="I1722" t="str">
        <f>"10"</f>
        <v>10</v>
      </c>
      <c r="J1722" t="str">
        <f>"PD0300506"</f>
        <v>PD0300506</v>
      </c>
      <c r="K1722" t="str">
        <f>"מתמר זרם MCR-SL-CUC-100-I - 2308027 AC/DC 100A"</f>
        <v>מתמר זרם MCR-SL-CUC-100-I - 2308027 AC/DC 100A</v>
      </c>
      <c r="L1722">
        <v>-1</v>
      </c>
      <c r="M1722" t="str">
        <f>"יח"</f>
        <v>יח</v>
      </c>
      <c r="N1722">
        <v>-1</v>
      </c>
      <c r="O1722" t="str">
        <f>"יח"</f>
        <v>יח</v>
      </c>
      <c r="P1722">
        <v>660</v>
      </c>
      <c r="Q1722" t="str">
        <f>"$"</f>
        <v>$</v>
      </c>
      <c r="R1722" t="str">
        <f>"ידני"</f>
        <v>ידני</v>
      </c>
      <c r="S1722">
        <v>0</v>
      </c>
      <c r="T1722">
        <v>-660</v>
      </c>
      <c r="U1722">
        <v>0</v>
      </c>
      <c r="V1722">
        <v>-660</v>
      </c>
      <c r="W1722" t="str">
        <f>"$"</f>
        <v>$</v>
      </c>
      <c r="X1722">
        <v>0</v>
      </c>
      <c r="Y1722">
        <v>0</v>
      </c>
      <c r="Z1722">
        <v>0</v>
      </c>
      <c r="AA1722" t="str">
        <f>"Y"</f>
        <v>Y</v>
      </c>
      <c r="AC1722">
        <v>0</v>
      </c>
      <c r="AM1722" t="str">
        <f>"10"</f>
        <v>10</v>
      </c>
      <c r="AN1722" t="str">
        <f>"500000"</f>
        <v>500000</v>
      </c>
      <c r="AO1722" t="str">
        <f>"הכנסות  מלקוחות"</f>
        <v>הכנסות  מלקוחות</v>
      </c>
      <c r="AQ1722" t="str">
        <f>"034"</f>
        <v>034</v>
      </c>
      <c r="AR1722">
        <v>0</v>
      </c>
      <c r="AS1722">
        <v>0</v>
      </c>
      <c r="AT1722">
        <v>3.2170000000000001</v>
      </c>
      <c r="BB1722" t="str">
        <f>"Y"</f>
        <v>Y</v>
      </c>
      <c r="BD1722" t="str">
        <f>"ערן שלו"</f>
        <v>ערן שלו</v>
      </c>
    </row>
    <row r="1723" spans="1:56" x14ac:dyDescent="0.3">
      <c r="A1723" s="1">
        <v>44650</v>
      </c>
      <c r="B1723" t="str">
        <f>"SI226000345"</f>
        <v>SI226000345</v>
      </c>
      <c r="C1723" t="str">
        <f>"PR22000164"</f>
        <v>PR22000164</v>
      </c>
      <c r="E1723" t="str">
        <f>"Y"</f>
        <v>Y</v>
      </c>
      <c r="F1723" t="str">
        <f>"חשבוניות מרכזות"</f>
        <v>חשבוניות מרכזות</v>
      </c>
      <c r="G1723" t="str">
        <f>"700065"</f>
        <v>700065</v>
      </c>
      <c r="H1723" t="str">
        <f>"אלתא מערכות בע""מ"</f>
        <v>אלתא מערכות בע"מ</v>
      </c>
      <c r="I1723" t="str">
        <f>"10"</f>
        <v>10</v>
      </c>
      <c r="J1723" t="str">
        <f>"PD0300506"</f>
        <v>PD0300506</v>
      </c>
      <c r="K1723" t="str">
        <f>"מתמר זרם MCR-SL-CUC-100-I - 2308027 AC/DC 100A"</f>
        <v>מתמר זרם MCR-SL-CUC-100-I - 2308027 AC/DC 100A</v>
      </c>
      <c r="L1723">
        <v>1</v>
      </c>
      <c r="M1723" t="str">
        <f>"יח"</f>
        <v>יח</v>
      </c>
      <c r="N1723">
        <v>1</v>
      </c>
      <c r="O1723" t="str">
        <f>"יח"</f>
        <v>יח</v>
      </c>
      <c r="P1723">
        <v>660</v>
      </c>
      <c r="Q1723" t="str">
        <f>"$"</f>
        <v>$</v>
      </c>
      <c r="R1723" t="str">
        <f>"ידני"</f>
        <v>ידני</v>
      </c>
      <c r="S1723">
        <v>0</v>
      </c>
      <c r="T1723">
        <v>660</v>
      </c>
      <c r="U1723">
        <v>0</v>
      </c>
      <c r="V1723">
        <v>660</v>
      </c>
      <c r="W1723" t="str">
        <f>"$"</f>
        <v>$</v>
      </c>
      <c r="X1723">
        <v>0</v>
      </c>
      <c r="Y1723">
        <v>0</v>
      </c>
      <c r="Z1723">
        <v>0</v>
      </c>
      <c r="AA1723" t="str">
        <f>"Y"</f>
        <v>Y</v>
      </c>
      <c r="AC1723">
        <v>0</v>
      </c>
      <c r="AM1723" t="str">
        <f>"10"</f>
        <v>10</v>
      </c>
      <c r="AN1723" t="str">
        <f>"500000"</f>
        <v>500000</v>
      </c>
      <c r="AO1723" t="str">
        <f>"הכנסות  מלקוחות"</f>
        <v>הכנסות  מלקוחות</v>
      </c>
      <c r="AQ1723" t="str">
        <f>"034"</f>
        <v>034</v>
      </c>
      <c r="AR1723">
        <v>0</v>
      </c>
      <c r="AS1723">
        <v>0</v>
      </c>
      <c r="AT1723">
        <v>3.2170000000000001</v>
      </c>
      <c r="BB1723" t="str">
        <f>"Y"</f>
        <v>Y</v>
      </c>
      <c r="BD1723" t="str">
        <f>"ערן שלו"</f>
        <v>ערן שלו</v>
      </c>
    </row>
    <row r="1724" spans="1:56" x14ac:dyDescent="0.3">
      <c r="A1724" s="1">
        <v>44649</v>
      </c>
      <c r="B1724" t="str">
        <f>"SI226000344"</f>
        <v>SI226000344</v>
      </c>
      <c r="C1724" t="str">
        <f>"PR22000164"</f>
        <v>PR22000164</v>
      </c>
      <c r="E1724" t="str">
        <f>"Y"</f>
        <v>Y</v>
      </c>
      <c r="F1724" t="str">
        <f>"חשבוניות מרכזות"</f>
        <v>חשבוניות מרכזות</v>
      </c>
      <c r="G1724" t="str">
        <f>"700065"</f>
        <v>700065</v>
      </c>
      <c r="H1724" t="str">
        <f>"אלתא מערכות בע""מ"</f>
        <v>אלתא מערכות בע"מ</v>
      </c>
      <c r="I1724" t="str">
        <f>"10"</f>
        <v>10</v>
      </c>
      <c r="J1724" t="str">
        <f>"PD0300506"</f>
        <v>PD0300506</v>
      </c>
      <c r="K1724" t="str">
        <f>"מתמר זרם MCR-SL-CUC-100-I - 2308027 AC/DC 100A"</f>
        <v>מתמר זרם MCR-SL-CUC-100-I - 2308027 AC/DC 100A</v>
      </c>
      <c r="L1724">
        <v>-1</v>
      </c>
      <c r="M1724" t="str">
        <f>"יח"</f>
        <v>יח</v>
      </c>
      <c r="N1724">
        <v>-1</v>
      </c>
      <c r="O1724" t="str">
        <f>"יח"</f>
        <v>יח</v>
      </c>
      <c r="P1724">
        <v>660</v>
      </c>
      <c r="Q1724" t="str">
        <f>"$"</f>
        <v>$</v>
      </c>
      <c r="R1724" t="str">
        <f>"ידני"</f>
        <v>ידני</v>
      </c>
      <c r="S1724">
        <v>0</v>
      </c>
      <c r="T1724">
        <v>-660</v>
      </c>
      <c r="U1724">
        <v>0</v>
      </c>
      <c r="V1724">
        <v>-660</v>
      </c>
      <c r="W1724" t="str">
        <f>"$"</f>
        <v>$</v>
      </c>
      <c r="X1724">
        <v>0</v>
      </c>
      <c r="Y1724">
        <v>0</v>
      </c>
      <c r="Z1724">
        <v>0</v>
      </c>
      <c r="AA1724" t="str">
        <f>"Y"</f>
        <v>Y</v>
      </c>
      <c r="AC1724">
        <v>0</v>
      </c>
      <c r="AM1724" t="str">
        <f>"10"</f>
        <v>10</v>
      </c>
      <c r="AN1724" t="str">
        <f>"500000"</f>
        <v>500000</v>
      </c>
      <c r="AO1724" t="str">
        <f>"הכנסות  מלקוחות"</f>
        <v>הכנסות  מלקוחות</v>
      </c>
      <c r="AQ1724" t="str">
        <f>"034"</f>
        <v>034</v>
      </c>
      <c r="AR1724">
        <v>0</v>
      </c>
      <c r="AS1724">
        <v>0</v>
      </c>
      <c r="AT1724">
        <v>3.2170000000000001</v>
      </c>
      <c r="BB1724" t="str">
        <f>"Y"</f>
        <v>Y</v>
      </c>
      <c r="BD1724" t="str">
        <f>"ערן שלו"</f>
        <v>ערן שלו</v>
      </c>
    </row>
    <row r="1725" spans="1:56" x14ac:dyDescent="0.3">
      <c r="A1725" s="1">
        <v>44649</v>
      </c>
      <c r="B1725" t="str">
        <f>"SI226000343"</f>
        <v>SI226000343</v>
      </c>
      <c r="C1725" t="str">
        <f>"PR22000164"</f>
        <v>PR22000164</v>
      </c>
      <c r="E1725" t="str">
        <f>"Y"</f>
        <v>Y</v>
      </c>
      <c r="F1725" t="str">
        <f>"חשבוניות מרכזות"</f>
        <v>חשבוניות מרכזות</v>
      </c>
      <c r="G1725" t="str">
        <f>"700065"</f>
        <v>700065</v>
      </c>
      <c r="H1725" t="str">
        <f>"אלתא מערכות בע""מ"</f>
        <v>אלתא מערכות בע"מ</v>
      </c>
      <c r="I1725" t="str">
        <f>"10"</f>
        <v>10</v>
      </c>
      <c r="J1725" t="str">
        <f>"PD0300506"</f>
        <v>PD0300506</v>
      </c>
      <c r="K1725" t="str">
        <f>"מתמר זרם MCR-SL-CUC-100-I - 2308027 AC/DC 100A"</f>
        <v>מתמר זרם MCR-SL-CUC-100-I - 2308027 AC/DC 100A</v>
      </c>
      <c r="L1725">
        <v>1</v>
      </c>
      <c r="M1725" t="str">
        <f>"יח"</f>
        <v>יח</v>
      </c>
      <c r="N1725">
        <v>1</v>
      </c>
      <c r="O1725" t="str">
        <f>"יח"</f>
        <v>יח</v>
      </c>
      <c r="P1725">
        <v>660</v>
      </c>
      <c r="Q1725" t="str">
        <f>"$"</f>
        <v>$</v>
      </c>
      <c r="R1725" t="str">
        <f>"ידני"</f>
        <v>ידני</v>
      </c>
      <c r="S1725">
        <v>0</v>
      </c>
      <c r="T1725">
        <v>660</v>
      </c>
      <c r="U1725">
        <v>0</v>
      </c>
      <c r="V1725">
        <v>660</v>
      </c>
      <c r="W1725" t="str">
        <f>"$"</f>
        <v>$</v>
      </c>
      <c r="X1725">
        <v>0</v>
      </c>
      <c r="Y1725">
        <v>0</v>
      </c>
      <c r="Z1725">
        <v>0</v>
      </c>
      <c r="AA1725" t="str">
        <f>"Y"</f>
        <v>Y</v>
      </c>
      <c r="AC1725">
        <v>0</v>
      </c>
      <c r="AM1725" t="str">
        <f>"10"</f>
        <v>10</v>
      </c>
      <c r="AN1725" t="str">
        <f>"500000"</f>
        <v>500000</v>
      </c>
      <c r="AO1725" t="str">
        <f>"הכנסות  מלקוחות"</f>
        <v>הכנסות  מלקוחות</v>
      </c>
      <c r="AQ1725" t="str">
        <f>"034"</f>
        <v>034</v>
      </c>
      <c r="AR1725">
        <v>0</v>
      </c>
      <c r="AS1725">
        <v>0</v>
      </c>
      <c r="AT1725">
        <v>3.2170000000000001</v>
      </c>
      <c r="BB1725" t="str">
        <f>"Y"</f>
        <v>Y</v>
      </c>
      <c r="BD1725" t="str">
        <f>"ערן שלו"</f>
        <v>ערן שלו</v>
      </c>
    </row>
    <row r="1726" spans="1:56" x14ac:dyDescent="0.3">
      <c r="A1726" s="1">
        <v>44644</v>
      </c>
      <c r="B1726" t="str">
        <f>"SI226000466"</f>
        <v>SI226000466</v>
      </c>
      <c r="C1726" t="str">
        <f>"PR22000010"</f>
        <v>PR22000010</v>
      </c>
      <c r="E1726" t="str">
        <f>"Y"</f>
        <v>Y</v>
      </c>
      <c r="F1726" t="str">
        <f>"חשבוניות מרכזות"</f>
        <v>חשבוניות מרכזות</v>
      </c>
      <c r="G1726" t="str">
        <f>"700065"</f>
        <v>700065</v>
      </c>
      <c r="H1726" t="str">
        <f>"אלתא מערכות בע""מ"</f>
        <v>אלתא מערכות בע"מ</v>
      </c>
      <c r="I1726" t="str">
        <f>"10"</f>
        <v>10</v>
      </c>
      <c r="J1726" t="str">
        <f>"OP-AR02915"</f>
        <v>OP-AR02915</v>
      </c>
      <c r="K1726" t="str">
        <f>"9000Y504-001    HARNESS WA004 - INTERNAL PWR AND CONT TO"</f>
        <v>9000Y504-001    HARNESS WA004 - INTERNAL PWR AND CONT TO</v>
      </c>
      <c r="L1726">
        <v>10</v>
      </c>
      <c r="M1726" t="str">
        <f>"יח"</f>
        <v>יח</v>
      </c>
      <c r="N1726">
        <v>10</v>
      </c>
      <c r="O1726" t="str">
        <f>"יח"</f>
        <v>יח</v>
      </c>
      <c r="P1726">
        <v>184.17</v>
      </c>
      <c r="Q1726" t="str">
        <f>"$"</f>
        <v>$</v>
      </c>
      <c r="R1726" t="str">
        <f>"הזמנה"</f>
        <v>הזמנה</v>
      </c>
      <c r="S1726">
        <v>0</v>
      </c>
      <c r="T1726" s="2">
        <v>1841.7</v>
      </c>
      <c r="U1726">
        <v>0</v>
      </c>
      <c r="V1726" s="2">
        <v>1841.7</v>
      </c>
      <c r="W1726" t="str">
        <f>"$"</f>
        <v>$</v>
      </c>
      <c r="X1726">
        <v>0</v>
      </c>
      <c r="Y1726">
        <v>0</v>
      </c>
      <c r="Z1726">
        <v>0</v>
      </c>
      <c r="AA1726" t="str">
        <f>"Y"</f>
        <v>Y</v>
      </c>
      <c r="AB1726" t="str">
        <f>"SO22000007"</f>
        <v>SO22000007</v>
      </c>
      <c r="AC1726">
        <v>16</v>
      </c>
      <c r="AD1726" s="1">
        <v>44565</v>
      </c>
      <c r="AE1726" t="str">
        <f>"SH22000339"</f>
        <v>SH22000339</v>
      </c>
      <c r="AF1726" t="str">
        <f>"משלוחים ללקוח"</f>
        <v>משלוחים ללקוח</v>
      </c>
      <c r="AG1726" s="1">
        <v>44644</v>
      </c>
      <c r="AM1726" t="str">
        <f>"10"</f>
        <v>10</v>
      </c>
      <c r="AN1726" t="str">
        <f>"500000"</f>
        <v>500000</v>
      </c>
      <c r="AO1726" t="str">
        <f>"הכנסות  מלקוחות"</f>
        <v>הכנסות  מלקוחות</v>
      </c>
      <c r="AQ1726" t="str">
        <f>"040"</f>
        <v>040</v>
      </c>
      <c r="AR1726">
        <v>0</v>
      </c>
      <c r="AS1726">
        <v>0</v>
      </c>
      <c r="AT1726">
        <v>3.2210000000000001</v>
      </c>
      <c r="AX1726" t="str">
        <f>"E000353717"</f>
        <v>E000353717</v>
      </c>
      <c r="BD1726" t="str">
        <f>"רחמים זרוק"</f>
        <v>רחמים זרוק</v>
      </c>
    </row>
    <row r="1727" spans="1:56" x14ac:dyDescent="0.3">
      <c r="A1727" s="1">
        <v>44644</v>
      </c>
      <c r="B1727" t="str">
        <f>"SI226000465"</f>
        <v>SI226000465</v>
      </c>
      <c r="C1727" t="str">
        <f>"PR22000010"</f>
        <v>PR22000010</v>
      </c>
      <c r="E1727" t="str">
        <f>"Y"</f>
        <v>Y</v>
      </c>
      <c r="F1727" t="str">
        <f>"חשבוניות מרכזות"</f>
        <v>חשבוניות מרכזות</v>
      </c>
      <c r="G1727" t="str">
        <f>"700065"</f>
        <v>700065</v>
      </c>
      <c r="H1727" t="str">
        <f>"אלתא מערכות בע""מ"</f>
        <v>אלתא מערכות בע"מ</v>
      </c>
      <c r="I1727" t="str">
        <f>"10"</f>
        <v>10</v>
      </c>
      <c r="J1727" t="str">
        <f>"OP-AR02915"</f>
        <v>OP-AR02915</v>
      </c>
      <c r="K1727" t="str">
        <f>"9000Y504-001    HARNESS WA004 - INTERNAL PWR AND CONT TO"</f>
        <v>9000Y504-001    HARNESS WA004 - INTERNAL PWR AND CONT TO</v>
      </c>
      <c r="L1727">
        <v>-10</v>
      </c>
      <c r="M1727" t="str">
        <f>"יח"</f>
        <v>יח</v>
      </c>
      <c r="N1727">
        <v>-10</v>
      </c>
      <c r="O1727" t="str">
        <f>"יח"</f>
        <v>יח</v>
      </c>
      <c r="P1727">
        <v>184.17</v>
      </c>
      <c r="Q1727" t="str">
        <f>"$"</f>
        <v>$</v>
      </c>
      <c r="R1727" t="str">
        <f>"הזמנה"</f>
        <v>הזמנה</v>
      </c>
      <c r="S1727">
        <v>0</v>
      </c>
      <c r="T1727" s="2">
        <v>-1841.7</v>
      </c>
      <c r="U1727">
        <v>0</v>
      </c>
      <c r="V1727" s="2">
        <v>-1841.7</v>
      </c>
      <c r="W1727" t="str">
        <f>"$"</f>
        <v>$</v>
      </c>
      <c r="X1727">
        <v>0</v>
      </c>
      <c r="Y1727">
        <v>0</v>
      </c>
      <c r="Z1727">
        <v>0</v>
      </c>
      <c r="AA1727" t="str">
        <f>"Y"</f>
        <v>Y</v>
      </c>
      <c r="AC1727">
        <v>0</v>
      </c>
      <c r="AM1727" t="str">
        <f>"10"</f>
        <v>10</v>
      </c>
      <c r="AN1727" t="str">
        <f>"500000"</f>
        <v>500000</v>
      </c>
      <c r="AO1727" t="str">
        <f>"הכנסות  מלקוחות"</f>
        <v>הכנסות  מלקוחות</v>
      </c>
      <c r="AQ1727" t="str">
        <f>"040"</f>
        <v>040</v>
      </c>
      <c r="AR1727">
        <v>0</v>
      </c>
      <c r="AS1727">
        <v>0</v>
      </c>
      <c r="AT1727">
        <v>3.3170000000000002</v>
      </c>
      <c r="BB1727" t="str">
        <f>"Y"</f>
        <v>Y</v>
      </c>
      <c r="BD1727" t="str">
        <f>"רחמים זרוק"</f>
        <v>רחמים זרוק</v>
      </c>
    </row>
    <row r="1728" spans="1:56" x14ac:dyDescent="0.3">
      <c r="A1728" s="1">
        <v>44644</v>
      </c>
      <c r="B1728" t="str">
        <f>"SI226000464"</f>
        <v>SI226000464</v>
      </c>
      <c r="C1728" t="str">
        <f>"PR22000010"</f>
        <v>PR22000010</v>
      </c>
      <c r="E1728" t="str">
        <f>"Y"</f>
        <v>Y</v>
      </c>
      <c r="F1728" t="str">
        <f>"חשבוניות מרכזות"</f>
        <v>חשבוניות מרכזות</v>
      </c>
      <c r="G1728" t="str">
        <f>"700065"</f>
        <v>700065</v>
      </c>
      <c r="H1728" t="str">
        <f>"אלתא מערכות בע""מ"</f>
        <v>אלתא מערכות בע"מ</v>
      </c>
      <c r="I1728" t="str">
        <f>"10"</f>
        <v>10</v>
      </c>
      <c r="J1728" t="str">
        <f>"OP-AR02915"</f>
        <v>OP-AR02915</v>
      </c>
      <c r="K1728" t="str">
        <f>"9000Y504-001    HARNESS WA004 - INTERNAL PWR AND CONT TO"</f>
        <v>9000Y504-001    HARNESS WA004 - INTERNAL PWR AND CONT TO</v>
      </c>
      <c r="L1728">
        <v>10</v>
      </c>
      <c r="M1728" t="str">
        <f>"יח"</f>
        <v>יח</v>
      </c>
      <c r="N1728">
        <v>10</v>
      </c>
      <c r="O1728" t="str">
        <f>"יח"</f>
        <v>יח</v>
      </c>
      <c r="P1728">
        <v>184.17</v>
      </c>
      <c r="Q1728" t="str">
        <f>"$"</f>
        <v>$</v>
      </c>
      <c r="R1728" t="str">
        <f>"הזמנה"</f>
        <v>הזמנה</v>
      </c>
      <c r="S1728">
        <v>0</v>
      </c>
      <c r="T1728" s="2">
        <v>1841.7</v>
      </c>
      <c r="U1728">
        <v>0</v>
      </c>
      <c r="V1728" s="2">
        <v>1841.7</v>
      </c>
      <c r="W1728" t="str">
        <f>"$"</f>
        <v>$</v>
      </c>
      <c r="X1728">
        <v>0</v>
      </c>
      <c r="Y1728">
        <v>0</v>
      </c>
      <c r="Z1728">
        <v>0</v>
      </c>
      <c r="AA1728" t="str">
        <f>"Y"</f>
        <v>Y</v>
      </c>
      <c r="AC1728">
        <v>0</v>
      </c>
      <c r="AM1728" t="str">
        <f>"10"</f>
        <v>10</v>
      </c>
      <c r="AN1728" t="str">
        <f>"500000"</f>
        <v>500000</v>
      </c>
      <c r="AO1728" t="str">
        <f>"הכנסות  מלקוחות"</f>
        <v>הכנסות  מלקוחות</v>
      </c>
      <c r="AQ1728" t="str">
        <f>"040"</f>
        <v>040</v>
      </c>
      <c r="AR1728">
        <v>0</v>
      </c>
      <c r="AS1728">
        <v>0</v>
      </c>
      <c r="AT1728">
        <v>3.3170000000000002</v>
      </c>
      <c r="BB1728" t="str">
        <f>"Y"</f>
        <v>Y</v>
      </c>
      <c r="BD1728" t="str">
        <f>"רחמים זרוק"</f>
        <v>רחמים זרוק</v>
      </c>
    </row>
    <row r="1729" spans="1:56" x14ac:dyDescent="0.3">
      <c r="A1729" s="1">
        <v>44644</v>
      </c>
      <c r="B1729" t="str">
        <f>"SI226000461"</f>
        <v>SI226000461</v>
      </c>
      <c r="C1729" t="str">
        <f>"PR22000010"</f>
        <v>PR22000010</v>
      </c>
      <c r="E1729" t="str">
        <f>"Y"</f>
        <v>Y</v>
      </c>
      <c r="F1729" t="str">
        <f>"חשבוניות מרכזות"</f>
        <v>חשבוניות מרכזות</v>
      </c>
      <c r="G1729" t="str">
        <f>"700065"</f>
        <v>700065</v>
      </c>
      <c r="H1729" t="str">
        <f>"אלתא מערכות בע""מ"</f>
        <v>אלתא מערכות בע"מ</v>
      </c>
      <c r="I1729" t="str">
        <f>"10"</f>
        <v>10</v>
      </c>
      <c r="J1729" t="str">
        <f>"OP-AR02915"</f>
        <v>OP-AR02915</v>
      </c>
      <c r="K1729" t="str">
        <f>"9000Y504-001    HARNESS WA004 - INTERNAL PWR AND CONT TO"</f>
        <v>9000Y504-001    HARNESS WA004 - INTERNAL PWR AND CONT TO</v>
      </c>
      <c r="L1729">
        <v>-10</v>
      </c>
      <c r="M1729" t="str">
        <f>"יח"</f>
        <v>יח</v>
      </c>
      <c r="N1729">
        <v>-10</v>
      </c>
      <c r="O1729" t="str">
        <f>"יח"</f>
        <v>יח</v>
      </c>
      <c r="P1729">
        <v>184.17</v>
      </c>
      <c r="Q1729" t="str">
        <f>"$"</f>
        <v>$</v>
      </c>
      <c r="R1729" t="str">
        <f>"הזמנה"</f>
        <v>הזמנה</v>
      </c>
      <c r="S1729">
        <v>0</v>
      </c>
      <c r="T1729" s="2">
        <v>-1841.7</v>
      </c>
      <c r="U1729">
        <v>0</v>
      </c>
      <c r="V1729" s="2">
        <v>-1841.7</v>
      </c>
      <c r="W1729" t="str">
        <f>"$"</f>
        <v>$</v>
      </c>
      <c r="X1729">
        <v>0</v>
      </c>
      <c r="Y1729">
        <v>0</v>
      </c>
      <c r="Z1729">
        <v>0</v>
      </c>
      <c r="AA1729" t="str">
        <f>"Y"</f>
        <v>Y</v>
      </c>
      <c r="AC1729">
        <v>0</v>
      </c>
      <c r="AM1729" t="str">
        <f>"10"</f>
        <v>10</v>
      </c>
      <c r="AN1729" t="str">
        <f>"500000"</f>
        <v>500000</v>
      </c>
      <c r="AO1729" t="str">
        <f>"הכנסות  מלקוחות"</f>
        <v>הכנסות  מלקוחות</v>
      </c>
      <c r="AQ1729" t="str">
        <f>"040"</f>
        <v>040</v>
      </c>
      <c r="AR1729">
        <v>0</v>
      </c>
      <c r="AS1729">
        <v>0</v>
      </c>
      <c r="AT1729">
        <v>3.2309999999999999</v>
      </c>
      <c r="BB1729" t="str">
        <f>"Y"</f>
        <v>Y</v>
      </c>
      <c r="BD1729" t="str">
        <f>"רחמים זרוק"</f>
        <v>רחמים זרוק</v>
      </c>
    </row>
    <row r="1730" spans="1:56" x14ac:dyDescent="0.3">
      <c r="A1730" s="1">
        <v>44644</v>
      </c>
      <c r="B1730" t="str">
        <f>"SI226000341"</f>
        <v>SI226000341</v>
      </c>
      <c r="C1730" t="str">
        <f>"PR21000853"</f>
        <v>PR21000853</v>
      </c>
      <c r="E1730" t="str">
        <f>"Y"</f>
        <v>Y</v>
      </c>
      <c r="F1730" t="str">
        <f>"חשבוניות מרכזות"</f>
        <v>חשבוניות מרכזות</v>
      </c>
      <c r="G1730" t="str">
        <f>"700065"</f>
        <v>700065</v>
      </c>
      <c r="H1730" t="str">
        <f>"אלתא מערכות בע""מ"</f>
        <v>אלתא מערכות בע"מ</v>
      </c>
      <c r="I1730" t="str">
        <f>"10"</f>
        <v>10</v>
      </c>
      <c r="J1730" t="str">
        <f>"OP-AR00467"</f>
        <v>OP-AR00467</v>
      </c>
      <c r="K1730" t="str">
        <f>"AC PCU CONTROL BOX"</f>
        <v>AC PCU CONTROL BOX</v>
      </c>
      <c r="L1730">
        <v>1</v>
      </c>
      <c r="M1730" t="str">
        <f>"יח"</f>
        <v>יח</v>
      </c>
      <c r="N1730">
        <v>1</v>
      </c>
      <c r="O1730" t="str">
        <f>"יח"</f>
        <v>יח</v>
      </c>
      <c r="P1730" s="2">
        <v>4250</v>
      </c>
      <c r="Q1730" t="str">
        <f>"$"</f>
        <v>$</v>
      </c>
      <c r="R1730" t="str">
        <f>"הזמנה"</f>
        <v>הזמנה</v>
      </c>
      <c r="S1730">
        <v>0</v>
      </c>
      <c r="T1730" s="2">
        <v>4250</v>
      </c>
      <c r="U1730">
        <v>0</v>
      </c>
      <c r="V1730" s="2">
        <v>4250</v>
      </c>
      <c r="W1730" t="str">
        <f>"$"</f>
        <v>$</v>
      </c>
      <c r="X1730">
        <v>0</v>
      </c>
      <c r="Y1730">
        <v>0</v>
      </c>
      <c r="Z1730">
        <v>0</v>
      </c>
      <c r="AA1730" t="str">
        <f>"Y"</f>
        <v>Y</v>
      </c>
      <c r="AB1730" t="str">
        <f>"SO21000494"</f>
        <v>SO21000494</v>
      </c>
      <c r="AC1730">
        <v>1</v>
      </c>
      <c r="AD1730" s="1">
        <v>44536</v>
      </c>
      <c r="AE1730" t="str">
        <f>"SH22000324"</f>
        <v>SH22000324</v>
      </c>
      <c r="AF1730" t="str">
        <f>"משלוחים ללקוח"</f>
        <v>משלוחים ללקוח</v>
      </c>
      <c r="AG1730" s="1">
        <v>44642</v>
      </c>
      <c r="AM1730" t="str">
        <f>"10"</f>
        <v>10</v>
      </c>
      <c r="AN1730" t="str">
        <f>"500000"</f>
        <v>500000</v>
      </c>
      <c r="AO1730" t="str">
        <f>"הכנסות  מלקוחות"</f>
        <v>הכנסות  מלקוחות</v>
      </c>
      <c r="AQ1730" t="str">
        <f>"034"</f>
        <v>034</v>
      </c>
      <c r="AR1730">
        <v>0</v>
      </c>
      <c r="AS1730">
        <v>0</v>
      </c>
      <c r="AT1730">
        <v>3.2309999999999999</v>
      </c>
      <c r="AX1730" t="str">
        <f>"E000351843"</f>
        <v>E000351843</v>
      </c>
      <c r="BD1730" t="str">
        <f>"ערן שלו"</f>
        <v>ערן שלו</v>
      </c>
    </row>
    <row r="1731" spans="1:56" x14ac:dyDescent="0.3">
      <c r="A1731" s="1">
        <v>44644</v>
      </c>
      <c r="B1731" t="str">
        <f>"SI226000340"</f>
        <v>SI226000340</v>
      </c>
      <c r="C1731" t="str">
        <f>"PR21000666"</f>
        <v>PR21000666</v>
      </c>
      <c r="E1731" t="str">
        <f>"Y"</f>
        <v>Y</v>
      </c>
      <c r="F1731" t="str">
        <f>"חשבוניות מרכזות"</f>
        <v>חשבוניות מרכזות</v>
      </c>
      <c r="G1731" t="str">
        <f>"700065"</f>
        <v>700065</v>
      </c>
      <c r="H1731" t="str">
        <f>"אלתא מערכות בע""מ"</f>
        <v>אלתא מערכות בע"מ</v>
      </c>
      <c r="I1731" t="str">
        <f>"10"</f>
        <v>10</v>
      </c>
      <c r="J1731" t="str">
        <f>"OP-AR02857"</f>
        <v>OP-AR02857</v>
      </c>
      <c r="K1731" t="str">
        <f>"6980A804-001   W4- V8 COMP INTERNAL CABLE"</f>
        <v>6980A804-001   W4- V8 COMP INTERNAL CABLE</v>
      </c>
      <c r="L1731">
        <v>7</v>
      </c>
      <c r="M1731" t="str">
        <f>"יח"</f>
        <v>יח</v>
      </c>
      <c r="N1731">
        <v>7</v>
      </c>
      <c r="O1731" t="str">
        <f>"יח"</f>
        <v>יח</v>
      </c>
      <c r="P1731">
        <v>296.8</v>
      </c>
      <c r="Q1731" t="str">
        <f>"$"</f>
        <v>$</v>
      </c>
      <c r="R1731" t="str">
        <f>"הזמנה"</f>
        <v>הזמנה</v>
      </c>
      <c r="S1731">
        <v>0</v>
      </c>
      <c r="T1731" s="2">
        <v>2077.6</v>
      </c>
      <c r="U1731">
        <v>0</v>
      </c>
      <c r="V1731" s="2">
        <v>2077.6</v>
      </c>
      <c r="W1731" t="str">
        <f>"$"</f>
        <v>$</v>
      </c>
      <c r="X1731">
        <v>0</v>
      </c>
      <c r="Y1731">
        <v>0</v>
      </c>
      <c r="Z1731">
        <v>0</v>
      </c>
      <c r="AA1731" t="str">
        <f>"Y"</f>
        <v>Y</v>
      </c>
      <c r="AB1731" t="str">
        <f>"SO21000426"</f>
        <v>SO21000426</v>
      </c>
      <c r="AC1731">
        <v>6</v>
      </c>
      <c r="AD1731" s="1">
        <v>44476</v>
      </c>
      <c r="AE1731" t="str">
        <f>"SH22000343"</f>
        <v>SH22000343</v>
      </c>
      <c r="AF1731" t="str">
        <f>"משלוחים ללקוח"</f>
        <v>משלוחים ללקוח</v>
      </c>
      <c r="AG1731" s="1">
        <v>44644</v>
      </c>
      <c r="AM1731" t="str">
        <f>"10"</f>
        <v>10</v>
      </c>
      <c r="AN1731" t="str">
        <f>"500000"</f>
        <v>500000</v>
      </c>
      <c r="AO1731" t="str">
        <f>"הכנסות  מלקוחות"</f>
        <v>הכנסות  מלקוחות</v>
      </c>
      <c r="AQ1731" t="str">
        <f>"040"</f>
        <v>040</v>
      </c>
      <c r="AR1731">
        <v>0</v>
      </c>
      <c r="AS1731">
        <v>0</v>
      </c>
      <c r="AT1731">
        <v>3.2309999999999999</v>
      </c>
      <c r="AX1731" t="str">
        <f>"E000347550"</f>
        <v>E000347550</v>
      </c>
      <c r="BD1731" t="str">
        <f>"רחמים זרוק"</f>
        <v>רחמים זרוק</v>
      </c>
    </row>
    <row r="1732" spans="1:56" x14ac:dyDescent="0.3">
      <c r="A1732" s="1">
        <v>44644</v>
      </c>
      <c r="B1732" t="str">
        <f>"SI226000339"</f>
        <v>SI226000339</v>
      </c>
      <c r="C1732" t="str">
        <f>"PR21000891"</f>
        <v>PR21000891</v>
      </c>
      <c r="D1732" t="str">
        <f>"PR21000891"</f>
        <v>PR21000891</v>
      </c>
      <c r="E1732" t="str">
        <f>"Y"</f>
        <v>Y</v>
      </c>
      <c r="F1732" t="str">
        <f>"חשבוניות מרכזות"</f>
        <v>חשבוניות מרכזות</v>
      </c>
      <c r="G1732" t="str">
        <f>"700065"</f>
        <v>700065</v>
      </c>
      <c r="H1732" t="str">
        <f>"אלתא מערכות בע""מ"</f>
        <v>אלתא מערכות בע"מ</v>
      </c>
      <c r="I1732" t="str">
        <f>"10"</f>
        <v>10</v>
      </c>
      <c r="J1732" t="str">
        <f>"OP-AR02895"</f>
        <v>OP-AR02895</v>
      </c>
      <c r="K1732" t="str">
        <f>"1032G438-001    SHUNT CABLE"</f>
        <v>1032G438-001    SHUNT CABLE</v>
      </c>
      <c r="L1732">
        <v>1</v>
      </c>
      <c r="M1732" t="str">
        <f>"יח"</f>
        <v>יח</v>
      </c>
      <c r="N1732">
        <v>1</v>
      </c>
      <c r="O1732" t="str">
        <f>"יח"</f>
        <v>יח</v>
      </c>
      <c r="P1732">
        <v>90.02</v>
      </c>
      <c r="Q1732" t="str">
        <f>"$"</f>
        <v>$</v>
      </c>
      <c r="R1732" t="str">
        <f>"הזמנה"</f>
        <v>הזמנה</v>
      </c>
      <c r="S1732">
        <v>0</v>
      </c>
      <c r="T1732">
        <v>90.02</v>
      </c>
      <c r="U1732">
        <v>0</v>
      </c>
      <c r="V1732">
        <v>90.02</v>
      </c>
      <c r="W1732" t="str">
        <f>"$"</f>
        <v>$</v>
      </c>
      <c r="X1732">
        <v>0</v>
      </c>
      <c r="Y1732">
        <v>0</v>
      </c>
      <c r="Z1732">
        <v>0</v>
      </c>
      <c r="AA1732" t="str">
        <f>"Y"</f>
        <v>Y</v>
      </c>
      <c r="AB1732" t="str">
        <f>"SO22000006"</f>
        <v>SO22000006</v>
      </c>
      <c r="AC1732">
        <v>4</v>
      </c>
      <c r="AD1732" s="1">
        <v>44565</v>
      </c>
      <c r="AE1732" t="str">
        <f>"SH22000338"</f>
        <v>SH22000338</v>
      </c>
      <c r="AF1732" t="str">
        <f>"משלוחים ללקוח"</f>
        <v>משלוחים ללקוח</v>
      </c>
      <c r="AG1732" s="1">
        <v>44644</v>
      </c>
      <c r="AM1732" t="str">
        <f>"10"</f>
        <v>10</v>
      </c>
      <c r="AN1732" t="str">
        <f>"500000"</f>
        <v>500000</v>
      </c>
      <c r="AO1732" t="str">
        <f>"הכנסות  מלקוחות"</f>
        <v>הכנסות  מלקוחות</v>
      </c>
      <c r="AQ1732" t="str">
        <f>"040"</f>
        <v>040</v>
      </c>
      <c r="AR1732">
        <v>0</v>
      </c>
      <c r="AS1732">
        <v>0</v>
      </c>
      <c r="AT1732">
        <v>3.222</v>
      </c>
      <c r="AX1732" t="str">
        <f>"E000352407"</f>
        <v>E000352407</v>
      </c>
      <c r="BD1732" t="str">
        <f>"רחמים זרוק"</f>
        <v>רחמים זרוק</v>
      </c>
    </row>
    <row r="1733" spans="1:56" x14ac:dyDescent="0.3">
      <c r="A1733" s="1">
        <v>44644</v>
      </c>
      <c r="B1733" t="str">
        <f>"SI226000338"</f>
        <v>SI226000338</v>
      </c>
      <c r="C1733" t="str">
        <f>"PR21000891"</f>
        <v>PR21000891</v>
      </c>
      <c r="E1733" t="str">
        <f>"Y"</f>
        <v>Y</v>
      </c>
      <c r="F1733" t="str">
        <f>"חשבוניות מרכזות"</f>
        <v>חשבוניות מרכזות</v>
      </c>
      <c r="G1733" t="str">
        <f>"700065"</f>
        <v>700065</v>
      </c>
      <c r="H1733" t="str">
        <f>"אלתא מערכות בע""מ"</f>
        <v>אלתא מערכות בע"מ</v>
      </c>
      <c r="I1733" t="str">
        <f>"10"</f>
        <v>10</v>
      </c>
      <c r="J1733" t="str">
        <f>"OP-AR02895"</f>
        <v>OP-AR02895</v>
      </c>
      <c r="K1733" t="str">
        <f>"1032G438-001    SHUNT CABLE"</f>
        <v>1032G438-001    SHUNT CABLE</v>
      </c>
      <c r="L1733">
        <v>-1</v>
      </c>
      <c r="M1733" t="str">
        <f>"יח"</f>
        <v>יח</v>
      </c>
      <c r="N1733">
        <v>-1</v>
      </c>
      <c r="O1733" t="str">
        <f>"יח"</f>
        <v>יח</v>
      </c>
      <c r="P1733">
        <v>90.02</v>
      </c>
      <c r="Q1733" t="str">
        <f>"$"</f>
        <v>$</v>
      </c>
      <c r="R1733" t="str">
        <f>"הזמנה"</f>
        <v>הזמנה</v>
      </c>
      <c r="S1733">
        <v>0</v>
      </c>
      <c r="T1733">
        <v>-90.02</v>
      </c>
      <c r="U1733">
        <v>0</v>
      </c>
      <c r="V1733">
        <v>-90.02</v>
      </c>
      <c r="W1733" t="str">
        <f>"$"</f>
        <v>$</v>
      </c>
      <c r="X1733">
        <v>0</v>
      </c>
      <c r="Y1733">
        <v>0</v>
      </c>
      <c r="Z1733">
        <v>0</v>
      </c>
      <c r="AA1733" t="str">
        <f>"Y"</f>
        <v>Y</v>
      </c>
      <c r="AC1733">
        <v>0</v>
      </c>
      <c r="AM1733" t="str">
        <f>"10"</f>
        <v>10</v>
      </c>
      <c r="AN1733" t="str">
        <f>"500000"</f>
        <v>500000</v>
      </c>
      <c r="AO1733" t="str">
        <f>"הכנסות  מלקוחות"</f>
        <v>הכנסות  מלקוחות</v>
      </c>
      <c r="AQ1733" t="str">
        <f>"040"</f>
        <v>040</v>
      </c>
      <c r="AR1733">
        <v>0</v>
      </c>
      <c r="AS1733">
        <v>0</v>
      </c>
      <c r="AT1733">
        <v>3.2309999999999999</v>
      </c>
      <c r="BB1733" t="str">
        <f>"Y"</f>
        <v>Y</v>
      </c>
      <c r="BD1733" t="str">
        <f>"רחמים זרוק"</f>
        <v>רחמים זרוק</v>
      </c>
    </row>
    <row r="1734" spans="1:56" x14ac:dyDescent="0.3">
      <c r="A1734" s="1">
        <v>44644</v>
      </c>
      <c r="B1734" t="str">
        <f>"SI226000337"</f>
        <v>SI226000337</v>
      </c>
      <c r="C1734" t="str">
        <f>"PR21000891"</f>
        <v>PR21000891</v>
      </c>
      <c r="E1734" t="str">
        <f>"Y"</f>
        <v>Y</v>
      </c>
      <c r="F1734" t="str">
        <f>"חשבוניות מרכזות"</f>
        <v>חשבוניות מרכזות</v>
      </c>
      <c r="G1734" t="str">
        <f>"700065"</f>
        <v>700065</v>
      </c>
      <c r="H1734" t="str">
        <f>"אלתא מערכות בע""מ"</f>
        <v>אלתא מערכות בע"מ</v>
      </c>
      <c r="I1734" t="str">
        <f>"10"</f>
        <v>10</v>
      </c>
      <c r="J1734" t="str">
        <f>"OP-AR02895"</f>
        <v>OP-AR02895</v>
      </c>
      <c r="K1734" t="str">
        <f>"1032G438-001    SHUNT CABLE"</f>
        <v>1032G438-001    SHUNT CABLE</v>
      </c>
      <c r="L1734">
        <v>1</v>
      </c>
      <c r="M1734" t="str">
        <f>"יח"</f>
        <v>יח</v>
      </c>
      <c r="N1734">
        <v>1</v>
      </c>
      <c r="O1734" t="str">
        <f>"יח"</f>
        <v>יח</v>
      </c>
      <c r="P1734">
        <v>90.02</v>
      </c>
      <c r="Q1734" t="str">
        <f>"$"</f>
        <v>$</v>
      </c>
      <c r="R1734" t="str">
        <f>"הזמנה"</f>
        <v>הזמנה</v>
      </c>
      <c r="S1734">
        <v>0</v>
      </c>
      <c r="T1734">
        <v>90.02</v>
      </c>
      <c r="U1734">
        <v>0</v>
      </c>
      <c r="V1734">
        <v>90.02</v>
      </c>
      <c r="W1734" t="str">
        <f>"$"</f>
        <v>$</v>
      </c>
      <c r="X1734">
        <v>0</v>
      </c>
      <c r="Y1734">
        <v>0</v>
      </c>
      <c r="Z1734">
        <v>0</v>
      </c>
      <c r="AA1734" t="str">
        <f>"Y"</f>
        <v>Y</v>
      </c>
      <c r="AC1734">
        <v>0</v>
      </c>
      <c r="AM1734" t="str">
        <f>"10"</f>
        <v>10</v>
      </c>
      <c r="AN1734" t="str">
        <f>"500000"</f>
        <v>500000</v>
      </c>
      <c r="AO1734" t="str">
        <f>"הכנסות  מלקוחות"</f>
        <v>הכנסות  מלקוחות</v>
      </c>
      <c r="AQ1734" t="str">
        <f>"040"</f>
        <v>040</v>
      </c>
      <c r="AR1734">
        <v>0</v>
      </c>
      <c r="AS1734">
        <v>0</v>
      </c>
      <c r="AT1734">
        <v>3.2309999999999999</v>
      </c>
      <c r="BB1734" t="str">
        <f>"Y"</f>
        <v>Y</v>
      </c>
      <c r="BD1734" t="str">
        <f>"רחמים זרוק"</f>
        <v>רחמים זרוק</v>
      </c>
    </row>
    <row r="1735" spans="1:56" x14ac:dyDescent="0.3">
      <c r="A1735" s="1">
        <v>44644</v>
      </c>
      <c r="B1735" t="str">
        <f>"SI226000336"</f>
        <v>SI226000336</v>
      </c>
      <c r="C1735" t="str">
        <f>"PR22000010"</f>
        <v>PR22000010</v>
      </c>
      <c r="E1735" t="str">
        <f>"Y"</f>
        <v>Y</v>
      </c>
      <c r="F1735" t="str">
        <f>"חשבוניות מרכזות"</f>
        <v>חשבוניות מרכזות</v>
      </c>
      <c r="G1735" t="str">
        <f>"700065"</f>
        <v>700065</v>
      </c>
      <c r="H1735" t="str">
        <f>"אלתא מערכות בע""מ"</f>
        <v>אלתא מערכות בע"מ</v>
      </c>
      <c r="I1735" t="str">
        <f>"10"</f>
        <v>10</v>
      </c>
      <c r="J1735" t="str">
        <f>"OP-AR02915"</f>
        <v>OP-AR02915</v>
      </c>
      <c r="K1735" t="str">
        <f>"9000Y504-001    HARNESS WA004 - INTERNAL PWR AND CONT TO"</f>
        <v>9000Y504-001    HARNESS WA004 - INTERNAL PWR AND CONT TO</v>
      </c>
      <c r="L1735">
        <v>10</v>
      </c>
      <c r="M1735" t="str">
        <f>"יח"</f>
        <v>יח</v>
      </c>
      <c r="N1735">
        <v>10</v>
      </c>
      <c r="O1735" t="str">
        <f>"יח"</f>
        <v>יח</v>
      </c>
      <c r="P1735">
        <v>184.17</v>
      </c>
      <c r="Q1735" t="str">
        <f>"$"</f>
        <v>$</v>
      </c>
      <c r="R1735" t="str">
        <f>"הזמנה"</f>
        <v>הזמנה</v>
      </c>
      <c r="S1735">
        <v>0</v>
      </c>
      <c r="T1735" s="2">
        <v>1841.7</v>
      </c>
      <c r="U1735">
        <v>0</v>
      </c>
      <c r="V1735" s="2">
        <v>1841.7</v>
      </c>
      <c r="W1735" t="str">
        <f>"$"</f>
        <v>$</v>
      </c>
      <c r="X1735">
        <v>0</v>
      </c>
      <c r="Y1735">
        <v>0</v>
      </c>
      <c r="Z1735">
        <v>0</v>
      </c>
      <c r="AA1735" t="str">
        <f>"Y"</f>
        <v>Y</v>
      </c>
      <c r="AC1735">
        <v>0</v>
      </c>
      <c r="AM1735" t="str">
        <f>"10"</f>
        <v>10</v>
      </c>
      <c r="AN1735" t="str">
        <f>"500000"</f>
        <v>500000</v>
      </c>
      <c r="AO1735" t="str">
        <f>"הכנסות  מלקוחות"</f>
        <v>הכנסות  מלקוחות</v>
      </c>
      <c r="AQ1735" t="str">
        <f>"040"</f>
        <v>040</v>
      </c>
      <c r="AR1735">
        <v>0</v>
      </c>
      <c r="AS1735">
        <v>0</v>
      </c>
      <c r="AT1735">
        <v>3.2309999999999999</v>
      </c>
      <c r="BB1735" t="str">
        <f>"Y"</f>
        <v>Y</v>
      </c>
      <c r="BD1735" t="str">
        <f>"רחמים זרוק"</f>
        <v>רחמים זרוק</v>
      </c>
    </row>
    <row r="1736" spans="1:56" x14ac:dyDescent="0.3">
      <c r="A1736" s="1">
        <v>44644</v>
      </c>
      <c r="B1736" t="str">
        <f>"SI226000328"</f>
        <v>SI226000328</v>
      </c>
      <c r="C1736" t="str">
        <f>"PR21000768"</f>
        <v>PR21000768</v>
      </c>
      <c r="D1736" t="str">
        <f>"PR21000768"</f>
        <v>PR21000768</v>
      </c>
      <c r="E1736" t="str">
        <f>"Y"</f>
        <v>Y</v>
      </c>
      <c r="F1736" t="str">
        <f>"חשבוניות מרכזות"</f>
        <v>חשבוניות מרכזות</v>
      </c>
      <c r="G1736" t="str">
        <f>"700065"</f>
        <v>700065</v>
      </c>
      <c r="H1736" t="str">
        <f>"אלתא מערכות בע""מ"</f>
        <v>אלתא מערכות בע"מ</v>
      </c>
      <c r="I1736" t="str">
        <f>"10"</f>
        <v>10</v>
      </c>
      <c r="J1736" t="str">
        <f>"OP-AR01919"</f>
        <v>OP-AR01919</v>
      </c>
      <c r="K1736" t="str">
        <f>"1013P130-003 CABLE ASSY 1W47"</f>
        <v>1013P130-003 CABLE ASSY 1W47</v>
      </c>
      <c r="L1736">
        <v>13</v>
      </c>
      <c r="M1736" t="str">
        <f>"יח"</f>
        <v>יח</v>
      </c>
      <c r="N1736">
        <v>13</v>
      </c>
      <c r="O1736" t="str">
        <f>"יח"</f>
        <v>יח</v>
      </c>
      <c r="P1736" s="2">
        <v>1192.67</v>
      </c>
      <c r="Q1736" t="str">
        <f>"$"</f>
        <v>$</v>
      </c>
      <c r="R1736" t="str">
        <f>"הזמנה"</f>
        <v>הזמנה</v>
      </c>
      <c r="S1736">
        <v>0</v>
      </c>
      <c r="T1736" s="2">
        <v>15504.71</v>
      </c>
      <c r="U1736">
        <v>0</v>
      </c>
      <c r="V1736" s="2">
        <v>15504.71</v>
      </c>
      <c r="W1736" t="str">
        <f>"$"</f>
        <v>$</v>
      </c>
      <c r="X1736">
        <v>0</v>
      </c>
      <c r="Y1736">
        <v>0</v>
      </c>
      <c r="Z1736">
        <v>0</v>
      </c>
      <c r="AA1736" t="str">
        <f>"Y"</f>
        <v>Y</v>
      </c>
      <c r="AB1736" t="str">
        <f>"SO21000449"</f>
        <v>SO21000449</v>
      </c>
      <c r="AC1736">
        <v>1</v>
      </c>
      <c r="AD1736" s="1">
        <v>44497</v>
      </c>
      <c r="AE1736" t="str">
        <f>"SH22000337"</f>
        <v>SH22000337</v>
      </c>
      <c r="AF1736" t="str">
        <f>"משלוחים ללקוח"</f>
        <v>משלוחים ללקוח</v>
      </c>
      <c r="AG1736" s="1">
        <v>44644</v>
      </c>
      <c r="AM1736" t="str">
        <f>"10"</f>
        <v>10</v>
      </c>
      <c r="AN1736" t="str">
        <f>"500000"</f>
        <v>500000</v>
      </c>
      <c r="AO1736" t="str">
        <f>"הכנסות  מלקוחות"</f>
        <v>הכנסות  מלקוחות</v>
      </c>
      <c r="AQ1736" t="str">
        <f>"040"</f>
        <v>040</v>
      </c>
      <c r="AR1736">
        <v>0</v>
      </c>
      <c r="AS1736">
        <v>0</v>
      </c>
      <c r="AT1736">
        <v>3.2309999999999999</v>
      </c>
      <c r="AX1736" t="str">
        <f>"E000349213"</f>
        <v>E000349213</v>
      </c>
      <c r="BD1736" t="str">
        <f>"רחמים זרוק"</f>
        <v>רחמים זרוק</v>
      </c>
    </row>
    <row r="1737" spans="1:56" x14ac:dyDescent="0.3">
      <c r="A1737" s="1">
        <v>44644</v>
      </c>
      <c r="B1737" t="str">
        <f>"SI226000319"</f>
        <v>SI226000319</v>
      </c>
      <c r="C1737" t="str">
        <f>"PR21000281"</f>
        <v>PR21000281</v>
      </c>
      <c r="D1737" t="str">
        <f>"PR21000281"</f>
        <v>PR21000281</v>
      </c>
      <c r="E1737" t="str">
        <f>"Y"</f>
        <v>Y</v>
      </c>
      <c r="F1737" t="str">
        <f>"חשבוניות מרכזות"</f>
        <v>חשבוניות מרכזות</v>
      </c>
      <c r="G1737" t="str">
        <f>"700065"</f>
        <v>700065</v>
      </c>
      <c r="H1737" t="str">
        <f>"אלתא מערכות בע""מ"</f>
        <v>אלתא מערכות בע"מ</v>
      </c>
      <c r="I1737" t="str">
        <f>"10"</f>
        <v>10</v>
      </c>
      <c r="J1737" t="str">
        <f>"000"</f>
        <v>000</v>
      </c>
      <c r="K1737" t="str">
        <f>"NRE"</f>
        <v>NRE</v>
      </c>
      <c r="L1737">
        <v>1</v>
      </c>
      <c r="M1737" t="str">
        <f>"יח"</f>
        <v>יח</v>
      </c>
      <c r="N1737">
        <v>1</v>
      </c>
      <c r="O1737" t="str">
        <f>"יח"</f>
        <v>יח</v>
      </c>
      <c r="P1737" s="2">
        <v>7236</v>
      </c>
      <c r="Q1737" t="str">
        <f>"$"</f>
        <v>$</v>
      </c>
      <c r="R1737" t="str">
        <f>"הזמנה"</f>
        <v>הזמנה</v>
      </c>
      <c r="S1737">
        <v>0</v>
      </c>
      <c r="T1737" s="2">
        <v>7236</v>
      </c>
      <c r="U1737">
        <v>0</v>
      </c>
      <c r="V1737" s="2">
        <v>7236</v>
      </c>
      <c r="W1737" t="str">
        <f>"$"</f>
        <v>$</v>
      </c>
      <c r="X1737">
        <v>0</v>
      </c>
      <c r="Y1737">
        <v>0</v>
      </c>
      <c r="Z1737">
        <v>0</v>
      </c>
      <c r="AA1737" t="str">
        <f>"Y"</f>
        <v>Y</v>
      </c>
      <c r="AB1737" t="str">
        <f>"SO21000205"</f>
        <v>SO21000205</v>
      </c>
      <c r="AC1737">
        <v>2</v>
      </c>
      <c r="AD1737" s="1">
        <v>44318</v>
      </c>
      <c r="AM1737" t="str">
        <f>"10"</f>
        <v>10</v>
      </c>
      <c r="AN1737" t="str">
        <f>"500000"</f>
        <v>500000</v>
      </c>
      <c r="AO1737" t="str">
        <f>"הכנסות  מלקוחות"</f>
        <v>הכנסות  מלקוחות</v>
      </c>
      <c r="AQ1737" t="str">
        <f>"034"</f>
        <v>034</v>
      </c>
      <c r="AR1737">
        <v>0</v>
      </c>
      <c r="AS1737">
        <v>0</v>
      </c>
      <c r="AT1737">
        <v>3.2309999999999999</v>
      </c>
      <c r="AX1737" t="str">
        <f>"E000337579"</f>
        <v>E000337579</v>
      </c>
      <c r="BD1737" t="str">
        <f>"ערן שלו"</f>
        <v>ערן שלו</v>
      </c>
    </row>
    <row r="1738" spans="1:56" x14ac:dyDescent="0.3">
      <c r="A1738" s="1">
        <v>44643</v>
      </c>
      <c r="B1738" t="str">
        <f>"SI226000313"</f>
        <v>SI226000313</v>
      </c>
      <c r="E1738" t="str">
        <f>"Y"</f>
        <v>Y</v>
      </c>
      <c r="F1738" t="str">
        <f>"חשבוניות מרכזות"</f>
        <v>חשבוניות מרכזות</v>
      </c>
      <c r="G1738" t="str">
        <f>"700065"</f>
        <v>700065</v>
      </c>
      <c r="H1738" t="str">
        <f>"אלתא מערכות בע""מ"</f>
        <v>אלתא מערכות בע"מ</v>
      </c>
      <c r="I1738" t="str">
        <f>"10"</f>
        <v>10</v>
      </c>
      <c r="J1738" t="str">
        <f>"OP-AR01025-01"</f>
        <v>OP-AR01025-01</v>
      </c>
      <c r="K1738" t="str">
        <f>"BATTERY BOX 1029P520-001אפור"</f>
        <v>BATTERY BOX 1029P520-001אפור</v>
      </c>
      <c r="L1738">
        <v>1</v>
      </c>
      <c r="M1738" t="str">
        <f>"יח"</f>
        <v>יח</v>
      </c>
      <c r="N1738">
        <v>1</v>
      </c>
      <c r="O1738" t="str">
        <f>"יח"</f>
        <v>יח</v>
      </c>
      <c r="P1738" s="2">
        <v>5750</v>
      </c>
      <c r="Q1738" t="str">
        <f>"$"</f>
        <v>$</v>
      </c>
      <c r="R1738" t="str">
        <f>"הזמנה"</f>
        <v>הזמנה</v>
      </c>
      <c r="S1738">
        <v>0</v>
      </c>
      <c r="T1738" s="2">
        <v>5750</v>
      </c>
      <c r="U1738">
        <v>0</v>
      </c>
      <c r="V1738" s="2">
        <v>5750</v>
      </c>
      <c r="W1738" t="str">
        <f>"$"</f>
        <v>$</v>
      </c>
      <c r="X1738">
        <v>0</v>
      </c>
      <c r="Y1738">
        <v>0</v>
      </c>
      <c r="Z1738">
        <v>0</v>
      </c>
      <c r="AA1738" t="str">
        <f>"Y"</f>
        <v>Y</v>
      </c>
      <c r="AB1738" t="str">
        <f>"SO21000102"</f>
        <v>SO21000102</v>
      </c>
      <c r="AC1738">
        <v>1</v>
      </c>
      <c r="AD1738" s="1">
        <v>44263</v>
      </c>
      <c r="AE1738" t="str">
        <f>"SH22000483"</f>
        <v>SH22000483</v>
      </c>
      <c r="AF1738" t="str">
        <f>"משלוחים ללקוח"</f>
        <v>משלוחים ללקוח</v>
      </c>
      <c r="AG1738" s="1">
        <v>44679</v>
      </c>
      <c r="AM1738" t="str">
        <f>"10"</f>
        <v>10</v>
      </c>
      <c r="AN1738" t="str">
        <f>"500000"</f>
        <v>500000</v>
      </c>
      <c r="AO1738" t="str">
        <f>"הכנסות  מלקוחות"</f>
        <v>הכנסות  מלקוחות</v>
      </c>
      <c r="AQ1738" t="str">
        <f>"034"</f>
        <v>034</v>
      </c>
      <c r="AR1738">
        <v>0</v>
      </c>
      <c r="AS1738">
        <v>0</v>
      </c>
      <c r="AT1738">
        <v>3.2250000000000001</v>
      </c>
      <c r="AX1738" t="str">
        <f>"E000334743"</f>
        <v>E000334743</v>
      </c>
      <c r="BD1738" t="str">
        <f>"ערן שלו"</f>
        <v>ערן שלו</v>
      </c>
    </row>
    <row r="1739" spans="1:56" x14ac:dyDescent="0.3">
      <c r="A1739" s="1">
        <v>44643</v>
      </c>
      <c r="B1739" t="str">
        <f>"SI226000312"</f>
        <v>SI226000312</v>
      </c>
      <c r="E1739" t="str">
        <f>"Y"</f>
        <v>Y</v>
      </c>
      <c r="F1739" t="str">
        <f>"חשבוניות מרכזות"</f>
        <v>חשבוניות מרכזות</v>
      </c>
      <c r="G1739" t="str">
        <f>"700065"</f>
        <v>700065</v>
      </c>
      <c r="H1739" t="str">
        <f>"אלתא מערכות בע""מ"</f>
        <v>אלתא מערכות בע"מ</v>
      </c>
      <c r="I1739" t="str">
        <f>"10"</f>
        <v>10</v>
      </c>
      <c r="J1739" t="str">
        <f>"OP-AR01025"</f>
        <v>OP-AR01025</v>
      </c>
      <c r="K1739" t="str">
        <f>"BATTERY BOX 1039V520-001"</f>
        <v>BATTERY BOX 1039V520-001</v>
      </c>
      <c r="L1739">
        <v>1</v>
      </c>
      <c r="M1739" t="str">
        <f>"יח"</f>
        <v>יח</v>
      </c>
      <c r="N1739">
        <v>1</v>
      </c>
      <c r="O1739" t="str">
        <f>"יח"</f>
        <v>יח</v>
      </c>
      <c r="P1739" s="2">
        <v>5577</v>
      </c>
      <c r="Q1739" t="str">
        <f>"$"</f>
        <v>$</v>
      </c>
      <c r="R1739" t="str">
        <f>"הזמנה"</f>
        <v>הזמנה</v>
      </c>
      <c r="S1739">
        <v>0</v>
      </c>
      <c r="T1739" s="2">
        <v>5577</v>
      </c>
      <c r="U1739">
        <v>0</v>
      </c>
      <c r="V1739" s="2">
        <v>5577</v>
      </c>
      <c r="W1739" t="str">
        <f>"$"</f>
        <v>$</v>
      </c>
      <c r="X1739">
        <v>0</v>
      </c>
      <c r="Y1739">
        <v>0</v>
      </c>
      <c r="Z1739">
        <v>0</v>
      </c>
      <c r="AA1739" t="str">
        <f>"Y"</f>
        <v>Y</v>
      </c>
      <c r="AC1739">
        <v>0</v>
      </c>
      <c r="AM1739" t="str">
        <f>"10"</f>
        <v>10</v>
      </c>
      <c r="AN1739" t="str">
        <f>"500000"</f>
        <v>500000</v>
      </c>
      <c r="AO1739" t="str">
        <f>"הכנסות  מלקוחות"</f>
        <v>הכנסות  מלקוחות</v>
      </c>
      <c r="AQ1739" t="str">
        <f>"034"</f>
        <v>034</v>
      </c>
      <c r="AR1739">
        <v>0</v>
      </c>
      <c r="AS1739">
        <v>0</v>
      </c>
      <c r="AT1739">
        <v>3.2250000000000001</v>
      </c>
      <c r="BB1739" t="str">
        <f>"Y"</f>
        <v>Y</v>
      </c>
      <c r="BD1739" t="str">
        <f>"ערן שלו"</f>
        <v>ערן שלו</v>
      </c>
    </row>
    <row r="1740" spans="1:56" x14ac:dyDescent="0.3">
      <c r="A1740" s="1">
        <v>44643</v>
      </c>
      <c r="B1740" t="str">
        <f>"SI226000312"</f>
        <v>SI226000312</v>
      </c>
      <c r="E1740" t="str">
        <f>"Y"</f>
        <v>Y</v>
      </c>
      <c r="F1740" t="str">
        <f>"חשבוניות מרכזות"</f>
        <v>חשבוניות מרכזות</v>
      </c>
      <c r="G1740" t="str">
        <f>"700065"</f>
        <v>700065</v>
      </c>
      <c r="H1740" t="str">
        <f>"אלתא מערכות בע""מ"</f>
        <v>אלתא מערכות בע"מ</v>
      </c>
      <c r="I1740" t="str">
        <f>"10"</f>
        <v>10</v>
      </c>
      <c r="J1740" t="str">
        <f>"OP-AR01025"</f>
        <v>OP-AR01025</v>
      </c>
      <c r="K1740" t="str">
        <f>"BATTERY BOX 1039V520-001"</f>
        <v>BATTERY BOX 1039V520-001</v>
      </c>
      <c r="L1740">
        <v>1</v>
      </c>
      <c r="M1740" t="str">
        <f>"יח"</f>
        <v>יח</v>
      </c>
      <c r="N1740">
        <v>1</v>
      </c>
      <c r="O1740" t="str">
        <f>"יח"</f>
        <v>יח</v>
      </c>
      <c r="P1740" s="2">
        <v>5577</v>
      </c>
      <c r="Q1740" t="str">
        <f>"$"</f>
        <v>$</v>
      </c>
      <c r="R1740" t="str">
        <f>"הזמנה"</f>
        <v>הזמנה</v>
      </c>
      <c r="S1740">
        <v>0</v>
      </c>
      <c r="T1740" s="2">
        <v>5577</v>
      </c>
      <c r="U1740">
        <v>0</v>
      </c>
      <c r="V1740" s="2">
        <v>5577</v>
      </c>
      <c r="W1740" t="str">
        <f>"$"</f>
        <v>$</v>
      </c>
      <c r="X1740">
        <v>0</v>
      </c>
      <c r="Y1740">
        <v>0</v>
      </c>
      <c r="Z1740">
        <v>0</v>
      </c>
      <c r="AA1740" t="str">
        <f>"Y"</f>
        <v>Y</v>
      </c>
      <c r="AC1740">
        <v>0</v>
      </c>
      <c r="AM1740" t="str">
        <f>"10"</f>
        <v>10</v>
      </c>
      <c r="AN1740" t="str">
        <f>"500000"</f>
        <v>500000</v>
      </c>
      <c r="AO1740" t="str">
        <f>"הכנסות  מלקוחות"</f>
        <v>הכנסות  מלקוחות</v>
      </c>
      <c r="AQ1740" t="str">
        <f>"034"</f>
        <v>034</v>
      </c>
      <c r="AR1740">
        <v>0</v>
      </c>
      <c r="AS1740">
        <v>0</v>
      </c>
      <c r="AT1740">
        <v>3.2250000000000001</v>
      </c>
      <c r="BB1740" t="str">
        <f>"Y"</f>
        <v>Y</v>
      </c>
      <c r="BD1740" t="str">
        <f>"ערן שלו"</f>
        <v>ערן שלו</v>
      </c>
    </row>
    <row r="1741" spans="1:56" x14ac:dyDescent="0.3">
      <c r="A1741" s="1">
        <v>44643</v>
      </c>
      <c r="B1741" t="str">
        <f>"SI226000310"</f>
        <v>SI226000310</v>
      </c>
      <c r="E1741" t="str">
        <f>"Y"</f>
        <v>Y</v>
      </c>
      <c r="F1741" t="str">
        <f>"חשבוניות מרכזות"</f>
        <v>חשבוניות מרכזות</v>
      </c>
      <c r="G1741" t="str">
        <f>"700065"</f>
        <v>700065</v>
      </c>
      <c r="H1741" t="str">
        <f>"אלתא מערכות בע""מ"</f>
        <v>אלתא מערכות בע"מ</v>
      </c>
      <c r="I1741" t="str">
        <f>"05"</f>
        <v>05</v>
      </c>
      <c r="J1741" t="str">
        <f>"OP-PD02881"</f>
        <v>OP-PD02881</v>
      </c>
      <c r="K1741" t="str">
        <f>"POWER DISTRIBUTION BOARD 09-SOCD"</f>
        <v>POWER DISTRIBUTION BOARD 09-SOCD</v>
      </c>
      <c r="L1741">
        <v>1</v>
      </c>
      <c r="M1741" t="str">
        <f>"יח"</f>
        <v>יח</v>
      </c>
      <c r="N1741">
        <v>1</v>
      </c>
      <c r="O1741" t="str">
        <f>"יח"</f>
        <v>יח</v>
      </c>
      <c r="P1741" s="2">
        <v>39999.300000000003</v>
      </c>
      <c r="Q1741" t="str">
        <f>"$"</f>
        <v>$</v>
      </c>
      <c r="R1741" t="str">
        <f>"הזמנה"</f>
        <v>הזמנה</v>
      </c>
      <c r="S1741">
        <v>0</v>
      </c>
      <c r="T1741" s="2">
        <v>39999.300000000003</v>
      </c>
      <c r="U1741">
        <v>0</v>
      </c>
      <c r="V1741" s="2">
        <v>39999.300000000003</v>
      </c>
      <c r="W1741" t="str">
        <f>"$"</f>
        <v>$</v>
      </c>
      <c r="X1741">
        <v>0</v>
      </c>
      <c r="Y1741">
        <v>0</v>
      </c>
      <c r="Z1741">
        <v>0</v>
      </c>
      <c r="AA1741" t="str">
        <f>"Y"</f>
        <v>Y</v>
      </c>
      <c r="AB1741" t="str">
        <f>"SO21000184"</f>
        <v>SO21000184</v>
      </c>
      <c r="AC1741">
        <v>16</v>
      </c>
      <c r="AD1741" s="1">
        <v>44307</v>
      </c>
      <c r="AE1741" t="str">
        <f>"SH22000375"</f>
        <v>SH22000375</v>
      </c>
      <c r="AF1741" t="str">
        <f>"משלוחים ללקוח"</f>
        <v>משלוחים ללקוח</v>
      </c>
      <c r="AG1741" s="1">
        <v>44654</v>
      </c>
      <c r="AM1741" t="str">
        <f>"10"</f>
        <v>10</v>
      </c>
      <c r="AN1741" t="str">
        <f>"500000"</f>
        <v>500000</v>
      </c>
      <c r="AO1741" t="str">
        <f>"הכנסות  מלקוחות"</f>
        <v>הכנסות  מלקוחות</v>
      </c>
      <c r="AQ1741" t="str">
        <f>"034"</f>
        <v>034</v>
      </c>
      <c r="AR1741">
        <v>0</v>
      </c>
      <c r="AS1741">
        <v>0</v>
      </c>
      <c r="AT1741">
        <v>3.2250000000000001</v>
      </c>
      <c r="AX1741" t="str">
        <f>"E000336430"</f>
        <v>E000336430</v>
      </c>
      <c r="BD1741" t="str">
        <f>"ערן שלו"</f>
        <v>ערן שלו</v>
      </c>
    </row>
    <row r="1742" spans="1:56" x14ac:dyDescent="0.3">
      <c r="A1742" s="1">
        <v>44643</v>
      </c>
      <c r="B1742" t="str">
        <f>"SI226000309"</f>
        <v>SI226000309</v>
      </c>
      <c r="E1742" t="str">
        <f>"Y"</f>
        <v>Y</v>
      </c>
      <c r="F1742" t="str">
        <f>"חשבוניות מרכזות"</f>
        <v>חשבוניות מרכזות</v>
      </c>
      <c r="G1742" t="str">
        <f>"700065"</f>
        <v>700065</v>
      </c>
      <c r="H1742" t="str">
        <f>"אלתא מערכות בע""מ"</f>
        <v>אלתא מערכות בע"מ</v>
      </c>
      <c r="I1742" t="str">
        <f>"05"</f>
        <v>05</v>
      </c>
      <c r="J1742" t="str">
        <f>"OP-PD02880"</f>
        <v>OP-PD02880</v>
      </c>
      <c r="K1742" t="str">
        <f>"POWER DISTRIBUTION BOARD 06/07-SOCD"</f>
        <v>POWER DISTRIBUTION BOARD 06/07-SOCD</v>
      </c>
      <c r="L1742">
        <v>2</v>
      </c>
      <c r="M1742" t="str">
        <f>"יח"</f>
        <v>יח</v>
      </c>
      <c r="N1742">
        <v>2</v>
      </c>
      <c r="O1742" t="str">
        <f>"יח"</f>
        <v>יח</v>
      </c>
      <c r="P1742" s="2">
        <v>47244</v>
      </c>
      <c r="Q1742" t="str">
        <f>"$"</f>
        <v>$</v>
      </c>
      <c r="R1742" t="str">
        <f>"הזמנה"</f>
        <v>הזמנה</v>
      </c>
      <c r="S1742">
        <v>0</v>
      </c>
      <c r="T1742" s="2">
        <v>94488</v>
      </c>
      <c r="U1742">
        <v>0</v>
      </c>
      <c r="V1742" s="2">
        <v>94488</v>
      </c>
      <c r="W1742" t="str">
        <f>"$"</f>
        <v>$</v>
      </c>
      <c r="X1742">
        <v>0</v>
      </c>
      <c r="Y1742">
        <v>0</v>
      </c>
      <c r="Z1742">
        <v>0</v>
      </c>
      <c r="AA1742" t="str">
        <f>"Y"</f>
        <v>Y</v>
      </c>
      <c r="AB1742" t="str">
        <f>"SO21000184"</f>
        <v>SO21000184</v>
      </c>
      <c r="AC1742">
        <v>23</v>
      </c>
      <c r="AD1742" s="1">
        <v>44307</v>
      </c>
      <c r="AE1742" t="str">
        <f>"SH22000376"</f>
        <v>SH22000376</v>
      </c>
      <c r="AF1742" t="str">
        <f>"משלוחים ללקוח"</f>
        <v>משלוחים ללקוח</v>
      </c>
      <c r="AG1742" s="1">
        <v>44654</v>
      </c>
      <c r="AM1742" t="str">
        <f>"10"</f>
        <v>10</v>
      </c>
      <c r="AN1742" t="str">
        <f>"500000"</f>
        <v>500000</v>
      </c>
      <c r="AO1742" t="str">
        <f>"הכנסות  מלקוחות"</f>
        <v>הכנסות  מלקוחות</v>
      </c>
      <c r="AQ1742" t="str">
        <f>"034"</f>
        <v>034</v>
      </c>
      <c r="AR1742">
        <v>0</v>
      </c>
      <c r="AS1742">
        <v>0</v>
      </c>
      <c r="AT1742">
        <v>3.2250000000000001</v>
      </c>
      <c r="AX1742" t="str">
        <f>"E000336430"</f>
        <v>E000336430</v>
      </c>
      <c r="BD1742" t="str">
        <f>"ערן שלו"</f>
        <v>ערן שלו</v>
      </c>
    </row>
    <row r="1743" spans="1:56" x14ac:dyDescent="0.3">
      <c r="A1743" s="1">
        <v>44635</v>
      </c>
      <c r="B1743" t="str">
        <f>"SI226000265"</f>
        <v>SI226000265</v>
      </c>
      <c r="C1743" t="str">
        <f>"PR22000164"</f>
        <v>PR22000164</v>
      </c>
      <c r="E1743" t="str">
        <f>"Y"</f>
        <v>Y</v>
      </c>
      <c r="F1743" t="str">
        <f>"חשבוניות מרכזות"</f>
        <v>חשבוניות מרכזות</v>
      </c>
      <c r="G1743" t="str">
        <f>"700065"</f>
        <v>700065</v>
      </c>
      <c r="H1743" t="str">
        <f>"אלתא מערכות בע""מ"</f>
        <v>אלתא מערכות בע"מ</v>
      </c>
      <c r="I1743" t="str">
        <f>"10"</f>
        <v>10</v>
      </c>
      <c r="J1743" t="str">
        <f>"PD0300506"</f>
        <v>PD0300506</v>
      </c>
      <c r="K1743" t="str">
        <f>"מתמר זרם MCR-SL-CUC-100-I - 2308027 AC/DC 100A"</f>
        <v>מתמר זרם MCR-SL-CUC-100-I - 2308027 AC/DC 100A</v>
      </c>
      <c r="L1743">
        <v>1</v>
      </c>
      <c r="M1743" t="str">
        <f>"יח"</f>
        <v>יח</v>
      </c>
      <c r="N1743">
        <v>1</v>
      </c>
      <c r="O1743" t="str">
        <f>"יח"</f>
        <v>יח</v>
      </c>
      <c r="P1743">
        <v>660</v>
      </c>
      <c r="Q1743" t="str">
        <f>"$"</f>
        <v>$</v>
      </c>
      <c r="R1743" t="str">
        <f>"הזמנה"</f>
        <v>הזמנה</v>
      </c>
      <c r="S1743">
        <v>0</v>
      </c>
      <c r="T1743">
        <v>660</v>
      </c>
      <c r="U1743">
        <v>0</v>
      </c>
      <c r="V1743">
        <v>660</v>
      </c>
      <c r="W1743" t="str">
        <f>"$"</f>
        <v>$</v>
      </c>
      <c r="X1743">
        <v>0</v>
      </c>
      <c r="Y1743">
        <v>0</v>
      </c>
      <c r="Z1743">
        <v>0</v>
      </c>
      <c r="AA1743" t="str">
        <f>"Y"</f>
        <v>Y</v>
      </c>
      <c r="AB1743" t="str">
        <f>"SO22000050"</f>
        <v>SO22000050</v>
      </c>
      <c r="AC1743">
        <v>1</v>
      </c>
      <c r="AD1743" s="1">
        <v>44605</v>
      </c>
      <c r="AE1743" t="str">
        <f>"SH22000291"</f>
        <v>SH22000291</v>
      </c>
      <c r="AF1743" t="str">
        <f>"משלוחים ללקוח"</f>
        <v>משלוחים ללקוח</v>
      </c>
      <c r="AG1743" s="1">
        <v>44634</v>
      </c>
      <c r="AM1743" t="str">
        <f>"10"</f>
        <v>10</v>
      </c>
      <c r="AN1743" t="str">
        <f>"500000"</f>
        <v>500000</v>
      </c>
      <c r="AO1743" t="str">
        <f>"הכנסות  מלקוחות"</f>
        <v>הכנסות  מלקוחות</v>
      </c>
      <c r="AQ1743" t="str">
        <f>"034"</f>
        <v>034</v>
      </c>
      <c r="AR1743">
        <v>0</v>
      </c>
      <c r="AS1743">
        <v>0</v>
      </c>
      <c r="AT1743">
        <v>3.2679999999999998</v>
      </c>
      <c r="AX1743" t="str">
        <f>"E000357869"</f>
        <v>E000357869</v>
      </c>
      <c r="BD1743" t="str">
        <f>"ערן שלו"</f>
        <v>ערן שלו</v>
      </c>
    </row>
    <row r="1744" spans="1:56" x14ac:dyDescent="0.3">
      <c r="A1744" s="1">
        <v>44635</v>
      </c>
      <c r="B1744" t="str">
        <f>"SI226000264"</f>
        <v>SI226000264</v>
      </c>
      <c r="C1744" t="str">
        <f>"PR21000802"</f>
        <v>PR21000802</v>
      </c>
      <c r="D1744" t="str">
        <f>"PR21000802"</f>
        <v>PR21000802</v>
      </c>
      <c r="E1744" t="str">
        <f>"Y"</f>
        <v>Y</v>
      </c>
      <c r="F1744" t="str">
        <f>"חשבוניות מרכזות"</f>
        <v>חשבוניות מרכזות</v>
      </c>
      <c r="G1744" t="str">
        <f>"700065"</f>
        <v>700065</v>
      </c>
      <c r="H1744" t="str">
        <f>"אלתא מערכות בע""מ"</f>
        <v>אלתא מערכות בע"מ</v>
      </c>
      <c r="I1744" t="str">
        <f>"10"</f>
        <v>10</v>
      </c>
      <c r="J1744" t="str">
        <f>"OP-AR02841"</f>
        <v>OP-AR02841</v>
      </c>
      <c r="K1744" t="str">
        <f>"6980A803-001   W3- V8 INTERNAL DC CABLE"</f>
        <v>6980A803-001   W3- V8 INTERNAL DC CABLE</v>
      </c>
      <c r="L1744">
        <v>5</v>
      </c>
      <c r="M1744" t="str">
        <f>"יח"</f>
        <v>יח</v>
      </c>
      <c r="N1744">
        <v>5</v>
      </c>
      <c r="O1744" t="str">
        <f>"יח"</f>
        <v>יח</v>
      </c>
      <c r="P1744">
        <v>470.33</v>
      </c>
      <c r="Q1744" t="str">
        <f>"$"</f>
        <v>$</v>
      </c>
      <c r="R1744" t="str">
        <f>"הזמנה"</f>
        <v>הזמנה</v>
      </c>
      <c r="S1744">
        <v>0</v>
      </c>
      <c r="T1744" s="2">
        <v>2351.65</v>
      </c>
      <c r="U1744">
        <v>0</v>
      </c>
      <c r="V1744" s="2">
        <v>2351.65</v>
      </c>
      <c r="W1744" t="str">
        <f>"$"</f>
        <v>$</v>
      </c>
      <c r="X1744">
        <v>0</v>
      </c>
      <c r="Y1744">
        <v>0</v>
      </c>
      <c r="Z1744">
        <v>0</v>
      </c>
      <c r="AA1744" t="str">
        <f>"Y"</f>
        <v>Y</v>
      </c>
      <c r="AB1744" t="str">
        <f>"SO21000479"</f>
        <v>SO21000479</v>
      </c>
      <c r="AC1744">
        <v>2</v>
      </c>
      <c r="AD1744" s="1">
        <v>44521</v>
      </c>
      <c r="AE1744" t="str">
        <f>"SH22000296"</f>
        <v>SH22000296</v>
      </c>
      <c r="AF1744" t="str">
        <f>"משלוחים ללקוח"</f>
        <v>משלוחים ללקוח</v>
      </c>
      <c r="AG1744" s="1">
        <v>44634</v>
      </c>
      <c r="AM1744" t="str">
        <f>"10"</f>
        <v>10</v>
      </c>
      <c r="AN1744" t="str">
        <f>"500000"</f>
        <v>500000</v>
      </c>
      <c r="AO1744" t="str">
        <f>"הכנסות  מלקוחות"</f>
        <v>הכנסות  מלקוחות</v>
      </c>
      <c r="AQ1744" t="str">
        <f>"040"</f>
        <v>040</v>
      </c>
      <c r="AR1744">
        <v>0</v>
      </c>
      <c r="AS1744">
        <v>0</v>
      </c>
      <c r="AT1744">
        <v>3.2869999999999999</v>
      </c>
      <c r="AX1744" t="str">
        <f>"E000350616"</f>
        <v>E000350616</v>
      </c>
      <c r="BD1744" t="str">
        <f>"רחמים זרוק"</f>
        <v>רחמים זרוק</v>
      </c>
    </row>
    <row r="1745" spans="1:56" x14ac:dyDescent="0.3">
      <c r="A1745" s="1">
        <v>44634</v>
      </c>
      <c r="B1745" t="str">
        <f>"SI226000257"</f>
        <v>SI226000257</v>
      </c>
      <c r="C1745" t="str">
        <f>"PR21000541"</f>
        <v>PR21000541</v>
      </c>
      <c r="D1745" t="str">
        <f>"PR21000541"</f>
        <v>PR21000541</v>
      </c>
      <c r="E1745" t="str">
        <f>"Y"</f>
        <v>Y</v>
      </c>
      <c r="F1745" t="str">
        <f>"חשבוניות מרכזות"</f>
        <v>חשבוניות מרכזות</v>
      </c>
      <c r="G1745" t="str">
        <f>"700065"</f>
        <v>700065</v>
      </c>
      <c r="H1745" t="str">
        <f>"אלתא מערכות בע""מ"</f>
        <v>אלתא מערכות בע"מ</v>
      </c>
      <c r="I1745" t="str">
        <f>"10"</f>
        <v>10</v>
      </c>
      <c r="J1745" t="str">
        <f>"000"</f>
        <v>000</v>
      </c>
      <c r="K1745" t="str">
        <f>"פתרון בעיית מיתוג ביחידת PDB"</f>
        <v>פתרון בעיית מיתוג ביחידת PDB</v>
      </c>
      <c r="L1745">
        <v>1</v>
      </c>
      <c r="M1745" t="str">
        <f>"יח"</f>
        <v>יח</v>
      </c>
      <c r="N1745">
        <v>1</v>
      </c>
      <c r="O1745" t="str">
        <f>"יח"</f>
        <v>יח</v>
      </c>
      <c r="P1745" s="2">
        <v>13005</v>
      </c>
      <c r="Q1745" t="str">
        <f>"$"</f>
        <v>$</v>
      </c>
      <c r="R1745" t="str">
        <f>"הזמנה"</f>
        <v>הזמנה</v>
      </c>
      <c r="S1745">
        <v>0</v>
      </c>
      <c r="T1745" s="2">
        <v>13005</v>
      </c>
      <c r="U1745">
        <v>0</v>
      </c>
      <c r="V1745" s="2">
        <v>13005</v>
      </c>
      <c r="W1745" t="str">
        <f>"$"</f>
        <v>$</v>
      </c>
      <c r="X1745">
        <v>0</v>
      </c>
      <c r="Y1745">
        <v>0</v>
      </c>
      <c r="Z1745">
        <v>0</v>
      </c>
      <c r="AA1745" t="str">
        <f>"Y"</f>
        <v>Y</v>
      </c>
      <c r="AB1745" t="str">
        <f>"SO22000019"</f>
        <v>SO22000019</v>
      </c>
      <c r="AC1745">
        <v>1</v>
      </c>
      <c r="AD1745" s="1">
        <v>44579</v>
      </c>
      <c r="AM1745" t="str">
        <f>"10"</f>
        <v>10</v>
      </c>
      <c r="AN1745" t="str">
        <f>"500000"</f>
        <v>500000</v>
      </c>
      <c r="AO1745" t="str">
        <f>"הכנסות  מלקוחות"</f>
        <v>הכנסות  מלקוחות</v>
      </c>
      <c r="AQ1745" t="str">
        <f>"007"</f>
        <v>007</v>
      </c>
      <c r="AR1745">
        <v>0</v>
      </c>
      <c r="AS1745">
        <v>0</v>
      </c>
      <c r="AT1745">
        <v>3.2639999999999998</v>
      </c>
      <c r="AX1745" t="str">
        <f>"E000355733"</f>
        <v>E000355733</v>
      </c>
      <c r="BD1745" t="str">
        <f>"רוני דידי"</f>
        <v>רוני דידי</v>
      </c>
    </row>
    <row r="1746" spans="1:56" x14ac:dyDescent="0.3">
      <c r="A1746" s="1">
        <v>44633</v>
      </c>
      <c r="B1746" t="str">
        <f>"SI226000256"</f>
        <v>SI226000256</v>
      </c>
      <c r="C1746" t="str">
        <f>"PR22000010"</f>
        <v>PR22000010</v>
      </c>
      <c r="E1746" t="str">
        <f>"Y"</f>
        <v>Y</v>
      </c>
      <c r="F1746" t="str">
        <f>"חשבוניות מרכזות"</f>
        <v>חשבוניות מרכזות</v>
      </c>
      <c r="G1746" t="str">
        <f>"700065"</f>
        <v>700065</v>
      </c>
      <c r="H1746" t="str">
        <f>"אלתא מערכות בע""מ"</f>
        <v>אלתא מערכות בע"מ</v>
      </c>
      <c r="I1746" t="str">
        <f>"10"</f>
        <v>10</v>
      </c>
      <c r="J1746" t="str">
        <f>"OP-AR02914"</f>
        <v>OP-AR02914</v>
      </c>
      <c r="K1746" t="str">
        <f>"9000Y503-001    HARNESS WA003 - INTERNAL PWR AND CONT TO"</f>
        <v>9000Y503-001    HARNESS WA003 - INTERNAL PWR AND CONT TO</v>
      </c>
      <c r="L1746">
        <v>10</v>
      </c>
      <c r="M1746" t="str">
        <f>"יח"</f>
        <v>יח</v>
      </c>
      <c r="N1746">
        <v>10</v>
      </c>
      <c r="O1746" t="str">
        <f>"יח"</f>
        <v>יח</v>
      </c>
      <c r="P1746">
        <v>139.13999999999999</v>
      </c>
      <c r="Q1746" t="str">
        <f>"$"</f>
        <v>$</v>
      </c>
      <c r="R1746" t="str">
        <f>"הזמנה"</f>
        <v>הזמנה</v>
      </c>
      <c r="S1746">
        <v>0</v>
      </c>
      <c r="T1746" s="2">
        <v>1391.4</v>
      </c>
      <c r="U1746">
        <v>0</v>
      </c>
      <c r="V1746" s="2">
        <v>1391.4</v>
      </c>
      <c r="W1746" t="str">
        <f>"$"</f>
        <v>$</v>
      </c>
      <c r="X1746">
        <v>0</v>
      </c>
      <c r="Y1746">
        <v>0</v>
      </c>
      <c r="Z1746">
        <v>0</v>
      </c>
      <c r="AA1746" t="str">
        <f>"Y"</f>
        <v>Y</v>
      </c>
      <c r="AB1746" t="str">
        <f>"SO22000007"</f>
        <v>SO22000007</v>
      </c>
      <c r="AC1746">
        <v>15</v>
      </c>
      <c r="AD1746" s="1">
        <v>44565</v>
      </c>
      <c r="AE1746" t="str">
        <f>"SH22000278"</f>
        <v>SH22000278</v>
      </c>
      <c r="AF1746" t="str">
        <f>"משלוחים ללקוח"</f>
        <v>משלוחים ללקוח</v>
      </c>
      <c r="AG1746" s="1">
        <v>44633</v>
      </c>
      <c r="AM1746" t="str">
        <f>"10"</f>
        <v>10</v>
      </c>
      <c r="AN1746" t="str">
        <f>"500000"</f>
        <v>500000</v>
      </c>
      <c r="AO1746" t="str">
        <f>"הכנסות  מלקוחות"</f>
        <v>הכנסות  מלקוחות</v>
      </c>
      <c r="AQ1746" t="str">
        <f>"040"</f>
        <v>040</v>
      </c>
      <c r="AR1746">
        <v>0</v>
      </c>
      <c r="AS1746">
        <v>0</v>
      </c>
      <c r="AT1746">
        <v>3.2639999999999998</v>
      </c>
      <c r="AX1746" t="str">
        <f>"E000353717"</f>
        <v>E000353717</v>
      </c>
      <c r="BD1746" t="str">
        <f>"רחמים זרוק"</f>
        <v>רחמים זרוק</v>
      </c>
    </row>
    <row r="1747" spans="1:56" x14ac:dyDescent="0.3">
      <c r="A1747" s="1">
        <v>44633</v>
      </c>
      <c r="B1747" t="str">
        <f>"SI226000256"</f>
        <v>SI226000256</v>
      </c>
      <c r="C1747" t="str">
        <f>"PR22000010"</f>
        <v>PR22000010</v>
      </c>
      <c r="E1747" t="str">
        <f>"Y"</f>
        <v>Y</v>
      </c>
      <c r="F1747" t="str">
        <f>"חשבוניות מרכזות"</f>
        <v>חשבוניות מרכזות</v>
      </c>
      <c r="G1747" t="str">
        <f>"700065"</f>
        <v>700065</v>
      </c>
      <c r="H1747" t="str">
        <f>"אלתא מערכות בע""מ"</f>
        <v>אלתא מערכות בע"מ</v>
      </c>
      <c r="I1747" t="str">
        <f>"10"</f>
        <v>10</v>
      </c>
      <c r="J1747" t="str">
        <f>"OP-AR02916"</f>
        <v>OP-AR02916</v>
      </c>
      <c r="K1747" t="str">
        <f>"9000Y505-001    HARNESS WA005 - INTERNAL ETHERNET"</f>
        <v>9000Y505-001    HARNESS WA005 - INTERNAL ETHERNET</v>
      </c>
      <c r="L1747">
        <v>4</v>
      </c>
      <c r="M1747" t="str">
        <f>"יח"</f>
        <v>יח</v>
      </c>
      <c r="N1747">
        <v>4</v>
      </c>
      <c r="O1747" t="str">
        <f>"יח"</f>
        <v>יח</v>
      </c>
      <c r="P1747">
        <v>73.97</v>
      </c>
      <c r="Q1747" t="str">
        <f>"$"</f>
        <v>$</v>
      </c>
      <c r="R1747" t="str">
        <f>"הזמנה"</f>
        <v>הזמנה</v>
      </c>
      <c r="S1747">
        <v>0</v>
      </c>
      <c r="T1747">
        <v>295.88</v>
      </c>
      <c r="U1747">
        <v>0</v>
      </c>
      <c r="V1747">
        <v>295.88</v>
      </c>
      <c r="W1747" t="str">
        <f>"$"</f>
        <v>$</v>
      </c>
      <c r="X1747">
        <v>0</v>
      </c>
      <c r="Y1747">
        <v>0</v>
      </c>
      <c r="Z1747">
        <v>0</v>
      </c>
      <c r="AA1747" t="str">
        <f>"Y"</f>
        <v>Y</v>
      </c>
      <c r="AB1747" t="str">
        <f>"SO22000007"</f>
        <v>SO22000007</v>
      </c>
      <c r="AC1747">
        <v>17</v>
      </c>
      <c r="AD1747" s="1">
        <v>44565</v>
      </c>
      <c r="AE1747" t="str">
        <f>"SH22000278"</f>
        <v>SH22000278</v>
      </c>
      <c r="AF1747" t="str">
        <f>"משלוחים ללקוח"</f>
        <v>משלוחים ללקוח</v>
      </c>
      <c r="AG1747" s="1">
        <v>44633</v>
      </c>
      <c r="AM1747" t="str">
        <f>"10"</f>
        <v>10</v>
      </c>
      <c r="AN1747" t="str">
        <f>"500000"</f>
        <v>500000</v>
      </c>
      <c r="AO1747" t="str">
        <f>"הכנסות  מלקוחות"</f>
        <v>הכנסות  מלקוחות</v>
      </c>
      <c r="AQ1747" t="str">
        <f>"040"</f>
        <v>040</v>
      </c>
      <c r="AR1747">
        <v>0</v>
      </c>
      <c r="AS1747">
        <v>0</v>
      </c>
      <c r="AT1747">
        <v>3.2639999999999998</v>
      </c>
      <c r="AX1747" t="str">
        <f>"E000353717"</f>
        <v>E000353717</v>
      </c>
      <c r="BD1747" t="str">
        <f>"רחמים זרוק"</f>
        <v>רחמים זרוק</v>
      </c>
    </row>
    <row r="1748" spans="1:56" x14ac:dyDescent="0.3">
      <c r="A1748" s="1">
        <v>44633</v>
      </c>
      <c r="B1748" t="str">
        <f>"SI226000255"</f>
        <v>SI226000255</v>
      </c>
      <c r="C1748" t="str">
        <f>"PR21000671"</f>
        <v>PR21000671</v>
      </c>
      <c r="E1748" t="str">
        <f>"Y"</f>
        <v>Y</v>
      </c>
      <c r="F1748" t="str">
        <f>"חשבוניות מרכזות"</f>
        <v>חשבוניות מרכזות</v>
      </c>
      <c r="G1748" t="str">
        <f>"700065"</f>
        <v>700065</v>
      </c>
      <c r="H1748" t="str">
        <f>"אלתא מערכות בע""מ"</f>
        <v>אלתא מערכות בע"מ</v>
      </c>
      <c r="I1748" t="str">
        <f>"10"</f>
        <v>10</v>
      </c>
      <c r="J1748" t="str">
        <f>"PS0400063"</f>
        <v>PS0400063</v>
      </c>
      <c r="K1748" t="str">
        <f>"TSI-EPC-48V-230Vac-Module MEDIA ( Stainless)"</f>
        <v>TSI-EPC-48V-230Vac-Module MEDIA ( Stainless)</v>
      </c>
      <c r="L1748">
        <v>5</v>
      </c>
      <c r="M1748" t="str">
        <f>"יח"</f>
        <v>יח</v>
      </c>
      <c r="N1748">
        <v>5</v>
      </c>
      <c r="O1748" t="str">
        <f>"יח"</f>
        <v>יח</v>
      </c>
      <c r="P1748" s="2">
        <v>3550</v>
      </c>
      <c r="Q1748" t="str">
        <f>"$"</f>
        <v>$</v>
      </c>
      <c r="R1748" t="str">
        <f>"הזמנה"</f>
        <v>הזמנה</v>
      </c>
      <c r="S1748">
        <v>0</v>
      </c>
      <c r="T1748" s="2">
        <v>17750</v>
      </c>
      <c r="U1748">
        <v>0</v>
      </c>
      <c r="V1748" s="2">
        <v>17750</v>
      </c>
      <c r="W1748" t="str">
        <f>"$"</f>
        <v>$</v>
      </c>
      <c r="X1748">
        <v>0</v>
      </c>
      <c r="Y1748">
        <v>0</v>
      </c>
      <c r="Z1748">
        <v>0</v>
      </c>
      <c r="AA1748" t="str">
        <f>"Y"</f>
        <v>Y</v>
      </c>
      <c r="AB1748" t="str">
        <f>"SO21000432"</f>
        <v>SO21000432</v>
      </c>
      <c r="AC1748">
        <v>1</v>
      </c>
      <c r="AD1748" s="1">
        <v>44479</v>
      </c>
      <c r="AE1748" t="str">
        <f>"SH22000281"</f>
        <v>SH22000281</v>
      </c>
      <c r="AF1748" t="str">
        <f>"משלוחים ללקוח"</f>
        <v>משלוחים ללקוח</v>
      </c>
      <c r="AG1748" s="1">
        <v>44633</v>
      </c>
      <c r="AM1748" t="str">
        <f>"10"</f>
        <v>10</v>
      </c>
      <c r="AN1748" t="str">
        <f>"500000"</f>
        <v>500000</v>
      </c>
      <c r="AO1748" t="str">
        <f>"הכנסות  מלקוחות"</f>
        <v>הכנסות  מלקוחות</v>
      </c>
      <c r="AQ1748" t="str">
        <f>"034"</f>
        <v>034</v>
      </c>
      <c r="AR1748">
        <v>0</v>
      </c>
      <c r="AS1748">
        <v>0</v>
      </c>
      <c r="AT1748">
        <v>3.2639999999999998</v>
      </c>
      <c r="AX1748" t="str">
        <f>"E000347797"</f>
        <v>E000347797</v>
      </c>
      <c r="BD1748" t="str">
        <f>"ערן שלו"</f>
        <v>ערן שלו</v>
      </c>
    </row>
    <row r="1749" spans="1:56" x14ac:dyDescent="0.3">
      <c r="A1749" s="1">
        <v>44633</v>
      </c>
      <c r="B1749" t="str">
        <f>"SI226000254"</f>
        <v>SI226000254</v>
      </c>
      <c r="C1749" t="str">
        <f>"PR18000547"</f>
        <v>PR18000547</v>
      </c>
      <c r="E1749" t="str">
        <f>"Y"</f>
        <v>Y</v>
      </c>
      <c r="F1749" t="str">
        <f>"חשבוניות מרכזות"</f>
        <v>חשבוניות מרכזות</v>
      </c>
      <c r="G1749" t="str">
        <f>"700065"</f>
        <v>700065</v>
      </c>
      <c r="H1749" t="str">
        <f>"אלתא מערכות בע""מ"</f>
        <v>אלתא מערכות בע"מ</v>
      </c>
      <c r="I1749" t="str">
        <f>"10"</f>
        <v>10</v>
      </c>
      <c r="J1749" t="str">
        <f>"cust00891"</f>
        <v>cust00891</v>
      </c>
      <c r="K1749" t="str">
        <f>"1038H185-001 אלתא"</f>
        <v>1038H185-001 אלתא</v>
      </c>
      <c r="L1749">
        <v>1</v>
      </c>
      <c r="M1749" t="str">
        <f>"יח"</f>
        <v>יח</v>
      </c>
      <c r="N1749">
        <v>1</v>
      </c>
      <c r="O1749" t="str">
        <f>"יח"</f>
        <v>יח</v>
      </c>
      <c r="P1749" s="2">
        <v>1500</v>
      </c>
      <c r="Q1749" t="str">
        <f>"$"</f>
        <v>$</v>
      </c>
      <c r="R1749" t="str">
        <f>"הזמנה"</f>
        <v>הזמנה</v>
      </c>
      <c r="S1749">
        <v>0</v>
      </c>
      <c r="T1749" s="2">
        <v>1500</v>
      </c>
      <c r="U1749">
        <v>0</v>
      </c>
      <c r="V1749" s="2">
        <v>1500</v>
      </c>
      <c r="W1749" t="str">
        <f>"$"</f>
        <v>$</v>
      </c>
      <c r="X1749">
        <v>0</v>
      </c>
      <c r="Y1749">
        <v>0</v>
      </c>
      <c r="Z1749">
        <v>0</v>
      </c>
      <c r="AA1749" t="str">
        <f>"Y"</f>
        <v>Y</v>
      </c>
      <c r="AB1749" t="str">
        <f>"SO22000040"</f>
        <v>SO22000040</v>
      </c>
      <c r="AC1749">
        <v>1</v>
      </c>
      <c r="AD1749" s="1">
        <v>44598</v>
      </c>
      <c r="AE1749" t="str">
        <f>"SH22000273"</f>
        <v>SH22000273</v>
      </c>
      <c r="AF1749" t="str">
        <f>"משלוחים ללקוח"</f>
        <v>משלוחים ללקוח</v>
      </c>
      <c r="AG1749" s="1">
        <v>44629</v>
      </c>
      <c r="AM1749" t="str">
        <f>"10"</f>
        <v>10</v>
      </c>
      <c r="AN1749" t="str">
        <f>"500000"</f>
        <v>500000</v>
      </c>
      <c r="AO1749" t="str">
        <f>"הכנסות  מלקוחות"</f>
        <v>הכנסות  מלקוחות</v>
      </c>
      <c r="AQ1749" t="str">
        <f>"034"</f>
        <v>034</v>
      </c>
      <c r="AR1749">
        <v>0</v>
      </c>
      <c r="AS1749">
        <v>0</v>
      </c>
      <c r="AT1749">
        <v>3.2639999999999998</v>
      </c>
      <c r="AX1749" t="str">
        <f>"E000357049"</f>
        <v>E000357049</v>
      </c>
      <c r="BD1749" t="str">
        <f>"ערן שלו"</f>
        <v>ערן שלו</v>
      </c>
    </row>
    <row r="1750" spans="1:56" x14ac:dyDescent="0.3">
      <c r="A1750" s="1">
        <v>44633</v>
      </c>
      <c r="B1750" t="str">
        <f>"SI226000253"</f>
        <v>SI226000253</v>
      </c>
      <c r="C1750" t="str">
        <f>"PR21000763"</f>
        <v>PR21000763</v>
      </c>
      <c r="E1750" t="str">
        <f>"Y"</f>
        <v>Y</v>
      </c>
      <c r="F1750" t="str">
        <f>"חשבוניות מרכזות"</f>
        <v>חשבוניות מרכזות</v>
      </c>
      <c r="G1750" t="str">
        <f>"700065"</f>
        <v>700065</v>
      </c>
      <c r="H1750" t="str">
        <f>"אלתא מערכות בע""מ"</f>
        <v>אלתא מערכות בע"מ</v>
      </c>
      <c r="I1750" t="str">
        <f>"10"</f>
        <v>10</v>
      </c>
      <c r="J1750" t="str">
        <f>"OP-AR02827"</f>
        <v>OP-AR02827</v>
      </c>
      <c r="K1750" t="str">
        <f>"1030L872-001    W2-MEU INTERNAL CABLE"</f>
        <v>1030L872-001    W2-MEU INTERNAL CABLE</v>
      </c>
      <c r="L1750">
        <v>2</v>
      </c>
      <c r="M1750" t="str">
        <f>"יח"</f>
        <v>יח</v>
      </c>
      <c r="N1750">
        <v>2</v>
      </c>
      <c r="O1750" t="str">
        <f>"יח"</f>
        <v>יח</v>
      </c>
      <c r="P1750">
        <v>210.55</v>
      </c>
      <c r="Q1750" t="str">
        <f>"$"</f>
        <v>$</v>
      </c>
      <c r="R1750" t="str">
        <f>"הזמנה"</f>
        <v>הזמנה</v>
      </c>
      <c r="S1750">
        <v>0</v>
      </c>
      <c r="T1750">
        <v>421.1</v>
      </c>
      <c r="U1750">
        <v>0</v>
      </c>
      <c r="V1750">
        <v>421.1</v>
      </c>
      <c r="W1750" t="str">
        <f>"$"</f>
        <v>$</v>
      </c>
      <c r="X1750">
        <v>0</v>
      </c>
      <c r="Y1750">
        <v>0</v>
      </c>
      <c r="Z1750">
        <v>0</v>
      </c>
      <c r="AA1750" t="str">
        <f>"Y"</f>
        <v>Y</v>
      </c>
      <c r="AB1750" t="str">
        <f>"SO21000446"</f>
        <v>SO21000446</v>
      </c>
      <c r="AC1750">
        <v>1</v>
      </c>
      <c r="AD1750" s="1">
        <v>44496</v>
      </c>
      <c r="AE1750" t="str">
        <f>"SH22000279"</f>
        <v>SH22000279</v>
      </c>
      <c r="AF1750" t="str">
        <f>"משלוחים ללקוח"</f>
        <v>משלוחים ללקוח</v>
      </c>
      <c r="AG1750" s="1">
        <v>44633</v>
      </c>
      <c r="AM1750" t="str">
        <f>"10"</f>
        <v>10</v>
      </c>
      <c r="AN1750" t="str">
        <f>"500000"</f>
        <v>500000</v>
      </c>
      <c r="AO1750" t="str">
        <f>"הכנסות  מלקוחות"</f>
        <v>הכנסות  מלקוחות</v>
      </c>
      <c r="AQ1750" t="str">
        <f>"040"</f>
        <v>040</v>
      </c>
      <c r="AR1750">
        <v>0</v>
      </c>
      <c r="AS1750">
        <v>0</v>
      </c>
      <c r="AT1750">
        <v>3.2639999999999998</v>
      </c>
      <c r="AX1750" t="str">
        <f>"E000349206"</f>
        <v>E000349206</v>
      </c>
      <c r="BD1750" t="str">
        <f>"רחמים זרוק"</f>
        <v>רחמים זרוק</v>
      </c>
    </row>
    <row r="1751" spans="1:56" x14ac:dyDescent="0.3">
      <c r="A1751" s="1">
        <v>44633</v>
      </c>
      <c r="B1751" t="str">
        <f>"SI226000253"</f>
        <v>SI226000253</v>
      </c>
      <c r="C1751" t="str">
        <f>"PR21000763"</f>
        <v>PR21000763</v>
      </c>
      <c r="E1751" t="str">
        <f>"Y"</f>
        <v>Y</v>
      </c>
      <c r="F1751" t="str">
        <f>"חשבוניות מרכזות"</f>
        <v>חשבוניות מרכזות</v>
      </c>
      <c r="G1751" t="str">
        <f>"700065"</f>
        <v>700065</v>
      </c>
      <c r="H1751" t="str">
        <f>"אלתא מערכות בע""מ"</f>
        <v>אלתא מערכות בע"מ</v>
      </c>
      <c r="I1751" t="str">
        <f>"10"</f>
        <v>10</v>
      </c>
      <c r="J1751" t="str">
        <f>"OP-AR02826"</f>
        <v>OP-AR02826</v>
      </c>
      <c r="K1751" t="str">
        <f>"1030L871-001    W1-24V/ETH CABLE"</f>
        <v>1030L871-001    W1-24V/ETH CABLE</v>
      </c>
      <c r="L1751">
        <v>2</v>
      </c>
      <c r="M1751" t="str">
        <f>"יח"</f>
        <v>יח</v>
      </c>
      <c r="N1751">
        <v>2</v>
      </c>
      <c r="O1751" t="str">
        <f>"יח"</f>
        <v>יח</v>
      </c>
      <c r="P1751">
        <v>285.14999999999998</v>
      </c>
      <c r="Q1751" t="str">
        <f>"$"</f>
        <v>$</v>
      </c>
      <c r="R1751" t="str">
        <f>"הזמנה"</f>
        <v>הזמנה</v>
      </c>
      <c r="S1751">
        <v>0</v>
      </c>
      <c r="T1751">
        <v>570.29999999999995</v>
      </c>
      <c r="U1751">
        <v>0</v>
      </c>
      <c r="V1751">
        <v>570.29999999999995</v>
      </c>
      <c r="W1751" t="str">
        <f>"$"</f>
        <v>$</v>
      </c>
      <c r="X1751">
        <v>0</v>
      </c>
      <c r="Y1751">
        <v>0</v>
      </c>
      <c r="Z1751">
        <v>0</v>
      </c>
      <c r="AA1751" t="str">
        <f>"Y"</f>
        <v>Y</v>
      </c>
      <c r="AB1751" t="str">
        <f>"SO21000446"</f>
        <v>SO21000446</v>
      </c>
      <c r="AC1751">
        <v>2</v>
      </c>
      <c r="AD1751" s="1">
        <v>44496</v>
      </c>
      <c r="AE1751" t="str">
        <f>"SH22000279"</f>
        <v>SH22000279</v>
      </c>
      <c r="AF1751" t="str">
        <f>"משלוחים ללקוח"</f>
        <v>משלוחים ללקוח</v>
      </c>
      <c r="AG1751" s="1">
        <v>44633</v>
      </c>
      <c r="AM1751" t="str">
        <f>"10"</f>
        <v>10</v>
      </c>
      <c r="AN1751" t="str">
        <f>"500000"</f>
        <v>500000</v>
      </c>
      <c r="AO1751" t="str">
        <f>"הכנסות  מלקוחות"</f>
        <v>הכנסות  מלקוחות</v>
      </c>
      <c r="AQ1751" t="str">
        <f>"040"</f>
        <v>040</v>
      </c>
      <c r="AR1751">
        <v>0</v>
      </c>
      <c r="AS1751">
        <v>0</v>
      </c>
      <c r="AT1751">
        <v>3.2639999999999998</v>
      </c>
      <c r="AX1751" t="str">
        <f>"E000349206"</f>
        <v>E000349206</v>
      </c>
      <c r="BD1751" t="str">
        <f>"רחמים זרוק"</f>
        <v>רחמים זרוק</v>
      </c>
    </row>
    <row r="1752" spans="1:56" x14ac:dyDescent="0.3">
      <c r="A1752" s="1">
        <v>44633</v>
      </c>
      <c r="B1752" t="str">
        <f>"SI226000252"</f>
        <v>SI226000252</v>
      </c>
      <c r="C1752" t="str">
        <f>"PR21000888"</f>
        <v>PR21000888</v>
      </c>
      <c r="D1752" t="str">
        <f>"PR21000888"</f>
        <v>PR21000888</v>
      </c>
      <c r="E1752" t="str">
        <f>"Y"</f>
        <v>Y</v>
      </c>
      <c r="F1752" t="str">
        <f>"חשבוניות מרכזות"</f>
        <v>חשבוניות מרכזות</v>
      </c>
      <c r="G1752" t="str">
        <f>"700065"</f>
        <v>700065</v>
      </c>
      <c r="H1752" t="str">
        <f>"אלתא מערכות בע""מ"</f>
        <v>אלתא מערכות בע"מ</v>
      </c>
      <c r="I1752" t="str">
        <f>"10"</f>
        <v>10</v>
      </c>
      <c r="J1752" t="str">
        <f>"OP-AR02873"</f>
        <v>OP-AR02873</v>
      </c>
      <c r="K1752" t="str">
        <f>"1037V530-001   AC Power Cable For System Integration"</f>
        <v>1037V530-001   AC Power Cable For System Integration</v>
      </c>
      <c r="L1752">
        <v>1</v>
      </c>
      <c r="M1752" t="str">
        <f>"יח"</f>
        <v>יח</v>
      </c>
      <c r="N1752">
        <v>1</v>
      </c>
      <c r="O1752" t="str">
        <f>"יח"</f>
        <v>יח</v>
      </c>
      <c r="P1752" s="2">
        <v>5696</v>
      </c>
      <c r="Q1752" t="str">
        <f>"$"</f>
        <v>$</v>
      </c>
      <c r="R1752" t="str">
        <f>"הזמנה"</f>
        <v>הזמנה</v>
      </c>
      <c r="S1752">
        <v>0</v>
      </c>
      <c r="T1752" s="2">
        <v>5696</v>
      </c>
      <c r="U1752">
        <v>0</v>
      </c>
      <c r="V1752" s="2">
        <v>5696</v>
      </c>
      <c r="W1752" t="str">
        <f>"$"</f>
        <v>$</v>
      </c>
      <c r="X1752">
        <v>0</v>
      </c>
      <c r="Y1752">
        <v>0</v>
      </c>
      <c r="Z1752">
        <v>0</v>
      </c>
      <c r="AA1752" t="str">
        <f>"Y"</f>
        <v>Y</v>
      </c>
      <c r="AB1752" t="str">
        <f>"SO21000530"</f>
        <v>SO21000530</v>
      </c>
      <c r="AC1752">
        <v>2</v>
      </c>
      <c r="AD1752" s="1">
        <v>44557</v>
      </c>
      <c r="AE1752" t="str">
        <f>"SH22000280"</f>
        <v>SH22000280</v>
      </c>
      <c r="AF1752" t="str">
        <f>"משלוחים ללקוח"</f>
        <v>משלוחים ללקוח</v>
      </c>
      <c r="AG1752" s="1">
        <v>44633</v>
      </c>
      <c r="AM1752" t="str">
        <f>"10"</f>
        <v>10</v>
      </c>
      <c r="AN1752" t="str">
        <f>"500000"</f>
        <v>500000</v>
      </c>
      <c r="AO1752" t="str">
        <f>"הכנסות  מלקוחות"</f>
        <v>הכנסות  מלקוחות</v>
      </c>
      <c r="AQ1752" t="str">
        <f>"040"</f>
        <v>040</v>
      </c>
      <c r="AR1752">
        <v>0</v>
      </c>
      <c r="AS1752">
        <v>0</v>
      </c>
      <c r="AT1752">
        <v>3.2639999999999998</v>
      </c>
      <c r="AX1752" t="str">
        <f>"E000353714"</f>
        <v>E000353714</v>
      </c>
      <c r="BD1752" t="str">
        <f>"רחמים זרוק"</f>
        <v>רחמים זרוק</v>
      </c>
    </row>
    <row r="1753" spans="1:56" x14ac:dyDescent="0.3">
      <c r="A1753" s="1">
        <v>44627</v>
      </c>
      <c r="B1753" t="str">
        <f>"SI226000221"</f>
        <v>SI226000221</v>
      </c>
      <c r="C1753" t="str">
        <f>"PR22000009"</f>
        <v>PR22000009</v>
      </c>
      <c r="E1753" t="str">
        <f>"Y"</f>
        <v>Y</v>
      </c>
      <c r="F1753" t="str">
        <f>"חשבוניות מרכזות"</f>
        <v>חשבוניות מרכזות</v>
      </c>
      <c r="G1753" t="str">
        <f>"700065"</f>
        <v>700065</v>
      </c>
      <c r="H1753" t="str">
        <f>"אלתא מערכות בע""מ"</f>
        <v>אלתא מערכות בע"מ</v>
      </c>
      <c r="I1753" t="str">
        <f>"10"</f>
        <v>10</v>
      </c>
      <c r="J1753" t="str">
        <f>"OP-AR02943"</f>
        <v>OP-AR02943</v>
      </c>
      <c r="K1753" t="str">
        <f>"1039H802-001 REV A REPAIR"</f>
        <v>1039H802-001 REV A REPAIR</v>
      </c>
      <c r="L1753">
        <v>1</v>
      </c>
      <c r="M1753" t="str">
        <f>"יח"</f>
        <v>יח</v>
      </c>
      <c r="N1753">
        <v>1</v>
      </c>
      <c r="O1753" t="str">
        <f>"יח"</f>
        <v>יח</v>
      </c>
      <c r="P1753">
        <v>218.58</v>
      </c>
      <c r="Q1753" t="str">
        <f>"$"</f>
        <v>$</v>
      </c>
      <c r="R1753" t="str">
        <f>"הזמנה"</f>
        <v>הזמנה</v>
      </c>
      <c r="S1753">
        <v>0</v>
      </c>
      <c r="T1753">
        <v>218.58</v>
      </c>
      <c r="U1753">
        <v>0</v>
      </c>
      <c r="V1753">
        <v>218.58</v>
      </c>
      <c r="W1753" t="str">
        <f>"$"</f>
        <v>$</v>
      </c>
      <c r="X1753">
        <v>0</v>
      </c>
      <c r="Y1753">
        <v>0</v>
      </c>
      <c r="Z1753">
        <v>0</v>
      </c>
      <c r="AA1753" t="str">
        <f>"Y"</f>
        <v>Y</v>
      </c>
      <c r="AB1753" t="str">
        <f>"SO22000008"</f>
        <v>SO22000008</v>
      </c>
      <c r="AC1753">
        <v>2</v>
      </c>
      <c r="AD1753" s="1">
        <v>44570</v>
      </c>
      <c r="AE1753" t="str">
        <f>"SH22000253"</f>
        <v>SH22000253</v>
      </c>
      <c r="AF1753" t="str">
        <f>"משלוחים ללקוח"</f>
        <v>משלוחים ללקוח</v>
      </c>
      <c r="AG1753" s="1">
        <v>44626</v>
      </c>
      <c r="AM1753" t="str">
        <f>"10"</f>
        <v>10</v>
      </c>
      <c r="AN1753" t="str">
        <f>"500000"</f>
        <v>500000</v>
      </c>
      <c r="AO1753" t="str">
        <f>"הכנסות  מלקוחות"</f>
        <v>הכנסות  מלקוחות</v>
      </c>
      <c r="AQ1753" t="str">
        <f>"040"</f>
        <v>040</v>
      </c>
      <c r="AR1753">
        <v>0</v>
      </c>
      <c r="AS1753">
        <v>0</v>
      </c>
      <c r="AT1753">
        <v>3.282</v>
      </c>
      <c r="AX1753" t="str">
        <f>"E000353826"</f>
        <v>E000353826</v>
      </c>
      <c r="BD1753" t="str">
        <f>"רחמים זרוק"</f>
        <v>רחמים זרוק</v>
      </c>
    </row>
    <row r="1754" spans="1:56" x14ac:dyDescent="0.3">
      <c r="A1754" s="1">
        <v>44627</v>
      </c>
      <c r="B1754" t="str">
        <f>"SI226000221"</f>
        <v>SI226000221</v>
      </c>
      <c r="C1754" t="str">
        <f>"PR22000009"</f>
        <v>PR22000009</v>
      </c>
      <c r="E1754" t="str">
        <f>"Y"</f>
        <v>Y</v>
      </c>
      <c r="F1754" t="str">
        <f>"חשבוניות מרכזות"</f>
        <v>חשבוניות מרכזות</v>
      </c>
      <c r="G1754" t="str">
        <f>"700065"</f>
        <v>700065</v>
      </c>
      <c r="H1754" t="str">
        <f>"אלתא מערכות בע""מ"</f>
        <v>אלתא מערכות בע"מ</v>
      </c>
      <c r="I1754" t="str">
        <f>"10"</f>
        <v>10</v>
      </c>
      <c r="J1754" t="str">
        <f>"OP-AR02944"</f>
        <v>OP-AR02944</v>
      </c>
      <c r="K1754" t="str">
        <f>"1039H801-001 REV A REPAIR"</f>
        <v>1039H801-001 REV A REPAIR</v>
      </c>
      <c r="L1754">
        <v>2</v>
      </c>
      <c r="M1754" t="str">
        <f>"יח"</f>
        <v>יח</v>
      </c>
      <c r="N1754">
        <v>2</v>
      </c>
      <c r="O1754" t="str">
        <f>"יח"</f>
        <v>יח</v>
      </c>
      <c r="P1754">
        <v>218.58</v>
      </c>
      <c r="Q1754" t="str">
        <f>"$"</f>
        <v>$</v>
      </c>
      <c r="R1754" t="str">
        <f>"הזמנה"</f>
        <v>הזמנה</v>
      </c>
      <c r="S1754">
        <v>0</v>
      </c>
      <c r="T1754">
        <v>437.16</v>
      </c>
      <c r="U1754">
        <v>0</v>
      </c>
      <c r="V1754">
        <v>437.16</v>
      </c>
      <c r="W1754" t="str">
        <f>"$"</f>
        <v>$</v>
      </c>
      <c r="X1754">
        <v>0</v>
      </c>
      <c r="Y1754">
        <v>0</v>
      </c>
      <c r="Z1754">
        <v>0</v>
      </c>
      <c r="AA1754" t="str">
        <f>"Y"</f>
        <v>Y</v>
      </c>
      <c r="AB1754" t="str">
        <f>"SO22000008"</f>
        <v>SO22000008</v>
      </c>
      <c r="AC1754">
        <v>3</v>
      </c>
      <c r="AD1754" s="1">
        <v>44570</v>
      </c>
      <c r="AE1754" t="str">
        <f>"SH22000253"</f>
        <v>SH22000253</v>
      </c>
      <c r="AF1754" t="str">
        <f>"משלוחים ללקוח"</f>
        <v>משלוחים ללקוח</v>
      </c>
      <c r="AG1754" s="1">
        <v>44626</v>
      </c>
      <c r="AM1754" t="str">
        <f>"10"</f>
        <v>10</v>
      </c>
      <c r="AN1754" t="str">
        <f>"500000"</f>
        <v>500000</v>
      </c>
      <c r="AO1754" t="str">
        <f>"הכנסות  מלקוחות"</f>
        <v>הכנסות  מלקוחות</v>
      </c>
      <c r="AQ1754" t="str">
        <f>"040"</f>
        <v>040</v>
      </c>
      <c r="AR1754">
        <v>0</v>
      </c>
      <c r="AS1754">
        <v>0</v>
      </c>
      <c r="AT1754">
        <v>3.282</v>
      </c>
      <c r="AX1754" t="str">
        <f>"E000353826"</f>
        <v>E000353826</v>
      </c>
      <c r="BD1754" t="str">
        <f>"רחמים זרוק"</f>
        <v>רחמים זרוק</v>
      </c>
    </row>
    <row r="1755" spans="1:56" x14ac:dyDescent="0.3">
      <c r="A1755" s="1">
        <v>44627</v>
      </c>
      <c r="B1755" t="str">
        <f>"SI226000221"</f>
        <v>SI226000221</v>
      </c>
      <c r="C1755" t="str">
        <f>"PR22000009"</f>
        <v>PR22000009</v>
      </c>
      <c r="E1755" t="str">
        <f>"Y"</f>
        <v>Y</v>
      </c>
      <c r="F1755" t="str">
        <f>"חשבוניות מרכזות"</f>
        <v>חשבוניות מרכזות</v>
      </c>
      <c r="G1755" t="str">
        <f>"700065"</f>
        <v>700065</v>
      </c>
      <c r="H1755" t="str">
        <f>"אלתא מערכות בע""מ"</f>
        <v>אלתא מערכות בע"מ</v>
      </c>
      <c r="I1755" t="str">
        <f>"10"</f>
        <v>10</v>
      </c>
      <c r="J1755" t="str">
        <f>"OP-AR02933"</f>
        <v>OP-AR02933</v>
      </c>
      <c r="K1755" t="str">
        <f>"1039H811-001 REV A REPAIR"</f>
        <v>1039H811-001 REV A REPAIR</v>
      </c>
      <c r="L1755">
        <v>1</v>
      </c>
      <c r="M1755" t="str">
        <f>"יח"</f>
        <v>יח</v>
      </c>
      <c r="N1755">
        <v>1</v>
      </c>
      <c r="O1755" t="str">
        <f>"יח"</f>
        <v>יח</v>
      </c>
      <c r="P1755">
        <v>452.18</v>
      </c>
      <c r="Q1755" t="str">
        <f>"$"</f>
        <v>$</v>
      </c>
      <c r="R1755" t="str">
        <f>"הזמנה"</f>
        <v>הזמנה</v>
      </c>
      <c r="S1755">
        <v>0</v>
      </c>
      <c r="T1755">
        <v>452.18</v>
      </c>
      <c r="U1755">
        <v>0</v>
      </c>
      <c r="V1755">
        <v>452.18</v>
      </c>
      <c r="W1755" t="str">
        <f>"$"</f>
        <v>$</v>
      </c>
      <c r="X1755">
        <v>0</v>
      </c>
      <c r="Y1755">
        <v>0</v>
      </c>
      <c r="Z1755">
        <v>0</v>
      </c>
      <c r="AA1755" t="str">
        <f>"Y"</f>
        <v>Y</v>
      </c>
      <c r="AB1755" t="str">
        <f>"SO22000008"</f>
        <v>SO22000008</v>
      </c>
      <c r="AC1755">
        <v>4</v>
      </c>
      <c r="AD1755" s="1">
        <v>44570</v>
      </c>
      <c r="AE1755" t="str">
        <f>"SH22000253"</f>
        <v>SH22000253</v>
      </c>
      <c r="AF1755" t="str">
        <f>"משלוחים ללקוח"</f>
        <v>משלוחים ללקוח</v>
      </c>
      <c r="AG1755" s="1">
        <v>44626</v>
      </c>
      <c r="AM1755" t="str">
        <f>"10"</f>
        <v>10</v>
      </c>
      <c r="AN1755" t="str">
        <f>"500000"</f>
        <v>500000</v>
      </c>
      <c r="AO1755" t="str">
        <f>"הכנסות  מלקוחות"</f>
        <v>הכנסות  מלקוחות</v>
      </c>
      <c r="AQ1755" t="str">
        <f>"040"</f>
        <v>040</v>
      </c>
      <c r="AR1755">
        <v>0</v>
      </c>
      <c r="AS1755">
        <v>0</v>
      </c>
      <c r="AT1755">
        <v>3.282</v>
      </c>
      <c r="AX1755" t="str">
        <f>"E000353826"</f>
        <v>E000353826</v>
      </c>
      <c r="BD1755" t="str">
        <f>"רחמים זרוק"</f>
        <v>רחמים זרוק</v>
      </c>
    </row>
    <row r="1756" spans="1:56" x14ac:dyDescent="0.3">
      <c r="A1756" s="1">
        <v>44627</v>
      </c>
      <c r="B1756" t="str">
        <f>"SI226000221"</f>
        <v>SI226000221</v>
      </c>
      <c r="C1756" t="str">
        <f>"PR22000009"</f>
        <v>PR22000009</v>
      </c>
      <c r="E1756" t="str">
        <f>"Y"</f>
        <v>Y</v>
      </c>
      <c r="F1756" t="str">
        <f>"חשבוניות מרכזות"</f>
        <v>חשבוניות מרכזות</v>
      </c>
      <c r="G1756" t="str">
        <f>"700065"</f>
        <v>700065</v>
      </c>
      <c r="H1756" t="str">
        <f>"אלתא מערכות בע""מ"</f>
        <v>אלתא מערכות בע"מ</v>
      </c>
      <c r="I1756" t="str">
        <f>"10"</f>
        <v>10</v>
      </c>
      <c r="J1756" t="str">
        <f>"OP-AR02934"</f>
        <v>OP-AR02934</v>
      </c>
      <c r="K1756" t="str">
        <f>"1039H844-001 REV A REPAIR"</f>
        <v>1039H844-001 REV A REPAIR</v>
      </c>
      <c r="L1756">
        <v>1</v>
      </c>
      <c r="M1756" t="str">
        <f>"יח"</f>
        <v>יח</v>
      </c>
      <c r="N1756">
        <v>1</v>
      </c>
      <c r="O1756" t="str">
        <f>"יח"</f>
        <v>יח</v>
      </c>
      <c r="P1756">
        <v>261.60000000000002</v>
      </c>
      <c r="Q1756" t="str">
        <f>"$"</f>
        <v>$</v>
      </c>
      <c r="R1756" t="str">
        <f>"הזמנה"</f>
        <v>הזמנה</v>
      </c>
      <c r="S1756">
        <v>0</v>
      </c>
      <c r="T1756">
        <v>261.60000000000002</v>
      </c>
      <c r="U1756">
        <v>0</v>
      </c>
      <c r="V1756">
        <v>261.60000000000002</v>
      </c>
      <c r="W1756" t="str">
        <f>"$"</f>
        <v>$</v>
      </c>
      <c r="X1756">
        <v>0</v>
      </c>
      <c r="Y1756">
        <v>0</v>
      </c>
      <c r="Z1756">
        <v>0</v>
      </c>
      <c r="AA1756" t="str">
        <f>"Y"</f>
        <v>Y</v>
      </c>
      <c r="AB1756" t="str">
        <f>"SO22000008"</f>
        <v>SO22000008</v>
      </c>
      <c r="AC1756">
        <v>5</v>
      </c>
      <c r="AD1756" s="1">
        <v>44570</v>
      </c>
      <c r="AE1756" t="str">
        <f>"SH22000253"</f>
        <v>SH22000253</v>
      </c>
      <c r="AF1756" t="str">
        <f>"משלוחים ללקוח"</f>
        <v>משלוחים ללקוח</v>
      </c>
      <c r="AG1756" s="1">
        <v>44626</v>
      </c>
      <c r="AM1756" t="str">
        <f>"10"</f>
        <v>10</v>
      </c>
      <c r="AN1756" t="str">
        <f>"500000"</f>
        <v>500000</v>
      </c>
      <c r="AO1756" t="str">
        <f>"הכנסות  מלקוחות"</f>
        <v>הכנסות  מלקוחות</v>
      </c>
      <c r="AQ1756" t="str">
        <f>"040"</f>
        <v>040</v>
      </c>
      <c r="AR1756">
        <v>0</v>
      </c>
      <c r="AS1756">
        <v>0</v>
      </c>
      <c r="AT1756">
        <v>3.282</v>
      </c>
      <c r="AX1756" t="str">
        <f>"E000353826"</f>
        <v>E000353826</v>
      </c>
      <c r="BD1756" t="str">
        <f>"רחמים זרוק"</f>
        <v>רחמים זרוק</v>
      </c>
    </row>
    <row r="1757" spans="1:56" x14ac:dyDescent="0.3">
      <c r="A1757" s="1">
        <v>44627</v>
      </c>
      <c r="B1757" t="str">
        <f>"SI226000221"</f>
        <v>SI226000221</v>
      </c>
      <c r="C1757" t="str">
        <f>"PR22000009"</f>
        <v>PR22000009</v>
      </c>
      <c r="E1757" t="str">
        <f>"Y"</f>
        <v>Y</v>
      </c>
      <c r="F1757" t="str">
        <f>"חשבוניות מרכזות"</f>
        <v>חשבוניות מרכזות</v>
      </c>
      <c r="G1757" t="str">
        <f>"700065"</f>
        <v>700065</v>
      </c>
      <c r="H1757" t="str">
        <f>"אלתא מערכות בע""מ"</f>
        <v>אלתא מערכות בע"מ</v>
      </c>
      <c r="I1757" t="str">
        <f>"10"</f>
        <v>10</v>
      </c>
      <c r="J1757" t="str">
        <f>"OP-AR02935"</f>
        <v>OP-AR02935</v>
      </c>
      <c r="K1757" t="str">
        <f>"1039H842-001 REV A REPAIR"</f>
        <v>1039H842-001 REV A REPAIR</v>
      </c>
      <c r="L1757">
        <v>1</v>
      </c>
      <c r="M1757" t="str">
        <f>"יח"</f>
        <v>יח</v>
      </c>
      <c r="N1757">
        <v>1</v>
      </c>
      <c r="O1757" t="str">
        <f>"יח"</f>
        <v>יח</v>
      </c>
      <c r="P1757">
        <v>615.35</v>
      </c>
      <c r="Q1757" t="str">
        <f>"$"</f>
        <v>$</v>
      </c>
      <c r="R1757" t="str">
        <f>"הזמנה"</f>
        <v>הזמנה</v>
      </c>
      <c r="S1757">
        <v>0</v>
      </c>
      <c r="T1757">
        <v>615.35</v>
      </c>
      <c r="U1757">
        <v>0</v>
      </c>
      <c r="V1757">
        <v>615.35</v>
      </c>
      <c r="W1757" t="str">
        <f>"$"</f>
        <v>$</v>
      </c>
      <c r="X1757">
        <v>0</v>
      </c>
      <c r="Y1757">
        <v>0</v>
      </c>
      <c r="Z1757">
        <v>0</v>
      </c>
      <c r="AA1757" t="str">
        <f>"Y"</f>
        <v>Y</v>
      </c>
      <c r="AB1757" t="str">
        <f>"SO22000008"</f>
        <v>SO22000008</v>
      </c>
      <c r="AC1757">
        <v>6</v>
      </c>
      <c r="AD1757" s="1">
        <v>44570</v>
      </c>
      <c r="AE1757" t="str">
        <f>"SH22000253"</f>
        <v>SH22000253</v>
      </c>
      <c r="AF1757" t="str">
        <f>"משלוחים ללקוח"</f>
        <v>משלוחים ללקוח</v>
      </c>
      <c r="AG1757" s="1">
        <v>44626</v>
      </c>
      <c r="AM1757" t="str">
        <f>"10"</f>
        <v>10</v>
      </c>
      <c r="AN1757" t="str">
        <f>"500000"</f>
        <v>500000</v>
      </c>
      <c r="AO1757" t="str">
        <f>"הכנסות  מלקוחות"</f>
        <v>הכנסות  מלקוחות</v>
      </c>
      <c r="AQ1757" t="str">
        <f>"040"</f>
        <v>040</v>
      </c>
      <c r="AR1757">
        <v>0</v>
      </c>
      <c r="AS1757">
        <v>0</v>
      </c>
      <c r="AT1757">
        <v>3.282</v>
      </c>
      <c r="AX1757" t="str">
        <f>"E000353826"</f>
        <v>E000353826</v>
      </c>
      <c r="BD1757" t="str">
        <f>"רחמים זרוק"</f>
        <v>רחמים זרוק</v>
      </c>
    </row>
    <row r="1758" spans="1:56" x14ac:dyDescent="0.3">
      <c r="A1758" s="1">
        <v>44627</v>
      </c>
      <c r="B1758" t="str">
        <f>"SI226000221"</f>
        <v>SI226000221</v>
      </c>
      <c r="C1758" t="str">
        <f>"PR22000009"</f>
        <v>PR22000009</v>
      </c>
      <c r="E1758" t="str">
        <f>"Y"</f>
        <v>Y</v>
      </c>
      <c r="F1758" t="str">
        <f>"חשבוניות מרכזות"</f>
        <v>חשבוניות מרכזות</v>
      </c>
      <c r="G1758" t="str">
        <f>"700065"</f>
        <v>700065</v>
      </c>
      <c r="H1758" t="str">
        <f>"אלתא מערכות בע""מ"</f>
        <v>אלתא מערכות בע"מ</v>
      </c>
      <c r="I1758" t="str">
        <f>"10"</f>
        <v>10</v>
      </c>
      <c r="J1758" t="str">
        <f>"OP-AR02936"</f>
        <v>OP-AR02936</v>
      </c>
      <c r="K1758" t="str">
        <f>"1039H818-001 REV A REPAIR"</f>
        <v>1039H818-001 REV A REPAIR</v>
      </c>
      <c r="L1758">
        <v>1</v>
      </c>
      <c r="M1758" t="str">
        <f>"יח"</f>
        <v>יח</v>
      </c>
      <c r="N1758">
        <v>1</v>
      </c>
      <c r="O1758" t="str">
        <f>"יח"</f>
        <v>יח</v>
      </c>
      <c r="P1758">
        <v>351.38</v>
      </c>
      <c r="Q1758" t="str">
        <f>"$"</f>
        <v>$</v>
      </c>
      <c r="R1758" t="str">
        <f>"הזמנה"</f>
        <v>הזמנה</v>
      </c>
      <c r="S1758">
        <v>0</v>
      </c>
      <c r="T1758">
        <v>351.38</v>
      </c>
      <c r="U1758">
        <v>0</v>
      </c>
      <c r="V1758">
        <v>351.38</v>
      </c>
      <c r="W1758" t="str">
        <f>"$"</f>
        <v>$</v>
      </c>
      <c r="X1758">
        <v>0</v>
      </c>
      <c r="Y1758">
        <v>0</v>
      </c>
      <c r="Z1758">
        <v>0</v>
      </c>
      <c r="AA1758" t="str">
        <f>"Y"</f>
        <v>Y</v>
      </c>
      <c r="AB1758" t="str">
        <f>"SO22000008"</f>
        <v>SO22000008</v>
      </c>
      <c r="AC1758">
        <v>7</v>
      </c>
      <c r="AD1758" s="1">
        <v>44570</v>
      </c>
      <c r="AE1758" t="str">
        <f>"SH22000253"</f>
        <v>SH22000253</v>
      </c>
      <c r="AF1758" t="str">
        <f>"משלוחים ללקוח"</f>
        <v>משלוחים ללקוח</v>
      </c>
      <c r="AG1758" s="1">
        <v>44626</v>
      </c>
      <c r="AM1758" t="str">
        <f>"10"</f>
        <v>10</v>
      </c>
      <c r="AN1758" t="str">
        <f>"500000"</f>
        <v>500000</v>
      </c>
      <c r="AO1758" t="str">
        <f>"הכנסות  מלקוחות"</f>
        <v>הכנסות  מלקוחות</v>
      </c>
      <c r="AQ1758" t="str">
        <f>"040"</f>
        <v>040</v>
      </c>
      <c r="AR1758">
        <v>0</v>
      </c>
      <c r="AS1758">
        <v>0</v>
      </c>
      <c r="AT1758">
        <v>3.282</v>
      </c>
      <c r="AX1758" t="str">
        <f>"E000353826"</f>
        <v>E000353826</v>
      </c>
      <c r="BD1758" t="str">
        <f>"רחמים זרוק"</f>
        <v>רחמים זרוק</v>
      </c>
    </row>
    <row r="1759" spans="1:56" x14ac:dyDescent="0.3">
      <c r="A1759" s="1">
        <v>44627</v>
      </c>
      <c r="B1759" t="str">
        <f>"SI226000221"</f>
        <v>SI226000221</v>
      </c>
      <c r="C1759" t="str">
        <f>"PR22000009"</f>
        <v>PR22000009</v>
      </c>
      <c r="E1759" t="str">
        <f>"Y"</f>
        <v>Y</v>
      </c>
      <c r="F1759" t="str">
        <f>"חשבוניות מרכזות"</f>
        <v>חשבוניות מרכזות</v>
      </c>
      <c r="G1759" t="str">
        <f>"700065"</f>
        <v>700065</v>
      </c>
      <c r="H1759" t="str">
        <f>"אלתא מערכות בע""מ"</f>
        <v>אלתא מערכות בע"מ</v>
      </c>
      <c r="I1759" t="str">
        <f>"10"</f>
        <v>10</v>
      </c>
      <c r="J1759" t="str">
        <f>"OP-AR02937"</f>
        <v>OP-AR02937</v>
      </c>
      <c r="K1759" t="str">
        <f>"1039H817-001 REV A REPAIR"</f>
        <v>1039H817-001 REV A REPAIR</v>
      </c>
      <c r="L1759">
        <v>1</v>
      </c>
      <c r="M1759" t="str">
        <f>"יח"</f>
        <v>יח</v>
      </c>
      <c r="N1759">
        <v>1</v>
      </c>
      <c r="O1759" t="str">
        <f>"יח"</f>
        <v>יח</v>
      </c>
      <c r="P1759">
        <v>351.38</v>
      </c>
      <c r="Q1759" t="str">
        <f>"$"</f>
        <v>$</v>
      </c>
      <c r="R1759" t="str">
        <f>"הזמנה"</f>
        <v>הזמנה</v>
      </c>
      <c r="S1759">
        <v>0</v>
      </c>
      <c r="T1759">
        <v>351.38</v>
      </c>
      <c r="U1759">
        <v>0</v>
      </c>
      <c r="V1759">
        <v>351.38</v>
      </c>
      <c r="W1759" t="str">
        <f>"$"</f>
        <v>$</v>
      </c>
      <c r="X1759">
        <v>0</v>
      </c>
      <c r="Y1759">
        <v>0</v>
      </c>
      <c r="Z1759">
        <v>0</v>
      </c>
      <c r="AA1759" t="str">
        <f>"Y"</f>
        <v>Y</v>
      </c>
      <c r="AB1759" t="str">
        <f>"SO22000008"</f>
        <v>SO22000008</v>
      </c>
      <c r="AC1759">
        <v>8</v>
      </c>
      <c r="AD1759" s="1">
        <v>44570</v>
      </c>
      <c r="AE1759" t="str">
        <f>"SH22000253"</f>
        <v>SH22000253</v>
      </c>
      <c r="AF1759" t="str">
        <f>"משלוחים ללקוח"</f>
        <v>משלוחים ללקוח</v>
      </c>
      <c r="AG1759" s="1">
        <v>44626</v>
      </c>
      <c r="AM1759" t="str">
        <f>"10"</f>
        <v>10</v>
      </c>
      <c r="AN1759" t="str">
        <f>"500000"</f>
        <v>500000</v>
      </c>
      <c r="AO1759" t="str">
        <f>"הכנסות  מלקוחות"</f>
        <v>הכנסות  מלקוחות</v>
      </c>
      <c r="AQ1759" t="str">
        <f>"040"</f>
        <v>040</v>
      </c>
      <c r="AR1759">
        <v>0</v>
      </c>
      <c r="AS1759">
        <v>0</v>
      </c>
      <c r="AT1759">
        <v>3.282</v>
      </c>
      <c r="AX1759" t="str">
        <f>"E000353826"</f>
        <v>E000353826</v>
      </c>
      <c r="BD1759" t="str">
        <f>"רחמים זרוק"</f>
        <v>רחמים זרוק</v>
      </c>
    </row>
    <row r="1760" spans="1:56" x14ac:dyDescent="0.3">
      <c r="A1760" s="1">
        <v>44627</v>
      </c>
      <c r="B1760" t="str">
        <f>"SI226000221"</f>
        <v>SI226000221</v>
      </c>
      <c r="C1760" t="str">
        <f>"PR22000009"</f>
        <v>PR22000009</v>
      </c>
      <c r="E1760" t="str">
        <f>"Y"</f>
        <v>Y</v>
      </c>
      <c r="F1760" t="str">
        <f>"חשבוניות מרכזות"</f>
        <v>חשבוניות מרכזות</v>
      </c>
      <c r="G1760" t="str">
        <f>"700065"</f>
        <v>700065</v>
      </c>
      <c r="H1760" t="str">
        <f>"אלתא מערכות בע""מ"</f>
        <v>אלתא מערכות בע"מ</v>
      </c>
      <c r="I1760" t="str">
        <f>"10"</f>
        <v>10</v>
      </c>
      <c r="J1760" t="str">
        <f>"OP-AR02938"</f>
        <v>OP-AR02938</v>
      </c>
      <c r="K1760" t="str">
        <f>"1039H816-001 REV A REPAIR"</f>
        <v>1039H816-001 REV A REPAIR</v>
      </c>
      <c r="L1760">
        <v>1</v>
      </c>
      <c r="M1760" t="str">
        <f>"יח"</f>
        <v>יח</v>
      </c>
      <c r="N1760">
        <v>1</v>
      </c>
      <c r="O1760" t="str">
        <f>"יח"</f>
        <v>יח</v>
      </c>
      <c r="P1760">
        <v>357.68</v>
      </c>
      <c r="Q1760" t="str">
        <f>"$"</f>
        <v>$</v>
      </c>
      <c r="R1760" t="str">
        <f>"הזמנה"</f>
        <v>הזמנה</v>
      </c>
      <c r="S1760">
        <v>0</v>
      </c>
      <c r="T1760">
        <v>357.68</v>
      </c>
      <c r="U1760">
        <v>0</v>
      </c>
      <c r="V1760">
        <v>357.68</v>
      </c>
      <c r="W1760" t="str">
        <f>"$"</f>
        <v>$</v>
      </c>
      <c r="X1760">
        <v>0</v>
      </c>
      <c r="Y1760">
        <v>0</v>
      </c>
      <c r="Z1760">
        <v>0</v>
      </c>
      <c r="AA1760" t="str">
        <f>"Y"</f>
        <v>Y</v>
      </c>
      <c r="AB1760" t="str">
        <f>"SO22000008"</f>
        <v>SO22000008</v>
      </c>
      <c r="AC1760">
        <v>9</v>
      </c>
      <c r="AD1760" s="1">
        <v>44570</v>
      </c>
      <c r="AE1760" t="str">
        <f>"SH22000253"</f>
        <v>SH22000253</v>
      </c>
      <c r="AF1760" t="str">
        <f>"משלוחים ללקוח"</f>
        <v>משלוחים ללקוח</v>
      </c>
      <c r="AG1760" s="1">
        <v>44626</v>
      </c>
      <c r="AM1760" t="str">
        <f>"10"</f>
        <v>10</v>
      </c>
      <c r="AN1760" t="str">
        <f>"500000"</f>
        <v>500000</v>
      </c>
      <c r="AO1760" t="str">
        <f>"הכנסות  מלקוחות"</f>
        <v>הכנסות  מלקוחות</v>
      </c>
      <c r="AQ1760" t="str">
        <f>"040"</f>
        <v>040</v>
      </c>
      <c r="AR1760">
        <v>0</v>
      </c>
      <c r="AS1760">
        <v>0</v>
      </c>
      <c r="AT1760">
        <v>3.282</v>
      </c>
      <c r="AX1760" t="str">
        <f>"E000353826"</f>
        <v>E000353826</v>
      </c>
      <c r="BD1760" t="str">
        <f>"רחמים זרוק"</f>
        <v>רחמים זרוק</v>
      </c>
    </row>
    <row r="1761" spans="1:56" x14ac:dyDescent="0.3">
      <c r="A1761" s="1">
        <v>44627</v>
      </c>
      <c r="B1761" t="str">
        <f>"SI226000221"</f>
        <v>SI226000221</v>
      </c>
      <c r="C1761" t="str">
        <f>"PR22000009"</f>
        <v>PR22000009</v>
      </c>
      <c r="E1761" t="str">
        <f>"Y"</f>
        <v>Y</v>
      </c>
      <c r="F1761" t="str">
        <f>"חשבוניות מרכזות"</f>
        <v>חשבוניות מרכזות</v>
      </c>
      <c r="G1761" t="str">
        <f>"700065"</f>
        <v>700065</v>
      </c>
      <c r="H1761" t="str">
        <f>"אלתא מערכות בע""מ"</f>
        <v>אלתא מערכות בע"מ</v>
      </c>
      <c r="I1761" t="str">
        <f>"10"</f>
        <v>10</v>
      </c>
      <c r="J1761" t="str">
        <f>"OP-AR02940"</f>
        <v>OP-AR02940</v>
      </c>
      <c r="K1761" t="str">
        <f>"1039H814-001 REV A REPAIR"</f>
        <v>1039H814-001 REV A REPAIR</v>
      </c>
      <c r="L1761">
        <v>1</v>
      </c>
      <c r="M1761" t="str">
        <f>"יח"</f>
        <v>יח</v>
      </c>
      <c r="N1761">
        <v>1</v>
      </c>
      <c r="O1761" t="str">
        <f>"יח"</f>
        <v>יח</v>
      </c>
      <c r="P1761">
        <v>452.18</v>
      </c>
      <c r="Q1761" t="str">
        <f>"$"</f>
        <v>$</v>
      </c>
      <c r="R1761" t="str">
        <f>"הזמנה"</f>
        <v>הזמנה</v>
      </c>
      <c r="S1761">
        <v>0</v>
      </c>
      <c r="T1761">
        <v>452.18</v>
      </c>
      <c r="U1761">
        <v>0</v>
      </c>
      <c r="V1761">
        <v>452.18</v>
      </c>
      <c r="W1761" t="str">
        <f>"$"</f>
        <v>$</v>
      </c>
      <c r="X1761">
        <v>0</v>
      </c>
      <c r="Y1761">
        <v>0</v>
      </c>
      <c r="Z1761">
        <v>0</v>
      </c>
      <c r="AA1761" t="str">
        <f>"Y"</f>
        <v>Y</v>
      </c>
      <c r="AB1761" t="str">
        <f>"SO22000008"</f>
        <v>SO22000008</v>
      </c>
      <c r="AC1761">
        <v>10</v>
      </c>
      <c r="AD1761" s="1">
        <v>44570</v>
      </c>
      <c r="AE1761" t="str">
        <f>"SH22000253"</f>
        <v>SH22000253</v>
      </c>
      <c r="AF1761" t="str">
        <f>"משלוחים ללקוח"</f>
        <v>משלוחים ללקוח</v>
      </c>
      <c r="AG1761" s="1">
        <v>44626</v>
      </c>
      <c r="AM1761" t="str">
        <f>"10"</f>
        <v>10</v>
      </c>
      <c r="AN1761" t="str">
        <f>"500000"</f>
        <v>500000</v>
      </c>
      <c r="AO1761" t="str">
        <f>"הכנסות  מלקוחות"</f>
        <v>הכנסות  מלקוחות</v>
      </c>
      <c r="AQ1761" t="str">
        <f>"040"</f>
        <v>040</v>
      </c>
      <c r="AR1761">
        <v>0</v>
      </c>
      <c r="AS1761">
        <v>0</v>
      </c>
      <c r="AT1761">
        <v>3.282</v>
      </c>
      <c r="AX1761" t="str">
        <f>"E000353826"</f>
        <v>E000353826</v>
      </c>
      <c r="BD1761" t="str">
        <f>"רחמים זרוק"</f>
        <v>רחמים זרוק</v>
      </c>
    </row>
    <row r="1762" spans="1:56" x14ac:dyDescent="0.3">
      <c r="A1762" s="1">
        <v>44627</v>
      </c>
      <c r="B1762" t="str">
        <f>"SI226000221"</f>
        <v>SI226000221</v>
      </c>
      <c r="C1762" t="str">
        <f>"PR22000009"</f>
        <v>PR22000009</v>
      </c>
      <c r="E1762" t="str">
        <f>"Y"</f>
        <v>Y</v>
      </c>
      <c r="F1762" t="str">
        <f>"חשבוניות מרכזות"</f>
        <v>חשבוניות מרכזות</v>
      </c>
      <c r="G1762" t="str">
        <f>"700065"</f>
        <v>700065</v>
      </c>
      <c r="H1762" t="str">
        <f>"אלתא מערכות בע""מ"</f>
        <v>אלתא מערכות בע"מ</v>
      </c>
      <c r="I1762" t="str">
        <f>"10"</f>
        <v>10</v>
      </c>
      <c r="J1762" t="str">
        <f>"OP-AR02941"</f>
        <v>OP-AR02941</v>
      </c>
      <c r="K1762" t="str">
        <f>"1039H813-001 REV A REPAIR"</f>
        <v>1039H813-001 REV A REPAIR</v>
      </c>
      <c r="L1762">
        <v>1</v>
      </c>
      <c r="M1762" t="str">
        <f>"יח"</f>
        <v>יח</v>
      </c>
      <c r="N1762">
        <v>1</v>
      </c>
      <c r="O1762" t="str">
        <f>"יח"</f>
        <v>יח</v>
      </c>
      <c r="P1762">
        <v>452.18</v>
      </c>
      <c r="Q1762" t="str">
        <f>"$"</f>
        <v>$</v>
      </c>
      <c r="R1762" t="str">
        <f>"הזמנה"</f>
        <v>הזמנה</v>
      </c>
      <c r="S1762">
        <v>0</v>
      </c>
      <c r="T1762">
        <v>452.18</v>
      </c>
      <c r="U1762">
        <v>0</v>
      </c>
      <c r="V1762">
        <v>452.18</v>
      </c>
      <c r="W1762" t="str">
        <f>"$"</f>
        <v>$</v>
      </c>
      <c r="X1762">
        <v>0</v>
      </c>
      <c r="Y1762">
        <v>0</v>
      </c>
      <c r="Z1762">
        <v>0</v>
      </c>
      <c r="AA1762" t="str">
        <f>"Y"</f>
        <v>Y</v>
      </c>
      <c r="AB1762" t="str">
        <f>"SO22000008"</f>
        <v>SO22000008</v>
      </c>
      <c r="AC1762">
        <v>11</v>
      </c>
      <c r="AD1762" s="1">
        <v>44570</v>
      </c>
      <c r="AE1762" t="str">
        <f>"SH22000253"</f>
        <v>SH22000253</v>
      </c>
      <c r="AF1762" t="str">
        <f>"משלוחים ללקוח"</f>
        <v>משלוחים ללקוח</v>
      </c>
      <c r="AG1762" s="1">
        <v>44626</v>
      </c>
      <c r="AM1762" t="str">
        <f>"10"</f>
        <v>10</v>
      </c>
      <c r="AN1762" t="str">
        <f>"500000"</f>
        <v>500000</v>
      </c>
      <c r="AO1762" t="str">
        <f>"הכנסות  מלקוחות"</f>
        <v>הכנסות  מלקוחות</v>
      </c>
      <c r="AQ1762" t="str">
        <f>"040"</f>
        <v>040</v>
      </c>
      <c r="AR1762">
        <v>0</v>
      </c>
      <c r="AS1762">
        <v>0</v>
      </c>
      <c r="AT1762">
        <v>3.282</v>
      </c>
      <c r="AX1762" t="str">
        <f>"E000353826"</f>
        <v>E000353826</v>
      </c>
      <c r="BD1762" t="str">
        <f>"רחמים זרוק"</f>
        <v>רחמים זרוק</v>
      </c>
    </row>
    <row r="1763" spans="1:56" x14ac:dyDescent="0.3">
      <c r="A1763" s="1">
        <v>44627</v>
      </c>
      <c r="B1763" t="str">
        <f>"SI226000221"</f>
        <v>SI226000221</v>
      </c>
      <c r="C1763" t="str">
        <f>"PR22000009"</f>
        <v>PR22000009</v>
      </c>
      <c r="E1763" t="str">
        <f>"Y"</f>
        <v>Y</v>
      </c>
      <c r="F1763" t="str">
        <f>"חשבוניות מרכזות"</f>
        <v>חשבוניות מרכזות</v>
      </c>
      <c r="G1763" t="str">
        <f>"700065"</f>
        <v>700065</v>
      </c>
      <c r="H1763" t="str">
        <f>"אלתא מערכות בע""מ"</f>
        <v>אלתא מערכות בע"מ</v>
      </c>
      <c r="I1763" t="str">
        <f>"10"</f>
        <v>10</v>
      </c>
      <c r="J1763" t="str">
        <f>"OP-AR02942"</f>
        <v>OP-AR02942</v>
      </c>
      <c r="K1763" t="str">
        <f>"1039H812-001 REV A REPAIR"</f>
        <v>1039H812-001 REV A REPAIR</v>
      </c>
      <c r="L1763">
        <v>1</v>
      </c>
      <c r="M1763" t="str">
        <f>"יח"</f>
        <v>יח</v>
      </c>
      <c r="N1763">
        <v>1</v>
      </c>
      <c r="O1763" t="str">
        <f>"יח"</f>
        <v>יח</v>
      </c>
      <c r="P1763">
        <v>452.18</v>
      </c>
      <c r="Q1763" t="str">
        <f>"$"</f>
        <v>$</v>
      </c>
      <c r="R1763" t="str">
        <f>"הזמנה"</f>
        <v>הזמנה</v>
      </c>
      <c r="S1763">
        <v>0</v>
      </c>
      <c r="T1763">
        <v>452.18</v>
      </c>
      <c r="U1763">
        <v>0</v>
      </c>
      <c r="V1763">
        <v>452.18</v>
      </c>
      <c r="W1763" t="str">
        <f>"$"</f>
        <v>$</v>
      </c>
      <c r="X1763">
        <v>0</v>
      </c>
      <c r="Y1763">
        <v>0</v>
      </c>
      <c r="Z1763">
        <v>0</v>
      </c>
      <c r="AA1763" t="str">
        <f>"Y"</f>
        <v>Y</v>
      </c>
      <c r="AB1763" t="str">
        <f>"SO22000008"</f>
        <v>SO22000008</v>
      </c>
      <c r="AC1763">
        <v>12</v>
      </c>
      <c r="AD1763" s="1">
        <v>44570</v>
      </c>
      <c r="AE1763" t="str">
        <f>"SH22000253"</f>
        <v>SH22000253</v>
      </c>
      <c r="AF1763" t="str">
        <f>"משלוחים ללקוח"</f>
        <v>משלוחים ללקוח</v>
      </c>
      <c r="AG1763" s="1">
        <v>44626</v>
      </c>
      <c r="AM1763" t="str">
        <f>"10"</f>
        <v>10</v>
      </c>
      <c r="AN1763" t="str">
        <f>"500000"</f>
        <v>500000</v>
      </c>
      <c r="AO1763" t="str">
        <f>"הכנסות  מלקוחות"</f>
        <v>הכנסות  מלקוחות</v>
      </c>
      <c r="AQ1763" t="str">
        <f>"040"</f>
        <v>040</v>
      </c>
      <c r="AR1763">
        <v>0</v>
      </c>
      <c r="AS1763">
        <v>0</v>
      </c>
      <c r="AT1763">
        <v>3.282</v>
      </c>
      <c r="AX1763" t="str">
        <f>"E000353826"</f>
        <v>E000353826</v>
      </c>
      <c r="BD1763" t="str">
        <f>"רחמים זרוק"</f>
        <v>רחמים זרוק</v>
      </c>
    </row>
    <row r="1764" spans="1:56" x14ac:dyDescent="0.3">
      <c r="A1764" s="1">
        <v>44627</v>
      </c>
      <c r="B1764" t="str">
        <f>"SI226000220"</f>
        <v>SI226000220</v>
      </c>
      <c r="C1764" t="str">
        <f>"PR21000768"</f>
        <v>PR21000768</v>
      </c>
      <c r="D1764" t="str">
        <f>"PR21000768"</f>
        <v>PR21000768</v>
      </c>
      <c r="E1764" t="str">
        <f>"Y"</f>
        <v>Y</v>
      </c>
      <c r="F1764" t="str">
        <f>"חשבוניות מרכזות"</f>
        <v>חשבוניות מרכזות</v>
      </c>
      <c r="G1764" t="str">
        <f>"700065"</f>
        <v>700065</v>
      </c>
      <c r="H1764" t="str">
        <f>"אלתא מערכות בע""מ"</f>
        <v>אלתא מערכות בע"מ</v>
      </c>
      <c r="I1764" t="str">
        <f>"10"</f>
        <v>10</v>
      </c>
      <c r="J1764" t="str">
        <f>"OP-AR01919"</f>
        <v>OP-AR01919</v>
      </c>
      <c r="K1764" t="str">
        <f>"1013P130-003 CABLE ASSY 1W47"</f>
        <v>1013P130-003 CABLE ASSY 1W47</v>
      </c>
      <c r="L1764">
        <v>16</v>
      </c>
      <c r="M1764" t="str">
        <f>"יח"</f>
        <v>יח</v>
      </c>
      <c r="N1764">
        <v>16</v>
      </c>
      <c r="O1764" t="str">
        <f>"יח"</f>
        <v>יח</v>
      </c>
      <c r="P1764" s="2">
        <v>1192.67</v>
      </c>
      <c r="Q1764" t="str">
        <f>"$"</f>
        <v>$</v>
      </c>
      <c r="R1764" t="str">
        <f>"הזמנה"</f>
        <v>הזמנה</v>
      </c>
      <c r="S1764">
        <v>0</v>
      </c>
      <c r="T1764" s="2">
        <v>19082.72</v>
      </c>
      <c r="U1764">
        <v>0</v>
      </c>
      <c r="V1764" s="2">
        <v>19082.72</v>
      </c>
      <c r="W1764" t="str">
        <f>"$"</f>
        <v>$</v>
      </c>
      <c r="X1764">
        <v>0</v>
      </c>
      <c r="Y1764">
        <v>0</v>
      </c>
      <c r="Z1764">
        <v>0</v>
      </c>
      <c r="AA1764" t="str">
        <f>"Y"</f>
        <v>Y</v>
      </c>
      <c r="AB1764" t="str">
        <f>"SO21000449"</f>
        <v>SO21000449</v>
      </c>
      <c r="AC1764">
        <v>1</v>
      </c>
      <c r="AD1764" s="1">
        <v>44497</v>
      </c>
      <c r="AE1764" t="str">
        <f>"SH22000254"</f>
        <v>SH22000254</v>
      </c>
      <c r="AF1764" t="str">
        <f>"משלוחים ללקוח"</f>
        <v>משלוחים ללקוח</v>
      </c>
      <c r="AG1764" s="1">
        <v>44626</v>
      </c>
      <c r="AM1764" t="str">
        <f>"10"</f>
        <v>10</v>
      </c>
      <c r="AN1764" t="str">
        <f>"500000"</f>
        <v>500000</v>
      </c>
      <c r="AO1764" t="str">
        <f>"הכנסות  מלקוחות"</f>
        <v>הכנסות  מלקוחות</v>
      </c>
      <c r="AQ1764" t="str">
        <f>"040"</f>
        <v>040</v>
      </c>
      <c r="AR1764">
        <v>0</v>
      </c>
      <c r="AS1764">
        <v>0</v>
      </c>
      <c r="AT1764">
        <v>3.282</v>
      </c>
      <c r="AX1764" t="str">
        <f>"E000349213"</f>
        <v>E000349213</v>
      </c>
      <c r="BD1764" t="str">
        <f>"רחמים זרוק"</f>
        <v>רחמים זרוק</v>
      </c>
    </row>
    <row r="1765" spans="1:56" x14ac:dyDescent="0.3">
      <c r="A1765" s="1">
        <v>44627</v>
      </c>
      <c r="B1765" t="str">
        <f>"SI226000219"</f>
        <v>SI226000219</v>
      </c>
      <c r="C1765" t="str">
        <f>"PR22000009"</f>
        <v>PR22000009</v>
      </c>
      <c r="E1765" t="str">
        <f>"Y"</f>
        <v>Y</v>
      </c>
      <c r="F1765" t="str">
        <f>"חשבוניות מרכזות"</f>
        <v>חשבוניות מרכזות</v>
      </c>
      <c r="G1765" t="str">
        <f>"700065"</f>
        <v>700065</v>
      </c>
      <c r="H1765" t="str">
        <f>"אלתא מערכות בע""מ"</f>
        <v>אלתא מערכות בע"מ</v>
      </c>
      <c r="I1765" t="str">
        <f>"10"</f>
        <v>10</v>
      </c>
      <c r="J1765" t="str">
        <f>"OP-AR02939"</f>
        <v>OP-AR02939</v>
      </c>
      <c r="K1765" t="str">
        <f>"1039H815-001 REV A REPAIR"</f>
        <v>1039H815-001 REV A REPAIR</v>
      </c>
      <c r="L1765">
        <v>1</v>
      </c>
      <c r="M1765" t="str">
        <f>"יח"</f>
        <v>יח</v>
      </c>
      <c r="N1765">
        <v>1</v>
      </c>
      <c r="O1765" t="str">
        <f>"יח"</f>
        <v>יח</v>
      </c>
      <c r="P1765">
        <v>372.68</v>
      </c>
      <c r="Q1765" t="str">
        <f>"$"</f>
        <v>$</v>
      </c>
      <c r="R1765" t="str">
        <f>"הזמנה"</f>
        <v>הזמנה</v>
      </c>
      <c r="S1765">
        <v>0</v>
      </c>
      <c r="T1765">
        <v>372.68</v>
      </c>
      <c r="U1765">
        <v>0</v>
      </c>
      <c r="V1765">
        <v>372.68</v>
      </c>
      <c r="W1765" t="str">
        <f>"$"</f>
        <v>$</v>
      </c>
      <c r="X1765">
        <v>0</v>
      </c>
      <c r="Y1765">
        <v>0</v>
      </c>
      <c r="Z1765">
        <v>0</v>
      </c>
      <c r="AA1765" t="str">
        <f>"Y"</f>
        <v>Y</v>
      </c>
      <c r="AB1765" t="str">
        <f>"SO22000008"</f>
        <v>SO22000008</v>
      </c>
      <c r="AC1765">
        <v>1</v>
      </c>
      <c r="AD1765" s="1">
        <v>44570</v>
      </c>
      <c r="AE1765" t="str">
        <f>"SH22000251"</f>
        <v>SH22000251</v>
      </c>
      <c r="AF1765" t="str">
        <f>"משלוחים ללקוח"</f>
        <v>משלוחים ללקוח</v>
      </c>
      <c r="AG1765" s="1">
        <v>44626</v>
      </c>
      <c r="AM1765" t="str">
        <f>"10"</f>
        <v>10</v>
      </c>
      <c r="AN1765" t="str">
        <f>"500000"</f>
        <v>500000</v>
      </c>
      <c r="AO1765" t="str">
        <f>"הכנסות  מלקוחות"</f>
        <v>הכנסות  מלקוחות</v>
      </c>
      <c r="AQ1765" t="str">
        <f>"040"</f>
        <v>040</v>
      </c>
      <c r="AR1765">
        <v>0</v>
      </c>
      <c r="AS1765">
        <v>0</v>
      </c>
      <c r="AT1765">
        <v>3.282</v>
      </c>
      <c r="AX1765" t="str">
        <f>"E000353826"</f>
        <v>E000353826</v>
      </c>
      <c r="BD1765" t="str">
        <f>"רחמים זרוק"</f>
        <v>רחמים זרוק</v>
      </c>
    </row>
    <row r="1766" spans="1:56" x14ac:dyDescent="0.3">
      <c r="A1766" s="1">
        <v>44627</v>
      </c>
      <c r="B1766" t="str">
        <f>"SI226000218"</f>
        <v>SI226000218</v>
      </c>
      <c r="C1766" t="str">
        <f>"PR21000874"</f>
        <v>PR21000874</v>
      </c>
      <c r="E1766" t="str">
        <f>"Y"</f>
        <v>Y</v>
      </c>
      <c r="F1766" t="str">
        <f>"חשבוניות מרכזות"</f>
        <v>חשבוניות מרכזות</v>
      </c>
      <c r="G1766" t="str">
        <f>"700065"</f>
        <v>700065</v>
      </c>
      <c r="H1766" t="str">
        <f>"אלתא מערכות בע""מ"</f>
        <v>אלתא מערכות בע"מ</v>
      </c>
      <c r="I1766" t="str">
        <f>"10"</f>
        <v>10</v>
      </c>
      <c r="J1766" t="str">
        <f>"OP-AR02870"</f>
        <v>OP-AR02870</v>
      </c>
      <c r="K1766" t="str">
        <f>"2013E380-001   FAN SENSE CABLE ASSY"</f>
        <v>2013E380-001   FAN SENSE CABLE ASSY</v>
      </c>
      <c r="L1766">
        <v>2</v>
      </c>
      <c r="M1766" t="str">
        <f>"יח"</f>
        <v>יח</v>
      </c>
      <c r="N1766">
        <v>2</v>
      </c>
      <c r="O1766" t="str">
        <f>"יח"</f>
        <v>יח</v>
      </c>
      <c r="P1766">
        <v>73.540000000000006</v>
      </c>
      <c r="Q1766" t="str">
        <f>"$"</f>
        <v>$</v>
      </c>
      <c r="R1766" t="str">
        <f>"הזמנה"</f>
        <v>הזמנה</v>
      </c>
      <c r="S1766">
        <v>0</v>
      </c>
      <c r="T1766">
        <v>147.08000000000001</v>
      </c>
      <c r="U1766">
        <v>0</v>
      </c>
      <c r="V1766">
        <v>147.08000000000001</v>
      </c>
      <c r="W1766" t="str">
        <f>"$"</f>
        <v>$</v>
      </c>
      <c r="X1766">
        <v>0</v>
      </c>
      <c r="Y1766">
        <v>0</v>
      </c>
      <c r="Z1766">
        <v>0</v>
      </c>
      <c r="AA1766" t="str">
        <f>"Y"</f>
        <v>Y</v>
      </c>
      <c r="AB1766" t="str">
        <f>"SO21000521"</f>
        <v>SO21000521</v>
      </c>
      <c r="AC1766">
        <v>3</v>
      </c>
      <c r="AD1766" s="1">
        <v>44549</v>
      </c>
      <c r="AE1766" t="str">
        <f>"SH22000252"</f>
        <v>SH22000252</v>
      </c>
      <c r="AF1766" t="str">
        <f>"משלוחים ללקוח"</f>
        <v>משלוחים ללקוח</v>
      </c>
      <c r="AG1766" s="1">
        <v>44626</v>
      </c>
      <c r="AM1766" t="str">
        <f>"10"</f>
        <v>10</v>
      </c>
      <c r="AN1766" t="str">
        <f>"500000"</f>
        <v>500000</v>
      </c>
      <c r="AO1766" t="str">
        <f>"הכנסות  מלקוחות"</f>
        <v>הכנסות  מלקוחות</v>
      </c>
      <c r="AQ1766" t="str">
        <f>"040"</f>
        <v>040</v>
      </c>
      <c r="AR1766">
        <v>0</v>
      </c>
      <c r="AS1766">
        <v>0</v>
      </c>
      <c r="AT1766">
        <v>3.282</v>
      </c>
      <c r="AX1766" t="str">
        <f>"E000352409"</f>
        <v>E000352409</v>
      </c>
      <c r="BD1766" t="str">
        <f>"רחמים זרוק"</f>
        <v>רחמים זרוק</v>
      </c>
    </row>
    <row r="1767" spans="1:56" x14ac:dyDescent="0.3">
      <c r="A1767" s="1">
        <v>44623</v>
      </c>
      <c r="B1767" t="str">
        <f>"CR227000019"</f>
        <v>CR227000019</v>
      </c>
      <c r="E1767" t="str">
        <f>"Y"</f>
        <v>Y</v>
      </c>
      <c r="F1767" t="str">
        <f>"חשבוניות זיכוי"</f>
        <v>חשבוניות זיכוי</v>
      </c>
      <c r="G1767" t="str">
        <f>"700065"</f>
        <v>700065</v>
      </c>
      <c r="H1767" t="str">
        <f>"אלתא מערכות בע""מ"</f>
        <v>אלתא מערכות בע"מ</v>
      </c>
      <c r="I1767" t="str">
        <f>"10"</f>
        <v>10</v>
      </c>
      <c r="J1767" t="str">
        <f>"000"</f>
        <v>000</v>
      </c>
      <c r="K1767" t="str">
        <f>"זיכוי לשורה מספר 2 בהזמנת הרכש. NRE"</f>
        <v>זיכוי לשורה מספר 2 בהזמנת הרכש. NRE</v>
      </c>
      <c r="L1767">
        <v>1</v>
      </c>
      <c r="M1767" t="str">
        <f>"יח"</f>
        <v>יח</v>
      </c>
      <c r="N1767">
        <v>1</v>
      </c>
      <c r="O1767" t="str">
        <f>"יח"</f>
        <v>יח</v>
      </c>
      <c r="P1767" s="2">
        <v>15000</v>
      </c>
      <c r="Q1767" t="str">
        <f>"$"</f>
        <v>$</v>
      </c>
      <c r="R1767" t="str">
        <f>"ידני"</f>
        <v>ידני</v>
      </c>
      <c r="S1767">
        <v>0</v>
      </c>
      <c r="T1767" s="2">
        <v>15000</v>
      </c>
      <c r="U1767">
        <v>0</v>
      </c>
      <c r="V1767" s="2">
        <v>15000</v>
      </c>
      <c r="W1767" t="str">
        <f>"$"</f>
        <v>$</v>
      </c>
      <c r="X1767">
        <v>0</v>
      </c>
      <c r="Y1767">
        <v>0</v>
      </c>
      <c r="Z1767">
        <v>0</v>
      </c>
      <c r="AA1767" t="str">
        <f>"Y"</f>
        <v>Y</v>
      </c>
      <c r="AC1767">
        <v>0</v>
      </c>
      <c r="AM1767" t="str">
        <f>"10"</f>
        <v>10</v>
      </c>
      <c r="AN1767" t="str">
        <f>"500000"</f>
        <v>500000</v>
      </c>
      <c r="AO1767" t="str">
        <f>"הכנסות  מלקוחות"</f>
        <v>הכנסות  מלקוחות</v>
      </c>
      <c r="AQ1767" t="str">
        <f>"034"</f>
        <v>034</v>
      </c>
      <c r="AR1767">
        <v>0</v>
      </c>
      <c r="AS1767">
        <v>0</v>
      </c>
      <c r="AT1767">
        <v>3.1030000000000002</v>
      </c>
      <c r="BD1767" t="str">
        <f>"ערן שלו"</f>
        <v>ערן שלו</v>
      </c>
    </row>
    <row r="1768" spans="1:56" x14ac:dyDescent="0.3">
      <c r="A1768" s="1">
        <v>44621</v>
      </c>
      <c r="B1768" t="str">
        <f>"SI226000408"</f>
        <v>SI226000408</v>
      </c>
      <c r="C1768" t="str">
        <f>"PR21000122"</f>
        <v>PR21000122</v>
      </c>
      <c r="E1768" t="str">
        <f>"Y"</f>
        <v>Y</v>
      </c>
      <c r="F1768" t="str">
        <f>"חשבוניות מרכזות"</f>
        <v>חשבוניות מרכזות</v>
      </c>
      <c r="G1768" t="str">
        <f>"700065"</f>
        <v>700065</v>
      </c>
      <c r="H1768" t="str">
        <f>"אלתא מערכות בע""מ"</f>
        <v>אלתא מערכות בע"מ</v>
      </c>
      <c r="I1768" t="str">
        <f>"10"</f>
        <v>10</v>
      </c>
      <c r="J1768" t="str">
        <f>"OP-AR09106"</f>
        <v>OP-AR09106</v>
      </c>
      <c r="K1768" t="str">
        <f>"לוח 1026L230-001 HIGH VOLTAG JUCTION BOX"</f>
        <v>לוח 1026L230-001 HIGH VOLTAG JUCTION BOX</v>
      </c>
      <c r="L1768">
        <v>0</v>
      </c>
      <c r="M1768" t="str">
        <f>"יח"</f>
        <v>יח</v>
      </c>
      <c r="N1768">
        <v>0</v>
      </c>
      <c r="O1768" t="str">
        <f>"יח"</f>
        <v>יח</v>
      </c>
      <c r="P1768">
        <v>0</v>
      </c>
      <c r="Q1768" t="str">
        <f>"$"</f>
        <v>$</v>
      </c>
      <c r="R1768" t="str">
        <f>"הזמנה"</f>
        <v>הזמנה</v>
      </c>
      <c r="S1768">
        <v>0</v>
      </c>
      <c r="T1768">
        <v>0</v>
      </c>
      <c r="U1768">
        <v>0</v>
      </c>
      <c r="V1768">
        <v>0</v>
      </c>
      <c r="W1768" t="str">
        <f>"$"</f>
        <v>$</v>
      </c>
      <c r="X1768">
        <v>0</v>
      </c>
      <c r="Y1768">
        <v>0</v>
      </c>
      <c r="Z1768">
        <v>0</v>
      </c>
      <c r="AA1768" t="str">
        <f>"Y"</f>
        <v>Y</v>
      </c>
      <c r="AC1768">
        <v>0</v>
      </c>
      <c r="AM1768" t="str">
        <f>"10"</f>
        <v>10</v>
      </c>
      <c r="AN1768" t="str">
        <f>"500000"</f>
        <v>500000</v>
      </c>
      <c r="AO1768" t="str">
        <f>"הכנסות  מלקוחות"</f>
        <v>הכנסות  מלקוחות</v>
      </c>
      <c r="AQ1768" t="str">
        <f>"034"</f>
        <v>034</v>
      </c>
      <c r="AR1768">
        <v>0</v>
      </c>
      <c r="AS1768">
        <v>0</v>
      </c>
      <c r="AT1768">
        <v>3.2229999999999999</v>
      </c>
      <c r="BB1768" t="str">
        <f>"Y"</f>
        <v>Y</v>
      </c>
      <c r="BD1768" t="str">
        <f>"ערן שלו"</f>
        <v>ערן שלו</v>
      </c>
    </row>
    <row r="1769" spans="1:56" x14ac:dyDescent="0.3">
      <c r="A1769" s="1">
        <v>44621</v>
      </c>
      <c r="B1769" t="str">
        <f>"SI226000408"</f>
        <v>SI226000408</v>
      </c>
      <c r="C1769" t="str">
        <f>"PR21000122"</f>
        <v>PR21000122</v>
      </c>
      <c r="E1769" t="str">
        <f>"Y"</f>
        <v>Y</v>
      </c>
      <c r="F1769" t="str">
        <f>"חשבוניות מרכזות"</f>
        <v>חשבוניות מרכזות</v>
      </c>
      <c r="G1769" t="str">
        <f>"700065"</f>
        <v>700065</v>
      </c>
      <c r="H1769" t="str">
        <f>"אלתא מערכות בע""מ"</f>
        <v>אלתא מערכות בע"מ</v>
      </c>
      <c r="I1769" t="str">
        <f>"10"</f>
        <v>10</v>
      </c>
      <c r="J1769" t="str">
        <f>"OP-AR09106"</f>
        <v>OP-AR09106</v>
      </c>
      <c r="K1769" t="str">
        <f>"לוח 1026L230-001 HIGH VOLTAG JUCTION BOX"</f>
        <v>לוח 1026L230-001 HIGH VOLTAG JUCTION BOX</v>
      </c>
      <c r="L1769">
        <v>0</v>
      </c>
      <c r="M1769" t="str">
        <f>"יח"</f>
        <v>יח</v>
      </c>
      <c r="N1769">
        <v>0</v>
      </c>
      <c r="O1769" t="str">
        <f>"יח"</f>
        <v>יח</v>
      </c>
      <c r="P1769">
        <v>0</v>
      </c>
      <c r="Q1769" t="str">
        <f>"$"</f>
        <v>$</v>
      </c>
      <c r="R1769" t="str">
        <f>"הזמנה"</f>
        <v>הזמנה</v>
      </c>
      <c r="S1769">
        <v>0</v>
      </c>
      <c r="T1769">
        <v>0</v>
      </c>
      <c r="U1769">
        <v>0</v>
      </c>
      <c r="V1769">
        <v>0</v>
      </c>
      <c r="W1769" t="str">
        <f>"$"</f>
        <v>$</v>
      </c>
      <c r="X1769">
        <v>0</v>
      </c>
      <c r="Y1769">
        <v>0</v>
      </c>
      <c r="Z1769">
        <v>0</v>
      </c>
      <c r="AA1769" t="str">
        <f>"Y"</f>
        <v>Y</v>
      </c>
      <c r="AC1769">
        <v>0</v>
      </c>
      <c r="AM1769" t="str">
        <f>"10"</f>
        <v>10</v>
      </c>
      <c r="AN1769" t="str">
        <f>"500000"</f>
        <v>500000</v>
      </c>
      <c r="AO1769" t="str">
        <f>"הכנסות  מלקוחות"</f>
        <v>הכנסות  מלקוחות</v>
      </c>
      <c r="AQ1769" t="str">
        <f>"034"</f>
        <v>034</v>
      </c>
      <c r="AR1769">
        <v>0</v>
      </c>
      <c r="AS1769">
        <v>0</v>
      </c>
      <c r="AT1769">
        <v>3.2229999999999999</v>
      </c>
      <c r="BB1769" t="str">
        <f>"Y"</f>
        <v>Y</v>
      </c>
      <c r="BD1769" t="str">
        <f>"ערן שלו"</f>
        <v>ערן שלו</v>
      </c>
    </row>
    <row r="1770" spans="1:56" x14ac:dyDescent="0.3">
      <c r="A1770" s="1">
        <v>44621</v>
      </c>
      <c r="B1770" t="str">
        <f>"SI226000408"</f>
        <v>SI226000408</v>
      </c>
      <c r="C1770" t="str">
        <f>"PR21000122"</f>
        <v>PR21000122</v>
      </c>
      <c r="E1770" t="str">
        <f>"Y"</f>
        <v>Y</v>
      </c>
      <c r="F1770" t="str">
        <f>"חשבוניות מרכזות"</f>
        <v>חשבוניות מרכזות</v>
      </c>
      <c r="G1770" t="str">
        <f>"700065"</f>
        <v>700065</v>
      </c>
      <c r="H1770" t="str">
        <f>"אלתא מערכות בע""מ"</f>
        <v>אלתא מערכות בע"מ</v>
      </c>
      <c r="I1770" t="str">
        <f>"10"</f>
        <v>10</v>
      </c>
      <c r="J1770" t="str">
        <f>"OP-AR02306"</f>
        <v>OP-AR02306</v>
      </c>
      <c r="K1770" t="str">
        <f>"HVJB 1026L230-001"</f>
        <v>HVJB 1026L230-001</v>
      </c>
      <c r="L1770">
        <v>-4</v>
      </c>
      <c r="M1770" t="str">
        <f>"יח"</f>
        <v>יח</v>
      </c>
      <c r="N1770">
        <v>-4</v>
      </c>
      <c r="O1770" t="str">
        <f>"יח"</f>
        <v>יח</v>
      </c>
      <c r="P1770" s="2">
        <v>9921</v>
      </c>
      <c r="Q1770" t="str">
        <f>"$"</f>
        <v>$</v>
      </c>
      <c r="R1770" t="str">
        <f>"הזמנה"</f>
        <v>הזמנה</v>
      </c>
      <c r="S1770">
        <v>0</v>
      </c>
      <c r="T1770" s="2">
        <v>-39684</v>
      </c>
      <c r="U1770">
        <v>0</v>
      </c>
      <c r="V1770" s="2">
        <v>-39684</v>
      </c>
      <c r="W1770" t="str">
        <f>"$"</f>
        <v>$</v>
      </c>
      <c r="X1770">
        <v>0</v>
      </c>
      <c r="Y1770">
        <v>0</v>
      </c>
      <c r="Z1770">
        <v>0</v>
      </c>
      <c r="AA1770" t="str">
        <f>"Y"</f>
        <v>Y</v>
      </c>
      <c r="AC1770">
        <v>0</v>
      </c>
      <c r="AM1770" t="str">
        <f>"10"</f>
        <v>10</v>
      </c>
      <c r="AN1770" t="str">
        <f>"500000"</f>
        <v>500000</v>
      </c>
      <c r="AO1770" t="str">
        <f>"הכנסות  מלקוחות"</f>
        <v>הכנסות  מלקוחות</v>
      </c>
      <c r="AQ1770" t="str">
        <f>"034"</f>
        <v>034</v>
      </c>
      <c r="AR1770">
        <v>0</v>
      </c>
      <c r="AS1770">
        <v>0</v>
      </c>
      <c r="AT1770">
        <v>3.2229999999999999</v>
      </c>
      <c r="BB1770" t="str">
        <f>"Y"</f>
        <v>Y</v>
      </c>
      <c r="BD1770" t="str">
        <f>"ערן שלו"</f>
        <v>ערן שלו</v>
      </c>
    </row>
    <row r="1771" spans="1:56" x14ac:dyDescent="0.3">
      <c r="A1771" s="1">
        <v>44621</v>
      </c>
      <c r="B1771" t="str">
        <f>"SI226000407"</f>
        <v>SI226000407</v>
      </c>
      <c r="C1771" t="str">
        <f>"PR21000122"</f>
        <v>PR21000122</v>
      </c>
      <c r="E1771" t="str">
        <f>"Y"</f>
        <v>Y</v>
      </c>
      <c r="F1771" t="str">
        <f>"חשבוניות מרכזות"</f>
        <v>חשבוניות מרכזות</v>
      </c>
      <c r="G1771" t="str">
        <f>"700065"</f>
        <v>700065</v>
      </c>
      <c r="H1771" t="str">
        <f>"אלתא מערכות בע""מ"</f>
        <v>אלתא מערכות בע"מ</v>
      </c>
      <c r="I1771" t="str">
        <f>"10"</f>
        <v>10</v>
      </c>
      <c r="J1771" t="str">
        <f>"OP-AR09106"</f>
        <v>OP-AR09106</v>
      </c>
      <c r="K1771" t="str">
        <f>"לוח 1026L230-001 HIGH VOLTAG JUCTION BOX"</f>
        <v>לוח 1026L230-001 HIGH VOLTAG JUCTION BOX</v>
      </c>
      <c r="L1771">
        <v>0</v>
      </c>
      <c r="M1771" t="str">
        <f>"יח"</f>
        <v>יח</v>
      </c>
      <c r="N1771">
        <v>0</v>
      </c>
      <c r="O1771" t="str">
        <f>"יח"</f>
        <v>יח</v>
      </c>
      <c r="P1771">
        <v>0</v>
      </c>
      <c r="Q1771" t="str">
        <f>"$"</f>
        <v>$</v>
      </c>
      <c r="R1771" t="str">
        <f>"הזמנה"</f>
        <v>הזמנה</v>
      </c>
      <c r="S1771">
        <v>0</v>
      </c>
      <c r="T1771">
        <v>0</v>
      </c>
      <c r="U1771">
        <v>0</v>
      </c>
      <c r="V1771">
        <v>0</v>
      </c>
      <c r="W1771" t="str">
        <f>"$"</f>
        <v>$</v>
      </c>
      <c r="X1771">
        <v>0</v>
      </c>
      <c r="Y1771">
        <v>0</v>
      </c>
      <c r="Z1771">
        <v>0</v>
      </c>
      <c r="AA1771" t="str">
        <f>"Y"</f>
        <v>Y</v>
      </c>
      <c r="AC1771">
        <v>0</v>
      </c>
      <c r="AM1771" t="str">
        <f>"10"</f>
        <v>10</v>
      </c>
      <c r="AN1771" t="str">
        <f>"500000"</f>
        <v>500000</v>
      </c>
      <c r="AO1771" t="str">
        <f>"הכנסות  מלקוחות"</f>
        <v>הכנסות  מלקוחות</v>
      </c>
      <c r="AQ1771" t="str">
        <f>"034"</f>
        <v>034</v>
      </c>
      <c r="AR1771">
        <v>0</v>
      </c>
      <c r="AS1771">
        <v>0</v>
      </c>
      <c r="AT1771">
        <v>3.2229999999999999</v>
      </c>
      <c r="BB1771" t="str">
        <f>"Y"</f>
        <v>Y</v>
      </c>
      <c r="BD1771" t="str">
        <f>"ערן שלו"</f>
        <v>ערן שלו</v>
      </c>
    </row>
    <row r="1772" spans="1:56" x14ac:dyDescent="0.3">
      <c r="A1772" s="1">
        <v>44621</v>
      </c>
      <c r="B1772" t="str">
        <f>"SI226000407"</f>
        <v>SI226000407</v>
      </c>
      <c r="C1772" t="str">
        <f>"PR21000122"</f>
        <v>PR21000122</v>
      </c>
      <c r="E1772" t="str">
        <f>"Y"</f>
        <v>Y</v>
      </c>
      <c r="F1772" t="str">
        <f>"חשבוניות מרכזות"</f>
        <v>חשבוניות מרכזות</v>
      </c>
      <c r="G1772" t="str">
        <f>"700065"</f>
        <v>700065</v>
      </c>
      <c r="H1772" t="str">
        <f>"אלתא מערכות בע""מ"</f>
        <v>אלתא מערכות בע"מ</v>
      </c>
      <c r="I1772" t="str">
        <f>"10"</f>
        <v>10</v>
      </c>
      <c r="J1772" t="str">
        <f>"OP-AR09106"</f>
        <v>OP-AR09106</v>
      </c>
      <c r="K1772" t="str">
        <f>"לוח 1026L230-001 HIGH VOLTAG JUCTION BOX"</f>
        <v>לוח 1026L230-001 HIGH VOLTAG JUCTION BOX</v>
      </c>
      <c r="L1772">
        <v>0</v>
      </c>
      <c r="M1772" t="str">
        <f>"יח"</f>
        <v>יח</v>
      </c>
      <c r="N1772">
        <v>0</v>
      </c>
      <c r="O1772" t="str">
        <f>"יח"</f>
        <v>יח</v>
      </c>
      <c r="P1772">
        <v>0</v>
      </c>
      <c r="Q1772" t="str">
        <f>"$"</f>
        <v>$</v>
      </c>
      <c r="R1772" t="str">
        <f>"הזמנה"</f>
        <v>הזמנה</v>
      </c>
      <c r="S1772">
        <v>0</v>
      </c>
      <c r="T1772">
        <v>0</v>
      </c>
      <c r="U1772">
        <v>0</v>
      </c>
      <c r="V1772">
        <v>0</v>
      </c>
      <c r="W1772" t="str">
        <f>"$"</f>
        <v>$</v>
      </c>
      <c r="X1772">
        <v>0</v>
      </c>
      <c r="Y1772">
        <v>0</v>
      </c>
      <c r="Z1772">
        <v>0</v>
      </c>
      <c r="AA1772" t="str">
        <f>"Y"</f>
        <v>Y</v>
      </c>
      <c r="AC1772">
        <v>0</v>
      </c>
      <c r="AM1772" t="str">
        <f>"10"</f>
        <v>10</v>
      </c>
      <c r="AN1772" t="str">
        <f>"500000"</f>
        <v>500000</v>
      </c>
      <c r="AO1772" t="str">
        <f>"הכנסות  מלקוחות"</f>
        <v>הכנסות  מלקוחות</v>
      </c>
      <c r="AQ1772" t="str">
        <f>"034"</f>
        <v>034</v>
      </c>
      <c r="AR1772">
        <v>0</v>
      </c>
      <c r="AS1772">
        <v>0</v>
      </c>
      <c r="AT1772">
        <v>3.2229999999999999</v>
      </c>
      <c r="BB1772" t="str">
        <f>"Y"</f>
        <v>Y</v>
      </c>
      <c r="BD1772" t="str">
        <f>"ערן שלו"</f>
        <v>ערן שלו</v>
      </c>
    </row>
    <row r="1773" spans="1:56" x14ac:dyDescent="0.3">
      <c r="A1773" s="1">
        <v>44621</v>
      </c>
      <c r="B1773" t="str">
        <f>"SI226000407"</f>
        <v>SI226000407</v>
      </c>
      <c r="C1773" t="str">
        <f>"PR21000122"</f>
        <v>PR21000122</v>
      </c>
      <c r="E1773" t="str">
        <f>"Y"</f>
        <v>Y</v>
      </c>
      <c r="F1773" t="str">
        <f>"חשבוניות מרכזות"</f>
        <v>חשבוניות מרכזות</v>
      </c>
      <c r="G1773" t="str">
        <f>"700065"</f>
        <v>700065</v>
      </c>
      <c r="H1773" t="str">
        <f>"אלתא מערכות בע""מ"</f>
        <v>אלתא מערכות בע"מ</v>
      </c>
      <c r="I1773" t="str">
        <f>"10"</f>
        <v>10</v>
      </c>
      <c r="J1773" t="str">
        <f>"OP-AR02306"</f>
        <v>OP-AR02306</v>
      </c>
      <c r="K1773" t="str">
        <f>"HVJB 1026L230-001"</f>
        <v>HVJB 1026L230-001</v>
      </c>
      <c r="L1773">
        <v>4</v>
      </c>
      <c r="M1773" t="str">
        <f>"יח"</f>
        <v>יח</v>
      </c>
      <c r="N1773">
        <v>4</v>
      </c>
      <c r="O1773" t="str">
        <f>"יח"</f>
        <v>יח</v>
      </c>
      <c r="P1773" s="2">
        <v>9921</v>
      </c>
      <c r="Q1773" t="str">
        <f>"$"</f>
        <v>$</v>
      </c>
      <c r="R1773" t="str">
        <f>"הזמנה"</f>
        <v>הזמנה</v>
      </c>
      <c r="S1773">
        <v>0</v>
      </c>
      <c r="T1773" s="2">
        <v>39684</v>
      </c>
      <c r="U1773">
        <v>0</v>
      </c>
      <c r="V1773" s="2">
        <v>39684</v>
      </c>
      <c r="W1773" t="str">
        <f>"$"</f>
        <v>$</v>
      </c>
      <c r="X1773">
        <v>0</v>
      </c>
      <c r="Y1773">
        <v>0</v>
      </c>
      <c r="Z1773">
        <v>0</v>
      </c>
      <c r="AA1773" t="str">
        <f>"Y"</f>
        <v>Y</v>
      </c>
      <c r="AC1773">
        <v>0</v>
      </c>
      <c r="AM1773" t="str">
        <f>"10"</f>
        <v>10</v>
      </c>
      <c r="AN1773" t="str">
        <f>"500000"</f>
        <v>500000</v>
      </c>
      <c r="AO1773" t="str">
        <f>"הכנסות  מלקוחות"</f>
        <v>הכנסות  מלקוחות</v>
      </c>
      <c r="AQ1773" t="str">
        <f>"034"</f>
        <v>034</v>
      </c>
      <c r="AR1773">
        <v>0</v>
      </c>
      <c r="AS1773">
        <v>0</v>
      </c>
      <c r="AT1773">
        <v>3.2229999999999999</v>
      </c>
      <c r="BB1773" t="str">
        <f>"Y"</f>
        <v>Y</v>
      </c>
      <c r="BD1773" t="str">
        <f>"ערן שלו"</f>
        <v>ערן שלו</v>
      </c>
    </row>
    <row r="1774" spans="1:56" x14ac:dyDescent="0.3">
      <c r="A1774" s="1">
        <v>44621</v>
      </c>
      <c r="B1774" t="str">
        <f>"SI226000406"</f>
        <v>SI226000406</v>
      </c>
      <c r="C1774" t="str">
        <f>"PR21000284"</f>
        <v>PR21000284</v>
      </c>
      <c r="D1774" t="str">
        <f>"PR21000284"</f>
        <v>PR21000284</v>
      </c>
      <c r="E1774" t="str">
        <f>"Y"</f>
        <v>Y</v>
      </c>
      <c r="F1774" t="str">
        <f>"חשבוניות מרכזות"</f>
        <v>חשבוניות מרכזות</v>
      </c>
      <c r="G1774" t="str">
        <f>"700065"</f>
        <v>700065</v>
      </c>
      <c r="H1774" t="str">
        <f>"אלתא מערכות בע""מ"</f>
        <v>אלתא מערכות בע"מ</v>
      </c>
      <c r="I1774" t="str">
        <f>"10"</f>
        <v>10</v>
      </c>
      <c r="J1774" t="str">
        <f>"000"</f>
        <v>000</v>
      </c>
      <c r="K1774" t="str">
        <f>"בדיקות ספק כוח"</f>
        <v>בדיקות ספק כוח</v>
      </c>
      <c r="L1774">
        <v>1</v>
      </c>
      <c r="M1774" t="str">
        <f>"יח"</f>
        <v>יח</v>
      </c>
      <c r="N1774">
        <v>1</v>
      </c>
      <c r="O1774" t="str">
        <f>"יח"</f>
        <v>יח</v>
      </c>
      <c r="P1774" s="2">
        <v>27000</v>
      </c>
      <c r="Q1774" t="str">
        <f>"$"</f>
        <v>$</v>
      </c>
      <c r="R1774" t="str">
        <f>"הזמנה"</f>
        <v>הזמנה</v>
      </c>
      <c r="S1774">
        <v>0</v>
      </c>
      <c r="T1774" s="2">
        <v>27000</v>
      </c>
      <c r="U1774">
        <v>0</v>
      </c>
      <c r="V1774" s="2">
        <v>27000</v>
      </c>
      <c r="W1774" t="str">
        <f>"$"</f>
        <v>$</v>
      </c>
      <c r="X1774">
        <v>0</v>
      </c>
      <c r="Y1774">
        <v>0</v>
      </c>
      <c r="Z1774">
        <v>0</v>
      </c>
      <c r="AA1774" t="str">
        <f>"Y"</f>
        <v>Y</v>
      </c>
      <c r="AB1774" t="str">
        <f>"SO21000249"</f>
        <v>SO21000249</v>
      </c>
      <c r="AC1774">
        <v>2</v>
      </c>
      <c r="AD1774" s="1">
        <v>44346</v>
      </c>
      <c r="AM1774" t="str">
        <f>"10"</f>
        <v>10</v>
      </c>
      <c r="AN1774" t="str">
        <f>"500000"</f>
        <v>500000</v>
      </c>
      <c r="AO1774" t="str">
        <f>"הכנסות  מלקוחות"</f>
        <v>הכנסות  מלקוחות</v>
      </c>
      <c r="AQ1774" t="str">
        <f>"034"</f>
        <v>034</v>
      </c>
      <c r="AR1774">
        <v>0</v>
      </c>
      <c r="AS1774">
        <v>0</v>
      </c>
      <c r="AT1774">
        <v>3.238</v>
      </c>
      <c r="AX1774" t="str">
        <f>"E000337701"</f>
        <v>E000337701</v>
      </c>
      <c r="BD1774" t="str">
        <f>"ערן שלו"</f>
        <v>ערן שלו</v>
      </c>
    </row>
    <row r="1775" spans="1:56" x14ac:dyDescent="0.3">
      <c r="A1775" s="1">
        <v>44621</v>
      </c>
      <c r="B1775" t="str">
        <f>"SI226000406"</f>
        <v>SI226000406</v>
      </c>
      <c r="C1775" t="str">
        <f>"PR21000284"</f>
        <v>PR21000284</v>
      </c>
      <c r="D1775" t="str">
        <f>"PR21000284"</f>
        <v>PR21000284</v>
      </c>
      <c r="E1775" t="str">
        <f>"Y"</f>
        <v>Y</v>
      </c>
      <c r="F1775" t="str">
        <f>"חשבוניות מרכזות"</f>
        <v>חשבוניות מרכזות</v>
      </c>
      <c r="G1775" t="str">
        <f>"700065"</f>
        <v>700065</v>
      </c>
      <c r="H1775" t="str">
        <f>"אלתא מערכות בע""מ"</f>
        <v>אלתא מערכות בע"מ</v>
      </c>
      <c r="I1775" t="str">
        <f>"10"</f>
        <v>10</v>
      </c>
      <c r="J1775" t="str">
        <f>"OP-AR02134"</f>
        <v>OP-AR02134</v>
      </c>
      <c r="K1775" t="str">
        <f>"RMY-01 POWER SYSTEM"</f>
        <v>RMY-01 POWER SYSTEM</v>
      </c>
      <c r="L1775">
        <v>1</v>
      </c>
      <c r="M1775" t="str">
        <f>"יח"</f>
        <v>יח</v>
      </c>
      <c r="N1775">
        <v>1</v>
      </c>
      <c r="O1775" t="str">
        <f>"יח"</f>
        <v>יח</v>
      </c>
      <c r="P1775" s="2">
        <v>17713.57</v>
      </c>
      <c r="Q1775" t="str">
        <f>"$"</f>
        <v>$</v>
      </c>
      <c r="R1775" t="str">
        <f>"ידני"</f>
        <v>ידני</v>
      </c>
      <c r="S1775">
        <v>0</v>
      </c>
      <c r="T1775" s="2">
        <v>17713.57</v>
      </c>
      <c r="U1775">
        <v>0</v>
      </c>
      <c r="V1775" s="2">
        <v>17713.57</v>
      </c>
      <c r="W1775" t="str">
        <f>"$"</f>
        <v>$</v>
      </c>
      <c r="X1775">
        <v>0</v>
      </c>
      <c r="Y1775">
        <v>0</v>
      </c>
      <c r="Z1775">
        <v>0</v>
      </c>
      <c r="AA1775" t="str">
        <f>"Y"</f>
        <v>Y</v>
      </c>
      <c r="AB1775" t="str">
        <f>"SO21000249"</f>
        <v>SO21000249</v>
      </c>
      <c r="AC1775">
        <v>4</v>
      </c>
      <c r="AD1775" s="1">
        <v>44346</v>
      </c>
      <c r="AE1775" t="str">
        <f>"SH22000397"</f>
        <v>SH22000397</v>
      </c>
      <c r="AF1775" t="str">
        <f>"משלוחים ללקוח"</f>
        <v>משלוחים ללקוח</v>
      </c>
      <c r="AG1775" s="1">
        <v>44657</v>
      </c>
      <c r="AM1775" t="str">
        <f>"10"</f>
        <v>10</v>
      </c>
      <c r="AN1775" t="str">
        <f>"500000"</f>
        <v>500000</v>
      </c>
      <c r="AO1775" t="str">
        <f>"הכנסות  מלקוחות"</f>
        <v>הכנסות  מלקוחות</v>
      </c>
      <c r="AQ1775" t="str">
        <f>"034"</f>
        <v>034</v>
      </c>
      <c r="AR1775">
        <v>0</v>
      </c>
      <c r="AS1775">
        <v>0</v>
      </c>
      <c r="AT1775">
        <v>3.238</v>
      </c>
      <c r="AX1775" t="str">
        <f>"E000337701"</f>
        <v>E000337701</v>
      </c>
      <c r="BD1775" t="str">
        <f>"ערן שלו"</f>
        <v>ערן שלו</v>
      </c>
    </row>
    <row r="1776" spans="1:56" x14ac:dyDescent="0.3">
      <c r="A1776" s="1">
        <v>44621</v>
      </c>
      <c r="B1776" t="str">
        <f>"SI226000390"</f>
        <v>SI226000390</v>
      </c>
      <c r="C1776" t="str">
        <f>"PR21000284"</f>
        <v>PR21000284</v>
      </c>
      <c r="E1776" t="str">
        <f>"Y"</f>
        <v>Y</v>
      </c>
      <c r="F1776" t="str">
        <f>"חשבוניות מרכזות"</f>
        <v>חשבוניות מרכזות</v>
      </c>
      <c r="G1776" t="str">
        <f>"700065"</f>
        <v>700065</v>
      </c>
      <c r="H1776" t="str">
        <f>"אלתא מערכות בע""מ"</f>
        <v>אלתא מערכות בע"מ</v>
      </c>
      <c r="I1776" t="str">
        <f>"10"</f>
        <v>10</v>
      </c>
      <c r="J1776" t="str">
        <f>"000"</f>
        <v>000</v>
      </c>
      <c r="K1776" t="str">
        <f>"בדיקות ספק כוח"</f>
        <v>בדיקות ספק כוח</v>
      </c>
      <c r="L1776">
        <v>-1</v>
      </c>
      <c r="M1776" t="str">
        <f>"יח"</f>
        <v>יח</v>
      </c>
      <c r="N1776">
        <v>-1</v>
      </c>
      <c r="O1776" t="str">
        <f>"יח"</f>
        <v>יח</v>
      </c>
      <c r="P1776" s="2">
        <v>27000</v>
      </c>
      <c r="Q1776" t="str">
        <f>"$"</f>
        <v>$</v>
      </c>
      <c r="R1776" t="str">
        <f>"הזמנה"</f>
        <v>הזמנה</v>
      </c>
      <c r="S1776">
        <v>0</v>
      </c>
      <c r="T1776" s="2">
        <v>-27000</v>
      </c>
      <c r="U1776">
        <v>0</v>
      </c>
      <c r="V1776" s="2">
        <v>-27000</v>
      </c>
      <c r="W1776" t="str">
        <f>"$"</f>
        <v>$</v>
      </c>
      <c r="X1776">
        <v>0</v>
      </c>
      <c r="Y1776">
        <v>0</v>
      </c>
      <c r="Z1776">
        <v>0</v>
      </c>
      <c r="AA1776" t="str">
        <f>"Y"</f>
        <v>Y</v>
      </c>
      <c r="AC1776">
        <v>0</v>
      </c>
      <c r="AM1776" t="str">
        <f>"10"</f>
        <v>10</v>
      </c>
      <c r="AN1776" t="str">
        <f>"500000"</f>
        <v>500000</v>
      </c>
      <c r="AO1776" t="str">
        <f>"הכנסות  מלקוחות"</f>
        <v>הכנסות  מלקוחות</v>
      </c>
      <c r="AQ1776" t="str">
        <f>"034"</f>
        <v>034</v>
      </c>
      <c r="AR1776">
        <v>0</v>
      </c>
      <c r="AS1776">
        <v>0</v>
      </c>
      <c r="AT1776">
        <v>3.105</v>
      </c>
      <c r="BB1776" t="str">
        <f>"Y"</f>
        <v>Y</v>
      </c>
      <c r="BD1776" t="str">
        <f>"ערן שלו"</f>
        <v>ערן שלו</v>
      </c>
    </row>
    <row r="1777" spans="1:56" x14ac:dyDescent="0.3">
      <c r="A1777" s="1">
        <v>44621</v>
      </c>
      <c r="B1777" t="str">
        <f>"SI226000390"</f>
        <v>SI226000390</v>
      </c>
      <c r="C1777" t="str">
        <f>"PR21000284"</f>
        <v>PR21000284</v>
      </c>
      <c r="E1777" t="str">
        <f>"Y"</f>
        <v>Y</v>
      </c>
      <c r="F1777" t="str">
        <f>"חשבוניות מרכזות"</f>
        <v>חשבוניות מרכזות</v>
      </c>
      <c r="G1777" t="str">
        <f>"700065"</f>
        <v>700065</v>
      </c>
      <c r="H1777" t="str">
        <f>"אלתא מערכות בע""מ"</f>
        <v>אלתא מערכות בע"מ</v>
      </c>
      <c r="I1777" t="str">
        <f>"10"</f>
        <v>10</v>
      </c>
      <c r="J1777" t="str">
        <f>"OP-AR02134"</f>
        <v>OP-AR02134</v>
      </c>
      <c r="K1777" t="str">
        <f>"RMY-01 POWER SYSTEM"</f>
        <v>RMY-01 POWER SYSTEM</v>
      </c>
      <c r="L1777">
        <v>-1</v>
      </c>
      <c r="M1777" t="str">
        <f>"יח"</f>
        <v>יח</v>
      </c>
      <c r="N1777">
        <v>-1</v>
      </c>
      <c r="O1777" t="str">
        <f>"יח"</f>
        <v>יח</v>
      </c>
      <c r="P1777" s="2">
        <v>17713</v>
      </c>
      <c r="Q1777" t="str">
        <f>"$"</f>
        <v>$</v>
      </c>
      <c r="R1777" t="str">
        <f>"הזמנה"</f>
        <v>הזמנה</v>
      </c>
      <c r="S1777">
        <v>0</v>
      </c>
      <c r="T1777" s="2">
        <v>-17713</v>
      </c>
      <c r="U1777">
        <v>0</v>
      </c>
      <c r="V1777" s="2">
        <v>-17713</v>
      </c>
      <c r="W1777" t="str">
        <f>"$"</f>
        <v>$</v>
      </c>
      <c r="X1777">
        <v>0</v>
      </c>
      <c r="Y1777">
        <v>0</v>
      </c>
      <c r="Z1777">
        <v>0</v>
      </c>
      <c r="AA1777" t="str">
        <f>"Y"</f>
        <v>Y</v>
      </c>
      <c r="AC1777">
        <v>0</v>
      </c>
      <c r="AM1777" t="str">
        <f>"10"</f>
        <v>10</v>
      </c>
      <c r="AN1777" t="str">
        <f>"500000"</f>
        <v>500000</v>
      </c>
      <c r="AO1777" t="str">
        <f>"הכנסות  מלקוחות"</f>
        <v>הכנסות  מלקוחות</v>
      </c>
      <c r="AQ1777" t="str">
        <f>"034"</f>
        <v>034</v>
      </c>
      <c r="AR1777">
        <v>0</v>
      </c>
      <c r="AS1777">
        <v>0</v>
      </c>
      <c r="AT1777">
        <v>3.105</v>
      </c>
      <c r="BB1777" t="str">
        <f>"Y"</f>
        <v>Y</v>
      </c>
      <c r="BD1777" t="str">
        <f>"ערן שלו"</f>
        <v>ערן שלו</v>
      </c>
    </row>
    <row r="1778" spans="1:56" x14ac:dyDescent="0.3">
      <c r="A1778" s="1">
        <v>44621</v>
      </c>
      <c r="B1778" t="str">
        <f>"SI226000384"</f>
        <v>SI226000384</v>
      </c>
      <c r="E1778" t="str">
        <f>"Y"</f>
        <v>Y</v>
      </c>
      <c r="F1778" t="str">
        <f>"חשבוניות מרכזות"</f>
        <v>חשבוניות מרכזות</v>
      </c>
      <c r="G1778" t="str">
        <f>"700065"</f>
        <v>700065</v>
      </c>
      <c r="H1778" t="str">
        <f>"אלתא מערכות בע""מ"</f>
        <v>אלתא מערכות בע"מ</v>
      </c>
      <c r="I1778" t="str">
        <f>"10"</f>
        <v>10</v>
      </c>
      <c r="J1778" t="str">
        <f>"OP-AR02306"</f>
        <v>OP-AR02306</v>
      </c>
      <c r="K1778" t="str">
        <f>"HVJB 1026L230-001"</f>
        <v>HVJB 1026L230-001</v>
      </c>
      <c r="L1778">
        <v>4</v>
      </c>
      <c r="M1778" t="str">
        <f>"יח"</f>
        <v>יח</v>
      </c>
      <c r="N1778">
        <v>4</v>
      </c>
      <c r="O1778" t="str">
        <f>"יח"</f>
        <v>יח</v>
      </c>
      <c r="P1778" s="2">
        <v>9425</v>
      </c>
      <c r="Q1778" t="str">
        <f>"$"</f>
        <v>$</v>
      </c>
      <c r="R1778" t="str">
        <f>"ידני"</f>
        <v>ידני</v>
      </c>
      <c r="S1778">
        <v>0</v>
      </c>
      <c r="T1778" s="2">
        <v>37700</v>
      </c>
      <c r="U1778">
        <v>0</v>
      </c>
      <c r="V1778" s="2">
        <v>37700</v>
      </c>
      <c r="W1778" t="str">
        <f>"$"</f>
        <v>$</v>
      </c>
      <c r="X1778">
        <v>0</v>
      </c>
      <c r="Y1778">
        <v>0</v>
      </c>
      <c r="Z1778">
        <v>0</v>
      </c>
      <c r="AA1778" t="str">
        <f>"Y"</f>
        <v>Y</v>
      </c>
      <c r="AB1778" t="str">
        <f>"SO21000009"</f>
        <v>SO21000009</v>
      </c>
      <c r="AC1778">
        <v>1</v>
      </c>
      <c r="AD1778" s="1">
        <v>44200</v>
      </c>
      <c r="AE1778" t="str">
        <f>"SH22000211"</f>
        <v>SH22000211</v>
      </c>
      <c r="AF1778" t="str">
        <f>"משלוחים ללקוח"</f>
        <v>משלוחים ללקוח</v>
      </c>
      <c r="AG1778" s="1">
        <v>44615</v>
      </c>
      <c r="AM1778" t="str">
        <f>"10"</f>
        <v>10</v>
      </c>
      <c r="AN1778" t="str">
        <f>"500000"</f>
        <v>500000</v>
      </c>
      <c r="AO1778" t="str">
        <f>"הכנסות  מלקוחות"</f>
        <v>הכנסות  מלקוחות</v>
      </c>
      <c r="AQ1778" t="str">
        <f>"034"</f>
        <v>034</v>
      </c>
      <c r="AR1778">
        <v>0</v>
      </c>
      <c r="AS1778">
        <v>0</v>
      </c>
      <c r="AT1778">
        <v>3.238</v>
      </c>
      <c r="AX1778" t="str">
        <f>"E000329195"</f>
        <v>E000329195</v>
      </c>
      <c r="BD1778" t="str">
        <f>"ערן שלו"</f>
        <v>ערן שלו</v>
      </c>
    </row>
    <row r="1779" spans="1:56" x14ac:dyDescent="0.3">
      <c r="A1779" s="1">
        <v>44621</v>
      </c>
      <c r="B1779" t="str">
        <f>"SI226000384"</f>
        <v>SI226000384</v>
      </c>
      <c r="E1779" t="str">
        <f>"Y"</f>
        <v>Y</v>
      </c>
      <c r="F1779" t="str">
        <f>"חשבוניות מרכזות"</f>
        <v>חשבוניות מרכזות</v>
      </c>
      <c r="G1779" t="str">
        <f>"700065"</f>
        <v>700065</v>
      </c>
      <c r="H1779" t="str">
        <f>"אלתא מערכות בע""מ"</f>
        <v>אלתא מערכות בע"מ</v>
      </c>
      <c r="I1779" t="str">
        <f>"10"</f>
        <v>10</v>
      </c>
      <c r="J1779" t="str">
        <f>"OP-AR02306"</f>
        <v>OP-AR02306</v>
      </c>
      <c r="K1779" t="str">
        <f>"HVJB 1026L230-001"</f>
        <v>HVJB 1026L230-001</v>
      </c>
      <c r="L1779">
        <v>3</v>
      </c>
      <c r="M1779" t="str">
        <f>"יח"</f>
        <v>יח</v>
      </c>
      <c r="N1779">
        <v>3</v>
      </c>
      <c r="O1779" t="str">
        <f>"יח"</f>
        <v>יח</v>
      </c>
      <c r="P1779" s="2">
        <v>9425</v>
      </c>
      <c r="Q1779" t="str">
        <f>"$"</f>
        <v>$</v>
      </c>
      <c r="R1779" t="str">
        <f>"הזמנה"</f>
        <v>הזמנה</v>
      </c>
      <c r="S1779">
        <v>0</v>
      </c>
      <c r="T1779" s="2">
        <v>28275</v>
      </c>
      <c r="U1779">
        <v>0</v>
      </c>
      <c r="V1779" s="2">
        <v>28275</v>
      </c>
      <c r="W1779" t="str">
        <f>"$"</f>
        <v>$</v>
      </c>
      <c r="X1779">
        <v>0</v>
      </c>
      <c r="Y1779">
        <v>0</v>
      </c>
      <c r="Z1779">
        <v>0</v>
      </c>
      <c r="AA1779" t="str">
        <f>"Y"</f>
        <v>Y</v>
      </c>
      <c r="AB1779" t="str">
        <f>"SO21000009"</f>
        <v>SO21000009</v>
      </c>
      <c r="AC1779">
        <v>2</v>
      </c>
      <c r="AD1779" s="1">
        <v>44200</v>
      </c>
      <c r="AE1779" t="str">
        <f>"SH22000344"</f>
        <v>SH22000344</v>
      </c>
      <c r="AF1779" t="str">
        <f>"משלוחים ללקוח"</f>
        <v>משלוחים ללקוח</v>
      </c>
      <c r="AG1779" s="1">
        <v>44644</v>
      </c>
      <c r="AM1779" t="str">
        <f>"10"</f>
        <v>10</v>
      </c>
      <c r="AN1779" t="str">
        <f>"500000"</f>
        <v>500000</v>
      </c>
      <c r="AO1779" t="str">
        <f>"הכנסות  מלקוחות"</f>
        <v>הכנסות  מלקוחות</v>
      </c>
      <c r="AQ1779" t="str">
        <f>"034"</f>
        <v>034</v>
      </c>
      <c r="AR1779">
        <v>0</v>
      </c>
      <c r="AS1779">
        <v>0</v>
      </c>
      <c r="AT1779">
        <v>3.238</v>
      </c>
      <c r="AX1779" t="str">
        <f>"E000329195"</f>
        <v>E000329195</v>
      </c>
      <c r="BD1779" t="str">
        <f>"ערן שלו"</f>
        <v>ערן שלו</v>
      </c>
    </row>
    <row r="1780" spans="1:56" x14ac:dyDescent="0.3">
      <c r="A1780" s="1">
        <v>44621</v>
      </c>
      <c r="B1780" t="str">
        <f>"SI226000384"</f>
        <v>SI226000384</v>
      </c>
      <c r="E1780" t="str">
        <f>"Y"</f>
        <v>Y</v>
      </c>
      <c r="F1780" t="str">
        <f>"חשבוניות מרכזות"</f>
        <v>חשבוניות מרכזות</v>
      </c>
      <c r="G1780" t="str">
        <f>"700065"</f>
        <v>700065</v>
      </c>
      <c r="H1780" t="str">
        <f>"אלתא מערכות בע""מ"</f>
        <v>אלתא מערכות בע"מ</v>
      </c>
      <c r="I1780" t="str">
        <f>"10"</f>
        <v>10</v>
      </c>
      <c r="J1780" t="str">
        <f>"OP-AR02306"</f>
        <v>OP-AR02306</v>
      </c>
      <c r="K1780" t="str">
        <f>"HVJB 1026L230-001"</f>
        <v>HVJB 1026L230-001</v>
      </c>
      <c r="L1780">
        <v>7</v>
      </c>
      <c r="M1780" t="str">
        <f>"יח"</f>
        <v>יח</v>
      </c>
      <c r="N1780">
        <v>7</v>
      </c>
      <c r="O1780" t="str">
        <f>"יח"</f>
        <v>יח</v>
      </c>
      <c r="P1780" s="2">
        <v>9425</v>
      </c>
      <c r="Q1780" t="str">
        <f>"$"</f>
        <v>$</v>
      </c>
      <c r="R1780" t="str">
        <f>"הזמנה"</f>
        <v>הזמנה</v>
      </c>
      <c r="S1780">
        <v>0</v>
      </c>
      <c r="T1780" s="2">
        <v>65975</v>
      </c>
      <c r="U1780">
        <v>0</v>
      </c>
      <c r="V1780" s="2">
        <v>65975</v>
      </c>
      <c r="W1780" t="str">
        <f>"$"</f>
        <v>$</v>
      </c>
      <c r="X1780">
        <v>0</v>
      </c>
      <c r="Y1780">
        <v>0</v>
      </c>
      <c r="Z1780">
        <v>0</v>
      </c>
      <c r="AA1780" t="str">
        <f>"Y"</f>
        <v>Y</v>
      </c>
      <c r="AB1780" t="str">
        <f>"SO21000009"</f>
        <v>SO21000009</v>
      </c>
      <c r="AC1780">
        <v>4</v>
      </c>
      <c r="AD1780" s="1">
        <v>44200</v>
      </c>
      <c r="AE1780" t="str">
        <f>"SH22000344"</f>
        <v>SH22000344</v>
      </c>
      <c r="AF1780" t="str">
        <f>"משלוחים ללקוח"</f>
        <v>משלוחים ללקוח</v>
      </c>
      <c r="AG1780" s="1">
        <v>44644</v>
      </c>
      <c r="AM1780" t="str">
        <f>"10"</f>
        <v>10</v>
      </c>
      <c r="AN1780" t="str">
        <f>"500000"</f>
        <v>500000</v>
      </c>
      <c r="AO1780" t="str">
        <f>"הכנסות  מלקוחות"</f>
        <v>הכנסות  מלקוחות</v>
      </c>
      <c r="AQ1780" t="str">
        <f>"034"</f>
        <v>034</v>
      </c>
      <c r="AR1780">
        <v>0</v>
      </c>
      <c r="AS1780">
        <v>0</v>
      </c>
      <c r="AT1780">
        <v>3.238</v>
      </c>
      <c r="AX1780" t="str">
        <f>"E000329195"</f>
        <v>E000329195</v>
      </c>
      <c r="BD1780" t="str">
        <f>"ערן שלו"</f>
        <v>ערן שלו</v>
      </c>
    </row>
    <row r="1781" spans="1:56" x14ac:dyDescent="0.3">
      <c r="A1781" s="1">
        <v>44621</v>
      </c>
      <c r="B1781" t="str">
        <f>"SI226000384"</f>
        <v>SI226000384</v>
      </c>
      <c r="E1781" t="str">
        <f>"Y"</f>
        <v>Y</v>
      </c>
      <c r="F1781" t="str">
        <f>"חשבוניות מרכזות"</f>
        <v>חשבוניות מרכזות</v>
      </c>
      <c r="G1781" t="str">
        <f>"700065"</f>
        <v>700065</v>
      </c>
      <c r="H1781" t="str">
        <f>"אלתא מערכות בע""מ"</f>
        <v>אלתא מערכות בע"מ</v>
      </c>
      <c r="I1781" t="str">
        <f>"10"</f>
        <v>10</v>
      </c>
      <c r="J1781" t="str">
        <f>"OP-AR02306"</f>
        <v>OP-AR02306</v>
      </c>
      <c r="K1781" t="str">
        <f>"HVJB 1026L230-001"</f>
        <v>HVJB 1026L230-001</v>
      </c>
      <c r="L1781">
        <v>7</v>
      </c>
      <c r="M1781" t="str">
        <f>"יח"</f>
        <v>יח</v>
      </c>
      <c r="N1781">
        <v>7</v>
      </c>
      <c r="O1781" t="str">
        <f>"יח"</f>
        <v>יח</v>
      </c>
      <c r="P1781" s="2">
        <v>9425</v>
      </c>
      <c r="Q1781" t="str">
        <f>"$"</f>
        <v>$</v>
      </c>
      <c r="R1781" t="str">
        <f>"הזמנה"</f>
        <v>הזמנה</v>
      </c>
      <c r="S1781">
        <v>0</v>
      </c>
      <c r="T1781" s="2">
        <v>65975</v>
      </c>
      <c r="U1781">
        <v>0</v>
      </c>
      <c r="V1781" s="2">
        <v>65975</v>
      </c>
      <c r="W1781" t="str">
        <f>"$"</f>
        <v>$</v>
      </c>
      <c r="X1781">
        <v>0</v>
      </c>
      <c r="Y1781">
        <v>0</v>
      </c>
      <c r="Z1781">
        <v>0</v>
      </c>
      <c r="AA1781" t="str">
        <f>"Y"</f>
        <v>Y</v>
      </c>
      <c r="AB1781" t="str">
        <f>"SO21000009"</f>
        <v>SO21000009</v>
      </c>
      <c r="AC1781">
        <v>6</v>
      </c>
      <c r="AD1781" s="1">
        <v>44200</v>
      </c>
      <c r="AE1781" t="str">
        <f>"SH22000344"</f>
        <v>SH22000344</v>
      </c>
      <c r="AF1781" t="str">
        <f>"משלוחים ללקוח"</f>
        <v>משלוחים ללקוח</v>
      </c>
      <c r="AG1781" s="1">
        <v>44644</v>
      </c>
      <c r="AM1781" t="str">
        <f>"10"</f>
        <v>10</v>
      </c>
      <c r="AN1781" t="str">
        <f>"500000"</f>
        <v>500000</v>
      </c>
      <c r="AO1781" t="str">
        <f>"הכנסות  מלקוחות"</f>
        <v>הכנסות  מלקוחות</v>
      </c>
      <c r="AQ1781" t="str">
        <f>"034"</f>
        <v>034</v>
      </c>
      <c r="AR1781">
        <v>0</v>
      </c>
      <c r="AS1781">
        <v>0</v>
      </c>
      <c r="AT1781">
        <v>3.238</v>
      </c>
      <c r="AX1781" t="str">
        <f>"E000329195"</f>
        <v>E000329195</v>
      </c>
      <c r="BD1781" t="str">
        <f>"ערן שלו"</f>
        <v>ערן שלו</v>
      </c>
    </row>
    <row r="1782" spans="1:56" x14ac:dyDescent="0.3">
      <c r="A1782" s="1">
        <v>44621</v>
      </c>
      <c r="B1782" t="str">
        <f>"SI226000383"</f>
        <v>SI226000383</v>
      </c>
      <c r="E1782" t="str">
        <f>"Y"</f>
        <v>Y</v>
      </c>
      <c r="F1782" t="str">
        <f>"חשבוניות מרכזות"</f>
        <v>חשבוניות מרכזות</v>
      </c>
      <c r="G1782" t="str">
        <f>"700065"</f>
        <v>700065</v>
      </c>
      <c r="H1782" t="str">
        <f>"אלתא מערכות בע""מ"</f>
        <v>אלתא מערכות בע"מ</v>
      </c>
      <c r="I1782" t="str">
        <f>"10"</f>
        <v>10</v>
      </c>
      <c r="J1782" t="str">
        <f>"OP-AR09106"</f>
        <v>OP-AR09106</v>
      </c>
      <c r="K1782" t="str">
        <f>"לוח 1026L230-001 HIGH VOLTAG JUCTION BOX"</f>
        <v>לוח 1026L230-001 HIGH VOLTAG JUCTION BOX</v>
      </c>
      <c r="L1782">
        <v>-7</v>
      </c>
      <c r="M1782" t="str">
        <f>"יח"</f>
        <v>יח</v>
      </c>
      <c r="N1782">
        <v>-7</v>
      </c>
      <c r="O1782" t="str">
        <f>"יח"</f>
        <v>יח</v>
      </c>
      <c r="P1782" s="2">
        <v>9425</v>
      </c>
      <c r="Q1782" t="str">
        <f>"$"</f>
        <v>$</v>
      </c>
      <c r="R1782" t="str">
        <f>"הזמנה"</f>
        <v>הזמנה</v>
      </c>
      <c r="S1782">
        <v>0</v>
      </c>
      <c r="T1782" s="2">
        <v>-65975</v>
      </c>
      <c r="U1782">
        <v>0</v>
      </c>
      <c r="V1782" s="2">
        <v>-65975</v>
      </c>
      <c r="W1782" t="str">
        <f>"$"</f>
        <v>$</v>
      </c>
      <c r="X1782">
        <v>0</v>
      </c>
      <c r="Y1782">
        <v>0</v>
      </c>
      <c r="Z1782">
        <v>0</v>
      </c>
      <c r="AA1782" t="str">
        <f>"Y"</f>
        <v>Y</v>
      </c>
      <c r="AC1782">
        <v>0</v>
      </c>
      <c r="AM1782" t="str">
        <f>"10"</f>
        <v>10</v>
      </c>
      <c r="AN1782" t="str">
        <f>"500000"</f>
        <v>500000</v>
      </c>
      <c r="AO1782" t="str">
        <f>"הכנסות  מלקוחות"</f>
        <v>הכנסות  מלקוחות</v>
      </c>
      <c r="AQ1782" t="str">
        <f>"034"</f>
        <v>034</v>
      </c>
      <c r="AR1782">
        <v>0</v>
      </c>
      <c r="AS1782">
        <v>0</v>
      </c>
      <c r="AT1782">
        <v>3.262</v>
      </c>
      <c r="BB1782" t="str">
        <f>"Y"</f>
        <v>Y</v>
      </c>
      <c r="BD1782" t="str">
        <f>"ערן שלו"</f>
        <v>ערן שלו</v>
      </c>
    </row>
    <row r="1783" spans="1:56" x14ac:dyDescent="0.3">
      <c r="A1783" s="1">
        <v>44621</v>
      </c>
      <c r="B1783" t="str">
        <f>"SI226000383"</f>
        <v>SI226000383</v>
      </c>
      <c r="E1783" t="str">
        <f>"Y"</f>
        <v>Y</v>
      </c>
      <c r="F1783" t="str">
        <f>"חשבוניות מרכזות"</f>
        <v>חשבוניות מרכזות</v>
      </c>
      <c r="G1783" t="str">
        <f>"700065"</f>
        <v>700065</v>
      </c>
      <c r="H1783" t="str">
        <f>"אלתא מערכות בע""מ"</f>
        <v>אלתא מערכות בע"מ</v>
      </c>
      <c r="I1783" t="str">
        <f>"10"</f>
        <v>10</v>
      </c>
      <c r="J1783" t="str">
        <f>"OP-AR09106"</f>
        <v>OP-AR09106</v>
      </c>
      <c r="K1783" t="str">
        <f>"לוח 1026L230-001 HIGH VOLTAG JUCTION BOX"</f>
        <v>לוח 1026L230-001 HIGH VOLTAG JUCTION BOX</v>
      </c>
      <c r="L1783">
        <v>-7</v>
      </c>
      <c r="M1783" t="str">
        <f>"יח"</f>
        <v>יח</v>
      </c>
      <c r="N1783">
        <v>-7</v>
      </c>
      <c r="O1783" t="str">
        <f>"יח"</f>
        <v>יח</v>
      </c>
      <c r="P1783" s="2">
        <v>9425</v>
      </c>
      <c r="Q1783" t="str">
        <f>"$"</f>
        <v>$</v>
      </c>
      <c r="R1783" t="str">
        <f>"הזמנה"</f>
        <v>הזמנה</v>
      </c>
      <c r="S1783">
        <v>0</v>
      </c>
      <c r="T1783" s="2">
        <v>-65975</v>
      </c>
      <c r="U1783">
        <v>0</v>
      </c>
      <c r="V1783" s="2">
        <v>-65975</v>
      </c>
      <c r="W1783" t="str">
        <f>"$"</f>
        <v>$</v>
      </c>
      <c r="X1783">
        <v>0</v>
      </c>
      <c r="Y1783">
        <v>0</v>
      </c>
      <c r="Z1783">
        <v>0</v>
      </c>
      <c r="AA1783" t="str">
        <f>"Y"</f>
        <v>Y</v>
      </c>
      <c r="AC1783">
        <v>0</v>
      </c>
      <c r="AM1783" t="str">
        <f>"10"</f>
        <v>10</v>
      </c>
      <c r="AN1783" t="str">
        <f>"500000"</f>
        <v>500000</v>
      </c>
      <c r="AO1783" t="str">
        <f>"הכנסות  מלקוחות"</f>
        <v>הכנסות  מלקוחות</v>
      </c>
      <c r="AQ1783" t="str">
        <f>"034"</f>
        <v>034</v>
      </c>
      <c r="AR1783">
        <v>0</v>
      </c>
      <c r="AS1783">
        <v>0</v>
      </c>
      <c r="AT1783">
        <v>3.262</v>
      </c>
      <c r="BB1783" t="str">
        <f>"Y"</f>
        <v>Y</v>
      </c>
      <c r="BD1783" t="str">
        <f>"ערן שלו"</f>
        <v>ערן שלו</v>
      </c>
    </row>
    <row r="1784" spans="1:56" x14ac:dyDescent="0.3">
      <c r="A1784" s="1">
        <v>44621</v>
      </c>
      <c r="B1784" t="str">
        <f>"SI226000383"</f>
        <v>SI226000383</v>
      </c>
      <c r="E1784" t="str">
        <f>"Y"</f>
        <v>Y</v>
      </c>
      <c r="F1784" t="str">
        <f>"חשבוניות מרכזות"</f>
        <v>חשבוניות מרכזות</v>
      </c>
      <c r="G1784" t="str">
        <f>"700065"</f>
        <v>700065</v>
      </c>
      <c r="H1784" t="str">
        <f>"אלתא מערכות בע""מ"</f>
        <v>אלתא מערכות בע"מ</v>
      </c>
      <c r="I1784" t="str">
        <f>"10"</f>
        <v>10</v>
      </c>
      <c r="J1784" t="str">
        <f>"OP-AR09106"</f>
        <v>OP-AR09106</v>
      </c>
      <c r="K1784" t="str">
        <f>"לוח 1026L230-001 HIGH VOLTAG JUCTION BOX"</f>
        <v>לוח 1026L230-001 HIGH VOLTAG JUCTION BOX</v>
      </c>
      <c r="L1784">
        <v>-7</v>
      </c>
      <c r="M1784" t="str">
        <f>"יח"</f>
        <v>יח</v>
      </c>
      <c r="N1784">
        <v>-7</v>
      </c>
      <c r="O1784" t="str">
        <f>"יח"</f>
        <v>יח</v>
      </c>
      <c r="P1784" s="2">
        <v>9425</v>
      </c>
      <c r="Q1784" t="str">
        <f>"$"</f>
        <v>$</v>
      </c>
      <c r="R1784" t="str">
        <f>"הזמנה"</f>
        <v>הזמנה</v>
      </c>
      <c r="S1784">
        <v>0</v>
      </c>
      <c r="T1784" s="2">
        <v>-65975</v>
      </c>
      <c r="U1784">
        <v>0</v>
      </c>
      <c r="V1784" s="2">
        <v>-65975</v>
      </c>
      <c r="W1784" t="str">
        <f>"$"</f>
        <v>$</v>
      </c>
      <c r="X1784">
        <v>0</v>
      </c>
      <c r="Y1784">
        <v>0</v>
      </c>
      <c r="Z1784">
        <v>0</v>
      </c>
      <c r="AA1784" t="str">
        <f>"Y"</f>
        <v>Y</v>
      </c>
      <c r="AC1784">
        <v>0</v>
      </c>
      <c r="AM1784" t="str">
        <f>"10"</f>
        <v>10</v>
      </c>
      <c r="AN1784" t="str">
        <f>"500000"</f>
        <v>500000</v>
      </c>
      <c r="AO1784" t="str">
        <f>"הכנסות  מלקוחות"</f>
        <v>הכנסות  מלקוחות</v>
      </c>
      <c r="AQ1784" t="str">
        <f>"034"</f>
        <v>034</v>
      </c>
      <c r="AR1784">
        <v>0</v>
      </c>
      <c r="AS1784">
        <v>0</v>
      </c>
      <c r="AT1784">
        <v>3.262</v>
      </c>
      <c r="BB1784" t="str">
        <f>"Y"</f>
        <v>Y</v>
      </c>
      <c r="BD1784" t="str">
        <f>"ערן שלו"</f>
        <v>ערן שלו</v>
      </c>
    </row>
    <row r="1785" spans="1:56" x14ac:dyDescent="0.3">
      <c r="A1785" s="1">
        <v>44621</v>
      </c>
      <c r="B1785" t="str">
        <f>"SI226000382"</f>
        <v>SI226000382</v>
      </c>
      <c r="C1785" t="str">
        <f>"PR21000122"</f>
        <v>PR21000122</v>
      </c>
      <c r="E1785" t="str">
        <f>"Y"</f>
        <v>Y</v>
      </c>
      <c r="F1785" t="str">
        <f>"חשבוניות מרכזות"</f>
        <v>חשבוניות מרכזות</v>
      </c>
      <c r="G1785" t="str">
        <f>"700065"</f>
        <v>700065</v>
      </c>
      <c r="H1785" t="str">
        <f>"אלתא מערכות בע""מ"</f>
        <v>אלתא מערכות בע"מ</v>
      </c>
      <c r="I1785" t="str">
        <f>"10"</f>
        <v>10</v>
      </c>
      <c r="J1785" t="str">
        <f>"OP-AR09106"</f>
        <v>OP-AR09106</v>
      </c>
      <c r="K1785" t="str">
        <f>"לוח 1026L230-001 HIGH VOLTAG JUCTION BOX"</f>
        <v>לוח 1026L230-001 HIGH VOLTAG JUCTION BOX</v>
      </c>
      <c r="L1785">
        <v>-4</v>
      </c>
      <c r="M1785" t="str">
        <f>"יח"</f>
        <v>יח</v>
      </c>
      <c r="N1785">
        <v>-4</v>
      </c>
      <c r="O1785" t="str">
        <f>"יח"</f>
        <v>יח</v>
      </c>
      <c r="P1785" s="2">
        <v>9921</v>
      </c>
      <c r="Q1785" t="str">
        <f>"$"</f>
        <v>$</v>
      </c>
      <c r="R1785" t="str">
        <f>"הזמנה"</f>
        <v>הזמנה</v>
      </c>
      <c r="S1785">
        <v>0</v>
      </c>
      <c r="T1785" s="2">
        <v>-39684</v>
      </c>
      <c r="U1785">
        <v>0</v>
      </c>
      <c r="V1785" s="2">
        <v>-39684</v>
      </c>
      <c r="W1785" t="str">
        <f>"$"</f>
        <v>$</v>
      </c>
      <c r="X1785">
        <v>0</v>
      </c>
      <c r="Y1785">
        <v>0</v>
      </c>
      <c r="Z1785">
        <v>0</v>
      </c>
      <c r="AA1785" t="str">
        <f>"Y"</f>
        <v>Y</v>
      </c>
      <c r="AC1785">
        <v>0</v>
      </c>
      <c r="AM1785" t="str">
        <f>"10"</f>
        <v>10</v>
      </c>
      <c r="AN1785" t="str">
        <f>"500000"</f>
        <v>500000</v>
      </c>
      <c r="AO1785" t="str">
        <f>"הכנסות  מלקוחות"</f>
        <v>הכנסות  מלקוחות</v>
      </c>
      <c r="AQ1785" t="str">
        <f>"034"</f>
        <v>034</v>
      </c>
      <c r="AR1785">
        <v>0</v>
      </c>
      <c r="AS1785">
        <v>0</v>
      </c>
      <c r="AT1785">
        <v>3.262</v>
      </c>
      <c r="BB1785" t="str">
        <f>"Y"</f>
        <v>Y</v>
      </c>
      <c r="BD1785" t="str">
        <f>"ערן שלו"</f>
        <v>ערן שלו</v>
      </c>
    </row>
    <row r="1786" spans="1:56" x14ac:dyDescent="0.3">
      <c r="A1786" s="1">
        <v>44621</v>
      </c>
      <c r="B1786" t="str">
        <f>"SI226000204"</f>
        <v>SI226000204</v>
      </c>
      <c r="E1786" t="str">
        <f>"Y"</f>
        <v>Y</v>
      </c>
      <c r="F1786" t="str">
        <f>"חשבוניות מרכזות"</f>
        <v>חשבוניות מרכזות</v>
      </c>
      <c r="G1786" t="str">
        <f>"700065"</f>
        <v>700065</v>
      </c>
      <c r="H1786" t="str">
        <f>"אלתא מערכות בע""מ"</f>
        <v>אלתא מערכות בע"מ</v>
      </c>
      <c r="I1786" t="str">
        <f>"10"</f>
        <v>10</v>
      </c>
      <c r="J1786" t="str">
        <f>"000"</f>
        <v>000</v>
      </c>
      <c r="K1786" t="str">
        <f>"טכנאים לחיווט מסדים"</f>
        <v>טכנאים לחיווט מסדים</v>
      </c>
      <c r="L1786">
        <v>-11</v>
      </c>
      <c r="M1786" t="str">
        <f>"יח"</f>
        <v>יח</v>
      </c>
      <c r="N1786">
        <v>-11</v>
      </c>
      <c r="O1786" t="str">
        <f>"יח"</f>
        <v>יח</v>
      </c>
      <c r="P1786" s="2">
        <v>2185</v>
      </c>
      <c r="Q1786" t="str">
        <f>"$"</f>
        <v>$</v>
      </c>
      <c r="R1786" t="str">
        <f>"הזמנה"</f>
        <v>הזמנה</v>
      </c>
      <c r="S1786">
        <v>0</v>
      </c>
      <c r="T1786" s="2">
        <v>-24035</v>
      </c>
      <c r="U1786">
        <v>0</v>
      </c>
      <c r="V1786" s="2">
        <v>-24035</v>
      </c>
      <c r="W1786" t="str">
        <f>"$"</f>
        <v>$</v>
      </c>
      <c r="X1786">
        <v>0</v>
      </c>
      <c r="Y1786">
        <v>0</v>
      </c>
      <c r="Z1786">
        <v>0</v>
      </c>
      <c r="AA1786" t="str">
        <f>"Y"</f>
        <v>Y</v>
      </c>
      <c r="AC1786">
        <v>0</v>
      </c>
      <c r="AM1786" t="str">
        <f>"10"</f>
        <v>10</v>
      </c>
      <c r="AN1786" t="str">
        <f>"500000"</f>
        <v>500000</v>
      </c>
      <c r="AO1786" t="str">
        <f>"הכנסות  מלקוחות"</f>
        <v>הכנסות  מלקוחות</v>
      </c>
      <c r="AQ1786" t="str">
        <f>"007"</f>
        <v>007</v>
      </c>
      <c r="AR1786">
        <v>0</v>
      </c>
      <c r="AS1786">
        <v>0</v>
      </c>
      <c r="AT1786">
        <v>3.238</v>
      </c>
      <c r="BB1786" t="str">
        <f>"Y"</f>
        <v>Y</v>
      </c>
      <c r="BD1786" t="str">
        <f>"רוני דידי"</f>
        <v>רוני דידי</v>
      </c>
    </row>
    <row r="1787" spans="1:56" x14ac:dyDescent="0.3">
      <c r="A1787" s="1">
        <v>44621</v>
      </c>
      <c r="B1787" t="str">
        <f>"SI226000204"</f>
        <v>SI226000204</v>
      </c>
      <c r="E1787" t="str">
        <f>"Y"</f>
        <v>Y</v>
      </c>
      <c r="F1787" t="str">
        <f>"חשבוניות מרכזות"</f>
        <v>חשבוניות מרכזות</v>
      </c>
      <c r="G1787" t="str">
        <f>"700065"</f>
        <v>700065</v>
      </c>
      <c r="H1787" t="str">
        <f>"אלתא מערכות בע""מ"</f>
        <v>אלתא מערכות בע"מ</v>
      </c>
      <c r="I1787" t="str">
        <f>"10"</f>
        <v>10</v>
      </c>
      <c r="J1787" t="str">
        <f>"000"</f>
        <v>000</v>
      </c>
      <c r="K1787" t="str">
        <f>"בנק חומרים"</f>
        <v>בנק חומרים</v>
      </c>
      <c r="L1787">
        <v>-1</v>
      </c>
      <c r="M1787" t="str">
        <f>"יח"</f>
        <v>יח</v>
      </c>
      <c r="N1787">
        <v>-1</v>
      </c>
      <c r="O1787" t="str">
        <f>"יח"</f>
        <v>יח</v>
      </c>
      <c r="P1787" s="2">
        <v>1678</v>
      </c>
      <c r="Q1787" t="str">
        <f>"$"</f>
        <v>$</v>
      </c>
      <c r="R1787" t="str">
        <f>"ידני"</f>
        <v>ידני</v>
      </c>
      <c r="S1787">
        <v>0</v>
      </c>
      <c r="T1787" s="2">
        <v>-1678</v>
      </c>
      <c r="U1787">
        <v>0</v>
      </c>
      <c r="V1787" s="2">
        <v>-1678</v>
      </c>
      <c r="W1787" t="str">
        <f>"$"</f>
        <v>$</v>
      </c>
      <c r="X1787">
        <v>0</v>
      </c>
      <c r="Y1787">
        <v>0</v>
      </c>
      <c r="Z1787">
        <v>0</v>
      </c>
      <c r="AA1787" t="str">
        <f>"Y"</f>
        <v>Y</v>
      </c>
      <c r="AC1787">
        <v>0</v>
      </c>
      <c r="AM1787" t="str">
        <f>"10"</f>
        <v>10</v>
      </c>
      <c r="AN1787" t="str">
        <f>"500000"</f>
        <v>500000</v>
      </c>
      <c r="AO1787" t="str">
        <f>"הכנסות  מלקוחות"</f>
        <v>הכנסות  מלקוחות</v>
      </c>
      <c r="AQ1787" t="str">
        <f>"007"</f>
        <v>007</v>
      </c>
      <c r="AR1787">
        <v>0</v>
      </c>
      <c r="AS1787">
        <v>0</v>
      </c>
      <c r="AT1787">
        <v>3.238</v>
      </c>
      <c r="BB1787" t="str">
        <f>"Y"</f>
        <v>Y</v>
      </c>
      <c r="BD1787" t="str">
        <f>"רוני דידי"</f>
        <v>רוני דידי</v>
      </c>
    </row>
    <row r="1788" spans="1:56" x14ac:dyDescent="0.3">
      <c r="A1788" s="1">
        <v>44621</v>
      </c>
      <c r="B1788" t="str">
        <f>"SI226000203"</f>
        <v>SI226000203</v>
      </c>
      <c r="E1788" t="str">
        <f>"Y"</f>
        <v>Y</v>
      </c>
      <c r="F1788" t="str">
        <f>"חשבוניות מרכזות"</f>
        <v>חשבוניות מרכזות</v>
      </c>
      <c r="G1788" t="str">
        <f>"700065"</f>
        <v>700065</v>
      </c>
      <c r="H1788" t="str">
        <f>"אלתא מערכות בע""מ"</f>
        <v>אלתא מערכות בע"מ</v>
      </c>
      <c r="I1788" t="str">
        <f>"10"</f>
        <v>10</v>
      </c>
      <c r="J1788" t="str">
        <f>"000"</f>
        <v>000</v>
      </c>
      <c r="K1788" t="str">
        <f>"טכנאים לחיווט מסדים"</f>
        <v>טכנאים לחיווט מסדים</v>
      </c>
      <c r="L1788">
        <v>11</v>
      </c>
      <c r="M1788" t="str">
        <f>"יח"</f>
        <v>יח</v>
      </c>
      <c r="N1788">
        <v>11</v>
      </c>
      <c r="O1788" t="str">
        <f>"יח"</f>
        <v>יח</v>
      </c>
      <c r="P1788" s="2">
        <v>2185</v>
      </c>
      <c r="Q1788" t="str">
        <f>"$"</f>
        <v>$</v>
      </c>
      <c r="R1788" t="str">
        <f>"הזמנה"</f>
        <v>הזמנה</v>
      </c>
      <c r="S1788">
        <v>0</v>
      </c>
      <c r="T1788" s="2">
        <v>24035</v>
      </c>
      <c r="U1788">
        <v>0</v>
      </c>
      <c r="V1788" s="2">
        <v>24035</v>
      </c>
      <c r="W1788" t="str">
        <f>"$"</f>
        <v>$</v>
      </c>
      <c r="X1788">
        <v>0</v>
      </c>
      <c r="Y1788">
        <v>0</v>
      </c>
      <c r="Z1788">
        <v>0</v>
      </c>
      <c r="AA1788" t="str">
        <f>"Y"</f>
        <v>Y</v>
      </c>
      <c r="AC1788">
        <v>0</v>
      </c>
      <c r="AM1788" t="str">
        <f>"10"</f>
        <v>10</v>
      </c>
      <c r="AN1788" t="str">
        <f>"500000"</f>
        <v>500000</v>
      </c>
      <c r="AO1788" t="str">
        <f>"הכנסות  מלקוחות"</f>
        <v>הכנסות  מלקוחות</v>
      </c>
      <c r="AQ1788" t="str">
        <f>"007"</f>
        <v>007</v>
      </c>
      <c r="AR1788">
        <v>0</v>
      </c>
      <c r="AS1788">
        <v>0</v>
      </c>
      <c r="AT1788">
        <v>3.238</v>
      </c>
      <c r="BB1788" t="str">
        <f>"Y"</f>
        <v>Y</v>
      </c>
      <c r="BD1788" t="str">
        <f>"רוני דידי"</f>
        <v>רוני דידי</v>
      </c>
    </row>
    <row r="1789" spans="1:56" x14ac:dyDescent="0.3">
      <c r="A1789" s="1">
        <v>44621</v>
      </c>
      <c r="B1789" t="str">
        <f>"SI226000203"</f>
        <v>SI226000203</v>
      </c>
      <c r="E1789" t="str">
        <f>"Y"</f>
        <v>Y</v>
      </c>
      <c r="F1789" t="str">
        <f>"חשבוניות מרכזות"</f>
        <v>חשבוניות מרכזות</v>
      </c>
      <c r="G1789" t="str">
        <f>"700065"</f>
        <v>700065</v>
      </c>
      <c r="H1789" t="str">
        <f>"אלתא מערכות בע""מ"</f>
        <v>אלתא מערכות בע"מ</v>
      </c>
      <c r="I1789" t="str">
        <f>"10"</f>
        <v>10</v>
      </c>
      <c r="J1789" t="str">
        <f>"000"</f>
        <v>000</v>
      </c>
      <c r="K1789" t="str">
        <f>"בנק חומרים"</f>
        <v>בנק חומרים</v>
      </c>
      <c r="L1789">
        <v>1</v>
      </c>
      <c r="M1789" t="str">
        <f>"יח"</f>
        <v>יח</v>
      </c>
      <c r="N1789">
        <v>1</v>
      </c>
      <c r="O1789" t="str">
        <f>"יח"</f>
        <v>יח</v>
      </c>
      <c r="P1789" s="2">
        <v>1678</v>
      </c>
      <c r="Q1789" t="str">
        <f>"$"</f>
        <v>$</v>
      </c>
      <c r="R1789" t="str">
        <f>"ידני"</f>
        <v>ידני</v>
      </c>
      <c r="S1789">
        <v>0</v>
      </c>
      <c r="T1789" s="2">
        <v>1678</v>
      </c>
      <c r="U1789">
        <v>0</v>
      </c>
      <c r="V1789" s="2">
        <v>1678</v>
      </c>
      <c r="W1789" t="str">
        <f>"$"</f>
        <v>$</v>
      </c>
      <c r="X1789">
        <v>0</v>
      </c>
      <c r="Y1789">
        <v>0</v>
      </c>
      <c r="Z1789">
        <v>0</v>
      </c>
      <c r="AA1789" t="str">
        <f>"Y"</f>
        <v>Y</v>
      </c>
      <c r="AC1789">
        <v>0</v>
      </c>
      <c r="AM1789" t="str">
        <f>"10"</f>
        <v>10</v>
      </c>
      <c r="AN1789" t="str">
        <f>"500000"</f>
        <v>500000</v>
      </c>
      <c r="AO1789" t="str">
        <f>"הכנסות  מלקוחות"</f>
        <v>הכנסות  מלקוחות</v>
      </c>
      <c r="AQ1789" t="str">
        <f>"007"</f>
        <v>007</v>
      </c>
      <c r="AR1789">
        <v>0</v>
      </c>
      <c r="AS1789">
        <v>0</v>
      </c>
      <c r="AT1789">
        <v>3.238</v>
      </c>
      <c r="BB1789" t="str">
        <f>"Y"</f>
        <v>Y</v>
      </c>
      <c r="BD1789" t="str">
        <f>"רוני דידי"</f>
        <v>רוני דידי</v>
      </c>
    </row>
    <row r="1790" spans="1:56" x14ac:dyDescent="0.3">
      <c r="A1790" s="1">
        <v>44620</v>
      </c>
      <c r="B1790" t="str">
        <f>"SI226000205"</f>
        <v>SI226000205</v>
      </c>
      <c r="E1790" t="str">
        <f>"Y"</f>
        <v>Y</v>
      </c>
      <c r="F1790" t="str">
        <f>"חשבוניות מרכזות"</f>
        <v>חשבוניות מרכזות</v>
      </c>
      <c r="G1790" t="str">
        <f>"700065"</f>
        <v>700065</v>
      </c>
      <c r="H1790" t="str">
        <f>"אלתא מערכות בע""מ"</f>
        <v>אלתא מערכות בע"מ</v>
      </c>
      <c r="I1790" t="str">
        <f>"10"</f>
        <v>10</v>
      </c>
      <c r="J1790" t="str">
        <f>"000"</f>
        <v>000</v>
      </c>
      <c r="K1790" t="str">
        <f>"טכנאים לחיווט מסדים"</f>
        <v>טכנאים לחיווט מסדים</v>
      </c>
      <c r="L1790">
        <v>11</v>
      </c>
      <c r="M1790" t="str">
        <f>"יח"</f>
        <v>יח</v>
      </c>
      <c r="N1790">
        <v>11</v>
      </c>
      <c r="O1790" t="str">
        <f>"יח"</f>
        <v>יח</v>
      </c>
      <c r="P1790" s="2">
        <v>2185</v>
      </c>
      <c r="Q1790" t="str">
        <f>"$"</f>
        <v>$</v>
      </c>
      <c r="R1790" t="str">
        <f>"הזמנה"</f>
        <v>הזמנה</v>
      </c>
      <c r="S1790">
        <v>0</v>
      </c>
      <c r="T1790" s="2">
        <v>24035</v>
      </c>
      <c r="U1790">
        <v>0</v>
      </c>
      <c r="V1790" s="2">
        <v>24035</v>
      </c>
      <c r="W1790" t="str">
        <f>"$"</f>
        <v>$</v>
      </c>
      <c r="X1790">
        <v>0</v>
      </c>
      <c r="Y1790">
        <v>0</v>
      </c>
      <c r="Z1790">
        <v>0</v>
      </c>
      <c r="AA1790" t="str">
        <f>"Y"</f>
        <v>Y</v>
      </c>
      <c r="AB1790" t="str">
        <f>"SO21000313"</f>
        <v>SO21000313</v>
      </c>
      <c r="AC1790">
        <v>1</v>
      </c>
      <c r="AD1790" s="1">
        <v>44389</v>
      </c>
      <c r="AM1790" t="str">
        <f>"10"</f>
        <v>10</v>
      </c>
      <c r="AN1790" t="str">
        <f>"500000"</f>
        <v>500000</v>
      </c>
      <c r="AO1790" t="str">
        <f>"הכנסות  מלקוחות"</f>
        <v>הכנסות  מלקוחות</v>
      </c>
      <c r="AQ1790" t="str">
        <f>"007"</f>
        <v>007</v>
      </c>
      <c r="AR1790">
        <v>0</v>
      </c>
      <c r="AS1790">
        <v>0</v>
      </c>
      <c r="AT1790">
        <v>3.238</v>
      </c>
      <c r="AX1790" t="str">
        <f>"E000343127"</f>
        <v>E000343127</v>
      </c>
      <c r="BD1790" t="str">
        <f>"רוני דידי"</f>
        <v>רוני דידי</v>
      </c>
    </row>
    <row r="1791" spans="1:56" x14ac:dyDescent="0.3">
      <c r="A1791" s="1">
        <v>44620</v>
      </c>
      <c r="B1791" t="str">
        <f>"SI226000205"</f>
        <v>SI226000205</v>
      </c>
      <c r="E1791" t="str">
        <f>"Y"</f>
        <v>Y</v>
      </c>
      <c r="F1791" t="str">
        <f>"חשבוניות מרכזות"</f>
        <v>חשבוניות מרכזות</v>
      </c>
      <c r="G1791" t="str">
        <f>"700065"</f>
        <v>700065</v>
      </c>
      <c r="H1791" t="str">
        <f>"אלתא מערכות בע""מ"</f>
        <v>אלתא מערכות בע"מ</v>
      </c>
      <c r="I1791" t="str">
        <f>"10"</f>
        <v>10</v>
      </c>
      <c r="J1791" t="str">
        <f>"000"</f>
        <v>000</v>
      </c>
      <c r="K1791" t="str">
        <f>"בנק חומרים"</f>
        <v>בנק חומרים</v>
      </c>
      <c r="L1791">
        <v>1</v>
      </c>
      <c r="M1791" t="str">
        <f>"יח"</f>
        <v>יח</v>
      </c>
      <c r="N1791">
        <v>1</v>
      </c>
      <c r="O1791" t="str">
        <f>"יח"</f>
        <v>יח</v>
      </c>
      <c r="P1791" s="2">
        <v>1678</v>
      </c>
      <c r="Q1791" t="str">
        <f>"$"</f>
        <v>$</v>
      </c>
      <c r="R1791" t="str">
        <f>"הזמנה"</f>
        <v>הזמנה</v>
      </c>
      <c r="S1791">
        <v>0</v>
      </c>
      <c r="T1791" s="2">
        <v>1678</v>
      </c>
      <c r="U1791">
        <v>0</v>
      </c>
      <c r="V1791" s="2">
        <v>1678</v>
      </c>
      <c r="W1791" t="str">
        <f>"$"</f>
        <v>$</v>
      </c>
      <c r="X1791">
        <v>0</v>
      </c>
      <c r="Y1791">
        <v>0</v>
      </c>
      <c r="Z1791">
        <v>0</v>
      </c>
      <c r="AA1791" t="str">
        <f>"Y"</f>
        <v>Y</v>
      </c>
      <c r="AB1791" t="str">
        <f>"SO21000313"</f>
        <v>SO21000313</v>
      </c>
      <c r="AC1791">
        <v>2</v>
      </c>
      <c r="AD1791" s="1">
        <v>44389</v>
      </c>
      <c r="AM1791" t="str">
        <f>"10"</f>
        <v>10</v>
      </c>
      <c r="AN1791" t="str">
        <f>"500000"</f>
        <v>500000</v>
      </c>
      <c r="AO1791" t="str">
        <f>"הכנסות  מלקוחות"</f>
        <v>הכנסות  מלקוחות</v>
      </c>
      <c r="AQ1791" t="str">
        <f>"007"</f>
        <v>007</v>
      </c>
      <c r="AR1791">
        <v>0</v>
      </c>
      <c r="AS1791">
        <v>0</v>
      </c>
      <c r="AT1791">
        <v>3.238</v>
      </c>
      <c r="AX1791" t="str">
        <f>"E000343127"</f>
        <v>E000343127</v>
      </c>
      <c r="BD1791" t="str">
        <f>"רוני דידי"</f>
        <v>רוני דידי</v>
      </c>
    </row>
    <row r="1792" spans="1:56" x14ac:dyDescent="0.3">
      <c r="A1792" s="1">
        <v>44619</v>
      </c>
      <c r="B1792" t="str">
        <f>"SI226000186"</f>
        <v>SI226000186</v>
      </c>
      <c r="E1792" t="str">
        <f>"Y"</f>
        <v>Y</v>
      </c>
      <c r="F1792" t="str">
        <f>"חשבוניות מרכזות"</f>
        <v>חשבוניות מרכזות</v>
      </c>
      <c r="G1792" t="str">
        <f>"700065"</f>
        <v>700065</v>
      </c>
      <c r="H1792" t="str">
        <f>"אלתא מערכות בע""מ"</f>
        <v>אלתא מערכות בע"מ</v>
      </c>
      <c r="I1792" t="str">
        <f>"10"</f>
        <v>10</v>
      </c>
      <c r="J1792" t="str">
        <f>"9977"</f>
        <v>9977</v>
      </c>
      <c r="K1792" t="str">
        <f>"קנס פיגור באספקה"</f>
        <v>קנס פיגור באספקה</v>
      </c>
      <c r="L1792">
        <v>-1</v>
      </c>
      <c r="M1792" t="str">
        <f>"חל"</f>
        <v>חל</v>
      </c>
      <c r="N1792">
        <v>-1</v>
      </c>
      <c r="O1792" t="str">
        <f>"חל"</f>
        <v>חל</v>
      </c>
      <c r="P1792">
        <v>33.39</v>
      </c>
      <c r="Q1792" t="str">
        <f>"$"</f>
        <v>$</v>
      </c>
      <c r="R1792" t="str">
        <f>"ידני"</f>
        <v>ידני</v>
      </c>
      <c r="S1792">
        <v>0</v>
      </c>
      <c r="T1792">
        <v>-33.39</v>
      </c>
      <c r="U1792">
        <v>0</v>
      </c>
      <c r="V1792">
        <v>-33.39</v>
      </c>
      <c r="W1792" t="str">
        <f>"$"</f>
        <v>$</v>
      </c>
      <c r="X1792">
        <v>0</v>
      </c>
      <c r="Y1792">
        <v>0</v>
      </c>
      <c r="Z1792">
        <v>0</v>
      </c>
      <c r="AA1792" t="str">
        <f>"Y"</f>
        <v>Y</v>
      </c>
      <c r="AC1792">
        <v>0</v>
      </c>
      <c r="AM1792" t="str">
        <f>"10"</f>
        <v>10</v>
      </c>
      <c r="AN1792" t="str">
        <f>"500000"</f>
        <v>500000</v>
      </c>
      <c r="AO1792" t="str">
        <f>"הכנסות  מלקוחות"</f>
        <v>הכנסות  מלקוחות</v>
      </c>
      <c r="AQ1792" t="str">
        <f>"040"</f>
        <v>040</v>
      </c>
      <c r="AR1792">
        <v>0</v>
      </c>
      <c r="AS1792">
        <v>0</v>
      </c>
      <c r="AT1792">
        <v>3.2290000000000001</v>
      </c>
      <c r="BB1792" t="str">
        <f>"Y"</f>
        <v>Y</v>
      </c>
      <c r="BD1792" t="str">
        <f>"רחמים זרוק"</f>
        <v>רחמים זרוק</v>
      </c>
    </row>
    <row r="1793" spans="1:56" x14ac:dyDescent="0.3">
      <c r="A1793" s="1">
        <v>44619</v>
      </c>
      <c r="B1793" t="str">
        <f>"SI226000185"</f>
        <v>SI226000185</v>
      </c>
      <c r="E1793" t="str">
        <f>"Y"</f>
        <v>Y</v>
      </c>
      <c r="F1793" t="str">
        <f>"חשבוניות מרכזות"</f>
        <v>חשבוניות מרכזות</v>
      </c>
      <c r="G1793" t="str">
        <f>"700065"</f>
        <v>700065</v>
      </c>
      <c r="H1793" t="str">
        <f>"אלתא מערכות בע""מ"</f>
        <v>אלתא מערכות בע"מ</v>
      </c>
      <c r="I1793" t="str">
        <f>"10"</f>
        <v>10</v>
      </c>
      <c r="J1793" t="str">
        <f>"9977"</f>
        <v>9977</v>
      </c>
      <c r="K1793" t="str">
        <f>"קנס פיגור באספקה"</f>
        <v>קנס פיגור באספקה</v>
      </c>
      <c r="L1793">
        <v>1</v>
      </c>
      <c r="M1793" t="str">
        <f>"חל"</f>
        <v>חל</v>
      </c>
      <c r="N1793">
        <v>1</v>
      </c>
      <c r="O1793" t="str">
        <f>"חל"</f>
        <v>חל</v>
      </c>
      <c r="P1793">
        <v>33.39</v>
      </c>
      <c r="Q1793" t="str">
        <f>"$"</f>
        <v>$</v>
      </c>
      <c r="R1793" t="str">
        <f>"ידני"</f>
        <v>ידני</v>
      </c>
      <c r="S1793">
        <v>0</v>
      </c>
      <c r="T1793">
        <v>33.39</v>
      </c>
      <c r="U1793">
        <v>0</v>
      </c>
      <c r="V1793">
        <v>33.39</v>
      </c>
      <c r="W1793" t="str">
        <f>"$"</f>
        <v>$</v>
      </c>
      <c r="X1793">
        <v>0</v>
      </c>
      <c r="Y1793">
        <v>0</v>
      </c>
      <c r="Z1793">
        <v>0</v>
      </c>
      <c r="AA1793" t="str">
        <f>"Y"</f>
        <v>Y</v>
      </c>
      <c r="AC1793">
        <v>0</v>
      </c>
      <c r="AM1793" t="str">
        <f>"10"</f>
        <v>10</v>
      </c>
      <c r="AN1793" t="str">
        <f>"500000"</f>
        <v>500000</v>
      </c>
      <c r="AO1793" t="str">
        <f>"הכנסות  מלקוחות"</f>
        <v>הכנסות  מלקוחות</v>
      </c>
      <c r="AQ1793" t="str">
        <f>"040"</f>
        <v>040</v>
      </c>
      <c r="AR1793">
        <v>0</v>
      </c>
      <c r="AS1793">
        <v>0</v>
      </c>
      <c r="AT1793">
        <v>3.2290000000000001</v>
      </c>
      <c r="BB1793" t="str">
        <f>"Y"</f>
        <v>Y</v>
      </c>
      <c r="BD1793" t="str">
        <f>"רחמים זרוק"</f>
        <v>רחמים זרוק</v>
      </c>
    </row>
    <row r="1794" spans="1:56" x14ac:dyDescent="0.3">
      <c r="A1794" s="1">
        <v>44619</v>
      </c>
      <c r="B1794" t="str">
        <f>"SI226000175"</f>
        <v>SI226000175</v>
      </c>
      <c r="E1794" t="str">
        <f>"Y"</f>
        <v>Y</v>
      </c>
      <c r="F1794" t="str">
        <f>"חשבוניות מרכזות"</f>
        <v>חשבוניות מרכזות</v>
      </c>
      <c r="G1794" t="str">
        <f>"700065"</f>
        <v>700065</v>
      </c>
      <c r="H1794" t="str">
        <f>"אלתא מערכות בע""מ"</f>
        <v>אלתא מערכות בע"מ</v>
      </c>
      <c r="I1794" t="str">
        <f>"10"</f>
        <v>10</v>
      </c>
      <c r="J1794" t="str">
        <f>"9977"</f>
        <v>9977</v>
      </c>
      <c r="K1794" t="str">
        <f>"קנס פיגור באספקה"</f>
        <v>קנס פיגור באספקה</v>
      </c>
      <c r="L1794">
        <v>-1</v>
      </c>
      <c r="M1794" t="str">
        <f>"חל"</f>
        <v>חל</v>
      </c>
      <c r="N1794">
        <v>-1</v>
      </c>
      <c r="O1794" t="str">
        <f>"חל"</f>
        <v>חל</v>
      </c>
      <c r="P1794" s="2">
        <v>1176.6099999999999</v>
      </c>
      <c r="Q1794" t="str">
        <f>"$"</f>
        <v>$</v>
      </c>
      <c r="R1794" t="str">
        <f>"ידני"</f>
        <v>ידני</v>
      </c>
      <c r="S1794">
        <v>0</v>
      </c>
      <c r="T1794" s="2">
        <v>-1176.6099999999999</v>
      </c>
      <c r="U1794">
        <v>0</v>
      </c>
      <c r="V1794" s="2">
        <v>-1176.6099999999999</v>
      </c>
      <c r="W1794" t="str">
        <f>"$"</f>
        <v>$</v>
      </c>
      <c r="X1794">
        <v>0</v>
      </c>
      <c r="Y1794">
        <v>0</v>
      </c>
      <c r="Z1794">
        <v>0</v>
      </c>
      <c r="AA1794" t="str">
        <f>"Y"</f>
        <v>Y</v>
      </c>
      <c r="AC1794">
        <v>0</v>
      </c>
      <c r="AM1794" t="str">
        <f>"10"</f>
        <v>10</v>
      </c>
      <c r="AN1794" t="str">
        <f>"500000"</f>
        <v>500000</v>
      </c>
      <c r="AO1794" t="str">
        <f>"הכנסות  מלקוחות"</f>
        <v>הכנסות  מלקוחות</v>
      </c>
      <c r="AQ1794" t="str">
        <f>"034"</f>
        <v>034</v>
      </c>
      <c r="AR1794">
        <v>0</v>
      </c>
      <c r="AS1794">
        <v>0</v>
      </c>
      <c r="AT1794">
        <v>3.2589999999999999</v>
      </c>
      <c r="BB1794" t="str">
        <f>"Y"</f>
        <v>Y</v>
      </c>
      <c r="BD1794" t="str">
        <f>"ערן שלו"</f>
        <v>ערן שלו</v>
      </c>
    </row>
    <row r="1795" spans="1:56" x14ac:dyDescent="0.3">
      <c r="A1795" s="1">
        <v>44619</v>
      </c>
      <c r="B1795" t="str">
        <f>"SI226000174"</f>
        <v>SI226000174</v>
      </c>
      <c r="E1795" t="str">
        <f>"Y"</f>
        <v>Y</v>
      </c>
      <c r="F1795" t="str">
        <f>"חשבוניות מרכזות"</f>
        <v>חשבוניות מרכזות</v>
      </c>
      <c r="G1795" t="str">
        <f>"700065"</f>
        <v>700065</v>
      </c>
      <c r="H1795" t="str">
        <f>"אלתא מערכות בע""מ"</f>
        <v>אלתא מערכות בע"מ</v>
      </c>
      <c r="I1795" t="str">
        <f>"10"</f>
        <v>10</v>
      </c>
      <c r="J1795" t="str">
        <f>"9977"</f>
        <v>9977</v>
      </c>
      <c r="K1795" t="str">
        <f>"קנס פיגור באספקה"</f>
        <v>קנס פיגור באספקה</v>
      </c>
      <c r="L1795">
        <v>1</v>
      </c>
      <c r="M1795" t="str">
        <f>"חל"</f>
        <v>חל</v>
      </c>
      <c r="N1795">
        <v>1</v>
      </c>
      <c r="O1795" t="str">
        <f>"חל"</f>
        <v>חל</v>
      </c>
      <c r="P1795" s="2">
        <v>1176.6099999999999</v>
      </c>
      <c r="Q1795" t="str">
        <f>"$"</f>
        <v>$</v>
      </c>
      <c r="R1795" t="str">
        <f>"ידני"</f>
        <v>ידני</v>
      </c>
      <c r="S1795">
        <v>0</v>
      </c>
      <c r="T1795" s="2">
        <v>1176.6099999999999</v>
      </c>
      <c r="U1795">
        <v>0</v>
      </c>
      <c r="V1795" s="2">
        <v>1176.6099999999999</v>
      </c>
      <c r="W1795" t="str">
        <f>"$"</f>
        <v>$</v>
      </c>
      <c r="X1795">
        <v>0</v>
      </c>
      <c r="Y1795">
        <v>0</v>
      </c>
      <c r="Z1795">
        <v>0</v>
      </c>
      <c r="AA1795" t="str">
        <f>"Y"</f>
        <v>Y</v>
      </c>
      <c r="AC1795">
        <v>0</v>
      </c>
      <c r="AM1795" t="str">
        <f>"10"</f>
        <v>10</v>
      </c>
      <c r="AN1795" t="str">
        <f>"500000"</f>
        <v>500000</v>
      </c>
      <c r="AO1795" t="str">
        <f>"הכנסות  מלקוחות"</f>
        <v>הכנסות  מלקוחות</v>
      </c>
      <c r="AQ1795" t="str">
        <f>"034"</f>
        <v>034</v>
      </c>
      <c r="AR1795">
        <v>0</v>
      </c>
      <c r="AS1795">
        <v>0</v>
      </c>
      <c r="AT1795">
        <v>3.2589999999999999</v>
      </c>
      <c r="BB1795" t="str">
        <f>"Y"</f>
        <v>Y</v>
      </c>
      <c r="BD1795" t="str">
        <f>"ערן שלו"</f>
        <v>ערן שלו</v>
      </c>
    </row>
    <row r="1796" spans="1:56" x14ac:dyDescent="0.3">
      <c r="A1796" s="1">
        <v>44619</v>
      </c>
      <c r="B1796" t="str">
        <f>"SI226000172"</f>
        <v>SI226000172</v>
      </c>
      <c r="E1796" t="str">
        <f>"Y"</f>
        <v>Y</v>
      </c>
      <c r="F1796" t="str">
        <f>"חשבוניות מרכזות"</f>
        <v>חשבוניות מרכזות</v>
      </c>
      <c r="G1796" t="str">
        <f>"700065"</f>
        <v>700065</v>
      </c>
      <c r="H1796" t="str">
        <f>"אלתא מערכות בע""מ"</f>
        <v>אלתא מערכות בע"מ</v>
      </c>
      <c r="I1796" t="str">
        <f>"10"</f>
        <v>10</v>
      </c>
      <c r="J1796" t="str">
        <f>"OP-AR02041"</f>
        <v>OP-AR02041</v>
      </c>
      <c r="K1796" t="str">
        <f>"PDB1 1038C860-001"</f>
        <v>PDB1 1038C860-001</v>
      </c>
      <c r="L1796">
        <v>1</v>
      </c>
      <c r="M1796" t="str">
        <f>"יח"</f>
        <v>יח</v>
      </c>
      <c r="N1796">
        <v>1</v>
      </c>
      <c r="O1796" t="str">
        <f>"יח"</f>
        <v>יח</v>
      </c>
      <c r="P1796" s="2">
        <v>38545</v>
      </c>
      <c r="Q1796" t="str">
        <f>"$"</f>
        <v>$</v>
      </c>
      <c r="R1796" t="str">
        <f>"הזמנה"</f>
        <v>הזמנה</v>
      </c>
      <c r="S1796">
        <v>0</v>
      </c>
      <c r="T1796" s="2">
        <v>38545</v>
      </c>
      <c r="U1796">
        <v>0</v>
      </c>
      <c r="V1796" s="2">
        <v>38545</v>
      </c>
      <c r="W1796" t="str">
        <f>"$"</f>
        <v>$</v>
      </c>
      <c r="X1796">
        <v>0</v>
      </c>
      <c r="Y1796">
        <v>0</v>
      </c>
      <c r="Z1796">
        <v>0</v>
      </c>
      <c r="AA1796" t="str">
        <f>"Y"</f>
        <v>Y</v>
      </c>
      <c r="AB1796" t="str">
        <f>"SO20000418"</f>
        <v>SO20000418</v>
      </c>
      <c r="AC1796">
        <v>23</v>
      </c>
      <c r="AD1796" s="1">
        <v>44083</v>
      </c>
      <c r="AM1796" t="str">
        <f>"10"</f>
        <v>10</v>
      </c>
      <c r="AN1796" t="str">
        <f>"500000"</f>
        <v>500000</v>
      </c>
      <c r="AO1796" t="str">
        <f>"הכנסות  מלקוחות"</f>
        <v>הכנסות  מלקוחות</v>
      </c>
      <c r="AQ1796" t="str">
        <f>"034"</f>
        <v>034</v>
      </c>
      <c r="AR1796">
        <v>0</v>
      </c>
      <c r="AS1796">
        <v>0</v>
      </c>
      <c r="AT1796">
        <v>3.2589999999999999</v>
      </c>
      <c r="AX1796" t="str">
        <f>"E000320964"</f>
        <v>E000320964</v>
      </c>
      <c r="BD1796" t="str">
        <f>"ערן שלו"</f>
        <v>ערן שלו</v>
      </c>
    </row>
    <row r="1797" spans="1:56" x14ac:dyDescent="0.3">
      <c r="A1797" s="1">
        <v>44619</v>
      </c>
      <c r="B1797" t="str">
        <f>"SI226000172"</f>
        <v>SI226000172</v>
      </c>
      <c r="E1797" t="str">
        <f>"Y"</f>
        <v>Y</v>
      </c>
      <c r="F1797" t="str">
        <f>"חשבוניות מרכזות"</f>
        <v>חשבוניות מרכזות</v>
      </c>
      <c r="G1797" t="str">
        <f>"700065"</f>
        <v>700065</v>
      </c>
      <c r="H1797" t="str">
        <f>"אלתא מערכות בע""מ"</f>
        <v>אלתא מערכות בע"מ</v>
      </c>
      <c r="I1797" t="str">
        <f>"10"</f>
        <v>10</v>
      </c>
      <c r="J1797" t="str">
        <f>"OP-AR02042"</f>
        <v>OP-AR02042</v>
      </c>
      <c r="K1797" t="str">
        <f>"PDB2  1038C870-001"</f>
        <v>PDB2  1038C870-001</v>
      </c>
      <c r="L1797">
        <v>1</v>
      </c>
      <c r="M1797" t="str">
        <f>"יח"</f>
        <v>יח</v>
      </c>
      <c r="N1797">
        <v>1</v>
      </c>
      <c r="O1797" t="str">
        <f>"יח"</f>
        <v>יח</v>
      </c>
      <c r="P1797" s="2">
        <v>26985</v>
      </c>
      <c r="Q1797" t="str">
        <f>"$"</f>
        <v>$</v>
      </c>
      <c r="R1797" t="str">
        <f>"הזמנה"</f>
        <v>הזמנה</v>
      </c>
      <c r="S1797">
        <v>0</v>
      </c>
      <c r="T1797" s="2">
        <v>26985</v>
      </c>
      <c r="U1797">
        <v>0</v>
      </c>
      <c r="V1797" s="2">
        <v>26985</v>
      </c>
      <c r="W1797" t="str">
        <f>"$"</f>
        <v>$</v>
      </c>
      <c r="X1797">
        <v>0</v>
      </c>
      <c r="Y1797">
        <v>0</v>
      </c>
      <c r="Z1797">
        <v>0</v>
      </c>
      <c r="AA1797" t="str">
        <f>"Y"</f>
        <v>Y</v>
      </c>
      <c r="AB1797" t="str">
        <f>"SO20000418"</f>
        <v>SO20000418</v>
      </c>
      <c r="AC1797">
        <v>31</v>
      </c>
      <c r="AD1797" s="1">
        <v>44083</v>
      </c>
      <c r="AM1797" t="str">
        <f>"10"</f>
        <v>10</v>
      </c>
      <c r="AN1797" t="str">
        <f>"500000"</f>
        <v>500000</v>
      </c>
      <c r="AO1797" t="str">
        <f>"הכנסות  מלקוחות"</f>
        <v>הכנסות  מלקוחות</v>
      </c>
      <c r="AQ1797" t="str">
        <f>"034"</f>
        <v>034</v>
      </c>
      <c r="AR1797">
        <v>0</v>
      </c>
      <c r="AS1797">
        <v>0</v>
      </c>
      <c r="AT1797">
        <v>3.2589999999999999</v>
      </c>
      <c r="AX1797" t="str">
        <f>"E000320964"</f>
        <v>E000320964</v>
      </c>
      <c r="BD1797" t="str">
        <f>"ערן שלו"</f>
        <v>ערן שלו</v>
      </c>
    </row>
    <row r="1798" spans="1:56" x14ac:dyDescent="0.3">
      <c r="A1798" s="1">
        <v>44619</v>
      </c>
      <c r="B1798" t="str">
        <f>"SI226000171"</f>
        <v>SI226000171</v>
      </c>
      <c r="E1798" t="str">
        <f>"Y"</f>
        <v>Y</v>
      </c>
      <c r="F1798" t="str">
        <f>"חשבוניות מרכזות"</f>
        <v>חשבוניות מרכזות</v>
      </c>
      <c r="G1798" t="str">
        <f>"700065"</f>
        <v>700065</v>
      </c>
      <c r="H1798" t="str">
        <f>"אלתא מערכות בע""מ"</f>
        <v>אלתא מערכות בע"מ</v>
      </c>
      <c r="I1798" t="str">
        <f>"10"</f>
        <v>10</v>
      </c>
      <c r="J1798" t="str">
        <f>"OP-AR09107-1"</f>
        <v>OP-AR09107-1</v>
      </c>
      <c r="K1798" t="str">
        <f>"לוח AUX BOX מק""ט לקוח 1036V320 001"</f>
        <v>לוח AUX BOX מק"ט לקוח 1036V320 001</v>
      </c>
      <c r="L1798">
        <v>1</v>
      </c>
      <c r="M1798" t="str">
        <f>"יח"</f>
        <v>יח</v>
      </c>
      <c r="N1798">
        <v>1</v>
      </c>
      <c r="O1798" t="str">
        <f>"יח"</f>
        <v>יח</v>
      </c>
      <c r="P1798" s="2">
        <v>26958</v>
      </c>
      <c r="Q1798" t="str">
        <f>"$"</f>
        <v>$</v>
      </c>
      <c r="R1798" t="str">
        <f>"הזמנה"</f>
        <v>הזמנה</v>
      </c>
      <c r="S1798">
        <v>0</v>
      </c>
      <c r="T1798" s="2">
        <v>26958</v>
      </c>
      <c r="U1798">
        <v>0</v>
      </c>
      <c r="V1798" s="2">
        <v>26958</v>
      </c>
      <c r="W1798" t="str">
        <f>"$"</f>
        <v>$</v>
      </c>
      <c r="X1798">
        <v>0</v>
      </c>
      <c r="Y1798">
        <v>0</v>
      </c>
      <c r="Z1798">
        <v>0</v>
      </c>
      <c r="AA1798" t="str">
        <f>"Y"</f>
        <v>Y</v>
      </c>
      <c r="AC1798">
        <v>0</v>
      </c>
      <c r="AM1798" t="str">
        <f>"10"</f>
        <v>10</v>
      </c>
      <c r="AN1798" t="str">
        <f>"500000"</f>
        <v>500000</v>
      </c>
      <c r="AO1798" t="str">
        <f>"הכנסות  מלקוחות"</f>
        <v>הכנסות  מלקוחות</v>
      </c>
      <c r="AQ1798" t="str">
        <f>"034"</f>
        <v>034</v>
      </c>
      <c r="AR1798">
        <v>0</v>
      </c>
      <c r="AS1798">
        <v>0</v>
      </c>
      <c r="AT1798">
        <v>3.2589999999999999</v>
      </c>
      <c r="BB1798" t="str">
        <f>"Y"</f>
        <v>Y</v>
      </c>
      <c r="BD1798" t="str">
        <f>"ערן שלו"</f>
        <v>ערן שלו</v>
      </c>
    </row>
    <row r="1799" spans="1:56" x14ac:dyDescent="0.3">
      <c r="A1799" s="1">
        <v>44619</v>
      </c>
      <c r="B1799" t="str">
        <f>"CR227000018"</f>
        <v>CR227000018</v>
      </c>
      <c r="E1799" t="str">
        <f>"Y"</f>
        <v>Y</v>
      </c>
      <c r="F1799" t="str">
        <f>"חשבוניות זיכוי"</f>
        <v>חשבוניות זיכוי</v>
      </c>
      <c r="G1799" t="str">
        <f>"700065"</f>
        <v>700065</v>
      </c>
      <c r="H1799" t="str">
        <f>"אלתא מערכות בע""מ"</f>
        <v>אלתא מערכות בע"מ</v>
      </c>
      <c r="I1799" t="str">
        <f>"10"</f>
        <v>10</v>
      </c>
      <c r="J1799" t="str">
        <f>"9977"</f>
        <v>9977</v>
      </c>
      <c r="K1799" t="str">
        <f>"קנס פיגור באספקה"</f>
        <v>קנס פיגור באספקה</v>
      </c>
      <c r="L1799">
        <v>1</v>
      </c>
      <c r="M1799" t="str">
        <f>"חל"</f>
        <v>חל</v>
      </c>
      <c r="N1799">
        <v>1</v>
      </c>
      <c r="O1799" t="str">
        <f>"חל"</f>
        <v>חל</v>
      </c>
      <c r="P1799">
        <v>33.39</v>
      </c>
      <c r="Q1799" t="str">
        <f>"$"</f>
        <v>$</v>
      </c>
      <c r="R1799" t="str">
        <f>"ידני"</f>
        <v>ידני</v>
      </c>
      <c r="S1799">
        <v>0</v>
      </c>
      <c r="T1799">
        <v>33.39</v>
      </c>
      <c r="U1799">
        <v>0</v>
      </c>
      <c r="V1799">
        <v>33.39</v>
      </c>
      <c r="W1799" t="str">
        <f>"$"</f>
        <v>$</v>
      </c>
      <c r="X1799">
        <v>0</v>
      </c>
      <c r="Y1799">
        <v>0</v>
      </c>
      <c r="Z1799">
        <v>0</v>
      </c>
      <c r="AA1799" t="str">
        <f>"Y"</f>
        <v>Y</v>
      </c>
      <c r="AC1799">
        <v>0</v>
      </c>
      <c r="AM1799" t="str">
        <f>"10"</f>
        <v>10</v>
      </c>
      <c r="AN1799" t="str">
        <f>"500000"</f>
        <v>500000</v>
      </c>
      <c r="AO1799" t="str">
        <f>"הכנסות  מלקוחות"</f>
        <v>הכנסות  מלקוחות</v>
      </c>
      <c r="AQ1799" t="str">
        <f>"040"</f>
        <v>040</v>
      </c>
      <c r="AR1799">
        <v>0</v>
      </c>
      <c r="AS1799">
        <v>0</v>
      </c>
      <c r="AT1799">
        <v>3.2290000000000001</v>
      </c>
      <c r="BD1799" t="str">
        <f>"רחמים זרוק"</f>
        <v>רחמים זרוק</v>
      </c>
    </row>
    <row r="1800" spans="1:56" x14ac:dyDescent="0.3">
      <c r="A1800" s="1">
        <v>44619</v>
      </c>
      <c r="B1800" t="str">
        <f>"CR227000017"</f>
        <v>CR227000017</v>
      </c>
      <c r="E1800" t="str">
        <f>"Y"</f>
        <v>Y</v>
      </c>
      <c r="F1800" t="str">
        <f>"חשבוניות זיכוי"</f>
        <v>חשבוניות זיכוי</v>
      </c>
      <c r="G1800" t="str">
        <f>"700065"</f>
        <v>700065</v>
      </c>
      <c r="H1800" t="str">
        <f>"אלתא מערכות בע""מ"</f>
        <v>אלתא מערכות בע"מ</v>
      </c>
      <c r="I1800" t="str">
        <f>"10"</f>
        <v>10</v>
      </c>
      <c r="J1800" t="str">
        <f>"9977"</f>
        <v>9977</v>
      </c>
      <c r="K1800" t="str">
        <f>"קנס פיגור באספקה"</f>
        <v>קנס פיגור באספקה</v>
      </c>
      <c r="L1800">
        <v>1</v>
      </c>
      <c r="M1800" t="str">
        <f>"חל"</f>
        <v>חל</v>
      </c>
      <c r="N1800">
        <v>1</v>
      </c>
      <c r="O1800" t="str">
        <f>"חל"</f>
        <v>חל</v>
      </c>
      <c r="P1800">
        <v>66.16</v>
      </c>
      <c r="Q1800" t="str">
        <f>"$"</f>
        <v>$</v>
      </c>
      <c r="R1800" t="str">
        <f>"ידני"</f>
        <v>ידני</v>
      </c>
      <c r="S1800">
        <v>0</v>
      </c>
      <c r="T1800">
        <v>66.16</v>
      </c>
      <c r="U1800">
        <v>0</v>
      </c>
      <c r="V1800">
        <v>66.16</v>
      </c>
      <c r="W1800" t="str">
        <f>"$"</f>
        <v>$</v>
      </c>
      <c r="X1800">
        <v>0</v>
      </c>
      <c r="Y1800">
        <v>0</v>
      </c>
      <c r="Z1800">
        <v>0</v>
      </c>
      <c r="AA1800" t="str">
        <f>"Y"</f>
        <v>Y</v>
      </c>
      <c r="AC1800">
        <v>0</v>
      </c>
      <c r="AM1800" t="str">
        <f>"10"</f>
        <v>10</v>
      </c>
      <c r="AN1800" t="str">
        <f>"500000"</f>
        <v>500000</v>
      </c>
      <c r="AO1800" t="str">
        <f>"הכנסות  מלקוחות"</f>
        <v>הכנסות  מלקוחות</v>
      </c>
      <c r="AQ1800" t="str">
        <f>"034"</f>
        <v>034</v>
      </c>
      <c r="AR1800">
        <v>0</v>
      </c>
      <c r="AS1800">
        <v>0</v>
      </c>
      <c r="AT1800">
        <v>3.206</v>
      </c>
      <c r="BD1800" t="str">
        <f>"ערן שלו"</f>
        <v>ערן שלו</v>
      </c>
    </row>
    <row r="1801" spans="1:56" x14ac:dyDescent="0.3">
      <c r="A1801" s="1">
        <v>44619</v>
      </c>
      <c r="B1801" t="str">
        <f>"CR227000016"</f>
        <v>CR227000016</v>
      </c>
      <c r="E1801" t="str">
        <f>"Y"</f>
        <v>Y</v>
      </c>
      <c r="F1801" t="str">
        <f>"חשבוניות זיכוי"</f>
        <v>חשבוניות זיכוי</v>
      </c>
      <c r="G1801" t="str">
        <f>"700065"</f>
        <v>700065</v>
      </c>
      <c r="H1801" t="str">
        <f>"אלתא מערכות בע""מ"</f>
        <v>אלתא מערכות בע"מ</v>
      </c>
      <c r="I1801" t="str">
        <f>"10"</f>
        <v>10</v>
      </c>
      <c r="J1801" t="str">
        <f>"9977"</f>
        <v>9977</v>
      </c>
      <c r="K1801" t="str">
        <f>"קנס פיגור באספקה"</f>
        <v>קנס פיגור באספקה</v>
      </c>
      <c r="L1801">
        <v>1</v>
      </c>
      <c r="M1801" t="str">
        <f>"חל"</f>
        <v>חל</v>
      </c>
      <c r="N1801">
        <v>1</v>
      </c>
      <c r="O1801" t="str">
        <f>"חל"</f>
        <v>חל</v>
      </c>
      <c r="P1801">
        <v>139.19999999999999</v>
      </c>
      <c r="Q1801" t="str">
        <f>"$"</f>
        <v>$</v>
      </c>
      <c r="R1801" t="str">
        <f>"ידני"</f>
        <v>ידני</v>
      </c>
      <c r="S1801">
        <v>0</v>
      </c>
      <c r="T1801">
        <v>139.19999999999999</v>
      </c>
      <c r="U1801">
        <v>0</v>
      </c>
      <c r="V1801">
        <v>139.19999999999999</v>
      </c>
      <c r="W1801" t="str">
        <f>"$"</f>
        <v>$</v>
      </c>
      <c r="X1801">
        <v>0</v>
      </c>
      <c r="Y1801">
        <v>0</v>
      </c>
      <c r="Z1801">
        <v>0</v>
      </c>
      <c r="AA1801" t="str">
        <f>"Y"</f>
        <v>Y</v>
      </c>
      <c r="AC1801">
        <v>0</v>
      </c>
      <c r="AM1801" t="str">
        <f>"10"</f>
        <v>10</v>
      </c>
      <c r="AN1801" t="str">
        <f>"500000"</f>
        <v>500000</v>
      </c>
      <c r="AO1801" t="str">
        <f>"הכנסות  מלקוחות"</f>
        <v>הכנסות  מלקוחות</v>
      </c>
      <c r="AQ1801" t="str">
        <f>"034"</f>
        <v>034</v>
      </c>
      <c r="AR1801">
        <v>0</v>
      </c>
      <c r="AS1801">
        <v>0</v>
      </c>
      <c r="AT1801">
        <v>3.2290000000000001</v>
      </c>
      <c r="BD1801" t="str">
        <f>"ערן שלו"</f>
        <v>ערן שלו</v>
      </c>
    </row>
    <row r="1802" spans="1:56" x14ac:dyDescent="0.3">
      <c r="A1802" s="1">
        <v>44619</v>
      </c>
      <c r="B1802" t="str">
        <f>"CR227000015"</f>
        <v>CR227000015</v>
      </c>
      <c r="E1802" t="str">
        <f>"Y"</f>
        <v>Y</v>
      </c>
      <c r="F1802" t="str">
        <f>"חשבוניות זיכוי"</f>
        <v>חשבוניות זיכוי</v>
      </c>
      <c r="G1802" t="str">
        <f>"700065"</f>
        <v>700065</v>
      </c>
      <c r="H1802" t="str">
        <f>"אלתא מערכות בע""מ"</f>
        <v>אלתא מערכות בע"מ</v>
      </c>
      <c r="I1802" t="str">
        <f>"10"</f>
        <v>10</v>
      </c>
      <c r="J1802" t="str">
        <f>"9977"</f>
        <v>9977</v>
      </c>
      <c r="K1802" t="str">
        <f>"קנס פיגור באספקה"</f>
        <v>קנס פיגור באספקה</v>
      </c>
      <c r="L1802">
        <v>1</v>
      </c>
      <c r="M1802" t="str">
        <f>"חל"</f>
        <v>חל</v>
      </c>
      <c r="N1802">
        <v>1</v>
      </c>
      <c r="O1802" t="str">
        <f>"חל"</f>
        <v>חל</v>
      </c>
      <c r="P1802">
        <v>522.75</v>
      </c>
      <c r="Q1802" t="str">
        <f>"$"</f>
        <v>$</v>
      </c>
      <c r="R1802" t="str">
        <f>"ידני"</f>
        <v>ידני</v>
      </c>
      <c r="S1802">
        <v>0</v>
      </c>
      <c r="T1802">
        <v>522.75</v>
      </c>
      <c r="U1802">
        <v>0</v>
      </c>
      <c r="V1802">
        <v>522.75</v>
      </c>
      <c r="W1802" t="str">
        <f>"$"</f>
        <v>$</v>
      </c>
      <c r="X1802">
        <v>0</v>
      </c>
      <c r="Y1802">
        <v>0</v>
      </c>
      <c r="Z1802">
        <v>0</v>
      </c>
      <c r="AA1802" t="str">
        <f>"Y"</f>
        <v>Y</v>
      </c>
      <c r="AC1802">
        <v>0</v>
      </c>
      <c r="AM1802" t="str">
        <f>"10"</f>
        <v>10</v>
      </c>
      <c r="AN1802" t="str">
        <f>"500000"</f>
        <v>500000</v>
      </c>
      <c r="AO1802" t="str">
        <f>"הכנסות  מלקוחות"</f>
        <v>הכנסות  מלקוחות</v>
      </c>
      <c r="AQ1802" t="str">
        <f>"034"</f>
        <v>034</v>
      </c>
      <c r="AR1802">
        <v>0</v>
      </c>
      <c r="AS1802">
        <v>0</v>
      </c>
      <c r="AT1802">
        <v>3.2229999999999999</v>
      </c>
      <c r="BD1802" t="str">
        <f>"ערן שלו"</f>
        <v>ערן שלו</v>
      </c>
    </row>
    <row r="1803" spans="1:56" x14ac:dyDescent="0.3">
      <c r="A1803" s="1">
        <v>44619</v>
      </c>
      <c r="B1803" t="str">
        <f>"CR227000014"</f>
        <v>CR227000014</v>
      </c>
      <c r="E1803" t="str">
        <f>"Y"</f>
        <v>Y</v>
      </c>
      <c r="F1803" t="str">
        <f>"חשבוניות זיכוי"</f>
        <v>חשבוניות זיכוי</v>
      </c>
      <c r="G1803" t="str">
        <f>"700065"</f>
        <v>700065</v>
      </c>
      <c r="H1803" t="str">
        <f>"אלתא מערכות בע""מ"</f>
        <v>אלתא מערכות בע"מ</v>
      </c>
      <c r="I1803" t="str">
        <f>"10"</f>
        <v>10</v>
      </c>
      <c r="J1803" t="str">
        <f>"9977"</f>
        <v>9977</v>
      </c>
      <c r="K1803" t="str">
        <f>"קנס פיגור באספקה"</f>
        <v>קנס פיגור באספקה</v>
      </c>
      <c r="L1803">
        <v>1</v>
      </c>
      <c r="M1803" t="str">
        <f>"חל"</f>
        <v>חל</v>
      </c>
      <c r="N1803">
        <v>1</v>
      </c>
      <c r="O1803" t="str">
        <f>"חל"</f>
        <v>חל</v>
      </c>
      <c r="P1803">
        <v>539.16</v>
      </c>
      <c r="Q1803" t="str">
        <f>"$"</f>
        <v>$</v>
      </c>
      <c r="R1803" t="str">
        <f>"ידני"</f>
        <v>ידני</v>
      </c>
      <c r="S1803">
        <v>0</v>
      </c>
      <c r="T1803">
        <v>539.16</v>
      </c>
      <c r="U1803">
        <v>0</v>
      </c>
      <c r="V1803">
        <v>539.16</v>
      </c>
      <c r="W1803" t="str">
        <f>"$"</f>
        <v>$</v>
      </c>
      <c r="X1803">
        <v>0</v>
      </c>
      <c r="Y1803">
        <v>0</v>
      </c>
      <c r="Z1803">
        <v>0</v>
      </c>
      <c r="AA1803" t="str">
        <f>"Y"</f>
        <v>Y</v>
      </c>
      <c r="AC1803">
        <v>0</v>
      </c>
      <c r="AM1803" t="str">
        <f>"10"</f>
        <v>10</v>
      </c>
      <c r="AN1803" t="str">
        <f>"500000"</f>
        <v>500000</v>
      </c>
      <c r="AO1803" t="str">
        <f>"הכנסות  מלקוחות"</f>
        <v>הכנסות  מלקוחות</v>
      </c>
      <c r="AQ1803" t="str">
        <f>"034"</f>
        <v>034</v>
      </c>
      <c r="AR1803">
        <v>0</v>
      </c>
      <c r="AS1803">
        <v>0</v>
      </c>
      <c r="AT1803">
        <v>3.2290000000000001</v>
      </c>
      <c r="BD1803" t="str">
        <f>"ערן שלו"</f>
        <v>ערן שלו</v>
      </c>
    </row>
    <row r="1804" spans="1:56" x14ac:dyDescent="0.3">
      <c r="A1804" s="1">
        <v>44619</v>
      </c>
      <c r="B1804" t="str">
        <f>"CR227000013"</f>
        <v>CR227000013</v>
      </c>
      <c r="E1804" t="str">
        <f>"Y"</f>
        <v>Y</v>
      </c>
      <c r="F1804" t="str">
        <f>"חשבוניות זיכוי"</f>
        <v>חשבוניות זיכוי</v>
      </c>
      <c r="G1804" t="str">
        <f>"700065"</f>
        <v>700065</v>
      </c>
      <c r="H1804" t="str">
        <f>"אלתא מערכות בע""מ"</f>
        <v>אלתא מערכות בע"מ</v>
      </c>
      <c r="I1804" t="str">
        <f>"10"</f>
        <v>10</v>
      </c>
      <c r="J1804" t="str">
        <f>"9977"</f>
        <v>9977</v>
      </c>
      <c r="K1804" t="str">
        <f>"קנס פיגור באספקה"</f>
        <v>קנס פיגור באספקה</v>
      </c>
      <c r="L1804">
        <v>1</v>
      </c>
      <c r="M1804" t="str">
        <f>"חל"</f>
        <v>חל</v>
      </c>
      <c r="N1804">
        <v>1</v>
      </c>
      <c r="O1804" t="str">
        <f>"חל"</f>
        <v>חל</v>
      </c>
      <c r="P1804">
        <v>850.81</v>
      </c>
      <c r="Q1804" t="str">
        <f>"$"</f>
        <v>$</v>
      </c>
      <c r="R1804" t="str">
        <f>"ידני"</f>
        <v>ידני</v>
      </c>
      <c r="S1804">
        <v>0</v>
      </c>
      <c r="T1804">
        <v>850.81</v>
      </c>
      <c r="U1804">
        <v>0</v>
      </c>
      <c r="V1804">
        <v>850.81</v>
      </c>
      <c r="W1804" t="str">
        <f>"$"</f>
        <v>$</v>
      </c>
      <c r="X1804">
        <v>0</v>
      </c>
      <c r="Y1804">
        <v>0</v>
      </c>
      <c r="Z1804">
        <v>0</v>
      </c>
      <c r="AA1804" t="str">
        <f>"Y"</f>
        <v>Y</v>
      </c>
      <c r="AC1804">
        <v>0</v>
      </c>
      <c r="AM1804" t="str">
        <f>"10"</f>
        <v>10</v>
      </c>
      <c r="AN1804" t="str">
        <f>"500000"</f>
        <v>500000</v>
      </c>
      <c r="AO1804" t="str">
        <f>"הכנסות  מלקוחות"</f>
        <v>הכנסות  מלקוחות</v>
      </c>
      <c r="AQ1804" t="str">
        <f>"034"</f>
        <v>034</v>
      </c>
      <c r="AR1804">
        <v>0</v>
      </c>
      <c r="AS1804">
        <v>0</v>
      </c>
      <c r="AT1804">
        <v>3.2229999999999999</v>
      </c>
      <c r="BD1804" t="str">
        <f>"ערן שלו"</f>
        <v>ערן שלו</v>
      </c>
    </row>
    <row r="1805" spans="1:56" x14ac:dyDescent="0.3">
      <c r="A1805" s="1">
        <v>44619</v>
      </c>
      <c r="B1805" t="str">
        <f>"CR227000012"</f>
        <v>CR227000012</v>
      </c>
      <c r="E1805" t="str">
        <f>"Y"</f>
        <v>Y</v>
      </c>
      <c r="F1805" t="str">
        <f>"חשבוניות זיכוי"</f>
        <v>חשבוניות זיכוי</v>
      </c>
      <c r="G1805" t="str">
        <f>"700065"</f>
        <v>700065</v>
      </c>
      <c r="H1805" t="str">
        <f>"אלתא מערכות בע""מ"</f>
        <v>אלתא מערכות בע"מ</v>
      </c>
      <c r="I1805" t="str">
        <f>"10"</f>
        <v>10</v>
      </c>
      <c r="J1805" t="str">
        <f>"9977"</f>
        <v>9977</v>
      </c>
      <c r="K1805" t="str">
        <f>"קנס פיגור באספקה"</f>
        <v>קנס פיגור באספקה</v>
      </c>
      <c r="L1805">
        <v>1</v>
      </c>
      <c r="M1805" t="str">
        <f>"חל"</f>
        <v>חל</v>
      </c>
      <c r="N1805">
        <v>1</v>
      </c>
      <c r="O1805" t="str">
        <f>"חל"</f>
        <v>חל</v>
      </c>
      <c r="P1805">
        <v>50.53</v>
      </c>
      <c r="Q1805" t="str">
        <f>"$"</f>
        <v>$</v>
      </c>
      <c r="R1805" t="str">
        <f>"ידני"</f>
        <v>ידני</v>
      </c>
      <c r="S1805">
        <v>0</v>
      </c>
      <c r="T1805">
        <v>50.53</v>
      </c>
      <c r="U1805">
        <v>0</v>
      </c>
      <c r="V1805">
        <v>50.53</v>
      </c>
      <c r="W1805" t="str">
        <f>"$"</f>
        <v>$</v>
      </c>
      <c r="X1805">
        <v>0</v>
      </c>
      <c r="Y1805">
        <v>0</v>
      </c>
      <c r="Z1805">
        <v>0</v>
      </c>
      <c r="AA1805" t="str">
        <f>"Y"</f>
        <v>Y</v>
      </c>
      <c r="AC1805">
        <v>0</v>
      </c>
      <c r="AM1805" t="str">
        <f>"10"</f>
        <v>10</v>
      </c>
      <c r="AN1805" t="str">
        <f>"500000"</f>
        <v>500000</v>
      </c>
      <c r="AO1805" t="str">
        <f>"הכנסות  מלקוחות"</f>
        <v>הכנסות  מלקוחות</v>
      </c>
      <c r="AQ1805" t="str">
        <f>"034"</f>
        <v>034</v>
      </c>
      <c r="AR1805">
        <v>0</v>
      </c>
      <c r="AS1805">
        <v>0</v>
      </c>
      <c r="AT1805">
        <v>3.254</v>
      </c>
      <c r="BD1805" t="str">
        <f>"ערן שלו"</f>
        <v>ערן שלו</v>
      </c>
    </row>
    <row r="1806" spans="1:56" x14ac:dyDescent="0.3">
      <c r="A1806" s="1">
        <v>44619</v>
      </c>
      <c r="B1806" t="str">
        <f>"CR227000011"</f>
        <v>CR227000011</v>
      </c>
      <c r="E1806" t="str">
        <f>"Y"</f>
        <v>Y</v>
      </c>
      <c r="F1806" t="str">
        <f>"חשבוניות זיכוי"</f>
        <v>חשבוניות זיכוי</v>
      </c>
      <c r="G1806" t="str">
        <f>"700065"</f>
        <v>700065</v>
      </c>
      <c r="H1806" t="str">
        <f>"אלתא מערכות בע""מ"</f>
        <v>אלתא מערכות בע"מ</v>
      </c>
      <c r="I1806" t="str">
        <f>"10"</f>
        <v>10</v>
      </c>
      <c r="J1806" t="str">
        <f>"9977"</f>
        <v>9977</v>
      </c>
      <c r="K1806" t="str">
        <f>"קנס פיגור באספקה"</f>
        <v>קנס פיגור באספקה</v>
      </c>
      <c r="L1806">
        <v>1</v>
      </c>
      <c r="M1806" t="str">
        <f>"חל"</f>
        <v>חל</v>
      </c>
      <c r="N1806">
        <v>1</v>
      </c>
      <c r="O1806" t="str">
        <f>"חל"</f>
        <v>חל</v>
      </c>
      <c r="P1806">
        <v>55.77</v>
      </c>
      <c r="Q1806" t="str">
        <f>"$"</f>
        <v>$</v>
      </c>
      <c r="R1806" t="str">
        <f>"ידני"</f>
        <v>ידני</v>
      </c>
      <c r="S1806">
        <v>0</v>
      </c>
      <c r="T1806">
        <v>55.77</v>
      </c>
      <c r="U1806">
        <v>0</v>
      </c>
      <c r="V1806">
        <v>55.77</v>
      </c>
      <c r="W1806" t="str">
        <f>"$"</f>
        <v>$</v>
      </c>
      <c r="X1806">
        <v>0</v>
      </c>
      <c r="Y1806">
        <v>0</v>
      </c>
      <c r="Z1806">
        <v>0</v>
      </c>
      <c r="AA1806" t="str">
        <f>"Y"</f>
        <v>Y</v>
      </c>
      <c r="AC1806">
        <v>0</v>
      </c>
      <c r="AM1806" t="str">
        <f>"10"</f>
        <v>10</v>
      </c>
      <c r="AN1806" t="str">
        <f>"500000"</f>
        <v>500000</v>
      </c>
      <c r="AO1806" t="str">
        <f>"הכנסות  מלקוחות"</f>
        <v>הכנסות  מלקוחות</v>
      </c>
      <c r="AQ1806" t="str">
        <f>"034"</f>
        <v>034</v>
      </c>
      <c r="AR1806">
        <v>0</v>
      </c>
      <c r="AS1806">
        <v>0</v>
      </c>
      <c r="AT1806">
        <v>3.254</v>
      </c>
      <c r="BD1806" t="str">
        <f>"ערן שלו"</f>
        <v>ערן שלו</v>
      </c>
    </row>
    <row r="1807" spans="1:56" x14ac:dyDescent="0.3">
      <c r="A1807" s="1">
        <v>44619</v>
      </c>
      <c r="B1807" t="str">
        <f>"CR227000010"</f>
        <v>CR227000010</v>
      </c>
      <c r="E1807" t="str">
        <f>"Y"</f>
        <v>Y</v>
      </c>
      <c r="F1807" t="str">
        <f>"חשבוניות זיכוי"</f>
        <v>חשבוניות זיכוי</v>
      </c>
      <c r="G1807" t="str">
        <f>"700065"</f>
        <v>700065</v>
      </c>
      <c r="H1807" t="str">
        <f>"אלתא מערכות בע""מ"</f>
        <v>אלתא מערכות בע"מ</v>
      </c>
      <c r="I1807" t="str">
        <f>"10"</f>
        <v>10</v>
      </c>
      <c r="J1807" t="str">
        <f>"9977"</f>
        <v>9977</v>
      </c>
      <c r="K1807" t="str">
        <f>"קנס פיגור באספקה"</f>
        <v>קנס פיגור באספקה</v>
      </c>
      <c r="L1807">
        <v>1</v>
      </c>
      <c r="M1807" t="str">
        <f>"חל"</f>
        <v>חל</v>
      </c>
      <c r="N1807">
        <v>1</v>
      </c>
      <c r="O1807" t="str">
        <f>"חל"</f>
        <v>חל</v>
      </c>
      <c r="P1807">
        <v>115.57</v>
      </c>
      <c r="Q1807" t="str">
        <f>"$"</f>
        <v>$</v>
      </c>
      <c r="R1807" t="str">
        <f>"ידני"</f>
        <v>ידני</v>
      </c>
      <c r="S1807">
        <v>0</v>
      </c>
      <c r="T1807">
        <v>115.57</v>
      </c>
      <c r="U1807">
        <v>0</v>
      </c>
      <c r="V1807">
        <v>115.57</v>
      </c>
      <c r="W1807" t="str">
        <f>"$"</f>
        <v>$</v>
      </c>
      <c r="X1807">
        <v>0</v>
      </c>
      <c r="Y1807">
        <v>0</v>
      </c>
      <c r="Z1807">
        <v>0</v>
      </c>
      <c r="AA1807" t="str">
        <f>"Y"</f>
        <v>Y</v>
      </c>
      <c r="AC1807">
        <v>0</v>
      </c>
      <c r="AM1807" t="str">
        <f>"10"</f>
        <v>10</v>
      </c>
      <c r="AN1807" t="str">
        <f>"500000"</f>
        <v>500000</v>
      </c>
      <c r="AO1807" t="str">
        <f>"הכנסות  מלקוחות"</f>
        <v>הכנסות  מלקוחות</v>
      </c>
      <c r="AQ1807" t="str">
        <f>"034"</f>
        <v>034</v>
      </c>
      <c r="AR1807">
        <v>0</v>
      </c>
      <c r="AS1807">
        <v>0</v>
      </c>
      <c r="AT1807">
        <v>3.254</v>
      </c>
      <c r="BD1807" t="str">
        <f>"ערן שלו"</f>
        <v>ערן שלו</v>
      </c>
    </row>
    <row r="1808" spans="1:56" x14ac:dyDescent="0.3">
      <c r="A1808" s="1">
        <v>44619</v>
      </c>
      <c r="B1808" t="str">
        <f>"CR227000009"</f>
        <v>CR227000009</v>
      </c>
      <c r="E1808" t="str">
        <f>"Y"</f>
        <v>Y</v>
      </c>
      <c r="F1808" t="str">
        <f>"חשבוניות זיכוי"</f>
        <v>חשבוניות זיכוי</v>
      </c>
      <c r="G1808" t="str">
        <f>"700065"</f>
        <v>700065</v>
      </c>
      <c r="H1808" t="str">
        <f>"אלתא מערכות בע""מ"</f>
        <v>אלתא מערכות בע"מ</v>
      </c>
      <c r="I1808" t="str">
        <f>"10"</f>
        <v>10</v>
      </c>
      <c r="J1808" t="str">
        <f>"9977"</f>
        <v>9977</v>
      </c>
      <c r="K1808" t="str">
        <f>"קנס פיגור באספקה"</f>
        <v>קנס פיגור באספקה</v>
      </c>
      <c r="L1808">
        <v>1</v>
      </c>
      <c r="M1808" t="str">
        <f>"חל"</f>
        <v>חל</v>
      </c>
      <c r="N1808">
        <v>1</v>
      </c>
      <c r="O1808" t="str">
        <f>"חל"</f>
        <v>חל</v>
      </c>
      <c r="P1808">
        <v>268.19</v>
      </c>
      <c r="Q1808" t="str">
        <f>"$"</f>
        <v>$</v>
      </c>
      <c r="R1808" t="str">
        <f>"ידני"</f>
        <v>ידני</v>
      </c>
      <c r="S1808">
        <v>0</v>
      </c>
      <c r="T1808">
        <v>268.19</v>
      </c>
      <c r="U1808">
        <v>0</v>
      </c>
      <c r="V1808">
        <v>268.19</v>
      </c>
      <c r="W1808" t="str">
        <f>"$"</f>
        <v>$</v>
      </c>
      <c r="X1808">
        <v>0</v>
      </c>
      <c r="Y1808">
        <v>0</v>
      </c>
      <c r="Z1808">
        <v>0</v>
      </c>
      <c r="AA1808" t="str">
        <f>"Y"</f>
        <v>Y</v>
      </c>
      <c r="AC1808">
        <v>0</v>
      </c>
      <c r="AM1808" t="str">
        <f>"10"</f>
        <v>10</v>
      </c>
      <c r="AN1808" t="str">
        <f>"500000"</f>
        <v>500000</v>
      </c>
      <c r="AO1808" t="str">
        <f>"הכנסות  מלקוחות"</f>
        <v>הכנסות  מלקוחות</v>
      </c>
      <c r="AQ1808" t="str">
        <f>"034"</f>
        <v>034</v>
      </c>
      <c r="AR1808">
        <v>0</v>
      </c>
      <c r="AS1808">
        <v>0</v>
      </c>
      <c r="AT1808">
        <v>3.254</v>
      </c>
      <c r="BD1808" t="str">
        <f>"ערן שלו"</f>
        <v>ערן שלו</v>
      </c>
    </row>
    <row r="1809" spans="1:56" x14ac:dyDescent="0.3">
      <c r="A1809" s="1">
        <v>44619</v>
      </c>
      <c r="B1809" t="str">
        <f>"CR227000008"</f>
        <v>CR227000008</v>
      </c>
      <c r="E1809" t="str">
        <f>"Y"</f>
        <v>Y</v>
      </c>
      <c r="F1809" t="str">
        <f>"חשבוניות זיכוי"</f>
        <v>חשבוניות זיכוי</v>
      </c>
      <c r="G1809" t="str">
        <f>"700065"</f>
        <v>700065</v>
      </c>
      <c r="H1809" t="str">
        <f>"אלתא מערכות בע""מ"</f>
        <v>אלתא מערכות בע"מ</v>
      </c>
      <c r="I1809" t="str">
        <f>"10"</f>
        <v>10</v>
      </c>
      <c r="J1809" t="str">
        <f>"9977"</f>
        <v>9977</v>
      </c>
      <c r="K1809" t="str">
        <f>"קנס פיגור באספקה"</f>
        <v>קנס פיגור באספקה</v>
      </c>
      <c r="L1809">
        <v>1</v>
      </c>
      <c r="M1809" t="str">
        <f>"חל"</f>
        <v>חל</v>
      </c>
      <c r="N1809">
        <v>1</v>
      </c>
      <c r="O1809" t="str">
        <f>"חל"</f>
        <v>חל</v>
      </c>
      <c r="P1809">
        <v>369.45</v>
      </c>
      <c r="Q1809" t="str">
        <f>"$"</f>
        <v>$</v>
      </c>
      <c r="R1809" t="str">
        <f>"ידני"</f>
        <v>ידני</v>
      </c>
      <c r="S1809">
        <v>0</v>
      </c>
      <c r="T1809">
        <v>369.45</v>
      </c>
      <c r="U1809">
        <v>0</v>
      </c>
      <c r="V1809">
        <v>369.45</v>
      </c>
      <c r="W1809" t="str">
        <f>"$"</f>
        <v>$</v>
      </c>
      <c r="X1809">
        <v>0</v>
      </c>
      <c r="Y1809">
        <v>0</v>
      </c>
      <c r="Z1809">
        <v>0</v>
      </c>
      <c r="AA1809" t="str">
        <f>"Y"</f>
        <v>Y</v>
      </c>
      <c r="AC1809">
        <v>0</v>
      </c>
      <c r="AM1809" t="str">
        <f>"10"</f>
        <v>10</v>
      </c>
      <c r="AN1809" t="str">
        <f>"500000"</f>
        <v>500000</v>
      </c>
      <c r="AO1809" t="str">
        <f>"הכנסות  מלקוחות"</f>
        <v>הכנסות  מלקוחות</v>
      </c>
      <c r="AQ1809" t="str">
        <f>"034"</f>
        <v>034</v>
      </c>
      <c r="AR1809">
        <v>0</v>
      </c>
      <c r="AS1809">
        <v>0</v>
      </c>
      <c r="AT1809">
        <v>3.2639999999999998</v>
      </c>
      <c r="BD1809" t="str">
        <f>"ערן שלו"</f>
        <v>ערן שלו</v>
      </c>
    </row>
    <row r="1810" spans="1:56" x14ac:dyDescent="0.3">
      <c r="A1810" s="1">
        <v>44619</v>
      </c>
      <c r="B1810" t="str">
        <f>"CR227000007"</f>
        <v>CR227000007</v>
      </c>
      <c r="E1810" t="str">
        <f>"Y"</f>
        <v>Y</v>
      </c>
      <c r="F1810" t="str">
        <f>"חשבוניות זיכוי"</f>
        <v>חשבוניות זיכוי</v>
      </c>
      <c r="G1810" t="str">
        <f>"700065"</f>
        <v>700065</v>
      </c>
      <c r="H1810" t="str">
        <f>"אלתא מערכות בע""מ"</f>
        <v>אלתא מערכות בע"מ</v>
      </c>
      <c r="I1810" t="str">
        <f>"10"</f>
        <v>10</v>
      </c>
      <c r="J1810" t="str">
        <f>"9977"</f>
        <v>9977</v>
      </c>
      <c r="K1810" t="str">
        <f>"קנס פיגור באספקה"</f>
        <v>קנס פיגור באספקה</v>
      </c>
      <c r="L1810">
        <v>1</v>
      </c>
      <c r="M1810" t="str">
        <f>"חל"</f>
        <v>חל</v>
      </c>
      <c r="N1810">
        <v>1</v>
      </c>
      <c r="O1810" t="str">
        <f>"חל"</f>
        <v>חל</v>
      </c>
      <c r="P1810">
        <v>387.49</v>
      </c>
      <c r="Q1810" t="str">
        <f>"$"</f>
        <v>$</v>
      </c>
      <c r="R1810" t="str">
        <f>"ידני"</f>
        <v>ידני</v>
      </c>
      <c r="S1810">
        <v>0</v>
      </c>
      <c r="T1810">
        <v>387.49</v>
      </c>
      <c r="U1810">
        <v>0</v>
      </c>
      <c r="V1810">
        <v>387.49</v>
      </c>
      <c r="W1810" t="str">
        <f>"$"</f>
        <v>$</v>
      </c>
      <c r="X1810">
        <v>0</v>
      </c>
      <c r="Y1810">
        <v>0</v>
      </c>
      <c r="Z1810">
        <v>0</v>
      </c>
      <c r="AA1810" t="str">
        <f>"Y"</f>
        <v>Y</v>
      </c>
      <c r="AC1810">
        <v>0</v>
      </c>
      <c r="AM1810" t="str">
        <f>"10"</f>
        <v>10</v>
      </c>
      <c r="AN1810" t="str">
        <f>"500000"</f>
        <v>500000</v>
      </c>
      <c r="AO1810" t="str">
        <f>"הכנסות  מלקוחות"</f>
        <v>הכנסות  מלקוחות</v>
      </c>
      <c r="AQ1810" t="str">
        <f>"034"</f>
        <v>034</v>
      </c>
      <c r="AR1810">
        <v>0</v>
      </c>
      <c r="AS1810">
        <v>0</v>
      </c>
      <c r="AT1810">
        <v>3.2639999999999998</v>
      </c>
      <c r="BD1810" t="str">
        <f>"ערן שלו"</f>
        <v>ערן שלו</v>
      </c>
    </row>
    <row r="1811" spans="1:56" x14ac:dyDescent="0.3">
      <c r="A1811" s="1">
        <v>44619</v>
      </c>
      <c r="B1811" t="str">
        <f>"CR227000006"</f>
        <v>CR227000006</v>
      </c>
      <c r="E1811" t="str">
        <f>"Y"</f>
        <v>Y</v>
      </c>
      <c r="F1811" t="str">
        <f>"חשבוניות זיכוי"</f>
        <v>חשבוניות זיכוי</v>
      </c>
      <c r="G1811" t="str">
        <f>"700065"</f>
        <v>700065</v>
      </c>
      <c r="H1811" t="str">
        <f>"אלתא מערכות בע""מ"</f>
        <v>אלתא מערכות בע"מ</v>
      </c>
      <c r="I1811" t="str">
        <f>"10"</f>
        <v>10</v>
      </c>
      <c r="J1811" t="str">
        <f>"9977"</f>
        <v>9977</v>
      </c>
      <c r="K1811" t="str">
        <f>"קנס פיגור באספקה"</f>
        <v>קנס פיגור באספקה</v>
      </c>
      <c r="L1811">
        <v>1</v>
      </c>
      <c r="M1811" t="str">
        <f>"חל"</f>
        <v>חל</v>
      </c>
      <c r="N1811">
        <v>1</v>
      </c>
      <c r="O1811" t="str">
        <f>"חל"</f>
        <v>חל</v>
      </c>
      <c r="P1811" s="2">
        <v>1176.6099999999999</v>
      </c>
      <c r="Q1811" t="str">
        <f>"$"</f>
        <v>$</v>
      </c>
      <c r="R1811" t="str">
        <f>"ידני"</f>
        <v>ידני</v>
      </c>
      <c r="S1811">
        <v>0</v>
      </c>
      <c r="T1811" s="2">
        <v>1176.6099999999999</v>
      </c>
      <c r="U1811">
        <v>0</v>
      </c>
      <c r="V1811" s="2">
        <v>1176.6099999999999</v>
      </c>
      <c r="W1811" t="str">
        <f>"$"</f>
        <v>$</v>
      </c>
      <c r="X1811">
        <v>0</v>
      </c>
      <c r="Y1811">
        <v>0</v>
      </c>
      <c r="Z1811">
        <v>0</v>
      </c>
      <c r="AA1811" t="str">
        <f>"Y"</f>
        <v>Y</v>
      </c>
      <c r="AC1811">
        <v>0</v>
      </c>
      <c r="AM1811" t="str">
        <f>"10"</f>
        <v>10</v>
      </c>
      <c r="AN1811" t="str">
        <f>"500000"</f>
        <v>500000</v>
      </c>
      <c r="AO1811" t="str">
        <f>"הכנסות  מלקוחות"</f>
        <v>הכנסות  מלקוחות</v>
      </c>
      <c r="AQ1811" t="str">
        <f>"034"</f>
        <v>034</v>
      </c>
      <c r="AR1811">
        <v>0</v>
      </c>
      <c r="AS1811">
        <v>0</v>
      </c>
      <c r="AT1811">
        <v>3.2589999999999999</v>
      </c>
      <c r="BD1811" t="str">
        <f>"ערן שלו"</f>
        <v>ערן שלו</v>
      </c>
    </row>
    <row r="1812" spans="1:56" x14ac:dyDescent="0.3">
      <c r="A1812" s="1">
        <v>44619</v>
      </c>
      <c r="B1812" t="str">
        <f>"CR227000005"</f>
        <v>CR227000005</v>
      </c>
      <c r="C1812" t="str">
        <f>"PR19000750"</f>
        <v>PR19000750</v>
      </c>
      <c r="E1812" t="str">
        <f>"Y"</f>
        <v>Y</v>
      </c>
      <c r="F1812" t="str">
        <f>"חשבוניות זיכוי"</f>
        <v>חשבוניות זיכוי</v>
      </c>
      <c r="G1812" t="str">
        <f>"700065"</f>
        <v>700065</v>
      </c>
      <c r="H1812" t="str">
        <f>"אלתא מערכות בע""מ"</f>
        <v>אלתא מערכות בע"מ</v>
      </c>
      <c r="I1812" t="str">
        <f>"05"</f>
        <v>05</v>
      </c>
      <c r="J1812" t="str">
        <f>"9977"</f>
        <v>9977</v>
      </c>
      <c r="K1812" t="str">
        <f>"קנס פיגור באספקה"</f>
        <v>קנס פיגור באספקה</v>
      </c>
      <c r="L1812">
        <v>-1</v>
      </c>
      <c r="M1812" t="str">
        <f>"חל"</f>
        <v>חל</v>
      </c>
      <c r="N1812">
        <v>-1</v>
      </c>
      <c r="O1812" t="str">
        <f>"חל"</f>
        <v>חל</v>
      </c>
      <c r="P1812">
        <v>98.61</v>
      </c>
      <c r="Q1812" t="str">
        <f>"$"</f>
        <v>$</v>
      </c>
      <c r="R1812" t="str">
        <f>"הזמנה"</f>
        <v>הזמנה</v>
      </c>
      <c r="S1812">
        <v>0</v>
      </c>
      <c r="T1812">
        <v>-98.61</v>
      </c>
      <c r="U1812">
        <v>0</v>
      </c>
      <c r="V1812">
        <v>-98.61</v>
      </c>
      <c r="W1812" t="str">
        <f>"$"</f>
        <v>$</v>
      </c>
      <c r="X1812">
        <v>0</v>
      </c>
      <c r="Y1812">
        <v>0</v>
      </c>
      <c r="Z1812">
        <v>0</v>
      </c>
      <c r="AA1812" t="str">
        <f>"Y"</f>
        <v>Y</v>
      </c>
      <c r="AC1812">
        <v>0</v>
      </c>
      <c r="AM1812" t="str">
        <f>"10"</f>
        <v>10</v>
      </c>
      <c r="AN1812" t="str">
        <f>"500000"</f>
        <v>500000</v>
      </c>
      <c r="AO1812" t="str">
        <f>"הכנסות  מלקוחות"</f>
        <v>הכנסות  מלקוחות</v>
      </c>
      <c r="AQ1812" t="str">
        <f>"034"</f>
        <v>034</v>
      </c>
      <c r="AR1812">
        <v>0</v>
      </c>
      <c r="AS1812">
        <v>0</v>
      </c>
      <c r="AT1812">
        <v>3.089</v>
      </c>
      <c r="BB1812" t="str">
        <f>"Y"</f>
        <v>Y</v>
      </c>
      <c r="BD1812" t="str">
        <f>"ערן שלו"</f>
        <v>ערן שלו</v>
      </c>
    </row>
    <row r="1813" spans="1:56" x14ac:dyDescent="0.3">
      <c r="A1813" s="1">
        <v>44616</v>
      </c>
      <c r="B1813" t="str">
        <f>"SI226000210"</f>
        <v>SI226000210</v>
      </c>
      <c r="C1813" t="str">
        <f>"PR21000122"</f>
        <v>PR21000122</v>
      </c>
      <c r="E1813" t="str">
        <f>"Y"</f>
        <v>Y</v>
      </c>
      <c r="F1813" t="str">
        <f>"חשבוניות מרכזות"</f>
        <v>חשבוניות מרכזות</v>
      </c>
      <c r="G1813" t="str">
        <f>"700065"</f>
        <v>700065</v>
      </c>
      <c r="H1813" t="str">
        <f>"אלתא מערכות בע""מ"</f>
        <v>אלתא מערכות בע"מ</v>
      </c>
      <c r="I1813" t="str">
        <f>"10"</f>
        <v>10</v>
      </c>
      <c r="J1813" t="str">
        <f>"OP-AR02306"</f>
        <v>OP-AR02306</v>
      </c>
      <c r="K1813" t="str">
        <f>"HVJB 1026L230-001"</f>
        <v>HVJB 1026L230-001</v>
      </c>
      <c r="L1813">
        <v>-4</v>
      </c>
      <c r="M1813" t="str">
        <f>"יח"</f>
        <v>יח</v>
      </c>
      <c r="N1813">
        <v>-4</v>
      </c>
      <c r="O1813" t="str">
        <f>"יח"</f>
        <v>יח</v>
      </c>
      <c r="P1813" s="2">
        <v>9425</v>
      </c>
      <c r="Q1813" t="str">
        <f>"$"</f>
        <v>$</v>
      </c>
      <c r="R1813" t="str">
        <f>"הזמנה"</f>
        <v>הזמנה</v>
      </c>
      <c r="S1813">
        <v>0</v>
      </c>
      <c r="T1813" s="2">
        <v>-37700</v>
      </c>
      <c r="U1813">
        <v>0</v>
      </c>
      <c r="V1813" s="2">
        <v>-37700</v>
      </c>
      <c r="W1813" t="str">
        <f>"$"</f>
        <v>$</v>
      </c>
      <c r="X1813">
        <v>0</v>
      </c>
      <c r="Y1813">
        <v>0</v>
      </c>
      <c r="Z1813">
        <v>0</v>
      </c>
      <c r="AA1813" t="str">
        <f>"Y"</f>
        <v>Y</v>
      </c>
      <c r="AC1813">
        <v>0</v>
      </c>
      <c r="AM1813" t="str">
        <f>"10"</f>
        <v>10</v>
      </c>
      <c r="AN1813" t="str">
        <f>"500000"</f>
        <v>500000</v>
      </c>
      <c r="AO1813" t="str">
        <f>"הכנסות  מלקוחות"</f>
        <v>הכנסות  מלקוחות</v>
      </c>
      <c r="AQ1813" t="str">
        <f>"034"</f>
        <v>034</v>
      </c>
      <c r="AR1813">
        <v>0</v>
      </c>
      <c r="AS1813">
        <v>0</v>
      </c>
      <c r="AT1813">
        <v>3.2229999999999999</v>
      </c>
      <c r="BB1813" t="str">
        <f>"Y"</f>
        <v>Y</v>
      </c>
      <c r="BD1813" t="str">
        <f>"ערן שלו"</f>
        <v>ערן שלו</v>
      </c>
    </row>
    <row r="1814" spans="1:56" x14ac:dyDescent="0.3">
      <c r="A1814" s="1">
        <v>44616</v>
      </c>
      <c r="B1814" t="str">
        <f>"SI226000209"</f>
        <v>SI226000209</v>
      </c>
      <c r="C1814" t="str">
        <f>"PR21000122"</f>
        <v>PR21000122</v>
      </c>
      <c r="E1814" t="str">
        <f>"Y"</f>
        <v>Y</v>
      </c>
      <c r="F1814" t="str">
        <f>"חשבוניות מרכזות"</f>
        <v>חשבוניות מרכזות</v>
      </c>
      <c r="G1814" t="str">
        <f>"700065"</f>
        <v>700065</v>
      </c>
      <c r="H1814" t="str">
        <f>"אלתא מערכות בע""מ"</f>
        <v>אלתא מערכות בע"מ</v>
      </c>
      <c r="I1814" t="str">
        <f>"10"</f>
        <v>10</v>
      </c>
      <c r="J1814" t="str">
        <f>"OP-AR02306"</f>
        <v>OP-AR02306</v>
      </c>
      <c r="K1814" t="str">
        <f>"HVJB 1026L230-001"</f>
        <v>HVJB 1026L230-001</v>
      </c>
      <c r="L1814">
        <v>-4</v>
      </c>
      <c r="M1814" t="str">
        <f>"יח"</f>
        <v>יח</v>
      </c>
      <c r="N1814">
        <v>-4</v>
      </c>
      <c r="O1814" t="str">
        <f>"יח"</f>
        <v>יח</v>
      </c>
      <c r="P1814" s="2">
        <v>9921</v>
      </c>
      <c r="Q1814" t="str">
        <f>"$"</f>
        <v>$</v>
      </c>
      <c r="R1814" t="str">
        <f>"הזמנה"</f>
        <v>הזמנה</v>
      </c>
      <c r="S1814">
        <v>0</v>
      </c>
      <c r="T1814" s="2">
        <v>-39684</v>
      </c>
      <c r="U1814">
        <v>0</v>
      </c>
      <c r="V1814" s="2">
        <v>-39684</v>
      </c>
      <c r="W1814" t="str">
        <f>"$"</f>
        <v>$</v>
      </c>
      <c r="X1814">
        <v>0</v>
      </c>
      <c r="Y1814">
        <v>0</v>
      </c>
      <c r="Z1814">
        <v>0</v>
      </c>
      <c r="AA1814" t="str">
        <f>"Y"</f>
        <v>Y</v>
      </c>
      <c r="AC1814">
        <v>0</v>
      </c>
      <c r="AM1814" t="str">
        <f>"10"</f>
        <v>10</v>
      </c>
      <c r="AN1814" t="str">
        <f>"500000"</f>
        <v>500000</v>
      </c>
      <c r="AO1814" t="str">
        <f>"הכנסות  מלקוחות"</f>
        <v>הכנסות  מלקוחות</v>
      </c>
      <c r="AQ1814" t="str">
        <f>"034"</f>
        <v>034</v>
      </c>
      <c r="AR1814">
        <v>0</v>
      </c>
      <c r="AS1814">
        <v>0</v>
      </c>
      <c r="AT1814">
        <v>3.2229999999999999</v>
      </c>
      <c r="BB1814" t="str">
        <f>"Y"</f>
        <v>Y</v>
      </c>
      <c r="BD1814" t="str">
        <f>"ערן שלו"</f>
        <v>ערן שלו</v>
      </c>
    </row>
    <row r="1815" spans="1:56" x14ac:dyDescent="0.3">
      <c r="A1815" s="1">
        <v>44616</v>
      </c>
      <c r="B1815" t="str">
        <f>"SI226000184"</f>
        <v>SI226000184</v>
      </c>
      <c r="C1815" t="str">
        <f>"PR21000122"</f>
        <v>PR21000122</v>
      </c>
      <c r="E1815" t="str">
        <f>"Y"</f>
        <v>Y</v>
      </c>
      <c r="F1815" t="str">
        <f>"חשבוניות מרכזות"</f>
        <v>חשבוניות מרכזות</v>
      </c>
      <c r="G1815" t="str">
        <f>"700065"</f>
        <v>700065</v>
      </c>
      <c r="H1815" t="str">
        <f>"אלתא מערכות בע""מ"</f>
        <v>אלתא מערכות בע"מ</v>
      </c>
      <c r="I1815" t="str">
        <f>"10"</f>
        <v>10</v>
      </c>
      <c r="J1815" t="str">
        <f>"OP-AR02306"</f>
        <v>OP-AR02306</v>
      </c>
      <c r="K1815" t="str">
        <f>"HVJB 1026L230-001"</f>
        <v>HVJB 1026L230-001</v>
      </c>
      <c r="L1815">
        <v>4</v>
      </c>
      <c r="M1815" t="str">
        <f>"יח"</f>
        <v>יח</v>
      </c>
      <c r="N1815">
        <v>4</v>
      </c>
      <c r="O1815" t="str">
        <f>"יח"</f>
        <v>יח</v>
      </c>
      <c r="P1815" s="2">
        <v>9425</v>
      </c>
      <c r="Q1815" t="str">
        <f>"$"</f>
        <v>$</v>
      </c>
      <c r="R1815" t="str">
        <f>"הזמנה"</f>
        <v>הזמנה</v>
      </c>
      <c r="S1815">
        <v>0</v>
      </c>
      <c r="T1815" s="2">
        <v>37700</v>
      </c>
      <c r="U1815">
        <v>0</v>
      </c>
      <c r="V1815" s="2">
        <v>37700</v>
      </c>
      <c r="W1815" t="str">
        <f>"$"</f>
        <v>$</v>
      </c>
      <c r="X1815">
        <v>0</v>
      </c>
      <c r="Y1815">
        <v>0</v>
      </c>
      <c r="Z1815">
        <v>0</v>
      </c>
      <c r="AA1815" t="str">
        <f>"Y"</f>
        <v>Y</v>
      </c>
      <c r="AC1815">
        <v>0</v>
      </c>
      <c r="AM1815" t="str">
        <f>"10"</f>
        <v>10</v>
      </c>
      <c r="AN1815" t="str">
        <f>"500000"</f>
        <v>500000</v>
      </c>
      <c r="AO1815" t="str">
        <f>"הכנסות  מלקוחות"</f>
        <v>הכנסות  מלקוחות</v>
      </c>
      <c r="AQ1815" t="str">
        <f>"034"</f>
        <v>034</v>
      </c>
      <c r="AR1815">
        <v>0</v>
      </c>
      <c r="AS1815">
        <v>0</v>
      </c>
      <c r="AT1815">
        <v>3.2229999999999999</v>
      </c>
      <c r="BB1815" t="str">
        <f>"Y"</f>
        <v>Y</v>
      </c>
      <c r="BD1815" t="str">
        <f>"ערן שלו"</f>
        <v>ערן שלו</v>
      </c>
    </row>
    <row r="1816" spans="1:56" x14ac:dyDescent="0.3">
      <c r="A1816" s="1">
        <v>44616</v>
      </c>
      <c r="B1816" t="str">
        <f>"SI226000183"</f>
        <v>SI226000183</v>
      </c>
      <c r="C1816" t="str">
        <f>"PR20000654"</f>
        <v>PR20000654</v>
      </c>
      <c r="E1816" t="str">
        <f>"Y"</f>
        <v>Y</v>
      </c>
      <c r="F1816" t="str">
        <f>"חשבוניות מרכזות"</f>
        <v>חשבוניות מרכזות</v>
      </c>
      <c r="G1816" t="str">
        <f>"700065"</f>
        <v>700065</v>
      </c>
      <c r="H1816" t="str">
        <f>"אלתא מערכות בע""מ"</f>
        <v>אלתא מערכות בע"מ</v>
      </c>
      <c r="I1816" t="str">
        <f>"10"</f>
        <v>10</v>
      </c>
      <c r="J1816" t="str">
        <f>"OP-AR02042"</f>
        <v>OP-AR02042</v>
      </c>
      <c r="K1816" t="str">
        <f>"PDB2  1038C870-001"</f>
        <v>PDB2  1038C870-001</v>
      </c>
      <c r="L1816">
        <v>1</v>
      </c>
      <c r="M1816" t="str">
        <f>"יח"</f>
        <v>יח</v>
      </c>
      <c r="N1816">
        <v>1</v>
      </c>
      <c r="O1816" t="str">
        <f>"יח"</f>
        <v>יח</v>
      </c>
      <c r="P1816" s="2">
        <v>26985</v>
      </c>
      <c r="Q1816" t="str">
        <f>"$"</f>
        <v>$</v>
      </c>
      <c r="R1816" t="str">
        <f>"הזמנה"</f>
        <v>הזמנה</v>
      </c>
      <c r="S1816">
        <v>0</v>
      </c>
      <c r="T1816" s="2">
        <v>26985</v>
      </c>
      <c r="U1816">
        <v>0</v>
      </c>
      <c r="V1816" s="2">
        <v>26985</v>
      </c>
      <c r="W1816" t="str">
        <f>"$"</f>
        <v>$</v>
      </c>
      <c r="X1816">
        <v>0</v>
      </c>
      <c r="Y1816">
        <v>0</v>
      </c>
      <c r="Z1816">
        <v>0</v>
      </c>
      <c r="AA1816" t="str">
        <f>"Y"</f>
        <v>Y</v>
      </c>
      <c r="AB1816" t="str">
        <f>"SO20000418"</f>
        <v>SO20000418</v>
      </c>
      <c r="AC1816">
        <v>27</v>
      </c>
      <c r="AD1816" s="1">
        <v>44083</v>
      </c>
      <c r="AE1816" t="str">
        <f>"SH22000209"</f>
        <v>SH22000209</v>
      </c>
      <c r="AF1816" t="str">
        <f>"משלוחים ללקוח"</f>
        <v>משלוחים ללקוח</v>
      </c>
      <c r="AG1816" s="1">
        <v>44615</v>
      </c>
      <c r="AM1816" t="str">
        <f>"10"</f>
        <v>10</v>
      </c>
      <c r="AN1816" t="str">
        <f>"500000"</f>
        <v>500000</v>
      </c>
      <c r="AO1816" t="str">
        <f>"הכנסות  מלקוחות"</f>
        <v>הכנסות  מלקוחות</v>
      </c>
      <c r="AQ1816" t="str">
        <f>"034"</f>
        <v>034</v>
      </c>
      <c r="AR1816">
        <v>0</v>
      </c>
      <c r="AS1816">
        <v>0</v>
      </c>
      <c r="AT1816">
        <v>3.2229999999999999</v>
      </c>
      <c r="AX1816" t="str">
        <f>"E000320964"</f>
        <v>E000320964</v>
      </c>
      <c r="BD1816" t="str">
        <f>"ערן שלו"</f>
        <v>ערן שלו</v>
      </c>
    </row>
    <row r="1817" spans="1:56" x14ac:dyDescent="0.3">
      <c r="A1817" s="1">
        <v>44616</v>
      </c>
      <c r="B1817" t="str">
        <f>"SI226000182"</f>
        <v>SI226000182</v>
      </c>
      <c r="C1817" t="str">
        <f>"PR21000122"</f>
        <v>PR21000122</v>
      </c>
      <c r="E1817" t="str">
        <f>"Y"</f>
        <v>Y</v>
      </c>
      <c r="F1817" t="str">
        <f>"חשבוניות מרכזות"</f>
        <v>חשבוניות מרכזות</v>
      </c>
      <c r="G1817" t="str">
        <f>"700065"</f>
        <v>700065</v>
      </c>
      <c r="H1817" t="str">
        <f>"אלתא מערכות בע""מ"</f>
        <v>אלתא מערכות בע"מ</v>
      </c>
      <c r="I1817" t="str">
        <f>"10"</f>
        <v>10</v>
      </c>
      <c r="J1817" t="str">
        <f>"OP-AR02306"</f>
        <v>OP-AR02306</v>
      </c>
      <c r="K1817" t="str">
        <f>"HVJB 1026L230-001"</f>
        <v>HVJB 1026L230-001</v>
      </c>
      <c r="L1817">
        <v>4</v>
      </c>
      <c r="M1817" t="str">
        <f>"יח"</f>
        <v>יח</v>
      </c>
      <c r="N1817">
        <v>4</v>
      </c>
      <c r="O1817" t="str">
        <f>"יח"</f>
        <v>יח</v>
      </c>
      <c r="P1817" s="2">
        <v>9921</v>
      </c>
      <c r="Q1817" t="str">
        <f>"$"</f>
        <v>$</v>
      </c>
      <c r="R1817" t="str">
        <f>"הזמנה"</f>
        <v>הזמנה</v>
      </c>
      <c r="S1817">
        <v>0</v>
      </c>
      <c r="T1817" s="2">
        <v>39684</v>
      </c>
      <c r="U1817">
        <v>0</v>
      </c>
      <c r="V1817" s="2">
        <v>39684</v>
      </c>
      <c r="W1817" t="str">
        <f>"$"</f>
        <v>$</v>
      </c>
      <c r="X1817">
        <v>0</v>
      </c>
      <c r="Y1817">
        <v>0</v>
      </c>
      <c r="Z1817">
        <v>0</v>
      </c>
      <c r="AA1817" t="str">
        <f>"Y"</f>
        <v>Y</v>
      </c>
      <c r="AC1817">
        <v>0</v>
      </c>
      <c r="AM1817" t="str">
        <f>"10"</f>
        <v>10</v>
      </c>
      <c r="AN1817" t="str">
        <f>"500000"</f>
        <v>500000</v>
      </c>
      <c r="AO1817" t="str">
        <f>"הכנסות  מלקוחות"</f>
        <v>הכנסות  מלקוחות</v>
      </c>
      <c r="AQ1817" t="str">
        <f>"034"</f>
        <v>034</v>
      </c>
      <c r="AR1817">
        <v>0</v>
      </c>
      <c r="AS1817">
        <v>0</v>
      </c>
      <c r="AT1817">
        <v>3.2229999999999999</v>
      </c>
      <c r="BB1817" t="str">
        <f>"Y"</f>
        <v>Y</v>
      </c>
      <c r="BD1817" t="str">
        <f>"ערן שלו"</f>
        <v>ערן שלו</v>
      </c>
    </row>
    <row r="1818" spans="1:56" x14ac:dyDescent="0.3">
      <c r="A1818" s="1">
        <v>44616</v>
      </c>
      <c r="B1818" t="str">
        <f>"SI226000181"</f>
        <v>SI226000181</v>
      </c>
      <c r="C1818" t="str">
        <f>"PR21000874"</f>
        <v>PR21000874</v>
      </c>
      <c r="E1818" t="str">
        <f>"Y"</f>
        <v>Y</v>
      </c>
      <c r="F1818" t="str">
        <f>"חשבוניות מרכזות"</f>
        <v>חשבוניות מרכזות</v>
      </c>
      <c r="G1818" t="str">
        <f>"700065"</f>
        <v>700065</v>
      </c>
      <c r="H1818" t="str">
        <f>"אלתא מערכות בע""מ"</f>
        <v>אלתא מערכות בע"מ</v>
      </c>
      <c r="I1818" t="str">
        <f>"10"</f>
        <v>10</v>
      </c>
      <c r="J1818" t="str">
        <f>"OP-AR02872"</f>
        <v>OP-AR02872</v>
      </c>
      <c r="K1818" t="str">
        <f>"2029D691-001   HARNESS WT691 - PC INTERFACE"</f>
        <v>2029D691-001   HARNESS WT691 - PC INTERFACE</v>
      </c>
      <c r="L1818">
        <v>2</v>
      </c>
      <c r="M1818" t="str">
        <f>"יח"</f>
        <v>יח</v>
      </c>
      <c r="N1818">
        <v>2</v>
      </c>
      <c r="O1818" t="str">
        <f>"יח"</f>
        <v>יח</v>
      </c>
      <c r="P1818">
        <v>223.59</v>
      </c>
      <c r="Q1818" t="str">
        <f>"$"</f>
        <v>$</v>
      </c>
      <c r="R1818" t="str">
        <f>"הזמנה"</f>
        <v>הזמנה</v>
      </c>
      <c r="S1818">
        <v>0</v>
      </c>
      <c r="T1818">
        <v>447.18</v>
      </c>
      <c r="U1818">
        <v>0</v>
      </c>
      <c r="V1818">
        <v>447.18</v>
      </c>
      <c r="W1818" t="str">
        <f>"$"</f>
        <v>$</v>
      </c>
      <c r="X1818">
        <v>0</v>
      </c>
      <c r="Y1818">
        <v>0</v>
      </c>
      <c r="Z1818">
        <v>0</v>
      </c>
      <c r="AA1818" t="str">
        <f>"Y"</f>
        <v>Y</v>
      </c>
      <c r="AB1818" t="str">
        <f>"SO21000521"</f>
        <v>SO21000521</v>
      </c>
      <c r="AC1818">
        <v>5</v>
      </c>
      <c r="AD1818" s="1">
        <v>44549</v>
      </c>
      <c r="AE1818" t="str">
        <f>"SH22000216"</f>
        <v>SH22000216</v>
      </c>
      <c r="AF1818" t="str">
        <f>"משלוחים ללקוח"</f>
        <v>משלוחים ללקוח</v>
      </c>
      <c r="AG1818" s="1">
        <v>44615</v>
      </c>
      <c r="AM1818" t="str">
        <f>"10"</f>
        <v>10</v>
      </c>
      <c r="AN1818" t="str">
        <f>"500000"</f>
        <v>500000</v>
      </c>
      <c r="AO1818" t="str">
        <f>"הכנסות  מלקוחות"</f>
        <v>הכנסות  מלקוחות</v>
      </c>
      <c r="AQ1818" t="str">
        <f>"040"</f>
        <v>040</v>
      </c>
      <c r="AR1818">
        <v>0</v>
      </c>
      <c r="AS1818">
        <v>0</v>
      </c>
      <c r="AT1818">
        <v>3.2229999999999999</v>
      </c>
      <c r="AX1818" t="str">
        <f>"E000352409"</f>
        <v>E000352409</v>
      </c>
      <c r="BD1818" t="str">
        <f>"רחמים זרוק"</f>
        <v>רחמים זרוק</v>
      </c>
    </row>
    <row r="1819" spans="1:56" x14ac:dyDescent="0.3">
      <c r="A1819" s="1">
        <v>44616</v>
      </c>
      <c r="B1819" t="str">
        <f>"SI226000180"</f>
        <v>SI226000180</v>
      </c>
      <c r="C1819" t="str">
        <f>"PR21000685"</f>
        <v>PR21000685</v>
      </c>
      <c r="E1819" t="str">
        <f>"Y"</f>
        <v>Y</v>
      </c>
      <c r="F1819" t="str">
        <f>"חשבוניות מרכזות"</f>
        <v>חשבוניות מרכזות</v>
      </c>
      <c r="G1819" t="str">
        <f>"700065"</f>
        <v>700065</v>
      </c>
      <c r="H1819" t="str">
        <f>"אלתא מערכות בע""מ"</f>
        <v>אלתא מערכות בע"מ</v>
      </c>
      <c r="I1819" t="str">
        <f>"10"</f>
        <v>10</v>
      </c>
      <c r="J1819" t="str">
        <f>"OP-AR02148"</f>
        <v>OP-AR02148</v>
      </c>
      <c r="K1819" t="str">
        <f>"9002H708-001  HARNESS W5708 - POD LVCS J5 DC POW"</f>
        <v>9002H708-001  HARNESS W5708 - POD LVCS J5 DC POW</v>
      </c>
      <c r="L1819">
        <v>5</v>
      </c>
      <c r="M1819" t="str">
        <f>"יח"</f>
        <v>יח</v>
      </c>
      <c r="N1819">
        <v>5</v>
      </c>
      <c r="O1819" t="str">
        <f>"יח"</f>
        <v>יח</v>
      </c>
      <c r="P1819">
        <v>593.64</v>
      </c>
      <c r="Q1819" t="str">
        <f>"$"</f>
        <v>$</v>
      </c>
      <c r="R1819" t="str">
        <f>"הזמנה"</f>
        <v>הזמנה</v>
      </c>
      <c r="S1819">
        <v>0</v>
      </c>
      <c r="T1819" s="2">
        <v>2968.2</v>
      </c>
      <c r="U1819">
        <v>0</v>
      </c>
      <c r="V1819" s="2">
        <v>2968.2</v>
      </c>
      <c r="W1819" t="str">
        <f>"$"</f>
        <v>$</v>
      </c>
      <c r="X1819">
        <v>0</v>
      </c>
      <c r="Y1819">
        <v>0</v>
      </c>
      <c r="Z1819">
        <v>0</v>
      </c>
      <c r="AA1819" t="str">
        <f>"Y"</f>
        <v>Y</v>
      </c>
      <c r="AB1819" t="str">
        <f>"SO21000435"</f>
        <v>SO21000435</v>
      </c>
      <c r="AC1819">
        <v>5</v>
      </c>
      <c r="AD1819" s="1">
        <v>44486</v>
      </c>
      <c r="AE1819" t="str">
        <f>"SH22000217"</f>
        <v>SH22000217</v>
      </c>
      <c r="AF1819" t="str">
        <f>"משלוחים ללקוח"</f>
        <v>משלוחים ללקוח</v>
      </c>
      <c r="AG1819" s="1">
        <v>44615</v>
      </c>
      <c r="AM1819" t="str">
        <f>"10"</f>
        <v>10</v>
      </c>
      <c r="AN1819" t="str">
        <f>"500000"</f>
        <v>500000</v>
      </c>
      <c r="AO1819" t="str">
        <f>"הכנסות  מלקוחות"</f>
        <v>הכנסות  מלקוחות</v>
      </c>
      <c r="AQ1819" t="str">
        <f>"040"</f>
        <v>040</v>
      </c>
      <c r="AR1819">
        <v>0</v>
      </c>
      <c r="AS1819">
        <v>0</v>
      </c>
      <c r="AT1819">
        <v>3.2229999999999999</v>
      </c>
      <c r="AX1819" t="str">
        <f>"E000347054"</f>
        <v>E000347054</v>
      </c>
      <c r="BD1819" t="str">
        <f>"רחמים זרוק"</f>
        <v>רחמים זרוק</v>
      </c>
    </row>
    <row r="1820" spans="1:56" x14ac:dyDescent="0.3">
      <c r="A1820" s="1">
        <v>44616</v>
      </c>
      <c r="B1820" t="str">
        <f>"SI226000179"</f>
        <v>SI226000179</v>
      </c>
      <c r="C1820" t="str">
        <f>"PR21000664"</f>
        <v>PR21000664</v>
      </c>
      <c r="E1820" t="str">
        <f>"Y"</f>
        <v>Y</v>
      </c>
      <c r="F1820" t="str">
        <f>"חשבוניות מרכזות"</f>
        <v>חשבוניות מרכזות</v>
      </c>
      <c r="G1820" t="str">
        <f>"700065"</f>
        <v>700065</v>
      </c>
      <c r="H1820" t="str">
        <f>"אלתא מערכות בע""מ"</f>
        <v>אלתא מערכות בע"מ</v>
      </c>
      <c r="I1820" t="str">
        <f>"10"</f>
        <v>10</v>
      </c>
      <c r="J1820" t="str">
        <f>"OP-AR02585"</f>
        <v>OP-AR02585</v>
      </c>
      <c r="K1820" t="str">
        <f>"1001K760-001   IMPROVED FCR CAMERA WIRING"</f>
        <v>1001K760-001   IMPROVED FCR CAMERA WIRING</v>
      </c>
      <c r="L1820">
        <v>2</v>
      </c>
      <c r="M1820" t="str">
        <f>"יח"</f>
        <v>יח</v>
      </c>
      <c r="N1820">
        <v>2</v>
      </c>
      <c r="O1820" t="str">
        <f>"יח"</f>
        <v>יח</v>
      </c>
      <c r="P1820">
        <v>605.58000000000004</v>
      </c>
      <c r="Q1820" t="str">
        <f>"$"</f>
        <v>$</v>
      </c>
      <c r="R1820" t="str">
        <f>"הזמנה"</f>
        <v>הזמנה</v>
      </c>
      <c r="S1820">
        <v>0</v>
      </c>
      <c r="T1820" s="2">
        <v>1211.1600000000001</v>
      </c>
      <c r="U1820">
        <v>0</v>
      </c>
      <c r="V1820" s="2">
        <v>1211.1600000000001</v>
      </c>
      <c r="W1820" t="str">
        <f>"$"</f>
        <v>$</v>
      </c>
      <c r="X1820">
        <v>0</v>
      </c>
      <c r="Y1820">
        <v>0</v>
      </c>
      <c r="Z1820">
        <v>0</v>
      </c>
      <c r="AA1820" t="str">
        <f>"Y"</f>
        <v>Y</v>
      </c>
      <c r="AB1820" t="str">
        <f>"SO21000425"</f>
        <v>SO21000425</v>
      </c>
      <c r="AC1820">
        <v>1</v>
      </c>
      <c r="AD1820" s="1">
        <v>44476</v>
      </c>
      <c r="AE1820" t="str">
        <f>"SH22000213"</f>
        <v>SH22000213</v>
      </c>
      <c r="AF1820" t="str">
        <f>"משלוחים ללקוח"</f>
        <v>משלוחים ללקוח</v>
      </c>
      <c r="AG1820" s="1">
        <v>44615</v>
      </c>
      <c r="AM1820" t="str">
        <f>"10"</f>
        <v>10</v>
      </c>
      <c r="AN1820" t="str">
        <f>"500000"</f>
        <v>500000</v>
      </c>
      <c r="AO1820" t="str">
        <f>"הכנסות  מלקוחות"</f>
        <v>הכנסות  מלקוחות</v>
      </c>
      <c r="AQ1820" t="str">
        <f>"040"</f>
        <v>040</v>
      </c>
      <c r="AR1820">
        <v>0</v>
      </c>
      <c r="AS1820">
        <v>0</v>
      </c>
      <c r="AT1820">
        <v>3.2229999999999999</v>
      </c>
      <c r="AX1820" t="str">
        <f>"E000347628"</f>
        <v>E000347628</v>
      </c>
      <c r="BD1820" t="str">
        <f>"רחמים זרוק"</f>
        <v>רחמים זרוק</v>
      </c>
    </row>
    <row r="1821" spans="1:56" x14ac:dyDescent="0.3">
      <c r="A1821" s="1">
        <v>44616</v>
      </c>
      <c r="B1821" t="str">
        <f>"SI226000178"</f>
        <v>SI226000178</v>
      </c>
      <c r="C1821" t="str">
        <f>"PR21000643"</f>
        <v>PR21000643</v>
      </c>
      <c r="E1821" t="str">
        <f>"Y"</f>
        <v>Y</v>
      </c>
      <c r="F1821" t="str">
        <f>"חשבוניות מרכזות"</f>
        <v>חשבוניות מרכזות</v>
      </c>
      <c r="G1821" t="str">
        <f>"700065"</f>
        <v>700065</v>
      </c>
      <c r="H1821" t="str">
        <f>"אלתא מערכות בע""מ"</f>
        <v>אלתא מערכות בע"מ</v>
      </c>
      <c r="I1821" t="str">
        <f>"10"</f>
        <v>10</v>
      </c>
      <c r="J1821" t="str">
        <f>"OP-AR02795"</f>
        <v>OP-AR02795</v>
      </c>
      <c r="K1821" t="str">
        <f>"2218B940-001   W5S CABLE ASSY"</f>
        <v>2218B940-001   W5S CABLE ASSY</v>
      </c>
      <c r="L1821">
        <v>1</v>
      </c>
      <c r="M1821" t="str">
        <f>"יח"</f>
        <v>יח</v>
      </c>
      <c r="N1821">
        <v>1</v>
      </c>
      <c r="O1821" t="str">
        <f>"יח"</f>
        <v>יח</v>
      </c>
      <c r="P1821">
        <v>611.29</v>
      </c>
      <c r="Q1821" t="str">
        <f>"$"</f>
        <v>$</v>
      </c>
      <c r="R1821" t="str">
        <f>"הזמנה"</f>
        <v>הזמנה</v>
      </c>
      <c r="S1821">
        <v>0</v>
      </c>
      <c r="T1821">
        <v>611.29</v>
      </c>
      <c r="U1821">
        <v>0</v>
      </c>
      <c r="V1821">
        <v>611.29</v>
      </c>
      <c r="W1821" t="str">
        <f>"$"</f>
        <v>$</v>
      </c>
      <c r="X1821">
        <v>0</v>
      </c>
      <c r="Y1821">
        <v>0</v>
      </c>
      <c r="Z1821">
        <v>0</v>
      </c>
      <c r="AA1821" t="str">
        <f>"Y"</f>
        <v>Y</v>
      </c>
      <c r="AB1821" t="str">
        <f>"SO21000406"</f>
        <v>SO21000406</v>
      </c>
      <c r="AC1821">
        <v>3</v>
      </c>
      <c r="AD1821" s="1">
        <v>44458</v>
      </c>
      <c r="AE1821" t="str">
        <f>"SH22000212"</f>
        <v>SH22000212</v>
      </c>
      <c r="AF1821" t="str">
        <f>"משלוחים ללקוח"</f>
        <v>משלוחים ללקוח</v>
      </c>
      <c r="AG1821" s="1">
        <v>44615</v>
      </c>
      <c r="AM1821" t="str">
        <f>"10"</f>
        <v>10</v>
      </c>
      <c r="AN1821" t="str">
        <f>"500000"</f>
        <v>500000</v>
      </c>
      <c r="AO1821" t="str">
        <f>"הכנסות  מלקוחות"</f>
        <v>הכנסות  מלקוחות</v>
      </c>
      <c r="AQ1821" t="str">
        <f>"040"</f>
        <v>040</v>
      </c>
      <c r="AR1821">
        <v>0</v>
      </c>
      <c r="AS1821">
        <v>0</v>
      </c>
      <c r="AT1821">
        <v>3.2229999999999999</v>
      </c>
      <c r="AX1821" t="str">
        <f>"E000345587"</f>
        <v>E000345587</v>
      </c>
      <c r="BD1821" t="str">
        <f>"רחמים זרוק"</f>
        <v>רחמים זרוק</v>
      </c>
    </row>
    <row r="1822" spans="1:56" x14ac:dyDescent="0.3">
      <c r="A1822" s="1">
        <v>44616</v>
      </c>
      <c r="B1822" t="str">
        <f>"SI226000177"</f>
        <v>SI226000177</v>
      </c>
      <c r="C1822" t="str">
        <f>"PR21000874"</f>
        <v>PR21000874</v>
      </c>
      <c r="E1822" t="str">
        <f>"Y"</f>
        <v>Y</v>
      </c>
      <c r="F1822" t="str">
        <f>"חשבוניות מרכזות"</f>
        <v>חשבוניות מרכזות</v>
      </c>
      <c r="G1822" t="str">
        <f>"700065"</f>
        <v>700065</v>
      </c>
      <c r="H1822" t="str">
        <f>"אלתא מערכות בע""מ"</f>
        <v>אלתא מערכות בע"מ</v>
      </c>
      <c r="I1822" t="str">
        <f>"10"</f>
        <v>10</v>
      </c>
      <c r="J1822" t="str">
        <f>"OP-AR02871"</f>
        <v>OP-AR02871</v>
      </c>
      <c r="K1822" t="str">
        <f>"2013E817-002   CABLE POWER AC/DC ASSY"</f>
        <v>2013E817-002   CABLE POWER AC/DC ASSY</v>
      </c>
      <c r="L1822">
        <v>2</v>
      </c>
      <c r="M1822" t="str">
        <f>"יח"</f>
        <v>יח</v>
      </c>
      <c r="N1822">
        <v>2</v>
      </c>
      <c r="O1822" t="str">
        <f>"יח"</f>
        <v>יח</v>
      </c>
      <c r="P1822">
        <v>83.87</v>
      </c>
      <c r="Q1822" t="str">
        <f>"$"</f>
        <v>$</v>
      </c>
      <c r="R1822" t="str">
        <f>"הזמנה"</f>
        <v>הזמנה</v>
      </c>
      <c r="S1822">
        <v>0</v>
      </c>
      <c r="T1822">
        <v>167.74</v>
      </c>
      <c r="U1822">
        <v>0</v>
      </c>
      <c r="V1822">
        <v>167.74</v>
      </c>
      <c r="W1822" t="str">
        <f>"$"</f>
        <v>$</v>
      </c>
      <c r="X1822">
        <v>0</v>
      </c>
      <c r="Y1822">
        <v>0</v>
      </c>
      <c r="Z1822">
        <v>0</v>
      </c>
      <c r="AA1822" t="str">
        <f>"Y"</f>
        <v>Y</v>
      </c>
      <c r="AB1822" t="str">
        <f>"SO21000521"</f>
        <v>SO21000521</v>
      </c>
      <c r="AC1822">
        <v>4</v>
      </c>
      <c r="AD1822" s="1">
        <v>44549</v>
      </c>
      <c r="AE1822" t="str">
        <f>"SH22000214"</f>
        <v>SH22000214</v>
      </c>
      <c r="AF1822" t="str">
        <f>"משלוחים ללקוח"</f>
        <v>משלוחים ללקוח</v>
      </c>
      <c r="AG1822" s="1">
        <v>44615</v>
      </c>
      <c r="AM1822" t="str">
        <f>"10"</f>
        <v>10</v>
      </c>
      <c r="AN1822" t="str">
        <f>"500000"</f>
        <v>500000</v>
      </c>
      <c r="AO1822" t="str">
        <f>"הכנסות  מלקוחות"</f>
        <v>הכנסות  מלקוחות</v>
      </c>
      <c r="AQ1822" t="str">
        <f>"040"</f>
        <v>040</v>
      </c>
      <c r="AR1822">
        <v>0</v>
      </c>
      <c r="AS1822">
        <v>0</v>
      </c>
      <c r="AT1822">
        <v>3.2229999999999999</v>
      </c>
      <c r="AX1822" t="str">
        <f>"E000352409"</f>
        <v>E000352409</v>
      </c>
      <c r="BD1822" t="str">
        <f>"רחמים זרוק"</f>
        <v>רחמים זרוק</v>
      </c>
    </row>
    <row r="1823" spans="1:56" x14ac:dyDescent="0.3">
      <c r="A1823" s="1">
        <v>44616</v>
      </c>
      <c r="B1823" t="str">
        <f>"SI226000176"</f>
        <v>SI226000176</v>
      </c>
      <c r="C1823" t="str">
        <f>"PR21000338"</f>
        <v>PR21000338</v>
      </c>
      <c r="D1823" t="str">
        <f>"PR21000338"</f>
        <v>PR21000338</v>
      </c>
      <c r="E1823" t="str">
        <f>"Y"</f>
        <v>Y</v>
      </c>
      <c r="F1823" t="str">
        <f>"חשבוניות מרכזות"</f>
        <v>חשבוניות מרכזות</v>
      </c>
      <c r="G1823" t="str">
        <f>"700065"</f>
        <v>700065</v>
      </c>
      <c r="H1823" t="str">
        <f>"אלתא מערכות בע""מ"</f>
        <v>אלתא מערכות בע"מ</v>
      </c>
      <c r="I1823" t="str">
        <f>"10"</f>
        <v>10</v>
      </c>
      <c r="J1823" t="str">
        <f>"OP-AR02061"</f>
        <v>OP-AR02061</v>
      </c>
      <c r="K1823" t="str">
        <f>"4043K510-001  SATCOM COMMUNICATION CABLE"</f>
        <v>4043K510-001  SATCOM COMMUNICATION CABLE</v>
      </c>
      <c r="L1823">
        <v>1</v>
      </c>
      <c r="M1823" t="str">
        <f>"יח"</f>
        <v>יח</v>
      </c>
      <c r="N1823">
        <v>1</v>
      </c>
      <c r="O1823" t="str">
        <f>"יח"</f>
        <v>יח</v>
      </c>
      <c r="P1823" s="2">
        <v>2225.31</v>
      </c>
      <c r="Q1823" t="str">
        <f>"$"</f>
        <v>$</v>
      </c>
      <c r="R1823" t="str">
        <f>"הזמנה"</f>
        <v>הזמנה</v>
      </c>
      <c r="S1823">
        <v>0</v>
      </c>
      <c r="T1823" s="2">
        <v>2225.31</v>
      </c>
      <c r="U1823">
        <v>0</v>
      </c>
      <c r="V1823" s="2">
        <v>2225.31</v>
      </c>
      <c r="W1823" t="str">
        <f>"$"</f>
        <v>$</v>
      </c>
      <c r="X1823">
        <v>0</v>
      </c>
      <c r="Y1823">
        <v>0</v>
      </c>
      <c r="Z1823">
        <v>0</v>
      </c>
      <c r="AA1823" t="str">
        <f>"Y"</f>
        <v>Y</v>
      </c>
      <c r="AB1823" t="str">
        <f>"SO21000231"</f>
        <v>SO21000231</v>
      </c>
      <c r="AC1823">
        <v>3</v>
      </c>
      <c r="AD1823" s="1">
        <v>44340</v>
      </c>
      <c r="AE1823" t="str">
        <f>"SH22000215"</f>
        <v>SH22000215</v>
      </c>
      <c r="AF1823" t="str">
        <f>"משלוחים ללקוח"</f>
        <v>משלוחים ללקוח</v>
      </c>
      <c r="AG1823" s="1">
        <v>44615</v>
      </c>
      <c r="AM1823" t="str">
        <f>"10"</f>
        <v>10</v>
      </c>
      <c r="AN1823" t="str">
        <f>"500000"</f>
        <v>500000</v>
      </c>
      <c r="AO1823" t="str">
        <f>"הכנסות  מלקוחות"</f>
        <v>הכנסות  מלקוחות</v>
      </c>
      <c r="AQ1823" t="str">
        <f>"040"</f>
        <v>040</v>
      </c>
      <c r="AR1823">
        <v>0</v>
      </c>
      <c r="AS1823">
        <v>0</v>
      </c>
      <c r="AT1823">
        <v>3.2229999999999999</v>
      </c>
      <c r="AX1823" t="str">
        <f>"E000336473"</f>
        <v>E000336473</v>
      </c>
      <c r="BD1823" t="str">
        <f>"רחמים זרוק"</f>
        <v>רחמים זרוק</v>
      </c>
    </row>
    <row r="1824" spans="1:56" x14ac:dyDescent="0.3">
      <c r="A1824" s="1">
        <v>44612</v>
      </c>
      <c r="B1824" t="str">
        <f>"SI226000142"</f>
        <v>SI226000142</v>
      </c>
      <c r="C1824" t="str">
        <f>"PR20000698"</f>
        <v>PR20000698</v>
      </c>
      <c r="E1824" t="str">
        <f>"Y"</f>
        <v>Y</v>
      </c>
      <c r="F1824" t="str">
        <f>"חשבוניות מרכזות"</f>
        <v>חשבוניות מרכזות</v>
      </c>
      <c r="G1824" t="str">
        <f>"700065"</f>
        <v>700065</v>
      </c>
      <c r="H1824" t="str">
        <f>"אלתא מערכות בע""מ"</f>
        <v>אלתא מערכות בע"מ</v>
      </c>
      <c r="I1824" t="str">
        <f>"10"</f>
        <v>10</v>
      </c>
      <c r="J1824" t="str">
        <f>"000"</f>
        <v>000</v>
      </c>
      <c r="K1824" t="str">
        <f>"תוספת עלות לייצור לאחר שינויים ב-RPS1"</f>
        <v>תוספת עלות לייצור לאחר שינויים ב-RPS1</v>
      </c>
      <c r="L1824">
        <v>1</v>
      </c>
      <c r="M1824" t="str">
        <f>"יח"</f>
        <v>יח</v>
      </c>
      <c r="N1824">
        <v>1</v>
      </c>
      <c r="O1824" t="str">
        <f>"יח"</f>
        <v>יח</v>
      </c>
      <c r="P1824" s="2">
        <v>25000</v>
      </c>
      <c r="Q1824" t="str">
        <f>"$"</f>
        <v>$</v>
      </c>
      <c r="R1824" t="str">
        <f>"הזמנה"</f>
        <v>הזמנה</v>
      </c>
      <c r="S1824">
        <v>0</v>
      </c>
      <c r="T1824" s="2">
        <v>25000</v>
      </c>
      <c r="U1824">
        <v>0</v>
      </c>
      <c r="V1824" s="2">
        <v>25000</v>
      </c>
      <c r="W1824" t="str">
        <f>"$"</f>
        <v>$</v>
      </c>
      <c r="X1824">
        <v>0</v>
      </c>
      <c r="Y1824">
        <v>0</v>
      </c>
      <c r="Z1824">
        <v>0</v>
      </c>
      <c r="AA1824" t="str">
        <f>"Y"</f>
        <v>Y</v>
      </c>
      <c r="AB1824" t="str">
        <f>"SO22000061"</f>
        <v>SO22000061</v>
      </c>
      <c r="AC1824">
        <v>1</v>
      </c>
      <c r="AD1824" s="1">
        <v>44612</v>
      </c>
      <c r="AM1824" t="str">
        <f>"10"</f>
        <v>10</v>
      </c>
      <c r="AN1824" t="str">
        <f>"500000"</f>
        <v>500000</v>
      </c>
      <c r="AO1824" t="str">
        <f>"הכנסות  מלקוחות"</f>
        <v>הכנסות  מלקוחות</v>
      </c>
      <c r="AQ1824" t="str">
        <f>"034"</f>
        <v>034</v>
      </c>
      <c r="AR1824">
        <v>0</v>
      </c>
      <c r="AS1824">
        <v>0</v>
      </c>
      <c r="AT1824">
        <v>3.1930000000000001</v>
      </c>
      <c r="AX1824" t="str">
        <f>"E000356936"</f>
        <v>E000356936</v>
      </c>
      <c r="BD1824" t="str">
        <f>"ערן שלו"</f>
        <v>ערן שלו</v>
      </c>
    </row>
    <row r="1825" spans="1:56" x14ac:dyDescent="0.3">
      <c r="A1825" s="1">
        <v>44612</v>
      </c>
      <c r="B1825" t="str">
        <f>"SI226000141"</f>
        <v>SI226000141</v>
      </c>
      <c r="C1825" t="str">
        <f>"PR20000698"</f>
        <v>PR20000698</v>
      </c>
      <c r="E1825" t="str">
        <f>"Y"</f>
        <v>Y</v>
      </c>
      <c r="F1825" t="str">
        <f>"חשבוניות מרכזות"</f>
        <v>חשבוניות מרכזות</v>
      </c>
      <c r="G1825" t="str">
        <f>"700065"</f>
        <v>700065</v>
      </c>
      <c r="H1825" t="str">
        <f>"אלתא מערכות בע""מ"</f>
        <v>אלתא מערכות בע"מ</v>
      </c>
      <c r="I1825" t="str">
        <f>"10"</f>
        <v>10</v>
      </c>
      <c r="J1825" t="str">
        <f>"000"</f>
        <v>000</v>
      </c>
      <c r="K1825" t="str">
        <f>"NRE FOR 1038C906-001"</f>
        <v>NRE FOR 1038C906-001</v>
      </c>
      <c r="L1825">
        <v>1</v>
      </c>
      <c r="M1825" t="str">
        <f>"יח"</f>
        <v>יח</v>
      </c>
      <c r="N1825">
        <v>1</v>
      </c>
      <c r="O1825" t="str">
        <f>"יח"</f>
        <v>יח</v>
      </c>
      <c r="P1825" s="2">
        <v>16252.5</v>
      </c>
      <c r="Q1825" t="str">
        <f>"$"</f>
        <v>$</v>
      </c>
      <c r="R1825" t="str">
        <f>"הזמנה"</f>
        <v>הזמנה</v>
      </c>
      <c r="S1825">
        <v>0</v>
      </c>
      <c r="T1825" s="2">
        <v>16252.5</v>
      </c>
      <c r="U1825">
        <v>0</v>
      </c>
      <c r="V1825" s="2">
        <v>16252.5</v>
      </c>
      <c r="W1825" t="str">
        <f>"$"</f>
        <v>$</v>
      </c>
      <c r="X1825">
        <v>0</v>
      </c>
      <c r="Y1825">
        <v>0</v>
      </c>
      <c r="Z1825">
        <v>0</v>
      </c>
      <c r="AA1825" t="str">
        <f>"Y"</f>
        <v>Y</v>
      </c>
      <c r="AB1825" t="str">
        <f>"SO20000218"</f>
        <v>SO20000218</v>
      </c>
      <c r="AC1825">
        <v>19</v>
      </c>
      <c r="AD1825" s="1">
        <v>43982</v>
      </c>
      <c r="AM1825" t="str">
        <f>"10"</f>
        <v>10</v>
      </c>
      <c r="AN1825" t="str">
        <f>"500000"</f>
        <v>500000</v>
      </c>
      <c r="AO1825" t="str">
        <f>"הכנסות  מלקוחות"</f>
        <v>הכנסות  מלקוחות</v>
      </c>
      <c r="AQ1825" t="str">
        <f>"034"</f>
        <v>034</v>
      </c>
      <c r="AR1825">
        <v>0</v>
      </c>
      <c r="AS1825">
        <v>0</v>
      </c>
      <c r="AT1825">
        <v>3.1930000000000001</v>
      </c>
      <c r="AX1825" t="str">
        <f>"E000312785"</f>
        <v>E000312785</v>
      </c>
      <c r="BD1825" t="str">
        <f>"ערן שלו"</f>
        <v>ערן שלו</v>
      </c>
    </row>
    <row r="1826" spans="1:56" x14ac:dyDescent="0.3">
      <c r="A1826" s="1">
        <v>44608</v>
      </c>
      <c r="B1826" t="str">
        <f>"SI226000139"</f>
        <v>SI226000139</v>
      </c>
      <c r="C1826" t="str">
        <f>"PR19000753"</f>
        <v>PR19000753</v>
      </c>
      <c r="D1826" t="str">
        <f>"PR19000753"</f>
        <v>PR19000753</v>
      </c>
      <c r="E1826" t="str">
        <f>"Y"</f>
        <v>Y</v>
      </c>
      <c r="F1826" t="str">
        <f>"חשבוניות מרכזות"</f>
        <v>חשבוניות מרכזות</v>
      </c>
      <c r="G1826" t="str">
        <f>"700065"</f>
        <v>700065</v>
      </c>
      <c r="H1826" t="str">
        <f>"אלתא מערכות בע""מ"</f>
        <v>אלתא מערכות בע"מ</v>
      </c>
      <c r="I1826" t="str">
        <f>"10"</f>
        <v>10</v>
      </c>
      <c r="J1826" t="str">
        <f>"000"</f>
        <v>000</v>
      </c>
      <c r="K1826" t="str">
        <f>"פיקוח מהנדס על ביצוע ATP"</f>
        <v>פיקוח מהנדס על ביצוע ATP</v>
      </c>
      <c r="L1826">
        <v>1</v>
      </c>
      <c r="M1826" t="str">
        <f>"יח"</f>
        <v>יח</v>
      </c>
      <c r="N1826">
        <v>1</v>
      </c>
      <c r="O1826" t="str">
        <f>"יח"</f>
        <v>יח</v>
      </c>
      <c r="P1826" s="2">
        <v>11200</v>
      </c>
      <c r="Q1826" t="str">
        <f>"$"</f>
        <v>$</v>
      </c>
      <c r="R1826" t="str">
        <f>"הזמנה"</f>
        <v>הזמנה</v>
      </c>
      <c r="S1826">
        <v>0</v>
      </c>
      <c r="T1826" s="2">
        <v>11200</v>
      </c>
      <c r="U1826">
        <v>0</v>
      </c>
      <c r="V1826" s="2">
        <v>11200</v>
      </c>
      <c r="W1826" t="str">
        <f>"$"</f>
        <v>$</v>
      </c>
      <c r="X1826">
        <v>0</v>
      </c>
      <c r="Y1826">
        <v>0</v>
      </c>
      <c r="Z1826">
        <v>0</v>
      </c>
      <c r="AA1826" t="str">
        <f>"Y"</f>
        <v>Y</v>
      </c>
      <c r="AB1826" t="str">
        <f>"SO19000458"</f>
        <v>SO19000458</v>
      </c>
      <c r="AC1826">
        <v>8</v>
      </c>
      <c r="AD1826" s="1">
        <v>43767</v>
      </c>
      <c r="AM1826" t="str">
        <f>"10"</f>
        <v>10</v>
      </c>
      <c r="AN1826" t="str">
        <f>"500000"</f>
        <v>500000</v>
      </c>
      <c r="AO1826" t="str">
        <f>"הכנסות  מלקוחות"</f>
        <v>הכנסות  מלקוחות</v>
      </c>
      <c r="AQ1826" t="str">
        <f>"034"</f>
        <v>034</v>
      </c>
      <c r="AR1826">
        <v>0</v>
      </c>
      <c r="AS1826">
        <v>0</v>
      </c>
      <c r="AT1826">
        <v>3.2250000000000001</v>
      </c>
      <c r="AX1826" t="str">
        <f>"E000297273"</f>
        <v>E000297273</v>
      </c>
      <c r="BD1826" t="str">
        <f>"ערן שלו"</f>
        <v>ערן שלו</v>
      </c>
    </row>
    <row r="1827" spans="1:56" x14ac:dyDescent="0.3">
      <c r="A1827" s="1">
        <v>44608</v>
      </c>
      <c r="B1827" t="str">
        <f>"SI226000137"</f>
        <v>SI226000137</v>
      </c>
      <c r="E1827" t="str">
        <f>"Y"</f>
        <v>Y</v>
      </c>
      <c r="F1827" t="str">
        <f>"חשבוניות מרכזות"</f>
        <v>חשבוניות מרכזות</v>
      </c>
      <c r="G1827" t="str">
        <f>"700065"</f>
        <v>700065</v>
      </c>
      <c r="H1827" t="str">
        <f>"אלתא מערכות בע""מ"</f>
        <v>אלתא מערכות בע"מ</v>
      </c>
      <c r="I1827" t="str">
        <f>"10"</f>
        <v>10</v>
      </c>
      <c r="J1827" t="str">
        <f>"OP-AR09106"</f>
        <v>OP-AR09106</v>
      </c>
      <c r="K1827" t="str">
        <f>"לוח 1026L230-001 HIGH VOLTAG JUCTION BOX"</f>
        <v>לוח 1026L230-001 HIGH VOLTAG JUCTION BOX</v>
      </c>
      <c r="L1827">
        <v>7</v>
      </c>
      <c r="M1827" t="str">
        <f>"יח"</f>
        <v>יח</v>
      </c>
      <c r="N1827">
        <v>7</v>
      </c>
      <c r="O1827" t="str">
        <f>"יח"</f>
        <v>יח</v>
      </c>
      <c r="P1827" s="2">
        <v>9425</v>
      </c>
      <c r="Q1827" t="str">
        <f>"$"</f>
        <v>$</v>
      </c>
      <c r="R1827" t="str">
        <f>"הזמנה"</f>
        <v>הזמנה</v>
      </c>
      <c r="S1827">
        <v>0</v>
      </c>
      <c r="T1827" s="2">
        <v>65975</v>
      </c>
      <c r="U1827">
        <v>0</v>
      </c>
      <c r="V1827" s="2">
        <v>65975</v>
      </c>
      <c r="W1827" t="str">
        <f>"$"</f>
        <v>$</v>
      </c>
      <c r="X1827">
        <v>0</v>
      </c>
      <c r="Y1827">
        <v>0</v>
      </c>
      <c r="Z1827">
        <v>0</v>
      </c>
      <c r="AA1827" t="str">
        <f>"Y"</f>
        <v>Y</v>
      </c>
      <c r="AC1827">
        <v>0</v>
      </c>
      <c r="AM1827" t="str">
        <f>"10"</f>
        <v>10</v>
      </c>
      <c r="AN1827" t="str">
        <f>"500000"</f>
        <v>500000</v>
      </c>
      <c r="AO1827" t="str">
        <f>"הכנסות  מלקוחות"</f>
        <v>הכנסות  מלקוחות</v>
      </c>
      <c r="AQ1827" t="str">
        <f>"034"</f>
        <v>034</v>
      </c>
      <c r="AR1827">
        <v>0</v>
      </c>
      <c r="AS1827">
        <v>0</v>
      </c>
      <c r="AT1827">
        <v>3.262</v>
      </c>
      <c r="BB1827" t="str">
        <f>"Y"</f>
        <v>Y</v>
      </c>
      <c r="BD1827" t="str">
        <f>"ערן שלו"</f>
        <v>ערן שלו</v>
      </c>
    </row>
    <row r="1828" spans="1:56" x14ac:dyDescent="0.3">
      <c r="A1828" s="1">
        <v>44608</v>
      </c>
      <c r="B1828" t="str">
        <f>"SI226000137"</f>
        <v>SI226000137</v>
      </c>
      <c r="E1828" t="str">
        <f>"Y"</f>
        <v>Y</v>
      </c>
      <c r="F1828" t="str">
        <f>"חשבוניות מרכזות"</f>
        <v>חשבוניות מרכזות</v>
      </c>
      <c r="G1828" t="str">
        <f>"700065"</f>
        <v>700065</v>
      </c>
      <c r="H1828" t="str">
        <f>"אלתא מערכות בע""מ"</f>
        <v>אלתא מערכות בע"מ</v>
      </c>
      <c r="I1828" t="str">
        <f>"10"</f>
        <v>10</v>
      </c>
      <c r="J1828" t="str">
        <f>"OP-AR09106"</f>
        <v>OP-AR09106</v>
      </c>
      <c r="K1828" t="str">
        <f>"לוח 1026L230-001 HIGH VOLTAG JUCTION BOX"</f>
        <v>לוח 1026L230-001 HIGH VOLTAG JUCTION BOX</v>
      </c>
      <c r="L1828">
        <v>7</v>
      </c>
      <c r="M1828" t="str">
        <f>"יח"</f>
        <v>יח</v>
      </c>
      <c r="N1828">
        <v>7</v>
      </c>
      <c r="O1828" t="str">
        <f>"יח"</f>
        <v>יח</v>
      </c>
      <c r="P1828" s="2">
        <v>9425</v>
      </c>
      <c r="Q1828" t="str">
        <f>"$"</f>
        <v>$</v>
      </c>
      <c r="R1828" t="str">
        <f>"הזמנה"</f>
        <v>הזמנה</v>
      </c>
      <c r="S1828">
        <v>0</v>
      </c>
      <c r="T1828" s="2">
        <v>65975</v>
      </c>
      <c r="U1828">
        <v>0</v>
      </c>
      <c r="V1828" s="2">
        <v>65975</v>
      </c>
      <c r="W1828" t="str">
        <f>"$"</f>
        <v>$</v>
      </c>
      <c r="X1828">
        <v>0</v>
      </c>
      <c r="Y1828">
        <v>0</v>
      </c>
      <c r="Z1828">
        <v>0</v>
      </c>
      <c r="AA1828" t="str">
        <f>"Y"</f>
        <v>Y</v>
      </c>
      <c r="AC1828">
        <v>0</v>
      </c>
      <c r="AM1828" t="str">
        <f>"10"</f>
        <v>10</v>
      </c>
      <c r="AN1828" t="str">
        <f>"500000"</f>
        <v>500000</v>
      </c>
      <c r="AO1828" t="str">
        <f>"הכנסות  מלקוחות"</f>
        <v>הכנסות  מלקוחות</v>
      </c>
      <c r="AQ1828" t="str">
        <f>"034"</f>
        <v>034</v>
      </c>
      <c r="AR1828">
        <v>0</v>
      </c>
      <c r="AS1828">
        <v>0</v>
      </c>
      <c r="AT1828">
        <v>3.262</v>
      </c>
      <c r="BB1828" t="str">
        <f>"Y"</f>
        <v>Y</v>
      </c>
      <c r="BD1828" t="str">
        <f>"ערן שלו"</f>
        <v>ערן שלו</v>
      </c>
    </row>
    <row r="1829" spans="1:56" x14ac:dyDescent="0.3">
      <c r="A1829" s="1">
        <v>44608</v>
      </c>
      <c r="B1829" t="str">
        <f>"SI226000137"</f>
        <v>SI226000137</v>
      </c>
      <c r="E1829" t="str">
        <f>"Y"</f>
        <v>Y</v>
      </c>
      <c r="F1829" t="str">
        <f>"חשבוניות מרכזות"</f>
        <v>חשבוניות מרכזות</v>
      </c>
      <c r="G1829" t="str">
        <f>"700065"</f>
        <v>700065</v>
      </c>
      <c r="H1829" t="str">
        <f>"אלתא מערכות בע""מ"</f>
        <v>אלתא מערכות בע"מ</v>
      </c>
      <c r="I1829" t="str">
        <f>"10"</f>
        <v>10</v>
      </c>
      <c r="J1829" t="str">
        <f>"OP-AR09106"</f>
        <v>OP-AR09106</v>
      </c>
      <c r="K1829" t="str">
        <f>"לוח 1026L230-001 HIGH VOLTAG JUCTION BOX"</f>
        <v>לוח 1026L230-001 HIGH VOLTAG JUCTION BOX</v>
      </c>
      <c r="L1829">
        <v>7</v>
      </c>
      <c r="M1829" t="str">
        <f>"יח"</f>
        <v>יח</v>
      </c>
      <c r="N1829">
        <v>7</v>
      </c>
      <c r="O1829" t="str">
        <f>"יח"</f>
        <v>יח</v>
      </c>
      <c r="P1829" s="2">
        <v>9425</v>
      </c>
      <c r="Q1829" t="str">
        <f>"$"</f>
        <v>$</v>
      </c>
      <c r="R1829" t="str">
        <f>"הזמנה"</f>
        <v>הזמנה</v>
      </c>
      <c r="S1829">
        <v>0</v>
      </c>
      <c r="T1829" s="2">
        <v>65975</v>
      </c>
      <c r="U1829">
        <v>0</v>
      </c>
      <c r="V1829" s="2">
        <v>65975</v>
      </c>
      <c r="W1829" t="str">
        <f>"$"</f>
        <v>$</v>
      </c>
      <c r="X1829">
        <v>0</v>
      </c>
      <c r="Y1829">
        <v>0</v>
      </c>
      <c r="Z1829">
        <v>0</v>
      </c>
      <c r="AA1829" t="str">
        <f>"Y"</f>
        <v>Y</v>
      </c>
      <c r="AC1829">
        <v>0</v>
      </c>
      <c r="AM1829" t="str">
        <f>"10"</f>
        <v>10</v>
      </c>
      <c r="AN1829" t="str">
        <f>"500000"</f>
        <v>500000</v>
      </c>
      <c r="AO1829" t="str">
        <f>"הכנסות  מלקוחות"</f>
        <v>הכנסות  מלקוחות</v>
      </c>
      <c r="AQ1829" t="str">
        <f>"034"</f>
        <v>034</v>
      </c>
      <c r="AR1829">
        <v>0</v>
      </c>
      <c r="AS1829">
        <v>0</v>
      </c>
      <c r="AT1829">
        <v>3.262</v>
      </c>
      <c r="BB1829" t="str">
        <f>"Y"</f>
        <v>Y</v>
      </c>
      <c r="BD1829" t="str">
        <f>"ערן שלו"</f>
        <v>ערן שלו</v>
      </c>
    </row>
    <row r="1830" spans="1:56" x14ac:dyDescent="0.3">
      <c r="A1830" s="1">
        <v>44608</v>
      </c>
      <c r="B1830" t="str">
        <f>"SI226000136"</f>
        <v>SI226000136</v>
      </c>
      <c r="C1830" t="str">
        <f>"PR21000122"</f>
        <v>PR21000122</v>
      </c>
      <c r="E1830" t="str">
        <f>"Y"</f>
        <v>Y</v>
      </c>
      <c r="F1830" t="str">
        <f>"חשבוניות מרכזות"</f>
        <v>חשבוניות מרכזות</v>
      </c>
      <c r="G1830" t="str">
        <f>"700065"</f>
        <v>700065</v>
      </c>
      <c r="H1830" t="str">
        <f>"אלתא מערכות בע""מ"</f>
        <v>אלתא מערכות בע"מ</v>
      </c>
      <c r="I1830" t="str">
        <f>"10"</f>
        <v>10</v>
      </c>
      <c r="J1830" t="str">
        <f>"OP-AR09106"</f>
        <v>OP-AR09106</v>
      </c>
      <c r="K1830" t="str">
        <f>"לוח 1026L230-001 HIGH VOLTAG JUCTION BOX"</f>
        <v>לוח 1026L230-001 HIGH VOLTAG JUCTION BOX</v>
      </c>
      <c r="L1830">
        <v>4</v>
      </c>
      <c r="M1830" t="str">
        <f>"יח"</f>
        <v>יח</v>
      </c>
      <c r="N1830">
        <v>4</v>
      </c>
      <c r="O1830" t="str">
        <f>"יח"</f>
        <v>יח</v>
      </c>
      <c r="P1830" s="2">
        <v>9921</v>
      </c>
      <c r="Q1830" t="str">
        <f>"$"</f>
        <v>$</v>
      </c>
      <c r="R1830" t="str">
        <f>"הזמנה"</f>
        <v>הזמנה</v>
      </c>
      <c r="S1830">
        <v>0</v>
      </c>
      <c r="T1830" s="2">
        <v>39684</v>
      </c>
      <c r="U1830">
        <v>0</v>
      </c>
      <c r="V1830" s="2">
        <v>39684</v>
      </c>
      <c r="W1830" t="str">
        <f>"$"</f>
        <v>$</v>
      </c>
      <c r="X1830">
        <v>0</v>
      </c>
      <c r="Y1830">
        <v>0</v>
      </c>
      <c r="Z1830">
        <v>0</v>
      </c>
      <c r="AA1830" t="str">
        <f>"Y"</f>
        <v>Y</v>
      </c>
      <c r="AC1830">
        <v>0</v>
      </c>
      <c r="AM1830" t="str">
        <f>"10"</f>
        <v>10</v>
      </c>
      <c r="AN1830" t="str">
        <f>"500000"</f>
        <v>500000</v>
      </c>
      <c r="AO1830" t="str">
        <f>"הכנסות  מלקוחות"</f>
        <v>הכנסות  מלקוחות</v>
      </c>
      <c r="AQ1830" t="str">
        <f>"034"</f>
        <v>034</v>
      </c>
      <c r="AR1830">
        <v>0</v>
      </c>
      <c r="AS1830">
        <v>0</v>
      </c>
      <c r="AT1830">
        <v>3.262</v>
      </c>
      <c r="BB1830" t="str">
        <f>"Y"</f>
        <v>Y</v>
      </c>
      <c r="BD1830" t="str">
        <f>"ערן שלו"</f>
        <v>ערן שלו</v>
      </c>
    </row>
    <row r="1831" spans="1:56" x14ac:dyDescent="0.3">
      <c r="A1831" s="1">
        <v>44606</v>
      </c>
      <c r="B1831" t="str">
        <f>"SI226000126"</f>
        <v>SI226000126</v>
      </c>
      <c r="E1831" t="str">
        <f>"Y"</f>
        <v>Y</v>
      </c>
      <c r="F1831" t="str">
        <f>"חשבוניות מרכזות"</f>
        <v>חשבוניות מרכזות</v>
      </c>
      <c r="G1831" t="str">
        <f>"700065"</f>
        <v>700065</v>
      </c>
      <c r="H1831" t="str">
        <f>"אלתא מערכות בע""מ"</f>
        <v>אלתא מערכות בע"מ</v>
      </c>
      <c r="I1831" t="str">
        <f>"10"</f>
        <v>10</v>
      </c>
      <c r="J1831" t="str">
        <f>"000"</f>
        <v>000</v>
      </c>
      <c r="K1831" t="str">
        <f>"תיקון תקלה בפלוגות RPU MADR"</f>
        <v>תיקון תקלה בפלוגות RPU MADR</v>
      </c>
      <c r="L1831">
        <v>1</v>
      </c>
      <c r="M1831" t="str">
        <f>"יח"</f>
        <v>יח</v>
      </c>
      <c r="N1831">
        <v>1</v>
      </c>
      <c r="O1831" t="str">
        <f>"יח"</f>
        <v>יח</v>
      </c>
      <c r="P1831" s="2">
        <v>3765</v>
      </c>
      <c r="Q1831" t="str">
        <f>"$"</f>
        <v>$</v>
      </c>
      <c r="R1831" t="str">
        <f>"הזמנה"</f>
        <v>הזמנה</v>
      </c>
      <c r="S1831">
        <v>0</v>
      </c>
      <c r="T1831" s="2">
        <v>3765</v>
      </c>
      <c r="U1831">
        <v>0</v>
      </c>
      <c r="V1831" s="2">
        <v>3765</v>
      </c>
      <c r="W1831" t="str">
        <f>"$"</f>
        <v>$</v>
      </c>
      <c r="X1831">
        <v>0</v>
      </c>
      <c r="Y1831">
        <v>0</v>
      </c>
      <c r="Z1831">
        <v>0</v>
      </c>
      <c r="AA1831" t="str">
        <f>"Y"</f>
        <v>Y</v>
      </c>
      <c r="AB1831" t="str">
        <f>"SO22000041"</f>
        <v>SO22000041</v>
      </c>
      <c r="AC1831">
        <v>1</v>
      </c>
      <c r="AD1831" s="1">
        <v>44598</v>
      </c>
      <c r="AM1831" t="str">
        <f>"10"</f>
        <v>10</v>
      </c>
      <c r="AN1831" t="str">
        <f>"500000"</f>
        <v>500000</v>
      </c>
      <c r="AO1831" t="str">
        <f>"הכנסות  מלקוחות"</f>
        <v>הכנסות  מלקוחות</v>
      </c>
      <c r="AQ1831" t="str">
        <f>"034"</f>
        <v>034</v>
      </c>
      <c r="AR1831">
        <v>0</v>
      </c>
      <c r="AS1831">
        <v>0</v>
      </c>
      <c r="AT1831">
        <v>3.2349999999999999</v>
      </c>
      <c r="AX1831" t="str">
        <f>"E000357093"</f>
        <v>E000357093</v>
      </c>
      <c r="BD1831" t="str">
        <f>"ערן שלו"</f>
        <v>ערן שלו</v>
      </c>
    </row>
    <row r="1832" spans="1:56" x14ac:dyDescent="0.3">
      <c r="A1832" s="1">
        <v>44600</v>
      </c>
      <c r="B1832" t="str">
        <f>"SI226000110"</f>
        <v>SI226000110</v>
      </c>
      <c r="E1832" t="str">
        <f>"Y"</f>
        <v>Y</v>
      </c>
      <c r="F1832" t="str">
        <f>"חשבוניות מרכזות"</f>
        <v>חשבוניות מרכזות</v>
      </c>
      <c r="G1832" t="str">
        <f>"700065"</f>
        <v>700065</v>
      </c>
      <c r="H1832" t="str">
        <f>"אלתא מערכות בע""מ"</f>
        <v>אלתא מערכות בע"מ</v>
      </c>
      <c r="I1832" t="str">
        <f>"10"</f>
        <v>10</v>
      </c>
      <c r="J1832" t="str">
        <f>"OP-AR02042"</f>
        <v>OP-AR02042</v>
      </c>
      <c r="K1832" t="str">
        <f>"PDB2  1038C870-001"</f>
        <v>PDB2  1038C870-001</v>
      </c>
      <c r="L1832">
        <v>1</v>
      </c>
      <c r="M1832" t="str">
        <f>"יח"</f>
        <v>יח</v>
      </c>
      <c r="N1832">
        <v>1</v>
      </c>
      <c r="O1832" t="str">
        <f>"יח"</f>
        <v>יח</v>
      </c>
      <c r="P1832" s="2">
        <v>26985</v>
      </c>
      <c r="Q1832" t="str">
        <f>"$"</f>
        <v>$</v>
      </c>
      <c r="R1832" t="str">
        <f>"הזמנה"</f>
        <v>הזמנה</v>
      </c>
      <c r="S1832">
        <v>0</v>
      </c>
      <c r="T1832" s="2">
        <v>26985</v>
      </c>
      <c r="U1832">
        <v>0</v>
      </c>
      <c r="V1832" s="2">
        <v>26985</v>
      </c>
      <c r="W1832" t="str">
        <f>"$"</f>
        <v>$</v>
      </c>
      <c r="X1832">
        <v>0</v>
      </c>
      <c r="Y1832">
        <v>0</v>
      </c>
      <c r="Z1832">
        <v>0</v>
      </c>
      <c r="AA1832" t="str">
        <f>"Y"</f>
        <v>Y</v>
      </c>
      <c r="AB1832" t="str">
        <f>"SO20000418"</f>
        <v>SO20000418</v>
      </c>
      <c r="AC1832">
        <v>29</v>
      </c>
      <c r="AD1832" s="1">
        <v>44083</v>
      </c>
      <c r="AM1832" t="str">
        <f>"10"</f>
        <v>10</v>
      </c>
      <c r="AN1832" t="str">
        <f>"500000"</f>
        <v>500000</v>
      </c>
      <c r="AO1832" t="str">
        <f>"הכנסות  מלקוחות"</f>
        <v>הכנסות  מלקוחות</v>
      </c>
      <c r="AQ1832" t="str">
        <f>"034"</f>
        <v>034</v>
      </c>
      <c r="AR1832">
        <v>0</v>
      </c>
      <c r="AS1832">
        <v>0</v>
      </c>
      <c r="AT1832">
        <v>3.1949999999999998</v>
      </c>
      <c r="AX1832" t="str">
        <f>"E000320964"</f>
        <v>E000320964</v>
      </c>
      <c r="BD1832" t="str">
        <f>"ערן שלו"</f>
        <v>ערן שלו</v>
      </c>
    </row>
    <row r="1833" spans="1:56" x14ac:dyDescent="0.3">
      <c r="A1833" s="1">
        <v>44600</v>
      </c>
      <c r="B1833" t="str">
        <f>"SI226000110"</f>
        <v>SI226000110</v>
      </c>
      <c r="E1833" t="str">
        <f>"Y"</f>
        <v>Y</v>
      </c>
      <c r="F1833" t="str">
        <f>"חשבוניות מרכזות"</f>
        <v>חשבוניות מרכזות</v>
      </c>
      <c r="G1833" t="str">
        <f>"700065"</f>
        <v>700065</v>
      </c>
      <c r="H1833" t="str">
        <f>"אלתא מערכות בע""מ"</f>
        <v>אלתא מערכות בע"מ</v>
      </c>
      <c r="I1833" t="str">
        <f>"10"</f>
        <v>10</v>
      </c>
      <c r="J1833" t="str">
        <f>"OP-AR02042"</f>
        <v>OP-AR02042</v>
      </c>
      <c r="K1833" t="str">
        <f>"PDB2  1038C870-001"</f>
        <v>PDB2  1038C870-001</v>
      </c>
      <c r="L1833">
        <v>1</v>
      </c>
      <c r="M1833" t="str">
        <f>"יח"</f>
        <v>יח</v>
      </c>
      <c r="N1833">
        <v>1</v>
      </c>
      <c r="O1833" t="str">
        <f>"יח"</f>
        <v>יח</v>
      </c>
      <c r="P1833" s="2">
        <v>26985</v>
      </c>
      <c r="Q1833" t="str">
        <f>"$"</f>
        <v>$</v>
      </c>
      <c r="R1833" t="str">
        <f>"הזמנה"</f>
        <v>הזמנה</v>
      </c>
      <c r="S1833">
        <v>0</v>
      </c>
      <c r="T1833" s="2">
        <v>26985</v>
      </c>
      <c r="U1833">
        <v>0</v>
      </c>
      <c r="V1833" s="2">
        <v>26985</v>
      </c>
      <c r="W1833" t="str">
        <f>"$"</f>
        <v>$</v>
      </c>
      <c r="X1833">
        <v>0</v>
      </c>
      <c r="Y1833">
        <v>0</v>
      </c>
      <c r="Z1833">
        <v>0</v>
      </c>
      <c r="AA1833" t="str">
        <f>"Y"</f>
        <v>Y</v>
      </c>
      <c r="AB1833" t="str">
        <f>"SO20000418"</f>
        <v>SO20000418</v>
      </c>
      <c r="AC1833">
        <v>30</v>
      </c>
      <c r="AD1833" s="1">
        <v>44083</v>
      </c>
      <c r="AE1833" t="str">
        <f>"SH22000430"</f>
        <v>SH22000430</v>
      </c>
      <c r="AF1833" t="str">
        <f>"משלוחים ללקוח"</f>
        <v>משלוחים ללקוח</v>
      </c>
      <c r="AG1833" s="1">
        <v>44665</v>
      </c>
      <c r="AM1833" t="str">
        <f>"10"</f>
        <v>10</v>
      </c>
      <c r="AN1833" t="str">
        <f>"500000"</f>
        <v>500000</v>
      </c>
      <c r="AO1833" t="str">
        <f>"הכנסות  מלקוחות"</f>
        <v>הכנסות  מלקוחות</v>
      </c>
      <c r="AQ1833" t="str">
        <f>"034"</f>
        <v>034</v>
      </c>
      <c r="AR1833">
        <v>0</v>
      </c>
      <c r="AS1833">
        <v>0</v>
      </c>
      <c r="AT1833">
        <v>3.1949999999999998</v>
      </c>
      <c r="AX1833" t="str">
        <f>"E000320964"</f>
        <v>E000320964</v>
      </c>
      <c r="BD1833" t="str">
        <f>"ערן שלו"</f>
        <v>ערן שלו</v>
      </c>
    </row>
    <row r="1834" spans="1:56" x14ac:dyDescent="0.3">
      <c r="A1834" s="1">
        <v>44600</v>
      </c>
      <c r="B1834" t="str">
        <f>"SI226000110"</f>
        <v>SI226000110</v>
      </c>
      <c r="E1834" t="str">
        <f>"Y"</f>
        <v>Y</v>
      </c>
      <c r="F1834" t="str">
        <f>"חשבוניות מרכזות"</f>
        <v>חשבוניות מרכזות</v>
      </c>
      <c r="G1834" t="str">
        <f>"700065"</f>
        <v>700065</v>
      </c>
      <c r="H1834" t="str">
        <f>"אלתא מערכות בע""מ"</f>
        <v>אלתא מערכות בע"מ</v>
      </c>
      <c r="I1834" t="str">
        <f>"10"</f>
        <v>10</v>
      </c>
      <c r="J1834" t="str">
        <f>"OP-AR02042"</f>
        <v>OP-AR02042</v>
      </c>
      <c r="K1834" t="str">
        <f>"PDB2  1038C870-001"</f>
        <v>PDB2  1038C870-001</v>
      </c>
      <c r="L1834">
        <v>1</v>
      </c>
      <c r="M1834" t="str">
        <f>"יח"</f>
        <v>יח</v>
      </c>
      <c r="N1834">
        <v>1</v>
      </c>
      <c r="O1834" t="str">
        <f>"יח"</f>
        <v>יח</v>
      </c>
      <c r="P1834" s="2">
        <v>26985</v>
      </c>
      <c r="Q1834" t="str">
        <f>"$"</f>
        <v>$</v>
      </c>
      <c r="R1834" t="str">
        <f>"הזמנה"</f>
        <v>הזמנה</v>
      </c>
      <c r="S1834">
        <v>0</v>
      </c>
      <c r="T1834" s="2">
        <v>26985</v>
      </c>
      <c r="U1834">
        <v>0</v>
      </c>
      <c r="V1834" s="2">
        <v>26985</v>
      </c>
      <c r="W1834" t="str">
        <f>"$"</f>
        <v>$</v>
      </c>
      <c r="X1834">
        <v>0</v>
      </c>
      <c r="Y1834">
        <v>0</v>
      </c>
      <c r="Z1834">
        <v>0</v>
      </c>
      <c r="AA1834" t="str">
        <f>"Y"</f>
        <v>Y</v>
      </c>
      <c r="AB1834" t="str">
        <f>"SO20000418"</f>
        <v>SO20000418</v>
      </c>
      <c r="AC1834">
        <v>31</v>
      </c>
      <c r="AD1834" s="1">
        <v>44083</v>
      </c>
      <c r="AM1834" t="str">
        <f>"10"</f>
        <v>10</v>
      </c>
      <c r="AN1834" t="str">
        <f>"500000"</f>
        <v>500000</v>
      </c>
      <c r="AO1834" t="str">
        <f>"הכנסות  מלקוחות"</f>
        <v>הכנסות  מלקוחות</v>
      </c>
      <c r="AQ1834" t="str">
        <f>"034"</f>
        <v>034</v>
      </c>
      <c r="AR1834">
        <v>0</v>
      </c>
      <c r="AS1834">
        <v>0</v>
      </c>
      <c r="AT1834">
        <v>3.1949999999999998</v>
      </c>
      <c r="AX1834" t="str">
        <f>"E000320964"</f>
        <v>E000320964</v>
      </c>
      <c r="BD1834" t="str">
        <f>"ערן שלו"</f>
        <v>ערן שלו</v>
      </c>
    </row>
    <row r="1835" spans="1:56" x14ac:dyDescent="0.3">
      <c r="A1835" s="1">
        <v>44598</v>
      </c>
      <c r="B1835" t="str">
        <f>"SI226000107"</f>
        <v>SI226000107</v>
      </c>
      <c r="C1835" t="str">
        <f>"PR21000874"</f>
        <v>PR21000874</v>
      </c>
      <c r="E1835" t="str">
        <f>"Y"</f>
        <v>Y</v>
      </c>
      <c r="F1835" t="str">
        <f>"חשבוניות מרכזות"</f>
        <v>חשבוניות מרכזות</v>
      </c>
      <c r="G1835" t="str">
        <f>"700065"</f>
        <v>700065</v>
      </c>
      <c r="H1835" t="str">
        <f>"אלתא מערכות בע""מ"</f>
        <v>אלתא מערכות בע"מ</v>
      </c>
      <c r="I1835" t="str">
        <f>"10"</f>
        <v>10</v>
      </c>
      <c r="J1835" t="str">
        <f>"OP-AR02869"</f>
        <v>OP-AR02869</v>
      </c>
      <c r="K1835" t="str">
        <f>"1037U569-001   CABL ASSY W9"</f>
        <v>1037U569-001   CABL ASSY W9</v>
      </c>
      <c r="L1835">
        <v>8</v>
      </c>
      <c r="M1835" t="str">
        <f>"יח"</f>
        <v>יח</v>
      </c>
      <c r="N1835">
        <v>8</v>
      </c>
      <c r="O1835" t="str">
        <f>"יח"</f>
        <v>יח</v>
      </c>
      <c r="P1835">
        <v>105.56</v>
      </c>
      <c r="Q1835" t="str">
        <f>"$"</f>
        <v>$</v>
      </c>
      <c r="R1835" t="str">
        <f>"הזמנה"</f>
        <v>הזמנה</v>
      </c>
      <c r="S1835">
        <v>0</v>
      </c>
      <c r="T1835">
        <v>844.48</v>
      </c>
      <c r="U1835">
        <v>0</v>
      </c>
      <c r="V1835">
        <v>844.48</v>
      </c>
      <c r="W1835" t="str">
        <f>"$"</f>
        <v>$</v>
      </c>
      <c r="X1835">
        <v>0</v>
      </c>
      <c r="Y1835">
        <v>0</v>
      </c>
      <c r="Z1835">
        <v>0</v>
      </c>
      <c r="AA1835" t="str">
        <f>"Y"</f>
        <v>Y</v>
      </c>
      <c r="AB1835" t="str">
        <f>"SO21000521"</f>
        <v>SO21000521</v>
      </c>
      <c r="AC1835">
        <v>2</v>
      </c>
      <c r="AD1835" s="1">
        <v>44549</v>
      </c>
      <c r="AE1835" t="str">
        <f>"SH22000134"</f>
        <v>SH22000134</v>
      </c>
      <c r="AF1835" t="str">
        <f>"משלוחים ללקוח"</f>
        <v>משלוחים ללקוח</v>
      </c>
      <c r="AG1835" s="1">
        <v>44595</v>
      </c>
      <c r="AM1835" t="str">
        <f>"10"</f>
        <v>10</v>
      </c>
      <c r="AN1835" t="str">
        <f>"500000"</f>
        <v>500000</v>
      </c>
      <c r="AO1835" t="str">
        <f>"הכנסות  מלקוחות"</f>
        <v>הכנסות  מלקוחות</v>
      </c>
      <c r="AQ1835" t="str">
        <f>"040"</f>
        <v>040</v>
      </c>
      <c r="AR1835">
        <v>0</v>
      </c>
      <c r="AS1835">
        <v>0</v>
      </c>
      <c r="AT1835">
        <v>3.1989999999999998</v>
      </c>
      <c r="AX1835" t="str">
        <f>"E000352409"</f>
        <v>E000352409</v>
      </c>
      <c r="BD1835" t="str">
        <f>"רחמים זרוק"</f>
        <v>רחמים זרוק</v>
      </c>
    </row>
    <row r="1836" spans="1:56" x14ac:dyDescent="0.3">
      <c r="A1836" s="1">
        <v>44598</v>
      </c>
      <c r="B1836" t="str">
        <f>"SI226000107"</f>
        <v>SI226000107</v>
      </c>
      <c r="C1836" t="str">
        <f>"PR21000874"</f>
        <v>PR21000874</v>
      </c>
      <c r="E1836" t="str">
        <f>"Y"</f>
        <v>Y</v>
      </c>
      <c r="F1836" t="str">
        <f>"חשבוניות מרכזות"</f>
        <v>חשבוניות מרכזות</v>
      </c>
      <c r="G1836" t="str">
        <f>"700065"</f>
        <v>700065</v>
      </c>
      <c r="H1836" t="str">
        <f>"אלתא מערכות בע""מ"</f>
        <v>אלתא מערכות בע"מ</v>
      </c>
      <c r="I1836" t="str">
        <f>"10"</f>
        <v>10</v>
      </c>
      <c r="J1836" t="str">
        <f>"OP-AR02868"</f>
        <v>OP-AR02868</v>
      </c>
      <c r="K1836" t="str">
        <f>"1021M886-001   CABLE ASSY W14"</f>
        <v>1021M886-001   CABLE ASSY W14</v>
      </c>
      <c r="L1836">
        <v>2</v>
      </c>
      <c r="M1836" t="str">
        <f>"יח"</f>
        <v>יח</v>
      </c>
      <c r="N1836">
        <v>2</v>
      </c>
      <c r="O1836" t="str">
        <f>"יח"</f>
        <v>יח</v>
      </c>
      <c r="P1836">
        <v>240.66</v>
      </c>
      <c r="Q1836" t="str">
        <f>"$"</f>
        <v>$</v>
      </c>
      <c r="R1836" t="str">
        <f>"הזמנה"</f>
        <v>הזמנה</v>
      </c>
      <c r="S1836">
        <v>0</v>
      </c>
      <c r="T1836">
        <v>481.32</v>
      </c>
      <c r="U1836">
        <v>0</v>
      </c>
      <c r="V1836">
        <v>481.32</v>
      </c>
      <c r="W1836" t="str">
        <f>"$"</f>
        <v>$</v>
      </c>
      <c r="X1836">
        <v>0</v>
      </c>
      <c r="Y1836">
        <v>0</v>
      </c>
      <c r="Z1836">
        <v>0</v>
      </c>
      <c r="AA1836" t="str">
        <f>"Y"</f>
        <v>Y</v>
      </c>
      <c r="AB1836" t="str">
        <f>"SO21000521"</f>
        <v>SO21000521</v>
      </c>
      <c r="AC1836">
        <v>1</v>
      </c>
      <c r="AD1836" s="1">
        <v>44549</v>
      </c>
      <c r="AE1836" t="str">
        <f>"SH22000134"</f>
        <v>SH22000134</v>
      </c>
      <c r="AF1836" t="str">
        <f>"משלוחים ללקוח"</f>
        <v>משלוחים ללקוח</v>
      </c>
      <c r="AG1836" s="1">
        <v>44595</v>
      </c>
      <c r="AM1836" t="str">
        <f>"10"</f>
        <v>10</v>
      </c>
      <c r="AN1836" t="str">
        <f>"500000"</f>
        <v>500000</v>
      </c>
      <c r="AO1836" t="str">
        <f>"הכנסות  מלקוחות"</f>
        <v>הכנסות  מלקוחות</v>
      </c>
      <c r="AQ1836" t="str">
        <f>"040"</f>
        <v>040</v>
      </c>
      <c r="AR1836">
        <v>0</v>
      </c>
      <c r="AS1836">
        <v>0</v>
      </c>
      <c r="AT1836">
        <v>3.1989999999999998</v>
      </c>
      <c r="AX1836" t="str">
        <f>"E000352409"</f>
        <v>E000352409</v>
      </c>
      <c r="BD1836" t="str">
        <f>"רחמים זרוק"</f>
        <v>רחמים זרוק</v>
      </c>
    </row>
    <row r="1837" spans="1:56" x14ac:dyDescent="0.3">
      <c r="A1837" s="1">
        <v>44598</v>
      </c>
      <c r="B1837" t="str">
        <f>"SI226000106"</f>
        <v>SI226000106</v>
      </c>
      <c r="C1837" t="str">
        <f>"PR22000010"</f>
        <v>PR22000010</v>
      </c>
      <c r="E1837" t="str">
        <f>"Y"</f>
        <v>Y</v>
      </c>
      <c r="F1837" t="str">
        <f>"חשבוניות מרכזות"</f>
        <v>חשבוניות מרכזות</v>
      </c>
      <c r="G1837" t="str">
        <f>"700065"</f>
        <v>700065</v>
      </c>
      <c r="H1837" t="str">
        <f>"אלתא מערכות בע""מ"</f>
        <v>אלתא מערכות בע"מ</v>
      </c>
      <c r="I1837" t="str">
        <f>"10"</f>
        <v>10</v>
      </c>
      <c r="J1837" t="str">
        <f>"OP-AR02901"</f>
        <v>OP-AR02901</v>
      </c>
      <c r="K1837" t="str">
        <f>"4005J466-001    HARNESS WN016 - ACU GND"</f>
        <v>4005J466-001    HARNESS WN016 - ACU GND</v>
      </c>
      <c r="L1837">
        <v>5</v>
      </c>
      <c r="M1837" t="str">
        <f>"יח"</f>
        <v>יח</v>
      </c>
      <c r="N1837">
        <v>5</v>
      </c>
      <c r="O1837" t="str">
        <f>"יח"</f>
        <v>יח</v>
      </c>
      <c r="P1837">
        <v>44.9</v>
      </c>
      <c r="Q1837" t="str">
        <f>"$"</f>
        <v>$</v>
      </c>
      <c r="R1837" t="str">
        <f>"הזמנה"</f>
        <v>הזמנה</v>
      </c>
      <c r="S1837">
        <v>0</v>
      </c>
      <c r="T1837">
        <v>224.5</v>
      </c>
      <c r="U1837">
        <v>0</v>
      </c>
      <c r="V1837">
        <v>224.5</v>
      </c>
      <c r="W1837" t="str">
        <f>"$"</f>
        <v>$</v>
      </c>
      <c r="X1837">
        <v>0</v>
      </c>
      <c r="Y1837">
        <v>0</v>
      </c>
      <c r="Z1837">
        <v>0</v>
      </c>
      <c r="AA1837" t="str">
        <f>"Y"</f>
        <v>Y</v>
      </c>
      <c r="AB1837" t="str">
        <f>"SO22000007"</f>
        <v>SO22000007</v>
      </c>
      <c r="AC1837">
        <v>2</v>
      </c>
      <c r="AD1837" s="1">
        <v>44565</v>
      </c>
      <c r="AE1837" t="str">
        <f>"SH22000135"</f>
        <v>SH22000135</v>
      </c>
      <c r="AF1837" t="str">
        <f>"משלוחים ללקוח"</f>
        <v>משלוחים ללקוח</v>
      </c>
      <c r="AG1837" s="1">
        <v>44595</v>
      </c>
      <c r="AM1837" t="str">
        <f>"10"</f>
        <v>10</v>
      </c>
      <c r="AN1837" t="str">
        <f>"500000"</f>
        <v>500000</v>
      </c>
      <c r="AO1837" t="str">
        <f>"הכנסות  מלקוחות"</f>
        <v>הכנסות  מלקוחות</v>
      </c>
      <c r="AQ1837" t="str">
        <f>"040"</f>
        <v>040</v>
      </c>
      <c r="AR1837">
        <v>0</v>
      </c>
      <c r="AS1837">
        <v>0</v>
      </c>
      <c r="AT1837">
        <v>3.1989999999999998</v>
      </c>
      <c r="AX1837" t="str">
        <f>"E000353717"</f>
        <v>E000353717</v>
      </c>
      <c r="BD1837" t="str">
        <f>"רחמים זרוק"</f>
        <v>רחמים זרוק</v>
      </c>
    </row>
    <row r="1838" spans="1:56" x14ac:dyDescent="0.3">
      <c r="A1838" s="1">
        <v>44598</v>
      </c>
      <c r="B1838" t="str">
        <f>"SI226000106"</f>
        <v>SI226000106</v>
      </c>
      <c r="C1838" t="str">
        <f>"PR22000010"</f>
        <v>PR22000010</v>
      </c>
      <c r="E1838" t="str">
        <f>"Y"</f>
        <v>Y</v>
      </c>
      <c r="F1838" t="str">
        <f>"חשבוניות מרכזות"</f>
        <v>חשבוניות מרכזות</v>
      </c>
      <c r="G1838" t="str">
        <f>"700065"</f>
        <v>700065</v>
      </c>
      <c r="H1838" t="str">
        <f>"אלתא מערכות בע""מ"</f>
        <v>אלתא מערכות בע"מ</v>
      </c>
      <c r="I1838" t="str">
        <f>"10"</f>
        <v>10</v>
      </c>
      <c r="J1838" t="str">
        <f>"OP-AR02902"</f>
        <v>OP-AR02902</v>
      </c>
      <c r="K1838" t="str">
        <f>"4005J467-001    HARNESS WN017 - RFDU GND"</f>
        <v>4005J467-001    HARNESS WN017 - RFDU GND</v>
      </c>
      <c r="L1838">
        <v>5</v>
      </c>
      <c r="M1838" t="str">
        <f>"יח"</f>
        <v>יח</v>
      </c>
      <c r="N1838">
        <v>5</v>
      </c>
      <c r="O1838" t="str">
        <f>"יח"</f>
        <v>יח</v>
      </c>
      <c r="P1838">
        <v>44.9</v>
      </c>
      <c r="Q1838" t="str">
        <f>"$"</f>
        <v>$</v>
      </c>
      <c r="R1838" t="str">
        <f>"הזמנה"</f>
        <v>הזמנה</v>
      </c>
      <c r="S1838">
        <v>0</v>
      </c>
      <c r="T1838">
        <v>224.5</v>
      </c>
      <c r="U1838">
        <v>0</v>
      </c>
      <c r="V1838">
        <v>224.5</v>
      </c>
      <c r="W1838" t="str">
        <f>"$"</f>
        <v>$</v>
      </c>
      <c r="X1838">
        <v>0</v>
      </c>
      <c r="Y1838">
        <v>0</v>
      </c>
      <c r="Z1838">
        <v>0</v>
      </c>
      <c r="AA1838" t="str">
        <f>"Y"</f>
        <v>Y</v>
      </c>
      <c r="AB1838" t="str">
        <f>"SO22000007"</f>
        <v>SO22000007</v>
      </c>
      <c r="AC1838">
        <v>3</v>
      </c>
      <c r="AD1838" s="1">
        <v>44565</v>
      </c>
      <c r="AE1838" t="str">
        <f>"SH22000135"</f>
        <v>SH22000135</v>
      </c>
      <c r="AF1838" t="str">
        <f>"משלוחים ללקוח"</f>
        <v>משלוחים ללקוח</v>
      </c>
      <c r="AG1838" s="1">
        <v>44595</v>
      </c>
      <c r="AM1838" t="str">
        <f>"10"</f>
        <v>10</v>
      </c>
      <c r="AN1838" t="str">
        <f>"500000"</f>
        <v>500000</v>
      </c>
      <c r="AO1838" t="str">
        <f>"הכנסות  מלקוחות"</f>
        <v>הכנסות  מלקוחות</v>
      </c>
      <c r="AQ1838" t="str">
        <f>"040"</f>
        <v>040</v>
      </c>
      <c r="AR1838">
        <v>0</v>
      </c>
      <c r="AS1838">
        <v>0</v>
      </c>
      <c r="AT1838">
        <v>3.1989999999999998</v>
      </c>
      <c r="AX1838" t="str">
        <f>"E000353717"</f>
        <v>E000353717</v>
      </c>
      <c r="BD1838" t="str">
        <f>"רחמים זרוק"</f>
        <v>רחמים זרוק</v>
      </c>
    </row>
    <row r="1839" spans="1:56" x14ac:dyDescent="0.3">
      <c r="A1839" s="1">
        <v>44598</v>
      </c>
      <c r="B1839" t="str">
        <f>"SI226000106"</f>
        <v>SI226000106</v>
      </c>
      <c r="C1839" t="str">
        <f>"PR22000010"</f>
        <v>PR22000010</v>
      </c>
      <c r="E1839" t="str">
        <f>"Y"</f>
        <v>Y</v>
      </c>
      <c r="F1839" t="str">
        <f>"חשבוניות מרכזות"</f>
        <v>חשבוניות מרכזות</v>
      </c>
      <c r="G1839" t="str">
        <f>"700065"</f>
        <v>700065</v>
      </c>
      <c r="H1839" t="str">
        <f>"אלתא מערכות בע""מ"</f>
        <v>אלתא מערכות בע"מ</v>
      </c>
      <c r="I1839" t="str">
        <f>"10"</f>
        <v>10</v>
      </c>
      <c r="J1839" t="str">
        <f>"OP-AR02903"</f>
        <v>OP-AR02903</v>
      </c>
      <c r="K1839" t="str">
        <f>"4005J468-001    HARNESS WN018 - JUMMER GND"</f>
        <v>4005J468-001    HARNESS WN018 - JUMMER GND</v>
      </c>
      <c r="L1839">
        <v>5</v>
      </c>
      <c r="M1839" t="str">
        <f>"יח"</f>
        <v>יח</v>
      </c>
      <c r="N1839">
        <v>5</v>
      </c>
      <c r="O1839" t="str">
        <f>"יח"</f>
        <v>יח</v>
      </c>
      <c r="P1839">
        <v>44.9</v>
      </c>
      <c r="Q1839" t="str">
        <f>"$"</f>
        <v>$</v>
      </c>
      <c r="R1839" t="str">
        <f>"הזמנה"</f>
        <v>הזמנה</v>
      </c>
      <c r="S1839">
        <v>0</v>
      </c>
      <c r="T1839">
        <v>224.5</v>
      </c>
      <c r="U1839">
        <v>0</v>
      </c>
      <c r="V1839">
        <v>224.5</v>
      </c>
      <c r="W1839" t="str">
        <f>"$"</f>
        <v>$</v>
      </c>
      <c r="X1839">
        <v>0</v>
      </c>
      <c r="Y1839">
        <v>0</v>
      </c>
      <c r="Z1839">
        <v>0</v>
      </c>
      <c r="AA1839" t="str">
        <f>"Y"</f>
        <v>Y</v>
      </c>
      <c r="AB1839" t="str">
        <f>"SO22000007"</f>
        <v>SO22000007</v>
      </c>
      <c r="AC1839">
        <v>4</v>
      </c>
      <c r="AD1839" s="1">
        <v>44565</v>
      </c>
      <c r="AE1839" t="str">
        <f>"SH22000135"</f>
        <v>SH22000135</v>
      </c>
      <c r="AF1839" t="str">
        <f>"משלוחים ללקוח"</f>
        <v>משלוחים ללקוח</v>
      </c>
      <c r="AG1839" s="1">
        <v>44595</v>
      </c>
      <c r="AM1839" t="str">
        <f>"10"</f>
        <v>10</v>
      </c>
      <c r="AN1839" t="str">
        <f>"500000"</f>
        <v>500000</v>
      </c>
      <c r="AO1839" t="str">
        <f>"הכנסות  מלקוחות"</f>
        <v>הכנסות  מלקוחות</v>
      </c>
      <c r="AQ1839" t="str">
        <f>"040"</f>
        <v>040</v>
      </c>
      <c r="AR1839">
        <v>0</v>
      </c>
      <c r="AS1839">
        <v>0</v>
      </c>
      <c r="AT1839">
        <v>3.1989999999999998</v>
      </c>
      <c r="AX1839" t="str">
        <f>"E000353717"</f>
        <v>E000353717</v>
      </c>
      <c r="BD1839" t="str">
        <f>"רחמים זרוק"</f>
        <v>רחמים זרוק</v>
      </c>
    </row>
    <row r="1840" spans="1:56" x14ac:dyDescent="0.3">
      <c r="A1840" s="1">
        <v>44594</v>
      </c>
      <c r="B1840" t="str">
        <f>"SI226000104"</f>
        <v>SI226000104</v>
      </c>
      <c r="E1840" t="str">
        <f>"Y"</f>
        <v>Y</v>
      </c>
      <c r="F1840" t="str">
        <f>"חשבוניות מרכזות"</f>
        <v>חשבוניות מרכזות</v>
      </c>
      <c r="G1840" t="str">
        <f>"700065"</f>
        <v>700065</v>
      </c>
      <c r="H1840" t="str">
        <f>"אלתא מערכות בע""מ"</f>
        <v>אלתא מערכות בע"מ</v>
      </c>
      <c r="I1840" t="str">
        <f>"10"</f>
        <v>10</v>
      </c>
      <c r="J1840" t="str">
        <f>"OP-AR02798"</f>
        <v>OP-AR02798</v>
      </c>
      <c r="K1840" t="str">
        <f>"NRE לכבלים בהזמנה E000345587"</f>
        <v>NRE לכבלים בהזמנה E000345587</v>
      </c>
      <c r="L1840">
        <v>1</v>
      </c>
      <c r="M1840" t="str">
        <f>"יח"</f>
        <v>יח</v>
      </c>
      <c r="N1840">
        <v>1</v>
      </c>
      <c r="O1840" t="str">
        <f>"יח"</f>
        <v>יח</v>
      </c>
      <c r="P1840">
        <v>378</v>
      </c>
      <c r="Q1840" t="str">
        <f>"$"</f>
        <v>$</v>
      </c>
      <c r="R1840" t="str">
        <f>"הזמנה"</f>
        <v>הזמנה</v>
      </c>
      <c r="S1840">
        <v>0</v>
      </c>
      <c r="T1840">
        <v>378</v>
      </c>
      <c r="U1840">
        <v>0</v>
      </c>
      <c r="V1840">
        <v>378</v>
      </c>
      <c r="W1840" t="str">
        <f>"$"</f>
        <v>$</v>
      </c>
      <c r="X1840">
        <v>0</v>
      </c>
      <c r="Y1840">
        <v>0</v>
      </c>
      <c r="Z1840">
        <v>0</v>
      </c>
      <c r="AA1840" t="str">
        <f>"Y"</f>
        <v>Y</v>
      </c>
      <c r="AB1840" t="str">
        <f>"SO21000406"</f>
        <v>SO21000406</v>
      </c>
      <c r="AC1840">
        <v>6</v>
      </c>
      <c r="AD1840" s="1">
        <v>44458</v>
      </c>
      <c r="AM1840" t="str">
        <f>"10"</f>
        <v>10</v>
      </c>
      <c r="AN1840" t="str">
        <f>"500000"</f>
        <v>500000</v>
      </c>
      <c r="AO1840" t="str">
        <f>"הכנסות  מלקוחות"</f>
        <v>הכנסות  מלקוחות</v>
      </c>
      <c r="AQ1840" t="str">
        <f>"040"</f>
        <v>040</v>
      </c>
      <c r="AR1840">
        <v>0</v>
      </c>
      <c r="AS1840">
        <v>0</v>
      </c>
      <c r="AT1840">
        <v>3.169</v>
      </c>
      <c r="AX1840" t="str">
        <f>"E000345587"</f>
        <v>E000345587</v>
      </c>
      <c r="BD1840" t="str">
        <f>"רחמים זרוק"</f>
        <v>רחמים זרוק</v>
      </c>
    </row>
    <row r="1841" spans="1:56" x14ac:dyDescent="0.3">
      <c r="A1841" s="1">
        <v>44593</v>
      </c>
      <c r="B1841" t="str">
        <f>"SI226000105"</f>
        <v>SI226000105</v>
      </c>
      <c r="C1841" t="str">
        <f>"PR18000543"</f>
        <v>PR18000543</v>
      </c>
      <c r="E1841" t="str">
        <f>"Y"</f>
        <v>Y</v>
      </c>
      <c r="F1841" t="str">
        <f>"חשבוניות מרכזות"</f>
        <v>חשבוניות מרכזות</v>
      </c>
      <c r="G1841" t="str">
        <f>"700065"</f>
        <v>700065</v>
      </c>
      <c r="H1841" t="str">
        <f>"אלתא מערכות בע""מ"</f>
        <v>אלתא מערכות בע"מ</v>
      </c>
      <c r="I1841" t="str">
        <f>"10"</f>
        <v>10</v>
      </c>
      <c r="J1841" t="str">
        <f>"OP-AR01083"</f>
        <v>OP-AR01083</v>
      </c>
      <c r="K1841" t="str">
        <f>"1036C960-001 HVJB_N"</f>
        <v>1036C960-001 HVJB_N</v>
      </c>
      <c r="L1841">
        <v>1</v>
      </c>
      <c r="M1841" t="str">
        <f>"יח"</f>
        <v>יח</v>
      </c>
      <c r="N1841">
        <v>1</v>
      </c>
      <c r="O1841" t="str">
        <f>"יח"</f>
        <v>יח</v>
      </c>
      <c r="P1841" s="2">
        <v>6000</v>
      </c>
      <c r="Q1841" t="str">
        <f>"$"</f>
        <v>$</v>
      </c>
      <c r="R1841" t="str">
        <f>"הזמנה"</f>
        <v>הזמנה</v>
      </c>
      <c r="S1841">
        <v>0</v>
      </c>
      <c r="T1841" s="2">
        <v>6000</v>
      </c>
      <c r="U1841">
        <v>0</v>
      </c>
      <c r="V1841" s="2">
        <v>6000</v>
      </c>
      <c r="W1841" t="str">
        <f>"$"</f>
        <v>$</v>
      </c>
      <c r="X1841">
        <v>0</v>
      </c>
      <c r="Y1841">
        <v>0</v>
      </c>
      <c r="Z1841">
        <v>0</v>
      </c>
      <c r="AA1841" t="str">
        <f>"Y"</f>
        <v>Y</v>
      </c>
      <c r="AB1841" t="str">
        <f>"SO19000320"</f>
        <v>SO19000320</v>
      </c>
      <c r="AC1841">
        <v>9</v>
      </c>
      <c r="AD1841" s="1">
        <v>43667</v>
      </c>
      <c r="AE1841" t="str">
        <f>"SH22000115"</f>
        <v>SH22000115</v>
      </c>
      <c r="AF1841" t="str">
        <f>"משלוחים ללקוח"</f>
        <v>משלוחים ללקוח</v>
      </c>
      <c r="AG1841" s="1">
        <v>44593</v>
      </c>
      <c r="AM1841" t="str">
        <f>"10"</f>
        <v>10</v>
      </c>
      <c r="AN1841" t="str">
        <f>"500000"</f>
        <v>500000</v>
      </c>
      <c r="AO1841" t="str">
        <f>"הכנסות  מלקוחות"</f>
        <v>הכנסות  מלקוחות</v>
      </c>
      <c r="AQ1841" t="str">
        <f>"034"</f>
        <v>034</v>
      </c>
      <c r="AR1841">
        <v>0</v>
      </c>
      <c r="AS1841">
        <v>0</v>
      </c>
      <c r="AT1841">
        <v>3.1949999999999998</v>
      </c>
      <c r="AX1841" t="str">
        <f>"E000290709"</f>
        <v>E000290709</v>
      </c>
      <c r="BD1841" t="str">
        <f>"ערן שלו"</f>
        <v>ערן שלו</v>
      </c>
    </row>
    <row r="1842" spans="1:56" x14ac:dyDescent="0.3">
      <c r="A1842" s="1">
        <v>44591</v>
      </c>
      <c r="B1842" t="str">
        <f>"SI226000164"</f>
        <v>SI226000164</v>
      </c>
      <c r="E1842" t="str">
        <f>"Y"</f>
        <v>Y</v>
      </c>
      <c r="F1842" t="str">
        <f>"חשבוניות מרכזות"</f>
        <v>חשבוניות מרכזות</v>
      </c>
      <c r="G1842" t="str">
        <f>"700065"</f>
        <v>700065</v>
      </c>
      <c r="H1842" t="str">
        <f>"אלתא מערכות בע""מ"</f>
        <v>אלתא מערכות בע"מ</v>
      </c>
      <c r="I1842" t="str">
        <f>"10"</f>
        <v>10</v>
      </c>
      <c r="J1842" t="str">
        <f>"000"</f>
        <v>000</v>
      </c>
      <c r="K1842" t="str">
        <f>"NRE FOR 1038C906-001"</f>
        <v>NRE FOR 1038C906-001</v>
      </c>
      <c r="L1842">
        <v>-1</v>
      </c>
      <c r="M1842" t="str">
        <f>"יח"</f>
        <v>יח</v>
      </c>
      <c r="N1842">
        <v>-1</v>
      </c>
      <c r="O1842" t="str">
        <f>"יח"</f>
        <v>יח</v>
      </c>
      <c r="P1842" s="2">
        <v>110000</v>
      </c>
      <c r="Q1842" t="str">
        <f>"$"</f>
        <v>$</v>
      </c>
      <c r="R1842" t="str">
        <f>"ידני"</f>
        <v>ידני</v>
      </c>
      <c r="S1842">
        <v>0</v>
      </c>
      <c r="T1842" s="2">
        <v>-110000</v>
      </c>
      <c r="U1842">
        <v>0</v>
      </c>
      <c r="V1842" s="2">
        <v>-110000</v>
      </c>
      <c r="W1842" t="str">
        <f>"$"</f>
        <v>$</v>
      </c>
      <c r="X1842">
        <v>0</v>
      </c>
      <c r="Y1842">
        <v>0</v>
      </c>
      <c r="Z1842">
        <v>0</v>
      </c>
      <c r="AA1842" t="str">
        <f>"Y"</f>
        <v>Y</v>
      </c>
      <c r="AC1842">
        <v>0</v>
      </c>
      <c r="AM1842" t="str">
        <f>"10"</f>
        <v>10</v>
      </c>
      <c r="AN1842" t="str">
        <f>"500000"</f>
        <v>500000</v>
      </c>
      <c r="AO1842" t="str">
        <f>"הכנסות  מלקוחות"</f>
        <v>הכנסות  מלקוחות</v>
      </c>
      <c r="AQ1842" t="str">
        <f>"034"</f>
        <v>034</v>
      </c>
      <c r="AR1842">
        <v>0</v>
      </c>
      <c r="AS1842">
        <v>0</v>
      </c>
      <c r="AT1842">
        <v>3.2269999999999999</v>
      </c>
      <c r="BB1842" t="str">
        <f>"Y"</f>
        <v>Y</v>
      </c>
      <c r="BD1842" t="str">
        <f>"ערן שלו"</f>
        <v>ערן שלו</v>
      </c>
    </row>
    <row r="1843" spans="1:56" x14ac:dyDescent="0.3">
      <c r="A1843" s="1">
        <v>44591</v>
      </c>
      <c r="B1843" t="str">
        <f>"SI226000093"</f>
        <v>SI226000093</v>
      </c>
      <c r="E1843" t="str">
        <f>"Y"</f>
        <v>Y</v>
      </c>
      <c r="F1843" t="str">
        <f>"חשבוניות מרכזות"</f>
        <v>חשבוניות מרכזות</v>
      </c>
      <c r="G1843" t="str">
        <f>"700065"</f>
        <v>700065</v>
      </c>
      <c r="H1843" t="str">
        <f>"אלתא מערכות בע""מ"</f>
        <v>אלתא מערכות בע"מ</v>
      </c>
      <c r="I1843" t="str">
        <f>"10"</f>
        <v>10</v>
      </c>
      <c r="J1843" t="str">
        <f>"000"</f>
        <v>000</v>
      </c>
      <c r="K1843" t="str">
        <f>"NRE"</f>
        <v>NRE</v>
      </c>
      <c r="L1843">
        <v>1</v>
      </c>
      <c r="M1843" t="str">
        <f>"יח"</f>
        <v>יח</v>
      </c>
      <c r="N1843">
        <v>1</v>
      </c>
      <c r="O1843" t="str">
        <f>"יח"</f>
        <v>יח</v>
      </c>
      <c r="P1843" s="2">
        <v>70000</v>
      </c>
      <c r="Q1843" t="str">
        <f>"$"</f>
        <v>$</v>
      </c>
      <c r="R1843" t="str">
        <f>"הזמנה"</f>
        <v>הזמנה</v>
      </c>
      <c r="S1843">
        <v>0</v>
      </c>
      <c r="T1843" s="2">
        <v>70000</v>
      </c>
      <c r="U1843">
        <v>0</v>
      </c>
      <c r="V1843" s="2">
        <v>70000</v>
      </c>
      <c r="W1843" t="str">
        <f>"$"</f>
        <v>$</v>
      </c>
      <c r="X1843">
        <v>0</v>
      </c>
      <c r="Y1843">
        <v>0</v>
      </c>
      <c r="Z1843">
        <v>0</v>
      </c>
      <c r="AA1843" t="str">
        <f>"Y"</f>
        <v>Y</v>
      </c>
      <c r="AB1843" t="str">
        <f>"SO20000418"</f>
        <v>SO20000418</v>
      </c>
      <c r="AC1843">
        <v>1</v>
      </c>
      <c r="AD1843" s="1">
        <v>44083</v>
      </c>
      <c r="AM1843" t="str">
        <f>"10"</f>
        <v>10</v>
      </c>
      <c r="AN1843" t="str">
        <f>"500000"</f>
        <v>500000</v>
      </c>
      <c r="AO1843" t="str">
        <f>"הכנסות  מלקוחות"</f>
        <v>הכנסות  מלקוחות</v>
      </c>
      <c r="AQ1843" t="str">
        <f>"034"</f>
        <v>034</v>
      </c>
      <c r="AR1843">
        <v>0</v>
      </c>
      <c r="AS1843">
        <v>0</v>
      </c>
      <c r="AT1843">
        <v>3.1960000000000002</v>
      </c>
      <c r="AX1843" t="str">
        <f>"E000320964"</f>
        <v>E000320964</v>
      </c>
      <c r="BD1843" t="str">
        <f>"ערן שלו"</f>
        <v>ערן שלו</v>
      </c>
    </row>
    <row r="1844" spans="1:56" x14ac:dyDescent="0.3">
      <c r="A1844" s="1">
        <v>44581</v>
      </c>
      <c r="B1844" t="str">
        <f>"SI226000062"</f>
        <v>SI226000062</v>
      </c>
      <c r="C1844" t="str">
        <f>"PR21000417"</f>
        <v>PR21000417</v>
      </c>
      <c r="E1844" t="str">
        <f>"Y"</f>
        <v>Y</v>
      </c>
      <c r="F1844" t="str">
        <f>"חשבוניות מרכזות"</f>
        <v>חשבוניות מרכזות</v>
      </c>
      <c r="G1844" t="str">
        <f>"700065"</f>
        <v>700065</v>
      </c>
      <c r="H1844" t="str">
        <f>"אלתא מערכות בע""מ"</f>
        <v>אלתא מערכות בע"מ</v>
      </c>
      <c r="I1844" t="str">
        <f>"10"</f>
        <v>10</v>
      </c>
      <c r="J1844" t="str">
        <f>"OP-ML00197"</f>
        <v>OP-ML00197</v>
      </c>
      <c r="K1844" t="str">
        <f>"1038C816-001 COMPUTER RACK"</f>
        <v>1038C816-001 COMPUTER RACK</v>
      </c>
      <c r="L1844">
        <v>-1</v>
      </c>
      <c r="M1844" t="str">
        <f>"יח"</f>
        <v>יח</v>
      </c>
      <c r="N1844">
        <v>-1</v>
      </c>
      <c r="O1844" t="str">
        <f>"יח"</f>
        <v>יח</v>
      </c>
      <c r="P1844" s="2">
        <v>47500</v>
      </c>
      <c r="Q1844" t="str">
        <f>"$"</f>
        <v>$</v>
      </c>
      <c r="R1844" t="str">
        <f>"הזמנה"</f>
        <v>הזמנה</v>
      </c>
      <c r="S1844">
        <v>0</v>
      </c>
      <c r="T1844" s="2">
        <v>-47500</v>
      </c>
      <c r="U1844">
        <v>0</v>
      </c>
      <c r="V1844" s="2">
        <v>-47500</v>
      </c>
      <c r="W1844" t="str">
        <f>"$"</f>
        <v>$</v>
      </c>
      <c r="X1844">
        <v>0</v>
      </c>
      <c r="Y1844">
        <v>0</v>
      </c>
      <c r="Z1844">
        <v>0</v>
      </c>
      <c r="AA1844" t="str">
        <f>"Y"</f>
        <v>Y</v>
      </c>
      <c r="AC1844">
        <v>0</v>
      </c>
      <c r="AM1844" t="str">
        <f>"10"</f>
        <v>10</v>
      </c>
      <c r="AN1844" t="str">
        <f>"500000"</f>
        <v>500000</v>
      </c>
      <c r="AO1844" t="str">
        <f>"הכנסות  מלקוחות"</f>
        <v>הכנסות  מלקוחות</v>
      </c>
      <c r="AQ1844" t="str">
        <f>"034"</f>
        <v>034</v>
      </c>
      <c r="AR1844">
        <v>0</v>
      </c>
      <c r="AS1844">
        <v>0</v>
      </c>
      <c r="AT1844">
        <v>3.125</v>
      </c>
      <c r="BB1844" t="str">
        <f>"Y"</f>
        <v>Y</v>
      </c>
      <c r="BD1844" t="str">
        <f>"ערן שלו"</f>
        <v>ערן שלו</v>
      </c>
    </row>
    <row r="1845" spans="1:56" x14ac:dyDescent="0.3">
      <c r="A1845" s="1">
        <v>44581</v>
      </c>
      <c r="B1845" t="str">
        <f>"SI226000061"</f>
        <v>SI226000061</v>
      </c>
      <c r="C1845" t="str">
        <f>"PR21000284"</f>
        <v>PR21000284</v>
      </c>
      <c r="E1845" t="str">
        <f>"Y"</f>
        <v>Y</v>
      </c>
      <c r="F1845" t="str">
        <f>"חשבוניות מרכזות"</f>
        <v>חשבוניות מרכזות</v>
      </c>
      <c r="G1845" t="str">
        <f>"700065"</f>
        <v>700065</v>
      </c>
      <c r="H1845" t="str">
        <f>"אלתא מערכות בע""מ"</f>
        <v>אלתא מערכות בע"מ</v>
      </c>
      <c r="I1845" t="str">
        <f>"10"</f>
        <v>10</v>
      </c>
      <c r="J1845" t="str">
        <f>"000"</f>
        <v>000</v>
      </c>
      <c r="K1845" t="str">
        <f>"בדיקות ספק כוח"</f>
        <v>בדיקות ספק כוח</v>
      </c>
      <c r="L1845">
        <v>1</v>
      </c>
      <c r="M1845" t="str">
        <f>"יח"</f>
        <v>יח</v>
      </c>
      <c r="N1845">
        <v>1</v>
      </c>
      <c r="O1845" t="str">
        <f>"יח"</f>
        <v>יח</v>
      </c>
      <c r="P1845" s="2">
        <v>27000</v>
      </c>
      <c r="Q1845" t="str">
        <f>"$"</f>
        <v>$</v>
      </c>
      <c r="R1845" t="str">
        <f>"הזמנה"</f>
        <v>הזמנה</v>
      </c>
      <c r="S1845">
        <v>0</v>
      </c>
      <c r="T1845" s="2">
        <v>27000</v>
      </c>
      <c r="U1845">
        <v>0</v>
      </c>
      <c r="V1845" s="2">
        <v>27000</v>
      </c>
      <c r="W1845" t="str">
        <f>"$"</f>
        <v>$</v>
      </c>
      <c r="X1845">
        <v>0</v>
      </c>
      <c r="Y1845">
        <v>0</v>
      </c>
      <c r="Z1845">
        <v>0</v>
      </c>
      <c r="AA1845" t="str">
        <f>"Y"</f>
        <v>Y</v>
      </c>
      <c r="AC1845">
        <v>0</v>
      </c>
      <c r="AM1845" t="str">
        <f>"10"</f>
        <v>10</v>
      </c>
      <c r="AN1845" t="str">
        <f>"500000"</f>
        <v>500000</v>
      </c>
      <c r="AO1845" t="str">
        <f>"הכנסות  מלקוחות"</f>
        <v>הכנסות  מלקוחות</v>
      </c>
      <c r="AQ1845" t="str">
        <f>"034"</f>
        <v>034</v>
      </c>
      <c r="AR1845">
        <v>0</v>
      </c>
      <c r="AS1845">
        <v>0</v>
      </c>
      <c r="AT1845">
        <v>3.105</v>
      </c>
      <c r="BB1845" t="str">
        <f>"Y"</f>
        <v>Y</v>
      </c>
      <c r="BD1845" t="str">
        <f>"ערן שלו"</f>
        <v>ערן שלו</v>
      </c>
    </row>
    <row r="1846" spans="1:56" x14ac:dyDescent="0.3">
      <c r="A1846" s="1">
        <v>44581</v>
      </c>
      <c r="B1846" t="str">
        <f>"SI226000061"</f>
        <v>SI226000061</v>
      </c>
      <c r="C1846" t="str">
        <f>"PR21000284"</f>
        <v>PR21000284</v>
      </c>
      <c r="E1846" t="str">
        <f>"Y"</f>
        <v>Y</v>
      </c>
      <c r="F1846" t="str">
        <f>"חשבוניות מרכזות"</f>
        <v>חשבוניות מרכזות</v>
      </c>
      <c r="G1846" t="str">
        <f>"700065"</f>
        <v>700065</v>
      </c>
      <c r="H1846" t="str">
        <f>"אלתא מערכות בע""מ"</f>
        <v>אלתא מערכות בע"מ</v>
      </c>
      <c r="I1846" t="str">
        <f>"10"</f>
        <v>10</v>
      </c>
      <c r="J1846" t="str">
        <f>"OP-AR02134"</f>
        <v>OP-AR02134</v>
      </c>
      <c r="K1846" t="str">
        <f>"RMY-01 POWER SYSTEM"</f>
        <v>RMY-01 POWER SYSTEM</v>
      </c>
      <c r="L1846">
        <v>1</v>
      </c>
      <c r="M1846" t="str">
        <f>"יח"</f>
        <v>יח</v>
      </c>
      <c r="N1846">
        <v>1</v>
      </c>
      <c r="O1846" t="str">
        <f>"יח"</f>
        <v>יח</v>
      </c>
      <c r="P1846" s="2">
        <v>17713</v>
      </c>
      <c r="Q1846" t="str">
        <f>"$"</f>
        <v>$</v>
      </c>
      <c r="R1846" t="str">
        <f>"הזמנה"</f>
        <v>הזמנה</v>
      </c>
      <c r="S1846">
        <v>0</v>
      </c>
      <c r="T1846" s="2">
        <v>17713</v>
      </c>
      <c r="U1846">
        <v>0</v>
      </c>
      <c r="V1846" s="2">
        <v>17713</v>
      </c>
      <c r="W1846" t="str">
        <f>"$"</f>
        <v>$</v>
      </c>
      <c r="X1846">
        <v>0</v>
      </c>
      <c r="Y1846">
        <v>0</v>
      </c>
      <c r="Z1846">
        <v>0</v>
      </c>
      <c r="AA1846" t="str">
        <f>"Y"</f>
        <v>Y</v>
      </c>
      <c r="AC1846">
        <v>0</v>
      </c>
      <c r="AM1846" t="str">
        <f>"10"</f>
        <v>10</v>
      </c>
      <c r="AN1846" t="str">
        <f>"500000"</f>
        <v>500000</v>
      </c>
      <c r="AO1846" t="str">
        <f>"הכנסות  מלקוחות"</f>
        <v>הכנסות  מלקוחות</v>
      </c>
      <c r="AQ1846" t="str">
        <f>"034"</f>
        <v>034</v>
      </c>
      <c r="AR1846">
        <v>0</v>
      </c>
      <c r="AS1846">
        <v>0</v>
      </c>
      <c r="AT1846">
        <v>3.105</v>
      </c>
      <c r="BB1846" t="str">
        <f>"Y"</f>
        <v>Y</v>
      </c>
      <c r="BD1846" t="str">
        <f>"ערן שלו"</f>
        <v>ערן שלו</v>
      </c>
    </row>
    <row r="1847" spans="1:56" x14ac:dyDescent="0.3">
      <c r="A1847" s="1">
        <v>44581</v>
      </c>
      <c r="B1847" t="str">
        <f>"SI226000060"</f>
        <v>SI226000060</v>
      </c>
      <c r="C1847" t="str">
        <f>"PR21000417"</f>
        <v>PR21000417</v>
      </c>
      <c r="E1847" t="str">
        <f>"Y"</f>
        <v>Y</v>
      </c>
      <c r="F1847" t="str">
        <f>"חשבוניות מרכזות"</f>
        <v>חשבוניות מרכזות</v>
      </c>
      <c r="G1847" t="str">
        <f>"700065"</f>
        <v>700065</v>
      </c>
      <c r="H1847" t="str">
        <f>"אלתא מערכות בע""מ"</f>
        <v>אלתא מערכות בע"מ</v>
      </c>
      <c r="I1847" t="str">
        <f>"10"</f>
        <v>10</v>
      </c>
      <c r="J1847" t="str">
        <f>"OP-ML00197"</f>
        <v>OP-ML00197</v>
      </c>
      <c r="K1847" t="str">
        <f>"1038C816-001 COMPUTER RACK"</f>
        <v>1038C816-001 COMPUTER RACK</v>
      </c>
      <c r="L1847">
        <v>1</v>
      </c>
      <c r="M1847" t="str">
        <f>"יח"</f>
        <v>יח</v>
      </c>
      <c r="N1847">
        <v>1</v>
      </c>
      <c r="O1847" t="str">
        <f>"יח"</f>
        <v>יח</v>
      </c>
      <c r="P1847" s="2">
        <v>47500</v>
      </c>
      <c r="Q1847" t="str">
        <f>"$"</f>
        <v>$</v>
      </c>
      <c r="R1847" t="str">
        <f>"הזמנה"</f>
        <v>הזמנה</v>
      </c>
      <c r="S1847">
        <v>0</v>
      </c>
      <c r="T1847" s="2">
        <v>47500</v>
      </c>
      <c r="U1847">
        <v>0</v>
      </c>
      <c r="V1847" s="2">
        <v>47500</v>
      </c>
      <c r="W1847" t="str">
        <f>"$"</f>
        <v>$</v>
      </c>
      <c r="X1847">
        <v>0</v>
      </c>
      <c r="Y1847">
        <v>0</v>
      </c>
      <c r="Z1847">
        <v>0</v>
      </c>
      <c r="AA1847" t="str">
        <f>"Y"</f>
        <v>Y</v>
      </c>
      <c r="AC1847">
        <v>0</v>
      </c>
      <c r="AM1847" t="str">
        <f>"10"</f>
        <v>10</v>
      </c>
      <c r="AN1847" t="str">
        <f>"500000"</f>
        <v>500000</v>
      </c>
      <c r="AO1847" t="str">
        <f>"הכנסות  מלקוחות"</f>
        <v>הכנסות  מלקוחות</v>
      </c>
      <c r="AQ1847" t="str">
        <f>"034"</f>
        <v>034</v>
      </c>
      <c r="AR1847">
        <v>0</v>
      </c>
      <c r="AS1847">
        <v>0</v>
      </c>
      <c r="AT1847">
        <v>3.125</v>
      </c>
      <c r="BB1847" t="str">
        <f>"Y"</f>
        <v>Y</v>
      </c>
      <c r="BD1847" t="str">
        <f>"ערן שלו"</f>
        <v>ערן שלו</v>
      </c>
    </row>
    <row r="1848" spans="1:56" x14ac:dyDescent="0.3">
      <c r="A1848" s="1">
        <v>44577</v>
      </c>
      <c r="B1848" t="str">
        <f>"SI226000131"</f>
        <v>SI226000131</v>
      </c>
      <c r="C1848" t="str">
        <f>"PR20000779"</f>
        <v>PR20000779</v>
      </c>
      <c r="D1848" t="str">
        <f>"PR20000779"</f>
        <v>PR20000779</v>
      </c>
      <c r="E1848" t="str">
        <f>"Y"</f>
        <v>Y</v>
      </c>
      <c r="F1848" t="str">
        <f>"חשבוניות מרכזות"</f>
        <v>חשבוניות מרכזות</v>
      </c>
      <c r="G1848" t="str">
        <f>"700065"</f>
        <v>700065</v>
      </c>
      <c r="H1848" t="str">
        <f>"אלתא מערכות בע""מ"</f>
        <v>אלתא מערכות בע"מ</v>
      </c>
      <c r="I1848" t="str">
        <f>"10"</f>
        <v>10</v>
      </c>
      <c r="J1848" t="str">
        <f>"OP-AR02060"</f>
        <v>OP-AR02060</v>
      </c>
      <c r="K1848" t="str">
        <f>"2022E632-001/-  AirTM V2.1 LIGHT CABLE ASSY"</f>
        <v>2022E632-001/-  AirTM V2.1 LIGHT CABLE ASSY</v>
      </c>
      <c r="L1848">
        <v>8</v>
      </c>
      <c r="M1848" t="str">
        <f>"יח"</f>
        <v>יח</v>
      </c>
      <c r="N1848">
        <v>8</v>
      </c>
      <c r="O1848" t="str">
        <f>"יח"</f>
        <v>יח</v>
      </c>
      <c r="P1848">
        <v>295.55</v>
      </c>
      <c r="Q1848" t="str">
        <f>"$"</f>
        <v>$</v>
      </c>
      <c r="R1848" t="str">
        <f>"הזמנה"</f>
        <v>הזמנה</v>
      </c>
      <c r="S1848">
        <v>0</v>
      </c>
      <c r="T1848" s="2">
        <v>2364.4</v>
      </c>
      <c r="U1848">
        <v>0</v>
      </c>
      <c r="V1848" s="2">
        <v>2364.4</v>
      </c>
      <c r="W1848" t="str">
        <f>"$"</f>
        <v>$</v>
      </c>
      <c r="X1848">
        <v>0</v>
      </c>
      <c r="Y1848">
        <v>0</v>
      </c>
      <c r="Z1848">
        <v>0</v>
      </c>
      <c r="AA1848" t="str">
        <f>"Y"</f>
        <v>Y</v>
      </c>
      <c r="AB1848" t="str">
        <f>"SO20000496"</f>
        <v>SO20000496</v>
      </c>
      <c r="AC1848">
        <v>1</v>
      </c>
      <c r="AD1848" s="1">
        <v>44138</v>
      </c>
      <c r="AE1848" t="str">
        <f>"SH21000064"</f>
        <v>SH21000064</v>
      </c>
      <c r="AF1848" t="str">
        <f>"משלוחים ללקוח"</f>
        <v>משלוחים ללקוח</v>
      </c>
      <c r="AG1848" s="1">
        <v>44210</v>
      </c>
      <c r="AM1848" t="str">
        <f>"10"</f>
        <v>10</v>
      </c>
      <c r="AN1848" t="str">
        <f>"500000"</f>
        <v>500000</v>
      </c>
      <c r="AO1848" t="str">
        <f>"הכנסות  מלקוחות"</f>
        <v>הכנסות  מלקוחות</v>
      </c>
      <c r="AQ1848" t="str">
        <f>"034"</f>
        <v>034</v>
      </c>
      <c r="AR1848">
        <v>0</v>
      </c>
      <c r="AS1848">
        <v>0</v>
      </c>
      <c r="AT1848">
        <v>3.1110000000000002</v>
      </c>
      <c r="AX1848" t="str">
        <f>"E000323819"</f>
        <v>E000323819</v>
      </c>
      <c r="BD1848" t="str">
        <f>"ערן שלו"</f>
        <v>ערן שלו</v>
      </c>
    </row>
    <row r="1849" spans="1:56" x14ac:dyDescent="0.3">
      <c r="A1849" s="1">
        <v>44573</v>
      </c>
      <c r="B1849" t="str">
        <f>"SI226000057"</f>
        <v>SI226000057</v>
      </c>
      <c r="C1849" t="str">
        <f>"PR20000834"</f>
        <v>PR20000834</v>
      </c>
      <c r="D1849" t="str">
        <f>"PR20000834"</f>
        <v>PR20000834</v>
      </c>
      <c r="E1849" t="str">
        <f>"Y"</f>
        <v>Y</v>
      </c>
      <c r="F1849" t="str">
        <f>"חשבוניות מרכזות"</f>
        <v>חשבוניות מרכזות</v>
      </c>
      <c r="G1849" t="str">
        <f>"700065"</f>
        <v>700065</v>
      </c>
      <c r="H1849" t="str">
        <f>"אלתא מערכות בע""מ"</f>
        <v>אלתא מערכות בע"מ</v>
      </c>
      <c r="I1849" t="str">
        <f>"10"</f>
        <v>10</v>
      </c>
      <c r="J1849" t="str">
        <f>"OP-AR02104"</f>
        <v>OP-AR02104</v>
      </c>
      <c r="K1849" t="str">
        <f>"1032F921-001/-   ETHERNET CABLE MFR-W921 - FILTE"</f>
        <v>1032F921-001/-   ETHERNET CABLE MFR-W921 - FILTE</v>
      </c>
      <c r="L1849">
        <v>4</v>
      </c>
      <c r="M1849" t="str">
        <f>"יח"</f>
        <v>יח</v>
      </c>
      <c r="N1849">
        <v>4</v>
      </c>
      <c r="O1849" t="str">
        <f>"יח"</f>
        <v>יח</v>
      </c>
      <c r="P1849">
        <v>174</v>
      </c>
      <c r="Q1849" t="str">
        <f>"$"</f>
        <v>$</v>
      </c>
      <c r="R1849" t="str">
        <f>"הזמנה"</f>
        <v>הזמנה</v>
      </c>
      <c r="S1849">
        <v>0</v>
      </c>
      <c r="T1849">
        <v>696</v>
      </c>
      <c r="U1849">
        <v>0</v>
      </c>
      <c r="V1849">
        <v>696</v>
      </c>
      <c r="W1849" t="str">
        <f>"$"</f>
        <v>$</v>
      </c>
      <c r="X1849">
        <v>0</v>
      </c>
      <c r="Y1849">
        <v>0</v>
      </c>
      <c r="Z1849">
        <v>0</v>
      </c>
      <c r="AA1849" t="str">
        <f>"Y"</f>
        <v>Y</v>
      </c>
      <c r="AB1849" t="str">
        <f>"SO20000532"</f>
        <v>SO20000532</v>
      </c>
      <c r="AC1849">
        <v>8</v>
      </c>
      <c r="AD1849" s="1">
        <v>44155</v>
      </c>
      <c r="AE1849" t="str">
        <f>"SH22000032"</f>
        <v>SH22000032</v>
      </c>
      <c r="AF1849" t="str">
        <f>"משלוחים ללקוח"</f>
        <v>משלוחים ללקוח</v>
      </c>
      <c r="AG1849" s="1">
        <v>44571</v>
      </c>
      <c r="AM1849" t="str">
        <f>"10"</f>
        <v>10</v>
      </c>
      <c r="AN1849" t="str">
        <f>"500000"</f>
        <v>500000</v>
      </c>
      <c r="AO1849" t="str">
        <f>"הכנסות  מלקוחות"</f>
        <v>הכנסות  מלקוחות</v>
      </c>
      <c r="AQ1849" t="str">
        <f>"034"</f>
        <v>034</v>
      </c>
      <c r="AR1849">
        <v>0</v>
      </c>
      <c r="AS1849">
        <v>0</v>
      </c>
      <c r="AT1849">
        <v>3.1120000000000001</v>
      </c>
      <c r="AX1849" t="str">
        <f>"E000321177"</f>
        <v>E000321177</v>
      </c>
      <c r="BD1849" t="str">
        <f>"ערן שלו"</f>
        <v>ערן שלו</v>
      </c>
    </row>
    <row r="1850" spans="1:56" x14ac:dyDescent="0.3">
      <c r="A1850" s="1">
        <v>44573</v>
      </c>
      <c r="B1850" t="str">
        <f>"SI226000057"</f>
        <v>SI226000057</v>
      </c>
      <c r="C1850" t="str">
        <f>"PR20000834"</f>
        <v>PR20000834</v>
      </c>
      <c r="D1850" t="str">
        <f>"PR20000834"</f>
        <v>PR20000834</v>
      </c>
      <c r="E1850" t="str">
        <f>"Y"</f>
        <v>Y</v>
      </c>
      <c r="F1850" t="str">
        <f>"חשבוניות מרכזות"</f>
        <v>חשבוניות מרכזות</v>
      </c>
      <c r="G1850" t="str">
        <f>"700065"</f>
        <v>700065</v>
      </c>
      <c r="H1850" t="str">
        <f>"אלתא מערכות בע""מ"</f>
        <v>אלתא מערכות בע"מ</v>
      </c>
      <c r="I1850" t="str">
        <f>"10"</f>
        <v>10</v>
      </c>
      <c r="J1850" t="str">
        <f>"OP-AR02105"</f>
        <v>OP-AR02105</v>
      </c>
      <c r="K1850" t="str">
        <f>"1032F922-001/-   ETHERNET CABLE MFR-W922 - FILTE"</f>
        <v>1032F922-001/-   ETHERNET CABLE MFR-W922 - FILTE</v>
      </c>
      <c r="L1850">
        <v>4</v>
      </c>
      <c r="M1850" t="str">
        <f>"יח"</f>
        <v>יח</v>
      </c>
      <c r="N1850">
        <v>4</v>
      </c>
      <c r="O1850" t="str">
        <f>"יח"</f>
        <v>יח</v>
      </c>
      <c r="P1850">
        <v>174</v>
      </c>
      <c r="Q1850" t="str">
        <f>"$"</f>
        <v>$</v>
      </c>
      <c r="R1850" t="str">
        <f>"הזמנה"</f>
        <v>הזמנה</v>
      </c>
      <c r="S1850">
        <v>0</v>
      </c>
      <c r="T1850">
        <v>696</v>
      </c>
      <c r="U1850">
        <v>0</v>
      </c>
      <c r="V1850">
        <v>696</v>
      </c>
      <c r="W1850" t="str">
        <f>"$"</f>
        <v>$</v>
      </c>
      <c r="X1850">
        <v>0</v>
      </c>
      <c r="Y1850">
        <v>0</v>
      </c>
      <c r="Z1850">
        <v>0</v>
      </c>
      <c r="AA1850" t="str">
        <f>"Y"</f>
        <v>Y</v>
      </c>
      <c r="AB1850" t="str">
        <f>"SO20000532"</f>
        <v>SO20000532</v>
      </c>
      <c r="AC1850">
        <v>14</v>
      </c>
      <c r="AD1850" s="1">
        <v>44155</v>
      </c>
      <c r="AE1850" t="str">
        <f>"SH22000032"</f>
        <v>SH22000032</v>
      </c>
      <c r="AF1850" t="str">
        <f>"משלוחים ללקוח"</f>
        <v>משלוחים ללקוח</v>
      </c>
      <c r="AG1850" s="1">
        <v>44571</v>
      </c>
      <c r="AM1850" t="str">
        <f>"10"</f>
        <v>10</v>
      </c>
      <c r="AN1850" t="str">
        <f>"500000"</f>
        <v>500000</v>
      </c>
      <c r="AO1850" t="str">
        <f>"הכנסות  מלקוחות"</f>
        <v>הכנסות  מלקוחות</v>
      </c>
      <c r="AQ1850" t="str">
        <f>"034"</f>
        <v>034</v>
      </c>
      <c r="AR1850">
        <v>0</v>
      </c>
      <c r="AS1850">
        <v>0</v>
      </c>
      <c r="AT1850">
        <v>3.1120000000000001</v>
      </c>
      <c r="AX1850" t="str">
        <f>"E000321177"</f>
        <v>E000321177</v>
      </c>
      <c r="BD1850" t="str">
        <f>"ערן שלו"</f>
        <v>ערן שלו</v>
      </c>
    </row>
    <row r="1851" spans="1:56" x14ac:dyDescent="0.3">
      <c r="A1851" s="1">
        <v>44573</v>
      </c>
      <c r="B1851" t="str">
        <f>"SI226000057"</f>
        <v>SI226000057</v>
      </c>
      <c r="C1851" t="str">
        <f>"PR20000834"</f>
        <v>PR20000834</v>
      </c>
      <c r="D1851" t="str">
        <f>"PR20000834"</f>
        <v>PR20000834</v>
      </c>
      <c r="E1851" t="str">
        <f>"Y"</f>
        <v>Y</v>
      </c>
      <c r="F1851" t="str">
        <f>"חשבוניות מרכזות"</f>
        <v>חשבוניות מרכזות</v>
      </c>
      <c r="G1851" t="str">
        <f>"700065"</f>
        <v>700065</v>
      </c>
      <c r="H1851" t="str">
        <f>"אלתא מערכות בע""מ"</f>
        <v>אלתא מערכות בע"מ</v>
      </c>
      <c r="I1851" t="str">
        <f>"10"</f>
        <v>10</v>
      </c>
      <c r="J1851" t="str">
        <f>"OP-AR02106"</f>
        <v>OP-AR02106</v>
      </c>
      <c r="K1851" t="str">
        <f>"1032F923-001/-   ETHERNET CABLE MFR-W923 - FILTE"</f>
        <v>1032F923-001/-   ETHERNET CABLE MFR-W923 - FILTE</v>
      </c>
      <c r="L1851">
        <v>4</v>
      </c>
      <c r="M1851" t="str">
        <f>"יח"</f>
        <v>יח</v>
      </c>
      <c r="N1851">
        <v>4</v>
      </c>
      <c r="O1851" t="str">
        <f>"יח"</f>
        <v>יח</v>
      </c>
      <c r="P1851">
        <v>174</v>
      </c>
      <c r="Q1851" t="str">
        <f>"$"</f>
        <v>$</v>
      </c>
      <c r="R1851" t="str">
        <f>"הזמנה"</f>
        <v>הזמנה</v>
      </c>
      <c r="S1851">
        <v>0</v>
      </c>
      <c r="T1851">
        <v>696</v>
      </c>
      <c r="U1851">
        <v>0</v>
      </c>
      <c r="V1851">
        <v>696</v>
      </c>
      <c r="W1851" t="str">
        <f>"$"</f>
        <v>$</v>
      </c>
      <c r="X1851">
        <v>0</v>
      </c>
      <c r="Y1851">
        <v>0</v>
      </c>
      <c r="Z1851">
        <v>0</v>
      </c>
      <c r="AA1851" t="str">
        <f>"Y"</f>
        <v>Y</v>
      </c>
      <c r="AB1851" t="str">
        <f>"SO20000532"</f>
        <v>SO20000532</v>
      </c>
      <c r="AC1851">
        <v>20</v>
      </c>
      <c r="AD1851" s="1">
        <v>44155</v>
      </c>
      <c r="AE1851" t="str">
        <f>"SH22000032"</f>
        <v>SH22000032</v>
      </c>
      <c r="AF1851" t="str">
        <f>"משלוחים ללקוח"</f>
        <v>משלוחים ללקוח</v>
      </c>
      <c r="AG1851" s="1">
        <v>44571</v>
      </c>
      <c r="AM1851" t="str">
        <f>"10"</f>
        <v>10</v>
      </c>
      <c r="AN1851" t="str">
        <f>"500000"</f>
        <v>500000</v>
      </c>
      <c r="AO1851" t="str">
        <f>"הכנסות  מלקוחות"</f>
        <v>הכנסות  מלקוחות</v>
      </c>
      <c r="AQ1851" t="str">
        <f>"034"</f>
        <v>034</v>
      </c>
      <c r="AR1851">
        <v>0</v>
      </c>
      <c r="AS1851">
        <v>0</v>
      </c>
      <c r="AT1851">
        <v>3.1120000000000001</v>
      </c>
      <c r="AX1851" t="str">
        <f>"E000321177"</f>
        <v>E000321177</v>
      </c>
      <c r="BD1851" t="str">
        <f>"ערן שלו"</f>
        <v>ערן שלו</v>
      </c>
    </row>
    <row r="1852" spans="1:56" x14ac:dyDescent="0.3">
      <c r="A1852" s="1">
        <v>44573</v>
      </c>
      <c r="B1852" t="str">
        <f>"SI226000057"</f>
        <v>SI226000057</v>
      </c>
      <c r="C1852" t="str">
        <f>"PR20000834"</f>
        <v>PR20000834</v>
      </c>
      <c r="D1852" t="str">
        <f>"PR20000834"</f>
        <v>PR20000834</v>
      </c>
      <c r="E1852" t="str">
        <f>"Y"</f>
        <v>Y</v>
      </c>
      <c r="F1852" t="str">
        <f>"חשבוניות מרכזות"</f>
        <v>חשבוניות מרכזות</v>
      </c>
      <c r="G1852" t="str">
        <f>"700065"</f>
        <v>700065</v>
      </c>
      <c r="H1852" t="str">
        <f>"אלתא מערכות בע""מ"</f>
        <v>אלתא מערכות בע"מ</v>
      </c>
      <c r="I1852" t="str">
        <f>"10"</f>
        <v>10</v>
      </c>
      <c r="J1852" t="str">
        <f>"OP-AR02107"</f>
        <v>OP-AR02107</v>
      </c>
      <c r="K1852" t="str">
        <f>"1032F924-001/-   ETHERNET CABLE MFR-W924 - FILTE"</f>
        <v>1032F924-001/-   ETHERNET CABLE MFR-W924 - FILTE</v>
      </c>
      <c r="L1852">
        <v>4</v>
      </c>
      <c r="M1852" t="str">
        <f>"יח"</f>
        <v>יח</v>
      </c>
      <c r="N1852">
        <v>4</v>
      </c>
      <c r="O1852" t="str">
        <f>"יח"</f>
        <v>יח</v>
      </c>
      <c r="P1852">
        <v>174</v>
      </c>
      <c r="Q1852" t="str">
        <f>"$"</f>
        <v>$</v>
      </c>
      <c r="R1852" t="str">
        <f>"הזמנה"</f>
        <v>הזמנה</v>
      </c>
      <c r="S1852">
        <v>0</v>
      </c>
      <c r="T1852">
        <v>696</v>
      </c>
      <c r="U1852">
        <v>0</v>
      </c>
      <c r="V1852">
        <v>696</v>
      </c>
      <c r="W1852" t="str">
        <f>"$"</f>
        <v>$</v>
      </c>
      <c r="X1852">
        <v>0</v>
      </c>
      <c r="Y1852">
        <v>0</v>
      </c>
      <c r="Z1852">
        <v>0</v>
      </c>
      <c r="AA1852" t="str">
        <f>"Y"</f>
        <v>Y</v>
      </c>
      <c r="AB1852" t="str">
        <f>"SO20000532"</f>
        <v>SO20000532</v>
      </c>
      <c r="AC1852">
        <v>26</v>
      </c>
      <c r="AD1852" s="1">
        <v>44155</v>
      </c>
      <c r="AE1852" t="str">
        <f>"SH22000032"</f>
        <v>SH22000032</v>
      </c>
      <c r="AF1852" t="str">
        <f>"משלוחים ללקוח"</f>
        <v>משלוחים ללקוח</v>
      </c>
      <c r="AG1852" s="1">
        <v>44571</v>
      </c>
      <c r="AM1852" t="str">
        <f>"10"</f>
        <v>10</v>
      </c>
      <c r="AN1852" t="str">
        <f>"500000"</f>
        <v>500000</v>
      </c>
      <c r="AO1852" t="str">
        <f>"הכנסות  מלקוחות"</f>
        <v>הכנסות  מלקוחות</v>
      </c>
      <c r="AQ1852" t="str">
        <f>"034"</f>
        <v>034</v>
      </c>
      <c r="AR1852">
        <v>0</v>
      </c>
      <c r="AS1852">
        <v>0</v>
      </c>
      <c r="AT1852">
        <v>3.1120000000000001</v>
      </c>
      <c r="AX1852" t="str">
        <f>"E000321177"</f>
        <v>E000321177</v>
      </c>
      <c r="BD1852" t="str">
        <f>"ערן שלו"</f>
        <v>ערן שלו</v>
      </c>
    </row>
    <row r="1853" spans="1:56" x14ac:dyDescent="0.3">
      <c r="A1853" s="1">
        <v>44573</v>
      </c>
      <c r="B1853" t="str">
        <f>"SI226000057"</f>
        <v>SI226000057</v>
      </c>
      <c r="C1853" t="str">
        <f>"PR20000834"</f>
        <v>PR20000834</v>
      </c>
      <c r="D1853" t="str">
        <f>"PR20000834"</f>
        <v>PR20000834</v>
      </c>
      <c r="E1853" t="str">
        <f>"Y"</f>
        <v>Y</v>
      </c>
      <c r="F1853" t="str">
        <f>"חשבוניות מרכזות"</f>
        <v>חשבוניות מרכזות</v>
      </c>
      <c r="G1853" t="str">
        <f>"700065"</f>
        <v>700065</v>
      </c>
      <c r="H1853" t="str">
        <f>"אלתא מערכות בע""מ"</f>
        <v>אלתא מערכות בע"מ</v>
      </c>
      <c r="I1853" t="str">
        <f>"10"</f>
        <v>10</v>
      </c>
      <c r="J1853" t="str">
        <f>"OP-AR02108"</f>
        <v>OP-AR02108</v>
      </c>
      <c r="K1853" t="str">
        <f>"1032F925-001/-   ETHERNET CABLE MFR-W925 - FILTE"</f>
        <v>1032F925-001/-   ETHERNET CABLE MFR-W925 - FILTE</v>
      </c>
      <c r="L1853">
        <v>4</v>
      </c>
      <c r="M1853" t="str">
        <f>"יח"</f>
        <v>יח</v>
      </c>
      <c r="N1853">
        <v>4</v>
      </c>
      <c r="O1853" t="str">
        <f>"יח"</f>
        <v>יח</v>
      </c>
      <c r="P1853">
        <v>174</v>
      </c>
      <c r="Q1853" t="str">
        <f>"$"</f>
        <v>$</v>
      </c>
      <c r="R1853" t="str">
        <f>"הזמנה"</f>
        <v>הזמנה</v>
      </c>
      <c r="S1853">
        <v>0</v>
      </c>
      <c r="T1853">
        <v>696</v>
      </c>
      <c r="U1853">
        <v>0</v>
      </c>
      <c r="V1853">
        <v>696</v>
      </c>
      <c r="W1853" t="str">
        <f>"$"</f>
        <v>$</v>
      </c>
      <c r="X1853">
        <v>0</v>
      </c>
      <c r="Y1853">
        <v>0</v>
      </c>
      <c r="Z1853">
        <v>0</v>
      </c>
      <c r="AA1853" t="str">
        <f>"Y"</f>
        <v>Y</v>
      </c>
      <c r="AB1853" t="str">
        <f>"SO20000532"</f>
        <v>SO20000532</v>
      </c>
      <c r="AC1853">
        <v>32</v>
      </c>
      <c r="AD1853" s="1">
        <v>44155</v>
      </c>
      <c r="AE1853" t="str">
        <f>"SH22000032"</f>
        <v>SH22000032</v>
      </c>
      <c r="AF1853" t="str">
        <f>"משלוחים ללקוח"</f>
        <v>משלוחים ללקוח</v>
      </c>
      <c r="AG1853" s="1">
        <v>44571</v>
      </c>
      <c r="AM1853" t="str">
        <f>"10"</f>
        <v>10</v>
      </c>
      <c r="AN1853" t="str">
        <f>"500000"</f>
        <v>500000</v>
      </c>
      <c r="AO1853" t="str">
        <f>"הכנסות  מלקוחות"</f>
        <v>הכנסות  מלקוחות</v>
      </c>
      <c r="AQ1853" t="str">
        <f>"034"</f>
        <v>034</v>
      </c>
      <c r="AR1853">
        <v>0</v>
      </c>
      <c r="AS1853">
        <v>0</v>
      </c>
      <c r="AT1853">
        <v>3.1120000000000001</v>
      </c>
      <c r="AX1853" t="str">
        <f>"E000321177"</f>
        <v>E000321177</v>
      </c>
      <c r="BD1853" t="str">
        <f>"ערן שלו"</f>
        <v>ערן שלו</v>
      </c>
    </row>
    <row r="1854" spans="1:56" x14ac:dyDescent="0.3">
      <c r="A1854" s="1">
        <v>44573</v>
      </c>
      <c r="B1854" t="str">
        <f>"SI226000057"</f>
        <v>SI226000057</v>
      </c>
      <c r="C1854" t="str">
        <f>"PR20000834"</f>
        <v>PR20000834</v>
      </c>
      <c r="D1854" t="str">
        <f>"PR20000834"</f>
        <v>PR20000834</v>
      </c>
      <c r="E1854" t="str">
        <f>"Y"</f>
        <v>Y</v>
      </c>
      <c r="F1854" t="str">
        <f>"חשבוניות מרכזות"</f>
        <v>חשבוניות מרכזות</v>
      </c>
      <c r="G1854" t="str">
        <f>"700065"</f>
        <v>700065</v>
      </c>
      <c r="H1854" t="str">
        <f>"אלתא מערכות בע""מ"</f>
        <v>אלתא מערכות בע"מ</v>
      </c>
      <c r="I1854" t="str">
        <f>"10"</f>
        <v>10</v>
      </c>
      <c r="J1854" t="str">
        <f>"OP-AR02109"</f>
        <v>OP-AR02109</v>
      </c>
      <c r="K1854" t="str">
        <f>"1032F926-001/-   ETHERNET CABLE MFR-W926 - FILTE"</f>
        <v>1032F926-001/-   ETHERNET CABLE MFR-W926 - FILTE</v>
      </c>
      <c r="L1854">
        <v>4</v>
      </c>
      <c r="M1854" t="str">
        <f>"יח"</f>
        <v>יח</v>
      </c>
      <c r="N1854">
        <v>4</v>
      </c>
      <c r="O1854" t="str">
        <f>"יח"</f>
        <v>יח</v>
      </c>
      <c r="P1854">
        <v>174</v>
      </c>
      <c r="Q1854" t="str">
        <f>"$"</f>
        <v>$</v>
      </c>
      <c r="R1854" t="str">
        <f>"הזמנה"</f>
        <v>הזמנה</v>
      </c>
      <c r="S1854">
        <v>0</v>
      </c>
      <c r="T1854">
        <v>696</v>
      </c>
      <c r="U1854">
        <v>0</v>
      </c>
      <c r="V1854">
        <v>696</v>
      </c>
      <c r="W1854" t="str">
        <f>"$"</f>
        <v>$</v>
      </c>
      <c r="X1854">
        <v>0</v>
      </c>
      <c r="Y1854">
        <v>0</v>
      </c>
      <c r="Z1854">
        <v>0</v>
      </c>
      <c r="AA1854" t="str">
        <f>"Y"</f>
        <v>Y</v>
      </c>
      <c r="AB1854" t="str">
        <f>"SO20000532"</f>
        <v>SO20000532</v>
      </c>
      <c r="AC1854">
        <v>38</v>
      </c>
      <c r="AD1854" s="1">
        <v>44155</v>
      </c>
      <c r="AE1854" t="str">
        <f>"SH22000032"</f>
        <v>SH22000032</v>
      </c>
      <c r="AF1854" t="str">
        <f>"משלוחים ללקוח"</f>
        <v>משלוחים ללקוח</v>
      </c>
      <c r="AG1854" s="1">
        <v>44571</v>
      </c>
      <c r="AM1854" t="str">
        <f>"10"</f>
        <v>10</v>
      </c>
      <c r="AN1854" t="str">
        <f>"500000"</f>
        <v>500000</v>
      </c>
      <c r="AO1854" t="str">
        <f>"הכנסות  מלקוחות"</f>
        <v>הכנסות  מלקוחות</v>
      </c>
      <c r="AQ1854" t="str">
        <f>"034"</f>
        <v>034</v>
      </c>
      <c r="AR1854">
        <v>0</v>
      </c>
      <c r="AS1854">
        <v>0</v>
      </c>
      <c r="AT1854">
        <v>3.1120000000000001</v>
      </c>
      <c r="AX1854" t="str">
        <f>"E000321177"</f>
        <v>E000321177</v>
      </c>
      <c r="BD1854" t="str">
        <f>"ערן שלו"</f>
        <v>ערן שלו</v>
      </c>
    </row>
    <row r="1855" spans="1:56" x14ac:dyDescent="0.3">
      <c r="A1855" s="1">
        <v>44573</v>
      </c>
      <c r="B1855" t="str">
        <f>"SI226000057"</f>
        <v>SI226000057</v>
      </c>
      <c r="C1855" t="str">
        <f>"PR20000834"</f>
        <v>PR20000834</v>
      </c>
      <c r="D1855" t="str">
        <f>"PR20000834"</f>
        <v>PR20000834</v>
      </c>
      <c r="E1855" t="str">
        <f>"Y"</f>
        <v>Y</v>
      </c>
      <c r="F1855" t="str">
        <f>"חשבוניות מרכזות"</f>
        <v>חשבוניות מרכזות</v>
      </c>
      <c r="G1855" t="str">
        <f>"700065"</f>
        <v>700065</v>
      </c>
      <c r="H1855" t="str">
        <f>"אלתא מערכות בע""מ"</f>
        <v>אלתא מערכות בע"מ</v>
      </c>
      <c r="I1855" t="str">
        <f>"10"</f>
        <v>10</v>
      </c>
      <c r="J1855" t="str">
        <f>"OP-AR02110"</f>
        <v>OP-AR02110</v>
      </c>
      <c r="K1855" t="str">
        <f>"1032F927-001/-   ETHERNET CABLE MFR-W927 - FILTE"</f>
        <v>1032F927-001/-   ETHERNET CABLE MFR-W927 - FILTE</v>
      </c>
      <c r="L1855">
        <v>4</v>
      </c>
      <c r="M1855" t="str">
        <f>"יח"</f>
        <v>יח</v>
      </c>
      <c r="N1855">
        <v>4</v>
      </c>
      <c r="O1855" t="str">
        <f>"יח"</f>
        <v>יח</v>
      </c>
      <c r="P1855">
        <v>174</v>
      </c>
      <c r="Q1855" t="str">
        <f>"$"</f>
        <v>$</v>
      </c>
      <c r="R1855" t="str">
        <f>"הזמנה"</f>
        <v>הזמנה</v>
      </c>
      <c r="S1855">
        <v>0</v>
      </c>
      <c r="T1855">
        <v>696</v>
      </c>
      <c r="U1855">
        <v>0</v>
      </c>
      <c r="V1855">
        <v>696</v>
      </c>
      <c r="W1855" t="str">
        <f>"$"</f>
        <v>$</v>
      </c>
      <c r="X1855">
        <v>0</v>
      </c>
      <c r="Y1855">
        <v>0</v>
      </c>
      <c r="Z1855">
        <v>0</v>
      </c>
      <c r="AA1855" t="str">
        <f>"Y"</f>
        <v>Y</v>
      </c>
      <c r="AB1855" t="str">
        <f>"SO20000532"</f>
        <v>SO20000532</v>
      </c>
      <c r="AC1855">
        <v>44</v>
      </c>
      <c r="AD1855" s="1">
        <v>44155</v>
      </c>
      <c r="AE1855" t="str">
        <f>"SH22000032"</f>
        <v>SH22000032</v>
      </c>
      <c r="AF1855" t="str">
        <f>"משלוחים ללקוח"</f>
        <v>משלוחים ללקוח</v>
      </c>
      <c r="AG1855" s="1">
        <v>44571</v>
      </c>
      <c r="AM1855" t="str">
        <f>"10"</f>
        <v>10</v>
      </c>
      <c r="AN1855" t="str">
        <f>"500000"</f>
        <v>500000</v>
      </c>
      <c r="AO1855" t="str">
        <f>"הכנסות  מלקוחות"</f>
        <v>הכנסות  מלקוחות</v>
      </c>
      <c r="AQ1855" t="str">
        <f>"034"</f>
        <v>034</v>
      </c>
      <c r="AR1855">
        <v>0</v>
      </c>
      <c r="AS1855">
        <v>0</v>
      </c>
      <c r="AT1855">
        <v>3.1120000000000001</v>
      </c>
      <c r="AX1855" t="str">
        <f>"E000321177"</f>
        <v>E000321177</v>
      </c>
      <c r="BD1855" t="str">
        <f>"ערן שלו"</f>
        <v>ערן שלו</v>
      </c>
    </row>
    <row r="1856" spans="1:56" x14ac:dyDescent="0.3">
      <c r="A1856" s="1">
        <v>44573</v>
      </c>
      <c r="B1856" t="str">
        <f>"SI226000057"</f>
        <v>SI226000057</v>
      </c>
      <c r="C1856" t="str">
        <f>"PR20000834"</f>
        <v>PR20000834</v>
      </c>
      <c r="D1856" t="str">
        <f>"PR20000834"</f>
        <v>PR20000834</v>
      </c>
      <c r="E1856" t="str">
        <f>"Y"</f>
        <v>Y</v>
      </c>
      <c r="F1856" t="str">
        <f>"חשבוניות מרכזות"</f>
        <v>חשבוניות מרכזות</v>
      </c>
      <c r="G1856" t="str">
        <f>"700065"</f>
        <v>700065</v>
      </c>
      <c r="H1856" t="str">
        <f>"אלתא מערכות בע""מ"</f>
        <v>אלתא מערכות בע"מ</v>
      </c>
      <c r="I1856" t="str">
        <f>"10"</f>
        <v>10</v>
      </c>
      <c r="J1856" t="str">
        <f>"OP-AR02111"</f>
        <v>OP-AR02111</v>
      </c>
      <c r="K1856" t="str">
        <f>"1032F928-001/-   ETHERNET CABLE MFR-W928 - FILTE"</f>
        <v>1032F928-001/-   ETHERNET CABLE MFR-W928 - FILTE</v>
      </c>
      <c r="L1856">
        <v>4</v>
      </c>
      <c r="M1856" t="str">
        <f>"יח"</f>
        <v>יח</v>
      </c>
      <c r="N1856">
        <v>4</v>
      </c>
      <c r="O1856" t="str">
        <f>"יח"</f>
        <v>יח</v>
      </c>
      <c r="P1856">
        <v>174</v>
      </c>
      <c r="Q1856" t="str">
        <f>"$"</f>
        <v>$</v>
      </c>
      <c r="R1856" t="str">
        <f>"הזמנה"</f>
        <v>הזמנה</v>
      </c>
      <c r="S1856">
        <v>0</v>
      </c>
      <c r="T1856">
        <v>696</v>
      </c>
      <c r="U1856">
        <v>0</v>
      </c>
      <c r="V1856">
        <v>696</v>
      </c>
      <c r="W1856" t="str">
        <f>"$"</f>
        <v>$</v>
      </c>
      <c r="X1856">
        <v>0</v>
      </c>
      <c r="Y1856">
        <v>0</v>
      </c>
      <c r="Z1856">
        <v>0</v>
      </c>
      <c r="AA1856" t="str">
        <f>"Y"</f>
        <v>Y</v>
      </c>
      <c r="AB1856" t="str">
        <f>"SO20000532"</f>
        <v>SO20000532</v>
      </c>
      <c r="AC1856">
        <v>50</v>
      </c>
      <c r="AD1856" s="1">
        <v>44155</v>
      </c>
      <c r="AE1856" t="str">
        <f>"SH22000032"</f>
        <v>SH22000032</v>
      </c>
      <c r="AF1856" t="str">
        <f>"משלוחים ללקוח"</f>
        <v>משלוחים ללקוח</v>
      </c>
      <c r="AG1856" s="1">
        <v>44571</v>
      </c>
      <c r="AM1856" t="str">
        <f>"10"</f>
        <v>10</v>
      </c>
      <c r="AN1856" t="str">
        <f>"500000"</f>
        <v>500000</v>
      </c>
      <c r="AO1856" t="str">
        <f>"הכנסות  מלקוחות"</f>
        <v>הכנסות  מלקוחות</v>
      </c>
      <c r="AQ1856" t="str">
        <f>"034"</f>
        <v>034</v>
      </c>
      <c r="AR1856">
        <v>0</v>
      </c>
      <c r="AS1856">
        <v>0</v>
      </c>
      <c r="AT1856">
        <v>3.1120000000000001</v>
      </c>
      <c r="AX1856" t="str">
        <f>"E000321177"</f>
        <v>E000321177</v>
      </c>
      <c r="BD1856" t="str">
        <f>"ערן שלו"</f>
        <v>ערן שלו</v>
      </c>
    </row>
    <row r="1857" spans="1:56" x14ac:dyDescent="0.3">
      <c r="A1857" s="1">
        <v>44573</v>
      </c>
      <c r="B1857" t="str">
        <f>"SI226000057"</f>
        <v>SI226000057</v>
      </c>
      <c r="C1857" t="str">
        <f>"PR20000834"</f>
        <v>PR20000834</v>
      </c>
      <c r="D1857" t="str">
        <f>"PR20000834"</f>
        <v>PR20000834</v>
      </c>
      <c r="E1857" t="str">
        <f>"Y"</f>
        <v>Y</v>
      </c>
      <c r="F1857" t="str">
        <f>"חשבוניות מרכזות"</f>
        <v>חשבוניות מרכזות</v>
      </c>
      <c r="G1857" t="str">
        <f>"700065"</f>
        <v>700065</v>
      </c>
      <c r="H1857" t="str">
        <f>"אלתא מערכות בע""מ"</f>
        <v>אלתא מערכות בע"מ</v>
      </c>
      <c r="I1857" t="str">
        <f>"10"</f>
        <v>10</v>
      </c>
      <c r="J1857" t="str">
        <f>"OP-AR02112"</f>
        <v>OP-AR02112</v>
      </c>
      <c r="K1857" t="str">
        <f>"1032F929-001/-   ETHERNET CABLE MFR-W929 - FILTE"</f>
        <v>1032F929-001/-   ETHERNET CABLE MFR-W929 - FILTE</v>
      </c>
      <c r="L1857">
        <v>4</v>
      </c>
      <c r="M1857" t="str">
        <f>"יח"</f>
        <v>יח</v>
      </c>
      <c r="N1857">
        <v>4</v>
      </c>
      <c r="O1857" t="str">
        <f>"יח"</f>
        <v>יח</v>
      </c>
      <c r="P1857">
        <v>176.77</v>
      </c>
      <c r="Q1857" t="str">
        <f>"$"</f>
        <v>$</v>
      </c>
      <c r="R1857" t="str">
        <f>"הזמנה"</f>
        <v>הזמנה</v>
      </c>
      <c r="S1857">
        <v>0</v>
      </c>
      <c r="T1857">
        <v>707.08</v>
      </c>
      <c r="U1857">
        <v>0</v>
      </c>
      <c r="V1857">
        <v>707.08</v>
      </c>
      <c r="W1857" t="str">
        <f>"$"</f>
        <v>$</v>
      </c>
      <c r="X1857">
        <v>0</v>
      </c>
      <c r="Y1857">
        <v>0</v>
      </c>
      <c r="Z1857">
        <v>0</v>
      </c>
      <c r="AA1857" t="str">
        <f>"Y"</f>
        <v>Y</v>
      </c>
      <c r="AB1857" t="str">
        <f>"SO20000532"</f>
        <v>SO20000532</v>
      </c>
      <c r="AC1857">
        <v>56</v>
      </c>
      <c r="AD1857" s="1">
        <v>44155</v>
      </c>
      <c r="AE1857" t="str">
        <f>"SH22000032"</f>
        <v>SH22000032</v>
      </c>
      <c r="AF1857" t="str">
        <f>"משלוחים ללקוח"</f>
        <v>משלוחים ללקוח</v>
      </c>
      <c r="AG1857" s="1">
        <v>44571</v>
      </c>
      <c r="AM1857" t="str">
        <f>"10"</f>
        <v>10</v>
      </c>
      <c r="AN1857" t="str">
        <f>"500000"</f>
        <v>500000</v>
      </c>
      <c r="AO1857" t="str">
        <f>"הכנסות  מלקוחות"</f>
        <v>הכנסות  מלקוחות</v>
      </c>
      <c r="AQ1857" t="str">
        <f>"034"</f>
        <v>034</v>
      </c>
      <c r="AR1857">
        <v>0</v>
      </c>
      <c r="AS1857">
        <v>0</v>
      </c>
      <c r="AT1857">
        <v>3.1120000000000001</v>
      </c>
      <c r="AX1857" t="str">
        <f>"E000321177"</f>
        <v>E000321177</v>
      </c>
      <c r="BD1857" t="str">
        <f>"ערן שלו"</f>
        <v>ערן שלו</v>
      </c>
    </row>
    <row r="1858" spans="1:56" x14ac:dyDescent="0.3">
      <c r="A1858" s="1">
        <v>44573</v>
      </c>
      <c r="B1858" t="str">
        <f>"SI226000057"</f>
        <v>SI226000057</v>
      </c>
      <c r="C1858" t="str">
        <f>"PR20000834"</f>
        <v>PR20000834</v>
      </c>
      <c r="D1858" t="str">
        <f>"PR20000834"</f>
        <v>PR20000834</v>
      </c>
      <c r="E1858" t="str">
        <f>"Y"</f>
        <v>Y</v>
      </c>
      <c r="F1858" t="str">
        <f>"חשבוניות מרכזות"</f>
        <v>חשבוניות מרכזות</v>
      </c>
      <c r="G1858" t="str">
        <f>"700065"</f>
        <v>700065</v>
      </c>
      <c r="H1858" t="str">
        <f>"אלתא מערכות בע""מ"</f>
        <v>אלתא מערכות בע"מ</v>
      </c>
      <c r="I1858" t="str">
        <f>"10"</f>
        <v>10</v>
      </c>
      <c r="J1858" t="str">
        <f>"OP-AR02113"</f>
        <v>OP-AR02113</v>
      </c>
      <c r="K1858" t="str">
        <f>"1032F930-001/-   ETHERNET CABLE MFR-W930 - FILTE"</f>
        <v>1032F930-001/-   ETHERNET CABLE MFR-W930 - FILTE</v>
      </c>
      <c r="L1858">
        <v>4</v>
      </c>
      <c r="M1858" t="str">
        <f>"יח"</f>
        <v>יח</v>
      </c>
      <c r="N1858">
        <v>4</v>
      </c>
      <c r="O1858" t="str">
        <f>"יח"</f>
        <v>יח</v>
      </c>
      <c r="P1858">
        <v>174</v>
      </c>
      <c r="Q1858" t="str">
        <f>"$"</f>
        <v>$</v>
      </c>
      <c r="R1858" t="str">
        <f>"הזמנה"</f>
        <v>הזמנה</v>
      </c>
      <c r="S1858">
        <v>0</v>
      </c>
      <c r="T1858">
        <v>696</v>
      </c>
      <c r="U1858">
        <v>0</v>
      </c>
      <c r="V1858">
        <v>696</v>
      </c>
      <c r="W1858" t="str">
        <f>"$"</f>
        <v>$</v>
      </c>
      <c r="X1858">
        <v>0</v>
      </c>
      <c r="Y1858">
        <v>0</v>
      </c>
      <c r="Z1858">
        <v>0</v>
      </c>
      <c r="AA1858" t="str">
        <f>"Y"</f>
        <v>Y</v>
      </c>
      <c r="AB1858" t="str">
        <f>"SO20000532"</f>
        <v>SO20000532</v>
      </c>
      <c r="AC1858">
        <v>62</v>
      </c>
      <c r="AD1858" s="1">
        <v>44155</v>
      </c>
      <c r="AE1858" t="str">
        <f>"SH22000032"</f>
        <v>SH22000032</v>
      </c>
      <c r="AF1858" t="str">
        <f>"משלוחים ללקוח"</f>
        <v>משלוחים ללקוח</v>
      </c>
      <c r="AG1858" s="1">
        <v>44571</v>
      </c>
      <c r="AM1858" t="str">
        <f>"10"</f>
        <v>10</v>
      </c>
      <c r="AN1858" t="str">
        <f>"500000"</f>
        <v>500000</v>
      </c>
      <c r="AO1858" t="str">
        <f>"הכנסות  מלקוחות"</f>
        <v>הכנסות  מלקוחות</v>
      </c>
      <c r="AQ1858" t="str">
        <f>"034"</f>
        <v>034</v>
      </c>
      <c r="AR1858">
        <v>0</v>
      </c>
      <c r="AS1858">
        <v>0</v>
      </c>
      <c r="AT1858">
        <v>3.1120000000000001</v>
      </c>
      <c r="AX1858" t="str">
        <f>"E000321177"</f>
        <v>E000321177</v>
      </c>
      <c r="BD1858" t="str">
        <f>"ערן שלו"</f>
        <v>ערן שלו</v>
      </c>
    </row>
    <row r="1859" spans="1:56" x14ac:dyDescent="0.3">
      <c r="A1859" s="1">
        <v>44573</v>
      </c>
      <c r="B1859" t="str">
        <f>"SI226000057"</f>
        <v>SI226000057</v>
      </c>
      <c r="C1859" t="str">
        <f>"PR20000834"</f>
        <v>PR20000834</v>
      </c>
      <c r="D1859" t="str">
        <f>"PR20000834"</f>
        <v>PR20000834</v>
      </c>
      <c r="E1859" t="str">
        <f>"Y"</f>
        <v>Y</v>
      </c>
      <c r="F1859" t="str">
        <f>"חשבוניות מרכזות"</f>
        <v>חשבוניות מרכזות</v>
      </c>
      <c r="G1859" t="str">
        <f>"700065"</f>
        <v>700065</v>
      </c>
      <c r="H1859" t="str">
        <f>"אלתא מערכות בע""מ"</f>
        <v>אלתא מערכות בע"מ</v>
      </c>
      <c r="I1859" t="str">
        <f>"10"</f>
        <v>10</v>
      </c>
      <c r="J1859" t="str">
        <f>"OP-AR02114"</f>
        <v>OP-AR02114</v>
      </c>
      <c r="K1859" t="str">
        <f>"1032F931-001/-   ETHERNET CABLE MFR-W931 - FILTE"</f>
        <v>1032F931-001/-   ETHERNET CABLE MFR-W931 - FILTE</v>
      </c>
      <c r="L1859">
        <v>4</v>
      </c>
      <c r="M1859" t="str">
        <f>"יח"</f>
        <v>יח</v>
      </c>
      <c r="N1859">
        <v>4</v>
      </c>
      <c r="O1859" t="str">
        <f>"יח"</f>
        <v>יח</v>
      </c>
      <c r="P1859">
        <v>176.77</v>
      </c>
      <c r="Q1859" t="str">
        <f>"$"</f>
        <v>$</v>
      </c>
      <c r="R1859" t="str">
        <f>"הזמנה"</f>
        <v>הזמנה</v>
      </c>
      <c r="S1859">
        <v>0</v>
      </c>
      <c r="T1859">
        <v>707.08</v>
      </c>
      <c r="U1859">
        <v>0</v>
      </c>
      <c r="V1859">
        <v>707.08</v>
      </c>
      <c r="W1859" t="str">
        <f>"$"</f>
        <v>$</v>
      </c>
      <c r="X1859">
        <v>0</v>
      </c>
      <c r="Y1859">
        <v>0</v>
      </c>
      <c r="Z1859">
        <v>0</v>
      </c>
      <c r="AA1859" t="str">
        <f>"Y"</f>
        <v>Y</v>
      </c>
      <c r="AB1859" t="str">
        <f>"SO20000532"</f>
        <v>SO20000532</v>
      </c>
      <c r="AC1859">
        <v>68</v>
      </c>
      <c r="AD1859" s="1">
        <v>44155</v>
      </c>
      <c r="AE1859" t="str">
        <f>"SH22000032"</f>
        <v>SH22000032</v>
      </c>
      <c r="AF1859" t="str">
        <f>"משלוחים ללקוח"</f>
        <v>משלוחים ללקוח</v>
      </c>
      <c r="AG1859" s="1">
        <v>44571</v>
      </c>
      <c r="AM1859" t="str">
        <f>"10"</f>
        <v>10</v>
      </c>
      <c r="AN1859" t="str">
        <f>"500000"</f>
        <v>500000</v>
      </c>
      <c r="AO1859" t="str">
        <f>"הכנסות  מלקוחות"</f>
        <v>הכנסות  מלקוחות</v>
      </c>
      <c r="AQ1859" t="str">
        <f>"034"</f>
        <v>034</v>
      </c>
      <c r="AR1859">
        <v>0</v>
      </c>
      <c r="AS1859">
        <v>0</v>
      </c>
      <c r="AT1859">
        <v>3.1120000000000001</v>
      </c>
      <c r="AX1859" t="str">
        <f>"E000321177"</f>
        <v>E000321177</v>
      </c>
      <c r="BD1859" t="str">
        <f>"ערן שלו"</f>
        <v>ערן שלו</v>
      </c>
    </row>
    <row r="1860" spans="1:56" x14ac:dyDescent="0.3">
      <c r="A1860" s="1">
        <v>44573</v>
      </c>
      <c r="B1860" t="str">
        <f>"SI226000057"</f>
        <v>SI226000057</v>
      </c>
      <c r="C1860" t="str">
        <f>"PR20000834"</f>
        <v>PR20000834</v>
      </c>
      <c r="D1860" t="str">
        <f>"PR20000834"</f>
        <v>PR20000834</v>
      </c>
      <c r="E1860" t="str">
        <f>"Y"</f>
        <v>Y</v>
      </c>
      <c r="F1860" t="str">
        <f>"חשבוניות מרכזות"</f>
        <v>חשבוניות מרכזות</v>
      </c>
      <c r="G1860" t="str">
        <f>"700065"</f>
        <v>700065</v>
      </c>
      <c r="H1860" t="str">
        <f>"אלתא מערכות בע""מ"</f>
        <v>אלתא מערכות בע"מ</v>
      </c>
      <c r="I1860" t="str">
        <f>"10"</f>
        <v>10</v>
      </c>
      <c r="J1860" t="str">
        <f>"OP-AR02115"</f>
        <v>OP-AR02115</v>
      </c>
      <c r="K1860" t="str">
        <f>"1032F932-001/-   ETHERNET CABLE MFR-W932 - FILTE"</f>
        <v>1032F932-001/-   ETHERNET CABLE MFR-W932 - FILTE</v>
      </c>
      <c r="L1860">
        <v>4</v>
      </c>
      <c r="M1860" t="str">
        <f>"יח"</f>
        <v>יח</v>
      </c>
      <c r="N1860">
        <v>4</v>
      </c>
      <c r="O1860" t="str">
        <f>"יח"</f>
        <v>יח</v>
      </c>
      <c r="P1860">
        <v>176.77</v>
      </c>
      <c r="Q1860" t="str">
        <f>"$"</f>
        <v>$</v>
      </c>
      <c r="R1860" t="str">
        <f>"הזמנה"</f>
        <v>הזמנה</v>
      </c>
      <c r="S1860">
        <v>0</v>
      </c>
      <c r="T1860">
        <v>707.08</v>
      </c>
      <c r="U1860">
        <v>0</v>
      </c>
      <c r="V1860">
        <v>707.08</v>
      </c>
      <c r="W1860" t="str">
        <f>"$"</f>
        <v>$</v>
      </c>
      <c r="X1860">
        <v>0</v>
      </c>
      <c r="Y1860">
        <v>0</v>
      </c>
      <c r="Z1860">
        <v>0</v>
      </c>
      <c r="AA1860" t="str">
        <f>"Y"</f>
        <v>Y</v>
      </c>
      <c r="AB1860" t="str">
        <f>"SO20000532"</f>
        <v>SO20000532</v>
      </c>
      <c r="AC1860">
        <v>74</v>
      </c>
      <c r="AD1860" s="1">
        <v>44155</v>
      </c>
      <c r="AE1860" t="str">
        <f>"SH22000032"</f>
        <v>SH22000032</v>
      </c>
      <c r="AF1860" t="str">
        <f>"משלוחים ללקוח"</f>
        <v>משלוחים ללקוח</v>
      </c>
      <c r="AG1860" s="1">
        <v>44571</v>
      </c>
      <c r="AM1860" t="str">
        <f>"10"</f>
        <v>10</v>
      </c>
      <c r="AN1860" t="str">
        <f>"500000"</f>
        <v>500000</v>
      </c>
      <c r="AO1860" t="str">
        <f>"הכנסות  מלקוחות"</f>
        <v>הכנסות  מלקוחות</v>
      </c>
      <c r="AQ1860" t="str">
        <f>"034"</f>
        <v>034</v>
      </c>
      <c r="AR1860">
        <v>0</v>
      </c>
      <c r="AS1860">
        <v>0</v>
      </c>
      <c r="AT1860">
        <v>3.1120000000000001</v>
      </c>
      <c r="AX1860" t="str">
        <f>"E000321177"</f>
        <v>E000321177</v>
      </c>
      <c r="BD1860" t="str">
        <f>"ערן שלו"</f>
        <v>ערן שלו</v>
      </c>
    </row>
    <row r="1861" spans="1:56" x14ac:dyDescent="0.3">
      <c r="A1861" s="1">
        <v>44573</v>
      </c>
      <c r="B1861" t="str">
        <f>"SI226000057"</f>
        <v>SI226000057</v>
      </c>
      <c r="C1861" t="str">
        <f>"PR20000834"</f>
        <v>PR20000834</v>
      </c>
      <c r="D1861" t="str">
        <f>"PR20000834"</f>
        <v>PR20000834</v>
      </c>
      <c r="E1861" t="str">
        <f>"Y"</f>
        <v>Y</v>
      </c>
      <c r="F1861" t="str">
        <f>"חשבוניות מרכזות"</f>
        <v>חשבוניות מרכזות</v>
      </c>
      <c r="G1861" t="str">
        <f>"700065"</f>
        <v>700065</v>
      </c>
      <c r="H1861" t="str">
        <f>"אלתא מערכות בע""מ"</f>
        <v>אלתא מערכות בע"מ</v>
      </c>
      <c r="I1861" t="str">
        <f>"10"</f>
        <v>10</v>
      </c>
      <c r="J1861" t="str">
        <f>"OP-AR02117"</f>
        <v>OP-AR02117</v>
      </c>
      <c r="K1861" t="str">
        <f>"1032F933-001/-   ETHERNET CABLE MFR-W933 - FILTE"</f>
        <v>1032F933-001/-   ETHERNET CABLE MFR-W933 - FILTE</v>
      </c>
      <c r="L1861">
        <v>4</v>
      </c>
      <c r="M1861" t="str">
        <f>"יח"</f>
        <v>יח</v>
      </c>
      <c r="N1861">
        <v>4</v>
      </c>
      <c r="O1861" t="str">
        <f>"יח"</f>
        <v>יח</v>
      </c>
      <c r="P1861">
        <v>176.77</v>
      </c>
      <c r="Q1861" t="str">
        <f>"$"</f>
        <v>$</v>
      </c>
      <c r="R1861" t="str">
        <f>"הזמנה"</f>
        <v>הזמנה</v>
      </c>
      <c r="S1861">
        <v>0</v>
      </c>
      <c r="T1861">
        <v>707.08</v>
      </c>
      <c r="U1861">
        <v>0</v>
      </c>
      <c r="V1861">
        <v>707.08</v>
      </c>
      <c r="W1861" t="str">
        <f>"$"</f>
        <v>$</v>
      </c>
      <c r="X1861">
        <v>0</v>
      </c>
      <c r="Y1861">
        <v>0</v>
      </c>
      <c r="Z1861">
        <v>0</v>
      </c>
      <c r="AA1861" t="str">
        <f>"Y"</f>
        <v>Y</v>
      </c>
      <c r="AB1861" t="str">
        <f>"SO20000532"</f>
        <v>SO20000532</v>
      </c>
      <c r="AC1861">
        <v>80</v>
      </c>
      <c r="AD1861" s="1">
        <v>44155</v>
      </c>
      <c r="AE1861" t="str">
        <f>"SH22000032"</f>
        <v>SH22000032</v>
      </c>
      <c r="AF1861" t="str">
        <f>"משלוחים ללקוח"</f>
        <v>משלוחים ללקוח</v>
      </c>
      <c r="AG1861" s="1">
        <v>44571</v>
      </c>
      <c r="AM1861" t="str">
        <f>"10"</f>
        <v>10</v>
      </c>
      <c r="AN1861" t="str">
        <f>"500000"</f>
        <v>500000</v>
      </c>
      <c r="AO1861" t="str">
        <f>"הכנסות  מלקוחות"</f>
        <v>הכנסות  מלקוחות</v>
      </c>
      <c r="AQ1861" t="str">
        <f>"034"</f>
        <v>034</v>
      </c>
      <c r="AR1861">
        <v>0</v>
      </c>
      <c r="AS1861">
        <v>0</v>
      </c>
      <c r="AT1861">
        <v>3.1120000000000001</v>
      </c>
      <c r="AX1861" t="str">
        <f>"E000321177"</f>
        <v>E000321177</v>
      </c>
      <c r="BD1861" t="str">
        <f>"ערן שלו"</f>
        <v>ערן שלו</v>
      </c>
    </row>
    <row r="1862" spans="1:56" x14ac:dyDescent="0.3">
      <c r="A1862" s="1">
        <v>44573</v>
      </c>
      <c r="B1862" t="str">
        <f>"SI226000057"</f>
        <v>SI226000057</v>
      </c>
      <c r="C1862" t="str">
        <f>"PR20000834"</f>
        <v>PR20000834</v>
      </c>
      <c r="D1862" t="str">
        <f>"PR20000834"</f>
        <v>PR20000834</v>
      </c>
      <c r="E1862" t="str">
        <f>"Y"</f>
        <v>Y</v>
      </c>
      <c r="F1862" t="str">
        <f>"חשבוניות מרכזות"</f>
        <v>חשבוניות מרכזות</v>
      </c>
      <c r="G1862" t="str">
        <f>"700065"</f>
        <v>700065</v>
      </c>
      <c r="H1862" t="str">
        <f>"אלתא מערכות בע""מ"</f>
        <v>אלתא מערכות בע"מ</v>
      </c>
      <c r="I1862" t="str">
        <f>"10"</f>
        <v>10</v>
      </c>
      <c r="J1862" t="str">
        <f>"OP-AR02118"</f>
        <v>OP-AR02118</v>
      </c>
      <c r="K1862" t="str">
        <f>"1032F934-001/-   ETHERNET CABLE MFR-W934 - FILTE"</f>
        <v>1032F934-001/-   ETHERNET CABLE MFR-W934 - FILTE</v>
      </c>
      <c r="L1862">
        <v>4</v>
      </c>
      <c r="M1862" t="str">
        <f>"יח"</f>
        <v>יח</v>
      </c>
      <c r="N1862">
        <v>4</v>
      </c>
      <c r="O1862" t="str">
        <f>"יח"</f>
        <v>יח</v>
      </c>
      <c r="P1862">
        <v>176.77</v>
      </c>
      <c r="Q1862" t="str">
        <f>"$"</f>
        <v>$</v>
      </c>
      <c r="R1862" t="str">
        <f>"הזמנה"</f>
        <v>הזמנה</v>
      </c>
      <c r="S1862">
        <v>0</v>
      </c>
      <c r="T1862">
        <v>707.08</v>
      </c>
      <c r="U1862">
        <v>0</v>
      </c>
      <c r="V1862">
        <v>707.08</v>
      </c>
      <c r="W1862" t="str">
        <f>"$"</f>
        <v>$</v>
      </c>
      <c r="X1862">
        <v>0</v>
      </c>
      <c r="Y1862">
        <v>0</v>
      </c>
      <c r="Z1862">
        <v>0</v>
      </c>
      <c r="AA1862" t="str">
        <f>"Y"</f>
        <v>Y</v>
      </c>
      <c r="AB1862" t="str">
        <f>"SO20000532"</f>
        <v>SO20000532</v>
      </c>
      <c r="AC1862">
        <v>86</v>
      </c>
      <c r="AD1862" s="1">
        <v>44155</v>
      </c>
      <c r="AE1862" t="str">
        <f>"SH22000032"</f>
        <v>SH22000032</v>
      </c>
      <c r="AF1862" t="str">
        <f>"משלוחים ללקוח"</f>
        <v>משלוחים ללקוח</v>
      </c>
      <c r="AG1862" s="1">
        <v>44571</v>
      </c>
      <c r="AM1862" t="str">
        <f>"10"</f>
        <v>10</v>
      </c>
      <c r="AN1862" t="str">
        <f>"500000"</f>
        <v>500000</v>
      </c>
      <c r="AO1862" t="str">
        <f>"הכנסות  מלקוחות"</f>
        <v>הכנסות  מלקוחות</v>
      </c>
      <c r="AQ1862" t="str">
        <f>"034"</f>
        <v>034</v>
      </c>
      <c r="AR1862">
        <v>0</v>
      </c>
      <c r="AS1862">
        <v>0</v>
      </c>
      <c r="AT1862">
        <v>3.1120000000000001</v>
      </c>
      <c r="AX1862" t="str">
        <f>"E000321177"</f>
        <v>E000321177</v>
      </c>
      <c r="BD1862" t="str">
        <f>"ערן שלו"</f>
        <v>ערן שלו</v>
      </c>
    </row>
    <row r="1863" spans="1:56" x14ac:dyDescent="0.3">
      <c r="A1863" s="1">
        <v>44573</v>
      </c>
      <c r="B1863" t="str">
        <f>"SI226000057"</f>
        <v>SI226000057</v>
      </c>
      <c r="C1863" t="str">
        <f>"PR20000834"</f>
        <v>PR20000834</v>
      </c>
      <c r="D1863" t="str">
        <f>"PR20000834"</f>
        <v>PR20000834</v>
      </c>
      <c r="E1863" t="str">
        <f>"Y"</f>
        <v>Y</v>
      </c>
      <c r="F1863" t="str">
        <f>"חשבוניות מרכזות"</f>
        <v>חשבוניות מרכזות</v>
      </c>
      <c r="G1863" t="str">
        <f>"700065"</f>
        <v>700065</v>
      </c>
      <c r="H1863" t="str">
        <f>"אלתא מערכות בע""מ"</f>
        <v>אלתא מערכות בע"מ</v>
      </c>
      <c r="I1863" t="str">
        <f>"10"</f>
        <v>10</v>
      </c>
      <c r="J1863" t="str">
        <f>"OP-AR02119"</f>
        <v>OP-AR02119</v>
      </c>
      <c r="K1863" t="str">
        <f>"1032F935-001/-   ETHERNET CABLE MFR-W935 - FILTE"</f>
        <v>1032F935-001/-   ETHERNET CABLE MFR-W935 - FILTE</v>
      </c>
      <c r="L1863">
        <v>4</v>
      </c>
      <c r="M1863" t="str">
        <f>"יח"</f>
        <v>יח</v>
      </c>
      <c r="N1863">
        <v>4</v>
      </c>
      <c r="O1863" t="str">
        <f>"יח"</f>
        <v>יח</v>
      </c>
      <c r="P1863">
        <v>174</v>
      </c>
      <c r="Q1863" t="str">
        <f>"$"</f>
        <v>$</v>
      </c>
      <c r="R1863" t="str">
        <f>"הזמנה"</f>
        <v>הזמנה</v>
      </c>
      <c r="S1863">
        <v>0</v>
      </c>
      <c r="T1863">
        <v>696</v>
      </c>
      <c r="U1863">
        <v>0</v>
      </c>
      <c r="V1863">
        <v>696</v>
      </c>
      <c r="W1863" t="str">
        <f>"$"</f>
        <v>$</v>
      </c>
      <c r="X1863">
        <v>0</v>
      </c>
      <c r="Y1863">
        <v>0</v>
      </c>
      <c r="Z1863">
        <v>0</v>
      </c>
      <c r="AA1863" t="str">
        <f>"Y"</f>
        <v>Y</v>
      </c>
      <c r="AB1863" t="str">
        <f>"SO20000532"</f>
        <v>SO20000532</v>
      </c>
      <c r="AC1863">
        <v>92</v>
      </c>
      <c r="AD1863" s="1">
        <v>44155</v>
      </c>
      <c r="AE1863" t="str">
        <f>"SH22000032"</f>
        <v>SH22000032</v>
      </c>
      <c r="AF1863" t="str">
        <f>"משלוחים ללקוח"</f>
        <v>משלוחים ללקוח</v>
      </c>
      <c r="AG1863" s="1">
        <v>44571</v>
      </c>
      <c r="AM1863" t="str">
        <f>"10"</f>
        <v>10</v>
      </c>
      <c r="AN1863" t="str">
        <f>"500000"</f>
        <v>500000</v>
      </c>
      <c r="AO1863" t="str">
        <f>"הכנסות  מלקוחות"</f>
        <v>הכנסות  מלקוחות</v>
      </c>
      <c r="AQ1863" t="str">
        <f>"034"</f>
        <v>034</v>
      </c>
      <c r="AR1863">
        <v>0</v>
      </c>
      <c r="AS1863">
        <v>0</v>
      </c>
      <c r="AT1863">
        <v>3.1120000000000001</v>
      </c>
      <c r="AX1863" t="str">
        <f>"E000321177"</f>
        <v>E000321177</v>
      </c>
      <c r="BD1863" t="str">
        <f>"ערן שלו"</f>
        <v>ערן שלו</v>
      </c>
    </row>
    <row r="1864" spans="1:56" x14ac:dyDescent="0.3">
      <c r="A1864" s="1">
        <v>44573</v>
      </c>
      <c r="B1864" t="str">
        <f>"SI226000057"</f>
        <v>SI226000057</v>
      </c>
      <c r="C1864" t="str">
        <f>"PR20000834"</f>
        <v>PR20000834</v>
      </c>
      <c r="D1864" t="str">
        <f>"PR20000834"</f>
        <v>PR20000834</v>
      </c>
      <c r="E1864" t="str">
        <f>"Y"</f>
        <v>Y</v>
      </c>
      <c r="F1864" t="str">
        <f>"חשבוניות מרכזות"</f>
        <v>חשבוניות מרכזות</v>
      </c>
      <c r="G1864" t="str">
        <f>"700065"</f>
        <v>700065</v>
      </c>
      <c r="H1864" t="str">
        <f>"אלתא מערכות בע""מ"</f>
        <v>אלתא מערכות בע"מ</v>
      </c>
      <c r="I1864" t="str">
        <f>"10"</f>
        <v>10</v>
      </c>
      <c r="J1864" t="str">
        <f>"OP-AR02120"</f>
        <v>OP-AR02120</v>
      </c>
      <c r="K1864" t="str">
        <f>"1032F936-001/-   ETHERNET CABLE MFR-W936 - FILTE"</f>
        <v>1032F936-001/-   ETHERNET CABLE MFR-W936 - FILTE</v>
      </c>
      <c r="L1864">
        <v>4</v>
      </c>
      <c r="M1864" t="str">
        <f>"יח"</f>
        <v>יח</v>
      </c>
      <c r="N1864">
        <v>4</v>
      </c>
      <c r="O1864" t="str">
        <f>"יח"</f>
        <v>יח</v>
      </c>
      <c r="P1864">
        <v>176.77</v>
      </c>
      <c r="Q1864" t="str">
        <f>"$"</f>
        <v>$</v>
      </c>
      <c r="R1864" t="str">
        <f>"הזמנה"</f>
        <v>הזמנה</v>
      </c>
      <c r="S1864">
        <v>0</v>
      </c>
      <c r="T1864">
        <v>707.08</v>
      </c>
      <c r="U1864">
        <v>0</v>
      </c>
      <c r="V1864">
        <v>707.08</v>
      </c>
      <c r="W1864" t="str">
        <f>"$"</f>
        <v>$</v>
      </c>
      <c r="X1864">
        <v>0</v>
      </c>
      <c r="Y1864">
        <v>0</v>
      </c>
      <c r="Z1864">
        <v>0</v>
      </c>
      <c r="AA1864" t="str">
        <f>"Y"</f>
        <v>Y</v>
      </c>
      <c r="AB1864" t="str">
        <f>"SO20000532"</f>
        <v>SO20000532</v>
      </c>
      <c r="AC1864">
        <v>98</v>
      </c>
      <c r="AD1864" s="1">
        <v>44155</v>
      </c>
      <c r="AE1864" t="str">
        <f>"SH22000032"</f>
        <v>SH22000032</v>
      </c>
      <c r="AF1864" t="str">
        <f>"משלוחים ללקוח"</f>
        <v>משלוחים ללקוח</v>
      </c>
      <c r="AG1864" s="1">
        <v>44571</v>
      </c>
      <c r="AM1864" t="str">
        <f>"10"</f>
        <v>10</v>
      </c>
      <c r="AN1864" t="str">
        <f>"500000"</f>
        <v>500000</v>
      </c>
      <c r="AO1864" t="str">
        <f>"הכנסות  מלקוחות"</f>
        <v>הכנסות  מלקוחות</v>
      </c>
      <c r="AQ1864" t="str">
        <f>"034"</f>
        <v>034</v>
      </c>
      <c r="AR1864">
        <v>0</v>
      </c>
      <c r="AS1864">
        <v>0</v>
      </c>
      <c r="AT1864">
        <v>3.1120000000000001</v>
      </c>
      <c r="AX1864" t="str">
        <f>"E000321177"</f>
        <v>E000321177</v>
      </c>
      <c r="BD1864" t="str">
        <f>"ערן שלו"</f>
        <v>ערן שלו</v>
      </c>
    </row>
    <row r="1865" spans="1:56" x14ac:dyDescent="0.3">
      <c r="A1865" s="1">
        <v>44573</v>
      </c>
      <c r="B1865" t="str">
        <f>"SI226000057"</f>
        <v>SI226000057</v>
      </c>
      <c r="C1865" t="str">
        <f>"PR20000834"</f>
        <v>PR20000834</v>
      </c>
      <c r="D1865" t="str">
        <f>"PR20000834"</f>
        <v>PR20000834</v>
      </c>
      <c r="E1865" t="str">
        <f>"Y"</f>
        <v>Y</v>
      </c>
      <c r="F1865" t="str">
        <f>"חשבוניות מרכזות"</f>
        <v>חשבוניות מרכזות</v>
      </c>
      <c r="G1865" t="str">
        <f>"700065"</f>
        <v>700065</v>
      </c>
      <c r="H1865" t="str">
        <f>"אלתא מערכות בע""מ"</f>
        <v>אלתא מערכות בע"מ</v>
      </c>
      <c r="I1865" t="str">
        <f>"10"</f>
        <v>10</v>
      </c>
      <c r="J1865" t="str">
        <f>"OP-AR02121"</f>
        <v>OP-AR02121</v>
      </c>
      <c r="K1865" t="str">
        <f>"1032F937-001/-   ETHERNET CABLE MFR-W937 - FILTE"</f>
        <v>1032F937-001/-   ETHERNET CABLE MFR-W937 - FILTE</v>
      </c>
      <c r="L1865">
        <v>4</v>
      </c>
      <c r="M1865" t="str">
        <f>"יח"</f>
        <v>יח</v>
      </c>
      <c r="N1865">
        <v>4</v>
      </c>
      <c r="O1865" t="str">
        <f>"יח"</f>
        <v>יח</v>
      </c>
      <c r="P1865">
        <v>174</v>
      </c>
      <c r="Q1865" t="str">
        <f>"$"</f>
        <v>$</v>
      </c>
      <c r="R1865" t="str">
        <f>"הזמנה"</f>
        <v>הזמנה</v>
      </c>
      <c r="S1865">
        <v>0</v>
      </c>
      <c r="T1865">
        <v>696</v>
      </c>
      <c r="U1865">
        <v>0</v>
      </c>
      <c r="V1865">
        <v>696</v>
      </c>
      <c r="W1865" t="str">
        <f>"$"</f>
        <v>$</v>
      </c>
      <c r="X1865">
        <v>0</v>
      </c>
      <c r="Y1865">
        <v>0</v>
      </c>
      <c r="Z1865">
        <v>0</v>
      </c>
      <c r="AA1865" t="str">
        <f>"Y"</f>
        <v>Y</v>
      </c>
      <c r="AB1865" t="str">
        <f>"SO20000532"</f>
        <v>SO20000532</v>
      </c>
      <c r="AC1865">
        <v>104</v>
      </c>
      <c r="AD1865" s="1">
        <v>44155</v>
      </c>
      <c r="AE1865" t="str">
        <f>"SH22000032"</f>
        <v>SH22000032</v>
      </c>
      <c r="AF1865" t="str">
        <f>"משלוחים ללקוח"</f>
        <v>משלוחים ללקוח</v>
      </c>
      <c r="AG1865" s="1">
        <v>44571</v>
      </c>
      <c r="AM1865" t="str">
        <f>"10"</f>
        <v>10</v>
      </c>
      <c r="AN1865" t="str">
        <f>"500000"</f>
        <v>500000</v>
      </c>
      <c r="AO1865" t="str">
        <f>"הכנסות  מלקוחות"</f>
        <v>הכנסות  מלקוחות</v>
      </c>
      <c r="AQ1865" t="str">
        <f>"034"</f>
        <v>034</v>
      </c>
      <c r="AR1865">
        <v>0</v>
      </c>
      <c r="AS1865">
        <v>0</v>
      </c>
      <c r="AT1865">
        <v>3.1120000000000001</v>
      </c>
      <c r="AX1865" t="str">
        <f>"E000321177"</f>
        <v>E000321177</v>
      </c>
      <c r="BD1865" t="str">
        <f>"ערן שלו"</f>
        <v>ערן שלו</v>
      </c>
    </row>
    <row r="1866" spans="1:56" x14ac:dyDescent="0.3">
      <c r="A1866" s="1">
        <v>44573</v>
      </c>
      <c r="B1866" t="str">
        <f>"SI226000057"</f>
        <v>SI226000057</v>
      </c>
      <c r="C1866" t="str">
        <f>"PR20000834"</f>
        <v>PR20000834</v>
      </c>
      <c r="D1866" t="str">
        <f>"PR20000834"</f>
        <v>PR20000834</v>
      </c>
      <c r="E1866" t="str">
        <f>"Y"</f>
        <v>Y</v>
      </c>
      <c r="F1866" t="str">
        <f>"חשבוניות מרכזות"</f>
        <v>חשבוניות מרכזות</v>
      </c>
      <c r="G1866" t="str">
        <f>"700065"</f>
        <v>700065</v>
      </c>
      <c r="H1866" t="str">
        <f>"אלתא מערכות בע""מ"</f>
        <v>אלתא מערכות בע"מ</v>
      </c>
      <c r="I1866" t="str">
        <f>"10"</f>
        <v>10</v>
      </c>
      <c r="J1866" t="str">
        <f>"OP-AR02122"</f>
        <v>OP-AR02122</v>
      </c>
      <c r="K1866" t="str">
        <f>"1032F938-001/-   ETHERNET CABLE MFR-W938 - FILTE"</f>
        <v>1032F938-001/-   ETHERNET CABLE MFR-W938 - FILTE</v>
      </c>
      <c r="L1866">
        <v>4</v>
      </c>
      <c r="M1866" t="str">
        <f>"יח"</f>
        <v>יח</v>
      </c>
      <c r="N1866">
        <v>4</v>
      </c>
      <c r="O1866" t="str">
        <f>"יח"</f>
        <v>יח</v>
      </c>
      <c r="P1866">
        <v>174</v>
      </c>
      <c r="Q1866" t="str">
        <f>"$"</f>
        <v>$</v>
      </c>
      <c r="R1866" t="str">
        <f>"הזמנה"</f>
        <v>הזמנה</v>
      </c>
      <c r="S1866">
        <v>0</v>
      </c>
      <c r="T1866">
        <v>696</v>
      </c>
      <c r="U1866">
        <v>0</v>
      </c>
      <c r="V1866">
        <v>696</v>
      </c>
      <c r="W1866" t="str">
        <f>"$"</f>
        <v>$</v>
      </c>
      <c r="X1866">
        <v>0</v>
      </c>
      <c r="Y1866">
        <v>0</v>
      </c>
      <c r="Z1866">
        <v>0</v>
      </c>
      <c r="AA1866" t="str">
        <f>"Y"</f>
        <v>Y</v>
      </c>
      <c r="AB1866" t="str">
        <f>"SO20000532"</f>
        <v>SO20000532</v>
      </c>
      <c r="AC1866">
        <v>110</v>
      </c>
      <c r="AD1866" s="1">
        <v>44155</v>
      </c>
      <c r="AE1866" t="str">
        <f>"SH22000032"</f>
        <v>SH22000032</v>
      </c>
      <c r="AF1866" t="str">
        <f>"משלוחים ללקוח"</f>
        <v>משלוחים ללקוח</v>
      </c>
      <c r="AG1866" s="1">
        <v>44571</v>
      </c>
      <c r="AM1866" t="str">
        <f>"10"</f>
        <v>10</v>
      </c>
      <c r="AN1866" t="str">
        <f>"500000"</f>
        <v>500000</v>
      </c>
      <c r="AO1866" t="str">
        <f>"הכנסות  מלקוחות"</f>
        <v>הכנסות  מלקוחות</v>
      </c>
      <c r="AQ1866" t="str">
        <f>"034"</f>
        <v>034</v>
      </c>
      <c r="AR1866">
        <v>0</v>
      </c>
      <c r="AS1866">
        <v>0</v>
      </c>
      <c r="AT1866">
        <v>3.1120000000000001</v>
      </c>
      <c r="AX1866" t="str">
        <f>"E000321177"</f>
        <v>E000321177</v>
      </c>
      <c r="BD1866" t="str">
        <f>"ערן שלו"</f>
        <v>ערן שלו</v>
      </c>
    </row>
    <row r="1867" spans="1:56" x14ac:dyDescent="0.3">
      <c r="A1867" s="1">
        <v>44573</v>
      </c>
      <c r="B1867" t="str">
        <f>"SI226000057"</f>
        <v>SI226000057</v>
      </c>
      <c r="C1867" t="str">
        <f>"PR20000834"</f>
        <v>PR20000834</v>
      </c>
      <c r="D1867" t="str">
        <f>"PR20000834"</f>
        <v>PR20000834</v>
      </c>
      <c r="E1867" t="str">
        <f>"Y"</f>
        <v>Y</v>
      </c>
      <c r="F1867" t="str">
        <f>"חשבוניות מרכזות"</f>
        <v>חשבוניות מרכזות</v>
      </c>
      <c r="G1867" t="str">
        <f>"700065"</f>
        <v>700065</v>
      </c>
      <c r="H1867" t="str">
        <f>"אלתא מערכות בע""מ"</f>
        <v>אלתא מערכות בע"מ</v>
      </c>
      <c r="I1867" t="str">
        <f>"10"</f>
        <v>10</v>
      </c>
      <c r="J1867" t="str">
        <f>"OP-AR02123"</f>
        <v>OP-AR02123</v>
      </c>
      <c r="K1867" t="str">
        <f>"1032F939-001/-   ETHERNET CABLE MFR-W939 - FILTE"</f>
        <v>1032F939-001/-   ETHERNET CABLE MFR-W939 - FILTE</v>
      </c>
      <c r="L1867">
        <v>4</v>
      </c>
      <c r="M1867" t="str">
        <f>"יח"</f>
        <v>יח</v>
      </c>
      <c r="N1867">
        <v>4</v>
      </c>
      <c r="O1867" t="str">
        <f>"יח"</f>
        <v>יח</v>
      </c>
      <c r="P1867">
        <v>174</v>
      </c>
      <c r="Q1867" t="str">
        <f>"$"</f>
        <v>$</v>
      </c>
      <c r="R1867" t="str">
        <f>"הזמנה"</f>
        <v>הזמנה</v>
      </c>
      <c r="S1867">
        <v>0</v>
      </c>
      <c r="T1867">
        <v>696</v>
      </c>
      <c r="U1867">
        <v>0</v>
      </c>
      <c r="V1867">
        <v>696</v>
      </c>
      <c r="W1867" t="str">
        <f>"$"</f>
        <v>$</v>
      </c>
      <c r="X1867">
        <v>0</v>
      </c>
      <c r="Y1867">
        <v>0</v>
      </c>
      <c r="Z1867">
        <v>0</v>
      </c>
      <c r="AA1867" t="str">
        <f>"Y"</f>
        <v>Y</v>
      </c>
      <c r="AB1867" t="str">
        <f>"SO20000532"</f>
        <v>SO20000532</v>
      </c>
      <c r="AC1867">
        <v>116</v>
      </c>
      <c r="AD1867" s="1">
        <v>44155</v>
      </c>
      <c r="AE1867" t="str">
        <f>"SH22000032"</f>
        <v>SH22000032</v>
      </c>
      <c r="AF1867" t="str">
        <f>"משלוחים ללקוח"</f>
        <v>משלוחים ללקוח</v>
      </c>
      <c r="AG1867" s="1">
        <v>44571</v>
      </c>
      <c r="AM1867" t="str">
        <f>"10"</f>
        <v>10</v>
      </c>
      <c r="AN1867" t="str">
        <f>"500000"</f>
        <v>500000</v>
      </c>
      <c r="AO1867" t="str">
        <f>"הכנסות  מלקוחות"</f>
        <v>הכנסות  מלקוחות</v>
      </c>
      <c r="AQ1867" t="str">
        <f>"034"</f>
        <v>034</v>
      </c>
      <c r="AR1867">
        <v>0</v>
      </c>
      <c r="AS1867">
        <v>0</v>
      </c>
      <c r="AT1867">
        <v>3.1120000000000001</v>
      </c>
      <c r="AX1867" t="str">
        <f>"E000321177"</f>
        <v>E000321177</v>
      </c>
      <c r="BD1867" t="str">
        <f>"ערן שלו"</f>
        <v>ערן שלו</v>
      </c>
    </row>
    <row r="1868" spans="1:56" x14ac:dyDescent="0.3">
      <c r="A1868" s="1">
        <v>44573</v>
      </c>
      <c r="B1868" t="str">
        <f>"SI226000057"</f>
        <v>SI226000057</v>
      </c>
      <c r="C1868" t="str">
        <f>"PR20000834"</f>
        <v>PR20000834</v>
      </c>
      <c r="D1868" t="str">
        <f>"PR20000834"</f>
        <v>PR20000834</v>
      </c>
      <c r="E1868" t="str">
        <f>"Y"</f>
        <v>Y</v>
      </c>
      <c r="F1868" t="str">
        <f>"חשבוניות מרכזות"</f>
        <v>חשבוניות מרכזות</v>
      </c>
      <c r="G1868" t="str">
        <f>"700065"</f>
        <v>700065</v>
      </c>
      <c r="H1868" t="str">
        <f>"אלתא מערכות בע""מ"</f>
        <v>אלתא מערכות בע"מ</v>
      </c>
      <c r="I1868" t="str">
        <f>"10"</f>
        <v>10</v>
      </c>
      <c r="J1868" t="str">
        <f>"OP-AR02124"</f>
        <v>OP-AR02124</v>
      </c>
      <c r="K1868" t="str">
        <f>"1032F940-001/-   ETHERNET CABLE MFR-W940 - FILTE"</f>
        <v>1032F940-001/-   ETHERNET CABLE MFR-W940 - FILTE</v>
      </c>
      <c r="L1868">
        <v>4</v>
      </c>
      <c r="M1868" t="str">
        <f>"יח"</f>
        <v>יח</v>
      </c>
      <c r="N1868">
        <v>4</v>
      </c>
      <c r="O1868" t="str">
        <f>"יח"</f>
        <v>יח</v>
      </c>
      <c r="P1868">
        <v>174</v>
      </c>
      <c r="Q1868" t="str">
        <f>"$"</f>
        <v>$</v>
      </c>
      <c r="R1868" t="str">
        <f>"הזמנה"</f>
        <v>הזמנה</v>
      </c>
      <c r="S1868">
        <v>0</v>
      </c>
      <c r="T1868">
        <v>696</v>
      </c>
      <c r="U1868">
        <v>0</v>
      </c>
      <c r="V1868">
        <v>696</v>
      </c>
      <c r="W1868" t="str">
        <f>"$"</f>
        <v>$</v>
      </c>
      <c r="X1868">
        <v>0</v>
      </c>
      <c r="Y1868">
        <v>0</v>
      </c>
      <c r="Z1868">
        <v>0</v>
      </c>
      <c r="AA1868" t="str">
        <f>"Y"</f>
        <v>Y</v>
      </c>
      <c r="AB1868" t="str">
        <f>"SO20000532"</f>
        <v>SO20000532</v>
      </c>
      <c r="AC1868">
        <v>122</v>
      </c>
      <c r="AD1868" s="1">
        <v>44155</v>
      </c>
      <c r="AE1868" t="str">
        <f>"SH22000032"</f>
        <v>SH22000032</v>
      </c>
      <c r="AF1868" t="str">
        <f>"משלוחים ללקוח"</f>
        <v>משלוחים ללקוח</v>
      </c>
      <c r="AG1868" s="1">
        <v>44571</v>
      </c>
      <c r="AM1868" t="str">
        <f>"10"</f>
        <v>10</v>
      </c>
      <c r="AN1868" t="str">
        <f>"500000"</f>
        <v>500000</v>
      </c>
      <c r="AO1868" t="str">
        <f>"הכנסות  מלקוחות"</f>
        <v>הכנסות  מלקוחות</v>
      </c>
      <c r="AQ1868" t="str">
        <f>"034"</f>
        <v>034</v>
      </c>
      <c r="AR1868">
        <v>0</v>
      </c>
      <c r="AS1868">
        <v>0</v>
      </c>
      <c r="AT1868">
        <v>3.1120000000000001</v>
      </c>
      <c r="AX1868" t="str">
        <f>"E000321177"</f>
        <v>E000321177</v>
      </c>
      <c r="BD1868" t="str">
        <f>"ערן שלו"</f>
        <v>ערן שלו</v>
      </c>
    </row>
    <row r="1869" spans="1:56" x14ac:dyDescent="0.3">
      <c r="A1869" s="1">
        <v>44573</v>
      </c>
      <c r="B1869" t="str">
        <f>"SI226000057"</f>
        <v>SI226000057</v>
      </c>
      <c r="C1869" t="str">
        <f>"PR20000834"</f>
        <v>PR20000834</v>
      </c>
      <c r="D1869" t="str">
        <f>"PR20000834"</f>
        <v>PR20000834</v>
      </c>
      <c r="E1869" t="str">
        <f>"Y"</f>
        <v>Y</v>
      </c>
      <c r="F1869" t="str">
        <f>"חשבוניות מרכזות"</f>
        <v>חשבוניות מרכזות</v>
      </c>
      <c r="G1869" t="str">
        <f>"700065"</f>
        <v>700065</v>
      </c>
      <c r="H1869" t="str">
        <f>"אלתא מערכות בע""מ"</f>
        <v>אלתא מערכות בע"מ</v>
      </c>
      <c r="I1869" t="str">
        <f>"10"</f>
        <v>10</v>
      </c>
      <c r="J1869" t="str">
        <f>"OP-AR02125"</f>
        <v>OP-AR02125</v>
      </c>
      <c r="K1869" t="str">
        <f>"1032F941-001/-   ETHERNET CABLE MFR-W941 - FILTE"</f>
        <v>1032F941-001/-   ETHERNET CABLE MFR-W941 - FILTE</v>
      </c>
      <c r="L1869">
        <v>4</v>
      </c>
      <c r="M1869" t="str">
        <f>"יח"</f>
        <v>יח</v>
      </c>
      <c r="N1869">
        <v>4</v>
      </c>
      <c r="O1869" t="str">
        <f>"יח"</f>
        <v>יח</v>
      </c>
      <c r="P1869">
        <v>174</v>
      </c>
      <c r="Q1869" t="str">
        <f>"$"</f>
        <v>$</v>
      </c>
      <c r="R1869" t="str">
        <f>"הזמנה"</f>
        <v>הזמנה</v>
      </c>
      <c r="S1869">
        <v>0</v>
      </c>
      <c r="T1869">
        <v>696</v>
      </c>
      <c r="U1869">
        <v>0</v>
      </c>
      <c r="V1869">
        <v>696</v>
      </c>
      <c r="W1869" t="str">
        <f>"$"</f>
        <v>$</v>
      </c>
      <c r="X1869">
        <v>0</v>
      </c>
      <c r="Y1869">
        <v>0</v>
      </c>
      <c r="Z1869">
        <v>0</v>
      </c>
      <c r="AA1869" t="str">
        <f>"Y"</f>
        <v>Y</v>
      </c>
      <c r="AB1869" t="str">
        <f>"SO20000532"</f>
        <v>SO20000532</v>
      </c>
      <c r="AC1869">
        <v>128</v>
      </c>
      <c r="AD1869" s="1">
        <v>44155</v>
      </c>
      <c r="AE1869" t="str">
        <f>"SH22000032"</f>
        <v>SH22000032</v>
      </c>
      <c r="AF1869" t="str">
        <f>"משלוחים ללקוח"</f>
        <v>משלוחים ללקוח</v>
      </c>
      <c r="AG1869" s="1">
        <v>44571</v>
      </c>
      <c r="AM1869" t="str">
        <f>"10"</f>
        <v>10</v>
      </c>
      <c r="AN1869" t="str">
        <f>"500000"</f>
        <v>500000</v>
      </c>
      <c r="AO1869" t="str">
        <f>"הכנסות  מלקוחות"</f>
        <v>הכנסות  מלקוחות</v>
      </c>
      <c r="AQ1869" t="str">
        <f>"034"</f>
        <v>034</v>
      </c>
      <c r="AR1869">
        <v>0</v>
      </c>
      <c r="AS1869">
        <v>0</v>
      </c>
      <c r="AT1869">
        <v>3.1120000000000001</v>
      </c>
      <c r="AX1869" t="str">
        <f>"E000321177"</f>
        <v>E000321177</v>
      </c>
      <c r="BD1869" t="str">
        <f>"ערן שלו"</f>
        <v>ערן שלו</v>
      </c>
    </row>
    <row r="1870" spans="1:56" x14ac:dyDescent="0.3">
      <c r="A1870" s="1">
        <v>44573</v>
      </c>
      <c r="B1870" t="str">
        <f>"SI226000057"</f>
        <v>SI226000057</v>
      </c>
      <c r="C1870" t="str">
        <f>"PR20000834"</f>
        <v>PR20000834</v>
      </c>
      <c r="D1870" t="str">
        <f>"PR20000834"</f>
        <v>PR20000834</v>
      </c>
      <c r="E1870" t="str">
        <f>"Y"</f>
        <v>Y</v>
      </c>
      <c r="F1870" t="str">
        <f>"חשבוניות מרכזות"</f>
        <v>חשבוניות מרכזות</v>
      </c>
      <c r="G1870" t="str">
        <f>"700065"</f>
        <v>700065</v>
      </c>
      <c r="H1870" t="str">
        <f>"אלתא מערכות בע""מ"</f>
        <v>אלתא מערכות בע"מ</v>
      </c>
      <c r="I1870" t="str">
        <f>"10"</f>
        <v>10</v>
      </c>
      <c r="J1870" t="str">
        <f>"OP-AR02126"</f>
        <v>OP-AR02126</v>
      </c>
      <c r="K1870" t="str">
        <f>"1032F942-001/-   ETHERNET CABLE MFR-W942 - FILTE"</f>
        <v>1032F942-001/-   ETHERNET CABLE MFR-W942 - FILTE</v>
      </c>
      <c r="L1870">
        <v>4</v>
      </c>
      <c r="M1870" t="str">
        <f>"יח"</f>
        <v>יח</v>
      </c>
      <c r="N1870">
        <v>4</v>
      </c>
      <c r="O1870" t="str">
        <f>"יח"</f>
        <v>יח</v>
      </c>
      <c r="P1870">
        <v>174</v>
      </c>
      <c r="Q1870" t="str">
        <f>"$"</f>
        <v>$</v>
      </c>
      <c r="R1870" t="str">
        <f>"הזמנה"</f>
        <v>הזמנה</v>
      </c>
      <c r="S1870">
        <v>0</v>
      </c>
      <c r="T1870">
        <v>696</v>
      </c>
      <c r="U1870">
        <v>0</v>
      </c>
      <c r="V1870">
        <v>696</v>
      </c>
      <c r="W1870" t="str">
        <f>"$"</f>
        <v>$</v>
      </c>
      <c r="X1870">
        <v>0</v>
      </c>
      <c r="Y1870">
        <v>0</v>
      </c>
      <c r="Z1870">
        <v>0</v>
      </c>
      <c r="AA1870" t="str">
        <f>"Y"</f>
        <v>Y</v>
      </c>
      <c r="AB1870" t="str">
        <f>"SO20000532"</f>
        <v>SO20000532</v>
      </c>
      <c r="AC1870">
        <v>134</v>
      </c>
      <c r="AD1870" s="1">
        <v>44155</v>
      </c>
      <c r="AE1870" t="str">
        <f>"SH22000032"</f>
        <v>SH22000032</v>
      </c>
      <c r="AF1870" t="str">
        <f>"משלוחים ללקוח"</f>
        <v>משלוחים ללקוח</v>
      </c>
      <c r="AG1870" s="1">
        <v>44571</v>
      </c>
      <c r="AM1870" t="str">
        <f>"10"</f>
        <v>10</v>
      </c>
      <c r="AN1870" t="str">
        <f>"500000"</f>
        <v>500000</v>
      </c>
      <c r="AO1870" t="str">
        <f>"הכנסות  מלקוחות"</f>
        <v>הכנסות  מלקוחות</v>
      </c>
      <c r="AQ1870" t="str">
        <f>"034"</f>
        <v>034</v>
      </c>
      <c r="AR1870">
        <v>0</v>
      </c>
      <c r="AS1870">
        <v>0</v>
      </c>
      <c r="AT1870">
        <v>3.1120000000000001</v>
      </c>
      <c r="AX1870" t="str">
        <f>"E000321177"</f>
        <v>E000321177</v>
      </c>
      <c r="BD1870" t="str">
        <f>"ערן שלו"</f>
        <v>ערן שלו</v>
      </c>
    </row>
    <row r="1871" spans="1:56" x14ac:dyDescent="0.3">
      <c r="A1871" s="1">
        <v>44573</v>
      </c>
      <c r="B1871" t="str">
        <f>"SI226000057"</f>
        <v>SI226000057</v>
      </c>
      <c r="C1871" t="str">
        <f>"PR20000834"</f>
        <v>PR20000834</v>
      </c>
      <c r="D1871" t="str">
        <f>"PR20000834"</f>
        <v>PR20000834</v>
      </c>
      <c r="E1871" t="str">
        <f>"Y"</f>
        <v>Y</v>
      </c>
      <c r="F1871" t="str">
        <f>"חשבוניות מרכזות"</f>
        <v>חשבוניות מרכזות</v>
      </c>
      <c r="G1871" t="str">
        <f>"700065"</f>
        <v>700065</v>
      </c>
      <c r="H1871" t="str">
        <f>"אלתא מערכות בע""מ"</f>
        <v>אלתא מערכות בע"מ</v>
      </c>
      <c r="I1871" t="str">
        <f>"10"</f>
        <v>10</v>
      </c>
      <c r="J1871" t="str">
        <f>"OP-AR02127"</f>
        <v>OP-AR02127</v>
      </c>
      <c r="K1871" t="str">
        <f>"1032F943-001/-   ETHERNET CABLE MFR-W943 - FILTE"</f>
        <v>1032F943-001/-   ETHERNET CABLE MFR-W943 - FILTE</v>
      </c>
      <c r="L1871">
        <v>4</v>
      </c>
      <c r="M1871" t="str">
        <f>"יח"</f>
        <v>יח</v>
      </c>
      <c r="N1871">
        <v>4</v>
      </c>
      <c r="O1871" t="str">
        <f>"יח"</f>
        <v>יח</v>
      </c>
      <c r="P1871">
        <v>174</v>
      </c>
      <c r="Q1871" t="str">
        <f>"$"</f>
        <v>$</v>
      </c>
      <c r="R1871" t="str">
        <f>"הזמנה"</f>
        <v>הזמנה</v>
      </c>
      <c r="S1871">
        <v>0</v>
      </c>
      <c r="T1871">
        <v>696</v>
      </c>
      <c r="U1871">
        <v>0</v>
      </c>
      <c r="V1871">
        <v>696</v>
      </c>
      <c r="W1871" t="str">
        <f>"$"</f>
        <v>$</v>
      </c>
      <c r="X1871">
        <v>0</v>
      </c>
      <c r="Y1871">
        <v>0</v>
      </c>
      <c r="Z1871">
        <v>0</v>
      </c>
      <c r="AA1871" t="str">
        <f>"Y"</f>
        <v>Y</v>
      </c>
      <c r="AB1871" t="str">
        <f>"SO20000532"</f>
        <v>SO20000532</v>
      </c>
      <c r="AC1871">
        <v>140</v>
      </c>
      <c r="AD1871" s="1">
        <v>44155</v>
      </c>
      <c r="AE1871" t="str">
        <f>"SH22000032"</f>
        <v>SH22000032</v>
      </c>
      <c r="AF1871" t="str">
        <f>"משלוחים ללקוח"</f>
        <v>משלוחים ללקוח</v>
      </c>
      <c r="AG1871" s="1">
        <v>44571</v>
      </c>
      <c r="AM1871" t="str">
        <f>"10"</f>
        <v>10</v>
      </c>
      <c r="AN1871" t="str">
        <f>"500000"</f>
        <v>500000</v>
      </c>
      <c r="AO1871" t="str">
        <f>"הכנסות  מלקוחות"</f>
        <v>הכנסות  מלקוחות</v>
      </c>
      <c r="AQ1871" t="str">
        <f>"034"</f>
        <v>034</v>
      </c>
      <c r="AR1871">
        <v>0</v>
      </c>
      <c r="AS1871">
        <v>0</v>
      </c>
      <c r="AT1871">
        <v>3.1120000000000001</v>
      </c>
      <c r="AX1871" t="str">
        <f>"E000321177"</f>
        <v>E000321177</v>
      </c>
      <c r="BD1871" t="str">
        <f>"ערן שלו"</f>
        <v>ערן שלו</v>
      </c>
    </row>
    <row r="1872" spans="1:56" x14ac:dyDescent="0.3">
      <c r="A1872" s="1">
        <v>44573</v>
      </c>
      <c r="B1872" t="str">
        <f>"SI226000057"</f>
        <v>SI226000057</v>
      </c>
      <c r="C1872" t="str">
        <f>"PR20000834"</f>
        <v>PR20000834</v>
      </c>
      <c r="D1872" t="str">
        <f>"PR20000834"</f>
        <v>PR20000834</v>
      </c>
      <c r="E1872" t="str">
        <f>"Y"</f>
        <v>Y</v>
      </c>
      <c r="F1872" t="str">
        <f>"חשבוניות מרכזות"</f>
        <v>חשבוניות מרכזות</v>
      </c>
      <c r="G1872" t="str">
        <f>"700065"</f>
        <v>700065</v>
      </c>
      <c r="H1872" t="str">
        <f>"אלתא מערכות בע""מ"</f>
        <v>אלתא מערכות בע"מ</v>
      </c>
      <c r="I1872" t="str">
        <f>"10"</f>
        <v>10</v>
      </c>
      <c r="J1872" t="str">
        <f>"OP-AR02128"</f>
        <v>OP-AR02128</v>
      </c>
      <c r="K1872" t="str">
        <f>"1032F944-001/-   ETHERNET CABLE MFR-W944 - FILTE"</f>
        <v>1032F944-001/-   ETHERNET CABLE MFR-W944 - FILTE</v>
      </c>
      <c r="L1872">
        <v>4</v>
      </c>
      <c r="M1872" t="str">
        <f>"יח"</f>
        <v>יח</v>
      </c>
      <c r="N1872">
        <v>4</v>
      </c>
      <c r="O1872" t="str">
        <f>"יח"</f>
        <v>יח</v>
      </c>
      <c r="P1872">
        <v>174</v>
      </c>
      <c r="Q1872" t="str">
        <f>"$"</f>
        <v>$</v>
      </c>
      <c r="R1872" t="str">
        <f>"הזמנה"</f>
        <v>הזמנה</v>
      </c>
      <c r="S1872">
        <v>0</v>
      </c>
      <c r="T1872">
        <v>696</v>
      </c>
      <c r="U1872">
        <v>0</v>
      </c>
      <c r="V1872">
        <v>696</v>
      </c>
      <c r="W1872" t="str">
        <f>"$"</f>
        <v>$</v>
      </c>
      <c r="X1872">
        <v>0</v>
      </c>
      <c r="Y1872">
        <v>0</v>
      </c>
      <c r="Z1872">
        <v>0</v>
      </c>
      <c r="AA1872" t="str">
        <f>"Y"</f>
        <v>Y</v>
      </c>
      <c r="AB1872" t="str">
        <f>"SO20000532"</f>
        <v>SO20000532</v>
      </c>
      <c r="AC1872">
        <v>146</v>
      </c>
      <c r="AD1872" s="1">
        <v>44155</v>
      </c>
      <c r="AE1872" t="str">
        <f>"SH22000032"</f>
        <v>SH22000032</v>
      </c>
      <c r="AF1872" t="str">
        <f>"משלוחים ללקוח"</f>
        <v>משלוחים ללקוח</v>
      </c>
      <c r="AG1872" s="1">
        <v>44571</v>
      </c>
      <c r="AM1872" t="str">
        <f>"10"</f>
        <v>10</v>
      </c>
      <c r="AN1872" t="str">
        <f>"500000"</f>
        <v>500000</v>
      </c>
      <c r="AO1872" t="str">
        <f>"הכנסות  מלקוחות"</f>
        <v>הכנסות  מלקוחות</v>
      </c>
      <c r="AQ1872" t="str">
        <f>"034"</f>
        <v>034</v>
      </c>
      <c r="AR1872">
        <v>0</v>
      </c>
      <c r="AS1872">
        <v>0</v>
      </c>
      <c r="AT1872">
        <v>3.1120000000000001</v>
      </c>
      <c r="AX1872" t="str">
        <f>"E000321177"</f>
        <v>E000321177</v>
      </c>
      <c r="BD1872" t="str">
        <f>"ערן שלו"</f>
        <v>ערן שלו</v>
      </c>
    </row>
    <row r="1873" spans="1:56" x14ac:dyDescent="0.3">
      <c r="A1873" s="1">
        <v>44573</v>
      </c>
      <c r="B1873" t="str">
        <f>"SI226000057"</f>
        <v>SI226000057</v>
      </c>
      <c r="C1873" t="str">
        <f>"PR20000834"</f>
        <v>PR20000834</v>
      </c>
      <c r="D1873" t="str">
        <f>"PR20000834"</f>
        <v>PR20000834</v>
      </c>
      <c r="E1873" t="str">
        <f>"Y"</f>
        <v>Y</v>
      </c>
      <c r="F1873" t="str">
        <f>"חשבוניות מרכזות"</f>
        <v>חשבוניות מרכזות</v>
      </c>
      <c r="G1873" t="str">
        <f>"700065"</f>
        <v>700065</v>
      </c>
      <c r="H1873" t="str">
        <f>"אלתא מערכות בע""מ"</f>
        <v>אלתא מערכות בע"מ</v>
      </c>
      <c r="I1873" t="str">
        <f>"10"</f>
        <v>10</v>
      </c>
      <c r="J1873" t="str">
        <f>"OP-AR02129"</f>
        <v>OP-AR02129</v>
      </c>
      <c r="K1873" t="str">
        <f>"1032F945-001/-   ETHERNET CABLE MFR-W945 - FILTE"</f>
        <v>1032F945-001/-   ETHERNET CABLE MFR-W945 - FILTE</v>
      </c>
      <c r="L1873">
        <v>4</v>
      </c>
      <c r="M1873" t="str">
        <f>"יח"</f>
        <v>יח</v>
      </c>
      <c r="N1873">
        <v>4</v>
      </c>
      <c r="O1873" t="str">
        <f>"יח"</f>
        <v>יח</v>
      </c>
      <c r="P1873">
        <v>176.77</v>
      </c>
      <c r="Q1873" t="str">
        <f>"$"</f>
        <v>$</v>
      </c>
      <c r="R1873" t="str">
        <f>"הזמנה"</f>
        <v>הזמנה</v>
      </c>
      <c r="S1873">
        <v>0</v>
      </c>
      <c r="T1873">
        <v>707.08</v>
      </c>
      <c r="U1873">
        <v>0</v>
      </c>
      <c r="V1873">
        <v>707.08</v>
      </c>
      <c r="W1873" t="str">
        <f>"$"</f>
        <v>$</v>
      </c>
      <c r="X1873">
        <v>0</v>
      </c>
      <c r="Y1873">
        <v>0</v>
      </c>
      <c r="Z1873">
        <v>0</v>
      </c>
      <c r="AA1873" t="str">
        <f>"Y"</f>
        <v>Y</v>
      </c>
      <c r="AB1873" t="str">
        <f>"SO20000532"</f>
        <v>SO20000532</v>
      </c>
      <c r="AC1873">
        <v>152</v>
      </c>
      <c r="AD1873" s="1">
        <v>44155</v>
      </c>
      <c r="AE1873" t="str">
        <f>"SH22000032"</f>
        <v>SH22000032</v>
      </c>
      <c r="AF1873" t="str">
        <f>"משלוחים ללקוח"</f>
        <v>משלוחים ללקוח</v>
      </c>
      <c r="AG1873" s="1">
        <v>44571</v>
      </c>
      <c r="AM1873" t="str">
        <f>"10"</f>
        <v>10</v>
      </c>
      <c r="AN1873" t="str">
        <f>"500000"</f>
        <v>500000</v>
      </c>
      <c r="AO1873" t="str">
        <f>"הכנסות  מלקוחות"</f>
        <v>הכנסות  מלקוחות</v>
      </c>
      <c r="AQ1873" t="str">
        <f>"034"</f>
        <v>034</v>
      </c>
      <c r="AR1873">
        <v>0</v>
      </c>
      <c r="AS1873">
        <v>0</v>
      </c>
      <c r="AT1873">
        <v>3.1120000000000001</v>
      </c>
      <c r="AX1873" t="str">
        <f>"E000321177"</f>
        <v>E000321177</v>
      </c>
      <c r="BD1873" t="str">
        <f>"ערן שלו"</f>
        <v>ערן שלו</v>
      </c>
    </row>
    <row r="1874" spans="1:56" x14ac:dyDescent="0.3">
      <c r="A1874" s="1">
        <v>44573</v>
      </c>
      <c r="B1874" t="str">
        <f>"SI226000056"</f>
        <v>SI226000056</v>
      </c>
      <c r="C1874" t="str">
        <f>"PR21000643"</f>
        <v>PR21000643</v>
      </c>
      <c r="E1874" t="str">
        <f>"Y"</f>
        <v>Y</v>
      </c>
      <c r="F1874" t="str">
        <f>"חשבוניות מרכזות"</f>
        <v>חשבוניות מרכזות</v>
      </c>
      <c r="G1874" t="str">
        <f>"700065"</f>
        <v>700065</v>
      </c>
      <c r="H1874" t="str">
        <f>"אלתא מערכות בע""מ"</f>
        <v>אלתא מערכות בע"מ</v>
      </c>
      <c r="I1874" t="str">
        <f>"10"</f>
        <v>10</v>
      </c>
      <c r="J1874" t="str">
        <f>"OP-AR02793"</f>
        <v>OP-AR02793</v>
      </c>
      <c r="K1874" t="str">
        <f>"2126B064-001   SHW4 - TEST Plug Signal CABLE ASSY"</f>
        <v>2126B064-001   SHW4 - TEST Plug Signal CABLE ASSY</v>
      </c>
      <c r="L1874">
        <v>1</v>
      </c>
      <c r="M1874" t="str">
        <f>"יח"</f>
        <v>יח</v>
      </c>
      <c r="N1874">
        <v>1</v>
      </c>
      <c r="O1874" t="str">
        <f>"יח"</f>
        <v>יח</v>
      </c>
      <c r="P1874">
        <v>953.73</v>
      </c>
      <c r="Q1874" t="str">
        <f>"$"</f>
        <v>$</v>
      </c>
      <c r="R1874" t="str">
        <f>"הזמנה"</f>
        <v>הזמנה</v>
      </c>
      <c r="S1874">
        <v>0</v>
      </c>
      <c r="T1874">
        <v>953.73</v>
      </c>
      <c r="U1874">
        <v>0</v>
      </c>
      <c r="V1874">
        <v>953.73</v>
      </c>
      <c r="W1874" t="str">
        <f>"$"</f>
        <v>$</v>
      </c>
      <c r="X1874">
        <v>0</v>
      </c>
      <c r="Y1874">
        <v>0</v>
      </c>
      <c r="Z1874">
        <v>0</v>
      </c>
      <c r="AA1874" t="str">
        <f>"Y"</f>
        <v>Y</v>
      </c>
      <c r="AB1874" t="str">
        <f>"SO21000406"</f>
        <v>SO21000406</v>
      </c>
      <c r="AC1874">
        <v>1</v>
      </c>
      <c r="AD1874" s="1">
        <v>44458</v>
      </c>
      <c r="AE1874" t="str">
        <f>"SH22000031"</f>
        <v>SH22000031</v>
      </c>
      <c r="AF1874" t="str">
        <f>"משלוחים ללקוח"</f>
        <v>משלוחים ללקוח</v>
      </c>
      <c r="AG1874" s="1">
        <v>44571</v>
      </c>
      <c r="AM1874" t="str">
        <f>"10"</f>
        <v>10</v>
      </c>
      <c r="AN1874" t="str">
        <f>"500000"</f>
        <v>500000</v>
      </c>
      <c r="AO1874" t="str">
        <f>"הכנסות  מלקוחות"</f>
        <v>הכנסות  מלקוחות</v>
      </c>
      <c r="AQ1874" t="str">
        <f>"040"</f>
        <v>040</v>
      </c>
      <c r="AR1874">
        <v>0</v>
      </c>
      <c r="AS1874">
        <v>0</v>
      </c>
      <c r="AT1874">
        <v>3.1120000000000001</v>
      </c>
      <c r="AX1874" t="str">
        <f>"E000345587"</f>
        <v>E000345587</v>
      </c>
      <c r="BD1874" t="str">
        <f>"רחמים זרוק"</f>
        <v>רחמים זרוק</v>
      </c>
    </row>
    <row r="1875" spans="1:56" x14ac:dyDescent="0.3">
      <c r="A1875" s="1">
        <v>44573</v>
      </c>
      <c r="B1875" t="str">
        <f>"SI226000055"</f>
        <v>SI226000055</v>
      </c>
      <c r="C1875" t="str">
        <f>"PR21000871"</f>
        <v>PR21000871</v>
      </c>
      <c r="D1875" t="str">
        <f>"PR21000871"</f>
        <v>PR21000871</v>
      </c>
      <c r="E1875" t="str">
        <f>"Y"</f>
        <v>Y</v>
      </c>
      <c r="F1875" t="str">
        <f>"חשבוניות מרכזות"</f>
        <v>חשבוניות מרכזות</v>
      </c>
      <c r="G1875" t="str">
        <f>"700065"</f>
        <v>700065</v>
      </c>
      <c r="H1875" t="str">
        <f>"אלתא מערכות בע""מ"</f>
        <v>אלתא מערכות בע"מ</v>
      </c>
      <c r="I1875" t="str">
        <f>"10"</f>
        <v>10</v>
      </c>
      <c r="J1875" t="str">
        <f>"OP-AR02865"</f>
        <v>OP-AR02865</v>
      </c>
      <c r="K1875" t="str">
        <f>"1035E976-001  WG976"</f>
        <v>1035E976-001  WG976</v>
      </c>
      <c r="L1875">
        <v>1</v>
      </c>
      <c r="M1875" t="str">
        <f>"יח"</f>
        <v>יח</v>
      </c>
      <c r="N1875">
        <v>1</v>
      </c>
      <c r="O1875" t="str">
        <f>"יח"</f>
        <v>יח</v>
      </c>
      <c r="P1875">
        <v>313.5</v>
      </c>
      <c r="Q1875" t="str">
        <f>"$"</f>
        <v>$</v>
      </c>
      <c r="R1875" t="str">
        <f>"הזמנה"</f>
        <v>הזמנה</v>
      </c>
      <c r="S1875">
        <v>0</v>
      </c>
      <c r="T1875">
        <v>313.5</v>
      </c>
      <c r="U1875">
        <v>0</v>
      </c>
      <c r="V1875">
        <v>313.5</v>
      </c>
      <c r="W1875" t="str">
        <f>"$"</f>
        <v>$</v>
      </c>
      <c r="X1875">
        <v>0</v>
      </c>
      <c r="Y1875">
        <v>0</v>
      </c>
      <c r="Z1875">
        <v>0</v>
      </c>
      <c r="AA1875" t="str">
        <f>"Y"</f>
        <v>Y</v>
      </c>
      <c r="AB1875" t="str">
        <f>"SO21000523"</f>
        <v>SO21000523</v>
      </c>
      <c r="AC1875">
        <v>6</v>
      </c>
      <c r="AD1875" s="1">
        <v>44551</v>
      </c>
      <c r="AE1875" t="str">
        <f>"SH22000030"</f>
        <v>SH22000030</v>
      </c>
      <c r="AF1875" t="str">
        <f>"משלוחים ללקוח"</f>
        <v>משלוחים ללקוח</v>
      </c>
      <c r="AG1875" s="1">
        <v>44571</v>
      </c>
      <c r="AM1875" t="str">
        <f>"10"</f>
        <v>10</v>
      </c>
      <c r="AN1875" t="str">
        <f>"500000"</f>
        <v>500000</v>
      </c>
      <c r="AO1875" t="str">
        <f>"הכנסות  מלקוחות"</f>
        <v>הכנסות  מלקוחות</v>
      </c>
      <c r="AQ1875" t="str">
        <f>"007"</f>
        <v>007</v>
      </c>
      <c r="AR1875">
        <v>0</v>
      </c>
      <c r="AS1875">
        <v>0</v>
      </c>
      <c r="AT1875">
        <v>3.1120000000000001</v>
      </c>
      <c r="AX1875" t="str">
        <f>"E000353653"</f>
        <v>E000353653</v>
      </c>
      <c r="BD1875" t="str">
        <f>"רוני דידי"</f>
        <v>רוני דידי</v>
      </c>
    </row>
    <row r="1876" spans="1:56" x14ac:dyDescent="0.3">
      <c r="A1876" s="1">
        <v>44573</v>
      </c>
      <c r="B1876" t="str">
        <f>"SI226000055"</f>
        <v>SI226000055</v>
      </c>
      <c r="C1876" t="str">
        <f>"PR21000871"</f>
        <v>PR21000871</v>
      </c>
      <c r="D1876" t="str">
        <f>"PR21000871"</f>
        <v>PR21000871</v>
      </c>
      <c r="E1876" t="str">
        <f>"Y"</f>
        <v>Y</v>
      </c>
      <c r="F1876" t="str">
        <f>"חשבוניות מרכזות"</f>
        <v>חשבוניות מרכזות</v>
      </c>
      <c r="G1876" t="str">
        <f>"700065"</f>
        <v>700065</v>
      </c>
      <c r="H1876" t="str">
        <f>"אלתא מערכות בע""מ"</f>
        <v>אלתא מערכות בע"מ</v>
      </c>
      <c r="I1876" t="str">
        <f>"10"</f>
        <v>10</v>
      </c>
      <c r="J1876" t="str">
        <f>"OP-AR02866"</f>
        <v>OP-AR02866</v>
      </c>
      <c r="K1876" t="str">
        <f>"1035E977-001  WG977"</f>
        <v>1035E977-001  WG977</v>
      </c>
      <c r="L1876">
        <v>1</v>
      </c>
      <c r="M1876" t="str">
        <f>"יח"</f>
        <v>יח</v>
      </c>
      <c r="N1876">
        <v>1</v>
      </c>
      <c r="O1876" t="str">
        <f>"יח"</f>
        <v>יח</v>
      </c>
      <c r="P1876">
        <v>313.5</v>
      </c>
      <c r="Q1876" t="str">
        <f>"$"</f>
        <v>$</v>
      </c>
      <c r="R1876" t="str">
        <f>"הזמנה"</f>
        <v>הזמנה</v>
      </c>
      <c r="S1876">
        <v>0</v>
      </c>
      <c r="T1876">
        <v>313.5</v>
      </c>
      <c r="U1876">
        <v>0</v>
      </c>
      <c r="V1876">
        <v>313.5</v>
      </c>
      <c r="W1876" t="str">
        <f>"$"</f>
        <v>$</v>
      </c>
      <c r="X1876">
        <v>0</v>
      </c>
      <c r="Y1876">
        <v>0</v>
      </c>
      <c r="Z1876">
        <v>0</v>
      </c>
      <c r="AA1876" t="str">
        <f>"Y"</f>
        <v>Y</v>
      </c>
      <c r="AB1876" t="str">
        <f>"SO21000523"</f>
        <v>SO21000523</v>
      </c>
      <c r="AC1876">
        <v>7</v>
      </c>
      <c r="AD1876" s="1">
        <v>44551</v>
      </c>
      <c r="AE1876" t="str">
        <f>"SH22000030"</f>
        <v>SH22000030</v>
      </c>
      <c r="AF1876" t="str">
        <f>"משלוחים ללקוח"</f>
        <v>משלוחים ללקוח</v>
      </c>
      <c r="AG1876" s="1">
        <v>44571</v>
      </c>
      <c r="AM1876" t="str">
        <f>"10"</f>
        <v>10</v>
      </c>
      <c r="AN1876" t="str">
        <f>"500000"</f>
        <v>500000</v>
      </c>
      <c r="AO1876" t="str">
        <f>"הכנסות  מלקוחות"</f>
        <v>הכנסות  מלקוחות</v>
      </c>
      <c r="AQ1876" t="str">
        <f>"007"</f>
        <v>007</v>
      </c>
      <c r="AR1876">
        <v>0</v>
      </c>
      <c r="AS1876">
        <v>0</v>
      </c>
      <c r="AT1876">
        <v>3.1120000000000001</v>
      </c>
      <c r="AX1876" t="str">
        <f>"E000353653"</f>
        <v>E000353653</v>
      </c>
      <c r="BD1876" t="str">
        <f>"רוני דידי"</f>
        <v>רוני דידי</v>
      </c>
    </row>
    <row r="1877" spans="1:56" x14ac:dyDescent="0.3">
      <c r="A1877" s="1">
        <v>44573</v>
      </c>
      <c r="B1877" t="str">
        <f>"SI226000055"</f>
        <v>SI226000055</v>
      </c>
      <c r="C1877" t="str">
        <f>"PR21000871"</f>
        <v>PR21000871</v>
      </c>
      <c r="D1877" t="str">
        <f>"PR21000871"</f>
        <v>PR21000871</v>
      </c>
      <c r="E1877" t="str">
        <f>"Y"</f>
        <v>Y</v>
      </c>
      <c r="F1877" t="str">
        <f>"חשבוניות מרכזות"</f>
        <v>חשבוניות מרכזות</v>
      </c>
      <c r="G1877" t="str">
        <f>"700065"</f>
        <v>700065</v>
      </c>
      <c r="H1877" t="str">
        <f>"אלתא מערכות בע""מ"</f>
        <v>אלתא מערכות בע"מ</v>
      </c>
      <c r="I1877" t="str">
        <f>"10"</f>
        <v>10</v>
      </c>
      <c r="J1877" t="str">
        <f>"OP-AR02867"</f>
        <v>OP-AR02867</v>
      </c>
      <c r="K1877" t="str">
        <f>"1035E978-001  WG978"</f>
        <v>1035E978-001  WG978</v>
      </c>
      <c r="L1877">
        <v>1</v>
      </c>
      <c r="M1877" t="str">
        <f>"יח"</f>
        <v>יח</v>
      </c>
      <c r="N1877">
        <v>1</v>
      </c>
      <c r="O1877" t="str">
        <f>"יח"</f>
        <v>יח</v>
      </c>
      <c r="P1877">
        <v>313.5</v>
      </c>
      <c r="Q1877" t="str">
        <f>"$"</f>
        <v>$</v>
      </c>
      <c r="R1877" t="str">
        <f>"הזמנה"</f>
        <v>הזמנה</v>
      </c>
      <c r="S1877">
        <v>0</v>
      </c>
      <c r="T1877">
        <v>313.5</v>
      </c>
      <c r="U1877">
        <v>0</v>
      </c>
      <c r="V1877">
        <v>313.5</v>
      </c>
      <c r="W1877" t="str">
        <f>"$"</f>
        <v>$</v>
      </c>
      <c r="X1877">
        <v>0</v>
      </c>
      <c r="Y1877">
        <v>0</v>
      </c>
      <c r="Z1877">
        <v>0</v>
      </c>
      <c r="AA1877" t="str">
        <f>"Y"</f>
        <v>Y</v>
      </c>
      <c r="AB1877" t="str">
        <f>"SO21000523"</f>
        <v>SO21000523</v>
      </c>
      <c r="AC1877">
        <v>8</v>
      </c>
      <c r="AD1877" s="1">
        <v>44551</v>
      </c>
      <c r="AE1877" t="str">
        <f>"SH22000030"</f>
        <v>SH22000030</v>
      </c>
      <c r="AF1877" t="str">
        <f>"משלוחים ללקוח"</f>
        <v>משלוחים ללקוח</v>
      </c>
      <c r="AG1877" s="1">
        <v>44571</v>
      </c>
      <c r="AM1877" t="str">
        <f>"10"</f>
        <v>10</v>
      </c>
      <c r="AN1877" t="str">
        <f>"500000"</f>
        <v>500000</v>
      </c>
      <c r="AO1877" t="str">
        <f>"הכנסות  מלקוחות"</f>
        <v>הכנסות  מלקוחות</v>
      </c>
      <c r="AQ1877" t="str">
        <f>"007"</f>
        <v>007</v>
      </c>
      <c r="AR1877">
        <v>0</v>
      </c>
      <c r="AS1877">
        <v>0</v>
      </c>
      <c r="AT1877">
        <v>3.1120000000000001</v>
      </c>
      <c r="AX1877" t="str">
        <f>"E000353653"</f>
        <v>E000353653</v>
      </c>
      <c r="BD1877" t="str">
        <f>"רוני דידי"</f>
        <v>רוני דידי</v>
      </c>
    </row>
    <row r="1878" spans="1:56" x14ac:dyDescent="0.3">
      <c r="A1878" s="1">
        <v>44567</v>
      </c>
      <c r="B1878" t="str">
        <f>"SI226000039"</f>
        <v>SI226000039</v>
      </c>
      <c r="C1878" t="str">
        <f>"PR21000494"</f>
        <v>PR21000494</v>
      </c>
      <c r="E1878" t="str">
        <f>"Y"</f>
        <v>Y</v>
      </c>
      <c r="F1878" t="str">
        <f>"חשבוניות מרכזות"</f>
        <v>חשבוניות מרכזות</v>
      </c>
      <c r="G1878" t="str">
        <f>"700065"</f>
        <v>700065</v>
      </c>
      <c r="H1878" t="str">
        <f>"אלתא מערכות בע""מ"</f>
        <v>אלתא מערכות בע"מ</v>
      </c>
      <c r="I1878" t="str">
        <f>"10"</f>
        <v>10</v>
      </c>
      <c r="J1878" t="str">
        <f>"000"</f>
        <v>000</v>
      </c>
      <c r="K1878" t="str">
        <f>"שדרוג מסדי תקשורת"</f>
        <v>שדרוג מסדי תקשורת</v>
      </c>
      <c r="L1878">
        <v>1</v>
      </c>
      <c r="M1878" t="str">
        <f>"יח"</f>
        <v>יח</v>
      </c>
      <c r="N1878">
        <v>1</v>
      </c>
      <c r="O1878" t="str">
        <f>"יח"</f>
        <v>יח</v>
      </c>
      <c r="P1878" s="2">
        <v>9644</v>
      </c>
      <c r="Q1878" t="str">
        <f>"$"</f>
        <v>$</v>
      </c>
      <c r="R1878" t="str">
        <f>"הזמנה"</f>
        <v>הזמנה</v>
      </c>
      <c r="S1878">
        <v>0</v>
      </c>
      <c r="T1878" s="2">
        <v>9644</v>
      </c>
      <c r="U1878">
        <v>0</v>
      </c>
      <c r="V1878" s="2">
        <v>9644</v>
      </c>
      <c r="W1878" t="str">
        <f>"$"</f>
        <v>$</v>
      </c>
      <c r="X1878">
        <v>0</v>
      </c>
      <c r="Y1878">
        <v>0</v>
      </c>
      <c r="Z1878">
        <v>0</v>
      </c>
      <c r="AA1878" t="str">
        <f>"Y"</f>
        <v>Y</v>
      </c>
      <c r="AB1878" t="str">
        <f>"SO20000412"</f>
        <v>SO20000412</v>
      </c>
      <c r="AC1878">
        <v>3</v>
      </c>
      <c r="AD1878" s="1">
        <v>44082</v>
      </c>
      <c r="AE1878" t="str">
        <f>"SH22000021"</f>
        <v>SH22000021</v>
      </c>
      <c r="AF1878" t="str">
        <f>"משלוחים ללקוח"</f>
        <v>משלוחים ללקוח</v>
      </c>
      <c r="AG1878" s="1">
        <v>44567</v>
      </c>
      <c r="AM1878" t="str">
        <f>"10"</f>
        <v>10</v>
      </c>
      <c r="AN1878" t="str">
        <f>"500000"</f>
        <v>500000</v>
      </c>
      <c r="AO1878" t="str">
        <f>"הכנסות  מלקוחות"</f>
        <v>הכנסות  מלקוחות</v>
      </c>
      <c r="AQ1878" t="str">
        <f>"034"</f>
        <v>034</v>
      </c>
      <c r="AR1878">
        <v>0</v>
      </c>
      <c r="AS1878">
        <v>0</v>
      </c>
      <c r="AT1878">
        <v>3.0920000000000001</v>
      </c>
      <c r="AX1878" t="str">
        <f>"E000320917"</f>
        <v>E000320917</v>
      </c>
      <c r="BD1878" t="str">
        <f>"ערן שלו"</f>
        <v>ערן שלו</v>
      </c>
    </row>
    <row r="1879" spans="1:56" x14ac:dyDescent="0.3">
      <c r="A1879" s="1">
        <v>44565</v>
      </c>
      <c r="B1879" t="str">
        <f>"SI226000007"</f>
        <v>SI226000007</v>
      </c>
      <c r="E1879" t="str">
        <f>"Y"</f>
        <v>Y</v>
      </c>
      <c r="F1879" t="str">
        <f>"חשבוניות מרכזות"</f>
        <v>חשבוניות מרכזות</v>
      </c>
      <c r="G1879" t="str">
        <f>"700065"</f>
        <v>700065</v>
      </c>
      <c r="H1879" t="str">
        <f>"אלתא מערכות בע""מ"</f>
        <v>אלתא מערכות בע"מ</v>
      </c>
      <c r="I1879" t="str">
        <f>"10"</f>
        <v>10</v>
      </c>
      <c r="J1879" t="str">
        <f>"000"</f>
        <v>000</v>
      </c>
      <c r="K1879" t="str">
        <f>"התקנת מערכת כח באלתא לצרכי אינטגרציה"</f>
        <v>התקנת מערכת כח באלתא לצרכי אינטגרציה</v>
      </c>
      <c r="L1879">
        <v>1</v>
      </c>
      <c r="M1879" t="str">
        <f>"יח"</f>
        <v>יח</v>
      </c>
      <c r="N1879">
        <v>1</v>
      </c>
      <c r="O1879" t="str">
        <f>"יח"</f>
        <v>יח</v>
      </c>
      <c r="P1879" s="2">
        <v>4000</v>
      </c>
      <c r="Q1879" t="str">
        <f>"$"</f>
        <v>$</v>
      </c>
      <c r="R1879" t="str">
        <f>"הזמנה"</f>
        <v>הזמנה</v>
      </c>
      <c r="S1879">
        <v>0</v>
      </c>
      <c r="T1879" s="2">
        <v>4000</v>
      </c>
      <c r="U1879">
        <v>0</v>
      </c>
      <c r="V1879" s="2">
        <v>4000</v>
      </c>
      <c r="W1879" t="str">
        <f>"$"</f>
        <v>$</v>
      </c>
      <c r="X1879">
        <v>0</v>
      </c>
      <c r="Y1879">
        <v>0</v>
      </c>
      <c r="Z1879">
        <v>0</v>
      </c>
      <c r="AA1879" t="str">
        <f>"Y"</f>
        <v>Y</v>
      </c>
      <c r="AB1879" t="str">
        <f>"SO18000279"</f>
        <v>SO18000279</v>
      </c>
      <c r="AC1879">
        <v>5</v>
      </c>
      <c r="AD1879" s="1">
        <v>43226</v>
      </c>
      <c r="AM1879" t="str">
        <f>"10"</f>
        <v>10</v>
      </c>
      <c r="AN1879" t="str">
        <f>"500000"</f>
        <v>500000</v>
      </c>
      <c r="AO1879" t="str">
        <f>"הכנסות  מלקוחות"</f>
        <v>הכנסות  מלקוחות</v>
      </c>
      <c r="AQ1879" t="str">
        <f>"034"</f>
        <v>034</v>
      </c>
      <c r="AR1879">
        <v>0</v>
      </c>
      <c r="AS1879">
        <v>0</v>
      </c>
      <c r="AT1879">
        <v>3.0920000000000001</v>
      </c>
      <c r="AX1879" t="str">
        <f>"E000261104"</f>
        <v>E000261104</v>
      </c>
      <c r="BD1879" t="str">
        <f>"ערן שלו"</f>
        <v>ערן שלו</v>
      </c>
    </row>
    <row r="1880" spans="1:56" x14ac:dyDescent="0.3">
      <c r="A1880" s="1">
        <v>44563</v>
      </c>
      <c r="B1880" t="str">
        <f>"SI226000134"</f>
        <v>SI226000134</v>
      </c>
      <c r="C1880" t="str">
        <f>"PR21000338"</f>
        <v>PR21000338</v>
      </c>
      <c r="D1880" t="str">
        <f>"PR21000338"</f>
        <v>PR21000338</v>
      </c>
      <c r="E1880" t="str">
        <f>"Y"</f>
        <v>Y</v>
      </c>
      <c r="F1880" t="str">
        <f>"חשבוניות מרכזות"</f>
        <v>חשבוניות מרכזות</v>
      </c>
      <c r="G1880" t="str">
        <f>"700065"</f>
        <v>700065</v>
      </c>
      <c r="H1880" t="str">
        <f>"אלתא מערכות בע""מ"</f>
        <v>אלתא מערכות בע"מ</v>
      </c>
      <c r="I1880" t="str">
        <f>"10"</f>
        <v>10</v>
      </c>
      <c r="J1880" t="str">
        <f>"OP-AR02061"</f>
        <v>OP-AR02061</v>
      </c>
      <c r="K1880" t="str">
        <f>"4043K510-001  SATCOM COMMUNICATION CABLE"</f>
        <v>4043K510-001  SATCOM COMMUNICATION CABLE</v>
      </c>
      <c r="L1880">
        <v>5</v>
      </c>
      <c r="M1880" t="str">
        <f>"יח"</f>
        <v>יח</v>
      </c>
      <c r="N1880">
        <v>5</v>
      </c>
      <c r="O1880" t="str">
        <f>"יח"</f>
        <v>יח</v>
      </c>
      <c r="P1880" s="2">
        <v>2225.31</v>
      </c>
      <c r="Q1880" t="str">
        <f>"$"</f>
        <v>$</v>
      </c>
      <c r="R1880" t="str">
        <f>"הזמנה"</f>
        <v>הזמנה</v>
      </c>
      <c r="S1880">
        <v>0</v>
      </c>
      <c r="T1880" s="2">
        <v>11126.55</v>
      </c>
      <c r="U1880">
        <v>0</v>
      </c>
      <c r="V1880" s="2">
        <v>11126.55</v>
      </c>
      <c r="W1880" t="str">
        <f>"$"</f>
        <v>$</v>
      </c>
      <c r="X1880">
        <v>0</v>
      </c>
      <c r="Y1880">
        <v>0</v>
      </c>
      <c r="Z1880">
        <v>0</v>
      </c>
      <c r="AA1880" t="str">
        <f>"Y"</f>
        <v>Y</v>
      </c>
      <c r="AB1880" t="str">
        <f>"SO21000231"</f>
        <v>SO21000231</v>
      </c>
      <c r="AC1880">
        <v>3</v>
      </c>
      <c r="AD1880" s="1">
        <v>44340</v>
      </c>
      <c r="AE1880" t="str">
        <f>"SH22000007"</f>
        <v>SH22000007</v>
      </c>
      <c r="AF1880" t="str">
        <f>"משלוחים ללקוח"</f>
        <v>משלוחים ללקוח</v>
      </c>
      <c r="AG1880" s="1">
        <v>44563</v>
      </c>
      <c r="AM1880" t="str">
        <f>"10"</f>
        <v>10</v>
      </c>
      <c r="AN1880" t="str">
        <f>"500000"</f>
        <v>500000</v>
      </c>
      <c r="AO1880" t="str">
        <f>"הכנסות  מלקוחות"</f>
        <v>הכנסות  מלקוחות</v>
      </c>
      <c r="AQ1880" t="str">
        <f>"040"</f>
        <v>040</v>
      </c>
      <c r="AR1880">
        <v>0</v>
      </c>
      <c r="AS1880">
        <v>0</v>
      </c>
      <c r="AT1880">
        <v>3.11</v>
      </c>
      <c r="AX1880" t="str">
        <f>"E000336473"</f>
        <v>E000336473</v>
      </c>
      <c r="BD1880" t="str">
        <f>"רחמים זרוק"</f>
        <v>רחמים זרוק</v>
      </c>
    </row>
    <row r="1881" spans="1:56" x14ac:dyDescent="0.3">
      <c r="A1881" s="1">
        <v>44560</v>
      </c>
      <c r="B1881" t="str">
        <f>"SI216001850"</f>
        <v>SI216001850</v>
      </c>
      <c r="E1881" t="str">
        <f>"Y"</f>
        <v>Y</v>
      </c>
      <c r="F1881" t="str">
        <f>"חשבוניות מרכזות"</f>
        <v>חשבוניות מרכזות</v>
      </c>
      <c r="G1881" t="str">
        <f>"700065"</f>
        <v>700065</v>
      </c>
      <c r="H1881" t="str">
        <f>"אלתא מערכות בע""מ"</f>
        <v>אלתא מערכות בע"מ</v>
      </c>
      <c r="I1881" t="str">
        <f>"10"</f>
        <v>10</v>
      </c>
      <c r="J1881" t="str">
        <f>"OP-AR02860"</f>
        <v>OP-AR02860</v>
      </c>
      <c r="K1881" t="str">
        <f>"1035E971-001  WG971"</f>
        <v>1035E971-001  WG971</v>
      </c>
      <c r="L1881">
        <v>1</v>
      </c>
      <c r="M1881" t="str">
        <f>"יח"</f>
        <v>יח</v>
      </c>
      <c r="N1881">
        <v>1</v>
      </c>
      <c r="O1881" t="str">
        <f>"יח"</f>
        <v>יח</v>
      </c>
      <c r="P1881">
        <v>300</v>
      </c>
      <c r="Q1881" t="str">
        <f>"$"</f>
        <v>$</v>
      </c>
      <c r="R1881" t="str">
        <f>"ידני"</f>
        <v>ידני</v>
      </c>
      <c r="S1881">
        <v>0</v>
      </c>
      <c r="T1881">
        <v>300</v>
      </c>
      <c r="U1881">
        <v>0</v>
      </c>
      <c r="V1881">
        <v>300</v>
      </c>
      <c r="W1881" t="str">
        <f>"$"</f>
        <v>$</v>
      </c>
      <c r="X1881">
        <v>0</v>
      </c>
      <c r="Y1881">
        <v>0</v>
      </c>
      <c r="Z1881">
        <v>0</v>
      </c>
      <c r="AA1881" t="str">
        <f>"Y"</f>
        <v>Y</v>
      </c>
      <c r="AC1881">
        <v>0</v>
      </c>
      <c r="AM1881" t="str">
        <f>"10"</f>
        <v>10</v>
      </c>
      <c r="AN1881" t="str">
        <f>"500000"</f>
        <v>500000</v>
      </c>
      <c r="AO1881" t="str">
        <f>"הכנסות  מלקוחות"</f>
        <v>הכנסות  מלקוחות</v>
      </c>
      <c r="AQ1881" t="str">
        <f>"034"</f>
        <v>034</v>
      </c>
      <c r="AR1881">
        <v>0</v>
      </c>
      <c r="AS1881">
        <v>0</v>
      </c>
      <c r="AT1881">
        <v>3.1110000000000002</v>
      </c>
      <c r="BD1881" t="str">
        <f>"ערן שלו"</f>
        <v>ערן שלו</v>
      </c>
    </row>
    <row r="1882" spans="1:56" x14ac:dyDescent="0.3">
      <c r="A1882" s="1">
        <v>44560</v>
      </c>
      <c r="B1882" t="str">
        <f>"SI216001842"</f>
        <v>SI216001842</v>
      </c>
      <c r="C1882" t="str">
        <f>"PR20000826"</f>
        <v>PR20000826</v>
      </c>
      <c r="E1882" t="str">
        <f>"Y"</f>
        <v>Y</v>
      </c>
      <c r="F1882" t="str">
        <f>"חשבוניות מרכזות"</f>
        <v>חשבוניות מרכזות</v>
      </c>
      <c r="G1882" t="str">
        <f>"700065"</f>
        <v>700065</v>
      </c>
      <c r="H1882" t="str">
        <f>"אלתא מערכות בע""מ"</f>
        <v>אלתא מערכות בע"מ</v>
      </c>
      <c r="I1882" t="str">
        <f>"10"</f>
        <v>10</v>
      </c>
      <c r="J1882" t="str">
        <f>"000"</f>
        <v>000</v>
      </c>
      <c r="K1882" t="str">
        <f>"NRE תכנון המכולה"</f>
        <v>NRE תכנון המכולה</v>
      </c>
      <c r="L1882">
        <v>-1</v>
      </c>
      <c r="M1882" t="str">
        <f>"יח"</f>
        <v>יח</v>
      </c>
      <c r="N1882">
        <v>-1</v>
      </c>
      <c r="O1882" t="str">
        <f>"יח"</f>
        <v>יח</v>
      </c>
      <c r="P1882" s="2">
        <v>33075</v>
      </c>
      <c r="Q1882" t="str">
        <f>"$"</f>
        <v>$</v>
      </c>
      <c r="R1882" t="str">
        <f>"הזמנה"</f>
        <v>הזמנה</v>
      </c>
      <c r="S1882">
        <v>0</v>
      </c>
      <c r="T1882" s="2">
        <v>-33075</v>
      </c>
      <c r="U1882">
        <v>0</v>
      </c>
      <c r="V1882" s="2">
        <v>-33075</v>
      </c>
      <c r="W1882" t="str">
        <f>"$"</f>
        <v>$</v>
      </c>
      <c r="X1882">
        <v>0</v>
      </c>
      <c r="Y1882">
        <v>0</v>
      </c>
      <c r="Z1882">
        <v>0</v>
      </c>
      <c r="AA1882" t="str">
        <f>"Y"</f>
        <v>Y</v>
      </c>
      <c r="AC1882">
        <v>0</v>
      </c>
      <c r="AM1882" t="str">
        <f>"10"</f>
        <v>10</v>
      </c>
      <c r="AN1882" t="str">
        <f>"500000"</f>
        <v>500000</v>
      </c>
      <c r="AO1882" t="str">
        <f>"הכנסות  מלקוחות"</f>
        <v>הכנסות  מלקוחות</v>
      </c>
      <c r="AQ1882" t="str">
        <f>"007"</f>
        <v>007</v>
      </c>
      <c r="AR1882">
        <v>0</v>
      </c>
      <c r="AS1882">
        <v>0</v>
      </c>
      <c r="AT1882">
        <v>3.242</v>
      </c>
      <c r="BB1882" t="str">
        <f>"Y"</f>
        <v>Y</v>
      </c>
      <c r="BD1882" t="str">
        <f>"רוני דידי"</f>
        <v>רוני דידי</v>
      </c>
    </row>
    <row r="1883" spans="1:56" x14ac:dyDescent="0.3">
      <c r="A1883" s="1">
        <v>44560</v>
      </c>
      <c r="B1883" t="str">
        <f>"SI216001841"</f>
        <v>SI216001841</v>
      </c>
      <c r="C1883" t="str">
        <f>"PR21000276"</f>
        <v>PR21000276</v>
      </c>
      <c r="D1883" t="str">
        <f>"PR21000276"</f>
        <v>PR21000276</v>
      </c>
      <c r="E1883" t="str">
        <f>"Y"</f>
        <v>Y</v>
      </c>
      <c r="F1883" t="str">
        <f>"חשבוניות מרכזות"</f>
        <v>חשבוניות מרכזות</v>
      </c>
      <c r="G1883" t="str">
        <f>"700065"</f>
        <v>700065</v>
      </c>
      <c r="H1883" t="str">
        <f>"אלתא מערכות בע""מ"</f>
        <v>אלתא מערכות בע"מ</v>
      </c>
      <c r="I1883" t="str">
        <f>"10"</f>
        <v>10</v>
      </c>
      <c r="J1883" t="str">
        <f>"OP-AR02381"</f>
        <v>OP-AR02381</v>
      </c>
      <c r="K1883" t="str">
        <f>"1039P205-001   WR001L LAB COAX CABLE"</f>
        <v>1039P205-001   WR001L LAB COAX CABLE</v>
      </c>
      <c r="L1883">
        <v>1</v>
      </c>
      <c r="M1883" t="str">
        <f>"יח"</f>
        <v>יח</v>
      </c>
      <c r="N1883">
        <v>1</v>
      </c>
      <c r="O1883" t="str">
        <f>"יח"</f>
        <v>יח</v>
      </c>
      <c r="P1883" s="2">
        <v>1244.8</v>
      </c>
      <c r="Q1883" t="str">
        <f>"$"</f>
        <v>$</v>
      </c>
      <c r="R1883" t="str">
        <f>"הזמנה"</f>
        <v>הזמנה</v>
      </c>
      <c r="S1883">
        <v>0</v>
      </c>
      <c r="T1883" s="2">
        <v>1244.8</v>
      </c>
      <c r="U1883">
        <v>0</v>
      </c>
      <c r="V1883" s="2">
        <v>1244.8</v>
      </c>
      <c r="W1883" t="str">
        <f>"$"</f>
        <v>$</v>
      </c>
      <c r="X1883">
        <v>0</v>
      </c>
      <c r="Y1883">
        <v>0</v>
      </c>
      <c r="Z1883">
        <v>0</v>
      </c>
      <c r="AA1883" t="str">
        <f>"Y"</f>
        <v>Y</v>
      </c>
      <c r="AB1883" t="str">
        <f>"SO21000195"</f>
        <v>SO21000195</v>
      </c>
      <c r="AC1883">
        <v>2</v>
      </c>
      <c r="AD1883" s="1">
        <v>44313</v>
      </c>
      <c r="AE1883" t="str">
        <f>"SH21002130"</f>
        <v>SH21002130</v>
      </c>
      <c r="AF1883" t="str">
        <f>"משלוחים ללקוח"</f>
        <v>משלוחים ללקוח</v>
      </c>
      <c r="AG1883" s="1">
        <v>44558</v>
      </c>
      <c r="AM1883" t="str">
        <f>"10"</f>
        <v>10</v>
      </c>
      <c r="AN1883" t="str">
        <f>"500000"</f>
        <v>500000</v>
      </c>
      <c r="AO1883" t="str">
        <f>"הכנסות  מלקוחות"</f>
        <v>הכנסות  מלקוחות</v>
      </c>
      <c r="AQ1883" t="str">
        <f>"034"</f>
        <v>034</v>
      </c>
      <c r="AR1883">
        <v>0</v>
      </c>
      <c r="AS1883">
        <v>0</v>
      </c>
      <c r="AT1883">
        <v>3.1110000000000002</v>
      </c>
      <c r="AX1883" t="str">
        <f>"E000336131"</f>
        <v>E000336131</v>
      </c>
      <c r="BD1883" t="str">
        <f>"ערן שלו"</f>
        <v>ערן שלו</v>
      </c>
    </row>
    <row r="1884" spans="1:56" x14ac:dyDescent="0.3">
      <c r="A1884" s="1">
        <v>44560</v>
      </c>
      <c r="B1884" t="str">
        <f>"SI216001841"</f>
        <v>SI216001841</v>
      </c>
      <c r="C1884" t="str">
        <f>"PR21000276"</f>
        <v>PR21000276</v>
      </c>
      <c r="D1884" t="str">
        <f>"PR21000276"</f>
        <v>PR21000276</v>
      </c>
      <c r="E1884" t="str">
        <f>"Y"</f>
        <v>Y</v>
      </c>
      <c r="F1884" t="str">
        <f>"חשבוניות מרכזות"</f>
        <v>חשבוניות מרכזות</v>
      </c>
      <c r="G1884" t="str">
        <f>"700065"</f>
        <v>700065</v>
      </c>
      <c r="H1884" t="str">
        <f>"אלתא מערכות בע""מ"</f>
        <v>אלתא מערכות בע"מ</v>
      </c>
      <c r="I1884" t="str">
        <f>"10"</f>
        <v>10</v>
      </c>
      <c r="J1884" t="str">
        <f>"OP-AR02382"</f>
        <v>OP-AR02382</v>
      </c>
      <c r="K1884" t="str">
        <f>"1039P206-001   WR002L LAB RF CABLE"</f>
        <v>1039P206-001   WR002L LAB RF CABLE</v>
      </c>
      <c r="L1884">
        <v>1</v>
      </c>
      <c r="M1884" t="str">
        <f>"יח"</f>
        <v>יח</v>
      </c>
      <c r="N1884">
        <v>1</v>
      </c>
      <c r="O1884" t="str">
        <f>"יח"</f>
        <v>יח</v>
      </c>
      <c r="P1884" s="2">
        <v>1463.27</v>
      </c>
      <c r="Q1884" t="str">
        <f>"$"</f>
        <v>$</v>
      </c>
      <c r="R1884" t="str">
        <f>"הזמנה"</f>
        <v>הזמנה</v>
      </c>
      <c r="S1884">
        <v>0</v>
      </c>
      <c r="T1884" s="2">
        <v>1463.27</v>
      </c>
      <c r="U1884">
        <v>0</v>
      </c>
      <c r="V1884" s="2">
        <v>1463.27</v>
      </c>
      <c r="W1884" t="str">
        <f>"$"</f>
        <v>$</v>
      </c>
      <c r="X1884">
        <v>0</v>
      </c>
      <c r="Y1884">
        <v>0</v>
      </c>
      <c r="Z1884">
        <v>0</v>
      </c>
      <c r="AA1884" t="str">
        <f>"Y"</f>
        <v>Y</v>
      </c>
      <c r="AB1884" t="str">
        <f>"SO21000195"</f>
        <v>SO21000195</v>
      </c>
      <c r="AC1884">
        <v>3</v>
      </c>
      <c r="AD1884" s="1">
        <v>44313</v>
      </c>
      <c r="AE1884" t="str">
        <f>"SH21002130"</f>
        <v>SH21002130</v>
      </c>
      <c r="AF1884" t="str">
        <f>"משלוחים ללקוח"</f>
        <v>משלוחים ללקוח</v>
      </c>
      <c r="AG1884" s="1">
        <v>44558</v>
      </c>
      <c r="AM1884" t="str">
        <f>"10"</f>
        <v>10</v>
      </c>
      <c r="AN1884" t="str">
        <f>"500000"</f>
        <v>500000</v>
      </c>
      <c r="AO1884" t="str">
        <f>"הכנסות  מלקוחות"</f>
        <v>הכנסות  מלקוחות</v>
      </c>
      <c r="AQ1884" t="str">
        <f>"034"</f>
        <v>034</v>
      </c>
      <c r="AR1884">
        <v>0</v>
      </c>
      <c r="AS1884">
        <v>0</v>
      </c>
      <c r="AT1884">
        <v>3.1110000000000002</v>
      </c>
      <c r="AX1884" t="str">
        <f>"E000336131"</f>
        <v>E000336131</v>
      </c>
      <c r="BD1884" t="str">
        <f>"ערן שלו"</f>
        <v>ערן שלו</v>
      </c>
    </row>
    <row r="1885" spans="1:56" x14ac:dyDescent="0.3">
      <c r="A1885" s="1">
        <v>44560</v>
      </c>
      <c r="B1885" t="str">
        <f>"SI216001840"</f>
        <v>SI216001840</v>
      </c>
      <c r="C1885" t="str">
        <f>"PR21000276"</f>
        <v>PR21000276</v>
      </c>
      <c r="E1885" t="str">
        <f>"Y"</f>
        <v>Y</v>
      </c>
      <c r="F1885" t="str">
        <f>"חשבוניות מרכזות"</f>
        <v>חשבוניות מרכזות</v>
      </c>
      <c r="G1885" t="str">
        <f>"700065"</f>
        <v>700065</v>
      </c>
      <c r="H1885" t="str">
        <f>"אלתא מערכות בע""מ"</f>
        <v>אלתא מערכות בע"מ</v>
      </c>
      <c r="I1885" t="str">
        <f>"10"</f>
        <v>10</v>
      </c>
      <c r="J1885" t="str">
        <f>"OP-AR02381"</f>
        <v>OP-AR02381</v>
      </c>
      <c r="K1885" t="str">
        <f>"1039P205-001   WR001L LAB COAX CABLE"</f>
        <v>1039P205-001   WR001L LAB COAX CABLE</v>
      </c>
      <c r="L1885">
        <v>-1</v>
      </c>
      <c r="M1885" t="str">
        <f>"יח"</f>
        <v>יח</v>
      </c>
      <c r="N1885">
        <v>-1</v>
      </c>
      <c r="O1885" t="str">
        <f>"יח"</f>
        <v>יח</v>
      </c>
      <c r="P1885">
        <v>859.8</v>
      </c>
      <c r="Q1885" t="str">
        <f>"$"</f>
        <v>$</v>
      </c>
      <c r="R1885" t="str">
        <f>"הזמנה"</f>
        <v>הזמנה</v>
      </c>
      <c r="S1885">
        <v>0</v>
      </c>
      <c r="T1885">
        <v>-859.8</v>
      </c>
      <c r="U1885">
        <v>0</v>
      </c>
      <c r="V1885">
        <v>-859.8</v>
      </c>
      <c r="W1885" t="str">
        <f>"$"</f>
        <v>$</v>
      </c>
      <c r="X1885">
        <v>0</v>
      </c>
      <c r="Y1885">
        <v>0</v>
      </c>
      <c r="Z1885">
        <v>0</v>
      </c>
      <c r="AA1885" t="str">
        <f>"Y"</f>
        <v>Y</v>
      </c>
      <c r="AC1885">
        <v>0</v>
      </c>
      <c r="AM1885" t="str">
        <f>"10"</f>
        <v>10</v>
      </c>
      <c r="AN1885" t="str">
        <f>"500000"</f>
        <v>500000</v>
      </c>
      <c r="AO1885" t="str">
        <f>"הכנסות  מלקוחות"</f>
        <v>הכנסות  מלקוחות</v>
      </c>
      <c r="AQ1885" t="str">
        <f>"034"</f>
        <v>034</v>
      </c>
      <c r="AR1885">
        <v>0</v>
      </c>
      <c r="AS1885">
        <v>0</v>
      </c>
      <c r="AT1885">
        <v>3.1110000000000002</v>
      </c>
      <c r="BB1885" t="str">
        <f>"Y"</f>
        <v>Y</v>
      </c>
      <c r="BD1885" t="str">
        <f>"ערן שלו"</f>
        <v>ערן שלו</v>
      </c>
    </row>
    <row r="1886" spans="1:56" x14ac:dyDescent="0.3">
      <c r="A1886" s="1">
        <v>44560</v>
      </c>
      <c r="B1886" t="str">
        <f>"SI216001840"</f>
        <v>SI216001840</v>
      </c>
      <c r="C1886" t="str">
        <f>"PR21000276"</f>
        <v>PR21000276</v>
      </c>
      <c r="E1886" t="str">
        <f>"Y"</f>
        <v>Y</v>
      </c>
      <c r="F1886" t="str">
        <f>"חשבוניות מרכזות"</f>
        <v>חשבוניות מרכזות</v>
      </c>
      <c r="G1886" t="str">
        <f>"700065"</f>
        <v>700065</v>
      </c>
      <c r="H1886" t="str">
        <f>"אלתא מערכות בע""מ"</f>
        <v>אלתא מערכות בע"מ</v>
      </c>
      <c r="I1886" t="str">
        <f>"10"</f>
        <v>10</v>
      </c>
      <c r="J1886" t="str">
        <f>"OP-AR02382"</f>
        <v>OP-AR02382</v>
      </c>
      <c r="K1886" t="str">
        <f>"1039P206-001   WR002L LAB RF CABLE"</f>
        <v>1039P206-001   WR002L LAB RF CABLE</v>
      </c>
      <c r="L1886">
        <v>-1</v>
      </c>
      <c r="M1886" t="str">
        <f>"יח"</f>
        <v>יח</v>
      </c>
      <c r="N1886">
        <v>-1</v>
      </c>
      <c r="O1886" t="str">
        <f>"יח"</f>
        <v>יח</v>
      </c>
      <c r="P1886">
        <v>403.27</v>
      </c>
      <c r="Q1886" t="str">
        <f>"$"</f>
        <v>$</v>
      </c>
      <c r="R1886" t="str">
        <f>"הזמנה"</f>
        <v>הזמנה</v>
      </c>
      <c r="S1886">
        <v>0</v>
      </c>
      <c r="T1886">
        <v>-403.27</v>
      </c>
      <c r="U1886">
        <v>0</v>
      </c>
      <c r="V1886">
        <v>-403.27</v>
      </c>
      <c r="W1886" t="str">
        <f>"$"</f>
        <v>$</v>
      </c>
      <c r="X1886">
        <v>0</v>
      </c>
      <c r="Y1886">
        <v>0</v>
      </c>
      <c r="Z1886">
        <v>0</v>
      </c>
      <c r="AA1886" t="str">
        <f>"Y"</f>
        <v>Y</v>
      </c>
      <c r="AC1886">
        <v>0</v>
      </c>
      <c r="AM1886" t="str">
        <f>"10"</f>
        <v>10</v>
      </c>
      <c r="AN1886" t="str">
        <f>"500000"</f>
        <v>500000</v>
      </c>
      <c r="AO1886" t="str">
        <f>"הכנסות  מלקוחות"</f>
        <v>הכנסות  מלקוחות</v>
      </c>
      <c r="AQ1886" t="str">
        <f>"034"</f>
        <v>034</v>
      </c>
      <c r="AR1886">
        <v>0</v>
      </c>
      <c r="AS1886">
        <v>0</v>
      </c>
      <c r="AT1886">
        <v>3.1110000000000002</v>
      </c>
      <c r="BB1886" t="str">
        <f>"Y"</f>
        <v>Y</v>
      </c>
      <c r="BD1886" t="str">
        <f>"ערן שלו"</f>
        <v>ערן שלו</v>
      </c>
    </row>
    <row r="1887" spans="1:56" x14ac:dyDescent="0.3">
      <c r="A1887" s="1">
        <v>44560</v>
      </c>
      <c r="B1887" t="str">
        <f>"SI216001839"</f>
        <v>SI216001839</v>
      </c>
      <c r="C1887" t="str">
        <f>"PR21000871"</f>
        <v>PR21000871</v>
      </c>
      <c r="D1887" t="str">
        <f>"PR21000871"</f>
        <v>PR21000871</v>
      </c>
      <c r="E1887" t="str">
        <f>"Y"</f>
        <v>Y</v>
      </c>
      <c r="F1887" t="str">
        <f>"חשבוניות מרכזות"</f>
        <v>חשבוניות מרכזות</v>
      </c>
      <c r="G1887" t="str">
        <f>"700065"</f>
        <v>700065</v>
      </c>
      <c r="H1887" t="str">
        <f>"אלתא מערכות בע""מ"</f>
        <v>אלתא מערכות בע"מ</v>
      </c>
      <c r="I1887" t="str">
        <f>"10"</f>
        <v>10</v>
      </c>
      <c r="J1887" t="str">
        <f>"OP-AR02860"</f>
        <v>OP-AR02860</v>
      </c>
      <c r="K1887" t="str">
        <f>"1035E971-001  WG971"</f>
        <v>1035E971-001  WG971</v>
      </c>
      <c r="L1887">
        <v>1</v>
      </c>
      <c r="M1887" t="str">
        <f>"יח"</f>
        <v>יח</v>
      </c>
      <c r="N1887">
        <v>1</v>
      </c>
      <c r="O1887" t="str">
        <f>"יח"</f>
        <v>יח</v>
      </c>
      <c r="P1887">
        <v>640.5</v>
      </c>
      <c r="Q1887" t="str">
        <f>"$"</f>
        <v>$</v>
      </c>
      <c r="R1887" t="str">
        <f>"הזמנה"</f>
        <v>הזמנה</v>
      </c>
      <c r="S1887">
        <v>0</v>
      </c>
      <c r="T1887">
        <v>640.5</v>
      </c>
      <c r="U1887">
        <v>0</v>
      </c>
      <c r="V1887">
        <v>640.5</v>
      </c>
      <c r="W1887" t="str">
        <f>"$"</f>
        <v>$</v>
      </c>
      <c r="X1887">
        <v>0</v>
      </c>
      <c r="Y1887">
        <v>0</v>
      </c>
      <c r="Z1887">
        <v>0</v>
      </c>
      <c r="AA1887" t="str">
        <f>"Y"</f>
        <v>Y</v>
      </c>
      <c r="AB1887" t="str">
        <f>"SO21000523"</f>
        <v>SO21000523</v>
      </c>
      <c r="AC1887">
        <v>1</v>
      </c>
      <c r="AD1887" s="1">
        <v>44551</v>
      </c>
      <c r="AE1887" t="str">
        <f>"SH21002135"</f>
        <v>SH21002135</v>
      </c>
      <c r="AF1887" t="str">
        <f>"משלוחים ללקוח"</f>
        <v>משלוחים ללקוח</v>
      </c>
      <c r="AG1887" s="1">
        <v>44559</v>
      </c>
      <c r="AM1887" t="str">
        <f>"10"</f>
        <v>10</v>
      </c>
      <c r="AN1887" t="str">
        <f>"500000"</f>
        <v>500000</v>
      </c>
      <c r="AO1887" t="str">
        <f>"הכנסות  מלקוחות"</f>
        <v>הכנסות  מלקוחות</v>
      </c>
      <c r="AQ1887" t="str">
        <f>"007"</f>
        <v>007</v>
      </c>
      <c r="AR1887">
        <v>0</v>
      </c>
      <c r="AS1887">
        <v>0</v>
      </c>
      <c r="AT1887">
        <v>3.1110000000000002</v>
      </c>
      <c r="AX1887" t="str">
        <f>"E000353653"</f>
        <v>E000353653</v>
      </c>
      <c r="BD1887" t="str">
        <f>"רוני דידי"</f>
        <v>רוני דידי</v>
      </c>
    </row>
    <row r="1888" spans="1:56" x14ac:dyDescent="0.3">
      <c r="A1888" s="1">
        <v>44560</v>
      </c>
      <c r="B1888" t="str">
        <f>"SI216001839"</f>
        <v>SI216001839</v>
      </c>
      <c r="C1888" t="str">
        <f>"PR21000871"</f>
        <v>PR21000871</v>
      </c>
      <c r="D1888" t="str">
        <f>"PR21000871"</f>
        <v>PR21000871</v>
      </c>
      <c r="E1888" t="str">
        <f>"Y"</f>
        <v>Y</v>
      </c>
      <c r="F1888" t="str">
        <f>"חשבוניות מרכזות"</f>
        <v>חשבוניות מרכזות</v>
      </c>
      <c r="G1888" t="str">
        <f>"700065"</f>
        <v>700065</v>
      </c>
      <c r="H1888" t="str">
        <f>"אלתא מערכות בע""מ"</f>
        <v>אלתא מערכות בע"מ</v>
      </c>
      <c r="I1888" t="str">
        <f>"10"</f>
        <v>10</v>
      </c>
      <c r="J1888" t="str">
        <f>"OP-AR02861"</f>
        <v>OP-AR02861</v>
      </c>
      <c r="K1888" t="str">
        <f>"1035E972-001  WG972"</f>
        <v>1035E972-001  WG972</v>
      </c>
      <c r="L1888">
        <v>1</v>
      </c>
      <c r="M1888" t="str">
        <f>"יח"</f>
        <v>יח</v>
      </c>
      <c r="N1888">
        <v>1</v>
      </c>
      <c r="O1888" t="str">
        <f>"יח"</f>
        <v>יח</v>
      </c>
      <c r="P1888">
        <v>940.5</v>
      </c>
      <c r="Q1888" t="str">
        <f>"$"</f>
        <v>$</v>
      </c>
      <c r="R1888" t="str">
        <f>"הזמנה"</f>
        <v>הזמנה</v>
      </c>
      <c r="S1888">
        <v>0</v>
      </c>
      <c r="T1888">
        <v>940.5</v>
      </c>
      <c r="U1888">
        <v>0</v>
      </c>
      <c r="V1888">
        <v>940.5</v>
      </c>
      <c r="W1888" t="str">
        <f>"$"</f>
        <v>$</v>
      </c>
      <c r="X1888">
        <v>0</v>
      </c>
      <c r="Y1888">
        <v>0</v>
      </c>
      <c r="Z1888">
        <v>0</v>
      </c>
      <c r="AA1888" t="str">
        <f>"Y"</f>
        <v>Y</v>
      </c>
      <c r="AB1888" t="str">
        <f>"SO21000523"</f>
        <v>SO21000523</v>
      </c>
      <c r="AC1888">
        <v>2</v>
      </c>
      <c r="AD1888" s="1">
        <v>44551</v>
      </c>
      <c r="AE1888" t="str">
        <f>"SH21002135"</f>
        <v>SH21002135</v>
      </c>
      <c r="AF1888" t="str">
        <f>"משלוחים ללקוח"</f>
        <v>משלוחים ללקוח</v>
      </c>
      <c r="AG1888" s="1">
        <v>44559</v>
      </c>
      <c r="AM1888" t="str">
        <f>"10"</f>
        <v>10</v>
      </c>
      <c r="AN1888" t="str">
        <f>"500000"</f>
        <v>500000</v>
      </c>
      <c r="AO1888" t="str">
        <f>"הכנסות  מלקוחות"</f>
        <v>הכנסות  מלקוחות</v>
      </c>
      <c r="AQ1888" t="str">
        <f>"007"</f>
        <v>007</v>
      </c>
      <c r="AR1888">
        <v>0</v>
      </c>
      <c r="AS1888">
        <v>0</v>
      </c>
      <c r="AT1888">
        <v>3.1110000000000002</v>
      </c>
      <c r="AX1888" t="str">
        <f>"E000353653"</f>
        <v>E000353653</v>
      </c>
      <c r="BD1888" t="str">
        <f>"רוני דידי"</f>
        <v>רוני דידי</v>
      </c>
    </row>
    <row r="1889" spans="1:56" x14ac:dyDescent="0.3">
      <c r="A1889" s="1">
        <v>44560</v>
      </c>
      <c r="B1889" t="str">
        <f>"SI216001839"</f>
        <v>SI216001839</v>
      </c>
      <c r="C1889" t="str">
        <f>"PR21000871"</f>
        <v>PR21000871</v>
      </c>
      <c r="D1889" t="str">
        <f>"PR21000871"</f>
        <v>PR21000871</v>
      </c>
      <c r="E1889" t="str">
        <f>"Y"</f>
        <v>Y</v>
      </c>
      <c r="F1889" t="str">
        <f>"חשבוניות מרכזות"</f>
        <v>חשבוניות מרכזות</v>
      </c>
      <c r="G1889" t="str">
        <f>"700065"</f>
        <v>700065</v>
      </c>
      <c r="H1889" t="str">
        <f>"אלתא מערכות בע""מ"</f>
        <v>אלתא מערכות בע"מ</v>
      </c>
      <c r="I1889" t="str">
        <f>"10"</f>
        <v>10</v>
      </c>
      <c r="J1889" t="str">
        <f>"OP-AR02862"</f>
        <v>OP-AR02862</v>
      </c>
      <c r="K1889" t="str">
        <f>"1035E973-001  WG973"</f>
        <v>1035E973-001  WG973</v>
      </c>
      <c r="L1889">
        <v>1</v>
      </c>
      <c r="M1889" t="str">
        <f>"יח"</f>
        <v>יח</v>
      </c>
      <c r="N1889">
        <v>1</v>
      </c>
      <c r="O1889" t="str">
        <f>"יח"</f>
        <v>יח</v>
      </c>
      <c r="P1889">
        <v>313.5</v>
      </c>
      <c r="Q1889" t="str">
        <f>"$"</f>
        <v>$</v>
      </c>
      <c r="R1889" t="str">
        <f>"הזמנה"</f>
        <v>הזמנה</v>
      </c>
      <c r="S1889">
        <v>0</v>
      </c>
      <c r="T1889">
        <v>313.5</v>
      </c>
      <c r="U1889">
        <v>0</v>
      </c>
      <c r="V1889">
        <v>313.5</v>
      </c>
      <c r="W1889" t="str">
        <f>"$"</f>
        <v>$</v>
      </c>
      <c r="X1889">
        <v>0</v>
      </c>
      <c r="Y1889">
        <v>0</v>
      </c>
      <c r="Z1889">
        <v>0</v>
      </c>
      <c r="AA1889" t="str">
        <f>"Y"</f>
        <v>Y</v>
      </c>
      <c r="AB1889" t="str">
        <f>"SO21000523"</f>
        <v>SO21000523</v>
      </c>
      <c r="AC1889">
        <v>3</v>
      </c>
      <c r="AD1889" s="1">
        <v>44551</v>
      </c>
      <c r="AE1889" t="str">
        <f>"SH21002135"</f>
        <v>SH21002135</v>
      </c>
      <c r="AF1889" t="str">
        <f>"משלוחים ללקוח"</f>
        <v>משלוחים ללקוח</v>
      </c>
      <c r="AG1889" s="1">
        <v>44559</v>
      </c>
      <c r="AM1889" t="str">
        <f>"10"</f>
        <v>10</v>
      </c>
      <c r="AN1889" t="str">
        <f>"500000"</f>
        <v>500000</v>
      </c>
      <c r="AO1889" t="str">
        <f>"הכנסות  מלקוחות"</f>
        <v>הכנסות  מלקוחות</v>
      </c>
      <c r="AQ1889" t="str">
        <f>"007"</f>
        <v>007</v>
      </c>
      <c r="AR1889">
        <v>0</v>
      </c>
      <c r="AS1889">
        <v>0</v>
      </c>
      <c r="AT1889">
        <v>3.1110000000000002</v>
      </c>
      <c r="AX1889" t="str">
        <f>"E000353653"</f>
        <v>E000353653</v>
      </c>
      <c r="BD1889" t="str">
        <f>"רוני דידי"</f>
        <v>רוני דידי</v>
      </c>
    </row>
    <row r="1890" spans="1:56" x14ac:dyDescent="0.3">
      <c r="A1890" s="1">
        <v>44560</v>
      </c>
      <c r="B1890" t="str">
        <f>"SI216001839"</f>
        <v>SI216001839</v>
      </c>
      <c r="C1890" t="str">
        <f>"PR21000871"</f>
        <v>PR21000871</v>
      </c>
      <c r="D1890" t="str">
        <f>"PR21000871"</f>
        <v>PR21000871</v>
      </c>
      <c r="E1890" t="str">
        <f>"Y"</f>
        <v>Y</v>
      </c>
      <c r="F1890" t="str">
        <f>"חשבוניות מרכזות"</f>
        <v>חשבוניות מרכזות</v>
      </c>
      <c r="G1890" t="str">
        <f>"700065"</f>
        <v>700065</v>
      </c>
      <c r="H1890" t="str">
        <f>"אלתא מערכות בע""מ"</f>
        <v>אלתא מערכות בע"מ</v>
      </c>
      <c r="I1890" t="str">
        <f>"10"</f>
        <v>10</v>
      </c>
      <c r="J1890" t="str">
        <f>"OP-AR02863"</f>
        <v>OP-AR02863</v>
      </c>
      <c r="K1890" t="str">
        <f>"1035E974-001  WG974"</f>
        <v>1035E974-001  WG974</v>
      </c>
      <c r="L1890">
        <v>1</v>
      </c>
      <c r="M1890" t="str">
        <f>"יח"</f>
        <v>יח</v>
      </c>
      <c r="N1890">
        <v>1</v>
      </c>
      <c r="O1890" t="str">
        <f>"יח"</f>
        <v>יח</v>
      </c>
      <c r="P1890">
        <v>313.5</v>
      </c>
      <c r="Q1890" t="str">
        <f>"$"</f>
        <v>$</v>
      </c>
      <c r="R1890" t="str">
        <f>"הזמנה"</f>
        <v>הזמנה</v>
      </c>
      <c r="S1890">
        <v>0</v>
      </c>
      <c r="T1890">
        <v>313.5</v>
      </c>
      <c r="U1890">
        <v>0</v>
      </c>
      <c r="V1890">
        <v>313.5</v>
      </c>
      <c r="W1890" t="str">
        <f>"$"</f>
        <v>$</v>
      </c>
      <c r="X1890">
        <v>0</v>
      </c>
      <c r="Y1890">
        <v>0</v>
      </c>
      <c r="Z1890">
        <v>0</v>
      </c>
      <c r="AA1890" t="str">
        <f>"Y"</f>
        <v>Y</v>
      </c>
      <c r="AB1890" t="str">
        <f>"SO21000523"</f>
        <v>SO21000523</v>
      </c>
      <c r="AC1890">
        <v>4</v>
      </c>
      <c r="AD1890" s="1">
        <v>44551</v>
      </c>
      <c r="AE1890" t="str">
        <f>"SH21002135"</f>
        <v>SH21002135</v>
      </c>
      <c r="AF1890" t="str">
        <f>"משלוחים ללקוח"</f>
        <v>משלוחים ללקוח</v>
      </c>
      <c r="AG1890" s="1">
        <v>44559</v>
      </c>
      <c r="AM1890" t="str">
        <f>"10"</f>
        <v>10</v>
      </c>
      <c r="AN1890" t="str">
        <f>"500000"</f>
        <v>500000</v>
      </c>
      <c r="AO1890" t="str">
        <f>"הכנסות  מלקוחות"</f>
        <v>הכנסות  מלקוחות</v>
      </c>
      <c r="AQ1890" t="str">
        <f>"007"</f>
        <v>007</v>
      </c>
      <c r="AR1890">
        <v>0</v>
      </c>
      <c r="AS1890">
        <v>0</v>
      </c>
      <c r="AT1890">
        <v>3.1110000000000002</v>
      </c>
      <c r="AX1890" t="str">
        <f>"E000353653"</f>
        <v>E000353653</v>
      </c>
      <c r="BD1890" t="str">
        <f>"רוני דידי"</f>
        <v>רוני דידי</v>
      </c>
    </row>
    <row r="1891" spans="1:56" x14ac:dyDescent="0.3">
      <c r="A1891" s="1">
        <v>44560</v>
      </c>
      <c r="B1891" t="str">
        <f>"SI216001839"</f>
        <v>SI216001839</v>
      </c>
      <c r="C1891" t="str">
        <f>"PR21000871"</f>
        <v>PR21000871</v>
      </c>
      <c r="D1891" t="str">
        <f>"PR21000871"</f>
        <v>PR21000871</v>
      </c>
      <c r="E1891" t="str">
        <f>"Y"</f>
        <v>Y</v>
      </c>
      <c r="F1891" t="str">
        <f>"חשבוניות מרכזות"</f>
        <v>חשבוניות מרכזות</v>
      </c>
      <c r="G1891" t="str">
        <f>"700065"</f>
        <v>700065</v>
      </c>
      <c r="H1891" t="str">
        <f>"אלתא מערכות בע""מ"</f>
        <v>אלתא מערכות בע"מ</v>
      </c>
      <c r="I1891" t="str">
        <f>"10"</f>
        <v>10</v>
      </c>
      <c r="J1891" t="str">
        <f>"OP-AR02864"</f>
        <v>OP-AR02864</v>
      </c>
      <c r="K1891" t="str">
        <f>"1035E975-001  WG975"</f>
        <v>1035E975-001  WG975</v>
      </c>
      <c r="L1891">
        <v>1</v>
      </c>
      <c r="M1891" t="str">
        <f>"יח"</f>
        <v>יח</v>
      </c>
      <c r="N1891">
        <v>1</v>
      </c>
      <c r="O1891" t="str">
        <f>"יח"</f>
        <v>יח</v>
      </c>
      <c r="P1891">
        <v>313.5</v>
      </c>
      <c r="Q1891" t="str">
        <f>"$"</f>
        <v>$</v>
      </c>
      <c r="R1891" t="str">
        <f>"הזמנה"</f>
        <v>הזמנה</v>
      </c>
      <c r="S1891">
        <v>0</v>
      </c>
      <c r="T1891">
        <v>313.5</v>
      </c>
      <c r="U1891">
        <v>0</v>
      </c>
      <c r="V1891">
        <v>313.5</v>
      </c>
      <c r="W1891" t="str">
        <f>"$"</f>
        <v>$</v>
      </c>
      <c r="X1891">
        <v>0</v>
      </c>
      <c r="Y1891">
        <v>0</v>
      </c>
      <c r="Z1891">
        <v>0</v>
      </c>
      <c r="AA1891" t="str">
        <f>"Y"</f>
        <v>Y</v>
      </c>
      <c r="AB1891" t="str">
        <f>"SO21000523"</f>
        <v>SO21000523</v>
      </c>
      <c r="AC1891">
        <v>5</v>
      </c>
      <c r="AD1891" s="1">
        <v>44551</v>
      </c>
      <c r="AE1891" t="str">
        <f>"SH21002135"</f>
        <v>SH21002135</v>
      </c>
      <c r="AF1891" t="str">
        <f>"משלוחים ללקוח"</f>
        <v>משלוחים ללקוח</v>
      </c>
      <c r="AG1891" s="1">
        <v>44559</v>
      </c>
      <c r="AM1891" t="str">
        <f>"10"</f>
        <v>10</v>
      </c>
      <c r="AN1891" t="str">
        <f>"500000"</f>
        <v>500000</v>
      </c>
      <c r="AO1891" t="str">
        <f>"הכנסות  מלקוחות"</f>
        <v>הכנסות  מלקוחות</v>
      </c>
      <c r="AQ1891" t="str">
        <f>"007"</f>
        <v>007</v>
      </c>
      <c r="AR1891">
        <v>0</v>
      </c>
      <c r="AS1891">
        <v>0</v>
      </c>
      <c r="AT1891">
        <v>3.1110000000000002</v>
      </c>
      <c r="AX1891" t="str">
        <f>"E000353653"</f>
        <v>E000353653</v>
      </c>
      <c r="BD1891" t="str">
        <f>"רוני דידי"</f>
        <v>רוני דידי</v>
      </c>
    </row>
    <row r="1892" spans="1:56" x14ac:dyDescent="0.3">
      <c r="A1892" s="1">
        <v>44560</v>
      </c>
      <c r="B1892" t="str">
        <f>"SI216001838"</f>
        <v>SI216001838</v>
      </c>
      <c r="C1892" t="str">
        <f>"PR21000276"</f>
        <v>PR21000276</v>
      </c>
      <c r="E1892" t="str">
        <f>"Y"</f>
        <v>Y</v>
      </c>
      <c r="F1892" t="str">
        <f>"חשבוניות מרכזות"</f>
        <v>חשבוניות מרכזות</v>
      </c>
      <c r="G1892" t="str">
        <f>"700065"</f>
        <v>700065</v>
      </c>
      <c r="H1892" t="str">
        <f>"אלתא מערכות בע""מ"</f>
        <v>אלתא מערכות בע"מ</v>
      </c>
      <c r="I1892" t="str">
        <f>"10"</f>
        <v>10</v>
      </c>
      <c r="J1892" t="str">
        <f>"OP-AR02381"</f>
        <v>OP-AR02381</v>
      </c>
      <c r="K1892" t="str">
        <f>"1039P205-001   WR001L LAB COAX CABLE"</f>
        <v>1039P205-001   WR001L LAB COAX CABLE</v>
      </c>
      <c r="L1892">
        <v>1</v>
      </c>
      <c r="M1892" t="str">
        <f>"יח"</f>
        <v>יח</v>
      </c>
      <c r="N1892">
        <v>1</v>
      </c>
      <c r="O1892" t="str">
        <f>"יח"</f>
        <v>יח</v>
      </c>
      <c r="P1892">
        <v>859.8</v>
      </c>
      <c r="Q1892" t="str">
        <f>"$"</f>
        <v>$</v>
      </c>
      <c r="R1892" t="str">
        <f>"הזמנה"</f>
        <v>הזמנה</v>
      </c>
      <c r="S1892">
        <v>0</v>
      </c>
      <c r="T1892">
        <v>859.8</v>
      </c>
      <c r="U1892">
        <v>0</v>
      </c>
      <c r="V1892">
        <v>859.8</v>
      </c>
      <c r="W1892" t="str">
        <f>"$"</f>
        <v>$</v>
      </c>
      <c r="X1892">
        <v>0</v>
      </c>
      <c r="Y1892">
        <v>0</v>
      </c>
      <c r="Z1892">
        <v>0</v>
      </c>
      <c r="AA1892" t="str">
        <f>"Y"</f>
        <v>Y</v>
      </c>
      <c r="AC1892">
        <v>0</v>
      </c>
      <c r="AM1892" t="str">
        <f>"10"</f>
        <v>10</v>
      </c>
      <c r="AN1892" t="str">
        <f>"500000"</f>
        <v>500000</v>
      </c>
      <c r="AO1892" t="str">
        <f>"הכנסות  מלקוחות"</f>
        <v>הכנסות  מלקוחות</v>
      </c>
      <c r="AQ1892" t="str">
        <f>"034"</f>
        <v>034</v>
      </c>
      <c r="AR1892">
        <v>0</v>
      </c>
      <c r="AS1892">
        <v>0</v>
      </c>
      <c r="AT1892">
        <v>3.1110000000000002</v>
      </c>
      <c r="BB1892" t="str">
        <f>"Y"</f>
        <v>Y</v>
      </c>
      <c r="BD1892" t="str">
        <f>"ערן שלו"</f>
        <v>ערן שלו</v>
      </c>
    </row>
    <row r="1893" spans="1:56" x14ac:dyDescent="0.3">
      <c r="A1893" s="1">
        <v>44560</v>
      </c>
      <c r="B1893" t="str">
        <f>"SI216001838"</f>
        <v>SI216001838</v>
      </c>
      <c r="C1893" t="str">
        <f>"PR21000276"</f>
        <v>PR21000276</v>
      </c>
      <c r="E1893" t="str">
        <f>"Y"</f>
        <v>Y</v>
      </c>
      <c r="F1893" t="str">
        <f>"חשבוניות מרכזות"</f>
        <v>חשבוניות מרכזות</v>
      </c>
      <c r="G1893" t="str">
        <f>"700065"</f>
        <v>700065</v>
      </c>
      <c r="H1893" t="str">
        <f>"אלתא מערכות בע""מ"</f>
        <v>אלתא מערכות בע"מ</v>
      </c>
      <c r="I1893" t="str">
        <f>"10"</f>
        <v>10</v>
      </c>
      <c r="J1893" t="str">
        <f>"OP-AR02382"</f>
        <v>OP-AR02382</v>
      </c>
      <c r="K1893" t="str">
        <f>"1039P206-001   WR002L LAB RF CABLE"</f>
        <v>1039P206-001   WR002L LAB RF CABLE</v>
      </c>
      <c r="L1893">
        <v>1</v>
      </c>
      <c r="M1893" t="str">
        <f>"יח"</f>
        <v>יח</v>
      </c>
      <c r="N1893">
        <v>1</v>
      </c>
      <c r="O1893" t="str">
        <f>"יח"</f>
        <v>יח</v>
      </c>
      <c r="P1893">
        <v>403.27</v>
      </c>
      <c r="Q1893" t="str">
        <f>"$"</f>
        <v>$</v>
      </c>
      <c r="R1893" t="str">
        <f>"הזמנה"</f>
        <v>הזמנה</v>
      </c>
      <c r="S1893">
        <v>0</v>
      </c>
      <c r="T1893">
        <v>403.27</v>
      </c>
      <c r="U1893">
        <v>0</v>
      </c>
      <c r="V1893">
        <v>403.27</v>
      </c>
      <c r="W1893" t="str">
        <f>"$"</f>
        <v>$</v>
      </c>
      <c r="X1893">
        <v>0</v>
      </c>
      <c r="Y1893">
        <v>0</v>
      </c>
      <c r="Z1893">
        <v>0</v>
      </c>
      <c r="AA1893" t="str">
        <f>"Y"</f>
        <v>Y</v>
      </c>
      <c r="AC1893">
        <v>0</v>
      </c>
      <c r="AM1893" t="str">
        <f>"10"</f>
        <v>10</v>
      </c>
      <c r="AN1893" t="str">
        <f>"500000"</f>
        <v>500000</v>
      </c>
      <c r="AO1893" t="str">
        <f>"הכנסות  מלקוחות"</f>
        <v>הכנסות  מלקוחות</v>
      </c>
      <c r="AQ1893" t="str">
        <f>"034"</f>
        <v>034</v>
      </c>
      <c r="AR1893">
        <v>0</v>
      </c>
      <c r="AS1893">
        <v>0</v>
      </c>
      <c r="AT1893">
        <v>3.1110000000000002</v>
      </c>
      <c r="BB1893" t="str">
        <f>"Y"</f>
        <v>Y</v>
      </c>
      <c r="BD1893" t="str">
        <f>"ערן שלו"</f>
        <v>ערן שלו</v>
      </c>
    </row>
    <row r="1894" spans="1:56" x14ac:dyDescent="0.3">
      <c r="A1894" s="1">
        <v>44560</v>
      </c>
      <c r="B1894" t="str">
        <f>"SI216001837"</f>
        <v>SI216001837</v>
      </c>
      <c r="C1894" t="str">
        <f>"PR21000685"</f>
        <v>PR21000685</v>
      </c>
      <c r="E1894" t="str">
        <f>"Y"</f>
        <v>Y</v>
      </c>
      <c r="F1894" t="str">
        <f>"חשבוניות מרכזות"</f>
        <v>חשבוניות מרכזות</v>
      </c>
      <c r="G1894" t="str">
        <f>"700065"</f>
        <v>700065</v>
      </c>
      <c r="H1894" t="str">
        <f>"אלתא מערכות בע""מ"</f>
        <v>אלתא מערכות בע"מ</v>
      </c>
      <c r="I1894" t="str">
        <f>"10"</f>
        <v>10</v>
      </c>
      <c r="J1894" t="str">
        <f>"OP-AR02810"</f>
        <v>OP-AR02810</v>
      </c>
      <c r="K1894" t="str">
        <f>"2216B032-001   NMS-AV ANT DEBUG CABLE ASSY"</f>
        <v>2216B032-001   NMS-AV ANT DEBUG CABLE ASSY</v>
      </c>
      <c r="L1894">
        <v>1</v>
      </c>
      <c r="M1894" t="str">
        <f>"יח"</f>
        <v>יח</v>
      </c>
      <c r="N1894">
        <v>1</v>
      </c>
      <c r="O1894" t="str">
        <f>"יח"</f>
        <v>יח</v>
      </c>
      <c r="P1894">
        <v>975.22</v>
      </c>
      <c r="Q1894" t="str">
        <f>"$"</f>
        <v>$</v>
      </c>
      <c r="R1894" t="str">
        <f>"הזמנה"</f>
        <v>הזמנה</v>
      </c>
      <c r="S1894">
        <v>0</v>
      </c>
      <c r="T1894">
        <v>975.22</v>
      </c>
      <c r="U1894">
        <v>0</v>
      </c>
      <c r="V1894">
        <v>975.22</v>
      </c>
      <c r="W1894" t="str">
        <f>"$"</f>
        <v>$</v>
      </c>
      <c r="X1894">
        <v>0</v>
      </c>
      <c r="Y1894">
        <v>0</v>
      </c>
      <c r="Z1894">
        <v>0</v>
      </c>
      <c r="AA1894" t="str">
        <f>"Y"</f>
        <v>Y</v>
      </c>
      <c r="AB1894" t="str">
        <f>"SO21000435"</f>
        <v>SO21000435</v>
      </c>
      <c r="AC1894">
        <v>2</v>
      </c>
      <c r="AD1894" s="1">
        <v>44486</v>
      </c>
      <c r="AE1894" t="str">
        <f>"SH21002136"</f>
        <v>SH21002136</v>
      </c>
      <c r="AF1894" t="str">
        <f>"משלוחים ללקוח"</f>
        <v>משלוחים ללקוח</v>
      </c>
      <c r="AG1894" s="1">
        <v>44559</v>
      </c>
      <c r="AM1894" t="str">
        <f>"10"</f>
        <v>10</v>
      </c>
      <c r="AN1894" t="str">
        <f>"500000"</f>
        <v>500000</v>
      </c>
      <c r="AO1894" t="str">
        <f>"הכנסות  מלקוחות"</f>
        <v>הכנסות  מלקוחות</v>
      </c>
      <c r="AQ1894" t="str">
        <f>"040"</f>
        <v>040</v>
      </c>
      <c r="AR1894">
        <v>0</v>
      </c>
      <c r="AS1894">
        <v>0</v>
      </c>
      <c r="AT1894">
        <v>3.1110000000000002</v>
      </c>
      <c r="AX1894" t="str">
        <f>"E000347054"</f>
        <v>E000347054</v>
      </c>
      <c r="BD1894" t="str">
        <f>"רחמים זרוק"</f>
        <v>רחמים זרוק</v>
      </c>
    </row>
    <row r="1895" spans="1:56" x14ac:dyDescent="0.3">
      <c r="A1895" s="1">
        <v>44560</v>
      </c>
      <c r="B1895" t="str">
        <f>"SI216001837"</f>
        <v>SI216001837</v>
      </c>
      <c r="C1895" t="str">
        <f>"PR21000685"</f>
        <v>PR21000685</v>
      </c>
      <c r="E1895" t="str">
        <f>"Y"</f>
        <v>Y</v>
      </c>
      <c r="F1895" t="str">
        <f>"חשבוניות מרכזות"</f>
        <v>חשבוניות מרכזות</v>
      </c>
      <c r="G1895" t="str">
        <f>"700065"</f>
        <v>700065</v>
      </c>
      <c r="H1895" t="str">
        <f>"אלתא מערכות בע""מ"</f>
        <v>אלתא מערכות בע"מ</v>
      </c>
      <c r="I1895" t="str">
        <f>"10"</f>
        <v>10</v>
      </c>
      <c r="J1895" t="str">
        <f>"OP-AR02811"</f>
        <v>OP-AR02811</v>
      </c>
      <c r="K1895" t="str">
        <f>"1038C382-001   ETHERNET CABLE WC382 - COMCON PANEL - JU"</f>
        <v>1038C382-001   ETHERNET CABLE WC382 - COMCON PANEL - JU</v>
      </c>
      <c r="L1895">
        <v>6</v>
      </c>
      <c r="M1895" t="str">
        <f>"יח"</f>
        <v>יח</v>
      </c>
      <c r="N1895">
        <v>6</v>
      </c>
      <c r="O1895" t="str">
        <f>"יח"</f>
        <v>יח</v>
      </c>
      <c r="P1895">
        <v>181.78</v>
      </c>
      <c r="Q1895" t="str">
        <f>"$"</f>
        <v>$</v>
      </c>
      <c r="R1895" t="str">
        <f>"הזמנה"</f>
        <v>הזמנה</v>
      </c>
      <c r="S1895">
        <v>0</v>
      </c>
      <c r="T1895" s="2">
        <v>1090.68</v>
      </c>
      <c r="U1895">
        <v>0</v>
      </c>
      <c r="V1895" s="2">
        <v>1090.68</v>
      </c>
      <c r="W1895" t="str">
        <f>"$"</f>
        <v>$</v>
      </c>
      <c r="X1895">
        <v>0</v>
      </c>
      <c r="Y1895">
        <v>0</v>
      </c>
      <c r="Z1895">
        <v>0</v>
      </c>
      <c r="AA1895" t="str">
        <f>"Y"</f>
        <v>Y</v>
      </c>
      <c r="AB1895" t="str">
        <f>"SO21000435"</f>
        <v>SO21000435</v>
      </c>
      <c r="AC1895">
        <v>3</v>
      </c>
      <c r="AD1895" s="1">
        <v>44486</v>
      </c>
      <c r="AE1895" t="str">
        <f>"SH21002136"</f>
        <v>SH21002136</v>
      </c>
      <c r="AF1895" t="str">
        <f>"משלוחים ללקוח"</f>
        <v>משלוחים ללקוח</v>
      </c>
      <c r="AG1895" s="1">
        <v>44559</v>
      </c>
      <c r="AM1895" t="str">
        <f>"10"</f>
        <v>10</v>
      </c>
      <c r="AN1895" t="str">
        <f>"500000"</f>
        <v>500000</v>
      </c>
      <c r="AO1895" t="str">
        <f>"הכנסות  מלקוחות"</f>
        <v>הכנסות  מלקוחות</v>
      </c>
      <c r="AQ1895" t="str">
        <f>"040"</f>
        <v>040</v>
      </c>
      <c r="AR1895">
        <v>0</v>
      </c>
      <c r="AS1895">
        <v>0</v>
      </c>
      <c r="AT1895">
        <v>3.1110000000000002</v>
      </c>
      <c r="AX1895" t="str">
        <f>"E000347054"</f>
        <v>E000347054</v>
      </c>
      <c r="BD1895" t="str">
        <f>"רחמים זרוק"</f>
        <v>רחמים זרוק</v>
      </c>
    </row>
    <row r="1896" spans="1:56" x14ac:dyDescent="0.3">
      <c r="A1896" s="1">
        <v>44560</v>
      </c>
      <c r="B1896" t="str">
        <f>"SI216001836"</f>
        <v>SI216001836</v>
      </c>
      <c r="C1896" t="str">
        <f>"PR20000834"</f>
        <v>PR20000834</v>
      </c>
      <c r="D1896" t="str">
        <f>"PR20000834"</f>
        <v>PR20000834</v>
      </c>
      <c r="E1896" t="str">
        <f>"Y"</f>
        <v>Y</v>
      </c>
      <c r="F1896" t="str">
        <f>"חשבוניות מרכזות"</f>
        <v>חשבוניות מרכזות</v>
      </c>
      <c r="G1896" t="str">
        <f>"700065"</f>
        <v>700065</v>
      </c>
      <c r="H1896" t="str">
        <f>"אלתא מערכות בע""מ"</f>
        <v>אלתא מערכות בע"מ</v>
      </c>
      <c r="I1896" t="str">
        <f>"10"</f>
        <v>10</v>
      </c>
      <c r="J1896" t="str">
        <f>"OP-AR02132"</f>
        <v>OP-AR02132</v>
      </c>
      <c r="K1896" t="str">
        <f>"1032F948-001/-   HARNESS MFR-W948 - TBU2 TO SENS"</f>
        <v>1032F948-001/-   HARNESS MFR-W948 - TBU2 TO SENS</v>
      </c>
      <c r="L1896">
        <v>2</v>
      </c>
      <c r="M1896" t="str">
        <f>"יח"</f>
        <v>יח</v>
      </c>
      <c r="N1896">
        <v>2</v>
      </c>
      <c r="O1896" t="str">
        <f>"יח"</f>
        <v>יח</v>
      </c>
      <c r="P1896" s="2">
        <v>1452.1</v>
      </c>
      <c r="Q1896" t="str">
        <f>"$"</f>
        <v>$</v>
      </c>
      <c r="R1896" t="str">
        <f>"הזמנה"</f>
        <v>הזמנה</v>
      </c>
      <c r="S1896">
        <v>0</v>
      </c>
      <c r="T1896" s="2">
        <v>2904.2</v>
      </c>
      <c r="U1896">
        <v>0</v>
      </c>
      <c r="V1896" s="2">
        <v>2904.2</v>
      </c>
      <c r="W1896" t="str">
        <f>"$"</f>
        <v>$</v>
      </c>
      <c r="X1896">
        <v>0</v>
      </c>
      <c r="Y1896">
        <v>0</v>
      </c>
      <c r="Z1896">
        <v>0</v>
      </c>
      <c r="AA1896" t="str">
        <f>"Y"</f>
        <v>Y</v>
      </c>
      <c r="AB1896" t="str">
        <f>"SO20000532"</f>
        <v>SO20000532</v>
      </c>
      <c r="AC1896">
        <v>166</v>
      </c>
      <c r="AD1896" s="1">
        <v>44155</v>
      </c>
      <c r="AE1896" t="str">
        <f>"SH21002120"</f>
        <v>SH21002120</v>
      </c>
      <c r="AF1896" t="str">
        <f>"משלוחים ללקוח"</f>
        <v>משלוחים ללקוח</v>
      </c>
      <c r="AG1896" s="1">
        <v>44558</v>
      </c>
      <c r="AM1896" t="str">
        <f>"10"</f>
        <v>10</v>
      </c>
      <c r="AN1896" t="str">
        <f>"500000"</f>
        <v>500000</v>
      </c>
      <c r="AO1896" t="str">
        <f>"הכנסות  מלקוחות"</f>
        <v>הכנסות  מלקוחות</v>
      </c>
      <c r="AQ1896" t="str">
        <f>"034"</f>
        <v>034</v>
      </c>
      <c r="AR1896">
        <v>0</v>
      </c>
      <c r="AS1896">
        <v>0</v>
      </c>
      <c r="AT1896">
        <v>3.11</v>
      </c>
      <c r="AX1896" t="str">
        <f>"E000321177"</f>
        <v>E000321177</v>
      </c>
      <c r="BD1896" t="str">
        <f>"ערן שלו"</f>
        <v>ערן שלו</v>
      </c>
    </row>
    <row r="1897" spans="1:56" x14ac:dyDescent="0.3">
      <c r="A1897" s="1">
        <v>44560</v>
      </c>
      <c r="B1897" t="str">
        <f>"SI216001835"</f>
        <v>SI216001835</v>
      </c>
      <c r="C1897" t="str">
        <f>"PR21000546"</f>
        <v>PR21000546</v>
      </c>
      <c r="E1897" t="str">
        <f>"Y"</f>
        <v>Y</v>
      </c>
      <c r="F1897" t="str">
        <f>"חשבוניות מרכזות"</f>
        <v>חשבוניות מרכזות</v>
      </c>
      <c r="G1897" t="str">
        <f>"700065"</f>
        <v>700065</v>
      </c>
      <c r="H1897" t="str">
        <f>"אלתא מערכות בע""מ"</f>
        <v>אלתא מערכות בע"מ</v>
      </c>
      <c r="I1897" t="str">
        <f>"10"</f>
        <v>10</v>
      </c>
      <c r="J1897" t="str">
        <f>"OP-AR02682"</f>
        <v>OP-AR02682</v>
      </c>
      <c r="K1897" t="str">
        <f>"4043B630-001    HARNESS W630 - PDU TO GATU DC PWR DATA C"</f>
        <v>4043B630-001    HARNESS W630 - PDU TO GATU DC PWR DATA C</v>
      </c>
      <c r="L1897">
        <v>1</v>
      </c>
      <c r="M1897" t="str">
        <f>"יח"</f>
        <v>יח</v>
      </c>
      <c r="N1897">
        <v>1</v>
      </c>
      <c r="O1897" t="str">
        <f>"יח"</f>
        <v>יח</v>
      </c>
      <c r="P1897">
        <v>666.27</v>
      </c>
      <c r="Q1897" t="str">
        <f>"$"</f>
        <v>$</v>
      </c>
      <c r="R1897" t="str">
        <f>"הזמנה"</f>
        <v>הזמנה</v>
      </c>
      <c r="S1897">
        <v>0</v>
      </c>
      <c r="T1897">
        <v>666.27</v>
      </c>
      <c r="U1897">
        <v>0</v>
      </c>
      <c r="V1897">
        <v>666.27</v>
      </c>
      <c r="W1897" t="str">
        <f>"$"</f>
        <v>$</v>
      </c>
      <c r="X1897">
        <v>0</v>
      </c>
      <c r="Y1897">
        <v>0</v>
      </c>
      <c r="Z1897">
        <v>0</v>
      </c>
      <c r="AA1897" t="str">
        <f>"Y"</f>
        <v>Y</v>
      </c>
      <c r="AB1897" t="str">
        <f>"SO21000348"</f>
        <v>SO21000348</v>
      </c>
      <c r="AC1897">
        <v>7</v>
      </c>
      <c r="AD1897" s="1">
        <v>44409</v>
      </c>
      <c r="AE1897" t="str">
        <f>"SH21002122"</f>
        <v>SH21002122</v>
      </c>
      <c r="AF1897" t="str">
        <f>"משלוחים ללקוח"</f>
        <v>משלוחים ללקוח</v>
      </c>
      <c r="AG1897" s="1">
        <v>44558</v>
      </c>
      <c r="AM1897" t="str">
        <f>"10"</f>
        <v>10</v>
      </c>
      <c r="AN1897" t="str">
        <f>"500000"</f>
        <v>500000</v>
      </c>
      <c r="AO1897" t="str">
        <f>"הכנסות  מלקוחות"</f>
        <v>הכנסות  מלקוחות</v>
      </c>
      <c r="AQ1897" t="str">
        <f>"040"</f>
        <v>040</v>
      </c>
      <c r="AR1897">
        <v>0</v>
      </c>
      <c r="AS1897">
        <v>0</v>
      </c>
      <c r="AT1897">
        <v>3.1110000000000002</v>
      </c>
      <c r="AX1897" t="str">
        <f>"E000344246"</f>
        <v>E000344246</v>
      </c>
      <c r="BD1897" t="str">
        <f>"רחמים זרוק"</f>
        <v>רחמים זרוק</v>
      </c>
    </row>
    <row r="1898" spans="1:56" x14ac:dyDescent="0.3">
      <c r="A1898" s="1">
        <v>44560</v>
      </c>
      <c r="B1898" t="str">
        <f>"SI216001834"</f>
        <v>SI216001834</v>
      </c>
      <c r="C1898" t="str">
        <f>"PR21000562"</f>
        <v>PR21000562</v>
      </c>
      <c r="D1898" t="str">
        <f>"PR21000562"</f>
        <v>PR21000562</v>
      </c>
      <c r="E1898" t="str">
        <f>"Y"</f>
        <v>Y</v>
      </c>
      <c r="F1898" t="str">
        <f>"חשבוניות מרכזות"</f>
        <v>חשבוניות מרכזות</v>
      </c>
      <c r="G1898" t="str">
        <f>"700065"</f>
        <v>700065</v>
      </c>
      <c r="H1898" t="str">
        <f>"אלתא מערכות בע""מ"</f>
        <v>אלתא מערכות בע"מ</v>
      </c>
      <c r="I1898" t="str">
        <f>"10"</f>
        <v>10</v>
      </c>
      <c r="J1898" t="str">
        <f>"OP-AR02687"</f>
        <v>OP-AR02687</v>
      </c>
      <c r="K1898" t="str">
        <f>"1033A447-001    HARNESS WK001 - POWER - MAIN"</f>
        <v>1033A447-001    HARNESS WK001 - POWER - MAIN</v>
      </c>
      <c r="L1898">
        <v>1</v>
      </c>
      <c r="M1898" t="str">
        <f>"יח"</f>
        <v>יח</v>
      </c>
      <c r="N1898">
        <v>1</v>
      </c>
      <c r="O1898" t="str">
        <f>"יח"</f>
        <v>יח</v>
      </c>
      <c r="P1898" s="2">
        <v>1076.8499999999999</v>
      </c>
      <c r="Q1898" t="str">
        <f>"$"</f>
        <v>$</v>
      </c>
      <c r="R1898" t="str">
        <f>"הזמנה"</f>
        <v>הזמנה</v>
      </c>
      <c r="S1898">
        <v>0</v>
      </c>
      <c r="T1898" s="2">
        <v>1076.8499999999999</v>
      </c>
      <c r="U1898">
        <v>0</v>
      </c>
      <c r="V1898" s="2">
        <v>1076.8499999999999</v>
      </c>
      <c r="W1898" t="str">
        <f>"$"</f>
        <v>$</v>
      </c>
      <c r="X1898">
        <v>0</v>
      </c>
      <c r="Y1898">
        <v>0</v>
      </c>
      <c r="Z1898">
        <v>0</v>
      </c>
      <c r="AA1898" t="str">
        <f>"Y"</f>
        <v>Y</v>
      </c>
      <c r="AB1898" t="str">
        <f>"SO21000361"</f>
        <v>SO21000361</v>
      </c>
      <c r="AC1898">
        <v>1</v>
      </c>
      <c r="AD1898" s="1">
        <v>44413</v>
      </c>
      <c r="AE1898" t="str">
        <f>"SH21002121"</f>
        <v>SH21002121</v>
      </c>
      <c r="AF1898" t="str">
        <f>"משלוחים ללקוח"</f>
        <v>משלוחים ללקוח</v>
      </c>
      <c r="AG1898" s="1">
        <v>44558</v>
      </c>
      <c r="AM1898" t="str">
        <f>"10"</f>
        <v>10</v>
      </c>
      <c r="AN1898" t="str">
        <f>"500000"</f>
        <v>500000</v>
      </c>
      <c r="AO1898" t="str">
        <f>"הכנסות  מלקוחות"</f>
        <v>הכנסות  מלקוחות</v>
      </c>
      <c r="AQ1898" t="str">
        <f>"040"</f>
        <v>040</v>
      </c>
      <c r="AR1898">
        <v>0</v>
      </c>
      <c r="AS1898">
        <v>0</v>
      </c>
      <c r="AT1898">
        <v>3.11</v>
      </c>
      <c r="AX1898" t="str">
        <f>"E000344376"</f>
        <v>E000344376</v>
      </c>
      <c r="BD1898" t="str">
        <f>"רחמים זרוק"</f>
        <v>רחמים זרוק</v>
      </c>
    </row>
    <row r="1899" spans="1:56" x14ac:dyDescent="0.3">
      <c r="A1899" s="1">
        <v>44560</v>
      </c>
      <c r="B1899" t="str">
        <f>"SI216001834"</f>
        <v>SI216001834</v>
      </c>
      <c r="C1899" t="str">
        <f>"PR21000562"</f>
        <v>PR21000562</v>
      </c>
      <c r="D1899" t="str">
        <f>"PR21000562"</f>
        <v>PR21000562</v>
      </c>
      <c r="E1899" t="str">
        <f>"Y"</f>
        <v>Y</v>
      </c>
      <c r="F1899" t="str">
        <f>"חשבוניות מרכזות"</f>
        <v>חשבוניות מרכזות</v>
      </c>
      <c r="G1899" t="str">
        <f>"700065"</f>
        <v>700065</v>
      </c>
      <c r="H1899" t="str">
        <f>"אלתא מערכות בע""מ"</f>
        <v>אלתא מערכות בע"מ</v>
      </c>
      <c r="I1899" t="str">
        <f>"10"</f>
        <v>10</v>
      </c>
      <c r="J1899" t="str">
        <f>"OP-AR02687"</f>
        <v>OP-AR02687</v>
      </c>
      <c r="K1899" t="str">
        <f>"1033A447-001    HARNESS WK001 - POWER - MAIN"</f>
        <v>1033A447-001    HARNESS WK001 - POWER - MAIN</v>
      </c>
      <c r="L1899">
        <v>2</v>
      </c>
      <c r="M1899" t="str">
        <f>"יח"</f>
        <v>יח</v>
      </c>
      <c r="N1899">
        <v>2</v>
      </c>
      <c r="O1899" t="str">
        <f>"יח"</f>
        <v>יח</v>
      </c>
      <c r="P1899" s="2">
        <v>1076.8499999999999</v>
      </c>
      <c r="Q1899" t="str">
        <f>"$"</f>
        <v>$</v>
      </c>
      <c r="R1899" t="str">
        <f>"הזמנה"</f>
        <v>הזמנה</v>
      </c>
      <c r="S1899">
        <v>0</v>
      </c>
      <c r="T1899" s="2">
        <v>2153.6999999999998</v>
      </c>
      <c r="U1899">
        <v>0</v>
      </c>
      <c r="V1899" s="2">
        <v>2153.6999999999998</v>
      </c>
      <c r="W1899" t="str">
        <f>"$"</f>
        <v>$</v>
      </c>
      <c r="X1899">
        <v>0</v>
      </c>
      <c r="Y1899">
        <v>0</v>
      </c>
      <c r="Z1899">
        <v>0</v>
      </c>
      <c r="AA1899" t="str">
        <f>"Y"</f>
        <v>Y</v>
      </c>
      <c r="AB1899" t="str">
        <f>"SO21000361"</f>
        <v>SO21000361</v>
      </c>
      <c r="AC1899">
        <v>2</v>
      </c>
      <c r="AD1899" s="1">
        <v>44413</v>
      </c>
      <c r="AE1899" t="str">
        <f>"SH21002121"</f>
        <v>SH21002121</v>
      </c>
      <c r="AF1899" t="str">
        <f>"משלוחים ללקוח"</f>
        <v>משלוחים ללקוח</v>
      </c>
      <c r="AG1899" s="1">
        <v>44558</v>
      </c>
      <c r="AM1899" t="str">
        <f>"10"</f>
        <v>10</v>
      </c>
      <c r="AN1899" t="str">
        <f>"500000"</f>
        <v>500000</v>
      </c>
      <c r="AO1899" t="str">
        <f>"הכנסות  מלקוחות"</f>
        <v>הכנסות  מלקוחות</v>
      </c>
      <c r="AQ1899" t="str">
        <f>"040"</f>
        <v>040</v>
      </c>
      <c r="AR1899">
        <v>0</v>
      </c>
      <c r="AS1899">
        <v>0</v>
      </c>
      <c r="AT1899">
        <v>3.11</v>
      </c>
      <c r="AX1899" t="str">
        <f>"E000344376"</f>
        <v>E000344376</v>
      </c>
      <c r="BD1899" t="str">
        <f>"רחמים זרוק"</f>
        <v>רחמים זרוק</v>
      </c>
    </row>
    <row r="1900" spans="1:56" x14ac:dyDescent="0.3">
      <c r="A1900" s="1">
        <v>44559</v>
      </c>
      <c r="B1900" t="str">
        <f>"SI216001843"</f>
        <v>SI216001843</v>
      </c>
      <c r="C1900" t="str">
        <f>"PR20000826"</f>
        <v>PR20000826</v>
      </c>
      <c r="D1900" t="str">
        <f>"PR20000826"</f>
        <v>PR20000826</v>
      </c>
      <c r="E1900" t="str">
        <f>"Y"</f>
        <v>Y</v>
      </c>
      <c r="F1900" t="str">
        <f>"חשבוניות מרכזות"</f>
        <v>חשבוניות מרכזות</v>
      </c>
      <c r="G1900" t="str">
        <f>"700065"</f>
        <v>700065</v>
      </c>
      <c r="H1900" t="str">
        <f>"אלתא מערכות בע""מ"</f>
        <v>אלתא מערכות בע"מ</v>
      </c>
      <c r="I1900" t="str">
        <f>"10"</f>
        <v>10</v>
      </c>
      <c r="J1900" t="str">
        <f>"000"</f>
        <v>000</v>
      </c>
      <c r="K1900" t="str">
        <f>"NRE תכנון המכולה"</f>
        <v>NRE תכנון המכולה</v>
      </c>
      <c r="L1900">
        <v>1</v>
      </c>
      <c r="M1900" t="str">
        <f>"יח"</f>
        <v>יח</v>
      </c>
      <c r="N1900">
        <v>1</v>
      </c>
      <c r="O1900" t="str">
        <f>"יח"</f>
        <v>יח</v>
      </c>
      <c r="P1900" s="2">
        <v>33075</v>
      </c>
      <c r="Q1900" t="str">
        <f>"$"</f>
        <v>$</v>
      </c>
      <c r="R1900" t="str">
        <f>"הזמנה"</f>
        <v>הזמנה</v>
      </c>
      <c r="S1900">
        <v>0</v>
      </c>
      <c r="T1900" s="2">
        <v>33075</v>
      </c>
      <c r="U1900">
        <v>0</v>
      </c>
      <c r="V1900" s="2">
        <v>33075</v>
      </c>
      <c r="W1900" t="str">
        <f>"$"</f>
        <v>$</v>
      </c>
      <c r="X1900">
        <v>0</v>
      </c>
      <c r="Y1900">
        <v>0</v>
      </c>
      <c r="Z1900">
        <v>0</v>
      </c>
      <c r="AA1900" t="str">
        <f>"Y"</f>
        <v>Y</v>
      </c>
      <c r="AB1900" t="str">
        <f>"SO20000545"</f>
        <v>SO20000545</v>
      </c>
      <c r="AC1900">
        <v>2</v>
      </c>
      <c r="AD1900" s="1">
        <v>44160</v>
      </c>
      <c r="AM1900" t="str">
        <f>"10"</f>
        <v>10</v>
      </c>
      <c r="AN1900" t="str">
        <f>"500000"</f>
        <v>500000</v>
      </c>
      <c r="AO1900" t="str">
        <f>"הכנסות  מלקוחות"</f>
        <v>הכנסות  מלקוחות</v>
      </c>
      <c r="AQ1900" t="str">
        <f>"007"</f>
        <v>007</v>
      </c>
      <c r="AR1900">
        <v>0</v>
      </c>
      <c r="AS1900">
        <v>0</v>
      </c>
      <c r="AT1900">
        <v>3.1110000000000002</v>
      </c>
      <c r="AX1900" t="str">
        <f>"E000326055"</f>
        <v>E000326055</v>
      </c>
      <c r="BD1900" t="str">
        <f>"רוני דידי"</f>
        <v>רוני דידי</v>
      </c>
    </row>
    <row r="1901" spans="1:56" x14ac:dyDescent="0.3">
      <c r="A1901" s="1">
        <v>44551</v>
      </c>
      <c r="B1901" t="str">
        <f>"SI216001761"</f>
        <v>SI216001761</v>
      </c>
      <c r="E1901" t="str">
        <f>"Y"</f>
        <v>Y</v>
      </c>
      <c r="F1901" t="str">
        <f>"חשבוניות מרכזות"</f>
        <v>חשבוניות מרכזות</v>
      </c>
      <c r="G1901" t="str">
        <f>"700065"</f>
        <v>700065</v>
      </c>
      <c r="H1901" t="str">
        <f>"אלתא מערכות בע""מ"</f>
        <v>אלתא מערכות בע"מ</v>
      </c>
      <c r="I1901" t="str">
        <f>"10"</f>
        <v>10</v>
      </c>
      <c r="J1901" t="str">
        <f>"000"</f>
        <v>000</v>
      </c>
      <c r="K1901" t="str">
        <f>"תוספות לRPU עבור הזמנה E000312785"</f>
        <v>תוספות לRPU עבור הזמנה E000312785</v>
      </c>
      <c r="L1901">
        <v>1</v>
      </c>
      <c r="M1901" t="str">
        <f>"יח"</f>
        <v>יח</v>
      </c>
      <c r="N1901">
        <v>1</v>
      </c>
      <c r="O1901" t="str">
        <f>"יח"</f>
        <v>יח</v>
      </c>
      <c r="P1901" s="2">
        <v>32780</v>
      </c>
      <c r="Q1901" t="str">
        <f>"$"</f>
        <v>$</v>
      </c>
      <c r="R1901" t="str">
        <f>"הזמנה"</f>
        <v>הזמנה</v>
      </c>
      <c r="S1901">
        <v>0</v>
      </c>
      <c r="T1901" s="2">
        <v>32780</v>
      </c>
      <c r="U1901">
        <v>0</v>
      </c>
      <c r="V1901" s="2">
        <v>32780</v>
      </c>
      <c r="W1901" t="str">
        <f>"$"</f>
        <v>$</v>
      </c>
      <c r="X1901">
        <v>0</v>
      </c>
      <c r="Y1901">
        <v>0</v>
      </c>
      <c r="Z1901">
        <v>0</v>
      </c>
      <c r="AA1901" t="str">
        <f>"Y"</f>
        <v>Y</v>
      </c>
      <c r="AB1901" t="str">
        <f>"SO21000055"</f>
        <v>SO21000055</v>
      </c>
      <c r="AC1901">
        <v>3</v>
      </c>
      <c r="AD1901" s="1">
        <v>44228</v>
      </c>
      <c r="AM1901" t="str">
        <f>"10"</f>
        <v>10</v>
      </c>
      <c r="AN1901" t="str">
        <f>"500000"</f>
        <v>500000</v>
      </c>
      <c r="AO1901" t="str">
        <f>"הכנסות  מלקוחות"</f>
        <v>הכנסות  מלקוחות</v>
      </c>
      <c r="AQ1901" t="str">
        <f>"034"</f>
        <v>034</v>
      </c>
      <c r="AR1901">
        <v>0</v>
      </c>
      <c r="AS1901">
        <v>0</v>
      </c>
      <c r="AT1901">
        <v>3.1520000000000001</v>
      </c>
      <c r="AX1901" t="str">
        <f>"E000331489"</f>
        <v>E000331489</v>
      </c>
      <c r="BD1901" t="str">
        <f>"ערן שלו"</f>
        <v>ערן שלו</v>
      </c>
    </row>
    <row r="1902" spans="1:56" x14ac:dyDescent="0.3">
      <c r="A1902" s="1">
        <v>44551</v>
      </c>
      <c r="B1902" t="str">
        <f>"SI216001761"</f>
        <v>SI216001761</v>
      </c>
      <c r="E1902" t="str">
        <f>"Y"</f>
        <v>Y</v>
      </c>
      <c r="F1902" t="str">
        <f>"חשבוניות מרכזות"</f>
        <v>חשבוניות מרכזות</v>
      </c>
      <c r="G1902" t="str">
        <f>"700065"</f>
        <v>700065</v>
      </c>
      <c r="H1902" t="str">
        <f>"אלתא מערכות בע""מ"</f>
        <v>אלתא מערכות בע"מ</v>
      </c>
      <c r="I1902" t="str">
        <f>"10"</f>
        <v>10</v>
      </c>
      <c r="J1902" t="str">
        <f>"000"</f>
        <v>000</v>
      </c>
      <c r="K1902" t="str">
        <f>"תוספות לRPU עבור הזמנה E000312785"</f>
        <v>תוספות לRPU עבור הזמנה E000312785</v>
      </c>
      <c r="L1902">
        <v>1</v>
      </c>
      <c r="M1902" t="str">
        <f>"יח"</f>
        <v>יח</v>
      </c>
      <c r="N1902">
        <v>1</v>
      </c>
      <c r="O1902" t="str">
        <f>"יח"</f>
        <v>יח</v>
      </c>
      <c r="P1902" s="2">
        <v>2530</v>
      </c>
      <c r="Q1902" t="str">
        <f>"$"</f>
        <v>$</v>
      </c>
      <c r="R1902" t="str">
        <f>"הזמנה"</f>
        <v>הזמנה</v>
      </c>
      <c r="S1902">
        <v>0</v>
      </c>
      <c r="T1902" s="2">
        <v>2530</v>
      </c>
      <c r="U1902">
        <v>0</v>
      </c>
      <c r="V1902" s="2">
        <v>2530</v>
      </c>
      <c r="W1902" t="str">
        <f>"$"</f>
        <v>$</v>
      </c>
      <c r="X1902">
        <v>0</v>
      </c>
      <c r="Y1902">
        <v>0</v>
      </c>
      <c r="Z1902">
        <v>0</v>
      </c>
      <c r="AA1902" t="str">
        <f>"Y"</f>
        <v>Y</v>
      </c>
      <c r="AB1902" t="str">
        <f>"SO21000055"</f>
        <v>SO21000055</v>
      </c>
      <c r="AC1902">
        <v>12</v>
      </c>
      <c r="AD1902" s="1">
        <v>44228</v>
      </c>
      <c r="AM1902" t="str">
        <f>"10"</f>
        <v>10</v>
      </c>
      <c r="AN1902" t="str">
        <f>"500000"</f>
        <v>500000</v>
      </c>
      <c r="AO1902" t="str">
        <f>"הכנסות  מלקוחות"</f>
        <v>הכנסות  מלקוחות</v>
      </c>
      <c r="AQ1902" t="str">
        <f>"034"</f>
        <v>034</v>
      </c>
      <c r="AR1902">
        <v>0</v>
      </c>
      <c r="AS1902">
        <v>0</v>
      </c>
      <c r="AT1902">
        <v>3.1520000000000001</v>
      </c>
      <c r="AX1902" t="str">
        <f>"E000331489"</f>
        <v>E000331489</v>
      </c>
      <c r="BD1902" t="str">
        <f>"ערן שלו"</f>
        <v>ערן שלו</v>
      </c>
    </row>
    <row r="1903" spans="1:56" x14ac:dyDescent="0.3">
      <c r="A1903" s="1">
        <v>44551</v>
      </c>
      <c r="B1903" t="str">
        <f>"SI216001760"</f>
        <v>SI216001760</v>
      </c>
      <c r="E1903" t="str">
        <f>"Y"</f>
        <v>Y</v>
      </c>
      <c r="F1903" t="str">
        <f>"חשבוניות מרכזות"</f>
        <v>חשבוניות מרכזות</v>
      </c>
      <c r="G1903" t="str">
        <f>"700065"</f>
        <v>700065</v>
      </c>
      <c r="H1903" t="str">
        <f>"אלתא מערכות בע""מ"</f>
        <v>אלתא מערכות בע"מ</v>
      </c>
      <c r="I1903" t="str">
        <f>"10"</f>
        <v>10</v>
      </c>
      <c r="J1903" t="str">
        <f>"000"</f>
        <v>000</v>
      </c>
      <c r="K1903" t="str">
        <f>"תוספת עבור חומר גלם וש""ע בייצור ה RPU"</f>
        <v>תוספת עבור חומר גלם וש"ע בייצור ה RPU</v>
      </c>
      <c r="L1903">
        <v>1</v>
      </c>
      <c r="M1903" t="str">
        <f>"יח"</f>
        <v>יח</v>
      </c>
      <c r="N1903">
        <v>1</v>
      </c>
      <c r="O1903" t="str">
        <f>"יח"</f>
        <v>יח</v>
      </c>
      <c r="P1903" s="2">
        <v>25000</v>
      </c>
      <c r="Q1903" t="str">
        <f>"$"</f>
        <v>$</v>
      </c>
      <c r="R1903" t="str">
        <f>"הזמנה"</f>
        <v>הזמנה</v>
      </c>
      <c r="S1903">
        <v>0</v>
      </c>
      <c r="T1903" s="2">
        <v>25000</v>
      </c>
      <c r="U1903">
        <v>0</v>
      </c>
      <c r="V1903" s="2">
        <v>25000</v>
      </c>
      <c r="W1903" t="str">
        <f>"$"</f>
        <v>$</v>
      </c>
      <c r="X1903">
        <v>0</v>
      </c>
      <c r="Y1903">
        <v>0</v>
      </c>
      <c r="Z1903">
        <v>0</v>
      </c>
      <c r="AA1903" t="str">
        <f>"Y"</f>
        <v>Y</v>
      </c>
      <c r="AB1903" t="str">
        <f>"SO21000418"</f>
        <v>SO21000418</v>
      </c>
      <c r="AC1903">
        <v>4</v>
      </c>
      <c r="AD1903" s="1">
        <v>44474</v>
      </c>
      <c r="AM1903" t="str">
        <f>"10"</f>
        <v>10</v>
      </c>
      <c r="AN1903" t="str">
        <f>"500000"</f>
        <v>500000</v>
      </c>
      <c r="AO1903" t="str">
        <f>"הכנסות  מלקוחות"</f>
        <v>הכנסות  מלקוחות</v>
      </c>
      <c r="AQ1903" t="str">
        <f>"034"</f>
        <v>034</v>
      </c>
      <c r="AR1903">
        <v>0</v>
      </c>
      <c r="AS1903">
        <v>0</v>
      </c>
      <c r="AT1903">
        <v>3.1520000000000001</v>
      </c>
      <c r="AX1903" t="str">
        <f>"E000346956"</f>
        <v>E000346956</v>
      </c>
      <c r="BD1903" t="str">
        <f>"ערן שלו"</f>
        <v>ערן שלו</v>
      </c>
    </row>
    <row r="1904" spans="1:56" x14ac:dyDescent="0.3">
      <c r="A1904" s="1">
        <v>44551</v>
      </c>
      <c r="B1904" t="str">
        <f>"SI216001759"</f>
        <v>SI216001759</v>
      </c>
      <c r="E1904" t="str">
        <f>"Y"</f>
        <v>Y</v>
      </c>
      <c r="F1904" t="str">
        <f>"חשבוניות מרכזות"</f>
        <v>חשבוניות מרכזות</v>
      </c>
      <c r="G1904" t="str">
        <f>"700065"</f>
        <v>700065</v>
      </c>
      <c r="H1904" t="str">
        <f>"אלתא מערכות בע""מ"</f>
        <v>אלתא מערכות בע"מ</v>
      </c>
      <c r="I1904" t="str">
        <f>"10"</f>
        <v>10</v>
      </c>
      <c r="J1904" t="str">
        <f>"OP-ML00179"</f>
        <v>OP-ML00179</v>
      </c>
      <c r="K1904" t="str">
        <f>"1038C906-001 Radar Power Unit (RPU) Platform"</f>
        <v>1038C906-001 Radar Power Unit (RPU) Platform</v>
      </c>
      <c r="L1904">
        <v>1</v>
      </c>
      <c r="M1904" t="str">
        <f>"יח"</f>
        <v>יח</v>
      </c>
      <c r="N1904">
        <v>1</v>
      </c>
      <c r="O1904" t="str">
        <f>"יח"</f>
        <v>יח</v>
      </c>
      <c r="P1904" s="2">
        <v>284970</v>
      </c>
      <c r="Q1904" t="str">
        <f>"$"</f>
        <v>$</v>
      </c>
      <c r="R1904" t="str">
        <f>"הזמנה"</f>
        <v>הזמנה</v>
      </c>
      <c r="S1904">
        <v>0</v>
      </c>
      <c r="T1904" s="2">
        <v>284970</v>
      </c>
      <c r="U1904">
        <v>0</v>
      </c>
      <c r="V1904" s="2">
        <v>284970</v>
      </c>
      <c r="W1904" t="str">
        <f>"$"</f>
        <v>$</v>
      </c>
      <c r="X1904">
        <v>0</v>
      </c>
      <c r="Y1904">
        <v>0</v>
      </c>
      <c r="Z1904">
        <v>0</v>
      </c>
      <c r="AA1904" t="str">
        <f>"Y"</f>
        <v>Y</v>
      </c>
      <c r="AB1904" t="str">
        <f>"SO20000218"</f>
        <v>SO20000218</v>
      </c>
      <c r="AC1904">
        <v>2</v>
      </c>
      <c r="AD1904" s="1">
        <v>43982</v>
      </c>
      <c r="AE1904" t="str">
        <f>"SH22000566"</f>
        <v>SH22000566</v>
      </c>
      <c r="AF1904" t="str">
        <f>"משלוחים ללקוח"</f>
        <v>משלוחים ללקוח</v>
      </c>
      <c r="AG1904" s="1">
        <v>44700</v>
      </c>
      <c r="AM1904" t="str">
        <f>"10"</f>
        <v>10</v>
      </c>
      <c r="AN1904" t="str">
        <f>"500000"</f>
        <v>500000</v>
      </c>
      <c r="AO1904" t="str">
        <f>"הכנסות  מלקוחות"</f>
        <v>הכנסות  מלקוחות</v>
      </c>
      <c r="AQ1904" t="str">
        <f>"034"</f>
        <v>034</v>
      </c>
      <c r="AR1904">
        <v>0</v>
      </c>
      <c r="AS1904">
        <v>0</v>
      </c>
      <c r="AT1904">
        <v>3.1520000000000001</v>
      </c>
      <c r="AX1904" t="str">
        <f>"E000312785"</f>
        <v>E000312785</v>
      </c>
      <c r="BD1904" t="str">
        <f>"ערן שלו"</f>
        <v>ערן שלו</v>
      </c>
    </row>
    <row r="1905" spans="1:56" x14ac:dyDescent="0.3">
      <c r="A1905" s="1">
        <v>44550</v>
      </c>
      <c r="B1905" t="str">
        <f>"SI216001823"</f>
        <v>SI216001823</v>
      </c>
      <c r="C1905" t="str">
        <f>"PR21000663"</f>
        <v>PR21000663</v>
      </c>
      <c r="D1905" t="str">
        <f>"PR21000663"</f>
        <v>PR21000663</v>
      </c>
      <c r="E1905" t="str">
        <f>"Y"</f>
        <v>Y</v>
      </c>
      <c r="F1905" t="str">
        <f>"חשבוניות מרכזות"</f>
        <v>חשבוניות מרכזות</v>
      </c>
      <c r="G1905" t="str">
        <f>"700065"</f>
        <v>700065</v>
      </c>
      <c r="H1905" t="str">
        <f>"אלתא מערכות בע""מ"</f>
        <v>אלתא מערכות בע"מ</v>
      </c>
      <c r="I1905" t="str">
        <f>"10"</f>
        <v>10</v>
      </c>
      <c r="J1905" t="str">
        <f>"OP-AR02802"</f>
        <v>OP-AR02802</v>
      </c>
      <c r="K1905" t="str">
        <f>"1035E025-001   ETHERNET CABLE W025 - PDB/POE1 TO CAMERA"</f>
        <v>1035E025-001   ETHERNET CABLE W025 - PDB/POE1 TO CAMERA</v>
      </c>
      <c r="L1905">
        <v>1</v>
      </c>
      <c r="M1905" t="str">
        <f>"יח"</f>
        <v>יח</v>
      </c>
      <c r="N1905">
        <v>1</v>
      </c>
      <c r="O1905" t="str">
        <f>"יח"</f>
        <v>יח</v>
      </c>
      <c r="P1905">
        <v>359.36</v>
      </c>
      <c r="Q1905" t="str">
        <f>"$"</f>
        <v>$</v>
      </c>
      <c r="R1905" t="str">
        <f>"ידני"</f>
        <v>ידני</v>
      </c>
      <c r="S1905">
        <v>0</v>
      </c>
      <c r="T1905">
        <v>359.36</v>
      </c>
      <c r="U1905">
        <v>0</v>
      </c>
      <c r="V1905">
        <v>359.36</v>
      </c>
      <c r="W1905" t="str">
        <f>"$"</f>
        <v>$</v>
      </c>
      <c r="X1905">
        <v>0</v>
      </c>
      <c r="Y1905">
        <v>0</v>
      </c>
      <c r="Z1905">
        <v>0</v>
      </c>
      <c r="AA1905" t="str">
        <f>"Y"</f>
        <v>Y</v>
      </c>
      <c r="AB1905" t="str">
        <f>"SO21000423"</f>
        <v>SO21000423</v>
      </c>
      <c r="AC1905">
        <v>1</v>
      </c>
      <c r="AD1905" s="1">
        <v>44475</v>
      </c>
      <c r="AE1905" t="str">
        <f>"SH21002081"</f>
        <v>SH21002081</v>
      </c>
      <c r="AF1905" t="str">
        <f>"משלוחים ללקוח"</f>
        <v>משלוחים ללקוח</v>
      </c>
      <c r="AG1905" s="1">
        <v>44549</v>
      </c>
      <c r="AM1905" t="str">
        <f>"10"</f>
        <v>10</v>
      </c>
      <c r="AN1905" t="str">
        <f>"500000"</f>
        <v>500000</v>
      </c>
      <c r="AO1905" t="str">
        <f>"הכנסות  מלקוחות"</f>
        <v>הכנסות  מלקוחות</v>
      </c>
      <c r="AQ1905" t="str">
        <f>"040"</f>
        <v>040</v>
      </c>
      <c r="AR1905">
        <v>0</v>
      </c>
      <c r="AS1905">
        <v>0</v>
      </c>
      <c r="AT1905">
        <v>3.1520000000000001</v>
      </c>
      <c r="AX1905" t="str">
        <f>"E000342872"</f>
        <v>E000342872</v>
      </c>
      <c r="BD1905" t="str">
        <f>"רחמים זרוק"</f>
        <v>רחמים זרוק</v>
      </c>
    </row>
    <row r="1906" spans="1:56" x14ac:dyDescent="0.3">
      <c r="A1906" s="1">
        <v>44550</v>
      </c>
      <c r="B1906" t="str">
        <f>"SI216001823"</f>
        <v>SI216001823</v>
      </c>
      <c r="C1906" t="str">
        <f>"PR21000663"</f>
        <v>PR21000663</v>
      </c>
      <c r="D1906" t="str">
        <f>"PR21000663"</f>
        <v>PR21000663</v>
      </c>
      <c r="E1906" t="str">
        <f>"Y"</f>
        <v>Y</v>
      </c>
      <c r="F1906" t="str">
        <f>"חשבוניות מרכזות"</f>
        <v>חשבוניות מרכזות</v>
      </c>
      <c r="G1906" t="str">
        <f>"700065"</f>
        <v>700065</v>
      </c>
      <c r="H1906" t="str">
        <f>"אלתא מערכות בע""מ"</f>
        <v>אלתא מערכות בע"מ</v>
      </c>
      <c r="I1906" t="str">
        <f>"10"</f>
        <v>10</v>
      </c>
      <c r="J1906" t="str">
        <f>"OP-AR02803"</f>
        <v>OP-AR02803</v>
      </c>
      <c r="K1906" t="str">
        <f>"1035E026-001   ETHERNET CABLE W026 - PDB/POE2 TO CAMERA"</f>
        <v>1035E026-001   ETHERNET CABLE W026 - PDB/POE2 TO CAMERA</v>
      </c>
      <c r="L1906">
        <v>1</v>
      </c>
      <c r="M1906" t="str">
        <f>"יח"</f>
        <v>יח</v>
      </c>
      <c r="N1906">
        <v>1</v>
      </c>
      <c r="O1906" t="str">
        <f>"יח"</f>
        <v>יח</v>
      </c>
      <c r="P1906">
        <v>442.63</v>
      </c>
      <c r="Q1906" t="str">
        <f>"$"</f>
        <v>$</v>
      </c>
      <c r="R1906" t="str">
        <f>"ידני"</f>
        <v>ידני</v>
      </c>
      <c r="S1906">
        <v>0</v>
      </c>
      <c r="T1906">
        <v>442.63</v>
      </c>
      <c r="U1906">
        <v>0</v>
      </c>
      <c r="V1906">
        <v>442.63</v>
      </c>
      <c r="W1906" t="str">
        <f>"$"</f>
        <v>$</v>
      </c>
      <c r="X1906">
        <v>0</v>
      </c>
      <c r="Y1906">
        <v>0</v>
      </c>
      <c r="Z1906">
        <v>0</v>
      </c>
      <c r="AA1906" t="str">
        <f>"Y"</f>
        <v>Y</v>
      </c>
      <c r="AB1906" t="str">
        <f>"SO21000423"</f>
        <v>SO21000423</v>
      </c>
      <c r="AC1906">
        <v>2</v>
      </c>
      <c r="AD1906" s="1">
        <v>44475</v>
      </c>
      <c r="AE1906" t="str">
        <f>"SH21002081"</f>
        <v>SH21002081</v>
      </c>
      <c r="AF1906" t="str">
        <f>"משלוחים ללקוח"</f>
        <v>משלוחים ללקוח</v>
      </c>
      <c r="AG1906" s="1">
        <v>44549</v>
      </c>
      <c r="AM1906" t="str">
        <f>"10"</f>
        <v>10</v>
      </c>
      <c r="AN1906" t="str">
        <f>"500000"</f>
        <v>500000</v>
      </c>
      <c r="AO1906" t="str">
        <f>"הכנסות  מלקוחות"</f>
        <v>הכנסות  מלקוחות</v>
      </c>
      <c r="AQ1906" t="str">
        <f>"040"</f>
        <v>040</v>
      </c>
      <c r="AR1906">
        <v>0</v>
      </c>
      <c r="AS1906">
        <v>0</v>
      </c>
      <c r="AT1906">
        <v>3.1520000000000001</v>
      </c>
      <c r="AX1906" t="str">
        <f>"E000342872"</f>
        <v>E000342872</v>
      </c>
      <c r="BD1906" t="str">
        <f>"רחמים זרוק"</f>
        <v>רחמים זרוק</v>
      </c>
    </row>
    <row r="1907" spans="1:56" x14ac:dyDescent="0.3">
      <c r="A1907" s="1">
        <v>44550</v>
      </c>
      <c r="B1907" t="str">
        <f>"SI216001812"</f>
        <v>SI216001812</v>
      </c>
      <c r="C1907" t="str">
        <f>"PR21000665"</f>
        <v>PR21000665</v>
      </c>
      <c r="E1907" t="str">
        <f>"Y"</f>
        <v>Y</v>
      </c>
      <c r="F1907" t="str">
        <f>"חשבוניות מרכזות"</f>
        <v>חשבוניות מרכזות</v>
      </c>
      <c r="G1907" t="str">
        <f>"700065"</f>
        <v>700065</v>
      </c>
      <c r="H1907" t="str">
        <f>"אלתא מערכות בע""מ"</f>
        <v>אלתא מערכות בע"מ</v>
      </c>
      <c r="I1907" t="str">
        <f>"10"</f>
        <v>10</v>
      </c>
      <c r="J1907" t="str">
        <f>"OP-AR02805"</f>
        <v>OP-AR02805</v>
      </c>
      <c r="K1907" t="str">
        <f>"1037U903-001    PS LAB CABLE"</f>
        <v>1037U903-001    PS LAB CABLE</v>
      </c>
      <c r="L1907">
        <v>2</v>
      </c>
      <c r="M1907" t="str">
        <f>"יח"</f>
        <v>יח</v>
      </c>
      <c r="N1907">
        <v>2</v>
      </c>
      <c r="O1907" t="str">
        <f>"יח"</f>
        <v>יח</v>
      </c>
      <c r="P1907">
        <v>316.25</v>
      </c>
      <c r="Q1907" t="str">
        <f>"$"</f>
        <v>$</v>
      </c>
      <c r="R1907" t="str">
        <f>"הזמנה"</f>
        <v>הזמנה</v>
      </c>
      <c r="S1907">
        <v>0</v>
      </c>
      <c r="T1907">
        <v>632.5</v>
      </c>
      <c r="U1907">
        <v>0</v>
      </c>
      <c r="V1907">
        <v>632.5</v>
      </c>
      <c r="W1907" t="str">
        <f>"$"</f>
        <v>$</v>
      </c>
      <c r="X1907">
        <v>0</v>
      </c>
      <c r="Y1907">
        <v>0</v>
      </c>
      <c r="Z1907">
        <v>0</v>
      </c>
      <c r="AA1907" t="str">
        <f>"Y"</f>
        <v>Y</v>
      </c>
      <c r="AB1907" t="str">
        <f>"SO21000426"</f>
        <v>SO21000426</v>
      </c>
      <c r="AC1907">
        <v>2</v>
      </c>
      <c r="AD1907" s="1">
        <v>44476</v>
      </c>
      <c r="AE1907" t="str">
        <f>"SH21002082"</f>
        <v>SH21002082</v>
      </c>
      <c r="AF1907" t="str">
        <f>"משלוחים ללקוח"</f>
        <v>משלוחים ללקוח</v>
      </c>
      <c r="AG1907" s="1">
        <v>44549</v>
      </c>
      <c r="AM1907" t="str">
        <f>"10"</f>
        <v>10</v>
      </c>
      <c r="AN1907" t="str">
        <f>"500000"</f>
        <v>500000</v>
      </c>
      <c r="AO1907" t="str">
        <f>"הכנסות  מלקוחות"</f>
        <v>הכנסות  מלקוחות</v>
      </c>
      <c r="AQ1907" t="str">
        <f>"040"</f>
        <v>040</v>
      </c>
      <c r="AR1907">
        <v>0</v>
      </c>
      <c r="AS1907">
        <v>0</v>
      </c>
      <c r="AT1907">
        <v>3.1520000000000001</v>
      </c>
      <c r="AX1907" t="str">
        <f>"E000347550"</f>
        <v>E000347550</v>
      </c>
      <c r="BD1907" t="str">
        <f>"רחמים זרוק"</f>
        <v>רחמים זרוק</v>
      </c>
    </row>
    <row r="1908" spans="1:56" x14ac:dyDescent="0.3">
      <c r="A1908" s="1">
        <v>44550</v>
      </c>
      <c r="B1908" t="str">
        <f>"SI216001811"</f>
        <v>SI216001811</v>
      </c>
      <c r="C1908" t="str">
        <f>"PR21000332"</f>
        <v>PR21000332</v>
      </c>
      <c r="D1908" t="str">
        <f>"PR21000332"</f>
        <v>PR21000332</v>
      </c>
      <c r="E1908" t="str">
        <f>"Y"</f>
        <v>Y</v>
      </c>
      <c r="F1908" t="str">
        <f>"חשבוניות מרכזות"</f>
        <v>חשבוניות מרכזות</v>
      </c>
      <c r="G1908" t="str">
        <f>"700065"</f>
        <v>700065</v>
      </c>
      <c r="H1908" t="str">
        <f>"אלתא מערכות בע""מ"</f>
        <v>אלתא מערכות בע"מ</v>
      </c>
      <c r="I1908" t="str">
        <f>"10"</f>
        <v>10</v>
      </c>
      <c r="J1908" t="str">
        <f>"OP-AR02564"</f>
        <v>OP-AR02564</v>
      </c>
      <c r="K1908" t="str">
        <f>"2012A396-001   CABLE ASSY POWER SUPPLY"</f>
        <v>2012A396-001   CABLE ASSY POWER SUPPLY</v>
      </c>
      <c r="L1908">
        <v>2</v>
      </c>
      <c r="M1908" t="str">
        <f>"יח"</f>
        <v>יח</v>
      </c>
      <c r="N1908">
        <v>2</v>
      </c>
      <c r="O1908" t="str">
        <f>"יח"</f>
        <v>יח</v>
      </c>
      <c r="P1908">
        <v>345.14</v>
      </c>
      <c r="Q1908" t="str">
        <f>"$"</f>
        <v>$</v>
      </c>
      <c r="R1908" t="str">
        <f>"הזמנה"</f>
        <v>הזמנה</v>
      </c>
      <c r="S1908">
        <v>0</v>
      </c>
      <c r="T1908">
        <v>690.28</v>
      </c>
      <c r="U1908">
        <v>0</v>
      </c>
      <c r="V1908">
        <v>690.28</v>
      </c>
      <c r="W1908" t="str">
        <f>"$"</f>
        <v>$</v>
      </c>
      <c r="X1908">
        <v>0</v>
      </c>
      <c r="Y1908">
        <v>0</v>
      </c>
      <c r="Z1908">
        <v>0</v>
      </c>
      <c r="AA1908" t="str">
        <f>"Y"</f>
        <v>Y</v>
      </c>
      <c r="AB1908" t="str">
        <f>"SO21000268"</f>
        <v>SO21000268</v>
      </c>
      <c r="AC1908">
        <v>1</v>
      </c>
      <c r="AD1908" s="1">
        <v>44355</v>
      </c>
      <c r="AE1908" t="str">
        <f>"SH21002080"</f>
        <v>SH21002080</v>
      </c>
      <c r="AF1908" t="str">
        <f>"משלוחים ללקוח"</f>
        <v>משלוחים ללקוח</v>
      </c>
      <c r="AG1908" s="1">
        <v>44549</v>
      </c>
      <c r="AM1908" t="str">
        <f>"10"</f>
        <v>10</v>
      </c>
      <c r="AN1908" t="str">
        <f>"500000"</f>
        <v>500000</v>
      </c>
      <c r="AO1908" t="str">
        <f>"הכנסות  מלקוחות"</f>
        <v>הכנסות  מלקוחות</v>
      </c>
      <c r="AQ1908" t="str">
        <f>"040"</f>
        <v>040</v>
      </c>
      <c r="AR1908">
        <v>0</v>
      </c>
      <c r="AS1908">
        <v>0</v>
      </c>
      <c r="AT1908">
        <v>3.1520000000000001</v>
      </c>
      <c r="AX1908" t="str">
        <f>"E000336279"</f>
        <v>E000336279</v>
      </c>
      <c r="BD1908" t="str">
        <f>"רחמים זרוק"</f>
        <v>רחמים זרוק</v>
      </c>
    </row>
    <row r="1909" spans="1:56" x14ac:dyDescent="0.3">
      <c r="A1909" s="1">
        <v>44550</v>
      </c>
      <c r="B1909" t="str">
        <f>"SI216001811"</f>
        <v>SI216001811</v>
      </c>
      <c r="C1909" t="str">
        <f>"PR21000332"</f>
        <v>PR21000332</v>
      </c>
      <c r="D1909" t="str">
        <f>"PR21000332"</f>
        <v>PR21000332</v>
      </c>
      <c r="E1909" t="str">
        <f>"Y"</f>
        <v>Y</v>
      </c>
      <c r="F1909" t="str">
        <f>"חשבוניות מרכזות"</f>
        <v>חשבוניות מרכזות</v>
      </c>
      <c r="G1909" t="str">
        <f>"700065"</f>
        <v>700065</v>
      </c>
      <c r="H1909" t="str">
        <f>"אלתא מערכות בע""מ"</f>
        <v>אלתא מערכות בע"מ</v>
      </c>
      <c r="I1909" t="str">
        <f>"10"</f>
        <v>10</v>
      </c>
      <c r="J1909" t="str">
        <f>"OP-AR02564"</f>
        <v>OP-AR02564</v>
      </c>
      <c r="K1909" t="str">
        <f>"2012A396-001   CABLE ASSY POWER SUPPLY"</f>
        <v>2012A396-001   CABLE ASSY POWER SUPPLY</v>
      </c>
      <c r="L1909">
        <v>2</v>
      </c>
      <c r="M1909" t="str">
        <f>"יח"</f>
        <v>יח</v>
      </c>
      <c r="N1909">
        <v>2</v>
      </c>
      <c r="O1909" t="str">
        <f>"יח"</f>
        <v>יח</v>
      </c>
      <c r="P1909">
        <v>345.14</v>
      </c>
      <c r="Q1909" t="str">
        <f>"$"</f>
        <v>$</v>
      </c>
      <c r="R1909" t="str">
        <f>"הזמנה"</f>
        <v>הזמנה</v>
      </c>
      <c r="S1909">
        <v>0</v>
      </c>
      <c r="T1909">
        <v>690.28</v>
      </c>
      <c r="U1909">
        <v>0</v>
      </c>
      <c r="V1909">
        <v>690.28</v>
      </c>
      <c r="W1909" t="str">
        <f>"$"</f>
        <v>$</v>
      </c>
      <c r="X1909">
        <v>0</v>
      </c>
      <c r="Y1909">
        <v>0</v>
      </c>
      <c r="Z1909">
        <v>0</v>
      </c>
      <c r="AA1909" t="str">
        <f>"Y"</f>
        <v>Y</v>
      </c>
      <c r="AB1909" t="str">
        <f>"SO21000268"</f>
        <v>SO21000268</v>
      </c>
      <c r="AC1909">
        <v>2</v>
      </c>
      <c r="AD1909" s="1">
        <v>44355</v>
      </c>
      <c r="AE1909" t="str">
        <f>"SH21002080"</f>
        <v>SH21002080</v>
      </c>
      <c r="AF1909" t="str">
        <f>"משלוחים ללקוח"</f>
        <v>משלוחים ללקוח</v>
      </c>
      <c r="AG1909" s="1">
        <v>44549</v>
      </c>
      <c r="AM1909" t="str">
        <f>"10"</f>
        <v>10</v>
      </c>
      <c r="AN1909" t="str">
        <f>"500000"</f>
        <v>500000</v>
      </c>
      <c r="AO1909" t="str">
        <f>"הכנסות  מלקוחות"</f>
        <v>הכנסות  מלקוחות</v>
      </c>
      <c r="AQ1909" t="str">
        <f>"040"</f>
        <v>040</v>
      </c>
      <c r="AR1909">
        <v>0</v>
      </c>
      <c r="AS1909">
        <v>0</v>
      </c>
      <c r="AT1909">
        <v>3.1520000000000001</v>
      </c>
      <c r="AX1909" t="str">
        <f>"E000336279"</f>
        <v>E000336279</v>
      </c>
      <c r="BD1909" t="str">
        <f>"רחמים זרוק"</f>
        <v>רחמים זרוק</v>
      </c>
    </row>
    <row r="1910" spans="1:56" x14ac:dyDescent="0.3">
      <c r="A1910" s="1">
        <v>44550</v>
      </c>
      <c r="B1910" t="str">
        <f>"SI216001811"</f>
        <v>SI216001811</v>
      </c>
      <c r="C1910" t="str">
        <f>"PR21000332"</f>
        <v>PR21000332</v>
      </c>
      <c r="D1910" t="str">
        <f>"PR21000332"</f>
        <v>PR21000332</v>
      </c>
      <c r="E1910" t="str">
        <f>"Y"</f>
        <v>Y</v>
      </c>
      <c r="F1910" t="str">
        <f>"חשבוניות מרכזות"</f>
        <v>חשבוניות מרכזות</v>
      </c>
      <c r="G1910" t="str">
        <f>"700065"</f>
        <v>700065</v>
      </c>
      <c r="H1910" t="str">
        <f>"אלתא מערכות בע""מ"</f>
        <v>אלתא מערכות בע"מ</v>
      </c>
      <c r="I1910" t="str">
        <f>"10"</f>
        <v>10</v>
      </c>
      <c r="J1910" t="str">
        <f>"OP-AR02564"</f>
        <v>OP-AR02564</v>
      </c>
      <c r="K1910" t="str">
        <f>"2012A396-001   CABLE ASSY POWER SUPPLY"</f>
        <v>2012A396-001   CABLE ASSY POWER SUPPLY</v>
      </c>
      <c r="L1910">
        <v>2</v>
      </c>
      <c r="M1910" t="str">
        <f>"יח"</f>
        <v>יח</v>
      </c>
      <c r="N1910">
        <v>2</v>
      </c>
      <c r="O1910" t="str">
        <f>"יח"</f>
        <v>יח</v>
      </c>
      <c r="P1910">
        <v>345.14</v>
      </c>
      <c r="Q1910" t="str">
        <f>"$"</f>
        <v>$</v>
      </c>
      <c r="R1910" t="str">
        <f>"הזמנה"</f>
        <v>הזמנה</v>
      </c>
      <c r="S1910">
        <v>0</v>
      </c>
      <c r="T1910">
        <v>690.28</v>
      </c>
      <c r="U1910">
        <v>0</v>
      </c>
      <c r="V1910">
        <v>690.28</v>
      </c>
      <c r="W1910" t="str">
        <f>"$"</f>
        <v>$</v>
      </c>
      <c r="X1910">
        <v>0</v>
      </c>
      <c r="Y1910">
        <v>0</v>
      </c>
      <c r="Z1910">
        <v>0</v>
      </c>
      <c r="AA1910" t="str">
        <f>"Y"</f>
        <v>Y</v>
      </c>
      <c r="AB1910" t="str">
        <f>"SO21000268"</f>
        <v>SO21000268</v>
      </c>
      <c r="AC1910">
        <v>3</v>
      </c>
      <c r="AD1910" s="1">
        <v>44355</v>
      </c>
      <c r="AE1910" t="str">
        <f>"SH21002080"</f>
        <v>SH21002080</v>
      </c>
      <c r="AF1910" t="str">
        <f>"משלוחים ללקוח"</f>
        <v>משלוחים ללקוח</v>
      </c>
      <c r="AG1910" s="1">
        <v>44549</v>
      </c>
      <c r="AM1910" t="str">
        <f>"10"</f>
        <v>10</v>
      </c>
      <c r="AN1910" t="str">
        <f>"500000"</f>
        <v>500000</v>
      </c>
      <c r="AO1910" t="str">
        <f>"הכנסות  מלקוחות"</f>
        <v>הכנסות  מלקוחות</v>
      </c>
      <c r="AQ1910" t="str">
        <f>"040"</f>
        <v>040</v>
      </c>
      <c r="AR1910">
        <v>0</v>
      </c>
      <c r="AS1910">
        <v>0</v>
      </c>
      <c r="AT1910">
        <v>3.1520000000000001</v>
      </c>
      <c r="AX1910" t="str">
        <f>"E000336279"</f>
        <v>E000336279</v>
      </c>
      <c r="BD1910" t="str">
        <f>"רחמים זרוק"</f>
        <v>רחמים זרוק</v>
      </c>
    </row>
    <row r="1911" spans="1:56" x14ac:dyDescent="0.3">
      <c r="A1911" s="1">
        <v>44546</v>
      </c>
      <c r="B1911" t="str">
        <f>"SI216001750"</f>
        <v>SI216001750</v>
      </c>
      <c r="C1911" t="str">
        <f>"PR19000750"</f>
        <v>PR19000750</v>
      </c>
      <c r="E1911" t="str">
        <f>"Y"</f>
        <v>Y</v>
      </c>
      <c r="F1911" t="str">
        <f>"חשבוניות מרכזות"</f>
        <v>חשבוניות מרכזות</v>
      </c>
      <c r="G1911" t="str">
        <f>"700065"</f>
        <v>700065</v>
      </c>
      <c r="H1911" t="str">
        <f>"אלתא מערכות בע""מ"</f>
        <v>אלתא מערכות בע"מ</v>
      </c>
      <c r="I1911" t="str">
        <f>"10"</f>
        <v>10</v>
      </c>
      <c r="J1911" t="str">
        <f>"OP-PD02883"</f>
        <v>OP-PD02883</v>
      </c>
      <c r="K1911" t="str">
        <f>"ISOLATION TRANSFORMER UNIT 70KVA"</f>
        <v>ISOLATION TRANSFORMER UNIT 70KVA</v>
      </c>
      <c r="L1911">
        <v>-1</v>
      </c>
      <c r="M1911" t="str">
        <f>"יח"</f>
        <v>יח</v>
      </c>
      <c r="N1911">
        <v>-1</v>
      </c>
      <c r="O1911" t="str">
        <f>"יח"</f>
        <v>יח</v>
      </c>
      <c r="P1911" s="2">
        <v>17670</v>
      </c>
      <c r="Q1911" t="str">
        <f>"$"</f>
        <v>$</v>
      </c>
      <c r="R1911" t="str">
        <f>"ידני"</f>
        <v>ידני</v>
      </c>
      <c r="S1911">
        <v>0</v>
      </c>
      <c r="T1911" s="2">
        <v>-17670</v>
      </c>
      <c r="U1911">
        <v>0</v>
      </c>
      <c r="V1911" s="2">
        <v>-17670</v>
      </c>
      <c r="W1911" t="str">
        <f>"$"</f>
        <v>$</v>
      </c>
      <c r="X1911">
        <v>0</v>
      </c>
      <c r="Y1911">
        <v>0</v>
      </c>
      <c r="Z1911">
        <v>0</v>
      </c>
      <c r="AA1911" t="str">
        <f>"Y"</f>
        <v>Y</v>
      </c>
      <c r="AC1911">
        <v>0</v>
      </c>
      <c r="AM1911" t="str">
        <f>"10"</f>
        <v>10</v>
      </c>
      <c r="AN1911" t="str">
        <f>"500000"</f>
        <v>500000</v>
      </c>
      <c r="AO1911" t="str">
        <f>"הכנסות  מלקוחות"</f>
        <v>הכנסות  מלקוחות</v>
      </c>
      <c r="AQ1911" t="str">
        <f>"034"</f>
        <v>034</v>
      </c>
      <c r="AR1911">
        <v>0</v>
      </c>
      <c r="AS1911">
        <v>0</v>
      </c>
      <c r="AT1911">
        <v>3.2639999999999998</v>
      </c>
      <c r="BB1911" t="str">
        <f>"Y"</f>
        <v>Y</v>
      </c>
      <c r="BD1911" t="str">
        <f>"ערן שלו"</f>
        <v>ערן שלו</v>
      </c>
    </row>
    <row r="1912" spans="1:56" x14ac:dyDescent="0.3">
      <c r="A1912" s="1">
        <v>44546</v>
      </c>
      <c r="B1912" t="str">
        <f>"SI216001750"</f>
        <v>SI216001750</v>
      </c>
      <c r="C1912" t="str">
        <f>"PR19000750"</f>
        <v>PR19000750</v>
      </c>
      <c r="E1912" t="str">
        <f>"Y"</f>
        <v>Y</v>
      </c>
      <c r="F1912" t="str">
        <f>"חשבוניות מרכזות"</f>
        <v>חשבוניות מרכזות</v>
      </c>
      <c r="G1912" t="str">
        <f>"700065"</f>
        <v>700065</v>
      </c>
      <c r="H1912" t="str">
        <f>"אלתא מערכות בע""מ"</f>
        <v>אלתא מערכות בע"מ</v>
      </c>
      <c r="I1912" t="str">
        <f>"10"</f>
        <v>10</v>
      </c>
      <c r="J1912" t="str">
        <f>"OP-PD02882"</f>
        <v>OP-PD02882</v>
      </c>
      <c r="K1912" t="str">
        <f>"ISOLATION TRANSFORMER UNIT 200KVA"</f>
        <v>ISOLATION TRANSFORMER UNIT 200KVA</v>
      </c>
      <c r="L1912">
        <v>-1</v>
      </c>
      <c r="M1912" t="str">
        <f>"יח"</f>
        <v>יח</v>
      </c>
      <c r="N1912">
        <v>-1</v>
      </c>
      <c r="O1912" t="str">
        <f>"יח"</f>
        <v>יח</v>
      </c>
      <c r="P1912" s="2">
        <v>35340</v>
      </c>
      <c r="Q1912" t="str">
        <f>"$"</f>
        <v>$</v>
      </c>
      <c r="R1912" t="str">
        <f>"ידני"</f>
        <v>ידני</v>
      </c>
      <c r="S1912">
        <v>0</v>
      </c>
      <c r="T1912" s="2">
        <v>-35340</v>
      </c>
      <c r="U1912">
        <v>0</v>
      </c>
      <c r="V1912" s="2">
        <v>-35340</v>
      </c>
      <c r="W1912" t="str">
        <f>"$"</f>
        <v>$</v>
      </c>
      <c r="X1912">
        <v>0</v>
      </c>
      <c r="Y1912">
        <v>0</v>
      </c>
      <c r="Z1912">
        <v>0</v>
      </c>
      <c r="AA1912" t="str">
        <f>"Y"</f>
        <v>Y</v>
      </c>
      <c r="AC1912">
        <v>0</v>
      </c>
      <c r="AM1912" t="str">
        <f>"10"</f>
        <v>10</v>
      </c>
      <c r="AN1912" t="str">
        <f>"500000"</f>
        <v>500000</v>
      </c>
      <c r="AO1912" t="str">
        <f>"הכנסות  מלקוחות"</f>
        <v>הכנסות  מלקוחות</v>
      </c>
      <c r="AQ1912" t="str">
        <f>"034"</f>
        <v>034</v>
      </c>
      <c r="AR1912">
        <v>0</v>
      </c>
      <c r="AS1912">
        <v>0</v>
      </c>
      <c r="AT1912">
        <v>3.2639999999999998</v>
      </c>
      <c r="BB1912" t="str">
        <f>"Y"</f>
        <v>Y</v>
      </c>
      <c r="BD1912" t="str">
        <f>"ערן שלו"</f>
        <v>ערן שלו</v>
      </c>
    </row>
    <row r="1913" spans="1:56" x14ac:dyDescent="0.3">
      <c r="A1913" s="1">
        <v>44538</v>
      </c>
      <c r="B1913" t="str">
        <f>"SI216001741"</f>
        <v>SI216001741</v>
      </c>
      <c r="C1913" t="str">
        <f>"PR21000754"</f>
        <v>PR21000754</v>
      </c>
      <c r="D1913" t="str">
        <f>"PR21000754"</f>
        <v>PR21000754</v>
      </c>
      <c r="E1913" t="str">
        <f>"Y"</f>
        <v>Y</v>
      </c>
      <c r="F1913" t="str">
        <f>"חשבוניות מרכזות"</f>
        <v>חשבוניות מרכזות</v>
      </c>
      <c r="G1913" t="str">
        <f>"700065"</f>
        <v>700065</v>
      </c>
      <c r="H1913" t="str">
        <f>"אלתא מערכות בע""מ"</f>
        <v>אלתא מערכות בע"מ</v>
      </c>
      <c r="I1913" t="str">
        <f>"10"</f>
        <v>10</v>
      </c>
      <c r="J1913" t="str">
        <f>"OP-KT00121"</f>
        <v>OP-KT00121</v>
      </c>
      <c r="K1913" t="str">
        <f>"1038 C 876 001 ORNET REPLACEMENT PARTS COMPLETION"</f>
        <v>1038 C 876 001 ORNET REPLACEMENT PARTS COMPLETION</v>
      </c>
      <c r="L1913">
        <v>1</v>
      </c>
      <c r="M1913" t="str">
        <f>"יח"</f>
        <v>יח</v>
      </c>
      <c r="N1913">
        <v>1</v>
      </c>
      <c r="O1913" t="str">
        <f>"יח"</f>
        <v>יח</v>
      </c>
      <c r="P1913" s="2">
        <v>8346.35</v>
      </c>
      <c r="Q1913" t="str">
        <f>"$"</f>
        <v>$</v>
      </c>
      <c r="R1913" t="str">
        <f>"הזמנה"</f>
        <v>הזמנה</v>
      </c>
      <c r="S1913">
        <v>0</v>
      </c>
      <c r="T1913" s="2">
        <v>8346.35</v>
      </c>
      <c r="U1913">
        <v>0</v>
      </c>
      <c r="V1913" s="2">
        <v>8346.35</v>
      </c>
      <c r="W1913" t="str">
        <f>"$"</f>
        <v>$</v>
      </c>
      <c r="X1913">
        <v>0</v>
      </c>
      <c r="Y1913">
        <v>0</v>
      </c>
      <c r="Z1913">
        <v>0</v>
      </c>
      <c r="AA1913" t="str">
        <f>"Y"</f>
        <v>Y</v>
      </c>
      <c r="AB1913" t="str">
        <f>"SO21000454"</f>
        <v>SO21000454</v>
      </c>
      <c r="AC1913">
        <v>5</v>
      </c>
      <c r="AD1913" s="1">
        <v>44501</v>
      </c>
      <c r="AE1913" t="str">
        <f>"SH21002035"</f>
        <v>SH21002035</v>
      </c>
      <c r="AF1913" t="str">
        <f>"משלוחים ללקוח"</f>
        <v>משלוחים ללקוח</v>
      </c>
      <c r="AG1913" s="1">
        <v>44538</v>
      </c>
      <c r="AM1913" t="str">
        <f>"10"</f>
        <v>10</v>
      </c>
      <c r="AN1913" t="str">
        <f>"500000"</f>
        <v>500000</v>
      </c>
      <c r="AO1913" t="str">
        <f>"הכנסות  מלקוחות"</f>
        <v>הכנסות  מלקוחות</v>
      </c>
      <c r="AQ1913" t="str">
        <f>"034"</f>
        <v>034</v>
      </c>
      <c r="AR1913">
        <v>0</v>
      </c>
      <c r="AS1913">
        <v>0</v>
      </c>
      <c r="AT1913">
        <v>3.1110000000000002</v>
      </c>
      <c r="AX1913" t="str">
        <f>"E000348420"</f>
        <v>E000348420</v>
      </c>
      <c r="BD1913" t="str">
        <f>"ערן שלו"</f>
        <v>ערן שלו</v>
      </c>
    </row>
    <row r="1914" spans="1:56" x14ac:dyDescent="0.3">
      <c r="A1914" s="1">
        <v>44536</v>
      </c>
      <c r="B1914" t="str">
        <f>"SI216001729"</f>
        <v>SI216001729</v>
      </c>
      <c r="C1914" t="str">
        <f>"PR21000754"</f>
        <v>PR21000754</v>
      </c>
      <c r="D1914" t="str">
        <f>"PR21000754"</f>
        <v>PR21000754</v>
      </c>
      <c r="E1914" t="str">
        <f>"Y"</f>
        <v>Y</v>
      </c>
      <c r="F1914" t="str">
        <f>"חשבוניות מרכזות"</f>
        <v>חשבוניות מרכזות</v>
      </c>
      <c r="G1914" t="str">
        <f>"700065"</f>
        <v>700065</v>
      </c>
      <c r="H1914" t="str">
        <f>"אלתא מערכות בע""מ"</f>
        <v>אלתא מערכות בע"מ</v>
      </c>
      <c r="I1914" t="str">
        <f>"11"</f>
        <v>11</v>
      </c>
      <c r="J1914" t="str">
        <f>"OP-KT00122"</f>
        <v>OP-KT00122</v>
      </c>
      <c r="K1914" t="str">
        <f>"1041M385-001 - FILTERING VENTILATION SYS for RECTIFIER"</f>
        <v>1041M385-001 - FILTERING VENTILATION SYS for RECTIFIER</v>
      </c>
      <c r="L1914">
        <v>1</v>
      </c>
      <c r="M1914" t="str">
        <f>"יח"</f>
        <v>יח</v>
      </c>
      <c r="N1914">
        <v>1</v>
      </c>
      <c r="O1914" t="str">
        <f>"יח"</f>
        <v>יח</v>
      </c>
      <c r="P1914">
        <v>56.64</v>
      </c>
      <c r="Q1914" t="str">
        <f>"$"</f>
        <v>$</v>
      </c>
      <c r="R1914" t="str">
        <f>"הזמנה"</f>
        <v>הזמנה</v>
      </c>
      <c r="S1914">
        <v>0</v>
      </c>
      <c r="T1914">
        <v>56.64</v>
      </c>
      <c r="U1914">
        <v>0</v>
      </c>
      <c r="V1914">
        <v>56.64</v>
      </c>
      <c r="W1914" t="str">
        <f>"$"</f>
        <v>$</v>
      </c>
      <c r="X1914">
        <v>0</v>
      </c>
      <c r="Y1914">
        <v>0</v>
      </c>
      <c r="Z1914">
        <v>0</v>
      </c>
      <c r="AA1914" t="str">
        <f>"Y"</f>
        <v>Y</v>
      </c>
      <c r="AB1914" t="str">
        <f>"SO21000454"</f>
        <v>SO21000454</v>
      </c>
      <c r="AC1914">
        <v>6</v>
      </c>
      <c r="AD1914" s="1">
        <v>44501</v>
      </c>
      <c r="AE1914" t="str">
        <f>"SH21002036"</f>
        <v>SH21002036</v>
      </c>
      <c r="AF1914" t="str">
        <f>"משלוחים ללקוח"</f>
        <v>משלוחים ללקוח</v>
      </c>
      <c r="AG1914" s="1">
        <v>44538</v>
      </c>
      <c r="AM1914" t="str">
        <f>"10"</f>
        <v>10</v>
      </c>
      <c r="AN1914" t="str">
        <f>"500000"</f>
        <v>500000</v>
      </c>
      <c r="AO1914" t="str">
        <f>"הכנסות  מלקוחות"</f>
        <v>הכנסות  מלקוחות</v>
      </c>
      <c r="AQ1914" t="str">
        <f>"034"</f>
        <v>034</v>
      </c>
      <c r="AR1914">
        <v>0</v>
      </c>
      <c r="AS1914">
        <v>0</v>
      </c>
      <c r="AT1914">
        <v>3.161</v>
      </c>
      <c r="AX1914" t="str">
        <f>"E000348420"</f>
        <v>E000348420</v>
      </c>
      <c r="BD1914" t="str">
        <f>"ערן שלו"</f>
        <v>ערן שלו</v>
      </c>
    </row>
    <row r="1915" spans="1:56" x14ac:dyDescent="0.3">
      <c r="A1915" s="1">
        <v>44532</v>
      </c>
      <c r="B1915" t="str">
        <f>"SI216001716"</f>
        <v>SI216001716</v>
      </c>
      <c r="E1915" t="str">
        <f>"Y"</f>
        <v>Y</v>
      </c>
      <c r="F1915" t="str">
        <f>"חשבוניות מרכזות"</f>
        <v>חשבוניות מרכזות</v>
      </c>
      <c r="G1915" t="str">
        <f>"700065"</f>
        <v>700065</v>
      </c>
      <c r="H1915" t="str">
        <f>"אלתא מערכות בע""מ"</f>
        <v>אלתא מערכות בע"מ</v>
      </c>
      <c r="I1915" t="str">
        <f>"10"</f>
        <v>10</v>
      </c>
      <c r="J1915" t="str">
        <f>"OP-ML00197"</f>
        <v>OP-ML00197</v>
      </c>
      <c r="K1915" t="str">
        <f>"1038C816-001 COMPUTER RACK"</f>
        <v>1038C816-001 COMPUTER RACK</v>
      </c>
      <c r="L1915">
        <v>1</v>
      </c>
      <c r="M1915" t="str">
        <f>"יח"</f>
        <v>יח</v>
      </c>
      <c r="N1915">
        <v>1</v>
      </c>
      <c r="O1915" t="str">
        <f>"יח"</f>
        <v>יח</v>
      </c>
      <c r="P1915" s="2">
        <v>47500</v>
      </c>
      <c r="Q1915" t="str">
        <f>"$"</f>
        <v>$</v>
      </c>
      <c r="R1915" t="str">
        <f>"הזמנה"</f>
        <v>הזמנה</v>
      </c>
      <c r="S1915">
        <v>0</v>
      </c>
      <c r="T1915" s="2">
        <v>47500</v>
      </c>
      <c r="U1915">
        <v>0</v>
      </c>
      <c r="V1915" s="2">
        <v>47500</v>
      </c>
      <c r="W1915" t="str">
        <f>"$"</f>
        <v>$</v>
      </c>
      <c r="X1915">
        <v>0</v>
      </c>
      <c r="Y1915">
        <v>0</v>
      </c>
      <c r="Z1915">
        <v>0</v>
      </c>
      <c r="AA1915" t="str">
        <f>"Y"</f>
        <v>Y</v>
      </c>
      <c r="AC1915">
        <v>0</v>
      </c>
      <c r="AM1915" t="str">
        <f>"10"</f>
        <v>10</v>
      </c>
      <c r="AN1915" t="str">
        <f>"500000"</f>
        <v>500000</v>
      </c>
      <c r="AO1915" t="str">
        <f>"הכנסות  מלקוחות"</f>
        <v>הכנסות  מלקוחות</v>
      </c>
      <c r="AQ1915" t="str">
        <f>"034"</f>
        <v>034</v>
      </c>
      <c r="AR1915">
        <v>0</v>
      </c>
      <c r="AS1915">
        <v>0</v>
      </c>
      <c r="AT1915">
        <v>3.15</v>
      </c>
      <c r="BB1915" t="str">
        <f>"Y"</f>
        <v>Y</v>
      </c>
      <c r="BD1915" t="str">
        <f>"ערן שלו"</f>
        <v>ערן שלו</v>
      </c>
    </row>
    <row r="1916" spans="1:56" x14ac:dyDescent="0.3">
      <c r="A1916" s="1">
        <v>44532</v>
      </c>
      <c r="B1916" t="str">
        <f>"SI216001716"</f>
        <v>SI216001716</v>
      </c>
      <c r="E1916" t="str">
        <f>"Y"</f>
        <v>Y</v>
      </c>
      <c r="F1916" t="str">
        <f>"חשבוניות מרכזות"</f>
        <v>חשבוניות מרכזות</v>
      </c>
      <c r="G1916" t="str">
        <f>"700065"</f>
        <v>700065</v>
      </c>
      <c r="H1916" t="str">
        <f>"אלתא מערכות בע""מ"</f>
        <v>אלתא מערכות בע"מ</v>
      </c>
      <c r="I1916" t="str">
        <f>"10"</f>
        <v>10</v>
      </c>
      <c r="J1916" t="str">
        <f>"OP-ML00197"</f>
        <v>OP-ML00197</v>
      </c>
      <c r="K1916" t="str">
        <f>"1038C816-001 COMPUTER RACK"</f>
        <v>1038C816-001 COMPUTER RACK</v>
      </c>
      <c r="L1916">
        <v>1</v>
      </c>
      <c r="M1916" t="str">
        <f>"יח"</f>
        <v>יח</v>
      </c>
      <c r="N1916">
        <v>1</v>
      </c>
      <c r="O1916" t="str">
        <f>"יח"</f>
        <v>יח</v>
      </c>
      <c r="P1916" s="2">
        <v>47500</v>
      </c>
      <c r="Q1916" t="str">
        <f>"$"</f>
        <v>$</v>
      </c>
      <c r="R1916" t="str">
        <f>"הזמנה"</f>
        <v>הזמנה</v>
      </c>
      <c r="S1916">
        <v>0</v>
      </c>
      <c r="T1916" s="2">
        <v>47500</v>
      </c>
      <c r="U1916">
        <v>0</v>
      </c>
      <c r="V1916" s="2">
        <v>47500</v>
      </c>
      <c r="W1916" t="str">
        <f>"$"</f>
        <v>$</v>
      </c>
      <c r="X1916">
        <v>0</v>
      </c>
      <c r="Y1916">
        <v>0</v>
      </c>
      <c r="Z1916">
        <v>0</v>
      </c>
      <c r="AA1916" t="str">
        <f>"Y"</f>
        <v>Y</v>
      </c>
      <c r="AC1916">
        <v>0</v>
      </c>
      <c r="AM1916" t="str">
        <f>"10"</f>
        <v>10</v>
      </c>
      <c r="AN1916" t="str">
        <f>"500000"</f>
        <v>500000</v>
      </c>
      <c r="AO1916" t="str">
        <f>"הכנסות  מלקוחות"</f>
        <v>הכנסות  מלקוחות</v>
      </c>
      <c r="AQ1916" t="str">
        <f>"034"</f>
        <v>034</v>
      </c>
      <c r="AR1916">
        <v>0</v>
      </c>
      <c r="AS1916">
        <v>0</v>
      </c>
      <c r="AT1916">
        <v>3.15</v>
      </c>
      <c r="BB1916" t="str">
        <f>"Y"</f>
        <v>Y</v>
      </c>
      <c r="BD1916" t="str">
        <f>"ערן שלו"</f>
        <v>ערן שלו</v>
      </c>
    </row>
    <row r="1917" spans="1:56" x14ac:dyDescent="0.3">
      <c r="A1917" s="1">
        <v>44532</v>
      </c>
      <c r="B1917" t="str">
        <f>"SI216001715"</f>
        <v>SI216001715</v>
      </c>
      <c r="E1917" t="str">
        <f>"Y"</f>
        <v>Y</v>
      </c>
      <c r="F1917" t="str">
        <f>"חשבוניות מרכזות"</f>
        <v>חשבוניות מרכזות</v>
      </c>
      <c r="G1917" t="str">
        <f>"700065"</f>
        <v>700065</v>
      </c>
      <c r="H1917" t="str">
        <f>"אלתא מערכות בע""מ"</f>
        <v>אלתא מערכות בע"מ</v>
      </c>
      <c r="I1917" t="str">
        <f>"10"</f>
        <v>10</v>
      </c>
      <c r="J1917" t="str">
        <f>"OP-AR02041"</f>
        <v>OP-AR02041</v>
      </c>
      <c r="K1917" t="str">
        <f>"PDB1 1038C860-001"</f>
        <v>PDB1 1038C860-001</v>
      </c>
      <c r="L1917">
        <v>1</v>
      </c>
      <c r="M1917" t="str">
        <f>"יח"</f>
        <v>יח</v>
      </c>
      <c r="N1917">
        <v>1</v>
      </c>
      <c r="O1917" t="str">
        <f>"יח"</f>
        <v>יח</v>
      </c>
      <c r="P1917" s="2">
        <v>38545</v>
      </c>
      <c r="Q1917" t="str">
        <f>"$"</f>
        <v>$</v>
      </c>
      <c r="R1917" t="str">
        <f>"הזמנה"</f>
        <v>הזמנה</v>
      </c>
      <c r="S1917">
        <v>0</v>
      </c>
      <c r="T1917" s="2">
        <v>38545</v>
      </c>
      <c r="U1917">
        <v>0</v>
      </c>
      <c r="V1917" s="2">
        <v>38545</v>
      </c>
      <c r="W1917" t="str">
        <f>"$"</f>
        <v>$</v>
      </c>
      <c r="X1917">
        <v>0</v>
      </c>
      <c r="Y1917">
        <v>0</v>
      </c>
      <c r="Z1917">
        <v>0</v>
      </c>
      <c r="AA1917" t="str">
        <f>"Y"</f>
        <v>Y</v>
      </c>
      <c r="AB1917" t="str">
        <f>"SO20000418"</f>
        <v>SO20000418</v>
      </c>
      <c r="AC1917">
        <v>22</v>
      </c>
      <c r="AD1917" s="1">
        <v>44083</v>
      </c>
      <c r="AM1917" t="str">
        <f>"10"</f>
        <v>10</v>
      </c>
      <c r="AN1917" t="str">
        <f>"500000"</f>
        <v>500000</v>
      </c>
      <c r="AO1917" t="str">
        <f>"הכנסות  מלקוחות"</f>
        <v>הכנסות  מלקוחות</v>
      </c>
      <c r="AQ1917" t="str">
        <f>"034"</f>
        <v>034</v>
      </c>
      <c r="AR1917">
        <v>0</v>
      </c>
      <c r="AS1917">
        <v>0</v>
      </c>
      <c r="AT1917">
        <v>3.15</v>
      </c>
      <c r="AX1917" t="str">
        <f>"E000320964"</f>
        <v>E000320964</v>
      </c>
      <c r="BD1917" t="str">
        <f>"ערן שלו"</f>
        <v>ערן שלו</v>
      </c>
    </row>
    <row r="1918" spans="1:56" x14ac:dyDescent="0.3">
      <c r="A1918" s="1">
        <v>44532</v>
      </c>
      <c r="B1918" t="str">
        <f>"SI216001714"</f>
        <v>SI216001714</v>
      </c>
      <c r="C1918" t="str">
        <f>"PR21000541"</f>
        <v>PR21000541</v>
      </c>
      <c r="D1918" t="str">
        <f>"PR21000541"</f>
        <v>PR21000541</v>
      </c>
      <c r="E1918" t="str">
        <f>"Y"</f>
        <v>Y</v>
      </c>
      <c r="F1918" t="str">
        <f>"חשבוניות מרכזות"</f>
        <v>חשבוניות מרכזות</v>
      </c>
      <c r="G1918" t="str">
        <f>"700065"</f>
        <v>700065</v>
      </c>
      <c r="H1918" t="str">
        <f>"אלתא מערכות בע""מ"</f>
        <v>אלתא מערכות בע"מ</v>
      </c>
      <c r="I1918" t="str">
        <f>"10"</f>
        <v>10</v>
      </c>
      <c r="J1918" t="str">
        <f>"OP-AR02844"</f>
        <v>OP-AR02844</v>
      </c>
      <c r="K1918" t="str">
        <f>"PDB UNITטל שמיים"</f>
        <v>PDB UNITטל שמיים</v>
      </c>
      <c r="L1918">
        <v>1</v>
      </c>
      <c r="M1918" t="str">
        <f>"יח"</f>
        <v>יח</v>
      </c>
      <c r="N1918">
        <v>1</v>
      </c>
      <c r="O1918" t="str">
        <f>"יח"</f>
        <v>יח</v>
      </c>
      <c r="P1918" s="2">
        <v>67097.600000000006</v>
      </c>
      <c r="Q1918" t="str">
        <f>"$"</f>
        <v>$</v>
      </c>
      <c r="R1918" t="str">
        <f>"הזמנה"</f>
        <v>הזמנה</v>
      </c>
      <c r="S1918">
        <v>0</v>
      </c>
      <c r="T1918" s="2">
        <v>67097.600000000006</v>
      </c>
      <c r="U1918">
        <v>0</v>
      </c>
      <c r="V1918" s="2">
        <v>67097.600000000006</v>
      </c>
      <c r="W1918" t="str">
        <f>"$"</f>
        <v>$</v>
      </c>
      <c r="X1918">
        <v>0</v>
      </c>
      <c r="Y1918">
        <v>0</v>
      </c>
      <c r="Z1918">
        <v>0</v>
      </c>
      <c r="AA1918" t="str">
        <f>"Y"</f>
        <v>Y</v>
      </c>
      <c r="AB1918" t="str">
        <f>"SO21000353"</f>
        <v>SO21000353</v>
      </c>
      <c r="AC1918">
        <v>1</v>
      </c>
      <c r="AD1918" s="1">
        <v>44410</v>
      </c>
      <c r="AM1918" t="str">
        <f>"10"</f>
        <v>10</v>
      </c>
      <c r="AN1918" t="str">
        <f>"500000"</f>
        <v>500000</v>
      </c>
      <c r="AO1918" t="str">
        <f>"הכנסות  מלקוחות"</f>
        <v>הכנסות  מלקוחות</v>
      </c>
      <c r="AQ1918" t="str">
        <f>"007"</f>
        <v>007</v>
      </c>
      <c r="AR1918">
        <v>0</v>
      </c>
      <c r="AS1918">
        <v>0</v>
      </c>
      <c r="AT1918">
        <v>3.15</v>
      </c>
      <c r="AX1918" t="str">
        <f>"E000344074"</f>
        <v>E000344074</v>
      </c>
      <c r="BD1918" t="str">
        <f>"רוני דידי"</f>
        <v>רוני דידי</v>
      </c>
    </row>
    <row r="1919" spans="1:56" x14ac:dyDescent="0.3">
      <c r="A1919" s="1">
        <v>44532</v>
      </c>
      <c r="B1919" t="str">
        <f>"SI216001713"</f>
        <v>SI216001713</v>
      </c>
      <c r="E1919" t="str">
        <f>"Y"</f>
        <v>Y</v>
      </c>
      <c r="F1919" t="str">
        <f>"חשבוניות מרכזות"</f>
        <v>חשבוניות מרכזות</v>
      </c>
      <c r="G1919" t="str">
        <f>"700065"</f>
        <v>700065</v>
      </c>
      <c r="H1919" t="str">
        <f>"אלתא מערכות בע""מ"</f>
        <v>אלתא מערכות בע"מ</v>
      </c>
      <c r="I1919" t="str">
        <f>"10"</f>
        <v>10</v>
      </c>
      <c r="J1919" t="str">
        <f>"999"</f>
        <v>999</v>
      </c>
      <c r="K1919" t="str">
        <f>"בדיקות סביבה"</f>
        <v>בדיקות סביבה</v>
      </c>
      <c r="L1919">
        <v>1</v>
      </c>
      <c r="M1919" t="str">
        <f>"חל"</f>
        <v>חל</v>
      </c>
      <c r="N1919">
        <v>1</v>
      </c>
      <c r="O1919" t="str">
        <f>"חל"</f>
        <v>חל</v>
      </c>
      <c r="P1919" s="2">
        <v>70000</v>
      </c>
      <c r="Q1919" t="str">
        <f>"$"</f>
        <v>$</v>
      </c>
      <c r="R1919" t="str">
        <f>"הזמנה"</f>
        <v>הזמנה</v>
      </c>
      <c r="S1919">
        <v>0</v>
      </c>
      <c r="T1919" s="2">
        <v>70000</v>
      </c>
      <c r="U1919">
        <v>0</v>
      </c>
      <c r="V1919" s="2">
        <v>70000</v>
      </c>
      <c r="W1919" t="str">
        <f>"$"</f>
        <v>$</v>
      </c>
      <c r="X1919">
        <v>0</v>
      </c>
      <c r="Y1919">
        <v>0</v>
      </c>
      <c r="Z1919">
        <v>0</v>
      </c>
      <c r="AA1919" t="str">
        <f>"Y"</f>
        <v>Y</v>
      </c>
      <c r="AB1919" t="str">
        <f>"SO20000418"</f>
        <v>SO20000418</v>
      </c>
      <c r="AC1919">
        <v>2</v>
      </c>
      <c r="AD1919" s="1">
        <v>44083</v>
      </c>
      <c r="AM1919" t="str">
        <f>"10"</f>
        <v>10</v>
      </c>
      <c r="AN1919" t="str">
        <f>"500000"</f>
        <v>500000</v>
      </c>
      <c r="AO1919" t="str">
        <f>"הכנסות  מלקוחות"</f>
        <v>הכנסות  מלקוחות</v>
      </c>
      <c r="AQ1919" t="str">
        <f>"034"</f>
        <v>034</v>
      </c>
      <c r="AR1919">
        <v>0</v>
      </c>
      <c r="AS1919">
        <v>0</v>
      </c>
      <c r="AT1919">
        <v>3.15</v>
      </c>
      <c r="AX1919" t="str">
        <f>"E000320964"</f>
        <v>E000320964</v>
      </c>
      <c r="BD1919" t="str">
        <f>"ערן שלו"</f>
        <v>ערן שלו</v>
      </c>
    </row>
    <row r="1920" spans="1:56" x14ac:dyDescent="0.3">
      <c r="A1920" s="1">
        <v>44530</v>
      </c>
      <c r="B1920" t="str">
        <f>"SI216001702"</f>
        <v>SI216001702</v>
      </c>
      <c r="C1920" t="str">
        <f>"PR21000284"</f>
        <v>PR21000284</v>
      </c>
      <c r="D1920" t="str">
        <f>"PR21000284"</f>
        <v>PR21000284</v>
      </c>
      <c r="E1920" t="str">
        <f>"Y"</f>
        <v>Y</v>
      </c>
      <c r="F1920" t="str">
        <f>"חשבוניות מרכזות"</f>
        <v>חשבוניות מרכזות</v>
      </c>
      <c r="G1920" t="str">
        <f>"700065"</f>
        <v>700065</v>
      </c>
      <c r="H1920" t="str">
        <f>"אלתא מערכות בע""מ"</f>
        <v>אלתא מערכות בע"מ</v>
      </c>
      <c r="I1920" t="str">
        <f>"10"</f>
        <v>10</v>
      </c>
      <c r="J1920" t="str">
        <f>"OP-AR02134"</f>
        <v>OP-AR02134</v>
      </c>
      <c r="K1920" t="str">
        <f>"RMY-01 POWER SYSTEM"</f>
        <v>RMY-01 POWER SYSTEM</v>
      </c>
      <c r="L1920">
        <v>1</v>
      </c>
      <c r="M1920" t="str">
        <f>"יח"</f>
        <v>יח</v>
      </c>
      <c r="N1920">
        <v>1</v>
      </c>
      <c r="O1920" t="str">
        <f>"יח"</f>
        <v>יח</v>
      </c>
      <c r="P1920" s="2">
        <v>17713.57</v>
      </c>
      <c r="Q1920" t="str">
        <f>"$"</f>
        <v>$</v>
      </c>
      <c r="R1920" t="str">
        <f>"הזמנה"</f>
        <v>הזמנה</v>
      </c>
      <c r="S1920">
        <v>0</v>
      </c>
      <c r="T1920" s="2">
        <v>17713.57</v>
      </c>
      <c r="U1920">
        <v>0</v>
      </c>
      <c r="V1920" s="2">
        <v>17713.57</v>
      </c>
      <c r="W1920" t="str">
        <f>"$"</f>
        <v>$</v>
      </c>
      <c r="X1920">
        <v>0</v>
      </c>
      <c r="Y1920">
        <v>0</v>
      </c>
      <c r="Z1920">
        <v>0</v>
      </c>
      <c r="AA1920" t="str">
        <f>"Y"</f>
        <v>Y</v>
      </c>
      <c r="AB1920" t="str">
        <f>"SO21000249"</f>
        <v>SO21000249</v>
      </c>
      <c r="AC1920">
        <v>1</v>
      </c>
      <c r="AD1920" s="1">
        <v>44346</v>
      </c>
      <c r="AE1920" t="str">
        <f>"SH21001969"</f>
        <v>SH21001969</v>
      </c>
      <c r="AF1920" t="str">
        <f>"משלוחים ללקוח"</f>
        <v>משלוחים ללקוח</v>
      </c>
      <c r="AG1920" s="1">
        <v>44524</v>
      </c>
      <c r="AM1920" t="str">
        <f>"10"</f>
        <v>10</v>
      </c>
      <c r="AN1920" t="str">
        <f>"500000"</f>
        <v>500000</v>
      </c>
      <c r="AO1920" t="str">
        <f>"הכנסות  מלקוחות"</f>
        <v>הכנסות  מלקוחות</v>
      </c>
      <c r="AQ1920" t="str">
        <f>"034"</f>
        <v>034</v>
      </c>
      <c r="AR1920">
        <v>0</v>
      </c>
      <c r="AS1920">
        <v>0</v>
      </c>
      <c r="AT1920">
        <v>3.1619999999999999</v>
      </c>
      <c r="AX1920" t="str">
        <f>"E000337701"</f>
        <v>E000337701</v>
      </c>
      <c r="BD1920" t="str">
        <f>"ערן שלו"</f>
        <v>ערן שלו</v>
      </c>
    </row>
    <row r="1921" spans="1:56" x14ac:dyDescent="0.3">
      <c r="A1921" s="1">
        <v>44530</v>
      </c>
      <c r="B1921" t="str">
        <f>"SI216001701"</f>
        <v>SI216001701</v>
      </c>
      <c r="C1921" t="str">
        <f>"PR21000482"</f>
        <v>PR21000482</v>
      </c>
      <c r="E1921" t="str">
        <f>"Y"</f>
        <v>Y</v>
      </c>
      <c r="F1921" t="str">
        <f>"חשבוניות מרכזות"</f>
        <v>חשבוניות מרכזות</v>
      </c>
      <c r="G1921" t="str">
        <f>"700065"</f>
        <v>700065</v>
      </c>
      <c r="H1921" t="str">
        <f>"אלתא מערכות בע""מ"</f>
        <v>אלתא מערכות בע"מ</v>
      </c>
      <c r="I1921" t="str">
        <f>"10"</f>
        <v>10</v>
      </c>
      <c r="J1921" t="str">
        <f>"OP-AR00467"</f>
        <v>OP-AR00467</v>
      </c>
      <c r="K1921" t="str">
        <f>"AC PCU CONTROL BOX"</f>
        <v>AC PCU CONTROL BOX</v>
      </c>
      <c r="L1921">
        <v>1</v>
      </c>
      <c r="M1921" t="str">
        <f>"יח"</f>
        <v>יח</v>
      </c>
      <c r="N1921">
        <v>1</v>
      </c>
      <c r="O1921" t="str">
        <f>"יח"</f>
        <v>יח</v>
      </c>
      <c r="P1921" s="2">
        <v>4250</v>
      </c>
      <c r="Q1921" t="str">
        <f>"$"</f>
        <v>$</v>
      </c>
      <c r="R1921" t="str">
        <f>"הזמנה"</f>
        <v>הזמנה</v>
      </c>
      <c r="S1921">
        <v>0</v>
      </c>
      <c r="T1921" s="2">
        <v>4250</v>
      </c>
      <c r="U1921">
        <v>0</v>
      </c>
      <c r="V1921" s="2">
        <v>4250</v>
      </c>
      <c r="W1921" t="str">
        <f>"$"</f>
        <v>$</v>
      </c>
      <c r="X1921">
        <v>0</v>
      </c>
      <c r="Y1921">
        <v>0</v>
      </c>
      <c r="Z1921">
        <v>0</v>
      </c>
      <c r="AA1921" t="str">
        <f>"Y"</f>
        <v>Y</v>
      </c>
      <c r="AB1921" t="str">
        <f>"SO21000303"</f>
        <v>SO21000303</v>
      </c>
      <c r="AC1921">
        <v>1</v>
      </c>
      <c r="AD1921" s="1">
        <v>44384</v>
      </c>
      <c r="AE1921" t="str">
        <f>"SH21001989"</f>
        <v>SH21001989</v>
      </c>
      <c r="AF1921" t="str">
        <f>"משלוחים ללקוח"</f>
        <v>משלוחים ללקוח</v>
      </c>
      <c r="AG1921" s="1">
        <v>44528</v>
      </c>
      <c r="AM1921" t="str">
        <f>"10"</f>
        <v>10</v>
      </c>
      <c r="AN1921" t="str">
        <f>"500000"</f>
        <v>500000</v>
      </c>
      <c r="AO1921" t="str">
        <f>"הכנסות  מלקוחות"</f>
        <v>הכנסות  מלקוחות</v>
      </c>
      <c r="AQ1921" t="str">
        <f>"034"</f>
        <v>034</v>
      </c>
      <c r="AR1921">
        <v>0</v>
      </c>
      <c r="AS1921">
        <v>0</v>
      </c>
      <c r="AT1921">
        <v>3.1619999999999999</v>
      </c>
      <c r="AX1921" t="str">
        <f>"E000320687"</f>
        <v>E000320687</v>
      </c>
      <c r="BD1921" t="str">
        <f>"ערן שלו"</f>
        <v>ערן שלו</v>
      </c>
    </row>
    <row r="1922" spans="1:56" x14ac:dyDescent="0.3">
      <c r="A1922" s="1">
        <v>44530</v>
      </c>
      <c r="B1922" t="str">
        <f>"SI216001700"</f>
        <v>SI216001700</v>
      </c>
      <c r="C1922" t="str">
        <f>"PR21000277"</f>
        <v>PR21000277</v>
      </c>
      <c r="E1922" t="str">
        <f>"Y"</f>
        <v>Y</v>
      </c>
      <c r="F1922" t="str">
        <f>"חשבוניות מרכזות"</f>
        <v>חשבוניות מרכזות</v>
      </c>
      <c r="G1922" t="str">
        <f>"700065"</f>
        <v>700065</v>
      </c>
      <c r="H1922" t="str">
        <f>"אלתא מערכות בע""מ"</f>
        <v>אלתא מערכות בע"מ</v>
      </c>
      <c r="I1922" t="str">
        <f>"10"</f>
        <v>10</v>
      </c>
      <c r="J1922" t="str">
        <f>"OP-AR02455"</f>
        <v>OP-AR02455</v>
      </c>
      <c r="K1922" t="str">
        <f>"1093Y438-002   HARNESS - POWER SUPPLY CONTROL TO TOP BO"</f>
        <v>1093Y438-002   HARNESS - POWER SUPPLY CONTROL TO TOP BO</v>
      </c>
      <c r="L1922">
        <v>6</v>
      </c>
      <c r="M1922" t="str">
        <f>"יח"</f>
        <v>יח</v>
      </c>
      <c r="N1922">
        <v>6</v>
      </c>
      <c r="O1922" t="str">
        <f>"יח"</f>
        <v>יח</v>
      </c>
      <c r="P1922">
        <v>212.59</v>
      </c>
      <c r="Q1922" t="str">
        <f>"$"</f>
        <v>$</v>
      </c>
      <c r="R1922" t="str">
        <f>"הזמנה"</f>
        <v>הזמנה</v>
      </c>
      <c r="S1922">
        <v>0</v>
      </c>
      <c r="T1922" s="2">
        <v>1275.54</v>
      </c>
      <c r="U1922">
        <v>0</v>
      </c>
      <c r="V1922" s="2">
        <v>1275.54</v>
      </c>
      <c r="W1922" t="str">
        <f>"$"</f>
        <v>$</v>
      </c>
      <c r="X1922">
        <v>0</v>
      </c>
      <c r="Y1922">
        <v>0</v>
      </c>
      <c r="Z1922">
        <v>0</v>
      </c>
      <c r="AA1922" t="str">
        <f>"Y"</f>
        <v>Y</v>
      </c>
      <c r="AB1922" t="str">
        <f>"SO21000174"</f>
        <v>SO21000174</v>
      </c>
      <c r="AC1922">
        <v>5</v>
      </c>
      <c r="AD1922" s="1">
        <v>44306</v>
      </c>
      <c r="AE1922" t="str">
        <f>"SH21001997"</f>
        <v>SH21001997</v>
      </c>
      <c r="AF1922" t="str">
        <f>"משלוחים ללקוח"</f>
        <v>משלוחים ללקוח</v>
      </c>
      <c r="AG1922" s="1">
        <v>44529</v>
      </c>
      <c r="AM1922" t="str">
        <f>"10"</f>
        <v>10</v>
      </c>
      <c r="AN1922" t="str">
        <f>"500000"</f>
        <v>500000</v>
      </c>
      <c r="AO1922" t="str">
        <f>"הכנסות  מלקוחות"</f>
        <v>הכנסות  מלקוחות</v>
      </c>
      <c r="AQ1922" t="str">
        <f>"040"</f>
        <v>040</v>
      </c>
      <c r="AR1922">
        <v>0</v>
      </c>
      <c r="AS1922">
        <v>0</v>
      </c>
      <c r="AT1922">
        <v>3.1619999999999999</v>
      </c>
      <c r="AX1922" t="str">
        <f>"E000336835"</f>
        <v>E000336835</v>
      </c>
      <c r="BD1922" t="str">
        <f>"רחמים זרוק"</f>
        <v>רחמים זרוק</v>
      </c>
    </row>
    <row r="1923" spans="1:56" x14ac:dyDescent="0.3">
      <c r="A1923" s="1">
        <v>44530</v>
      </c>
      <c r="B1923" t="str">
        <f>"SI216001699"</f>
        <v>SI216001699</v>
      </c>
      <c r="C1923" t="str">
        <f>"PR21000643"</f>
        <v>PR21000643</v>
      </c>
      <c r="E1923" t="str">
        <f>"Y"</f>
        <v>Y</v>
      </c>
      <c r="F1923" t="str">
        <f>"חשבוניות מרכזות"</f>
        <v>חשבוניות מרכזות</v>
      </c>
      <c r="G1923" t="str">
        <f>"700065"</f>
        <v>700065</v>
      </c>
      <c r="H1923" t="str">
        <f>"אלתא מערכות בע""מ"</f>
        <v>אלתא מערכות בע"מ</v>
      </c>
      <c r="I1923" t="str">
        <f>"10"</f>
        <v>10</v>
      </c>
      <c r="J1923" t="str">
        <f>"OP-AR02794"</f>
        <v>OP-AR02794</v>
      </c>
      <c r="K1923" t="str">
        <f>"2215B490-001   BFU-GR CABLE"</f>
        <v>2215B490-001   BFU-GR CABLE</v>
      </c>
      <c r="L1923">
        <v>1</v>
      </c>
      <c r="M1923" t="str">
        <f>"יח"</f>
        <v>יח</v>
      </c>
      <c r="N1923">
        <v>1</v>
      </c>
      <c r="O1923" t="str">
        <f>"יח"</f>
        <v>יח</v>
      </c>
      <c r="P1923">
        <v>653.03</v>
      </c>
      <c r="Q1923" t="str">
        <f>"$"</f>
        <v>$</v>
      </c>
      <c r="R1923" t="str">
        <f>"הזמנה"</f>
        <v>הזמנה</v>
      </c>
      <c r="S1923">
        <v>0</v>
      </c>
      <c r="T1923">
        <v>653.03</v>
      </c>
      <c r="U1923">
        <v>0</v>
      </c>
      <c r="V1923">
        <v>653.03</v>
      </c>
      <c r="W1923" t="str">
        <f>"$"</f>
        <v>$</v>
      </c>
      <c r="X1923">
        <v>0</v>
      </c>
      <c r="Y1923">
        <v>0</v>
      </c>
      <c r="Z1923">
        <v>0</v>
      </c>
      <c r="AA1923" t="str">
        <f>"Y"</f>
        <v>Y</v>
      </c>
      <c r="AB1923" t="str">
        <f>"SO21000406"</f>
        <v>SO21000406</v>
      </c>
      <c r="AC1923">
        <v>2</v>
      </c>
      <c r="AD1923" s="1">
        <v>44458</v>
      </c>
      <c r="AE1923" t="str">
        <f>"SH21001999"</f>
        <v>SH21001999</v>
      </c>
      <c r="AF1923" t="str">
        <f>"משלוחים ללקוח"</f>
        <v>משלוחים ללקוח</v>
      </c>
      <c r="AG1923" s="1">
        <v>44529</v>
      </c>
      <c r="AM1923" t="str">
        <f>"10"</f>
        <v>10</v>
      </c>
      <c r="AN1923" t="str">
        <f>"500000"</f>
        <v>500000</v>
      </c>
      <c r="AO1923" t="str">
        <f>"הכנסות  מלקוחות"</f>
        <v>הכנסות  מלקוחות</v>
      </c>
      <c r="AQ1923" t="str">
        <f>"040"</f>
        <v>040</v>
      </c>
      <c r="AR1923">
        <v>0</v>
      </c>
      <c r="AS1923">
        <v>0</v>
      </c>
      <c r="AT1923">
        <v>3.1619999999999999</v>
      </c>
      <c r="AX1923" t="str">
        <f>"E000345587"</f>
        <v>E000345587</v>
      </c>
      <c r="BD1923" t="str">
        <f>"רחמים זרוק"</f>
        <v>רחמים זרוק</v>
      </c>
    </row>
    <row r="1924" spans="1:56" x14ac:dyDescent="0.3">
      <c r="A1924" s="1">
        <v>44530</v>
      </c>
      <c r="B1924" t="str">
        <f>"SI216001698"</f>
        <v>SI216001698</v>
      </c>
      <c r="C1924" t="str">
        <f>"PR21000341"</f>
        <v>PR21000341</v>
      </c>
      <c r="E1924" t="str">
        <f>"Y"</f>
        <v>Y</v>
      </c>
      <c r="F1924" t="str">
        <f>"חשבוניות מרכזות"</f>
        <v>חשבוניות מרכזות</v>
      </c>
      <c r="G1924" t="str">
        <f>"700065"</f>
        <v>700065</v>
      </c>
      <c r="H1924" t="str">
        <f>"אלתא מערכות בע""מ"</f>
        <v>אלתא מערכות בע"מ</v>
      </c>
      <c r="I1924" t="str">
        <f>"10"</f>
        <v>10</v>
      </c>
      <c r="J1924" t="str">
        <f>"OP-AR02583"</f>
        <v>OP-AR02583</v>
      </c>
      <c r="K1924" t="str">
        <f>"1096B462-001  DC HARNESS FULL TK"</f>
        <v>1096B462-001  DC HARNESS FULL TK</v>
      </c>
      <c r="L1924">
        <v>8</v>
      </c>
      <c r="M1924" t="str">
        <f>"יח"</f>
        <v>יח</v>
      </c>
      <c r="N1924">
        <v>8</v>
      </c>
      <c r="O1924" t="str">
        <f>"יח"</f>
        <v>יח</v>
      </c>
      <c r="P1924" s="2">
        <v>1428.5</v>
      </c>
      <c r="Q1924" t="str">
        <f>"$"</f>
        <v>$</v>
      </c>
      <c r="R1924" t="str">
        <f>"הזמנה"</f>
        <v>הזמנה</v>
      </c>
      <c r="S1924">
        <v>0</v>
      </c>
      <c r="T1924" s="2">
        <v>11428</v>
      </c>
      <c r="U1924">
        <v>0</v>
      </c>
      <c r="V1924" s="2">
        <v>11428</v>
      </c>
      <c r="W1924" t="str">
        <f>"$"</f>
        <v>$</v>
      </c>
      <c r="X1924">
        <v>0</v>
      </c>
      <c r="Y1924">
        <v>0</v>
      </c>
      <c r="Z1924">
        <v>0</v>
      </c>
      <c r="AA1924" t="str">
        <f>"Y"</f>
        <v>Y</v>
      </c>
      <c r="AB1924" t="str">
        <f>"SO21000234"</f>
        <v>SO21000234</v>
      </c>
      <c r="AC1924">
        <v>1</v>
      </c>
      <c r="AD1924" s="1">
        <v>44341</v>
      </c>
      <c r="AE1924" t="str">
        <f>"SH21001998"</f>
        <v>SH21001998</v>
      </c>
      <c r="AF1924" t="str">
        <f>"משלוחים ללקוח"</f>
        <v>משלוחים ללקוח</v>
      </c>
      <c r="AG1924" s="1">
        <v>44529</v>
      </c>
      <c r="AM1924" t="str">
        <f>"10"</f>
        <v>10</v>
      </c>
      <c r="AN1924" t="str">
        <f>"500000"</f>
        <v>500000</v>
      </c>
      <c r="AO1924" t="str">
        <f>"הכנסות  מלקוחות"</f>
        <v>הכנסות  מלקוחות</v>
      </c>
      <c r="AQ1924" t="str">
        <f>"040"</f>
        <v>040</v>
      </c>
      <c r="AR1924">
        <v>0</v>
      </c>
      <c r="AS1924">
        <v>0</v>
      </c>
      <c r="AT1924">
        <v>3.1619999999999999</v>
      </c>
      <c r="AX1924" t="str">
        <f>"E000338888"</f>
        <v>E000338888</v>
      </c>
      <c r="BD1924" t="str">
        <f>"רחמים זרוק"</f>
        <v>רחמים זרוק</v>
      </c>
    </row>
    <row r="1925" spans="1:56" x14ac:dyDescent="0.3">
      <c r="A1925" s="1">
        <v>44530</v>
      </c>
      <c r="B1925" t="str">
        <f>"SI216001697"</f>
        <v>SI216001697</v>
      </c>
      <c r="C1925" t="str">
        <f>"PR21000250"</f>
        <v>PR21000250</v>
      </c>
      <c r="E1925" t="str">
        <f>"Y"</f>
        <v>Y</v>
      </c>
      <c r="F1925" t="str">
        <f>"חשבוניות מרכזות"</f>
        <v>חשבוניות מרכזות</v>
      </c>
      <c r="G1925" t="str">
        <f>"700065"</f>
        <v>700065</v>
      </c>
      <c r="H1925" t="str">
        <f>"אלתא מערכות בע""מ"</f>
        <v>אלתא מערכות בע"מ</v>
      </c>
      <c r="I1925" t="str">
        <f>"10"</f>
        <v>10</v>
      </c>
      <c r="J1925" t="str">
        <f>"OP-AR02451"</f>
        <v>OP-AR02451</v>
      </c>
      <c r="K1925" t="str">
        <f>"2104B684-001   CABLE ASSY PCW111"</f>
        <v>2104B684-001   CABLE ASSY PCW111</v>
      </c>
      <c r="L1925">
        <v>3</v>
      </c>
      <c r="M1925" t="str">
        <f>"יח"</f>
        <v>יח</v>
      </c>
      <c r="N1925">
        <v>3</v>
      </c>
      <c r="O1925" t="str">
        <f>"יח"</f>
        <v>יח</v>
      </c>
      <c r="P1925">
        <v>237.02</v>
      </c>
      <c r="Q1925" t="str">
        <f>"$"</f>
        <v>$</v>
      </c>
      <c r="R1925" t="str">
        <f>"הזמנה"</f>
        <v>הזמנה</v>
      </c>
      <c r="S1925">
        <v>0</v>
      </c>
      <c r="T1925">
        <v>711.06</v>
      </c>
      <c r="U1925">
        <v>0</v>
      </c>
      <c r="V1925">
        <v>711.06</v>
      </c>
      <c r="W1925" t="str">
        <f>"$"</f>
        <v>$</v>
      </c>
      <c r="X1925">
        <v>0</v>
      </c>
      <c r="Y1925">
        <v>0</v>
      </c>
      <c r="Z1925">
        <v>0</v>
      </c>
      <c r="AA1925" t="str">
        <f>"Y"</f>
        <v>Y</v>
      </c>
      <c r="AB1925" t="str">
        <f>"SO21000171"</f>
        <v>SO21000171</v>
      </c>
      <c r="AC1925">
        <v>9</v>
      </c>
      <c r="AD1925" s="1">
        <v>44304</v>
      </c>
      <c r="AE1925" t="str">
        <f>"SH21001996"</f>
        <v>SH21001996</v>
      </c>
      <c r="AF1925" t="str">
        <f>"משלוחים ללקוח"</f>
        <v>משלוחים ללקוח</v>
      </c>
      <c r="AG1925" s="1">
        <v>44529</v>
      </c>
      <c r="AM1925" t="str">
        <f>"10"</f>
        <v>10</v>
      </c>
      <c r="AN1925" t="str">
        <f>"500000"</f>
        <v>500000</v>
      </c>
      <c r="AO1925" t="str">
        <f>"הכנסות  מלקוחות"</f>
        <v>הכנסות  מלקוחות</v>
      </c>
      <c r="AQ1925" t="str">
        <f>"040"</f>
        <v>040</v>
      </c>
      <c r="AR1925">
        <v>0</v>
      </c>
      <c r="AS1925">
        <v>0</v>
      </c>
      <c r="AT1925">
        <v>3.1619999999999999</v>
      </c>
      <c r="AX1925" t="str">
        <f>"E000336785"</f>
        <v>E000336785</v>
      </c>
      <c r="BD1925" t="str">
        <f>"רחמים זרוק"</f>
        <v>רחמים זרוק</v>
      </c>
    </row>
    <row r="1926" spans="1:56" x14ac:dyDescent="0.3">
      <c r="A1926" s="1">
        <v>44525</v>
      </c>
      <c r="B1926" t="str">
        <f>"SI216001662"</f>
        <v>SI216001662</v>
      </c>
      <c r="C1926" t="str">
        <f>"PR21000754"</f>
        <v>PR21000754</v>
      </c>
      <c r="D1926" t="str">
        <f>"PR21000754"</f>
        <v>PR21000754</v>
      </c>
      <c r="E1926" t="str">
        <f>"Y"</f>
        <v>Y</v>
      </c>
      <c r="F1926" t="str">
        <f>"חשבוניות מרכזות"</f>
        <v>חשבוניות מרכזות</v>
      </c>
      <c r="G1926" t="str">
        <f>"700065"</f>
        <v>700065</v>
      </c>
      <c r="H1926" t="str">
        <f>"אלתא מערכות בע""מ"</f>
        <v>אלתא מערכות בע"מ</v>
      </c>
      <c r="I1926" t="str">
        <f>"10"</f>
        <v>10</v>
      </c>
      <c r="J1926" t="str">
        <f>"OP-KT00117"</f>
        <v>OP-KT00117</v>
      </c>
      <c r="K1926" t="str">
        <f>"1038C865-001 - SPARE PARTS KIT FOR PDB1 MADR"</f>
        <v>1038C865-001 - SPARE PARTS KIT FOR PDB1 MADR</v>
      </c>
      <c r="L1926">
        <v>1</v>
      </c>
      <c r="M1926" t="str">
        <f>"יח"</f>
        <v>יח</v>
      </c>
      <c r="N1926">
        <v>1</v>
      </c>
      <c r="O1926" t="str">
        <f>"יח"</f>
        <v>יח</v>
      </c>
      <c r="P1926" s="2">
        <v>4277</v>
      </c>
      <c r="Q1926" t="str">
        <f>"$"</f>
        <v>$</v>
      </c>
      <c r="R1926" t="str">
        <f>"הזמנה"</f>
        <v>הזמנה</v>
      </c>
      <c r="S1926">
        <v>0</v>
      </c>
      <c r="T1926" s="2">
        <v>4277</v>
      </c>
      <c r="U1926">
        <v>0</v>
      </c>
      <c r="V1926" s="2">
        <v>4277</v>
      </c>
      <c r="W1926" t="str">
        <f>"$"</f>
        <v>$</v>
      </c>
      <c r="X1926">
        <v>0</v>
      </c>
      <c r="Y1926">
        <v>0</v>
      </c>
      <c r="Z1926">
        <v>0</v>
      </c>
      <c r="AA1926" t="str">
        <f>"Y"</f>
        <v>Y</v>
      </c>
      <c r="AB1926" t="str">
        <f>"SO21000454"</f>
        <v>SO21000454</v>
      </c>
      <c r="AC1926">
        <v>1</v>
      </c>
      <c r="AD1926" s="1">
        <v>44501</v>
      </c>
      <c r="AE1926" t="str">
        <f>"SH21001971"</f>
        <v>SH21001971</v>
      </c>
      <c r="AF1926" t="str">
        <f>"משלוחים ללקוח"</f>
        <v>משלוחים ללקוח</v>
      </c>
      <c r="AG1926" s="1">
        <v>44524</v>
      </c>
      <c r="AM1926" t="str">
        <f>"10"</f>
        <v>10</v>
      </c>
      <c r="AN1926" t="str">
        <f>"500000"</f>
        <v>500000</v>
      </c>
      <c r="AO1926" t="str">
        <f>"הכנסות  מלקוחות"</f>
        <v>הכנסות  מלקוחות</v>
      </c>
      <c r="AQ1926" t="str">
        <f>"034"</f>
        <v>034</v>
      </c>
      <c r="AR1926">
        <v>0</v>
      </c>
      <c r="AS1926">
        <v>0</v>
      </c>
      <c r="AT1926">
        <v>3.1680000000000001</v>
      </c>
      <c r="AX1926" t="str">
        <f>"E000348420"</f>
        <v>E000348420</v>
      </c>
      <c r="BD1926" t="str">
        <f>"ערן שלו"</f>
        <v>ערן שלו</v>
      </c>
    </row>
    <row r="1927" spans="1:56" x14ac:dyDescent="0.3">
      <c r="A1927" s="1">
        <v>44525</v>
      </c>
      <c r="B1927" t="str">
        <f>"SI216001662"</f>
        <v>SI216001662</v>
      </c>
      <c r="C1927" t="str">
        <f>"PR21000754"</f>
        <v>PR21000754</v>
      </c>
      <c r="D1927" t="str">
        <f>"PR21000754"</f>
        <v>PR21000754</v>
      </c>
      <c r="E1927" t="str">
        <f>"Y"</f>
        <v>Y</v>
      </c>
      <c r="F1927" t="str">
        <f>"חשבוניות מרכזות"</f>
        <v>חשבוניות מרכזות</v>
      </c>
      <c r="G1927" t="str">
        <f>"700065"</f>
        <v>700065</v>
      </c>
      <c r="H1927" t="str">
        <f>"אלתא מערכות בע""מ"</f>
        <v>אלתא מערכות בע"מ</v>
      </c>
      <c r="I1927" t="str">
        <f>"10"</f>
        <v>10</v>
      </c>
      <c r="J1927" t="str">
        <f>"OP-KR00002"</f>
        <v>OP-KR00002</v>
      </c>
      <c r="K1927" t="str">
        <f>"1038C875-001 - SPARE PARTS KIT FOR PDB2 MADR"</f>
        <v>1038C875-001 - SPARE PARTS KIT FOR PDB2 MADR</v>
      </c>
      <c r="L1927">
        <v>2</v>
      </c>
      <c r="M1927" t="str">
        <f>"יח"</f>
        <v>יח</v>
      </c>
      <c r="N1927">
        <v>2</v>
      </c>
      <c r="O1927" t="str">
        <f>"יח"</f>
        <v>יח</v>
      </c>
      <c r="P1927">
        <v>867.13</v>
      </c>
      <c r="Q1927" t="str">
        <f>"$"</f>
        <v>$</v>
      </c>
      <c r="R1927" t="str">
        <f>"הזמנה"</f>
        <v>הזמנה</v>
      </c>
      <c r="S1927">
        <v>0</v>
      </c>
      <c r="T1927" s="2">
        <v>1734.26</v>
      </c>
      <c r="U1927">
        <v>0</v>
      </c>
      <c r="V1927" s="2">
        <v>1734.26</v>
      </c>
      <c r="W1927" t="str">
        <f>"$"</f>
        <v>$</v>
      </c>
      <c r="X1927">
        <v>0</v>
      </c>
      <c r="Y1927">
        <v>0</v>
      </c>
      <c r="Z1927">
        <v>0</v>
      </c>
      <c r="AA1927" t="str">
        <f>"Y"</f>
        <v>Y</v>
      </c>
      <c r="AB1927" t="str">
        <f>"SO21000454"</f>
        <v>SO21000454</v>
      </c>
      <c r="AC1927">
        <v>2</v>
      </c>
      <c r="AD1927" s="1">
        <v>44501</v>
      </c>
      <c r="AE1927" t="str">
        <f>"SH21001971"</f>
        <v>SH21001971</v>
      </c>
      <c r="AF1927" t="str">
        <f>"משלוחים ללקוח"</f>
        <v>משלוחים ללקוח</v>
      </c>
      <c r="AG1927" s="1">
        <v>44524</v>
      </c>
      <c r="AM1927" t="str">
        <f>"10"</f>
        <v>10</v>
      </c>
      <c r="AN1927" t="str">
        <f>"500000"</f>
        <v>500000</v>
      </c>
      <c r="AO1927" t="str">
        <f>"הכנסות  מלקוחות"</f>
        <v>הכנסות  מלקוחות</v>
      </c>
      <c r="AQ1927" t="str">
        <f>"034"</f>
        <v>034</v>
      </c>
      <c r="AR1927">
        <v>0</v>
      </c>
      <c r="AS1927">
        <v>0</v>
      </c>
      <c r="AT1927">
        <v>3.1680000000000001</v>
      </c>
      <c r="AX1927" t="str">
        <f>"E000348420"</f>
        <v>E000348420</v>
      </c>
      <c r="BD1927" t="str">
        <f>"ערן שלו"</f>
        <v>ערן שלו</v>
      </c>
    </row>
    <row r="1928" spans="1:56" x14ac:dyDescent="0.3">
      <c r="A1928" s="1">
        <v>44525</v>
      </c>
      <c r="B1928" t="str">
        <f>"SI216001662"</f>
        <v>SI216001662</v>
      </c>
      <c r="C1928" t="str">
        <f>"PR21000754"</f>
        <v>PR21000754</v>
      </c>
      <c r="D1928" t="str">
        <f>"PR21000754"</f>
        <v>PR21000754</v>
      </c>
      <c r="E1928" t="str">
        <f>"Y"</f>
        <v>Y</v>
      </c>
      <c r="F1928" t="str">
        <f>"חשבוניות מרכזות"</f>
        <v>חשבוניות מרכזות</v>
      </c>
      <c r="G1928" t="str">
        <f>"700065"</f>
        <v>700065</v>
      </c>
      <c r="H1928" t="str">
        <f>"אלתא מערכות בע""מ"</f>
        <v>אלתא מערכות בע"מ</v>
      </c>
      <c r="I1928" t="str">
        <f>"10"</f>
        <v>10</v>
      </c>
      <c r="J1928" t="str">
        <f>"OP-KT00118"</f>
        <v>OP-KT00118</v>
      </c>
      <c r="K1928" t="str">
        <f>"1038C908-001 - SPARE PARTS KIT FOR DIESEL GENERATOR-RPU"</f>
        <v>1038C908-001 - SPARE PARTS KIT FOR DIESEL GENERATOR-RPU</v>
      </c>
      <c r="L1928">
        <v>1</v>
      </c>
      <c r="M1928" t="str">
        <f>"יח"</f>
        <v>יח</v>
      </c>
      <c r="N1928">
        <v>1</v>
      </c>
      <c r="O1928" t="str">
        <f>"יח"</f>
        <v>יח</v>
      </c>
      <c r="P1928" s="2">
        <v>3599.26</v>
      </c>
      <c r="Q1928" t="str">
        <f>"$"</f>
        <v>$</v>
      </c>
      <c r="R1928" t="str">
        <f>"הזמנה"</f>
        <v>הזמנה</v>
      </c>
      <c r="S1928">
        <v>0</v>
      </c>
      <c r="T1928" s="2">
        <v>3599.26</v>
      </c>
      <c r="U1928">
        <v>0</v>
      </c>
      <c r="V1928" s="2">
        <v>3599.26</v>
      </c>
      <c r="W1928" t="str">
        <f>"$"</f>
        <v>$</v>
      </c>
      <c r="X1928">
        <v>0</v>
      </c>
      <c r="Y1928">
        <v>0</v>
      </c>
      <c r="Z1928">
        <v>0</v>
      </c>
      <c r="AA1928" t="str">
        <f>"Y"</f>
        <v>Y</v>
      </c>
      <c r="AB1928" t="str">
        <f>"SO21000454"</f>
        <v>SO21000454</v>
      </c>
      <c r="AC1928">
        <v>3</v>
      </c>
      <c r="AD1928" s="1">
        <v>44501</v>
      </c>
      <c r="AE1928" t="str">
        <f>"SH21001971"</f>
        <v>SH21001971</v>
      </c>
      <c r="AF1928" t="str">
        <f>"משלוחים ללקוח"</f>
        <v>משלוחים ללקוח</v>
      </c>
      <c r="AG1928" s="1">
        <v>44524</v>
      </c>
      <c r="AM1928" t="str">
        <f>"10"</f>
        <v>10</v>
      </c>
      <c r="AN1928" t="str">
        <f>"500000"</f>
        <v>500000</v>
      </c>
      <c r="AO1928" t="str">
        <f>"הכנסות  מלקוחות"</f>
        <v>הכנסות  מלקוחות</v>
      </c>
      <c r="AQ1928" t="str">
        <f>"034"</f>
        <v>034</v>
      </c>
      <c r="AR1928">
        <v>0</v>
      </c>
      <c r="AS1928">
        <v>0</v>
      </c>
      <c r="AT1928">
        <v>3.1680000000000001</v>
      </c>
      <c r="AX1928" t="str">
        <f>"E000348420"</f>
        <v>E000348420</v>
      </c>
      <c r="BD1928" t="str">
        <f>"ערן שלו"</f>
        <v>ערן שלו</v>
      </c>
    </row>
    <row r="1929" spans="1:56" x14ac:dyDescent="0.3">
      <c r="A1929" s="1">
        <v>44525</v>
      </c>
      <c r="B1929" t="str">
        <f>"SI216001662"</f>
        <v>SI216001662</v>
      </c>
      <c r="C1929" t="str">
        <f>"PR21000754"</f>
        <v>PR21000754</v>
      </c>
      <c r="D1929" t="str">
        <f>"PR21000754"</f>
        <v>PR21000754</v>
      </c>
      <c r="E1929" t="str">
        <f>"Y"</f>
        <v>Y</v>
      </c>
      <c r="F1929" t="str">
        <f>"חשבוניות מרכזות"</f>
        <v>חשבוניות מרכזות</v>
      </c>
      <c r="G1929" t="str">
        <f>"700065"</f>
        <v>700065</v>
      </c>
      <c r="H1929" t="str">
        <f>"אלתא מערכות בע""מ"</f>
        <v>אלתא מערכות בע"מ</v>
      </c>
      <c r="I1929" t="str">
        <f>"10"</f>
        <v>10</v>
      </c>
      <c r="J1929" t="str">
        <f>"OP-KT00119"</f>
        <v>OP-KT00119</v>
      </c>
      <c r="K1929" t="str">
        <f>"1038C878-001 - SPARE PARTS KIT FOR RECTIFIER RACK"</f>
        <v>1038C878-001 - SPARE PARTS KIT FOR RECTIFIER RACK</v>
      </c>
      <c r="L1929">
        <v>1</v>
      </c>
      <c r="M1929" t="str">
        <f>"יח"</f>
        <v>יח</v>
      </c>
      <c r="N1929">
        <v>1</v>
      </c>
      <c r="O1929" t="str">
        <f>"יח"</f>
        <v>יח</v>
      </c>
      <c r="P1929" s="2">
        <v>7541.71</v>
      </c>
      <c r="Q1929" t="str">
        <f>"$"</f>
        <v>$</v>
      </c>
      <c r="R1929" t="str">
        <f>"הזמנה"</f>
        <v>הזמנה</v>
      </c>
      <c r="S1929">
        <v>0</v>
      </c>
      <c r="T1929" s="2">
        <v>7541.71</v>
      </c>
      <c r="U1929">
        <v>0</v>
      </c>
      <c r="V1929" s="2">
        <v>7541.71</v>
      </c>
      <c r="W1929" t="str">
        <f>"$"</f>
        <v>$</v>
      </c>
      <c r="X1929">
        <v>0</v>
      </c>
      <c r="Y1929">
        <v>0</v>
      </c>
      <c r="Z1929">
        <v>0</v>
      </c>
      <c r="AA1929" t="str">
        <f>"Y"</f>
        <v>Y</v>
      </c>
      <c r="AB1929" t="str">
        <f>"SO21000454"</f>
        <v>SO21000454</v>
      </c>
      <c r="AC1929">
        <v>4</v>
      </c>
      <c r="AD1929" s="1">
        <v>44501</v>
      </c>
      <c r="AE1929" t="str">
        <f>"SH21001971"</f>
        <v>SH21001971</v>
      </c>
      <c r="AF1929" t="str">
        <f>"משלוחים ללקוח"</f>
        <v>משלוחים ללקוח</v>
      </c>
      <c r="AG1929" s="1">
        <v>44524</v>
      </c>
      <c r="AM1929" t="str">
        <f>"10"</f>
        <v>10</v>
      </c>
      <c r="AN1929" t="str">
        <f>"500000"</f>
        <v>500000</v>
      </c>
      <c r="AO1929" t="str">
        <f>"הכנסות  מלקוחות"</f>
        <v>הכנסות  מלקוחות</v>
      </c>
      <c r="AQ1929" t="str">
        <f>"034"</f>
        <v>034</v>
      </c>
      <c r="AR1929">
        <v>0</v>
      </c>
      <c r="AS1929">
        <v>0</v>
      </c>
      <c r="AT1929">
        <v>3.1680000000000001</v>
      </c>
      <c r="AX1929" t="str">
        <f>"E000348420"</f>
        <v>E000348420</v>
      </c>
      <c r="BD1929" t="str">
        <f>"ערן שלו"</f>
        <v>ערן שלו</v>
      </c>
    </row>
    <row r="1930" spans="1:56" x14ac:dyDescent="0.3">
      <c r="A1930" s="1">
        <v>44525</v>
      </c>
      <c r="B1930" t="str">
        <f>"SI216001661"</f>
        <v>SI216001661</v>
      </c>
      <c r="C1930" t="str">
        <f>"PR21000562"</f>
        <v>PR21000562</v>
      </c>
      <c r="D1930" t="str">
        <f>"PR21000562"</f>
        <v>PR21000562</v>
      </c>
      <c r="E1930" t="str">
        <f>"Y"</f>
        <v>Y</v>
      </c>
      <c r="F1930" t="str">
        <f>"חשבוניות מרכזות"</f>
        <v>חשבוניות מרכזות</v>
      </c>
      <c r="G1930" t="str">
        <f>"700065"</f>
        <v>700065</v>
      </c>
      <c r="H1930" t="str">
        <f>"אלתא מערכות בע""מ"</f>
        <v>אלתא מערכות בע"מ</v>
      </c>
      <c r="I1930" t="str">
        <f>"10"</f>
        <v>10</v>
      </c>
      <c r="J1930" t="str">
        <f>"OP-AR02689"</f>
        <v>OP-AR02689</v>
      </c>
      <c r="K1930" t="str">
        <f>"1038C357-001    HARNESS WA357 - OBSTACLE LIGHT - POWER"</f>
        <v>1038C357-001    HARNESS WA357 - OBSTACLE LIGHT - POWER</v>
      </c>
      <c r="L1930">
        <v>8</v>
      </c>
      <c r="M1930" t="str">
        <f>"יח"</f>
        <v>יח</v>
      </c>
      <c r="N1930">
        <v>8</v>
      </c>
      <c r="O1930" t="str">
        <f>"יח"</f>
        <v>יח</v>
      </c>
      <c r="P1930">
        <v>113.7</v>
      </c>
      <c r="Q1930" t="str">
        <f>"$"</f>
        <v>$</v>
      </c>
      <c r="R1930" t="str">
        <f>"הזמנה"</f>
        <v>הזמנה</v>
      </c>
      <c r="S1930">
        <v>0</v>
      </c>
      <c r="T1930">
        <v>909.6</v>
      </c>
      <c r="U1930">
        <v>0</v>
      </c>
      <c r="V1930">
        <v>909.6</v>
      </c>
      <c r="W1930" t="str">
        <f>"$"</f>
        <v>$</v>
      </c>
      <c r="X1930">
        <v>0</v>
      </c>
      <c r="Y1930">
        <v>0</v>
      </c>
      <c r="Z1930">
        <v>0</v>
      </c>
      <c r="AA1930" t="str">
        <f>"Y"</f>
        <v>Y</v>
      </c>
      <c r="AB1930" t="str">
        <f>"SO21000361"</f>
        <v>SO21000361</v>
      </c>
      <c r="AC1930">
        <v>7</v>
      </c>
      <c r="AD1930" s="1">
        <v>44413</v>
      </c>
      <c r="AE1930" t="str">
        <f>"SH21001978"</f>
        <v>SH21001978</v>
      </c>
      <c r="AF1930" t="str">
        <f>"משלוחים ללקוח"</f>
        <v>משלוחים ללקוח</v>
      </c>
      <c r="AG1930" s="1">
        <v>44525</v>
      </c>
      <c r="AM1930" t="str">
        <f>"10"</f>
        <v>10</v>
      </c>
      <c r="AN1930" t="str">
        <f>"500000"</f>
        <v>500000</v>
      </c>
      <c r="AO1930" t="str">
        <f>"הכנסות  מלקוחות"</f>
        <v>הכנסות  מלקוחות</v>
      </c>
      <c r="AQ1930" t="str">
        <f>"040"</f>
        <v>040</v>
      </c>
      <c r="AR1930">
        <v>0</v>
      </c>
      <c r="AS1930">
        <v>0</v>
      </c>
      <c r="AT1930">
        <v>3.1680000000000001</v>
      </c>
      <c r="AX1930" t="str">
        <f>"E000344376"</f>
        <v>E000344376</v>
      </c>
      <c r="BD1930" t="str">
        <f>"רחמים זרוק"</f>
        <v>רחמים זרוק</v>
      </c>
    </row>
    <row r="1931" spans="1:56" x14ac:dyDescent="0.3">
      <c r="A1931" s="1">
        <v>44525</v>
      </c>
      <c r="B1931" t="str">
        <f>"SI216001661"</f>
        <v>SI216001661</v>
      </c>
      <c r="C1931" t="str">
        <f>"PR21000562"</f>
        <v>PR21000562</v>
      </c>
      <c r="D1931" t="str">
        <f>"PR21000562"</f>
        <v>PR21000562</v>
      </c>
      <c r="E1931" t="str">
        <f>"Y"</f>
        <v>Y</v>
      </c>
      <c r="F1931" t="str">
        <f>"חשבוניות מרכזות"</f>
        <v>חשבוניות מרכזות</v>
      </c>
      <c r="G1931" t="str">
        <f>"700065"</f>
        <v>700065</v>
      </c>
      <c r="H1931" t="str">
        <f>"אלתא מערכות בע""מ"</f>
        <v>אלתא מערכות בע"מ</v>
      </c>
      <c r="I1931" t="str">
        <f>"10"</f>
        <v>10</v>
      </c>
      <c r="J1931" t="str">
        <f>"OP-AR02689"</f>
        <v>OP-AR02689</v>
      </c>
      <c r="K1931" t="str">
        <f>"1038C357-001    HARNESS WA357 - OBSTACLE LIGHT - POWER"</f>
        <v>1038C357-001    HARNESS WA357 - OBSTACLE LIGHT - POWER</v>
      </c>
      <c r="L1931">
        <v>3</v>
      </c>
      <c r="M1931" t="str">
        <f>"יח"</f>
        <v>יח</v>
      </c>
      <c r="N1931">
        <v>3</v>
      </c>
      <c r="O1931" t="str">
        <f>"יח"</f>
        <v>יח</v>
      </c>
      <c r="P1931">
        <v>113.7</v>
      </c>
      <c r="Q1931" t="str">
        <f>"$"</f>
        <v>$</v>
      </c>
      <c r="R1931" t="str">
        <f>"הזמנה"</f>
        <v>הזמנה</v>
      </c>
      <c r="S1931">
        <v>0</v>
      </c>
      <c r="T1931">
        <v>341.1</v>
      </c>
      <c r="U1931">
        <v>0</v>
      </c>
      <c r="V1931">
        <v>341.1</v>
      </c>
      <c r="W1931" t="str">
        <f>"$"</f>
        <v>$</v>
      </c>
      <c r="X1931">
        <v>0</v>
      </c>
      <c r="Y1931">
        <v>0</v>
      </c>
      <c r="Z1931">
        <v>0</v>
      </c>
      <c r="AA1931" t="str">
        <f>"Y"</f>
        <v>Y</v>
      </c>
      <c r="AB1931" t="str">
        <f>"SO21000361"</f>
        <v>SO21000361</v>
      </c>
      <c r="AC1931">
        <v>8</v>
      </c>
      <c r="AD1931" s="1">
        <v>44413</v>
      </c>
      <c r="AE1931" t="str">
        <f>"SH21001978"</f>
        <v>SH21001978</v>
      </c>
      <c r="AF1931" t="str">
        <f>"משלוחים ללקוח"</f>
        <v>משלוחים ללקוח</v>
      </c>
      <c r="AG1931" s="1">
        <v>44525</v>
      </c>
      <c r="AM1931" t="str">
        <f>"10"</f>
        <v>10</v>
      </c>
      <c r="AN1931" t="str">
        <f>"500000"</f>
        <v>500000</v>
      </c>
      <c r="AO1931" t="str">
        <f>"הכנסות  מלקוחות"</f>
        <v>הכנסות  מלקוחות</v>
      </c>
      <c r="AQ1931" t="str">
        <f>"040"</f>
        <v>040</v>
      </c>
      <c r="AR1931">
        <v>0</v>
      </c>
      <c r="AS1931">
        <v>0</v>
      </c>
      <c r="AT1931">
        <v>3.1680000000000001</v>
      </c>
      <c r="AX1931" t="str">
        <f>"E000344376"</f>
        <v>E000344376</v>
      </c>
      <c r="BD1931" t="str">
        <f>"רחמים זרוק"</f>
        <v>רחמים זרוק</v>
      </c>
    </row>
    <row r="1932" spans="1:56" x14ac:dyDescent="0.3">
      <c r="A1932" s="1">
        <v>44525</v>
      </c>
      <c r="B1932" t="str">
        <f>"SI216001660"</f>
        <v>SI216001660</v>
      </c>
      <c r="C1932" t="str">
        <f>"PR21000685"</f>
        <v>PR21000685</v>
      </c>
      <c r="E1932" t="str">
        <f>"Y"</f>
        <v>Y</v>
      </c>
      <c r="F1932" t="str">
        <f>"חשבוניות מרכזות"</f>
        <v>חשבוניות מרכזות</v>
      </c>
      <c r="G1932" t="str">
        <f>"700065"</f>
        <v>700065</v>
      </c>
      <c r="H1932" t="str">
        <f>"אלתא מערכות בע""מ"</f>
        <v>אלתא מערכות בע"מ</v>
      </c>
      <c r="I1932" t="str">
        <f>"10"</f>
        <v>10</v>
      </c>
      <c r="J1932" t="str">
        <f>"OP-AR02809"</f>
        <v>OP-AR02809</v>
      </c>
      <c r="K1932" t="str">
        <f>"1039F055-001   HARNESS WF055 - RTS POWER CABLE 12VDC"</f>
        <v>1039F055-001   HARNESS WF055 - RTS POWER CABLE 12VDC</v>
      </c>
      <c r="L1932">
        <v>5</v>
      </c>
      <c r="M1932" t="str">
        <f>"יח"</f>
        <v>יח</v>
      </c>
      <c r="N1932">
        <v>5</v>
      </c>
      <c r="O1932" t="str">
        <f>"יח"</f>
        <v>יח</v>
      </c>
      <c r="P1932">
        <v>97.36</v>
      </c>
      <c r="Q1932" t="str">
        <f>"$"</f>
        <v>$</v>
      </c>
      <c r="R1932" t="str">
        <f>"הזמנה"</f>
        <v>הזמנה</v>
      </c>
      <c r="S1932">
        <v>0</v>
      </c>
      <c r="T1932">
        <v>486.8</v>
      </c>
      <c r="U1932">
        <v>0</v>
      </c>
      <c r="V1932">
        <v>486.8</v>
      </c>
      <c r="W1932" t="str">
        <f>"$"</f>
        <v>$</v>
      </c>
      <c r="X1932">
        <v>0</v>
      </c>
      <c r="Y1932">
        <v>0</v>
      </c>
      <c r="Z1932">
        <v>0</v>
      </c>
      <c r="AA1932" t="str">
        <f>"Y"</f>
        <v>Y</v>
      </c>
      <c r="AB1932" t="str">
        <f>"SO21000435"</f>
        <v>SO21000435</v>
      </c>
      <c r="AC1932">
        <v>1</v>
      </c>
      <c r="AD1932" s="1">
        <v>44486</v>
      </c>
      <c r="AE1932" t="str">
        <f>"SH21001979"</f>
        <v>SH21001979</v>
      </c>
      <c r="AF1932" t="str">
        <f>"משלוחים ללקוח"</f>
        <v>משלוחים ללקוח</v>
      </c>
      <c r="AG1932" s="1">
        <v>44525</v>
      </c>
      <c r="AM1932" t="str">
        <f>"10"</f>
        <v>10</v>
      </c>
      <c r="AN1932" t="str">
        <f>"500000"</f>
        <v>500000</v>
      </c>
      <c r="AO1932" t="str">
        <f>"הכנסות  מלקוחות"</f>
        <v>הכנסות  מלקוחות</v>
      </c>
      <c r="AQ1932" t="str">
        <f>"040"</f>
        <v>040</v>
      </c>
      <c r="AR1932">
        <v>0</v>
      </c>
      <c r="AS1932">
        <v>0</v>
      </c>
      <c r="AT1932">
        <v>3.1680000000000001</v>
      </c>
      <c r="AX1932" t="str">
        <f>"E000347054"</f>
        <v>E000347054</v>
      </c>
      <c r="BD1932" t="str">
        <f>"רחמים זרוק"</f>
        <v>רחמים זרוק</v>
      </c>
    </row>
    <row r="1933" spans="1:56" x14ac:dyDescent="0.3">
      <c r="A1933" s="1">
        <v>44525</v>
      </c>
      <c r="B1933" t="str">
        <f>"SI216001659"</f>
        <v>SI216001659</v>
      </c>
      <c r="C1933" t="str">
        <f>"PR21000281"</f>
        <v>PR21000281</v>
      </c>
      <c r="D1933" t="str">
        <f>"PR21000281"</f>
        <v>PR21000281</v>
      </c>
      <c r="E1933" t="str">
        <f>"Y"</f>
        <v>Y</v>
      </c>
      <c r="F1933" t="str">
        <f>"חשבוניות מרכזות"</f>
        <v>חשבוניות מרכזות</v>
      </c>
      <c r="G1933" t="str">
        <f>"700065"</f>
        <v>700065</v>
      </c>
      <c r="H1933" t="str">
        <f>"אלתא מערכות בע""מ"</f>
        <v>אלתא מערכות בע"מ</v>
      </c>
      <c r="I1933" t="str">
        <f>"10"</f>
        <v>10</v>
      </c>
      <c r="J1933" t="str">
        <f>"OP-AR02531"</f>
        <v>OP-AR02531</v>
      </c>
      <c r="K1933" t="str">
        <f>"מערכת כוח 1036R619-001"</f>
        <v>מערכת כוח 1036R619-001</v>
      </c>
      <c r="L1933">
        <v>1</v>
      </c>
      <c r="M1933" t="str">
        <f>"יח"</f>
        <v>יח</v>
      </c>
      <c r="N1933">
        <v>1</v>
      </c>
      <c r="O1933" t="str">
        <f>"יח"</f>
        <v>יח</v>
      </c>
      <c r="P1933" s="2">
        <v>20612</v>
      </c>
      <c r="Q1933" t="str">
        <f>"$"</f>
        <v>$</v>
      </c>
      <c r="R1933" t="str">
        <f>"הזמנה"</f>
        <v>הזמנה</v>
      </c>
      <c r="S1933">
        <v>0</v>
      </c>
      <c r="T1933" s="2">
        <v>20612</v>
      </c>
      <c r="U1933">
        <v>0</v>
      </c>
      <c r="V1933" s="2">
        <v>20612</v>
      </c>
      <c r="W1933" t="str">
        <f>"$"</f>
        <v>$</v>
      </c>
      <c r="X1933">
        <v>0</v>
      </c>
      <c r="Y1933">
        <v>0</v>
      </c>
      <c r="Z1933">
        <v>0</v>
      </c>
      <c r="AA1933" t="str">
        <f>"Y"</f>
        <v>Y</v>
      </c>
      <c r="AB1933" t="str">
        <f>"SO21000205"</f>
        <v>SO21000205</v>
      </c>
      <c r="AC1933">
        <v>1</v>
      </c>
      <c r="AD1933" s="1">
        <v>44318</v>
      </c>
      <c r="AE1933" t="str">
        <f>"SH21001970"</f>
        <v>SH21001970</v>
      </c>
      <c r="AF1933" t="str">
        <f>"משלוחים ללקוח"</f>
        <v>משלוחים ללקוח</v>
      </c>
      <c r="AG1933" s="1">
        <v>44524</v>
      </c>
      <c r="AM1933" t="str">
        <f>"10"</f>
        <v>10</v>
      </c>
      <c r="AN1933" t="str">
        <f>"500000"</f>
        <v>500000</v>
      </c>
      <c r="AO1933" t="str">
        <f>"הכנסות  מלקוחות"</f>
        <v>הכנסות  מלקוחות</v>
      </c>
      <c r="AQ1933" t="str">
        <f>"034"</f>
        <v>034</v>
      </c>
      <c r="AR1933">
        <v>0</v>
      </c>
      <c r="AS1933">
        <v>0</v>
      </c>
      <c r="AT1933">
        <v>3.1680000000000001</v>
      </c>
      <c r="AX1933" t="str">
        <f>"E000337579"</f>
        <v>E000337579</v>
      </c>
      <c r="BD1933" t="str">
        <f>"ערן שלו"</f>
        <v>ערן שלו</v>
      </c>
    </row>
    <row r="1934" spans="1:56" x14ac:dyDescent="0.3">
      <c r="A1934" s="1">
        <v>44525</v>
      </c>
      <c r="B1934" t="str">
        <f>"SI216001658"</f>
        <v>SI216001658</v>
      </c>
      <c r="C1934" t="str">
        <f>"PR21000342"</f>
        <v>PR21000342</v>
      </c>
      <c r="D1934" t="str">
        <f>"PR21000342"</f>
        <v>PR21000342</v>
      </c>
      <c r="E1934" t="str">
        <f>"Y"</f>
        <v>Y</v>
      </c>
      <c r="F1934" t="str">
        <f>"חשבוניות מרכזות"</f>
        <v>חשבוניות מרכזות</v>
      </c>
      <c r="G1934" t="str">
        <f>"700065"</f>
        <v>700065</v>
      </c>
      <c r="H1934" t="str">
        <f>"אלתא מערכות בע""מ"</f>
        <v>אלתא מערכות בע"מ</v>
      </c>
      <c r="I1934" t="str">
        <f>"10"</f>
        <v>10</v>
      </c>
      <c r="J1934" t="str">
        <f>"OP-AR02585"</f>
        <v>OP-AR02585</v>
      </c>
      <c r="K1934" t="str">
        <f>"1001K760-001   IMPROVED FCR CAMERA WIRING"</f>
        <v>1001K760-001   IMPROVED FCR CAMERA WIRING</v>
      </c>
      <c r="L1934">
        <v>1</v>
      </c>
      <c r="M1934" t="str">
        <f>"יח"</f>
        <v>יח</v>
      </c>
      <c r="N1934">
        <v>1</v>
      </c>
      <c r="O1934" t="str">
        <f>"יח"</f>
        <v>יח</v>
      </c>
      <c r="P1934">
        <v>605.58000000000004</v>
      </c>
      <c r="Q1934" t="str">
        <f>"$"</f>
        <v>$</v>
      </c>
      <c r="R1934" t="str">
        <f>"הזמנה"</f>
        <v>הזמנה</v>
      </c>
      <c r="S1934">
        <v>0</v>
      </c>
      <c r="T1934">
        <v>605.58000000000004</v>
      </c>
      <c r="U1934">
        <v>0</v>
      </c>
      <c r="V1934">
        <v>605.58000000000004</v>
      </c>
      <c r="W1934" t="str">
        <f>"$"</f>
        <v>$</v>
      </c>
      <c r="X1934">
        <v>0</v>
      </c>
      <c r="Y1934">
        <v>0</v>
      </c>
      <c r="Z1934">
        <v>0</v>
      </c>
      <c r="AA1934" t="str">
        <f>"Y"</f>
        <v>Y</v>
      </c>
      <c r="AB1934" t="str">
        <f>"SO21000236"</f>
        <v>SO21000236</v>
      </c>
      <c r="AC1934">
        <v>1</v>
      </c>
      <c r="AD1934" s="1">
        <v>44341</v>
      </c>
      <c r="AE1934" t="str">
        <f>"SH21001977"</f>
        <v>SH21001977</v>
      </c>
      <c r="AF1934" t="str">
        <f>"משלוחים ללקוח"</f>
        <v>משלוחים ללקוח</v>
      </c>
      <c r="AG1934" s="1">
        <v>44525</v>
      </c>
      <c r="AM1934" t="str">
        <f>"10"</f>
        <v>10</v>
      </c>
      <c r="AN1934" t="str">
        <f>"500000"</f>
        <v>500000</v>
      </c>
      <c r="AO1934" t="str">
        <f>"הכנסות  מלקוחות"</f>
        <v>הכנסות  מלקוחות</v>
      </c>
      <c r="AQ1934" t="str">
        <f>"040"</f>
        <v>040</v>
      </c>
      <c r="AR1934">
        <v>0</v>
      </c>
      <c r="AS1934">
        <v>0</v>
      </c>
      <c r="AT1934">
        <v>3.1680000000000001</v>
      </c>
      <c r="AX1934" t="str">
        <f>"E000337986"</f>
        <v>E000337986</v>
      </c>
      <c r="BD1934" t="str">
        <f>"רחמים זרוק"</f>
        <v>רחמים זרוק</v>
      </c>
    </row>
    <row r="1935" spans="1:56" x14ac:dyDescent="0.3">
      <c r="A1935" s="1">
        <v>44524</v>
      </c>
      <c r="B1935" t="str">
        <f>"SI216001656"</f>
        <v>SI216001656</v>
      </c>
      <c r="C1935" t="str">
        <f>"PR21000754"</f>
        <v>PR21000754</v>
      </c>
      <c r="E1935" t="str">
        <f>"Y"</f>
        <v>Y</v>
      </c>
      <c r="F1935" t="str">
        <f>"חשבוניות מרכזות"</f>
        <v>חשבוניות מרכזות</v>
      </c>
      <c r="G1935" t="str">
        <f>"700065"</f>
        <v>700065</v>
      </c>
      <c r="H1935" t="str">
        <f>"אלתא מערכות בע""מ"</f>
        <v>אלתא מערכות בע"מ</v>
      </c>
      <c r="I1935" t="str">
        <f>"10"</f>
        <v>10</v>
      </c>
      <c r="J1935" t="str">
        <f>"OP-KT00117"</f>
        <v>OP-KT00117</v>
      </c>
      <c r="K1935" t="str">
        <f>"1038C865-001 - SPARE PARTS KIT FOR PDB1 MADR"</f>
        <v>1038C865-001 - SPARE PARTS KIT FOR PDB1 MADR</v>
      </c>
      <c r="L1935">
        <v>-1</v>
      </c>
      <c r="M1935" t="str">
        <f>"יח"</f>
        <v>יח</v>
      </c>
      <c r="N1935">
        <v>-1</v>
      </c>
      <c r="O1935" t="str">
        <f>"יח"</f>
        <v>יח</v>
      </c>
      <c r="P1935" s="2">
        <v>2928.43</v>
      </c>
      <c r="Q1935" t="str">
        <f>"$"</f>
        <v>$</v>
      </c>
      <c r="R1935" t="str">
        <f>"הזמנה"</f>
        <v>הזמנה</v>
      </c>
      <c r="S1935">
        <v>0</v>
      </c>
      <c r="T1935" s="2">
        <v>-2928.43</v>
      </c>
      <c r="U1935">
        <v>0</v>
      </c>
      <c r="V1935" s="2">
        <v>-2928.43</v>
      </c>
      <c r="W1935" t="str">
        <f>"$"</f>
        <v>$</v>
      </c>
      <c r="X1935">
        <v>0</v>
      </c>
      <c r="Y1935">
        <v>0</v>
      </c>
      <c r="Z1935">
        <v>0</v>
      </c>
      <c r="AA1935" t="str">
        <f>"Y"</f>
        <v>Y</v>
      </c>
      <c r="AC1935">
        <v>0</v>
      </c>
      <c r="AM1935" t="str">
        <f>"10"</f>
        <v>10</v>
      </c>
      <c r="AN1935" t="str">
        <f>"500000"</f>
        <v>500000</v>
      </c>
      <c r="AO1935" t="str">
        <f>"הכנסות  מלקוחות"</f>
        <v>הכנסות  מלקוחות</v>
      </c>
      <c r="AQ1935" t="str">
        <f>"034"</f>
        <v>034</v>
      </c>
      <c r="AR1935">
        <v>0</v>
      </c>
      <c r="AS1935">
        <v>0</v>
      </c>
      <c r="AT1935">
        <v>3.11</v>
      </c>
      <c r="BB1935" t="str">
        <f>"Y"</f>
        <v>Y</v>
      </c>
      <c r="BD1935" t="str">
        <f>"ערן שלו"</f>
        <v>ערן שלו</v>
      </c>
    </row>
    <row r="1936" spans="1:56" x14ac:dyDescent="0.3">
      <c r="A1936" s="1">
        <v>44524</v>
      </c>
      <c r="B1936" t="str">
        <f>"SI216001656"</f>
        <v>SI216001656</v>
      </c>
      <c r="C1936" t="str">
        <f>"PR21000754"</f>
        <v>PR21000754</v>
      </c>
      <c r="E1936" t="str">
        <f>"Y"</f>
        <v>Y</v>
      </c>
      <c r="F1936" t="str">
        <f>"חשבוניות מרכזות"</f>
        <v>חשבוניות מרכזות</v>
      </c>
      <c r="G1936" t="str">
        <f>"700065"</f>
        <v>700065</v>
      </c>
      <c r="H1936" t="str">
        <f>"אלתא מערכות בע""מ"</f>
        <v>אלתא מערכות בע"מ</v>
      </c>
      <c r="I1936" t="str">
        <f>"10"</f>
        <v>10</v>
      </c>
      <c r="J1936" t="str">
        <f>"OP-KR00002"</f>
        <v>OP-KR00002</v>
      </c>
      <c r="K1936" t="str">
        <f>"1038C875-001 - SPARE PARTS KIT FOR PDB2 MADR"</f>
        <v>1038C875-001 - SPARE PARTS KIT FOR PDB2 MADR</v>
      </c>
      <c r="L1936">
        <v>-2</v>
      </c>
      <c r="M1936" t="str">
        <f>"יח"</f>
        <v>יח</v>
      </c>
      <c r="N1936">
        <v>-2</v>
      </c>
      <c r="O1936" t="str">
        <f>"יח"</f>
        <v>יח</v>
      </c>
      <c r="P1936">
        <v>504.4</v>
      </c>
      <c r="Q1936" t="str">
        <f>"$"</f>
        <v>$</v>
      </c>
      <c r="R1936" t="str">
        <f>"הזמנה"</f>
        <v>הזמנה</v>
      </c>
      <c r="S1936">
        <v>0</v>
      </c>
      <c r="T1936" s="2">
        <v>-1008.8</v>
      </c>
      <c r="U1936">
        <v>0</v>
      </c>
      <c r="V1936" s="2">
        <v>-1008.8</v>
      </c>
      <c r="W1936" t="str">
        <f>"$"</f>
        <v>$</v>
      </c>
      <c r="X1936">
        <v>0</v>
      </c>
      <c r="Y1936">
        <v>0</v>
      </c>
      <c r="Z1936">
        <v>0</v>
      </c>
      <c r="AA1936" t="str">
        <f>"Y"</f>
        <v>Y</v>
      </c>
      <c r="AC1936">
        <v>0</v>
      </c>
      <c r="AM1936" t="str">
        <f>"10"</f>
        <v>10</v>
      </c>
      <c r="AN1936" t="str">
        <f>"500000"</f>
        <v>500000</v>
      </c>
      <c r="AO1936" t="str">
        <f>"הכנסות  מלקוחות"</f>
        <v>הכנסות  מלקוחות</v>
      </c>
      <c r="AQ1936" t="str">
        <f>"034"</f>
        <v>034</v>
      </c>
      <c r="AR1936">
        <v>0</v>
      </c>
      <c r="AS1936">
        <v>0</v>
      </c>
      <c r="AT1936">
        <v>3.11</v>
      </c>
      <c r="BB1936" t="str">
        <f>"Y"</f>
        <v>Y</v>
      </c>
      <c r="BD1936" t="str">
        <f>"ערן שלו"</f>
        <v>ערן שלו</v>
      </c>
    </row>
    <row r="1937" spans="1:56" x14ac:dyDescent="0.3">
      <c r="A1937" s="1">
        <v>44524</v>
      </c>
      <c r="B1937" t="str">
        <f>"SI216001656"</f>
        <v>SI216001656</v>
      </c>
      <c r="C1937" t="str">
        <f>"PR21000754"</f>
        <v>PR21000754</v>
      </c>
      <c r="E1937" t="str">
        <f>"Y"</f>
        <v>Y</v>
      </c>
      <c r="F1937" t="str">
        <f>"חשבוניות מרכזות"</f>
        <v>חשבוניות מרכזות</v>
      </c>
      <c r="G1937" t="str">
        <f>"700065"</f>
        <v>700065</v>
      </c>
      <c r="H1937" t="str">
        <f>"אלתא מערכות בע""מ"</f>
        <v>אלתא מערכות בע"מ</v>
      </c>
      <c r="I1937" t="str">
        <f>"10"</f>
        <v>10</v>
      </c>
      <c r="J1937" t="str">
        <f>"OP-KT00118"</f>
        <v>OP-KT00118</v>
      </c>
      <c r="K1937" t="str">
        <f>"1038C908-001 - SPARE PARTS KIT FOR DIESEL GENERATOR-RPU"</f>
        <v>1038C908-001 - SPARE PARTS KIT FOR DIESEL GENERATOR-RPU</v>
      </c>
      <c r="L1937">
        <v>-1</v>
      </c>
      <c r="M1937" t="str">
        <f>"יח"</f>
        <v>יח</v>
      </c>
      <c r="N1937">
        <v>-1</v>
      </c>
      <c r="O1937" t="str">
        <f>"יח"</f>
        <v>יח</v>
      </c>
      <c r="P1937" s="2">
        <v>8749.4</v>
      </c>
      <c r="Q1937" t="str">
        <f>"$"</f>
        <v>$</v>
      </c>
      <c r="R1937" t="str">
        <f>"הזמנה"</f>
        <v>הזמנה</v>
      </c>
      <c r="S1937">
        <v>0</v>
      </c>
      <c r="T1937" s="2">
        <v>-8749.4</v>
      </c>
      <c r="U1937">
        <v>0</v>
      </c>
      <c r="V1937" s="2">
        <v>-8749.4</v>
      </c>
      <c r="W1937" t="str">
        <f>"$"</f>
        <v>$</v>
      </c>
      <c r="X1937">
        <v>0</v>
      </c>
      <c r="Y1937">
        <v>0</v>
      </c>
      <c r="Z1937">
        <v>0</v>
      </c>
      <c r="AA1937" t="str">
        <f>"Y"</f>
        <v>Y</v>
      </c>
      <c r="AC1937">
        <v>0</v>
      </c>
      <c r="AM1937" t="str">
        <f>"10"</f>
        <v>10</v>
      </c>
      <c r="AN1937" t="str">
        <f>"500000"</f>
        <v>500000</v>
      </c>
      <c r="AO1937" t="str">
        <f>"הכנסות  מלקוחות"</f>
        <v>הכנסות  מלקוחות</v>
      </c>
      <c r="AQ1937" t="str">
        <f>"034"</f>
        <v>034</v>
      </c>
      <c r="AR1937">
        <v>0</v>
      </c>
      <c r="AS1937">
        <v>0</v>
      </c>
      <c r="AT1937">
        <v>3.11</v>
      </c>
      <c r="BB1937" t="str">
        <f>"Y"</f>
        <v>Y</v>
      </c>
      <c r="BD1937" t="str">
        <f>"ערן שלו"</f>
        <v>ערן שלו</v>
      </c>
    </row>
    <row r="1938" spans="1:56" x14ac:dyDescent="0.3">
      <c r="A1938" s="1">
        <v>44524</v>
      </c>
      <c r="B1938" t="str">
        <f>"SI216001656"</f>
        <v>SI216001656</v>
      </c>
      <c r="C1938" t="str">
        <f>"PR21000754"</f>
        <v>PR21000754</v>
      </c>
      <c r="E1938" t="str">
        <f>"Y"</f>
        <v>Y</v>
      </c>
      <c r="F1938" t="str">
        <f>"חשבוניות מרכזות"</f>
        <v>חשבוניות מרכזות</v>
      </c>
      <c r="G1938" t="str">
        <f>"700065"</f>
        <v>700065</v>
      </c>
      <c r="H1938" t="str">
        <f>"אלתא מערכות בע""מ"</f>
        <v>אלתא מערכות בע"מ</v>
      </c>
      <c r="I1938" t="str">
        <f>"10"</f>
        <v>10</v>
      </c>
      <c r="J1938" t="str">
        <f>"OP-KT00119"</f>
        <v>OP-KT00119</v>
      </c>
      <c r="K1938" t="str">
        <f>"1038C878-001 - SPARE PARTS KIT FOR RECTIFIER RACK"</f>
        <v>1038C878-001 - SPARE PARTS KIT FOR RECTIFIER RACK</v>
      </c>
      <c r="L1938">
        <v>-1</v>
      </c>
      <c r="M1938" t="str">
        <f>"יח"</f>
        <v>יח</v>
      </c>
      <c r="N1938">
        <v>-1</v>
      </c>
      <c r="O1938" t="str">
        <f>"יח"</f>
        <v>יח</v>
      </c>
      <c r="P1938" s="2">
        <v>1503.5</v>
      </c>
      <c r="Q1938" t="str">
        <f>"$"</f>
        <v>$</v>
      </c>
      <c r="R1938" t="str">
        <f>"הזמנה"</f>
        <v>הזמנה</v>
      </c>
      <c r="S1938">
        <v>0</v>
      </c>
      <c r="T1938" s="2">
        <v>-1503.5</v>
      </c>
      <c r="U1938">
        <v>0</v>
      </c>
      <c r="V1938" s="2">
        <v>-1503.5</v>
      </c>
      <c r="W1938" t="str">
        <f>"$"</f>
        <v>$</v>
      </c>
      <c r="X1938">
        <v>0</v>
      </c>
      <c r="Y1938">
        <v>0</v>
      </c>
      <c r="Z1938">
        <v>0</v>
      </c>
      <c r="AA1938" t="str">
        <f>"Y"</f>
        <v>Y</v>
      </c>
      <c r="AC1938">
        <v>0</v>
      </c>
      <c r="AM1938" t="str">
        <f>"10"</f>
        <v>10</v>
      </c>
      <c r="AN1938" t="str">
        <f>"500000"</f>
        <v>500000</v>
      </c>
      <c r="AO1938" t="str">
        <f>"הכנסות  מלקוחות"</f>
        <v>הכנסות  מלקוחות</v>
      </c>
      <c r="AQ1938" t="str">
        <f>"034"</f>
        <v>034</v>
      </c>
      <c r="AR1938">
        <v>0</v>
      </c>
      <c r="AS1938">
        <v>0</v>
      </c>
      <c r="AT1938">
        <v>3.11</v>
      </c>
      <c r="BB1938" t="str">
        <f>"Y"</f>
        <v>Y</v>
      </c>
      <c r="BD1938" t="str">
        <f>"ערן שלו"</f>
        <v>ערן שלו</v>
      </c>
    </row>
    <row r="1939" spans="1:56" x14ac:dyDescent="0.3">
      <c r="A1939" s="1">
        <v>44524</v>
      </c>
      <c r="B1939" t="str">
        <f>"SI216001656"</f>
        <v>SI216001656</v>
      </c>
      <c r="C1939" t="str">
        <f>"PR21000754"</f>
        <v>PR21000754</v>
      </c>
      <c r="E1939" t="str">
        <f>"Y"</f>
        <v>Y</v>
      </c>
      <c r="F1939" t="str">
        <f>"חשבוניות מרכזות"</f>
        <v>חשבוניות מרכזות</v>
      </c>
      <c r="G1939" t="str">
        <f>"700065"</f>
        <v>700065</v>
      </c>
      <c r="H1939" t="str">
        <f>"אלתא מערכות בע""מ"</f>
        <v>אלתא מערכות בע"מ</v>
      </c>
      <c r="I1939" t="str">
        <f>"10"</f>
        <v>10</v>
      </c>
      <c r="J1939" t="str">
        <f>"OP-KT00121"</f>
        <v>OP-KT00121</v>
      </c>
      <c r="K1939" t="str">
        <f>"1038 C 876 001 ORNET REPLACEMENT PARTS COMPLETION"</f>
        <v>1038 C 876 001 ORNET REPLACEMENT PARTS COMPLETION</v>
      </c>
      <c r="L1939">
        <v>-1</v>
      </c>
      <c r="M1939" t="str">
        <f>"יח"</f>
        <v>יח</v>
      </c>
      <c r="N1939">
        <v>-1</v>
      </c>
      <c r="O1939" t="str">
        <f>"יח"</f>
        <v>יח</v>
      </c>
      <c r="P1939" s="2">
        <v>8346.35</v>
      </c>
      <c r="Q1939" t="str">
        <f>"$"</f>
        <v>$</v>
      </c>
      <c r="R1939" t="str">
        <f>"הזמנה"</f>
        <v>הזמנה</v>
      </c>
      <c r="S1939">
        <v>0</v>
      </c>
      <c r="T1939" s="2">
        <v>-8346.35</v>
      </c>
      <c r="U1939">
        <v>0</v>
      </c>
      <c r="V1939" s="2">
        <v>-8346.35</v>
      </c>
      <c r="W1939" t="str">
        <f>"$"</f>
        <v>$</v>
      </c>
      <c r="X1939">
        <v>0</v>
      </c>
      <c r="Y1939">
        <v>0</v>
      </c>
      <c r="Z1939">
        <v>0</v>
      </c>
      <c r="AA1939" t="str">
        <f>"Y"</f>
        <v>Y</v>
      </c>
      <c r="AC1939">
        <v>0</v>
      </c>
      <c r="AM1939" t="str">
        <f>"10"</f>
        <v>10</v>
      </c>
      <c r="AN1939" t="str">
        <f>"500000"</f>
        <v>500000</v>
      </c>
      <c r="AO1939" t="str">
        <f>"הכנסות  מלקוחות"</f>
        <v>הכנסות  מלקוחות</v>
      </c>
      <c r="AQ1939" t="str">
        <f>"034"</f>
        <v>034</v>
      </c>
      <c r="AR1939">
        <v>0</v>
      </c>
      <c r="AS1939">
        <v>0</v>
      </c>
      <c r="AT1939">
        <v>3.11</v>
      </c>
      <c r="BB1939" t="str">
        <f>"Y"</f>
        <v>Y</v>
      </c>
      <c r="BD1939" t="str">
        <f>"ערן שלו"</f>
        <v>ערן שלו</v>
      </c>
    </row>
    <row r="1940" spans="1:56" x14ac:dyDescent="0.3">
      <c r="A1940" s="1">
        <v>44524</v>
      </c>
      <c r="B1940" t="str">
        <f>"SI216001656"</f>
        <v>SI216001656</v>
      </c>
      <c r="C1940" t="str">
        <f>"PR21000754"</f>
        <v>PR21000754</v>
      </c>
      <c r="E1940" t="str">
        <f>"Y"</f>
        <v>Y</v>
      </c>
      <c r="F1940" t="str">
        <f>"חשבוניות מרכזות"</f>
        <v>חשבוניות מרכזות</v>
      </c>
      <c r="G1940" t="str">
        <f>"700065"</f>
        <v>700065</v>
      </c>
      <c r="H1940" t="str">
        <f>"אלתא מערכות בע""מ"</f>
        <v>אלתא מערכות בע"מ</v>
      </c>
      <c r="I1940" t="str">
        <f>"11"</f>
        <v>11</v>
      </c>
      <c r="J1940" t="str">
        <f>"OP-KT00122"</f>
        <v>OP-KT00122</v>
      </c>
      <c r="K1940" t="str">
        <f>"1041M385-001 - FILTERING VENTILATION SYS for RECTIFIER"</f>
        <v>1041M385-001 - FILTERING VENTILATION SYS for RECTIFIER</v>
      </c>
      <c r="L1940">
        <v>-1</v>
      </c>
      <c r="M1940" t="str">
        <f>"יח"</f>
        <v>יח</v>
      </c>
      <c r="N1940">
        <v>-1</v>
      </c>
      <c r="O1940" t="str">
        <f>"יח"</f>
        <v>יח</v>
      </c>
      <c r="P1940">
        <v>56.64</v>
      </c>
      <c r="Q1940" t="str">
        <f>"$"</f>
        <v>$</v>
      </c>
      <c r="R1940" t="str">
        <f>"הזמנה"</f>
        <v>הזמנה</v>
      </c>
      <c r="S1940">
        <v>0</v>
      </c>
      <c r="T1940">
        <v>-56.64</v>
      </c>
      <c r="U1940">
        <v>0</v>
      </c>
      <c r="V1940">
        <v>-56.64</v>
      </c>
      <c r="W1940" t="str">
        <f>"$"</f>
        <v>$</v>
      </c>
      <c r="X1940">
        <v>0</v>
      </c>
      <c r="Y1940">
        <v>0</v>
      </c>
      <c r="Z1940">
        <v>0</v>
      </c>
      <c r="AA1940" t="str">
        <f>"Y"</f>
        <v>Y</v>
      </c>
      <c r="AC1940">
        <v>0</v>
      </c>
      <c r="AM1940" t="str">
        <f>"10"</f>
        <v>10</v>
      </c>
      <c r="AN1940" t="str">
        <f>"500000"</f>
        <v>500000</v>
      </c>
      <c r="AO1940" t="str">
        <f>"הכנסות  מלקוחות"</f>
        <v>הכנסות  מלקוחות</v>
      </c>
      <c r="AQ1940" t="str">
        <f>"034"</f>
        <v>034</v>
      </c>
      <c r="AR1940">
        <v>0</v>
      </c>
      <c r="AS1940">
        <v>0</v>
      </c>
      <c r="AT1940">
        <v>3.11</v>
      </c>
      <c r="BB1940" t="str">
        <f>"Y"</f>
        <v>Y</v>
      </c>
      <c r="BD1940" t="str">
        <f>"ערן שלו"</f>
        <v>ערן שלו</v>
      </c>
    </row>
    <row r="1941" spans="1:56" x14ac:dyDescent="0.3">
      <c r="A1941" s="1">
        <v>44524</v>
      </c>
      <c r="B1941" t="str">
        <f>"SI216001654"</f>
        <v>SI216001654</v>
      </c>
      <c r="E1941" t="str">
        <f>"Y"</f>
        <v>Y</v>
      </c>
      <c r="F1941" t="str">
        <f>"חשבוניות מרכזות"</f>
        <v>חשבוניות מרכזות</v>
      </c>
      <c r="G1941" t="str">
        <f>"700065"</f>
        <v>700065</v>
      </c>
      <c r="H1941" t="str">
        <f>"אלתא מערכות בע""מ"</f>
        <v>אלתא מערכות בע"מ</v>
      </c>
      <c r="I1941" t="str">
        <f>"10"</f>
        <v>10</v>
      </c>
      <c r="J1941" t="str">
        <f>"OP-KT00125"</f>
        <v>OP-KT00125</v>
      </c>
      <c r="K1941" t="str">
        <f>"ח""ח PDU מארז מחשוב 1041M380-001"</f>
        <v>ח"ח PDU מארז מחשוב 1041M380-001</v>
      </c>
      <c r="L1941">
        <v>1</v>
      </c>
      <c r="M1941" t="str">
        <f>"יח"</f>
        <v>יח</v>
      </c>
      <c r="N1941">
        <v>1</v>
      </c>
      <c r="O1941" t="str">
        <f>"יח"</f>
        <v>יח</v>
      </c>
      <c r="P1941">
        <v>310</v>
      </c>
      <c r="Q1941" t="str">
        <f>"$"</f>
        <v>$</v>
      </c>
      <c r="R1941" t="str">
        <f>"הזמנה"</f>
        <v>הזמנה</v>
      </c>
      <c r="S1941">
        <v>0</v>
      </c>
      <c r="T1941">
        <v>310</v>
      </c>
      <c r="U1941">
        <v>0</v>
      </c>
      <c r="V1941">
        <v>310</v>
      </c>
      <c r="W1941" t="str">
        <f>"$"</f>
        <v>$</v>
      </c>
      <c r="X1941">
        <v>0</v>
      </c>
      <c r="Y1941">
        <v>0</v>
      </c>
      <c r="Z1941">
        <v>0</v>
      </c>
      <c r="AA1941" t="str">
        <f>"Y"</f>
        <v>Y</v>
      </c>
      <c r="AB1941" t="str">
        <f>"SO21000484"</f>
        <v>SO21000484</v>
      </c>
      <c r="AC1941">
        <v>1</v>
      </c>
      <c r="AD1941" s="1">
        <v>44523</v>
      </c>
      <c r="AM1941" t="str">
        <f>"10"</f>
        <v>10</v>
      </c>
      <c r="AN1941" t="str">
        <f>"500000"</f>
        <v>500000</v>
      </c>
      <c r="AO1941" t="str">
        <f>"הכנסות  מלקוחות"</f>
        <v>הכנסות  מלקוחות</v>
      </c>
      <c r="AQ1941" t="str">
        <f>"007"</f>
        <v>007</v>
      </c>
      <c r="AR1941">
        <v>0</v>
      </c>
      <c r="AS1941">
        <v>0</v>
      </c>
      <c r="AT1941">
        <v>3.11</v>
      </c>
      <c r="AX1941" t="str">
        <f>"E000351523"</f>
        <v>E000351523</v>
      </c>
      <c r="BD1941" t="str">
        <f>"רוני דידי"</f>
        <v>רוני דידי</v>
      </c>
    </row>
    <row r="1942" spans="1:56" x14ac:dyDescent="0.3">
      <c r="A1942" s="1">
        <v>44524</v>
      </c>
      <c r="B1942" t="str">
        <f>"SI216001654"</f>
        <v>SI216001654</v>
      </c>
      <c r="E1942" t="str">
        <f>"Y"</f>
        <v>Y</v>
      </c>
      <c r="F1942" t="str">
        <f>"חשבוניות מרכזות"</f>
        <v>חשבוניות מרכזות</v>
      </c>
      <c r="G1942" t="str">
        <f>"700065"</f>
        <v>700065</v>
      </c>
      <c r="H1942" t="str">
        <f>"אלתא מערכות בע""מ"</f>
        <v>אלתא מערכות בע"מ</v>
      </c>
      <c r="I1942" t="str">
        <f>"10"</f>
        <v>10</v>
      </c>
      <c r="J1942" t="str">
        <f>"OP-KT00124"</f>
        <v>OP-KT00124</v>
      </c>
      <c r="K1942" t="str">
        <f>"סט חלקי חילוף מארז מחשוב 1041M360-001"</f>
        <v>סט חלקי חילוף מארז מחשוב 1041M360-001</v>
      </c>
      <c r="L1942">
        <v>1</v>
      </c>
      <c r="M1942" t="str">
        <f>"יח"</f>
        <v>יח</v>
      </c>
      <c r="N1942">
        <v>1</v>
      </c>
      <c r="O1942" t="str">
        <f>"יח"</f>
        <v>יח</v>
      </c>
      <c r="P1942" s="2">
        <v>10555</v>
      </c>
      <c r="Q1942" t="str">
        <f>"$"</f>
        <v>$</v>
      </c>
      <c r="R1942" t="str">
        <f>"הזמנה"</f>
        <v>הזמנה</v>
      </c>
      <c r="S1942">
        <v>0</v>
      </c>
      <c r="T1942" s="2">
        <v>10555</v>
      </c>
      <c r="U1942">
        <v>0</v>
      </c>
      <c r="V1942" s="2">
        <v>10555</v>
      </c>
      <c r="W1942" t="str">
        <f>"$"</f>
        <v>$</v>
      </c>
      <c r="X1942">
        <v>0</v>
      </c>
      <c r="Y1942">
        <v>0</v>
      </c>
      <c r="Z1942">
        <v>0</v>
      </c>
      <c r="AA1942" t="str">
        <f>"Y"</f>
        <v>Y</v>
      </c>
      <c r="AB1942" t="str">
        <f>"SO21000484"</f>
        <v>SO21000484</v>
      </c>
      <c r="AC1942">
        <v>2</v>
      </c>
      <c r="AD1942" s="1">
        <v>44523</v>
      </c>
      <c r="AM1942" t="str">
        <f>"10"</f>
        <v>10</v>
      </c>
      <c r="AN1942" t="str">
        <f>"500000"</f>
        <v>500000</v>
      </c>
      <c r="AO1942" t="str">
        <f>"הכנסות  מלקוחות"</f>
        <v>הכנסות  מלקוחות</v>
      </c>
      <c r="AQ1942" t="str">
        <f>"007"</f>
        <v>007</v>
      </c>
      <c r="AR1942">
        <v>0</v>
      </c>
      <c r="AS1942">
        <v>0</v>
      </c>
      <c r="AT1942">
        <v>3.11</v>
      </c>
      <c r="AX1942" t="str">
        <f>"E000351523"</f>
        <v>E000351523</v>
      </c>
      <c r="BD1942" t="str">
        <f>"רוני דידי"</f>
        <v>רוני דידי</v>
      </c>
    </row>
    <row r="1943" spans="1:56" x14ac:dyDescent="0.3">
      <c r="A1943" s="1">
        <v>44524</v>
      </c>
      <c r="B1943" t="str">
        <f>"SI216001654"</f>
        <v>SI216001654</v>
      </c>
      <c r="E1943" t="str">
        <f>"Y"</f>
        <v>Y</v>
      </c>
      <c r="F1943" t="str">
        <f>"חשבוניות מרכזות"</f>
        <v>חשבוניות מרכזות</v>
      </c>
      <c r="G1943" t="str">
        <f>"700065"</f>
        <v>700065</v>
      </c>
      <c r="H1943" t="str">
        <f>"אלתא מערכות בע""מ"</f>
        <v>אלתא מערכות בע"מ</v>
      </c>
      <c r="I1943" t="str">
        <f>"10"</f>
        <v>10</v>
      </c>
      <c r="J1943" t="str">
        <f>"OP-KT00126"</f>
        <v>OP-KT00126</v>
      </c>
      <c r="K1943" t="str">
        <f>"סט חלקי חילוף מארז מחשוב 1041M355-001"</f>
        <v>סט חלקי חילוף מארז מחשוב 1041M355-001</v>
      </c>
      <c r="L1943">
        <v>1</v>
      </c>
      <c r="M1943" t="str">
        <f>"יח"</f>
        <v>יח</v>
      </c>
      <c r="N1943">
        <v>1</v>
      </c>
      <c r="O1943" t="str">
        <f>"יח"</f>
        <v>יח</v>
      </c>
      <c r="P1943" s="2">
        <v>3200</v>
      </c>
      <c r="Q1943" t="str">
        <f>"$"</f>
        <v>$</v>
      </c>
      <c r="R1943" t="str">
        <f>"הזמנה"</f>
        <v>הזמנה</v>
      </c>
      <c r="S1943">
        <v>0</v>
      </c>
      <c r="T1943" s="2">
        <v>3200</v>
      </c>
      <c r="U1943">
        <v>0</v>
      </c>
      <c r="V1943" s="2">
        <v>3200</v>
      </c>
      <c r="W1943" t="str">
        <f>"$"</f>
        <v>$</v>
      </c>
      <c r="X1943">
        <v>0</v>
      </c>
      <c r="Y1943">
        <v>0</v>
      </c>
      <c r="Z1943">
        <v>0</v>
      </c>
      <c r="AA1943" t="str">
        <f>"Y"</f>
        <v>Y</v>
      </c>
      <c r="AB1943" t="str">
        <f>"SO21000484"</f>
        <v>SO21000484</v>
      </c>
      <c r="AC1943">
        <v>3</v>
      </c>
      <c r="AD1943" s="1">
        <v>44523</v>
      </c>
      <c r="AM1943" t="str">
        <f>"10"</f>
        <v>10</v>
      </c>
      <c r="AN1943" t="str">
        <f>"500000"</f>
        <v>500000</v>
      </c>
      <c r="AO1943" t="str">
        <f>"הכנסות  מלקוחות"</f>
        <v>הכנסות  מלקוחות</v>
      </c>
      <c r="AQ1943" t="str">
        <f>"007"</f>
        <v>007</v>
      </c>
      <c r="AR1943">
        <v>0</v>
      </c>
      <c r="AS1943">
        <v>0</v>
      </c>
      <c r="AT1943">
        <v>3.11</v>
      </c>
      <c r="AX1943" t="str">
        <f>"E000351523"</f>
        <v>E000351523</v>
      </c>
      <c r="BD1943" t="str">
        <f>"רוני דידי"</f>
        <v>רוני דידי</v>
      </c>
    </row>
    <row r="1944" spans="1:56" x14ac:dyDescent="0.3">
      <c r="A1944" s="1">
        <v>44524</v>
      </c>
      <c r="B1944" t="str">
        <f>"SI216001653"</f>
        <v>SI216001653</v>
      </c>
      <c r="C1944" t="str">
        <f>"PR21000754"</f>
        <v>PR21000754</v>
      </c>
      <c r="E1944" t="str">
        <f>"Y"</f>
        <v>Y</v>
      </c>
      <c r="F1944" t="str">
        <f>"חשבוניות מרכזות"</f>
        <v>חשבוניות מרכזות</v>
      </c>
      <c r="G1944" t="str">
        <f>"700065"</f>
        <v>700065</v>
      </c>
      <c r="H1944" t="str">
        <f>"אלתא מערכות בע""מ"</f>
        <v>אלתא מערכות בע"מ</v>
      </c>
      <c r="I1944" t="str">
        <f>"10"</f>
        <v>10</v>
      </c>
      <c r="J1944" t="str">
        <f>"OP-KT00117"</f>
        <v>OP-KT00117</v>
      </c>
      <c r="K1944" t="str">
        <f>"1038C865-001 - SPARE PARTS KIT FOR PDB1 MADR"</f>
        <v>1038C865-001 - SPARE PARTS KIT FOR PDB1 MADR</v>
      </c>
      <c r="L1944">
        <v>1</v>
      </c>
      <c r="M1944" t="str">
        <f>"יח"</f>
        <v>יח</v>
      </c>
      <c r="N1944">
        <v>1</v>
      </c>
      <c r="O1944" t="str">
        <f>"יח"</f>
        <v>יח</v>
      </c>
      <c r="P1944" s="2">
        <v>2928.43</v>
      </c>
      <c r="Q1944" t="str">
        <f>"$"</f>
        <v>$</v>
      </c>
      <c r="R1944" t="str">
        <f>"הזמנה"</f>
        <v>הזמנה</v>
      </c>
      <c r="S1944">
        <v>0</v>
      </c>
      <c r="T1944" s="2">
        <v>2928.43</v>
      </c>
      <c r="U1944">
        <v>0</v>
      </c>
      <c r="V1944" s="2">
        <v>2928.43</v>
      </c>
      <c r="W1944" t="str">
        <f>"$"</f>
        <v>$</v>
      </c>
      <c r="X1944">
        <v>0</v>
      </c>
      <c r="Y1944">
        <v>0</v>
      </c>
      <c r="Z1944">
        <v>0</v>
      </c>
      <c r="AA1944" t="str">
        <f>"Y"</f>
        <v>Y</v>
      </c>
      <c r="AC1944">
        <v>0</v>
      </c>
      <c r="AM1944" t="str">
        <f>"10"</f>
        <v>10</v>
      </c>
      <c r="AN1944" t="str">
        <f>"500000"</f>
        <v>500000</v>
      </c>
      <c r="AO1944" t="str">
        <f>"הכנסות  מלקוחות"</f>
        <v>הכנסות  מלקוחות</v>
      </c>
      <c r="AQ1944" t="str">
        <f>"034"</f>
        <v>034</v>
      </c>
      <c r="AR1944">
        <v>0</v>
      </c>
      <c r="AS1944">
        <v>0</v>
      </c>
      <c r="AT1944">
        <v>3.11</v>
      </c>
      <c r="BB1944" t="str">
        <f>"Y"</f>
        <v>Y</v>
      </c>
      <c r="BD1944" t="str">
        <f>"ערן שלו"</f>
        <v>ערן שלו</v>
      </c>
    </row>
    <row r="1945" spans="1:56" x14ac:dyDescent="0.3">
      <c r="A1945" s="1">
        <v>44524</v>
      </c>
      <c r="B1945" t="str">
        <f>"SI216001653"</f>
        <v>SI216001653</v>
      </c>
      <c r="C1945" t="str">
        <f>"PR21000754"</f>
        <v>PR21000754</v>
      </c>
      <c r="E1945" t="str">
        <f>"Y"</f>
        <v>Y</v>
      </c>
      <c r="F1945" t="str">
        <f>"חשבוניות מרכזות"</f>
        <v>חשבוניות מרכזות</v>
      </c>
      <c r="G1945" t="str">
        <f>"700065"</f>
        <v>700065</v>
      </c>
      <c r="H1945" t="str">
        <f>"אלתא מערכות בע""מ"</f>
        <v>אלתא מערכות בע"מ</v>
      </c>
      <c r="I1945" t="str">
        <f>"10"</f>
        <v>10</v>
      </c>
      <c r="J1945" t="str">
        <f>"OP-KR00002"</f>
        <v>OP-KR00002</v>
      </c>
      <c r="K1945" t="str">
        <f>"1038C875-001 - SPARE PARTS KIT FOR PDB2 MADR"</f>
        <v>1038C875-001 - SPARE PARTS KIT FOR PDB2 MADR</v>
      </c>
      <c r="L1945">
        <v>2</v>
      </c>
      <c r="M1945" t="str">
        <f>"יח"</f>
        <v>יח</v>
      </c>
      <c r="N1945">
        <v>2</v>
      </c>
      <c r="O1945" t="str">
        <f>"יח"</f>
        <v>יח</v>
      </c>
      <c r="P1945">
        <v>504.4</v>
      </c>
      <c r="Q1945" t="str">
        <f>"$"</f>
        <v>$</v>
      </c>
      <c r="R1945" t="str">
        <f>"הזמנה"</f>
        <v>הזמנה</v>
      </c>
      <c r="S1945">
        <v>0</v>
      </c>
      <c r="T1945" s="2">
        <v>1008.8</v>
      </c>
      <c r="U1945">
        <v>0</v>
      </c>
      <c r="V1945" s="2">
        <v>1008.8</v>
      </c>
      <c r="W1945" t="str">
        <f>"$"</f>
        <v>$</v>
      </c>
      <c r="X1945">
        <v>0</v>
      </c>
      <c r="Y1945">
        <v>0</v>
      </c>
      <c r="Z1945">
        <v>0</v>
      </c>
      <c r="AA1945" t="str">
        <f>"Y"</f>
        <v>Y</v>
      </c>
      <c r="AC1945">
        <v>0</v>
      </c>
      <c r="AM1945" t="str">
        <f>"10"</f>
        <v>10</v>
      </c>
      <c r="AN1945" t="str">
        <f>"500000"</f>
        <v>500000</v>
      </c>
      <c r="AO1945" t="str">
        <f>"הכנסות  מלקוחות"</f>
        <v>הכנסות  מלקוחות</v>
      </c>
      <c r="AQ1945" t="str">
        <f>"034"</f>
        <v>034</v>
      </c>
      <c r="AR1945">
        <v>0</v>
      </c>
      <c r="AS1945">
        <v>0</v>
      </c>
      <c r="AT1945">
        <v>3.11</v>
      </c>
      <c r="BB1945" t="str">
        <f>"Y"</f>
        <v>Y</v>
      </c>
      <c r="BD1945" t="str">
        <f>"ערן שלו"</f>
        <v>ערן שלו</v>
      </c>
    </row>
    <row r="1946" spans="1:56" x14ac:dyDescent="0.3">
      <c r="A1946" s="1">
        <v>44524</v>
      </c>
      <c r="B1946" t="str">
        <f>"SI216001653"</f>
        <v>SI216001653</v>
      </c>
      <c r="C1946" t="str">
        <f>"PR21000754"</f>
        <v>PR21000754</v>
      </c>
      <c r="E1946" t="str">
        <f>"Y"</f>
        <v>Y</v>
      </c>
      <c r="F1946" t="str">
        <f>"חשבוניות מרכזות"</f>
        <v>חשבוניות מרכזות</v>
      </c>
      <c r="G1946" t="str">
        <f>"700065"</f>
        <v>700065</v>
      </c>
      <c r="H1946" t="str">
        <f>"אלתא מערכות בע""מ"</f>
        <v>אלתא מערכות בע"מ</v>
      </c>
      <c r="I1946" t="str">
        <f>"10"</f>
        <v>10</v>
      </c>
      <c r="J1946" t="str">
        <f>"OP-KT00118"</f>
        <v>OP-KT00118</v>
      </c>
      <c r="K1946" t="str">
        <f>"1038C908-001 - SPARE PARTS KIT FOR DIESEL GENERATOR-RPU"</f>
        <v>1038C908-001 - SPARE PARTS KIT FOR DIESEL GENERATOR-RPU</v>
      </c>
      <c r="L1946">
        <v>1</v>
      </c>
      <c r="M1946" t="str">
        <f>"יח"</f>
        <v>יח</v>
      </c>
      <c r="N1946">
        <v>1</v>
      </c>
      <c r="O1946" t="str">
        <f>"יח"</f>
        <v>יח</v>
      </c>
      <c r="P1946" s="2">
        <v>8749.4</v>
      </c>
      <c r="Q1946" t="str">
        <f>"$"</f>
        <v>$</v>
      </c>
      <c r="R1946" t="str">
        <f>"הזמנה"</f>
        <v>הזמנה</v>
      </c>
      <c r="S1946">
        <v>0</v>
      </c>
      <c r="T1946" s="2">
        <v>8749.4</v>
      </c>
      <c r="U1946">
        <v>0</v>
      </c>
      <c r="V1946" s="2">
        <v>8749.4</v>
      </c>
      <c r="W1946" t="str">
        <f>"$"</f>
        <v>$</v>
      </c>
      <c r="X1946">
        <v>0</v>
      </c>
      <c r="Y1946">
        <v>0</v>
      </c>
      <c r="Z1946">
        <v>0</v>
      </c>
      <c r="AA1946" t="str">
        <f>"Y"</f>
        <v>Y</v>
      </c>
      <c r="AC1946">
        <v>0</v>
      </c>
      <c r="AM1946" t="str">
        <f>"10"</f>
        <v>10</v>
      </c>
      <c r="AN1946" t="str">
        <f>"500000"</f>
        <v>500000</v>
      </c>
      <c r="AO1946" t="str">
        <f>"הכנסות  מלקוחות"</f>
        <v>הכנסות  מלקוחות</v>
      </c>
      <c r="AQ1946" t="str">
        <f>"034"</f>
        <v>034</v>
      </c>
      <c r="AR1946">
        <v>0</v>
      </c>
      <c r="AS1946">
        <v>0</v>
      </c>
      <c r="AT1946">
        <v>3.11</v>
      </c>
      <c r="BB1946" t="str">
        <f>"Y"</f>
        <v>Y</v>
      </c>
      <c r="BD1946" t="str">
        <f>"ערן שלו"</f>
        <v>ערן שלו</v>
      </c>
    </row>
    <row r="1947" spans="1:56" x14ac:dyDescent="0.3">
      <c r="A1947" s="1">
        <v>44524</v>
      </c>
      <c r="B1947" t="str">
        <f>"SI216001653"</f>
        <v>SI216001653</v>
      </c>
      <c r="C1947" t="str">
        <f>"PR21000754"</f>
        <v>PR21000754</v>
      </c>
      <c r="E1947" t="str">
        <f>"Y"</f>
        <v>Y</v>
      </c>
      <c r="F1947" t="str">
        <f>"חשבוניות מרכזות"</f>
        <v>חשבוניות מרכזות</v>
      </c>
      <c r="G1947" t="str">
        <f>"700065"</f>
        <v>700065</v>
      </c>
      <c r="H1947" t="str">
        <f>"אלתא מערכות בע""מ"</f>
        <v>אלתא מערכות בע"מ</v>
      </c>
      <c r="I1947" t="str">
        <f>"10"</f>
        <v>10</v>
      </c>
      <c r="J1947" t="str">
        <f>"OP-KT00119"</f>
        <v>OP-KT00119</v>
      </c>
      <c r="K1947" t="str">
        <f>"1038C878-001 - SPARE PARTS KIT FOR RECTIFIER RACK"</f>
        <v>1038C878-001 - SPARE PARTS KIT FOR RECTIFIER RACK</v>
      </c>
      <c r="L1947">
        <v>1</v>
      </c>
      <c r="M1947" t="str">
        <f>"יח"</f>
        <v>יח</v>
      </c>
      <c r="N1947">
        <v>1</v>
      </c>
      <c r="O1947" t="str">
        <f>"יח"</f>
        <v>יח</v>
      </c>
      <c r="P1947" s="2">
        <v>1503.5</v>
      </c>
      <c r="Q1947" t="str">
        <f>"$"</f>
        <v>$</v>
      </c>
      <c r="R1947" t="str">
        <f>"הזמנה"</f>
        <v>הזמנה</v>
      </c>
      <c r="S1947">
        <v>0</v>
      </c>
      <c r="T1947" s="2">
        <v>1503.5</v>
      </c>
      <c r="U1947">
        <v>0</v>
      </c>
      <c r="V1947" s="2">
        <v>1503.5</v>
      </c>
      <c r="W1947" t="str">
        <f>"$"</f>
        <v>$</v>
      </c>
      <c r="X1947">
        <v>0</v>
      </c>
      <c r="Y1947">
        <v>0</v>
      </c>
      <c r="Z1947">
        <v>0</v>
      </c>
      <c r="AA1947" t="str">
        <f>"Y"</f>
        <v>Y</v>
      </c>
      <c r="AC1947">
        <v>0</v>
      </c>
      <c r="AM1947" t="str">
        <f>"10"</f>
        <v>10</v>
      </c>
      <c r="AN1947" t="str">
        <f>"500000"</f>
        <v>500000</v>
      </c>
      <c r="AO1947" t="str">
        <f>"הכנסות  מלקוחות"</f>
        <v>הכנסות  מלקוחות</v>
      </c>
      <c r="AQ1947" t="str">
        <f>"034"</f>
        <v>034</v>
      </c>
      <c r="AR1947">
        <v>0</v>
      </c>
      <c r="AS1947">
        <v>0</v>
      </c>
      <c r="AT1947">
        <v>3.11</v>
      </c>
      <c r="BB1947" t="str">
        <f>"Y"</f>
        <v>Y</v>
      </c>
      <c r="BD1947" t="str">
        <f>"ערן שלו"</f>
        <v>ערן שלו</v>
      </c>
    </row>
    <row r="1948" spans="1:56" x14ac:dyDescent="0.3">
      <c r="A1948" s="1">
        <v>44524</v>
      </c>
      <c r="B1948" t="str">
        <f>"SI216001653"</f>
        <v>SI216001653</v>
      </c>
      <c r="C1948" t="str">
        <f>"PR21000754"</f>
        <v>PR21000754</v>
      </c>
      <c r="E1948" t="str">
        <f>"Y"</f>
        <v>Y</v>
      </c>
      <c r="F1948" t="str">
        <f>"חשבוניות מרכזות"</f>
        <v>חשבוניות מרכזות</v>
      </c>
      <c r="G1948" t="str">
        <f>"700065"</f>
        <v>700065</v>
      </c>
      <c r="H1948" t="str">
        <f>"אלתא מערכות בע""מ"</f>
        <v>אלתא מערכות בע"מ</v>
      </c>
      <c r="I1948" t="str">
        <f>"10"</f>
        <v>10</v>
      </c>
      <c r="J1948" t="str">
        <f>"OP-KT00121"</f>
        <v>OP-KT00121</v>
      </c>
      <c r="K1948" t="str">
        <f>"1038 C 876 001 ORNET REPLACEMENT PARTS COMPLETION"</f>
        <v>1038 C 876 001 ORNET REPLACEMENT PARTS COMPLETION</v>
      </c>
      <c r="L1948">
        <v>1</v>
      </c>
      <c r="M1948" t="str">
        <f>"יח"</f>
        <v>יח</v>
      </c>
      <c r="N1948">
        <v>1</v>
      </c>
      <c r="O1948" t="str">
        <f>"יח"</f>
        <v>יח</v>
      </c>
      <c r="P1948" s="2">
        <v>8346.35</v>
      </c>
      <c r="Q1948" t="str">
        <f>"$"</f>
        <v>$</v>
      </c>
      <c r="R1948" t="str">
        <f>"הזמנה"</f>
        <v>הזמנה</v>
      </c>
      <c r="S1948">
        <v>0</v>
      </c>
      <c r="T1948" s="2">
        <v>8346.35</v>
      </c>
      <c r="U1948">
        <v>0</v>
      </c>
      <c r="V1948" s="2">
        <v>8346.35</v>
      </c>
      <c r="W1948" t="str">
        <f>"$"</f>
        <v>$</v>
      </c>
      <c r="X1948">
        <v>0</v>
      </c>
      <c r="Y1948">
        <v>0</v>
      </c>
      <c r="Z1948">
        <v>0</v>
      </c>
      <c r="AA1948" t="str">
        <f>"Y"</f>
        <v>Y</v>
      </c>
      <c r="AC1948">
        <v>0</v>
      </c>
      <c r="AM1948" t="str">
        <f>"10"</f>
        <v>10</v>
      </c>
      <c r="AN1948" t="str">
        <f>"500000"</f>
        <v>500000</v>
      </c>
      <c r="AO1948" t="str">
        <f>"הכנסות  מלקוחות"</f>
        <v>הכנסות  מלקוחות</v>
      </c>
      <c r="AQ1948" t="str">
        <f>"034"</f>
        <v>034</v>
      </c>
      <c r="AR1948">
        <v>0</v>
      </c>
      <c r="AS1948">
        <v>0</v>
      </c>
      <c r="AT1948">
        <v>3.11</v>
      </c>
      <c r="BB1948" t="str">
        <f>"Y"</f>
        <v>Y</v>
      </c>
      <c r="BD1948" t="str">
        <f>"ערן שלו"</f>
        <v>ערן שלו</v>
      </c>
    </row>
    <row r="1949" spans="1:56" x14ac:dyDescent="0.3">
      <c r="A1949" s="1">
        <v>44524</v>
      </c>
      <c r="B1949" t="str">
        <f>"SI216001653"</f>
        <v>SI216001653</v>
      </c>
      <c r="C1949" t="str">
        <f>"PR21000754"</f>
        <v>PR21000754</v>
      </c>
      <c r="E1949" t="str">
        <f>"Y"</f>
        <v>Y</v>
      </c>
      <c r="F1949" t="str">
        <f>"חשבוניות מרכזות"</f>
        <v>חשבוניות מרכזות</v>
      </c>
      <c r="G1949" t="str">
        <f>"700065"</f>
        <v>700065</v>
      </c>
      <c r="H1949" t="str">
        <f>"אלתא מערכות בע""מ"</f>
        <v>אלתא מערכות בע"מ</v>
      </c>
      <c r="I1949" t="str">
        <f>"11"</f>
        <v>11</v>
      </c>
      <c r="J1949" t="str">
        <f>"OP-KT00122"</f>
        <v>OP-KT00122</v>
      </c>
      <c r="K1949" t="str">
        <f>"1041M385-001 - FILTERING VENTILATION SYS for RECTIFIER"</f>
        <v>1041M385-001 - FILTERING VENTILATION SYS for RECTIFIER</v>
      </c>
      <c r="L1949">
        <v>1</v>
      </c>
      <c r="M1949" t="str">
        <f>"יח"</f>
        <v>יח</v>
      </c>
      <c r="N1949">
        <v>1</v>
      </c>
      <c r="O1949" t="str">
        <f>"יח"</f>
        <v>יח</v>
      </c>
      <c r="P1949">
        <v>56.64</v>
      </c>
      <c r="Q1949" t="str">
        <f>"$"</f>
        <v>$</v>
      </c>
      <c r="R1949" t="str">
        <f>"הזמנה"</f>
        <v>הזמנה</v>
      </c>
      <c r="S1949">
        <v>0</v>
      </c>
      <c r="T1949">
        <v>56.64</v>
      </c>
      <c r="U1949">
        <v>0</v>
      </c>
      <c r="V1949">
        <v>56.64</v>
      </c>
      <c r="W1949" t="str">
        <f>"$"</f>
        <v>$</v>
      </c>
      <c r="X1949">
        <v>0</v>
      </c>
      <c r="Y1949">
        <v>0</v>
      </c>
      <c r="Z1949">
        <v>0</v>
      </c>
      <c r="AA1949" t="str">
        <f>"Y"</f>
        <v>Y</v>
      </c>
      <c r="AC1949">
        <v>0</v>
      </c>
      <c r="AM1949" t="str">
        <f>"10"</f>
        <v>10</v>
      </c>
      <c r="AN1949" t="str">
        <f>"500000"</f>
        <v>500000</v>
      </c>
      <c r="AO1949" t="str">
        <f>"הכנסות  מלקוחות"</f>
        <v>הכנסות  מלקוחות</v>
      </c>
      <c r="AQ1949" t="str">
        <f>"034"</f>
        <v>034</v>
      </c>
      <c r="AR1949">
        <v>0</v>
      </c>
      <c r="AS1949">
        <v>0</v>
      </c>
      <c r="AT1949">
        <v>3.11</v>
      </c>
      <c r="BB1949" t="str">
        <f>"Y"</f>
        <v>Y</v>
      </c>
      <c r="BD1949" t="str">
        <f>"ערן שלו"</f>
        <v>ערן שלו</v>
      </c>
    </row>
    <row r="1950" spans="1:56" x14ac:dyDescent="0.3">
      <c r="A1950" s="1">
        <v>44524</v>
      </c>
      <c r="B1950" t="str">
        <f>"SI216001652"</f>
        <v>SI216001652</v>
      </c>
      <c r="C1950" t="str">
        <f>"PR21000281"</f>
        <v>PR21000281</v>
      </c>
      <c r="D1950" t="str">
        <f>"PR21000281"</f>
        <v>PR21000281</v>
      </c>
      <c r="E1950" t="str">
        <f>"Y"</f>
        <v>Y</v>
      </c>
      <c r="F1950" t="str">
        <f>"חשבוניות מרכזות"</f>
        <v>חשבוניות מרכזות</v>
      </c>
      <c r="G1950" t="str">
        <f>"700065"</f>
        <v>700065</v>
      </c>
      <c r="H1950" t="str">
        <f>"אלתא מערכות בע""מ"</f>
        <v>אלתא מערכות בע"מ</v>
      </c>
      <c r="I1950" t="str">
        <f>"10"</f>
        <v>10</v>
      </c>
      <c r="J1950" t="str">
        <f>"OP-AR02531"</f>
        <v>OP-AR02531</v>
      </c>
      <c r="K1950" t="str">
        <f>"מערכת כוח 1036R619-001"</f>
        <v>מערכת כוח 1036R619-001</v>
      </c>
      <c r="L1950">
        <v>1</v>
      </c>
      <c r="M1950" t="str">
        <f>"יח"</f>
        <v>יח</v>
      </c>
      <c r="N1950">
        <v>1</v>
      </c>
      <c r="O1950" t="str">
        <f>"יח"</f>
        <v>יח</v>
      </c>
      <c r="P1950" s="2">
        <v>20612</v>
      </c>
      <c r="Q1950" t="str">
        <f>"$"</f>
        <v>$</v>
      </c>
      <c r="R1950" t="str">
        <f>"הזמנה"</f>
        <v>הזמנה</v>
      </c>
      <c r="S1950">
        <v>0</v>
      </c>
      <c r="T1950" s="2">
        <v>20612</v>
      </c>
      <c r="U1950">
        <v>0</v>
      </c>
      <c r="V1950" s="2">
        <v>20612</v>
      </c>
      <c r="W1950" t="str">
        <f>"$"</f>
        <v>$</v>
      </c>
      <c r="X1950">
        <v>0</v>
      </c>
      <c r="Y1950">
        <v>0</v>
      </c>
      <c r="Z1950">
        <v>0</v>
      </c>
      <c r="AA1950" t="str">
        <f>"Y"</f>
        <v>Y</v>
      </c>
      <c r="AB1950" t="str">
        <f>"SO21000205"</f>
        <v>SO21000205</v>
      </c>
      <c r="AC1950">
        <v>1</v>
      </c>
      <c r="AD1950" s="1">
        <v>44318</v>
      </c>
      <c r="AM1950" t="str">
        <f>"10"</f>
        <v>10</v>
      </c>
      <c r="AN1950" t="str">
        <f>"500000"</f>
        <v>500000</v>
      </c>
      <c r="AO1950" t="str">
        <f>"הכנסות  מלקוחות"</f>
        <v>הכנסות  מלקוחות</v>
      </c>
      <c r="AQ1950" t="str">
        <f>"034"</f>
        <v>034</v>
      </c>
      <c r="AR1950">
        <v>0</v>
      </c>
      <c r="AS1950">
        <v>0</v>
      </c>
      <c r="AT1950">
        <v>3.11</v>
      </c>
      <c r="AX1950" t="str">
        <f>"E000337579"</f>
        <v>E000337579</v>
      </c>
      <c r="BD1950" t="str">
        <f>"ערן שלו"</f>
        <v>ערן שלו</v>
      </c>
    </row>
    <row r="1951" spans="1:56" x14ac:dyDescent="0.3">
      <c r="A1951" s="1">
        <v>44524</v>
      </c>
      <c r="B1951" t="str">
        <f>"SI216001651"</f>
        <v>SI216001651</v>
      </c>
      <c r="C1951" t="str">
        <f>"PR21000284"</f>
        <v>PR21000284</v>
      </c>
      <c r="E1951" t="str">
        <f>"Y"</f>
        <v>Y</v>
      </c>
      <c r="F1951" t="str">
        <f>"חשבוניות מרכזות"</f>
        <v>חשבוניות מרכזות</v>
      </c>
      <c r="G1951" t="str">
        <f>"700065"</f>
        <v>700065</v>
      </c>
      <c r="H1951" t="str">
        <f>"אלתא מערכות בע""מ"</f>
        <v>אלתא מערכות בע"מ</v>
      </c>
      <c r="I1951" t="str">
        <f>"10"</f>
        <v>10</v>
      </c>
      <c r="J1951" t="str">
        <f>"OP-AR02134"</f>
        <v>OP-AR02134</v>
      </c>
      <c r="K1951" t="str">
        <f>"RMY-01 POWER SYSTEM"</f>
        <v>RMY-01 POWER SYSTEM</v>
      </c>
      <c r="L1951">
        <v>3</v>
      </c>
      <c r="M1951" t="str">
        <f>"יח"</f>
        <v>יח</v>
      </c>
      <c r="N1951">
        <v>3</v>
      </c>
      <c r="O1951" t="str">
        <f>"יח"</f>
        <v>יח</v>
      </c>
      <c r="P1951" s="2">
        <v>17713</v>
      </c>
      <c r="Q1951" t="str">
        <f>"$"</f>
        <v>$</v>
      </c>
      <c r="R1951" t="str">
        <f>"הזמנה"</f>
        <v>הזמנה</v>
      </c>
      <c r="S1951">
        <v>0</v>
      </c>
      <c r="T1951" s="2">
        <v>53139</v>
      </c>
      <c r="U1951">
        <v>0</v>
      </c>
      <c r="V1951" s="2">
        <v>53139</v>
      </c>
      <c r="W1951" t="str">
        <f>"$"</f>
        <v>$</v>
      </c>
      <c r="X1951">
        <v>0</v>
      </c>
      <c r="Y1951">
        <v>0</v>
      </c>
      <c r="Z1951">
        <v>0</v>
      </c>
      <c r="AA1951" t="str">
        <f>"Y"</f>
        <v>Y</v>
      </c>
      <c r="AC1951">
        <v>0</v>
      </c>
      <c r="AM1951" t="str">
        <f>"10"</f>
        <v>10</v>
      </c>
      <c r="AN1951" t="str">
        <f>"500000"</f>
        <v>500000</v>
      </c>
      <c r="AO1951" t="str">
        <f>"הכנסות  מלקוחות"</f>
        <v>הכנסות  מלקוחות</v>
      </c>
      <c r="AQ1951" t="str">
        <f>"034"</f>
        <v>034</v>
      </c>
      <c r="AR1951">
        <v>0</v>
      </c>
      <c r="AS1951">
        <v>0</v>
      </c>
      <c r="AT1951">
        <v>3.11</v>
      </c>
      <c r="BB1951" t="str">
        <f>"Y"</f>
        <v>Y</v>
      </c>
      <c r="BD1951" t="str">
        <f>"ערן שלו"</f>
        <v>ערן שלו</v>
      </c>
    </row>
    <row r="1952" spans="1:56" x14ac:dyDescent="0.3">
      <c r="A1952" s="1">
        <v>44524</v>
      </c>
      <c r="B1952" t="str">
        <f>"SI216001650"</f>
        <v>SI216001650</v>
      </c>
      <c r="E1952" t="str">
        <f>"Y"</f>
        <v>Y</v>
      </c>
      <c r="F1952" t="str">
        <f>"חשבוניות מרכזות"</f>
        <v>חשבוניות מרכזות</v>
      </c>
      <c r="G1952" t="str">
        <f>"700065"</f>
        <v>700065</v>
      </c>
      <c r="H1952" t="str">
        <f>"אלתא מערכות בע""מ"</f>
        <v>אלתא מערכות בע"מ</v>
      </c>
      <c r="I1952" t="str">
        <f>"10"</f>
        <v>10</v>
      </c>
      <c r="J1952" t="str">
        <f>"OP-AR02041"</f>
        <v>OP-AR02041</v>
      </c>
      <c r="K1952" t="str">
        <f>"PDB1 1038C860-001"</f>
        <v>PDB1 1038C860-001</v>
      </c>
      <c r="L1952">
        <v>1</v>
      </c>
      <c r="M1952" t="str">
        <f>"יח"</f>
        <v>יח</v>
      </c>
      <c r="N1952">
        <v>1</v>
      </c>
      <c r="O1952" t="str">
        <f>"יח"</f>
        <v>יח</v>
      </c>
      <c r="P1952" s="2">
        <v>38545</v>
      </c>
      <c r="Q1952" t="str">
        <f>"$"</f>
        <v>$</v>
      </c>
      <c r="R1952" t="str">
        <f>"הזמנה"</f>
        <v>הזמנה</v>
      </c>
      <c r="S1952">
        <v>0</v>
      </c>
      <c r="T1952" s="2">
        <v>38545</v>
      </c>
      <c r="U1952">
        <v>0</v>
      </c>
      <c r="V1952" s="2">
        <v>38545</v>
      </c>
      <c r="W1952" t="str">
        <f>"$"</f>
        <v>$</v>
      </c>
      <c r="X1952">
        <v>0</v>
      </c>
      <c r="Y1952">
        <v>0</v>
      </c>
      <c r="Z1952">
        <v>0</v>
      </c>
      <c r="AA1952" t="str">
        <f>"Y"</f>
        <v>Y</v>
      </c>
      <c r="AB1952" t="str">
        <f>"SO20000418"</f>
        <v>SO20000418</v>
      </c>
      <c r="AC1952">
        <v>20</v>
      </c>
      <c r="AD1952" s="1">
        <v>44083</v>
      </c>
      <c r="AE1952" t="str">
        <f>"SH22000862"</f>
        <v>SH22000862</v>
      </c>
      <c r="AF1952" t="str">
        <f>"משלוחים ללקוח"</f>
        <v>משלוחים ללקוח</v>
      </c>
      <c r="AG1952" s="1">
        <v>44766</v>
      </c>
      <c r="AM1952" t="str">
        <f>"10"</f>
        <v>10</v>
      </c>
      <c r="AN1952" t="str">
        <f>"500000"</f>
        <v>500000</v>
      </c>
      <c r="AO1952" t="str">
        <f>"הכנסות  מלקוחות"</f>
        <v>הכנסות  מלקוחות</v>
      </c>
      <c r="AQ1952" t="str">
        <f>"034"</f>
        <v>034</v>
      </c>
      <c r="AR1952">
        <v>0</v>
      </c>
      <c r="AS1952">
        <v>0</v>
      </c>
      <c r="AT1952">
        <v>3.11</v>
      </c>
      <c r="AX1952" t="str">
        <f>"E000320964"</f>
        <v>E000320964</v>
      </c>
      <c r="BD1952" t="str">
        <f>"ערן שלו"</f>
        <v>ערן שלו</v>
      </c>
    </row>
    <row r="1953" spans="1:56" x14ac:dyDescent="0.3">
      <c r="A1953" s="1">
        <v>44524</v>
      </c>
      <c r="B1953" t="str">
        <f>"SI216001650"</f>
        <v>SI216001650</v>
      </c>
      <c r="E1953" t="str">
        <f>"Y"</f>
        <v>Y</v>
      </c>
      <c r="F1953" t="str">
        <f>"חשבוניות מרכזות"</f>
        <v>חשבוניות מרכזות</v>
      </c>
      <c r="G1953" t="str">
        <f>"700065"</f>
        <v>700065</v>
      </c>
      <c r="H1953" t="str">
        <f>"אלתא מערכות בע""מ"</f>
        <v>אלתא מערכות בע"מ</v>
      </c>
      <c r="I1953" t="str">
        <f>"10"</f>
        <v>10</v>
      </c>
      <c r="J1953" t="str">
        <f>"OP-AR02041"</f>
        <v>OP-AR02041</v>
      </c>
      <c r="K1953" t="str">
        <f>"PDB1 1038C860-001"</f>
        <v>PDB1 1038C860-001</v>
      </c>
      <c r="L1953">
        <v>1</v>
      </c>
      <c r="M1953" t="str">
        <f>"יח"</f>
        <v>יח</v>
      </c>
      <c r="N1953">
        <v>1</v>
      </c>
      <c r="O1953" t="str">
        <f>"יח"</f>
        <v>יח</v>
      </c>
      <c r="P1953" s="2">
        <v>38545</v>
      </c>
      <c r="Q1953" t="str">
        <f>"$"</f>
        <v>$</v>
      </c>
      <c r="R1953" t="str">
        <f>"הזמנה"</f>
        <v>הזמנה</v>
      </c>
      <c r="S1953">
        <v>0</v>
      </c>
      <c r="T1953" s="2">
        <v>38545</v>
      </c>
      <c r="U1953">
        <v>0</v>
      </c>
      <c r="V1953" s="2">
        <v>38545</v>
      </c>
      <c r="W1953" t="str">
        <f>"$"</f>
        <v>$</v>
      </c>
      <c r="X1953">
        <v>0</v>
      </c>
      <c r="Y1953">
        <v>0</v>
      </c>
      <c r="Z1953">
        <v>0</v>
      </c>
      <c r="AA1953" t="str">
        <f>"Y"</f>
        <v>Y</v>
      </c>
      <c r="AB1953" t="str">
        <f>"SO20000418"</f>
        <v>SO20000418</v>
      </c>
      <c r="AC1953">
        <v>21</v>
      </c>
      <c r="AD1953" s="1">
        <v>44083</v>
      </c>
      <c r="AE1953" t="str">
        <f>"SH22000188"</f>
        <v>SH22000188</v>
      </c>
      <c r="AF1953" t="str">
        <f>"משלוחים ללקוח"</f>
        <v>משלוחים ללקוח</v>
      </c>
      <c r="AG1953" s="1">
        <v>44609</v>
      </c>
      <c r="AM1953" t="str">
        <f>"10"</f>
        <v>10</v>
      </c>
      <c r="AN1953" t="str">
        <f>"500000"</f>
        <v>500000</v>
      </c>
      <c r="AO1953" t="str">
        <f>"הכנסות  מלקוחות"</f>
        <v>הכנסות  מלקוחות</v>
      </c>
      <c r="AQ1953" t="str">
        <f>"034"</f>
        <v>034</v>
      </c>
      <c r="AR1953">
        <v>0</v>
      </c>
      <c r="AS1953">
        <v>0</v>
      </c>
      <c r="AT1953">
        <v>3.11</v>
      </c>
      <c r="AX1953" t="str">
        <f>"E000320964"</f>
        <v>E000320964</v>
      </c>
      <c r="BD1953" t="str">
        <f>"ערן שלו"</f>
        <v>ערן שלו</v>
      </c>
    </row>
    <row r="1954" spans="1:56" x14ac:dyDescent="0.3">
      <c r="A1954" s="1">
        <v>44524</v>
      </c>
      <c r="B1954" t="str">
        <f>"CR217000141"</f>
        <v>CR217000141</v>
      </c>
      <c r="C1954" t="str">
        <f>"PR19000750"</f>
        <v>PR19000750</v>
      </c>
      <c r="D1954" t="str">
        <f>"PR19000750"</f>
        <v>PR19000750</v>
      </c>
      <c r="E1954" t="str">
        <f>"Y"</f>
        <v>Y</v>
      </c>
      <c r="F1954" t="str">
        <f>"חשבוניות זיכוי"</f>
        <v>חשבוניות זיכוי</v>
      </c>
      <c r="G1954" t="str">
        <f>"700065"</f>
        <v>700065</v>
      </c>
      <c r="H1954" t="str">
        <f>"אלתא מערכות בע""מ"</f>
        <v>אלתא מערכות בע"מ</v>
      </c>
      <c r="I1954" t="str">
        <f>"10"</f>
        <v>10</v>
      </c>
      <c r="J1954" t="str">
        <f>"9977"</f>
        <v>9977</v>
      </c>
      <c r="K1954" t="str">
        <f>"קנס פיגור באספקה"</f>
        <v>קנס פיגור באספקה</v>
      </c>
      <c r="L1954">
        <v>1</v>
      </c>
      <c r="M1954" t="str">
        <f>"חל"</f>
        <v>חל</v>
      </c>
      <c r="N1954">
        <v>1</v>
      </c>
      <c r="O1954" t="str">
        <f>"חל"</f>
        <v>חל</v>
      </c>
      <c r="P1954">
        <v>98.61</v>
      </c>
      <c r="Q1954" t="str">
        <f>"$"</f>
        <v>$</v>
      </c>
      <c r="R1954" t="str">
        <f>"הזמנה"</f>
        <v>הזמנה</v>
      </c>
      <c r="S1954">
        <v>0</v>
      </c>
      <c r="T1954">
        <v>98.61</v>
      </c>
      <c r="U1954">
        <v>0</v>
      </c>
      <c r="V1954">
        <v>98.61</v>
      </c>
      <c r="W1954" t="str">
        <f>"$"</f>
        <v>$</v>
      </c>
      <c r="X1954">
        <v>0</v>
      </c>
      <c r="Y1954">
        <v>0</v>
      </c>
      <c r="Z1954">
        <v>0</v>
      </c>
      <c r="AA1954" t="str">
        <f>"Y"</f>
        <v>Y</v>
      </c>
      <c r="AB1954" t="str">
        <f>"SO19000535"</f>
        <v>SO19000535</v>
      </c>
      <c r="AC1954">
        <v>14</v>
      </c>
      <c r="AD1954" s="1">
        <v>43823</v>
      </c>
      <c r="AM1954" t="str">
        <f>"10"</f>
        <v>10</v>
      </c>
      <c r="AN1954" t="str">
        <f>"500000"</f>
        <v>500000</v>
      </c>
      <c r="AO1954" t="str">
        <f>"הכנסות  מלקוחות"</f>
        <v>הכנסות  מלקוחות</v>
      </c>
      <c r="AQ1954" t="str">
        <f>"034"</f>
        <v>034</v>
      </c>
      <c r="AR1954">
        <v>0</v>
      </c>
      <c r="AS1954">
        <v>0</v>
      </c>
      <c r="AT1954">
        <v>3.2229999999999999</v>
      </c>
      <c r="AX1954" t="str">
        <f>"E000303378"</f>
        <v>E000303378</v>
      </c>
      <c r="BD1954" t="str">
        <f>"ערן שלו"</f>
        <v>ערן שלו</v>
      </c>
    </row>
    <row r="1955" spans="1:56" x14ac:dyDescent="0.3">
      <c r="A1955" s="1">
        <v>44523</v>
      </c>
      <c r="B1955" t="str">
        <f>"CR217000143"</f>
        <v>CR217000143</v>
      </c>
      <c r="C1955" t="str">
        <f>"PR19000750"</f>
        <v>PR19000750</v>
      </c>
      <c r="E1955" t="str">
        <f>"Y"</f>
        <v>Y</v>
      </c>
      <c r="F1955" t="str">
        <f>"חשבוניות זיכוי"</f>
        <v>חשבוניות זיכוי</v>
      </c>
      <c r="G1955" t="str">
        <f>"700065"</f>
        <v>700065</v>
      </c>
      <c r="H1955" t="str">
        <f>"אלתא מערכות בע""מ"</f>
        <v>אלתא מערכות בע"מ</v>
      </c>
      <c r="I1955" t="str">
        <f>"05"</f>
        <v>05</v>
      </c>
      <c r="J1955" t="str">
        <f>"9977"</f>
        <v>9977</v>
      </c>
      <c r="K1955" t="str">
        <f>"קנס פיגור באספקה"</f>
        <v>קנס פיגור באספקה</v>
      </c>
      <c r="L1955">
        <v>1</v>
      </c>
      <c r="M1955" t="str">
        <f>"חל"</f>
        <v>חל</v>
      </c>
      <c r="N1955">
        <v>1</v>
      </c>
      <c r="O1955" t="str">
        <f>"חל"</f>
        <v>חל</v>
      </c>
      <c r="P1955">
        <v>98.61</v>
      </c>
      <c r="Q1955" t="str">
        <f>"$"</f>
        <v>$</v>
      </c>
      <c r="R1955" t="str">
        <f>"הזמנה"</f>
        <v>הזמנה</v>
      </c>
      <c r="S1955">
        <v>0</v>
      </c>
      <c r="T1955">
        <v>98.61</v>
      </c>
      <c r="U1955">
        <v>0</v>
      </c>
      <c r="V1955">
        <v>98.61</v>
      </c>
      <c r="W1955" t="str">
        <f>"$"</f>
        <v>$</v>
      </c>
      <c r="X1955">
        <v>0</v>
      </c>
      <c r="Y1955">
        <v>0</v>
      </c>
      <c r="Z1955">
        <v>0</v>
      </c>
      <c r="AA1955" t="str">
        <f>"Y"</f>
        <v>Y</v>
      </c>
      <c r="AC1955">
        <v>0</v>
      </c>
      <c r="AM1955" t="str">
        <f>"10"</f>
        <v>10</v>
      </c>
      <c r="AN1955" t="str">
        <f>"500000"</f>
        <v>500000</v>
      </c>
      <c r="AO1955" t="str">
        <f>"הכנסות  מלקוחות"</f>
        <v>הכנסות  מלקוחות</v>
      </c>
      <c r="AQ1955" t="str">
        <f>"034"</f>
        <v>034</v>
      </c>
      <c r="AR1955">
        <v>0</v>
      </c>
      <c r="AS1955">
        <v>0</v>
      </c>
      <c r="AT1955">
        <v>3.089</v>
      </c>
      <c r="BB1955" t="str">
        <f>"Y"</f>
        <v>Y</v>
      </c>
      <c r="BD1955" t="str">
        <f>"ערן שלו"</f>
        <v>ערן שלו</v>
      </c>
    </row>
    <row r="1956" spans="1:56" x14ac:dyDescent="0.3">
      <c r="A1956" s="1">
        <v>44523</v>
      </c>
      <c r="B1956" t="str">
        <f>"CR217000140"</f>
        <v>CR217000140</v>
      </c>
      <c r="E1956" t="str">
        <f>"Y"</f>
        <v>Y</v>
      </c>
      <c r="F1956" t="str">
        <f>"חשבוניות זיכוי"</f>
        <v>חשבוניות זיכוי</v>
      </c>
      <c r="G1956" t="str">
        <f>"700065"</f>
        <v>700065</v>
      </c>
      <c r="H1956" t="str">
        <f>"אלתא מערכות בע""מ"</f>
        <v>אלתא מערכות בע"מ</v>
      </c>
      <c r="I1956" t="str">
        <f>"10"</f>
        <v>10</v>
      </c>
      <c r="J1956" t="str">
        <f>"9977"</f>
        <v>9977</v>
      </c>
      <c r="K1956" t="str">
        <f>"קנס פיגור באספקה"</f>
        <v>קנס פיגור באספקה</v>
      </c>
      <c r="L1956">
        <v>1</v>
      </c>
      <c r="M1956" t="str">
        <f>"חל"</f>
        <v>חל</v>
      </c>
      <c r="N1956">
        <v>1</v>
      </c>
      <c r="O1956" t="str">
        <f>"חל"</f>
        <v>חל</v>
      </c>
      <c r="P1956">
        <v>673.95</v>
      </c>
      <c r="Q1956" t="str">
        <f>"$"</f>
        <v>$</v>
      </c>
      <c r="R1956" t="str">
        <f>"הזמנה"</f>
        <v>הזמנה</v>
      </c>
      <c r="S1956">
        <v>0</v>
      </c>
      <c r="T1956">
        <v>673.95</v>
      </c>
      <c r="U1956">
        <v>0</v>
      </c>
      <c r="V1956">
        <v>673.95</v>
      </c>
      <c r="W1956" t="str">
        <f>"$"</f>
        <v>$</v>
      </c>
      <c r="X1956">
        <v>0</v>
      </c>
      <c r="Y1956">
        <v>0</v>
      </c>
      <c r="Z1956">
        <v>0</v>
      </c>
      <c r="AA1956" t="str">
        <f>"Y"</f>
        <v>Y</v>
      </c>
      <c r="AB1956" t="str">
        <f>"SO20000381"</f>
        <v>SO20000381</v>
      </c>
      <c r="AC1956">
        <v>19</v>
      </c>
      <c r="AD1956" s="1">
        <v>44073</v>
      </c>
      <c r="AM1956" t="str">
        <f>"10"</f>
        <v>10</v>
      </c>
      <c r="AN1956" t="str">
        <f>"500000"</f>
        <v>500000</v>
      </c>
      <c r="AO1956" t="str">
        <f>"הכנסות  מלקוחות"</f>
        <v>הכנסות  מלקוחות</v>
      </c>
      <c r="AQ1956" t="str">
        <f>"034"</f>
        <v>034</v>
      </c>
      <c r="AR1956">
        <v>0</v>
      </c>
      <c r="AS1956">
        <v>0</v>
      </c>
      <c r="AT1956">
        <v>3.2229999999999999</v>
      </c>
      <c r="AX1956" t="str">
        <f>"E000319715"</f>
        <v>E000319715</v>
      </c>
      <c r="BD1956" t="str">
        <f>"ערן שלו"</f>
        <v>ערן שלו</v>
      </c>
    </row>
    <row r="1957" spans="1:56" x14ac:dyDescent="0.3">
      <c r="A1957" s="1">
        <v>44523</v>
      </c>
      <c r="B1957" t="str">
        <f>"CR217000139"</f>
        <v>CR217000139</v>
      </c>
      <c r="E1957" t="str">
        <f>"Y"</f>
        <v>Y</v>
      </c>
      <c r="F1957" t="str">
        <f>"חשבוניות זיכוי"</f>
        <v>חשבוניות זיכוי</v>
      </c>
      <c r="G1957" t="str">
        <f>"700065"</f>
        <v>700065</v>
      </c>
      <c r="H1957" t="str">
        <f>"אלתא מערכות בע""מ"</f>
        <v>אלתא מערכות בע"מ</v>
      </c>
      <c r="I1957" t="str">
        <f>"10"</f>
        <v>10</v>
      </c>
      <c r="J1957" t="str">
        <f>"9977"</f>
        <v>9977</v>
      </c>
      <c r="K1957" t="str">
        <f>"קנס פיגור באספקה"</f>
        <v>קנס פיגור באספקה</v>
      </c>
      <c r="L1957">
        <v>1</v>
      </c>
      <c r="M1957" t="str">
        <f>"חל"</f>
        <v>חל</v>
      </c>
      <c r="N1957">
        <v>1</v>
      </c>
      <c r="O1957" t="str">
        <f>"חל"</f>
        <v>חל</v>
      </c>
      <c r="P1957">
        <v>92.13</v>
      </c>
      <c r="Q1957" t="str">
        <f>"$"</f>
        <v>$</v>
      </c>
      <c r="R1957" t="str">
        <f>"ידני"</f>
        <v>ידני</v>
      </c>
      <c r="S1957">
        <v>0</v>
      </c>
      <c r="T1957">
        <v>92.13</v>
      </c>
      <c r="U1957">
        <v>0</v>
      </c>
      <c r="V1957">
        <v>92.13</v>
      </c>
      <c r="W1957" t="str">
        <f>"$"</f>
        <v>$</v>
      </c>
      <c r="X1957">
        <v>0</v>
      </c>
      <c r="Y1957">
        <v>0</v>
      </c>
      <c r="Z1957">
        <v>0</v>
      </c>
      <c r="AA1957" t="str">
        <f>"Y"</f>
        <v>Y</v>
      </c>
      <c r="AB1957" t="str">
        <f>"SO21000112"</f>
        <v>SO21000112</v>
      </c>
      <c r="AC1957">
        <v>2</v>
      </c>
      <c r="AD1957" s="1">
        <v>44265</v>
      </c>
      <c r="AM1957" t="str">
        <f>"10"</f>
        <v>10</v>
      </c>
      <c r="AN1957" t="str">
        <f>"500000"</f>
        <v>500000</v>
      </c>
      <c r="AO1957" t="str">
        <f>"הכנסות  מלקוחות"</f>
        <v>הכנסות  מלקוחות</v>
      </c>
      <c r="AQ1957" t="str">
        <f>"040"</f>
        <v>040</v>
      </c>
      <c r="AR1957">
        <v>0</v>
      </c>
      <c r="AS1957">
        <v>0</v>
      </c>
      <c r="AT1957">
        <v>3.214</v>
      </c>
      <c r="AX1957" t="str">
        <f>"E000334761"</f>
        <v>E000334761</v>
      </c>
      <c r="BD1957" t="str">
        <f>"רחמים זרוק"</f>
        <v>רחמים זרוק</v>
      </c>
    </row>
    <row r="1958" spans="1:56" x14ac:dyDescent="0.3">
      <c r="A1958" s="1">
        <v>44518</v>
      </c>
      <c r="B1958" t="str">
        <f>"SI216001625"</f>
        <v>SI216001625</v>
      </c>
      <c r="C1958" t="str">
        <f>"PR20000778"</f>
        <v>PR20000778</v>
      </c>
      <c r="E1958" t="str">
        <f>"Y"</f>
        <v>Y</v>
      </c>
      <c r="F1958" t="str">
        <f>"חשבוניות מרכזות"</f>
        <v>חשבוניות מרכזות</v>
      </c>
      <c r="G1958" t="str">
        <f>"700065"</f>
        <v>700065</v>
      </c>
      <c r="H1958" t="str">
        <f>"אלתא מערכות בע""מ"</f>
        <v>אלתא מערכות בע"מ</v>
      </c>
      <c r="I1958" t="str">
        <f>"05"</f>
        <v>05</v>
      </c>
      <c r="J1958" t="str">
        <f>"OP-PD02880"</f>
        <v>OP-PD02880</v>
      </c>
      <c r="K1958" t="str">
        <f>"POWER DISTRIBUTION BOARD 06/07-SOCD"</f>
        <v>POWER DISTRIBUTION BOARD 06/07-SOCD</v>
      </c>
      <c r="L1958">
        <v>2</v>
      </c>
      <c r="M1958" t="str">
        <f>"יח"</f>
        <v>יח</v>
      </c>
      <c r="N1958">
        <v>2</v>
      </c>
      <c r="O1958" t="str">
        <f>"יח"</f>
        <v>יח</v>
      </c>
      <c r="P1958" s="2">
        <v>47244</v>
      </c>
      <c r="Q1958" t="str">
        <f>"$"</f>
        <v>$</v>
      </c>
      <c r="R1958" t="str">
        <f>"הזמנה"</f>
        <v>הזמנה</v>
      </c>
      <c r="S1958">
        <v>0</v>
      </c>
      <c r="T1958" s="2">
        <v>94488</v>
      </c>
      <c r="U1958">
        <v>0</v>
      </c>
      <c r="V1958" s="2">
        <v>94488</v>
      </c>
      <c r="W1958" t="str">
        <f>"$"</f>
        <v>$</v>
      </c>
      <c r="X1958">
        <v>0</v>
      </c>
      <c r="Y1958">
        <v>0</v>
      </c>
      <c r="Z1958">
        <v>0</v>
      </c>
      <c r="AA1958" t="str">
        <f>"Y"</f>
        <v>Y</v>
      </c>
      <c r="AB1958" t="str">
        <f>"SO21000184"</f>
        <v>SO21000184</v>
      </c>
      <c r="AC1958">
        <v>19</v>
      </c>
      <c r="AD1958" s="1">
        <v>44307</v>
      </c>
      <c r="AE1958" t="str">
        <f>"SH21001943"</f>
        <v>SH21001943</v>
      </c>
      <c r="AF1958" t="str">
        <f>"משלוחים ללקוח"</f>
        <v>משלוחים ללקוח</v>
      </c>
      <c r="AG1958" s="1">
        <v>44518</v>
      </c>
      <c r="AM1958" t="str">
        <f>"10"</f>
        <v>10</v>
      </c>
      <c r="AN1958" t="str">
        <f>"500000"</f>
        <v>500000</v>
      </c>
      <c r="AO1958" t="str">
        <f>"הכנסות  מלקוחות"</f>
        <v>הכנסות  מלקוחות</v>
      </c>
      <c r="AQ1958" t="str">
        <f>"034"</f>
        <v>034</v>
      </c>
      <c r="AR1958">
        <v>0</v>
      </c>
      <c r="AS1958">
        <v>0</v>
      </c>
      <c r="AT1958">
        <v>3.0739999999999998</v>
      </c>
      <c r="AX1958" t="str">
        <f>"E000336430"</f>
        <v>E000336430</v>
      </c>
      <c r="BD1958" t="str">
        <f>"ערן שלו"</f>
        <v>ערן שלו</v>
      </c>
    </row>
    <row r="1959" spans="1:56" x14ac:dyDescent="0.3">
      <c r="A1959" s="1">
        <v>44518</v>
      </c>
      <c r="B1959" t="str">
        <f>"SI216001624"</f>
        <v>SI216001624</v>
      </c>
      <c r="C1959" t="str">
        <f>"PR20000777"</f>
        <v>PR20000777</v>
      </c>
      <c r="E1959" t="str">
        <f>"Y"</f>
        <v>Y</v>
      </c>
      <c r="F1959" t="str">
        <f>"חשבוניות מרכזות"</f>
        <v>חשבוניות מרכזות</v>
      </c>
      <c r="G1959" t="str">
        <f>"700065"</f>
        <v>700065</v>
      </c>
      <c r="H1959" t="str">
        <f>"אלתא מערכות בע""מ"</f>
        <v>אלתא מערכות בע"מ</v>
      </c>
      <c r="I1959" t="str">
        <f>"05"</f>
        <v>05</v>
      </c>
      <c r="J1959" t="str">
        <f>"OP-PD02881"</f>
        <v>OP-PD02881</v>
      </c>
      <c r="K1959" t="str">
        <f>"POWER DISTRIBUTION BOARD 09-SOCD"</f>
        <v>POWER DISTRIBUTION BOARD 09-SOCD</v>
      </c>
      <c r="L1959">
        <v>1</v>
      </c>
      <c r="M1959" t="str">
        <f>"יח"</f>
        <v>יח</v>
      </c>
      <c r="N1959">
        <v>1</v>
      </c>
      <c r="O1959" t="str">
        <f>"יח"</f>
        <v>יח</v>
      </c>
      <c r="P1959" s="2">
        <v>39999.300000000003</v>
      </c>
      <c r="Q1959" t="str">
        <f>"$"</f>
        <v>$</v>
      </c>
      <c r="R1959" t="str">
        <f>"הזמנה"</f>
        <v>הזמנה</v>
      </c>
      <c r="S1959">
        <v>0</v>
      </c>
      <c r="T1959" s="2">
        <v>39999.300000000003</v>
      </c>
      <c r="U1959">
        <v>0</v>
      </c>
      <c r="V1959" s="2">
        <v>39999.300000000003</v>
      </c>
      <c r="W1959" t="str">
        <f>"$"</f>
        <v>$</v>
      </c>
      <c r="X1959">
        <v>0</v>
      </c>
      <c r="Y1959">
        <v>0</v>
      </c>
      <c r="Z1959">
        <v>0</v>
      </c>
      <c r="AA1959" t="str">
        <f>"Y"</f>
        <v>Y</v>
      </c>
      <c r="AB1959" t="str">
        <f>"SO21000184"</f>
        <v>SO21000184</v>
      </c>
      <c r="AC1959">
        <v>17</v>
      </c>
      <c r="AD1959" s="1">
        <v>44307</v>
      </c>
      <c r="AE1959" t="str">
        <f>"SH21001946"</f>
        <v>SH21001946</v>
      </c>
      <c r="AF1959" t="str">
        <f>"משלוחים ללקוח"</f>
        <v>משלוחים ללקוח</v>
      </c>
      <c r="AG1959" s="1">
        <v>44518</v>
      </c>
      <c r="AM1959" t="str">
        <f>"10"</f>
        <v>10</v>
      </c>
      <c r="AN1959" t="str">
        <f>"500000"</f>
        <v>500000</v>
      </c>
      <c r="AO1959" t="str">
        <f>"הכנסות  מלקוחות"</f>
        <v>הכנסות  מלקוחות</v>
      </c>
      <c r="AQ1959" t="str">
        <f>"034"</f>
        <v>034</v>
      </c>
      <c r="AR1959">
        <v>0</v>
      </c>
      <c r="AS1959">
        <v>0</v>
      </c>
      <c r="AT1959">
        <v>3.0739999999999998</v>
      </c>
      <c r="AX1959" t="str">
        <f>"E000336430"</f>
        <v>E000336430</v>
      </c>
      <c r="BD1959" t="str">
        <f>"ערן שלו"</f>
        <v>ערן שלו</v>
      </c>
    </row>
    <row r="1960" spans="1:56" x14ac:dyDescent="0.3">
      <c r="A1960" s="1">
        <v>44515</v>
      </c>
      <c r="B1960" t="str">
        <f>"SI216001670"</f>
        <v>SI216001670</v>
      </c>
      <c r="C1960" t="str">
        <f>"PR21000341"</f>
        <v>PR21000341</v>
      </c>
      <c r="E1960" t="str">
        <f>"Y"</f>
        <v>Y</v>
      </c>
      <c r="F1960" t="str">
        <f>"חשבוניות מרכזות"</f>
        <v>חשבוניות מרכזות</v>
      </c>
      <c r="G1960" t="str">
        <f>"700065"</f>
        <v>700065</v>
      </c>
      <c r="H1960" t="str">
        <f>"אלתא מערכות בע""מ"</f>
        <v>אלתא מערכות בע"מ</v>
      </c>
      <c r="I1960" t="str">
        <f>"10"</f>
        <v>10</v>
      </c>
      <c r="J1960" t="str">
        <f>"PA1001980"</f>
        <v>PA1001980</v>
      </c>
      <c r="K1960" t="str">
        <f>"M80-4803805   CONNECTOR 19+19 contacts"</f>
        <v>M80-4803805   CONNECTOR 19+19 contacts</v>
      </c>
      <c r="L1960">
        <v>42</v>
      </c>
      <c r="M1960" t="str">
        <f>"יח"</f>
        <v>יח</v>
      </c>
      <c r="N1960">
        <v>42</v>
      </c>
      <c r="O1960" t="str">
        <f>"יח"</f>
        <v>יח</v>
      </c>
      <c r="P1960">
        <v>16.8</v>
      </c>
      <c r="Q1960" t="str">
        <f>"$"</f>
        <v>$</v>
      </c>
      <c r="R1960" t="str">
        <f>"הזמנה"</f>
        <v>הזמנה</v>
      </c>
      <c r="S1960">
        <v>0</v>
      </c>
      <c r="T1960">
        <v>705.6</v>
      </c>
      <c r="U1960">
        <v>0</v>
      </c>
      <c r="V1960">
        <v>705.6</v>
      </c>
      <c r="W1960" t="str">
        <f>"$"</f>
        <v>$</v>
      </c>
      <c r="X1960">
        <v>0</v>
      </c>
      <c r="Y1960">
        <v>0</v>
      </c>
      <c r="Z1960">
        <v>0</v>
      </c>
      <c r="AA1960" t="str">
        <f>"Y"</f>
        <v>Y</v>
      </c>
      <c r="AB1960" t="str">
        <f>"SO21000234"</f>
        <v>SO21000234</v>
      </c>
      <c r="AC1960">
        <v>2</v>
      </c>
      <c r="AD1960" s="1">
        <v>44341</v>
      </c>
      <c r="AE1960" t="str">
        <f>"SH21001896"</f>
        <v>SH21001896</v>
      </c>
      <c r="AF1960" t="str">
        <f>"משלוחים ללקוח"</f>
        <v>משלוחים ללקוח</v>
      </c>
      <c r="AG1960" s="1">
        <v>44514</v>
      </c>
      <c r="AM1960" t="str">
        <f>"10"</f>
        <v>10</v>
      </c>
      <c r="AN1960" t="str">
        <f>"500000"</f>
        <v>500000</v>
      </c>
      <c r="AO1960" t="str">
        <f>"הכנסות  מלקוחות"</f>
        <v>הכנסות  מלקוחות</v>
      </c>
      <c r="AQ1960" t="str">
        <f>"040"</f>
        <v>040</v>
      </c>
      <c r="AR1960">
        <v>0</v>
      </c>
      <c r="AS1960">
        <v>0</v>
      </c>
      <c r="AT1960">
        <v>3.1120000000000001</v>
      </c>
      <c r="AX1960" t="str">
        <f>"E000338888"</f>
        <v>E000338888</v>
      </c>
      <c r="BD1960" t="str">
        <f>"רחמים זרוק"</f>
        <v>רחמים זרוק</v>
      </c>
    </row>
    <row r="1961" spans="1:56" x14ac:dyDescent="0.3">
      <c r="A1961" s="1">
        <v>44515</v>
      </c>
      <c r="B1961" t="str">
        <f>"SI216001669"</f>
        <v>SI216001669</v>
      </c>
      <c r="C1961" t="str">
        <f>"PR21000592"</f>
        <v>PR21000592</v>
      </c>
      <c r="E1961" t="str">
        <f>"Y"</f>
        <v>Y</v>
      </c>
      <c r="F1961" t="str">
        <f>"חשבוניות מרכזות"</f>
        <v>חשבוניות מרכזות</v>
      </c>
      <c r="G1961" t="str">
        <f>"700065"</f>
        <v>700065</v>
      </c>
      <c r="H1961" t="str">
        <f>"אלתא מערכות בע""מ"</f>
        <v>אלתא מערכות בע"מ</v>
      </c>
      <c r="I1961" t="str">
        <f>"10"</f>
        <v>10</v>
      </c>
      <c r="J1961" t="str">
        <f>"OP-AR02200"</f>
        <v>OP-AR02200</v>
      </c>
      <c r="K1961" t="str">
        <f>"9008C162-001   HARNESS WT162 - DAU CONTROL NOSE"</f>
        <v>9008C162-001   HARNESS WT162 - DAU CONTROL NOSE</v>
      </c>
      <c r="L1961">
        <v>1</v>
      </c>
      <c r="M1961" t="str">
        <f>"יח"</f>
        <v>יח</v>
      </c>
      <c r="N1961">
        <v>1</v>
      </c>
      <c r="O1961" t="str">
        <f>"יח"</f>
        <v>יח</v>
      </c>
      <c r="P1961">
        <v>735.23</v>
      </c>
      <c r="Q1961" t="str">
        <f>"$"</f>
        <v>$</v>
      </c>
      <c r="R1961" t="str">
        <f>"הזמנה"</f>
        <v>הזמנה</v>
      </c>
      <c r="S1961">
        <v>0</v>
      </c>
      <c r="T1961">
        <v>735.23</v>
      </c>
      <c r="U1961">
        <v>0</v>
      </c>
      <c r="V1961">
        <v>735.23</v>
      </c>
      <c r="W1961" t="str">
        <f>"$"</f>
        <v>$</v>
      </c>
      <c r="X1961">
        <v>0</v>
      </c>
      <c r="Y1961">
        <v>0</v>
      </c>
      <c r="Z1961">
        <v>0</v>
      </c>
      <c r="AA1961" t="str">
        <f>"Y"</f>
        <v>Y</v>
      </c>
      <c r="AB1961" t="str">
        <f>"SO21000376"</f>
        <v>SO21000376</v>
      </c>
      <c r="AC1961">
        <v>1</v>
      </c>
      <c r="AD1961" s="1">
        <v>44427</v>
      </c>
      <c r="AE1961" t="str">
        <f>"SH21001894"</f>
        <v>SH21001894</v>
      </c>
      <c r="AF1961" t="str">
        <f>"משלוחים ללקוח"</f>
        <v>משלוחים ללקוח</v>
      </c>
      <c r="AG1961" s="1">
        <v>44514</v>
      </c>
      <c r="AM1961" t="str">
        <f>"10"</f>
        <v>10</v>
      </c>
      <c r="AN1961" t="str">
        <f>"500000"</f>
        <v>500000</v>
      </c>
      <c r="AO1961" t="str">
        <f>"הכנסות  מלקוחות"</f>
        <v>הכנסות  מלקוחות</v>
      </c>
      <c r="AQ1961" t="str">
        <f>"040"</f>
        <v>040</v>
      </c>
      <c r="AR1961">
        <v>0</v>
      </c>
      <c r="AS1961">
        <v>0</v>
      </c>
      <c r="AT1961">
        <v>3.1120000000000001</v>
      </c>
      <c r="AX1961" t="str">
        <f>"E000345674"</f>
        <v>E000345674</v>
      </c>
      <c r="BD1961" t="str">
        <f>"רחמים זרוק"</f>
        <v>רחמים זרוק</v>
      </c>
    </row>
    <row r="1962" spans="1:56" x14ac:dyDescent="0.3">
      <c r="A1962" s="1">
        <v>44515</v>
      </c>
      <c r="B1962" t="str">
        <f>"SI216001668"</f>
        <v>SI216001668</v>
      </c>
      <c r="C1962" t="str">
        <f>"PR21000277"</f>
        <v>PR21000277</v>
      </c>
      <c r="E1962" t="str">
        <f>"Y"</f>
        <v>Y</v>
      </c>
      <c r="F1962" t="str">
        <f>"חשבוניות מרכזות"</f>
        <v>חשבוניות מרכזות</v>
      </c>
      <c r="G1962" t="str">
        <f>"700065"</f>
        <v>700065</v>
      </c>
      <c r="H1962" t="str">
        <f>"אלתא מערכות בע""מ"</f>
        <v>אלתא מערכות בע"מ</v>
      </c>
      <c r="I1962" t="str">
        <f>"10"</f>
        <v>10</v>
      </c>
      <c r="J1962" t="str">
        <f>"OP-AR02455"</f>
        <v>OP-AR02455</v>
      </c>
      <c r="K1962" t="str">
        <f>"1093Y438-002   HARNESS - POWER SUPPLY CONTROL TO TOP BO"</f>
        <v>1093Y438-002   HARNESS - POWER SUPPLY CONTROL TO TOP BO</v>
      </c>
      <c r="L1962">
        <v>11</v>
      </c>
      <c r="M1962" t="str">
        <f>"יח"</f>
        <v>יח</v>
      </c>
      <c r="N1962">
        <v>11</v>
      </c>
      <c r="O1962" t="str">
        <f>"יח"</f>
        <v>יח</v>
      </c>
      <c r="P1962">
        <v>212.59</v>
      </c>
      <c r="Q1962" t="str">
        <f>"$"</f>
        <v>$</v>
      </c>
      <c r="R1962" t="str">
        <f>"הזמנה"</f>
        <v>הזמנה</v>
      </c>
      <c r="S1962">
        <v>0</v>
      </c>
      <c r="T1962" s="2">
        <v>2338.4899999999998</v>
      </c>
      <c r="U1962">
        <v>0</v>
      </c>
      <c r="V1962" s="2">
        <v>2338.4899999999998</v>
      </c>
      <c r="W1962" t="str">
        <f>"$"</f>
        <v>$</v>
      </c>
      <c r="X1962">
        <v>0</v>
      </c>
      <c r="Y1962">
        <v>0</v>
      </c>
      <c r="Z1962">
        <v>0</v>
      </c>
      <c r="AA1962" t="str">
        <f>"Y"</f>
        <v>Y</v>
      </c>
      <c r="AB1962" t="str">
        <f>"SO21000174"</f>
        <v>SO21000174</v>
      </c>
      <c r="AC1962">
        <v>3</v>
      </c>
      <c r="AD1962" s="1">
        <v>44306</v>
      </c>
      <c r="AE1962" t="str">
        <f>"SH21001901"</f>
        <v>SH21001901</v>
      </c>
      <c r="AF1962" t="str">
        <f>"משלוחים ללקוח"</f>
        <v>משלוחים ללקוח</v>
      </c>
      <c r="AG1962" s="1">
        <v>44514</v>
      </c>
      <c r="AM1962" t="str">
        <f>"10"</f>
        <v>10</v>
      </c>
      <c r="AN1962" t="str">
        <f>"500000"</f>
        <v>500000</v>
      </c>
      <c r="AO1962" t="str">
        <f>"הכנסות  מלקוחות"</f>
        <v>הכנסות  מלקוחות</v>
      </c>
      <c r="AQ1962" t="str">
        <f>"040"</f>
        <v>040</v>
      </c>
      <c r="AR1962">
        <v>0</v>
      </c>
      <c r="AS1962">
        <v>0</v>
      </c>
      <c r="AT1962">
        <v>3.1120000000000001</v>
      </c>
      <c r="AX1962" t="str">
        <f>"E000336835"</f>
        <v>E000336835</v>
      </c>
      <c r="BD1962" t="str">
        <f>"רחמים זרוק"</f>
        <v>רחמים זרוק</v>
      </c>
    </row>
    <row r="1963" spans="1:56" x14ac:dyDescent="0.3">
      <c r="A1963" s="1">
        <v>44515</v>
      </c>
      <c r="B1963" t="str">
        <f>"SI216001668"</f>
        <v>SI216001668</v>
      </c>
      <c r="C1963" t="str">
        <f>"PR21000277"</f>
        <v>PR21000277</v>
      </c>
      <c r="E1963" t="str">
        <f>"Y"</f>
        <v>Y</v>
      </c>
      <c r="F1963" t="str">
        <f>"חשבוניות מרכזות"</f>
        <v>חשבוניות מרכזות</v>
      </c>
      <c r="G1963" t="str">
        <f>"700065"</f>
        <v>700065</v>
      </c>
      <c r="H1963" t="str">
        <f>"אלתא מערכות בע""מ"</f>
        <v>אלתא מערכות בע"מ</v>
      </c>
      <c r="I1963" t="str">
        <f>"10"</f>
        <v>10</v>
      </c>
      <c r="J1963" t="str">
        <f>"OP-AR02456"</f>
        <v>OP-AR02456</v>
      </c>
      <c r="K1963" t="str">
        <f>"1093Y439-001   HARNESS - POWER SUPPLY POWER OUTTO TOP B"</f>
        <v>1093Y439-001   HARNESS - POWER SUPPLY POWER OUTTO TOP B</v>
      </c>
      <c r="L1963">
        <v>15</v>
      </c>
      <c r="M1963" t="str">
        <f>"יח"</f>
        <v>יח</v>
      </c>
      <c r="N1963">
        <v>15</v>
      </c>
      <c r="O1963" t="str">
        <f>"יח"</f>
        <v>יח</v>
      </c>
      <c r="P1963">
        <v>146.84</v>
      </c>
      <c r="Q1963" t="str">
        <f>"$"</f>
        <v>$</v>
      </c>
      <c r="R1963" t="str">
        <f>"הזמנה"</f>
        <v>הזמנה</v>
      </c>
      <c r="S1963">
        <v>0</v>
      </c>
      <c r="T1963" s="2">
        <v>2202.6</v>
      </c>
      <c r="U1963">
        <v>0</v>
      </c>
      <c r="V1963" s="2">
        <v>2202.6</v>
      </c>
      <c r="W1963" t="str">
        <f>"$"</f>
        <v>$</v>
      </c>
      <c r="X1963">
        <v>0</v>
      </c>
      <c r="Y1963">
        <v>0</v>
      </c>
      <c r="Z1963">
        <v>0</v>
      </c>
      <c r="AA1963" t="str">
        <f>"Y"</f>
        <v>Y</v>
      </c>
      <c r="AB1963" t="str">
        <f>"SO21000174"</f>
        <v>SO21000174</v>
      </c>
      <c r="AC1963">
        <v>4</v>
      </c>
      <c r="AD1963" s="1">
        <v>44306</v>
      </c>
      <c r="AE1963" t="str">
        <f>"SH21001901"</f>
        <v>SH21001901</v>
      </c>
      <c r="AF1963" t="str">
        <f>"משלוחים ללקוח"</f>
        <v>משלוחים ללקוח</v>
      </c>
      <c r="AG1963" s="1">
        <v>44514</v>
      </c>
      <c r="AM1963" t="str">
        <f>"10"</f>
        <v>10</v>
      </c>
      <c r="AN1963" t="str">
        <f>"500000"</f>
        <v>500000</v>
      </c>
      <c r="AO1963" t="str">
        <f>"הכנסות  מלקוחות"</f>
        <v>הכנסות  מלקוחות</v>
      </c>
      <c r="AQ1963" t="str">
        <f>"040"</f>
        <v>040</v>
      </c>
      <c r="AR1963">
        <v>0</v>
      </c>
      <c r="AS1963">
        <v>0</v>
      </c>
      <c r="AT1963">
        <v>3.1120000000000001</v>
      </c>
      <c r="AX1963" t="str">
        <f>"E000336835"</f>
        <v>E000336835</v>
      </c>
      <c r="BD1963" t="str">
        <f>"רחמים זרוק"</f>
        <v>רחמים זרוק</v>
      </c>
    </row>
    <row r="1964" spans="1:56" x14ac:dyDescent="0.3">
      <c r="A1964" s="1">
        <v>44515</v>
      </c>
      <c r="B1964" t="str">
        <f>"SI216001667"</f>
        <v>SI216001667</v>
      </c>
      <c r="C1964" t="str">
        <f>"PR21000562"</f>
        <v>PR21000562</v>
      </c>
      <c r="D1964" t="str">
        <f>"PR21000562"</f>
        <v>PR21000562</v>
      </c>
      <c r="E1964" t="str">
        <f>"Y"</f>
        <v>Y</v>
      </c>
      <c r="F1964" t="str">
        <f>"חשבוניות מרכזות"</f>
        <v>חשבוניות מרכזות</v>
      </c>
      <c r="G1964" t="str">
        <f>"700065"</f>
        <v>700065</v>
      </c>
      <c r="H1964" t="str">
        <f>"אלתא מערכות בע""מ"</f>
        <v>אלתא מערכות בע"מ</v>
      </c>
      <c r="I1964" t="str">
        <f>"10"</f>
        <v>10</v>
      </c>
      <c r="J1964" t="str">
        <f>"OP-AR02688"</f>
        <v>OP-AR02688</v>
      </c>
      <c r="K1964" t="str">
        <f>"1037M802-001    HARNESS W0002 - POWER - PS TO SMR LEFT"</f>
        <v>1037M802-001    HARNESS W0002 - POWER - PS TO SMR LEFT</v>
      </c>
      <c r="L1964">
        <v>1</v>
      </c>
      <c r="M1964" t="str">
        <f>"יח"</f>
        <v>יח</v>
      </c>
      <c r="N1964">
        <v>1</v>
      </c>
      <c r="O1964" t="str">
        <f>"יח"</f>
        <v>יח</v>
      </c>
      <c r="P1964" s="2">
        <v>1260.77</v>
      </c>
      <c r="Q1964" t="str">
        <f>"$"</f>
        <v>$</v>
      </c>
      <c r="R1964" t="str">
        <f>"הזמנה"</f>
        <v>הזמנה</v>
      </c>
      <c r="S1964">
        <v>0</v>
      </c>
      <c r="T1964" s="2">
        <v>1260.77</v>
      </c>
      <c r="U1964">
        <v>0</v>
      </c>
      <c r="V1964" s="2">
        <v>1260.77</v>
      </c>
      <c r="W1964" t="str">
        <f>"$"</f>
        <v>$</v>
      </c>
      <c r="X1964">
        <v>0</v>
      </c>
      <c r="Y1964">
        <v>0</v>
      </c>
      <c r="Z1964">
        <v>0</v>
      </c>
      <c r="AA1964" t="str">
        <f>"Y"</f>
        <v>Y</v>
      </c>
      <c r="AB1964" t="str">
        <f>"SO21000361"</f>
        <v>SO21000361</v>
      </c>
      <c r="AC1964">
        <v>3</v>
      </c>
      <c r="AD1964" s="1">
        <v>44413</v>
      </c>
      <c r="AE1964" t="str">
        <f>"SH21001899"</f>
        <v>SH21001899</v>
      </c>
      <c r="AF1964" t="str">
        <f>"משלוחים ללקוח"</f>
        <v>משלוחים ללקוח</v>
      </c>
      <c r="AG1964" s="1">
        <v>44514</v>
      </c>
      <c r="AM1964" t="str">
        <f>"10"</f>
        <v>10</v>
      </c>
      <c r="AN1964" t="str">
        <f>"500000"</f>
        <v>500000</v>
      </c>
      <c r="AO1964" t="str">
        <f>"הכנסות  מלקוחות"</f>
        <v>הכנסות  מלקוחות</v>
      </c>
      <c r="AQ1964" t="str">
        <f>"040"</f>
        <v>040</v>
      </c>
      <c r="AR1964">
        <v>0</v>
      </c>
      <c r="AS1964">
        <v>0</v>
      </c>
      <c r="AT1964">
        <v>3.1120000000000001</v>
      </c>
      <c r="AX1964" t="str">
        <f>"E000344376"</f>
        <v>E000344376</v>
      </c>
      <c r="BD1964" t="str">
        <f>"רחמים זרוק"</f>
        <v>רחמים זרוק</v>
      </c>
    </row>
    <row r="1965" spans="1:56" x14ac:dyDescent="0.3">
      <c r="A1965" s="1">
        <v>44515</v>
      </c>
      <c r="B1965" t="str">
        <f>"SI216001667"</f>
        <v>SI216001667</v>
      </c>
      <c r="C1965" t="str">
        <f>"PR21000562"</f>
        <v>PR21000562</v>
      </c>
      <c r="D1965" t="str">
        <f>"PR21000562"</f>
        <v>PR21000562</v>
      </c>
      <c r="E1965" t="str">
        <f>"Y"</f>
        <v>Y</v>
      </c>
      <c r="F1965" t="str">
        <f>"חשבוניות מרכזות"</f>
        <v>חשבוניות מרכזות</v>
      </c>
      <c r="G1965" t="str">
        <f>"700065"</f>
        <v>700065</v>
      </c>
      <c r="H1965" t="str">
        <f>"אלתא מערכות בע""מ"</f>
        <v>אלתא מערכות בע"מ</v>
      </c>
      <c r="I1965" t="str">
        <f>"10"</f>
        <v>10</v>
      </c>
      <c r="J1965" t="str">
        <f>"OP-AR02688"</f>
        <v>OP-AR02688</v>
      </c>
      <c r="K1965" t="str">
        <f>"1037M802-001    HARNESS W0002 - POWER - PS TO SMR LEFT"</f>
        <v>1037M802-001    HARNESS W0002 - POWER - PS TO SMR LEFT</v>
      </c>
      <c r="L1965">
        <v>2</v>
      </c>
      <c r="M1965" t="str">
        <f>"יח"</f>
        <v>יח</v>
      </c>
      <c r="N1965">
        <v>2</v>
      </c>
      <c r="O1965" t="str">
        <f>"יח"</f>
        <v>יח</v>
      </c>
      <c r="P1965" s="2">
        <v>1260.77</v>
      </c>
      <c r="Q1965" t="str">
        <f>"$"</f>
        <v>$</v>
      </c>
      <c r="R1965" t="str">
        <f>"הזמנה"</f>
        <v>הזמנה</v>
      </c>
      <c r="S1965">
        <v>0</v>
      </c>
      <c r="T1965" s="2">
        <v>2521.54</v>
      </c>
      <c r="U1965">
        <v>0</v>
      </c>
      <c r="V1965" s="2">
        <v>2521.54</v>
      </c>
      <c r="W1965" t="str">
        <f>"$"</f>
        <v>$</v>
      </c>
      <c r="X1965">
        <v>0</v>
      </c>
      <c r="Y1965">
        <v>0</v>
      </c>
      <c r="Z1965">
        <v>0</v>
      </c>
      <c r="AA1965" t="str">
        <f>"Y"</f>
        <v>Y</v>
      </c>
      <c r="AB1965" t="str">
        <f>"SO21000361"</f>
        <v>SO21000361</v>
      </c>
      <c r="AC1965">
        <v>4</v>
      </c>
      <c r="AD1965" s="1">
        <v>44413</v>
      </c>
      <c r="AE1965" t="str">
        <f>"SH21001899"</f>
        <v>SH21001899</v>
      </c>
      <c r="AF1965" t="str">
        <f>"משלוחים ללקוח"</f>
        <v>משלוחים ללקוח</v>
      </c>
      <c r="AG1965" s="1">
        <v>44514</v>
      </c>
      <c r="AM1965" t="str">
        <f>"10"</f>
        <v>10</v>
      </c>
      <c r="AN1965" t="str">
        <f>"500000"</f>
        <v>500000</v>
      </c>
      <c r="AO1965" t="str">
        <f>"הכנסות  מלקוחות"</f>
        <v>הכנסות  מלקוחות</v>
      </c>
      <c r="AQ1965" t="str">
        <f>"040"</f>
        <v>040</v>
      </c>
      <c r="AR1965">
        <v>0</v>
      </c>
      <c r="AS1965">
        <v>0</v>
      </c>
      <c r="AT1965">
        <v>3.1120000000000001</v>
      </c>
      <c r="AX1965" t="str">
        <f>"E000344376"</f>
        <v>E000344376</v>
      </c>
      <c r="BD1965" t="str">
        <f>"רחמים זרוק"</f>
        <v>רחמים זרוק</v>
      </c>
    </row>
    <row r="1966" spans="1:56" x14ac:dyDescent="0.3">
      <c r="A1966" s="1">
        <v>44515</v>
      </c>
      <c r="B1966" t="str">
        <f>"SI216001666"</f>
        <v>SI216001666</v>
      </c>
      <c r="C1966" t="str">
        <f>"PR21000338"</f>
        <v>PR21000338</v>
      </c>
      <c r="D1966" t="str">
        <f>"PR21000338"</f>
        <v>PR21000338</v>
      </c>
      <c r="E1966" t="str">
        <f>"Y"</f>
        <v>Y</v>
      </c>
      <c r="F1966" t="str">
        <f>"חשבוניות מרכזות"</f>
        <v>חשבוניות מרכזות</v>
      </c>
      <c r="G1966" t="str">
        <f>"700065"</f>
        <v>700065</v>
      </c>
      <c r="H1966" t="str">
        <f>"אלתא מערכות בע""מ"</f>
        <v>אלתא מערכות בע"מ</v>
      </c>
      <c r="I1966" t="str">
        <f>"10"</f>
        <v>10</v>
      </c>
      <c r="J1966" t="str">
        <f>"OP-AR02572"</f>
        <v>OP-AR02572</v>
      </c>
      <c r="K1966" t="str">
        <f>"4060B721-001   W102 TRU SIGNAL CABLE"</f>
        <v>4060B721-001   W102 TRU SIGNAL CABLE</v>
      </c>
      <c r="L1966">
        <v>4</v>
      </c>
      <c r="M1966" t="str">
        <f>"יח"</f>
        <v>יח</v>
      </c>
      <c r="N1966">
        <v>4</v>
      </c>
      <c r="O1966" t="str">
        <f>"יח"</f>
        <v>יח</v>
      </c>
      <c r="P1966">
        <v>727.42</v>
      </c>
      <c r="Q1966" t="str">
        <f>"$"</f>
        <v>$</v>
      </c>
      <c r="R1966" t="str">
        <f>"הזמנה"</f>
        <v>הזמנה</v>
      </c>
      <c r="S1966">
        <v>0</v>
      </c>
      <c r="T1966" s="2">
        <v>2909.68</v>
      </c>
      <c r="U1966">
        <v>0</v>
      </c>
      <c r="V1966" s="2">
        <v>2909.68</v>
      </c>
      <c r="W1966" t="str">
        <f>"$"</f>
        <v>$</v>
      </c>
      <c r="X1966">
        <v>0</v>
      </c>
      <c r="Y1966">
        <v>0</v>
      </c>
      <c r="Z1966">
        <v>0</v>
      </c>
      <c r="AA1966" t="str">
        <f>"Y"</f>
        <v>Y</v>
      </c>
      <c r="AB1966" t="str">
        <f>"SO21000231"</f>
        <v>SO21000231</v>
      </c>
      <c r="AC1966">
        <v>4</v>
      </c>
      <c r="AD1966" s="1">
        <v>44340</v>
      </c>
      <c r="AE1966" t="str">
        <f>"SH21001902"</f>
        <v>SH21001902</v>
      </c>
      <c r="AF1966" t="str">
        <f>"משלוחים ללקוח"</f>
        <v>משלוחים ללקוח</v>
      </c>
      <c r="AG1966" s="1">
        <v>44514</v>
      </c>
      <c r="AM1966" t="str">
        <f>"10"</f>
        <v>10</v>
      </c>
      <c r="AN1966" t="str">
        <f>"500000"</f>
        <v>500000</v>
      </c>
      <c r="AO1966" t="str">
        <f>"הכנסות  מלקוחות"</f>
        <v>הכנסות  מלקוחות</v>
      </c>
      <c r="AQ1966" t="str">
        <f>"040"</f>
        <v>040</v>
      </c>
      <c r="AR1966">
        <v>0</v>
      </c>
      <c r="AS1966">
        <v>0</v>
      </c>
      <c r="AT1966">
        <v>3.1120000000000001</v>
      </c>
      <c r="AX1966" t="str">
        <f>"E000336473"</f>
        <v>E000336473</v>
      </c>
      <c r="BD1966" t="str">
        <f>"רחמים זרוק"</f>
        <v>רחמים זרוק</v>
      </c>
    </row>
    <row r="1967" spans="1:56" x14ac:dyDescent="0.3">
      <c r="A1967" s="1">
        <v>44515</v>
      </c>
      <c r="B1967" t="str">
        <f>"SI216001666"</f>
        <v>SI216001666</v>
      </c>
      <c r="C1967" t="str">
        <f>"PR21000338"</f>
        <v>PR21000338</v>
      </c>
      <c r="D1967" t="str">
        <f>"PR21000338"</f>
        <v>PR21000338</v>
      </c>
      <c r="E1967" t="str">
        <f>"Y"</f>
        <v>Y</v>
      </c>
      <c r="F1967" t="str">
        <f>"חשבוניות מרכזות"</f>
        <v>חשבוניות מרכזות</v>
      </c>
      <c r="G1967" t="str">
        <f>"700065"</f>
        <v>700065</v>
      </c>
      <c r="H1967" t="str">
        <f>"אלתא מערכות בע""מ"</f>
        <v>אלתא מערכות בע"מ</v>
      </c>
      <c r="I1967" t="str">
        <f>"10"</f>
        <v>10</v>
      </c>
      <c r="J1967" t="str">
        <f>"OP-AR02575"</f>
        <v>OP-AR02575</v>
      </c>
      <c r="K1967" t="str">
        <f>"5020G753-001   HARNESS WE001 - MAIN PR ATRU COM AND CO"</f>
        <v>5020G753-001   HARNESS WE001 - MAIN PR ATRU COM AND CO</v>
      </c>
      <c r="L1967">
        <v>2</v>
      </c>
      <c r="M1967" t="str">
        <f>"יח"</f>
        <v>יח</v>
      </c>
      <c r="N1967">
        <v>2</v>
      </c>
      <c r="O1967" t="str">
        <f>"יח"</f>
        <v>יח</v>
      </c>
      <c r="P1967" s="2">
        <v>1000.05</v>
      </c>
      <c r="Q1967" t="str">
        <f>"$"</f>
        <v>$</v>
      </c>
      <c r="R1967" t="str">
        <f>"הזמנה"</f>
        <v>הזמנה</v>
      </c>
      <c r="S1967">
        <v>0</v>
      </c>
      <c r="T1967" s="2">
        <v>2000.1</v>
      </c>
      <c r="U1967">
        <v>0</v>
      </c>
      <c r="V1967" s="2">
        <v>2000.1</v>
      </c>
      <c r="W1967" t="str">
        <f>"$"</f>
        <v>$</v>
      </c>
      <c r="X1967">
        <v>0</v>
      </c>
      <c r="Y1967">
        <v>0</v>
      </c>
      <c r="Z1967">
        <v>0</v>
      </c>
      <c r="AA1967" t="str">
        <f>"Y"</f>
        <v>Y</v>
      </c>
      <c r="AB1967" t="str">
        <f>"SO21000231"</f>
        <v>SO21000231</v>
      </c>
      <c r="AC1967">
        <v>7</v>
      </c>
      <c r="AD1967" s="1">
        <v>44340</v>
      </c>
      <c r="AE1967" t="str">
        <f>"SH21001902"</f>
        <v>SH21001902</v>
      </c>
      <c r="AF1967" t="str">
        <f>"משלוחים ללקוח"</f>
        <v>משלוחים ללקוח</v>
      </c>
      <c r="AG1967" s="1">
        <v>44514</v>
      </c>
      <c r="AM1967" t="str">
        <f>"10"</f>
        <v>10</v>
      </c>
      <c r="AN1967" t="str">
        <f>"500000"</f>
        <v>500000</v>
      </c>
      <c r="AO1967" t="str">
        <f>"הכנסות  מלקוחות"</f>
        <v>הכנסות  מלקוחות</v>
      </c>
      <c r="AQ1967" t="str">
        <f>"040"</f>
        <v>040</v>
      </c>
      <c r="AR1967">
        <v>0</v>
      </c>
      <c r="AS1967">
        <v>0</v>
      </c>
      <c r="AT1967">
        <v>3.1120000000000001</v>
      </c>
      <c r="AX1967" t="str">
        <f>"E000336473"</f>
        <v>E000336473</v>
      </c>
      <c r="BD1967" t="str">
        <f>"רחמים זרוק"</f>
        <v>רחמים זרוק</v>
      </c>
    </row>
    <row r="1968" spans="1:56" x14ac:dyDescent="0.3">
      <c r="A1968" s="1">
        <v>44515</v>
      </c>
      <c r="B1968" t="str">
        <f>"SI216001666"</f>
        <v>SI216001666</v>
      </c>
      <c r="C1968" t="str">
        <f>"PR21000338"</f>
        <v>PR21000338</v>
      </c>
      <c r="D1968" t="str">
        <f>"PR21000338"</f>
        <v>PR21000338</v>
      </c>
      <c r="E1968" t="str">
        <f>"Y"</f>
        <v>Y</v>
      </c>
      <c r="F1968" t="str">
        <f>"חשבוניות מרכזות"</f>
        <v>חשבוניות מרכזות</v>
      </c>
      <c r="G1968" t="str">
        <f>"700065"</f>
        <v>700065</v>
      </c>
      <c r="H1968" t="str">
        <f>"אלתא מערכות בע""מ"</f>
        <v>אלתא מערכות בע"מ</v>
      </c>
      <c r="I1968" t="str">
        <f>"10"</f>
        <v>10</v>
      </c>
      <c r="J1968" t="str">
        <f>"OP-AR02576"</f>
        <v>OP-AR02576</v>
      </c>
      <c r="K1968" t="str">
        <f>"5020G754-001   HARNESS WE002 - PR ATRU POWER SUPPLY"</f>
        <v>5020G754-001   HARNESS WE002 - PR ATRU POWER SUPPLY</v>
      </c>
      <c r="L1968">
        <v>6</v>
      </c>
      <c r="M1968" t="str">
        <f>"יח"</f>
        <v>יח</v>
      </c>
      <c r="N1968">
        <v>6</v>
      </c>
      <c r="O1968" t="str">
        <f>"יח"</f>
        <v>יח</v>
      </c>
      <c r="P1968">
        <v>123.41</v>
      </c>
      <c r="Q1968" t="str">
        <f>"$"</f>
        <v>$</v>
      </c>
      <c r="R1968" t="str">
        <f>"הזמנה"</f>
        <v>הזמנה</v>
      </c>
      <c r="S1968">
        <v>0</v>
      </c>
      <c r="T1968">
        <v>740.46</v>
      </c>
      <c r="U1968">
        <v>0</v>
      </c>
      <c r="V1968">
        <v>740.46</v>
      </c>
      <c r="W1968" t="str">
        <f>"$"</f>
        <v>$</v>
      </c>
      <c r="X1968">
        <v>0</v>
      </c>
      <c r="Y1968">
        <v>0</v>
      </c>
      <c r="Z1968">
        <v>0</v>
      </c>
      <c r="AA1968" t="str">
        <f>"Y"</f>
        <v>Y</v>
      </c>
      <c r="AB1968" t="str">
        <f>"SO21000231"</f>
        <v>SO21000231</v>
      </c>
      <c r="AC1968">
        <v>8</v>
      </c>
      <c r="AD1968" s="1">
        <v>44340</v>
      </c>
      <c r="AE1968" t="str">
        <f>"SH21001902"</f>
        <v>SH21001902</v>
      </c>
      <c r="AF1968" t="str">
        <f>"משלוחים ללקוח"</f>
        <v>משלוחים ללקוח</v>
      </c>
      <c r="AG1968" s="1">
        <v>44514</v>
      </c>
      <c r="AM1968" t="str">
        <f>"10"</f>
        <v>10</v>
      </c>
      <c r="AN1968" t="str">
        <f>"500000"</f>
        <v>500000</v>
      </c>
      <c r="AO1968" t="str">
        <f>"הכנסות  מלקוחות"</f>
        <v>הכנסות  מלקוחות</v>
      </c>
      <c r="AQ1968" t="str">
        <f>"040"</f>
        <v>040</v>
      </c>
      <c r="AR1968">
        <v>0</v>
      </c>
      <c r="AS1968">
        <v>0</v>
      </c>
      <c r="AT1968">
        <v>3.1120000000000001</v>
      </c>
      <c r="AX1968" t="str">
        <f>"E000336473"</f>
        <v>E000336473</v>
      </c>
      <c r="BD1968" t="str">
        <f>"רחמים זרוק"</f>
        <v>רחמים זרוק</v>
      </c>
    </row>
    <row r="1969" spans="1:56" x14ac:dyDescent="0.3">
      <c r="A1969" s="1">
        <v>44515</v>
      </c>
      <c r="B1969" t="str">
        <f>"SI216001665"</f>
        <v>SI216001665</v>
      </c>
      <c r="C1969" t="str">
        <f>"PR20000834"</f>
        <v>PR20000834</v>
      </c>
      <c r="D1969" t="str">
        <f>"PR20000834"</f>
        <v>PR20000834</v>
      </c>
      <c r="E1969" t="str">
        <f>"Y"</f>
        <v>Y</v>
      </c>
      <c r="F1969" t="str">
        <f>"חשבוניות מרכזות"</f>
        <v>חשבוניות מרכזות</v>
      </c>
      <c r="G1969" t="str">
        <f>"700065"</f>
        <v>700065</v>
      </c>
      <c r="H1969" t="str">
        <f>"אלתא מערכות בע""מ"</f>
        <v>אלתא מערכות בע"מ</v>
      </c>
      <c r="I1969" t="str">
        <f>"10"</f>
        <v>10</v>
      </c>
      <c r="J1969" t="str">
        <f>"OP-AR02132"</f>
        <v>OP-AR02132</v>
      </c>
      <c r="K1969" t="str">
        <f>"1032F948-001/-   HARNESS MFR-W948 - TBU2 TO SENS"</f>
        <v>1032F948-001/-   HARNESS MFR-W948 - TBU2 TO SENS</v>
      </c>
      <c r="L1969">
        <v>2</v>
      </c>
      <c r="M1969" t="str">
        <f>"יח"</f>
        <v>יח</v>
      </c>
      <c r="N1969">
        <v>2</v>
      </c>
      <c r="O1969" t="str">
        <f>"יח"</f>
        <v>יח</v>
      </c>
      <c r="P1969" s="2">
        <v>1452.1</v>
      </c>
      <c r="Q1969" t="str">
        <f>"$"</f>
        <v>$</v>
      </c>
      <c r="R1969" t="str">
        <f>"הזמנה"</f>
        <v>הזמנה</v>
      </c>
      <c r="S1969">
        <v>0</v>
      </c>
      <c r="T1969" s="2">
        <v>2904.2</v>
      </c>
      <c r="U1969">
        <v>0</v>
      </c>
      <c r="V1969" s="2">
        <v>2904.2</v>
      </c>
      <c r="W1969" t="str">
        <f>"$"</f>
        <v>$</v>
      </c>
      <c r="X1969">
        <v>0</v>
      </c>
      <c r="Y1969">
        <v>0</v>
      </c>
      <c r="Z1969">
        <v>0</v>
      </c>
      <c r="AA1969" t="str">
        <f>"Y"</f>
        <v>Y</v>
      </c>
      <c r="AB1969" t="str">
        <f>"SO20000532"</f>
        <v>SO20000532</v>
      </c>
      <c r="AC1969">
        <v>164</v>
      </c>
      <c r="AD1969" s="1">
        <v>44155</v>
      </c>
      <c r="AE1969" t="str">
        <f>"SH21001895"</f>
        <v>SH21001895</v>
      </c>
      <c r="AF1969" t="str">
        <f>"משלוחים ללקוח"</f>
        <v>משלוחים ללקוח</v>
      </c>
      <c r="AG1969" s="1">
        <v>44514</v>
      </c>
      <c r="AM1969" t="str">
        <f>"10"</f>
        <v>10</v>
      </c>
      <c r="AN1969" t="str">
        <f>"500000"</f>
        <v>500000</v>
      </c>
      <c r="AO1969" t="str">
        <f>"הכנסות  מלקוחות"</f>
        <v>הכנסות  מלקוחות</v>
      </c>
      <c r="AQ1969" t="str">
        <f>"034"</f>
        <v>034</v>
      </c>
      <c r="AR1969">
        <v>0</v>
      </c>
      <c r="AS1969">
        <v>0</v>
      </c>
      <c r="AT1969">
        <v>3.1120000000000001</v>
      </c>
      <c r="AX1969" t="str">
        <f>"E000321177"</f>
        <v>E000321177</v>
      </c>
      <c r="BD1969" t="str">
        <f>"ערן שלו"</f>
        <v>ערן שלו</v>
      </c>
    </row>
    <row r="1970" spans="1:56" x14ac:dyDescent="0.3">
      <c r="A1970" s="1">
        <v>44515</v>
      </c>
      <c r="B1970" t="str">
        <f>"SI216001665"</f>
        <v>SI216001665</v>
      </c>
      <c r="C1970" t="str">
        <f>"PR20000834"</f>
        <v>PR20000834</v>
      </c>
      <c r="D1970" t="str">
        <f>"PR20000834"</f>
        <v>PR20000834</v>
      </c>
      <c r="E1970" t="str">
        <f>"Y"</f>
        <v>Y</v>
      </c>
      <c r="F1970" t="str">
        <f>"חשבוניות מרכזות"</f>
        <v>חשבוניות מרכזות</v>
      </c>
      <c r="G1970" t="str">
        <f>"700065"</f>
        <v>700065</v>
      </c>
      <c r="H1970" t="str">
        <f>"אלתא מערכות בע""מ"</f>
        <v>אלתא מערכות בע"מ</v>
      </c>
      <c r="I1970" t="str">
        <f>"10"</f>
        <v>10</v>
      </c>
      <c r="J1970" t="str">
        <f>"OP-AR02132"</f>
        <v>OP-AR02132</v>
      </c>
      <c r="K1970" t="str">
        <f>"1032F948-001/-   HARNESS MFR-W948 - TBU2 TO SENS"</f>
        <v>1032F948-001/-   HARNESS MFR-W948 - TBU2 TO SENS</v>
      </c>
      <c r="L1970">
        <v>1</v>
      </c>
      <c r="M1970" t="str">
        <f>"יח"</f>
        <v>יח</v>
      </c>
      <c r="N1970">
        <v>1</v>
      </c>
      <c r="O1970" t="str">
        <f>"יח"</f>
        <v>יח</v>
      </c>
      <c r="P1970" s="2">
        <v>1452.1</v>
      </c>
      <c r="Q1970" t="str">
        <f>"$"</f>
        <v>$</v>
      </c>
      <c r="R1970" t="str">
        <f>"הזמנה"</f>
        <v>הזמנה</v>
      </c>
      <c r="S1970">
        <v>0</v>
      </c>
      <c r="T1970" s="2">
        <v>1452.1</v>
      </c>
      <c r="U1970">
        <v>0</v>
      </c>
      <c r="V1970" s="2">
        <v>1452.1</v>
      </c>
      <c r="W1970" t="str">
        <f>"$"</f>
        <v>$</v>
      </c>
      <c r="X1970">
        <v>0</v>
      </c>
      <c r="Y1970">
        <v>0</v>
      </c>
      <c r="Z1970">
        <v>0</v>
      </c>
      <c r="AA1970" t="str">
        <f>"Y"</f>
        <v>Y</v>
      </c>
      <c r="AB1970" t="str">
        <f>"SO20000532"</f>
        <v>SO20000532</v>
      </c>
      <c r="AC1970">
        <v>165</v>
      </c>
      <c r="AD1970" s="1">
        <v>44155</v>
      </c>
      <c r="AE1970" t="str">
        <f>"SH21001895"</f>
        <v>SH21001895</v>
      </c>
      <c r="AF1970" t="str">
        <f>"משלוחים ללקוח"</f>
        <v>משלוחים ללקוח</v>
      </c>
      <c r="AG1970" s="1">
        <v>44514</v>
      </c>
      <c r="AM1970" t="str">
        <f>"10"</f>
        <v>10</v>
      </c>
      <c r="AN1970" t="str">
        <f>"500000"</f>
        <v>500000</v>
      </c>
      <c r="AO1970" t="str">
        <f>"הכנסות  מלקוחות"</f>
        <v>הכנסות  מלקוחות</v>
      </c>
      <c r="AQ1970" t="str">
        <f>"034"</f>
        <v>034</v>
      </c>
      <c r="AR1970">
        <v>0</v>
      </c>
      <c r="AS1970">
        <v>0</v>
      </c>
      <c r="AT1970">
        <v>3.1120000000000001</v>
      </c>
      <c r="AX1970" t="str">
        <f>"E000321177"</f>
        <v>E000321177</v>
      </c>
      <c r="BD1970" t="str">
        <f>"ערן שלו"</f>
        <v>ערן שלו</v>
      </c>
    </row>
    <row r="1971" spans="1:56" x14ac:dyDescent="0.3">
      <c r="A1971" s="1">
        <v>44515</v>
      </c>
      <c r="B1971" t="str">
        <f>"SI216001664"</f>
        <v>SI216001664</v>
      </c>
      <c r="C1971" t="str">
        <f>"PR21000685"</f>
        <v>PR21000685</v>
      </c>
      <c r="E1971" t="str">
        <f>"Y"</f>
        <v>Y</v>
      </c>
      <c r="F1971" t="str">
        <f>"חשבוניות מרכזות"</f>
        <v>חשבוניות מרכזות</v>
      </c>
      <c r="G1971" t="str">
        <f>"700065"</f>
        <v>700065</v>
      </c>
      <c r="H1971" t="str">
        <f>"אלתא מערכות בע""מ"</f>
        <v>אלתא מערכות בע"מ</v>
      </c>
      <c r="I1971" t="str">
        <f>"10"</f>
        <v>10</v>
      </c>
      <c r="J1971" t="str">
        <f>"OP-AR02811"</f>
        <v>OP-AR02811</v>
      </c>
      <c r="K1971" t="str">
        <f>"1038C382-001   ETHERNET CABLE WC382 - COMCON PANEL - JU"</f>
        <v>1038C382-001   ETHERNET CABLE WC382 - COMCON PANEL - JU</v>
      </c>
      <c r="L1971">
        <v>2</v>
      </c>
      <c r="M1971" t="str">
        <f>"יח"</f>
        <v>יח</v>
      </c>
      <c r="N1971">
        <v>2</v>
      </c>
      <c r="O1971" t="str">
        <f>"יח"</f>
        <v>יח</v>
      </c>
      <c r="P1971">
        <v>181.78</v>
      </c>
      <c r="Q1971" t="str">
        <f>"$"</f>
        <v>$</v>
      </c>
      <c r="R1971" t="str">
        <f>"הזמנה"</f>
        <v>הזמנה</v>
      </c>
      <c r="S1971">
        <v>0</v>
      </c>
      <c r="T1971">
        <v>363.56</v>
      </c>
      <c r="U1971">
        <v>0</v>
      </c>
      <c r="V1971">
        <v>363.56</v>
      </c>
      <c r="W1971" t="str">
        <f>"$"</f>
        <v>$</v>
      </c>
      <c r="X1971">
        <v>0</v>
      </c>
      <c r="Y1971">
        <v>0</v>
      </c>
      <c r="Z1971">
        <v>0</v>
      </c>
      <c r="AA1971" t="str">
        <f>"Y"</f>
        <v>Y</v>
      </c>
      <c r="AB1971" t="str">
        <f>"SO21000435"</f>
        <v>SO21000435</v>
      </c>
      <c r="AC1971">
        <v>3</v>
      </c>
      <c r="AD1971" s="1">
        <v>44486</v>
      </c>
      <c r="AE1971" t="str">
        <f>"SH21001900"</f>
        <v>SH21001900</v>
      </c>
      <c r="AF1971" t="str">
        <f>"משלוחים ללקוח"</f>
        <v>משלוחים ללקוח</v>
      </c>
      <c r="AG1971" s="1">
        <v>44514</v>
      </c>
      <c r="AM1971" t="str">
        <f>"10"</f>
        <v>10</v>
      </c>
      <c r="AN1971" t="str">
        <f>"500000"</f>
        <v>500000</v>
      </c>
      <c r="AO1971" t="str">
        <f>"הכנסות  מלקוחות"</f>
        <v>הכנסות  מלקוחות</v>
      </c>
      <c r="AQ1971" t="str">
        <f>"040"</f>
        <v>040</v>
      </c>
      <c r="AR1971">
        <v>0</v>
      </c>
      <c r="AS1971">
        <v>0</v>
      </c>
      <c r="AT1971">
        <v>3.1019999999999999</v>
      </c>
      <c r="AX1971" t="str">
        <f>"E000347054"</f>
        <v>E000347054</v>
      </c>
      <c r="BD1971" t="str">
        <f>"רחמים זרוק"</f>
        <v>רחמים זרוק</v>
      </c>
    </row>
    <row r="1972" spans="1:56" x14ac:dyDescent="0.3">
      <c r="A1972" s="1">
        <v>44515</v>
      </c>
      <c r="B1972" t="str">
        <f>"SI216001664"</f>
        <v>SI216001664</v>
      </c>
      <c r="C1972" t="str">
        <f>"PR21000685"</f>
        <v>PR21000685</v>
      </c>
      <c r="E1972" t="str">
        <f>"Y"</f>
        <v>Y</v>
      </c>
      <c r="F1972" t="str">
        <f>"חשבוניות מרכזות"</f>
        <v>חשבוניות מרכזות</v>
      </c>
      <c r="G1972" t="str">
        <f>"700065"</f>
        <v>700065</v>
      </c>
      <c r="H1972" t="str">
        <f>"אלתא מערכות בע""מ"</f>
        <v>אלתא מערכות בע"מ</v>
      </c>
      <c r="I1972" t="str">
        <f>"10"</f>
        <v>10</v>
      </c>
      <c r="J1972" t="str">
        <f>"OP-AR02813"</f>
        <v>OP-AR02813</v>
      </c>
      <c r="K1972" t="str">
        <f>"4050B460-001    CABLE ASSY JIG POWER"</f>
        <v>4050B460-001    CABLE ASSY JIG POWER</v>
      </c>
      <c r="L1972">
        <v>8</v>
      </c>
      <c r="M1972" t="str">
        <f>"יח"</f>
        <v>יח</v>
      </c>
      <c r="N1972">
        <v>8</v>
      </c>
      <c r="O1972" t="str">
        <f>"יח"</f>
        <v>יח</v>
      </c>
      <c r="P1972">
        <v>70.95</v>
      </c>
      <c r="Q1972" t="str">
        <f>"$"</f>
        <v>$</v>
      </c>
      <c r="R1972" t="str">
        <f>"הזמנה"</f>
        <v>הזמנה</v>
      </c>
      <c r="S1972">
        <v>0</v>
      </c>
      <c r="T1972">
        <v>567.6</v>
      </c>
      <c r="U1972">
        <v>0</v>
      </c>
      <c r="V1972">
        <v>567.6</v>
      </c>
      <c r="W1972" t="str">
        <f>"$"</f>
        <v>$</v>
      </c>
      <c r="X1972">
        <v>0</v>
      </c>
      <c r="Y1972">
        <v>0</v>
      </c>
      <c r="Z1972">
        <v>0</v>
      </c>
      <c r="AA1972" t="str">
        <f>"Y"</f>
        <v>Y</v>
      </c>
      <c r="AB1972" t="str">
        <f>"SO21000435"</f>
        <v>SO21000435</v>
      </c>
      <c r="AC1972">
        <v>6</v>
      </c>
      <c r="AD1972" s="1">
        <v>44486</v>
      </c>
      <c r="AE1972" t="str">
        <f>"SH21001900"</f>
        <v>SH21001900</v>
      </c>
      <c r="AF1972" t="str">
        <f>"משלוחים ללקוח"</f>
        <v>משלוחים ללקוח</v>
      </c>
      <c r="AG1972" s="1">
        <v>44514</v>
      </c>
      <c r="AM1972" t="str">
        <f>"10"</f>
        <v>10</v>
      </c>
      <c r="AN1972" t="str">
        <f>"500000"</f>
        <v>500000</v>
      </c>
      <c r="AO1972" t="str">
        <f>"הכנסות  מלקוחות"</f>
        <v>הכנסות  מלקוחות</v>
      </c>
      <c r="AQ1972" t="str">
        <f>"040"</f>
        <v>040</v>
      </c>
      <c r="AR1972">
        <v>0</v>
      </c>
      <c r="AS1972">
        <v>0</v>
      </c>
      <c r="AT1972">
        <v>3.1019999999999999</v>
      </c>
      <c r="AX1972" t="str">
        <f>"E000347054"</f>
        <v>E000347054</v>
      </c>
      <c r="BD1972" t="str">
        <f>"רחמים זרוק"</f>
        <v>רחמים זרוק</v>
      </c>
    </row>
    <row r="1973" spans="1:56" x14ac:dyDescent="0.3">
      <c r="A1973" s="1">
        <v>44515</v>
      </c>
      <c r="B1973" t="str">
        <f>"SI216001664"</f>
        <v>SI216001664</v>
      </c>
      <c r="C1973" t="str">
        <f>"PR21000685"</f>
        <v>PR21000685</v>
      </c>
      <c r="E1973" t="str">
        <f>"Y"</f>
        <v>Y</v>
      </c>
      <c r="F1973" t="str">
        <f>"חשבוניות מרכזות"</f>
        <v>חשבוניות מרכזות</v>
      </c>
      <c r="G1973" t="str">
        <f>"700065"</f>
        <v>700065</v>
      </c>
      <c r="H1973" t="str">
        <f>"אלתא מערכות בע""מ"</f>
        <v>אלתא מערכות בע"מ</v>
      </c>
      <c r="I1973" t="str">
        <f>"10"</f>
        <v>10</v>
      </c>
      <c r="J1973" t="str">
        <f>"OP-AR02814"</f>
        <v>OP-AR02814</v>
      </c>
      <c r="K1973" t="str">
        <f>"2211B088-001   ANT. POWER CABLE"</f>
        <v>2211B088-001   ANT. POWER CABLE</v>
      </c>
      <c r="L1973">
        <v>1</v>
      </c>
      <c r="M1973" t="str">
        <f>"יח"</f>
        <v>יח</v>
      </c>
      <c r="N1973">
        <v>1</v>
      </c>
      <c r="O1973" t="str">
        <f>"יח"</f>
        <v>יח</v>
      </c>
      <c r="P1973">
        <v>347.13</v>
      </c>
      <c r="Q1973" t="str">
        <f>"$"</f>
        <v>$</v>
      </c>
      <c r="R1973" t="str">
        <f>"הזמנה"</f>
        <v>הזמנה</v>
      </c>
      <c r="S1973">
        <v>0</v>
      </c>
      <c r="T1973">
        <v>347.13</v>
      </c>
      <c r="U1973">
        <v>0</v>
      </c>
      <c r="V1973">
        <v>347.13</v>
      </c>
      <c r="W1973" t="str">
        <f>"$"</f>
        <v>$</v>
      </c>
      <c r="X1973">
        <v>0</v>
      </c>
      <c r="Y1973">
        <v>0</v>
      </c>
      <c r="Z1973">
        <v>0</v>
      </c>
      <c r="AA1973" t="str">
        <f>"Y"</f>
        <v>Y</v>
      </c>
      <c r="AB1973" t="str">
        <f>"SO21000435"</f>
        <v>SO21000435</v>
      </c>
      <c r="AC1973">
        <v>7</v>
      </c>
      <c r="AD1973" s="1">
        <v>44486</v>
      </c>
      <c r="AE1973" t="str">
        <f>"SH21001900"</f>
        <v>SH21001900</v>
      </c>
      <c r="AF1973" t="str">
        <f>"משלוחים ללקוח"</f>
        <v>משלוחים ללקוח</v>
      </c>
      <c r="AG1973" s="1">
        <v>44514</v>
      </c>
      <c r="AM1973" t="str">
        <f>"10"</f>
        <v>10</v>
      </c>
      <c r="AN1973" t="str">
        <f>"500000"</f>
        <v>500000</v>
      </c>
      <c r="AO1973" t="str">
        <f>"הכנסות  מלקוחות"</f>
        <v>הכנסות  מלקוחות</v>
      </c>
      <c r="AQ1973" t="str">
        <f>"040"</f>
        <v>040</v>
      </c>
      <c r="AR1973">
        <v>0</v>
      </c>
      <c r="AS1973">
        <v>0</v>
      </c>
      <c r="AT1973">
        <v>3.1019999999999999</v>
      </c>
      <c r="AX1973" t="str">
        <f>"E000347054"</f>
        <v>E000347054</v>
      </c>
      <c r="BD1973" t="str">
        <f>"רחמים זרוק"</f>
        <v>רחמים זרוק</v>
      </c>
    </row>
    <row r="1974" spans="1:56" x14ac:dyDescent="0.3">
      <c r="A1974" s="1">
        <v>44515</v>
      </c>
      <c r="B1974" t="str">
        <f>"SI216001663"</f>
        <v>SI216001663</v>
      </c>
      <c r="C1974" t="str">
        <f>"PR21000546"</f>
        <v>PR21000546</v>
      </c>
      <c r="E1974" t="str">
        <f>"Y"</f>
        <v>Y</v>
      </c>
      <c r="F1974" t="str">
        <f>"חשבוניות מרכזות"</f>
        <v>חשבוניות מרכזות</v>
      </c>
      <c r="G1974" t="str">
        <f>"700065"</f>
        <v>700065</v>
      </c>
      <c r="H1974" t="str">
        <f>"אלתא מערכות בע""מ"</f>
        <v>אלתא מערכות בע"מ</v>
      </c>
      <c r="I1974" t="str">
        <f>"10"</f>
        <v>10</v>
      </c>
      <c r="J1974" t="str">
        <f>"OP-AR02683"</f>
        <v>OP-AR02683</v>
      </c>
      <c r="K1974" t="str">
        <f>"4043B631-001   HARNESS W631 - GTRU BU AND FAN POWER TO"</f>
        <v>4043B631-001   HARNESS W631 - GTRU BU AND FAN POWER TO</v>
      </c>
      <c r="L1974">
        <v>2</v>
      </c>
      <c r="M1974" t="str">
        <f>"יח"</f>
        <v>יח</v>
      </c>
      <c r="N1974">
        <v>2</v>
      </c>
      <c r="O1974" t="str">
        <f>"יח"</f>
        <v>יח</v>
      </c>
      <c r="P1974">
        <v>364.96</v>
      </c>
      <c r="Q1974" t="str">
        <f>"$"</f>
        <v>$</v>
      </c>
      <c r="R1974" t="str">
        <f>"הזמנה"</f>
        <v>הזמנה</v>
      </c>
      <c r="S1974">
        <v>0</v>
      </c>
      <c r="T1974">
        <v>729.92</v>
      </c>
      <c r="U1974">
        <v>0</v>
      </c>
      <c r="V1974">
        <v>729.92</v>
      </c>
      <c r="W1974" t="str">
        <f>"$"</f>
        <v>$</v>
      </c>
      <c r="X1974">
        <v>0</v>
      </c>
      <c r="Y1974">
        <v>0</v>
      </c>
      <c r="Z1974">
        <v>0</v>
      </c>
      <c r="AA1974" t="str">
        <f>"Y"</f>
        <v>Y</v>
      </c>
      <c r="AB1974" t="str">
        <f>"SO21000348"</f>
        <v>SO21000348</v>
      </c>
      <c r="AC1974">
        <v>2</v>
      </c>
      <c r="AD1974" s="1">
        <v>44409</v>
      </c>
      <c r="AE1974" t="str">
        <f>"SH21001898"</f>
        <v>SH21001898</v>
      </c>
      <c r="AF1974" t="str">
        <f>"משלוחים ללקוח"</f>
        <v>משלוחים ללקוח</v>
      </c>
      <c r="AG1974" s="1">
        <v>44514</v>
      </c>
      <c r="AM1974" t="str">
        <f>"10"</f>
        <v>10</v>
      </c>
      <c r="AN1974" t="str">
        <f>"500000"</f>
        <v>500000</v>
      </c>
      <c r="AO1974" t="str">
        <f>"הכנסות  מלקוחות"</f>
        <v>הכנסות  מלקוחות</v>
      </c>
      <c r="AQ1974" t="str">
        <f>"040"</f>
        <v>040</v>
      </c>
      <c r="AR1974">
        <v>0</v>
      </c>
      <c r="AS1974">
        <v>0</v>
      </c>
      <c r="AT1974">
        <v>3.1019999999999999</v>
      </c>
      <c r="AX1974" t="str">
        <f>"E000344246"</f>
        <v>E000344246</v>
      </c>
      <c r="BD1974" t="str">
        <f>"רחמים זרוק"</f>
        <v>רחמים זרוק</v>
      </c>
    </row>
    <row r="1975" spans="1:56" x14ac:dyDescent="0.3">
      <c r="A1975" s="1">
        <v>44515</v>
      </c>
      <c r="B1975" t="str">
        <f>"SI216001663"</f>
        <v>SI216001663</v>
      </c>
      <c r="C1975" t="str">
        <f>"PR21000546"</f>
        <v>PR21000546</v>
      </c>
      <c r="E1975" t="str">
        <f>"Y"</f>
        <v>Y</v>
      </c>
      <c r="F1975" t="str">
        <f>"חשבוניות מרכזות"</f>
        <v>חשבוניות מרכזות</v>
      </c>
      <c r="G1975" t="str">
        <f>"700065"</f>
        <v>700065</v>
      </c>
      <c r="H1975" t="str">
        <f>"אלתא מערכות בע""מ"</f>
        <v>אלתא מערכות בע"מ</v>
      </c>
      <c r="I1975" t="str">
        <f>"10"</f>
        <v>10</v>
      </c>
      <c r="J1975" t="str">
        <f>"OP-AR02685"</f>
        <v>OP-AR02685</v>
      </c>
      <c r="K1975" t="str">
        <f>"4043B634-001    HARNESS W634 - PDU TO GTRU BU CONTROL C"</f>
        <v>4043B634-001    HARNESS W634 - PDU TO GTRU BU CONTROL C</v>
      </c>
      <c r="L1975">
        <v>2</v>
      </c>
      <c r="M1975" t="str">
        <f>"יח"</f>
        <v>יח</v>
      </c>
      <c r="N1975">
        <v>2</v>
      </c>
      <c r="O1975" t="str">
        <f>"יח"</f>
        <v>יח</v>
      </c>
      <c r="P1975">
        <v>721.54</v>
      </c>
      <c r="Q1975" t="str">
        <f>"$"</f>
        <v>$</v>
      </c>
      <c r="R1975" t="str">
        <f>"הזמנה"</f>
        <v>הזמנה</v>
      </c>
      <c r="S1975">
        <v>0</v>
      </c>
      <c r="T1975" s="2">
        <v>1443.08</v>
      </c>
      <c r="U1975">
        <v>0</v>
      </c>
      <c r="V1975" s="2">
        <v>1443.08</v>
      </c>
      <c r="W1975" t="str">
        <f>"$"</f>
        <v>$</v>
      </c>
      <c r="X1975">
        <v>0</v>
      </c>
      <c r="Y1975">
        <v>0</v>
      </c>
      <c r="Z1975">
        <v>0</v>
      </c>
      <c r="AA1975" t="str">
        <f>"Y"</f>
        <v>Y</v>
      </c>
      <c r="AB1975" t="str">
        <f>"SO21000348"</f>
        <v>SO21000348</v>
      </c>
      <c r="AC1975">
        <v>4</v>
      </c>
      <c r="AD1975" s="1">
        <v>44409</v>
      </c>
      <c r="AE1975" t="str">
        <f>"SH21001898"</f>
        <v>SH21001898</v>
      </c>
      <c r="AF1975" t="str">
        <f>"משלוחים ללקוח"</f>
        <v>משלוחים ללקוח</v>
      </c>
      <c r="AG1975" s="1">
        <v>44514</v>
      </c>
      <c r="AM1975" t="str">
        <f>"10"</f>
        <v>10</v>
      </c>
      <c r="AN1975" t="str">
        <f>"500000"</f>
        <v>500000</v>
      </c>
      <c r="AO1975" t="str">
        <f>"הכנסות  מלקוחות"</f>
        <v>הכנסות  מלקוחות</v>
      </c>
      <c r="AQ1975" t="str">
        <f>"040"</f>
        <v>040</v>
      </c>
      <c r="AR1975">
        <v>0</v>
      </c>
      <c r="AS1975">
        <v>0</v>
      </c>
      <c r="AT1975">
        <v>3.1019999999999999</v>
      </c>
      <c r="AX1975" t="str">
        <f>"E000344246"</f>
        <v>E000344246</v>
      </c>
      <c r="BD1975" t="str">
        <f>"רחמים זרוק"</f>
        <v>רחמים זרוק</v>
      </c>
    </row>
    <row r="1976" spans="1:56" x14ac:dyDescent="0.3">
      <c r="A1976" s="1">
        <v>44515</v>
      </c>
      <c r="B1976" t="str">
        <f>"SI216001663"</f>
        <v>SI216001663</v>
      </c>
      <c r="C1976" t="str">
        <f>"PR21000546"</f>
        <v>PR21000546</v>
      </c>
      <c r="E1976" t="str">
        <f>"Y"</f>
        <v>Y</v>
      </c>
      <c r="F1976" t="str">
        <f>"חשבוניות מרכזות"</f>
        <v>חשבוניות מרכזות</v>
      </c>
      <c r="G1976" t="str">
        <f>"700065"</f>
        <v>700065</v>
      </c>
      <c r="H1976" t="str">
        <f>"אלתא מערכות בע""מ"</f>
        <v>אלתא מערכות בע"מ</v>
      </c>
      <c r="I1976" t="str">
        <f>"10"</f>
        <v>10</v>
      </c>
      <c r="J1976" t="str">
        <f>"OP-AR02686"</f>
        <v>OP-AR02686</v>
      </c>
      <c r="K1976" t="str">
        <f>"4043B635-001    HARNESS W635 - GFEA BU TO PDU"</f>
        <v>4043B635-001    HARNESS W635 - GFEA BU TO PDU</v>
      </c>
      <c r="L1976">
        <v>5</v>
      </c>
      <c r="M1976" t="str">
        <f>"יח"</f>
        <v>יח</v>
      </c>
      <c r="N1976">
        <v>5</v>
      </c>
      <c r="O1976" t="str">
        <f>"יח"</f>
        <v>יח</v>
      </c>
      <c r="P1976">
        <v>339.25</v>
      </c>
      <c r="Q1976" t="str">
        <f>"$"</f>
        <v>$</v>
      </c>
      <c r="R1976" t="str">
        <f>"הזמנה"</f>
        <v>הזמנה</v>
      </c>
      <c r="S1976">
        <v>0</v>
      </c>
      <c r="T1976" s="2">
        <v>1696.25</v>
      </c>
      <c r="U1976">
        <v>0</v>
      </c>
      <c r="V1976" s="2">
        <v>1696.25</v>
      </c>
      <c r="W1976" t="str">
        <f>"$"</f>
        <v>$</v>
      </c>
      <c r="X1976">
        <v>0</v>
      </c>
      <c r="Y1976">
        <v>0</v>
      </c>
      <c r="Z1976">
        <v>0</v>
      </c>
      <c r="AA1976" t="str">
        <f>"Y"</f>
        <v>Y</v>
      </c>
      <c r="AB1976" t="str">
        <f>"SO21000348"</f>
        <v>SO21000348</v>
      </c>
      <c r="AC1976">
        <v>6</v>
      </c>
      <c r="AD1976" s="1">
        <v>44409</v>
      </c>
      <c r="AE1976" t="str">
        <f>"SH21001898"</f>
        <v>SH21001898</v>
      </c>
      <c r="AF1976" t="str">
        <f>"משלוחים ללקוח"</f>
        <v>משלוחים ללקוח</v>
      </c>
      <c r="AG1976" s="1">
        <v>44514</v>
      </c>
      <c r="AM1976" t="str">
        <f>"10"</f>
        <v>10</v>
      </c>
      <c r="AN1976" t="str">
        <f>"500000"</f>
        <v>500000</v>
      </c>
      <c r="AO1976" t="str">
        <f>"הכנסות  מלקוחות"</f>
        <v>הכנסות  מלקוחות</v>
      </c>
      <c r="AQ1976" t="str">
        <f>"040"</f>
        <v>040</v>
      </c>
      <c r="AR1976">
        <v>0</v>
      </c>
      <c r="AS1976">
        <v>0</v>
      </c>
      <c r="AT1976">
        <v>3.1019999999999999</v>
      </c>
      <c r="AX1976" t="str">
        <f>"E000344246"</f>
        <v>E000344246</v>
      </c>
      <c r="BD1976" t="str">
        <f>"רחמים זרוק"</f>
        <v>רחמים זרוק</v>
      </c>
    </row>
    <row r="1977" spans="1:56" x14ac:dyDescent="0.3">
      <c r="A1977" s="1">
        <v>44515</v>
      </c>
      <c r="B1977" t="str">
        <f>"SI216001663"</f>
        <v>SI216001663</v>
      </c>
      <c r="C1977" t="str">
        <f>"PR21000546"</f>
        <v>PR21000546</v>
      </c>
      <c r="E1977" t="str">
        <f>"Y"</f>
        <v>Y</v>
      </c>
      <c r="F1977" t="str">
        <f>"חשבוניות מרכזות"</f>
        <v>חשבוניות מרכזות</v>
      </c>
      <c r="G1977" t="str">
        <f>"700065"</f>
        <v>700065</v>
      </c>
      <c r="H1977" t="str">
        <f>"אלתא מערכות בע""מ"</f>
        <v>אלתא מערכות בע"מ</v>
      </c>
      <c r="I1977" t="str">
        <f>"10"</f>
        <v>10</v>
      </c>
      <c r="J1977" t="str">
        <f>"OP-AR02682"</f>
        <v>OP-AR02682</v>
      </c>
      <c r="K1977" t="str">
        <f>"4043B630-001    HARNESS W630 - PDU TO GATU DC PWR DATA C"</f>
        <v>4043B630-001    HARNESS W630 - PDU TO GATU DC PWR DATA C</v>
      </c>
      <c r="L1977">
        <v>4</v>
      </c>
      <c r="M1977" t="str">
        <f>"יח"</f>
        <v>יח</v>
      </c>
      <c r="N1977">
        <v>4</v>
      </c>
      <c r="O1977" t="str">
        <f>"יח"</f>
        <v>יח</v>
      </c>
      <c r="P1977">
        <v>666.27</v>
      </c>
      <c r="Q1977" t="str">
        <f>"$"</f>
        <v>$</v>
      </c>
      <c r="R1977" t="str">
        <f>"הזמנה"</f>
        <v>הזמנה</v>
      </c>
      <c r="S1977">
        <v>0</v>
      </c>
      <c r="T1977" s="2">
        <v>2665.08</v>
      </c>
      <c r="U1977">
        <v>0</v>
      </c>
      <c r="V1977" s="2">
        <v>2665.08</v>
      </c>
      <c r="W1977" t="str">
        <f>"$"</f>
        <v>$</v>
      </c>
      <c r="X1977">
        <v>0</v>
      </c>
      <c r="Y1977">
        <v>0</v>
      </c>
      <c r="Z1977">
        <v>0</v>
      </c>
      <c r="AA1977" t="str">
        <f>"Y"</f>
        <v>Y</v>
      </c>
      <c r="AB1977" t="str">
        <f>"SO21000348"</f>
        <v>SO21000348</v>
      </c>
      <c r="AC1977">
        <v>7</v>
      </c>
      <c r="AD1977" s="1">
        <v>44409</v>
      </c>
      <c r="AE1977" t="str">
        <f>"SH21001898"</f>
        <v>SH21001898</v>
      </c>
      <c r="AF1977" t="str">
        <f>"משלוחים ללקוח"</f>
        <v>משלוחים ללקוח</v>
      </c>
      <c r="AG1977" s="1">
        <v>44514</v>
      </c>
      <c r="AM1977" t="str">
        <f>"10"</f>
        <v>10</v>
      </c>
      <c r="AN1977" t="str">
        <f>"500000"</f>
        <v>500000</v>
      </c>
      <c r="AO1977" t="str">
        <f>"הכנסות  מלקוחות"</f>
        <v>הכנסות  מלקוחות</v>
      </c>
      <c r="AQ1977" t="str">
        <f>"040"</f>
        <v>040</v>
      </c>
      <c r="AR1977">
        <v>0</v>
      </c>
      <c r="AS1977">
        <v>0</v>
      </c>
      <c r="AT1977">
        <v>3.1019999999999999</v>
      </c>
      <c r="AX1977" t="str">
        <f>"E000344246"</f>
        <v>E000344246</v>
      </c>
      <c r="BD1977" t="str">
        <f>"רחמים זרוק"</f>
        <v>רחמים זרוק</v>
      </c>
    </row>
    <row r="1978" spans="1:56" x14ac:dyDescent="0.3">
      <c r="A1978" s="1">
        <v>44515</v>
      </c>
      <c r="B1978" t="str">
        <f>"SI216001663"</f>
        <v>SI216001663</v>
      </c>
      <c r="C1978" t="str">
        <f>"PR21000546"</f>
        <v>PR21000546</v>
      </c>
      <c r="E1978" t="str">
        <f>"Y"</f>
        <v>Y</v>
      </c>
      <c r="F1978" t="str">
        <f>"חשבוניות מרכזות"</f>
        <v>חשבוניות מרכזות</v>
      </c>
      <c r="G1978" t="str">
        <f>"700065"</f>
        <v>700065</v>
      </c>
      <c r="H1978" t="str">
        <f>"אלתא מערכות בע""מ"</f>
        <v>אלתא מערכות בע"מ</v>
      </c>
      <c r="I1978" t="str">
        <f>"10"</f>
        <v>10</v>
      </c>
      <c r="J1978" t="str">
        <f>"OP-AR02683"</f>
        <v>OP-AR02683</v>
      </c>
      <c r="K1978" t="str">
        <f>"4043B631-001   HARNESS W631 - GTRU BU AND FAN POWER TO"</f>
        <v>4043B631-001   HARNESS W631 - GTRU BU AND FAN POWER TO</v>
      </c>
      <c r="L1978">
        <v>3</v>
      </c>
      <c r="M1978" t="str">
        <f>"יח"</f>
        <v>יח</v>
      </c>
      <c r="N1978">
        <v>3</v>
      </c>
      <c r="O1978" t="str">
        <f>"יח"</f>
        <v>יח</v>
      </c>
      <c r="P1978">
        <v>364.96</v>
      </c>
      <c r="Q1978" t="str">
        <f>"$"</f>
        <v>$</v>
      </c>
      <c r="R1978" t="str">
        <f>"הזמנה"</f>
        <v>הזמנה</v>
      </c>
      <c r="S1978">
        <v>0</v>
      </c>
      <c r="T1978" s="2">
        <v>1094.8800000000001</v>
      </c>
      <c r="U1978">
        <v>0</v>
      </c>
      <c r="V1978" s="2">
        <v>1094.8800000000001</v>
      </c>
      <c r="W1978" t="str">
        <f>"$"</f>
        <v>$</v>
      </c>
      <c r="X1978">
        <v>0</v>
      </c>
      <c r="Y1978">
        <v>0</v>
      </c>
      <c r="Z1978">
        <v>0</v>
      </c>
      <c r="AA1978" t="str">
        <f>"Y"</f>
        <v>Y</v>
      </c>
      <c r="AB1978" t="str">
        <f>"SO21000348"</f>
        <v>SO21000348</v>
      </c>
      <c r="AC1978">
        <v>8</v>
      </c>
      <c r="AD1978" s="1">
        <v>44409</v>
      </c>
      <c r="AE1978" t="str">
        <f>"SH21001898"</f>
        <v>SH21001898</v>
      </c>
      <c r="AF1978" t="str">
        <f>"משלוחים ללקוח"</f>
        <v>משלוחים ללקוח</v>
      </c>
      <c r="AG1978" s="1">
        <v>44514</v>
      </c>
      <c r="AM1978" t="str">
        <f>"10"</f>
        <v>10</v>
      </c>
      <c r="AN1978" t="str">
        <f>"500000"</f>
        <v>500000</v>
      </c>
      <c r="AO1978" t="str">
        <f>"הכנסות  מלקוחות"</f>
        <v>הכנסות  מלקוחות</v>
      </c>
      <c r="AQ1978" t="str">
        <f>"040"</f>
        <v>040</v>
      </c>
      <c r="AR1978">
        <v>0</v>
      </c>
      <c r="AS1978">
        <v>0</v>
      </c>
      <c r="AT1978">
        <v>3.1019999999999999</v>
      </c>
      <c r="AX1978" t="str">
        <f>"E000344246"</f>
        <v>E000344246</v>
      </c>
      <c r="BD1978" t="str">
        <f>"רחמים זרוק"</f>
        <v>רחמים זרוק</v>
      </c>
    </row>
    <row r="1979" spans="1:56" x14ac:dyDescent="0.3">
      <c r="A1979" s="1">
        <v>44515</v>
      </c>
      <c r="B1979" t="str">
        <f>"SI216001663"</f>
        <v>SI216001663</v>
      </c>
      <c r="C1979" t="str">
        <f>"PR21000546"</f>
        <v>PR21000546</v>
      </c>
      <c r="E1979" t="str">
        <f>"Y"</f>
        <v>Y</v>
      </c>
      <c r="F1979" t="str">
        <f>"חשבוניות מרכזות"</f>
        <v>חשבוניות מרכזות</v>
      </c>
      <c r="G1979" t="str">
        <f>"700065"</f>
        <v>700065</v>
      </c>
      <c r="H1979" t="str">
        <f>"אלתא מערכות בע""מ"</f>
        <v>אלתא מערכות בע"מ</v>
      </c>
      <c r="I1979" t="str">
        <f>"10"</f>
        <v>10</v>
      </c>
      <c r="J1979" t="str">
        <f>"OP-AR02684"</f>
        <v>OP-AR02684</v>
      </c>
      <c r="K1979" t="str">
        <f>"4043B632-001    HARNESS W632 - PDU TO GFEA BU POWER CABL"</f>
        <v>4043B632-001    HARNESS W632 - PDU TO GFEA BU POWER CABL</v>
      </c>
      <c r="L1979">
        <v>5</v>
      </c>
      <c r="M1979" t="str">
        <f>"יח"</f>
        <v>יח</v>
      </c>
      <c r="N1979">
        <v>5</v>
      </c>
      <c r="O1979" t="str">
        <f>"יח"</f>
        <v>יח</v>
      </c>
      <c r="P1979">
        <v>332.19</v>
      </c>
      <c r="Q1979" t="str">
        <f>"$"</f>
        <v>$</v>
      </c>
      <c r="R1979" t="str">
        <f>"הזמנה"</f>
        <v>הזמנה</v>
      </c>
      <c r="S1979">
        <v>0</v>
      </c>
      <c r="T1979" s="2">
        <v>1660.95</v>
      </c>
      <c r="U1979">
        <v>0</v>
      </c>
      <c r="V1979" s="2">
        <v>1660.95</v>
      </c>
      <c r="W1979" t="str">
        <f>"$"</f>
        <v>$</v>
      </c>
      <c r="X1979">
        <v>0</v>
      </c>
      <c r="Y1979">
        <v>0</v>
      </c>
      <c r="Z1979">
        <v>0</v>
      </c>
      <c r="AA1979" t="str">
        <f>"Y"</f>
        <v>Y</v>
      </c>
      <c r="AB1979" t="str">
        <f>"SO21000348"</f>
        <v>SO21000348</v>
      </c>
      <c r="AC1979">
        <v>9</v>
      </c>
      <c r="AD1979" s="1">
        <v>44409</v>
      </c>
      <c r="AE1979" t="str">
        <f>"SH21001898"</f>
        <v>SH21001898</v>
      </c>
      <c r="AF1979" t="str">
        <f>"משלוחים ללקוח"</f>
        <v>משלוחים ללקוח</v>
      </c>
      <c r="AG1979" s="1">
        <v>44514</v>
      </c>
      <c r="AM1979" t="str">
        <f>"10"</f>
        <v>10</v>
      </c>
      <c r="AN1979" t="str">
        <f>"500000"</f>
        <v>500000</v>
      </c>
      <c r="AO1979" t="str">
        <f>"הכנסות  מלקוחות"</f>
        <v>הכנסות  מלקוחות</v>
      </c>
      <c r="AQ1979" t="str">
        <f>"040"</f>
        <v>040</v>
      </c>
      <c r="AR1979">
        <v>0</v>
      </c>
      <c r="AS1979">
        <v>0</v>
      </c>
      <c r="AT1979">
        <v>3.1019999999999999</v>
      </c>
      <c r="AX1979" t="str">
        <f>"E000344246"</f>
        <v>E000344246</v>
      </c>
      <c r="BD1979" t="str">
        <f>"רחמים זרוק"</f>
        <v>רחמים זרוק</v>
      </c>
    </row>
    <row r="1980" spans="1:56" x14ac:dyDescent="0.3">
      <c r="A1980" s="1">
        <v>44515</v>
      </c>
      <c r="B1980" t="str">
        <f>"SI216001663"</f>
        <v>SI216001663</v>
      </c>
      <c r="C1980" t="str">
        <f>"PR21000546"</f>
        <v>PR21000546</v>
      </c>
      <c r="E1980" t="str">
        <f>"Y"</f>
        <v>Y</v>
      </c>
      <c r="F1980" t="str">
        <f>"חשבוניות מרכזות"</f>
        <v>חשבוניות מרכזות</v>
      </c>
      <c r="G1980" t="str">
        <f>"700065"</f>
        <v>700065</v>
      </c>
      <c r="H1980" t="str">
        <f>"אלתא מערכות בע""מ"</f>
        <v>אלתא מערכות בע"מ</v>
      </c>
      <c r="I1980" t="str">
        <f>"10"</f>
        <v>10</v>
      </c>
      <c r="J1980" t="str">
        <f>"OP-AR02685"</f>
        <v>OP-AR02685</v>
      </c>
      <c r="K1980" t="str">
        <f>"4043B634-001    HARNESS W634 - PDU TO GTRU BU CONTROL C"</f>
        <v>4043B634-001    HARNESS W634 - PDU TO GTRU BU CONTROL C</v>
      </c>
      <c r="L1980">
        <v>3</v>
      </c>
      <c r="M1980" t="str">
        <f>"יח"</f>
        <v>יח</v>
      </c>
      <c r="N1980">
        <v>3</v>
      </c>
      <c r="O1980" t="str">
        <f>"יח"</f>
        <v>יח</v>
      </c>
      <c r="P1980">
        <v>721.54</v>
      </c>
      <c r="Q1980" t="str">
        <f>"$"</f>
        <v>$</v>
      </c>
      <c r="R1980" t="str">
        <f>"הזמנה"</f>
        <v>הזמנה</v>
      </c>
      <c r="S1980">
        <v>0</v>
      </c>
      <c r="T1980" s="2">
        <v>2164.62</v>
      </c>
      <c r="U1980">
        <v>0</v>
      </c>
      <c r="V1980" s="2">
        <v>2164.62</v>
      </c>
      <c r="W1980" t="str">
        <f>"$"</f>
        <v>$</v>
      </c>
      <c r="X1980">
        <v>0</v>
      </c>
      <c r="Y1980">
        <v>0</v>
      </c>
      <c r="Z1980">
        <v>0</v>
      </c>
      <c r="AA1980" t="str">
        <f>"Y"</f>
        <v>Y</v>
      </c>
      <c r="AB1980" t="str">
        <f>"SO21000348"</f>
        <v>SO21000348</v>
      </c>
      <c r="AC1980">
        <v>10</v>
      </c>
      <c r="AD1980" s="1">
        <v>44409</v>
      </c>
      <c r="AE1980" t="str">
        <f>"SH21001898"</f>
        <v>SH21001898</v>
      </c>
      <c r="AF1980" t="str">
        <f>"משלוחים ללקוח"</f>
        <v>משלוחים ללקוח</v>
      </c>
      <c r="AG1980" s="1">
        <v>44514</v>
      </c>
      <c r="AM1980" t="str">
        <f>"10"</f>
        <v>10</v>
      </c>
      <c r="AN1980" t="str">
        <f>"500000"</f>
        <v>500000</v>
      </c>
      <c r="AO1980" t="str">
        <f>"הכנסות  מלקוחות"</f>
        <v>הכנסות  מלקוחות</v>
      </c>
      <c r="AQ1980" t="str">
        <f>"040"</f>
        <v>040</v>
      </c>
      <c r="AR1980">
        <v>0</v>
      </c>
      <c r="AS1980">
        <v>0</v>
      </c>
      <c r="AT1980">
        <v>3.1019999999999999</v>
      </c>
      <c r="AX1980" t="str">
        <f>"E000344246"</f>
        <v>E000344246</v>
      </c>
      <c r="BD1980" t="str">
        <f>"רחמים זרוק"</f>
        <v>רחמים זרוק</v>
      </c>
    </row>
    <row r="1981" spans="1:56" x14ac:dyDescent="0.3">
      <c r="A1981" s="1">
        <v>44511</v>
      </c>
      <c r="B1981" t="str">
        <f>"SI216001623"</f>
        <v>SI216001623</v>
      </c>
      <c r="C1981" t="str">
        <f>"PR21000671"</f>
        <v>PR21000671</v>
      </c>
      <c r="E1981" t="str">
        <f>"Y"</f>
        <v>Y</v>
      </c>
      <c r="F1981" t="str">
        <f>"חשבוניות מרכזות"</f>
        <v>חשבוניות מרכזות</v>
      </c>
      <c r="G1981" t="str">
        <f>"700065"</f>
        <v>700065</v>
      </c>
      <c r="H1981" t="str">
        <f>"אלתא מערכות בע""מ"</f>
        <v>אלתא מערכות בע"מ</v>
      </c>
      <c r="I1981" t="str">
        <f>"10"</f>
        <v>10</v>
      </c>
      <c r="J1981" t="str">
        <f>"PS0200013"</f>
        <v>PS0200013</v>
      </c>
      <c r="K1981" t="str">
        <f>"DPR6000B-48"</f>
        <v>DPR6000B-48</v>
      </c>
      <c r="L1981">
        <v>5</v>
      </c>
      <c r="M1981" t="str">
        <f>"יח"</f>
        <v>יח</v>
      </c>
      <c r="N1981">
        <v>5</v>
      </c>
      <c r="O1981" t="str">
        <f>"יח"</f>
        <v>יח</v>
      </c>
      <c r="P1981" s="2">
        <v>1640</v>
      </c>
      <c r="Q1981" t="str">
        <f>"$"</f>
        <v>$</v>
      </c>
      <c r="R1981" t="str">
        <f>"הזמנה"</f>
        <v>הזמנה</v>
      </c>
      <c r="S1981">
        <v>0</v>
      </c>
      <c r="T1981" s="2">
        <v>8200</v>
      </c>
      <c r="U1981">
        <v>0</v>
      </c>
      <c r="V1981" s="2">
        <v>8200</v>
      </c>
      <c r="W1981" t="str">
        <f>"$"</f>
        <v>$</v>
      </c>
      <c r="X1981">
        <v>0</v>
      </c>
      <c r="Y1981">
        <v>0</v>
      </c>
      <c r="Z1981">
        <v>0</v>
      </c>
      <c r="AA1981" t="str">
        <f>"Y"</f>
        <v>Y</v>
      </c>
      <c r="AB1981" t="str">
        <f>"SO21000432"</f>
        <v>SO21000432</v>
      </c>
      <c r="AC1981">
        <v>2</v>
      </c>
      <c r="AD1981" s="1">
        <v>44479</v>
      </c>
      <c r="AE1981" t="str">
        <f>"SH21001874"</f>
        <v>SH21001874</v>
      </c>
      <c r="AF1981" t="str">
        <f>"משלוחים ללקוח"</f>
        <v>משלוחים ללקוח</v>
      </c>
      <c r="AG1981" s="1">
        <v>44510</v>
      </c>
      <c r="AM1981" t="str">
        <f>"10"</f>
        <v>10</v>
      </c>
      <c r="AN1981" t="str">
        <f>"500000"</f>
        <v>500000</v>
      </c>
      <c r="AO1981" t="str">
        <f>"הכנסות  מלקוחות"</f>
        <v>הכנסות  מלקוחות</v>
      </c>
      <c r="AQ1981" t="str">
        <f>"034"</f>
        <v>034</v>
      </c>
      <c r="AR1981">
        <v>0</v>
      </c>
      <c r="AS1981">
        <v>0</v>
      </c>
      <c r="AT1981">
        <v>3.109</v>
      </c>
      <c r="AX1981" t="str">
        <f>"E000347797"</f>
        <v>E000347797</v>
      </c>
      <c r="BD1981" t="str">
        <f>"ערן שלו"</f>
        <v>ערן שלו</v>
      </c>
    </row>
    <row r="1982" spans="1:56" x14ac:dyDescent="0.3">
      <c r="A1982" s="1">
        <v>44511</v>
      </c>
      <c r="B1982" t="str">
        <f>"SI216001622"</f>
        <v>SI216001622</v>
      </c>
      <c r="C1982" t="str">
        <f>"PR21000482"</f>
        <v>PR21000482</v>
      </c>
      <c r="E1982" t="str">
        <f>"Y"</f>
        <v>Y</v>
      </c>
      <c r="F1982" t="str">
        <f>"חשבוניות מרכזות"</f>
        <v>חשבוניות מרכזות</v>
      </c>
      <c r="G1982" t="str">
        <f>"700065"</f>
        <v>700065</v>
      </c>
      <c r="H1982" t="str">
        <f>"אלתא מערכות בע""מ"</f>
        <v>אלתא מערכות בע"מ</v>
      </c>
      <c r="I1982" t="str">
        <f>"10"</f>
        <v>10</v>
      </c>
      <c r="J1982" t="str">
        <f>"OP-AR00467"</f>
        <v>OP-AR00467</v>
      </c>
      <c r="K1982" t="str">
        <f>"AC PCU CONTROL BOX"</f>
        <v>AC PCU CONTROL BOX</v>
      </c>
      <c r="L1982">
        <v>1</v>
      </c>
      <c r="M1982" t="str">
        <f>"יח"</f>
        <v>יח</v>
      </c>
      <c r="N1982">
        <v>1</v>
      </c>
      <c r="O1982" t="str">
        <f>"יח"</f>
        <v>יח</v>
      </c>
      <c r="P1982" s="2">
        <v>4250</v>
      </c>
      <c r="Q1982" t="str">
        <f>"$"</f>
        <v>$</v>
      </c>
      <c r="R1982" t="str">
        <f>"הזמנה"</f>
        <v>הזמנה</v>
      </c>
      <c r="S1982">
        <v>0</v>
      </c>
      <c r="T1982" s="2">
        <v>4250</v>
      </c>
      <c r="U1982">
        <v>0</v>
      </c>
      <c r="V1982" s="2">
        <v>4250</v>
      </c>
      <c r="W1982" t="str">
        <f>"$"</f>
        <v>$</v>
      </c>
      <c r="X1982">
        <v>0</v>
      </c>
      <c r="Y1982">
        <v>0</v>
      </c>
      <c r="Z1982">
        <v>0</v>
      </c>
      <c r="AA1982" t="str">
        <f>"Y"</f>
        <v>Y</v>
      </c>
      <c r="AB1982" t="str">
        <f>"SO21000307"</f>
        <v>SO21000307</v>
      </c>
      <c r="AC1982">
        <v>1</v>
      </c>
      <c r="AD1982" s="1">
        <v>44388</v>
      </c>
      <c r="AE1982" t="str">
        <f>"SH21001882"</f>
        <v>SH21001882</v>
      </c>
      <c r="AF1982" t="str">
        <f>"משלוחים ללקוח"</f>
        <v>משלוחים ללקוח</v>
      </c>
      <c r="AG1982" s="1">
        <v>44510</v>
      </c>
      <c r="AM1982" t="str">
        <f>"10"</f>
        <v>10</v>
      </c>
      <c r="AN1982" t="str">
        <f>"500000"</f>
        <v>500000</v>
      </c>
      <c r="AO1982" t="str">
        <f>"הכנסות  מלקוחות"</f>
        <v>הכנסות  מלקוחות</v>
      </c>
      <c r="AQ1982" t="str">
        <f>"034"</f>
        <v>034</v>
      </c>
      <c r="AR1982">
        <v>0</v>
      </c>
      <c r="AS1982">
        <v>0</v>
      </c>
      <c r="AT1982">
        <v>3.109</v>
      </c>
      <c r="AX1982" t="str">
        <f>"E000342590"</f>
        <v>E000342590</v>
      </c>
      <c r="BD1982" t="str">
        <f>"ערן שלו"</f>
        <v>ערן שלו</v>
      </c>
    </row>
    <row r="1983" spans="1:56" x14ac:dyDescent="0.3">
      <c r="A1983" s="1">
        <v>44510</v>
      </c>
      <c r="B1983" t="str">
        <f>"SI216001593"</f>
        <v>SI216001593</v>
      </c>
      <c r="C1983" t="str">
        <f>"PR19000753"</f>
        <v>PR19000753</v>
      </c>
      <c r="E1983" t="str">
        <f>"Y"</f>
        <v>Y</v>
      </c>
      <c r="F1983" t="str">
        <f>"חשבוניות מרכזות"</f>
        <v>חשבוניות מרכזות</v>
      </c>
      <c r="G1983" t="str">
        <f>"700065"</f>
        <v>700065</v>
      </c>
      <c r="H1983" t="str">
        <f>"אלתא מערכות בע""מ"</f>
        <v>אלתא מערכות בע"מ</v>
      </c>
      <c r="I1983" t="str">
        <f>"10"</f>
        <v>10</v>
      </c>
      <c r="J1983" t="str">
        <f>"000"</f>
        <v>000</v>
      </c>
      <c r="K1983" t="str">
        <f>"פיקוח מהנדס על ביצוע ATP"</f>
        <v>פיקוח מהנדס על ביצוע ATP</v>
      </c>
      <c r="L1983">
        <v>-1</v>
      </c>
      <c r="M1983" t="str">
        <f>"יח"</f>
        <v>יח</v>
      </c>
      <c r="N1983">
        <v>-1</v>
      </c>
      <c r="O1983" t="str">
        <f>"יח"</f>
        <v>יח</v>
      </c>
      <c r="P1983" s="2">
        <v>11200</v>
      </c>
      <c r="Q1983" t="str">
        <f>"$"</f>
        <v>$</v>
      </c>
      <c r="R1983" t="str">
        <f>"הזמנה"</f>
        <v>הזמנה</v>
      </c>
      <c r="S1983">
        <v>0</v>
      </c>
      <c r="T1983" s="2">
        <v>-11200</v>
      </c>
      <c r="U1983">
        <v>0</v>
      </c>
      <c r="V1983" s="2">
        <v>-11200</v>
      </c>
      <c r="W1983" t="str">
        <f>"$"</f>
        <v>$</v>
      </c>
      <c r="X1983">
        <v>0</v>
      </c>
      <c r="Y1983">
        <v>0</v>
      </c>
      <c r="Z1983">
        <v>0</v>
      </c>
      <c r="AA1983" t="str">
        <f>"Y"</f>
        <v>Y</v>
      </c>
      <c r="AC1983">
        <v>0</v>
      </c>
      <c r="AM1983" t="str">
        <f>"10"</f>
        <v>10</v>
      </c>
      <c r="AN1983" t="str">
        <f>"500000"</f>
        <v>500000</v>
      </c>
      <c r="AO1983" t="str">
        <f>"הכנסות  מלקוחות"</f>
        <v>הכנסות  מלקוחות</v>
      </c>
      <c r="AQ1983" t="str">
        <f>"034"</f>
        <v>034</v>
      </c>
      <c r="AR1983">
        <v>0</v>
      </c>
      <c r="AS1983">
        <v>0</v>
      </c>
      <c r="AT1983">
        <v>3.113</v>
      </c>
      <c r="BB1983" t="str">
        <f>"Y"</f>
        <v>Y</v>
      </c>
      <c r="BD1983" t="str">
        <f>"ערן שלו"</f>
        <v>ערן שלו</v>
      </c>
    </row>
    <row r="1984" spans="1:56" x14ac:dyDescent="0.3">
      <c r="A1984" s="1">
        <v>44510</v>
      </c>
      <c r="B1984" t="str">
        <f>"SI216001592"</f>
        <v>SI216001592</v>
      </c>
      <c r="C1984" t="str">
        <f>"PR19000753"</f>
        <v>PR19000753</v>
      </c>
      <c r="E1984" t="str">
        <f>"Y"</f>
        <v>Y</v>
      </c>
      <c r="F1984" t="str">
        <f>"חשבוניות מרכזות"</f>
        <v>חשבוניות מרכזות</v>
      </c>
      <c r="G1984" t="str">
        <f>"700065"</f>
        <v>700065</v>
      </c>
      <c r="H1984" t="str">
        <f>"אלתא מערכות בע""מ"</f>
        <v>אלתא מערכות בע"מ</v>
      </c>
      <c r="I1984" t="str">
        <f>"10"</f>
        <v>10</v>
      </c>
      <c r="J1984" t="str">
        <f>"000"</f>
        <v>000</v>
      </c>
      <c r="K1984" t="str">
        <f>"פיקוח מהנדס על ביצוע ATP"</f>
        <v>פיקוח מהנדס על ביצוע ATP</v>
      </c>
      <c r="L1984">
        <v>1</v>
      </c>
      <c r="M1984" t="str">
        <f>"יח"</f>
        <v>יח</v>
      </c>
      <c r="N1984">
        <v>1</v>
      </c>
      <c r="O1984" t="str">
        <f>"יח"</f>
        <v>יח</v>
      </c>
      <c r="P1984" s="2">
        <v>11200</v>
      </c>
      <c r="Q1984" t="str">
        <f>"$"</f>
        <v>$</v>
      </c>
      <c r="R1984" t="str">
        <f>"הזמנה"</f>
        <v>הזמנה</v>
      </c>
      <c r="S1984">
        <v>0</v>
      </c>
      <c r="T1984" s="2">
        <v>11200</v>
      </c>
      <c r="U1984">
        <v>0</v>
      </c>
      <c r="V1984" s="2">
        <v>11200</v>
      </c>
      <c r="W1984" t="str">
        <f>"$"</f>
        <v>$</v>
      </c>
      <c r="X1984">
        <v>0</v>
      </c>
      <c r="Y1984">
        <v>0</v>
      </c>
      <c r="Z1984">
        <v>0</v>
      </c>
      <c r="AA1984" t="str">
        <f>"Y"</f>
        <v>Y</v>
      </c>
      <c r="AC1984">
        <v>0</v>
      </c>
      <c r="AM1984" t="str">
        <f>"10"</f>
        <v>10</v>
      </c>
      <c r="AN1984" t="str">
        <f>"500000"</f>
        <v>500000</v>
      </c>
      <c r="AO1984" t="str">
        <f>"הכנסות  מלקוחות"</f>
        <v>הכנסות  מלקוחות</v>
      </c>
      <c r="AQ1984" t="str">
        <f>"034"</f>
        <v>034</v>
      </c>
      <c r="AR1984">
        <v>0</v>
      </c>
      <c r="AS1984">
        <v>0</v>
      </c>
      <c r="AT1984">
        <v>3.113</v>
      </c>
      <c r="BB1984" t="str">
        <f>"Y"</f>
        <v>Y</v>
      </c>
      <c r="BD1984" t="str">
        <f>"ערן שלו"</f>
        <v>ערן שלו</v>
      </c>
    </row>
    <row r="1985" spans="1:56" x14ac:dyDescent="0.3">
      <c r="A1985" s="1">
        <v>44510</v>
      </c>
      <c r="B1985" t="str">
        <f>"SI216001591"</f>
        <v>SI216001591</v>
      </c>
      <c r="C1985" t="str">
        <f>"PR20000502"</f>
        <v>PR20000502</v>
      </c>
      <c r="D1985" t="str">
        <f>"PR20000502"</f>
        <v>PR20000502</v>
      </c>
      <c r="E1985" t="str">
        <f>"Y"</f>
        <v>Y</v>
      </c>
      <c r="F1985" t="str">
        <f>"חשבוניות מרכזות"</f>
        <v>חשבוניות מרכזות</v>
      </c>
      <c r="G1985" t="str">
        <f>"700065"</f>
        <v>700065</v>
      </c>
      <c r="H1985" t="str">
        <f>"אלתא מערכות בע""מ"</f>
        <v>אלתא מערכות בע"מ</v>
      </c>
      <c r="I1985" t="str">
        <f>"10"</f>
        <v>10</v>
      </c>
      <c r="J1985" t="str">
        <f>"OP-AR01930"</f>
        <v>OP-AR01930</v>
      </c>
      <c r="K1985" t="str">
        <f>"NRE FOR E000316387"</f>
        <v>NRE FOR E000316387</v>
      </c>
      <c r="L1985">
        <v>1</v>
      </c>
      <c r="M1985" t="str">
        <f>"יח"</f>
        <v>יח</v>
      </c>
      <c r="N1985">
        <v>1</v>
      </c>
      <c r="O1985" t="str">
        <f>"יח"</f>
        <v>יח</v>
      </c>
      <c r="P1985">
        <v>600</v>
      </c>
      <c r="Q1985" t="str">
        <f>"$"</f>
        <v>$</v>
      </c>
      <c r="R1985" t="str">
        <f>"הזמנה"</f>
        <v>הזמנה</v>
      </c>
      <c r="S1985">
        <v>0</v>
      </c>
      <c r="T1985">
        <v>600</v>
      </c>
      <c r="U1985">
        <v>0</v>
      </c>
      <c r="V1985">
        <v>600</v>
      </c>
      <c r="W1985" t="str">
        <f>"$"</f>
        <v>$</v>
      </c>
      <c r="X1985">
        <v>0</v>
      </c>
      <c r="Y1985">
        <v>0</v>
      </c>
      <c r="Z1985">
        <v>0</v>
      </c>
      <c r="AA1985" t="str">
        <f>"Y"</f>
        <v>Y</v>
      </c>
      <c r="AB1985" t="str">
        <f>"SO20000309"</f>
        <v>SO20000309</v>
      </c>
      <c r="AC1985">
        <v>10</v>
      </c>
      <c r="AD1985" s="1">
        <v>44031</v>
      </c>
      <c r="AM1985" t="str">
        <f>"10"</f>
        <v>10</v>
      </c>
      <c r="AN1985" t="str">
        <f>"500000"</f>
        <v>500000</v>
      </c>
      <c r="AO1985" t="str">
        <f>"הכנסות  מלקוחות"</f>
        <v>הכנסות  מלקוחות</v>
      </c>
      <c r="AQ1985" t="str">
        <f>"034"</f>
        <v>034</v>
      </c>
      <c r="AR1985">
        <v>0</v>
      </c>
      <c r="AS1985">
        <v>0</v>
      </c>
      <c r="AT1985">
        <v>3.113</v>
      </c>
      <c r="AX1985" t="str">
        <f>"E000316387"</f>
        <v>E000316387</v>
      </c>
      <c r="BD1985" t="str">
        <f>"ערן שלו"</f>
        <v>ערן שלו</v>
      </c>
    </row>
    <row r="1986" spans="1:56" x14ac:dyDescent="0.3">
      <c r="A1986" s="1">
        <v>44510</v>
      </c>
      <c r="B1986" t="str">
        <f>"SI216001590"</f>
        <v>SI216001590</v>
      </c>
      <c r="C1986" t="str">
        <f>"PR20000210"</f>
        <v>PR20000210</v>
      </c>
      <c r="D1986" t="str">
        <f>"PR20000210"</f>
        <v>PR20000210</v>
      </c>
      <c r="E1986" t="str">
        <f>"Y"</f>
        <v>Y</v>
      </c>
      <c r="F1986" t="str">
        <f>"חשבוניות מרכזות"</f>
        <v>חשבוניות מרכזות</v>
      </c>
      <c r="G1986" t="str">
        <f>"700065"</f>
        <v>700065</v>
      </c>
      <c r="H1986" t="str">
        <f>"אלתא מערכות בע""מ"</f>
        <v>אלתא מערכות בע"מ</v>
      </c>
      <c r="I1986" t="str">
        <f>"10"</f>
        <v>10</v>
      </c>
      <c r="J1986" t="str">
        <f>"000"</f>
        <v>000</v>
      </c>
      <c r="K1986" t="str">
        <f>"פריט חדש 30/03/21"</f>
        <v>פריט חדש 30/03/21</v>
      </c>
      <c r="L1986">
        <v>1</v>
      </c>
      <c r="M1986" t="str">
        <f>"יח"</f>
        <v>יח</v>
      </c>
      <c r="N1986">
        <v>1</v>
      </c>
      <c r="O1986" t="str">
        <f>"יח"</f>
        <v>יח</v>
      </c>
      <c r="P1986">
        <v>236.4</v>
      </c>
      <c r="Q1986" t="str">
        <f>"$"</f>
        <v>$</v>
      </c>
      <c r="R1986" t="str">
        <f>"הזמנה"</f>
        <v>הזמנה</v>
      </c>
      <c r="S1986">
        <v>0</v>
      </c>
      <c r="T1986">
        <v>236.4</v>
      </c>
      <c r="U1986">
        <v>0</v>
      </c>
      <c r="V1986">
        <v>236.4</v>
      </c>
      <c r="W1986" t="str">
        <f>"$"</f>
        <v>$</v>
      </c>
      <c r="X1986">
        <v>0</v>
      </c>
      <c r="Y1986">
        <v>0</v>
      </c>
      <c r="Z1986">
        <v>0</v>
      </c>
      <c r="AA1986" t="str">
        <f>"Y"</f>
        <v>Y</v>
      </c>
      <c r="AB1986" t="str">
        <f>"SO20000139"</f>
        <v>SO20000139</v>
      </c>
      <c r="AC1986">
        <v>14</v>
      </c>
      <c r="AD1986" s="1">
        <v>43940</v>
      </c>
      <c r="AM1986" t="str">
        <f>"10"</f>
        <v>10</v>
      </c>
      <c r="AN1986" t="str">
        <f>"500000"</f>
        <v>500000</v>
      </c>
      <c r="AO1986" t="str">
        <f>"הכנסות  מלקוחות"</f>
        <v>הכנסות  מלקוחות</v>
      </c>
      <c r="AQ1986" t="str">
        <f>"034"</f>
        <v>034</v>
      </c>
      <c r="AR1986">
        <v>0</v>
      </c>
      <c r="AS1986">
        <v>0</v>
      </c>
      <c r="AT1986">
        <v>3.113</v>
      </c>
      <c r="AX1986" t="str">
        <f>"E000309670"</f>
        <v>E000309670</v>
      </c>
      <c r="BD1986" t="str">
        <f>"ערן שלו"</f>
        <v>ערן שלו</v>
      </c>
    </row>
    <row r="1987" spans="1:56" x14ac:dyDescent="0.3">
      <c r="A1987" s="1">
        <v>44509</v>
      </c>
      <c r="B1987" t="str">
        <f>"SI216001583"</f>
        <v>SI216001583</v>
      </c>
      <c r="E1987" t="str">
        <f>"Y"</f>
        <v>Y</v>
      </c>
      <c r="F1987" t="str">
        <f>"חשבוניות מרכזות"</f>
        <v>חשבוניות מרכזות</v>
      </c>
      <c r="G1987" t="str">
        <f>"700065"</f>
        <v>700065</v>
      </c>
      <c r="H1987" t="str">
        <f>"אלתא מערכות בע""מ"</f>
        <v>אלתא מערכות בע"מ</v>
      </c>
      <c r="I1987" t="str">
        <f>"10"</f>
        <v>10</v>
      </c>
      <c r="J1987" t="str">
        <f>"000"</f>
        <v>000</v>
      </c>
      <c r="K1987" t="str">
        <f>"NRE"</f>
        <v>NRE</v>
      </c>
      <c r="L1987">
        <v>1</v>
      </c>
      <c r="M1987" t="str">
        <f>"יח"</f>
        <v>יח</v>
      </c>
      <c r="N1987">
        <v>1</v>
      </c>
      <c r="O1987" t="str">
        <f>"יח"</f>
        <v>יח</v>
      </c>
      <c r="P1987" s="2">
        <v>246722</v>
      </c>
      <c r="Q1987" t="str">
        <f>"$"</f>
        <v>$</v>
      </c>
      <c r="R1987" t="str">
        <f>"הזמנה"</f>
        <v>הזמנה</v>
      </c>
      <c r="S1987">
        <v>0</v>
      </c>
      <c r="T1987" s="2">
        <v>246722</v>
      </c>
      <c r="U1987">
        <v>0</v>
      </c>
      <c r="V1987" s="2">
        <v>246722</v>
      </c>
      <c r="W1987" t="str">
        <f>"$"</f>
        <v>$</v>
      </c>
      <c r="X1987">
        <v>0</v>
      </c>
      <c r="Y1987">
        <v>0</v>
      </c>
      <c r="Z1987">
        <v>0</v>
      </c>
      <c r="AA1987" t="str">
        <f>"Y"</f>
        <v>Y</v>
      </c>
      <c r="AC1987">
        <v>0</v>
      </c>
      <c r="AM1987" t="str">
        <f>"10"</f>
        <v>10</v>
      </c>
      <c r="AN1987" t="str">
        <f>"500000"</f>
        <v>500000</v>
      </c>
      <c r="AO1987" t="str">
        <f>"הכנסות  מלקוחות"</f>
        <v>הכנסות  מלקוחות</v>
      </c>
      <c r="AQ1987" t="str">
        <f>"007"</f>
        <v>007</v>
      </c>
      <c r="AR1987">
        <v>0</v>
      </c>
      <c r="AS1987">
        <v>0</v>
      </c>
      <c r="AT1987">
        <v>3.1030000000000002</v>
      </c>
      <c r="BB1987" t="str">
        <f>"Y"</f>
        <v>Y</v>
      </c>
      <c r="BD1987" t="str">
        <f>"רוני דידי"</f>
        <v>רוני דידי</v>
      </c>
    </row>
    <row r="1988" spans="1:56" x14ac:dyDescent="0.3">
      <c r="A1988" s="1">
        <v>44509</v>
      </c>
      <c r="B1988" t="str">
        <f>"SI216001582"</f>
        <v>SI216001582</v>
      </c>
      <c r="E1988" t="str">
        <f>"Y"</f>
        <v>Y</v>
      </c>
      <c r="F1988" t="str">
        <f>"חשבוניות מרכזות"</f>
        <v>חשבוניות מרכזות</v>
      </c>
      <c r="G1988" t="str">
        <f>"700065"</f>
        <v>700065</v>
      </c>
      <c r="H1988" t="str">
        <f>"אלתא מערכות בע""מ"</f>
        <v>אלתא מערכות בע"מ</v>
      </c>
      <c r="I1988" t="str">
        <f>"10"</f>
        <v>10</v>
      </c>
      <c r="J1988" t="str">
        <f>"000"</f>
        <v>000</v>
      </c>
      <c r="K1988" t="str">
        <f>"תיקון תקלה במחנה נפתלי"</f>
        <v>תיקון תקלה במחנה נפתלי</v>
      </c>
      <c r="L1988">
        <v>1</v>
      </c>
      <c r="M1988" t="str">
        <f>"יח"</f>
        <v>יח</v>
      </c>
      <c r="N1988">
        <v>1</v>
      </c>
      <c r="O1988" t="str">
        <f>"יח"</f>
        <v>יח</v>
      </c>
      <c r="P1988" s="2">
        <v>2300</v>
      </c>
      <c r="Q1988" t="str">
        <f>"$"</f>
        <v>$</v>
      </c>
      <c r="R1988" t="str">
        <f>"הזמנה"</f>
        <v>הזמנה</v>
      </c>
      <c r="S1988">
        <v>0</v>
      </c>
      <c r="T1988" s="2">
        <v>2300</v>
      </c>
      <c r="U1988">
        <v>0</v>
      </c>
      <c r="V1988" s="2">
        <v>2300</v>
      </c>
      <c r="W1988" t="str">
        <f>"$"</f>
        <v>$</v>
      </c>
      <c r="X1988">
        <v>0</v>
      </c>
      <c r="Y1988">
        <v>0</v>
      </c>
      <c r="Z1988">
        <v>0</v>
      </c>
      <c r="AA1988" t="str">
        <f>"Y"</f>
        <v>Y</v>
      </c>
      <c r="AB1988" t="str">
        <f>"SO21000463"</f>
        <v>SO21000463</v>
      </c>
      <c r="AC1988">
        <v>1</v>
      </c>
      <c r="AD1988" s="1">
        <v>44509</v>
      </c>
      <c r="AM1988" t="str">
        <f>"10"</f>
        <v>10</v>
      </c>
      <c r="AN1988" t="str">
        <f>"500000"</f>
        <v>500000</v>
      </c>
      <c r="AO1988" t="str">
        <f>"הכנסות  מלקוחות"</f>
        <v>הכנסות  מלקוחות</v>
      </c>
      <c r="AQ1988" t="str">
        <f>"007"</f>
        <v>007</v>
      </c>
      <c r="AR1988">
        <v>0</v>
      </c>
      <c r="AS1988">
        <v>0</v>
      </c>
      <c r="AT1988">
        <v>3.1030000000000002</v>
      </c>
      <c r="AX1988" t="str">
        <f>"E000350799"</f>
        <v>E000350799</v>
      </c>
      <c r="BD1988" t="str">
        <f>"רוני דידי"</f>
        <v>רוני דידי</v>
      </c>
    </row>
    <row r="1989" spans="1:56" x14ac:dyDescent="0.3">
      <c r="A1989" s="1">
        <v>44509</v>
      </c>
      <c r="B1989" t="str">
        <f>"SI216001580"</f>
        <v>SI216001580</v>
      </c>
      <c r="E1989" t="str">
        <f>"Y"</f>
        <v>Y</v>
      </c>
      <c r="F1989" t="str">
        <f>"חשבוניות מרכזות"</f>
        <v>חשבוניות מרכזות</v>
      </c>
      <c r="G1989" t="str">
        <f>"700065"</f>
        <v>700065</v>
      </c>
      <c r="H1989" t="str">
        <f>"אלתא מערכות בע""מ"</f>
        <v>אלתא מערכות בע"מ</v>
      </c>
      <c r="I1989" t="str">
        <f>"10"</f>
        <v>10</v>
      </c>
      <c r="J1989" t="str">
        <f>"000"</f>
        <v>000</v>
      </c>
      <c r="K1989" t="str">
        <f>"NRE להזמנה E000312785"</f>
        <v>NRE להזמנה E000312785</v>
      </c>
      <c r="L1989">
        <v>1</v>
      </c>
      <c r="M1989" t="str">
        <f>"יח"</f>
        <v>יח</v>
      </c>
      <c r="N1989">
        <v>1</v>
      </c>
      <c r="O1989" t="str">
        <f>"יח"</f>
        <v>יח</v>
      </c>
      <c r="P1989" s="2">
        <v>15000</v>
      </c>
      <c r="Q1989" t="str">
        <f>"$"</f>
        <v>$</v>
      </c>
      <c r="R1989" t="str">
        <f>"הזמנה"</f>
        <v>הזמנה</v>
      </c>
      <c r="S1989">
        <v>0</v>
      </c>
      <c r="T1989" s="2">
        <v>15000</v>
      </c>
      <c r="U1989">
        <v>0</v>
      </c>
      <c r="V1989" s="2">
        <v>15000</v>
      </c>
      <c r="W1989" t="str">
        <f>"$"</f>
        <v>$</v>
      </c>
      <c r="X1989">
        <v>0</v>
      </c>
      <c r="Y1989">
        <v>0</v>
      </c>
      <c r="Z1989">
        <v>0</v>
      </c>
      <c r="AA1989" t="str">
        <f>"Y"</f>
        <v>Y</v>
      </c>
      <c r="AB1989" t="str">
        <f>"SO21000055"</f>
        <v>SO21000055</v>
      </c>
      <c r="AC1989">
        <v>1</v>
      </c>
      <c r="AD1989" s="1">
        <v>44228</v>
      </c>
      <c r="AM1989" t="str">
        <f>"10"</f>
        <v>10</v>
      </c>
      <c r="AN1989" t="str">
        <f>"500000"</f>
        <v>500000</v>
      </c>
      <c r="AO1989" t="str">
        <f>"הכנסות  מלקוחות"</f>
        <v>הכנסות  מלקוחות</v>
      </c>
      <c r="AQ1989" t="str">
        <f>"034"</f>
        <v>034</v>
      </c>
      <c r="AR1989">
        <v>0</v>
      </c>
      <c r="AS1989">
        <v>0</v>
      </c>
      <c r="AT1989">
        <v>3.1030000000000002</v>
      </c>
      <c r="AX1989" t="str">
        <f>"E000331489"</f>
        <v>E000331489</v>
      </c>
      <c r="BD1989" t="str">
        <f>"ערן שלו"</f>
        <v>ערן שלו</v>
      </c>
    </row>
    <row r="1990" spans="1:56" x14ac:dyDescent="0.3">
      <c r="A1990" s="1">
        <v>44509</v>
      </c>
      <c r="B1990" t="str">
        <f>"SI216001580"</f>
        <v>SI216001580</v>
      </c>
      <c r="E1990" t="str">
        <f>"Y"</f>
        <v>Y</v>
      </c>
      <c r="F1990" t="str">
        <f>"חשבוניות מרכזות"</f>
        <v>חשבוניות מרכזות</v>
      </c>
      <c r="G1990" t="str">
        <f>"700065"</f>
        <v>700065</v>
      </c>
      <c r="H1990" t="str">
        <f>"אלתא מערכות בע""מ"</f>
        <v>אלתא מערכות בע"מ</v>
      </c>
      <c r="I1990" t="str">
        <f>"10"</f>
        <v>10</v>
      </c>
      <c r="J1990" t="str">
        <f>"000"</f>
        <v>000</v>
      </c>
      <c r="K1990" t="str">
        <f>"תוספות לRPU עבור הזמנה E000312785"</f>
        <v>תוספות לRPU עבור הזמנה E000312785</v>
      </c>
      <c r="L1990">
        <v>1</v>
      </c>
      <c r="M1990" t="str">
        <f>"יח"</f>
        <v>יח</v>
      </c>
      <c r="N1990">
        <v>1</v>
      </c>
      <c r="O1990" t="str">
        <f>"יח"</f>
        <v>יח</v>
      </c>
      <c r="P1990" s="2">
        <v>32780</v>
      </c>
      <c r="Q1990" t="str">
        <f>"$"</f>
        <v>$</v>
      </c>
      <c r="R1990" t="str">
        <f>"הזמנה"</f>
        <v>הזמנה</v>
      </c>
      <c r="S1990">
        <v>0</v>
      </c>
      <c r="T1990" s="2">
        <v>32780</v>
      </c>
      <c r="U1990">
        <v>0</v>
      </c>
      <c r="V1990" s="2">
        <v>32780</v>
      </c>
      <c r="W1990" t="str">
        <f>"$"</f>
        <v>$</v>
      </c>
      <c r="X1990">
        <v>0</v>
      </c>
      <c r="Y1990">
        <v>0</v>
      </c>
      <c r="Z1990">
        <v>0</v>
      </c>
      <c r="AA1990" t="str">
        <f>"Y"</f>
        <v>Y</v>
      </c>
      <c r="AB1990" t="str">
        <f>"SO21000055"</f>
        <v>SO21000055</v>
      </c>
      <c r="AC1990">
        <v>2</v>
      </c>
      <c r="AD1990" s="1">
        <v>44228</v>
      </c>
      <c r="AM1990" t="str">
        <f>"10"</f>
        <v>10</v>
      </c>
      <c r="AN1990" t="str">
        <f>"500000"</f>
        <v>500000</v>
      </c>
      <c r="AO1990" t="str">
        <f>"הכנסות  מלקוחות"</f>
        <v>הכנסות  מלקוחות</v>
      </c>
      <c r="AQ1990" t="str">
        <f>"034"</f>
        <v>034</v>
      </c>
      <c r="AR1990">
        <v>0</v>
      </c>
      <c r="AS1990">
        <v>0</v>
      </c>
      <c r="AT1990">
        <v>3.1030000000000002</v>
      </c>
      <c r="AX1990" t="str">
        <f>"E000331489"</f>
        <v>E000331489</v>
      </c>
      <c r="BD1990" t="str">
        <f>"ערן שלו"</f>
        <v>ערן שלו</v>
      </c>
    </row>
    <row r="1991" spans="1:56" x14ac:dyDescent="0.3">
      <c r="A1991" s="1">
        <v>44509</v>
      </c>
      <c r="B1991" t="str">
        <f>"SI216001580"</f>
        <v>SI216001580</v>
      </c>
      <c r="E1991" t="str">
        <f>"Y"</f>
        <v>Y</v>
      </c>
      <c r="F1991" t="str">
        <f>"חשבוניות מרכזות"</f>
        <v>חשבוניות מרכזות</v>
      </c>
      <c r="G1991" t="str">
        <f>"700065"</f>
        <v>700065</v>
      </c>
      <c r="H1991" t="str">
        <f>"אלתא מערכות בע""מ"</f>
        <v>אלתא מערכות בע"מ</v>
      </c>
      <c r="I1991" t="str">
        <f>"10"</f>
        <v>10</v>
      </c>
      <c r="J1991" t="str">
        <f>"000"</f>
        <v>000</v>
      </c>
      <c r="K1991" t="str">
        <f>"תוספות לRPU עבור הזמנה E000312785"</f>
        <v>תוספות לRPU עבור הזמנה E000312785</v>
      </c>
      <c r="L1991">
        <v>1</v>
      </c>
      <c r="M1991" t="str">
        <f>"יח"</f>
        <v>יח</v>
      </c>
      <c r="N1991">
        <v>1</v>
      </c>
      <c r="O1991" t="str">
        <f>"יח"</f>
        <v>יח</v>
      </c>
      <c r="P1991" s="2">
        <v>2530</v>
      </c>
      <c r="Q1991" t="str">
        <f>"$"</f>
        <v>$</v>
      </c>
      <c r="R1991" t="str">
        <f>"הזמנה"</f>
        <v>הזמנה</v>
      </c>
      <c r="S1991">
        <v>0</v>
      </c>
      <c r="T1991" s="2">
        <v>2530</v>
      </c>
      <c r="U1991">
        <v>0</v>
      </c>
      <c r="V1991" s="2">
        <v>2530</v>
      </c>
      <c r="W1991" t="str">
        <f>"$"</f>
        <v>$</v>
      </c>
      <c r="X1991">
        <v>0</v>
      </c>
      <c r="Y1991">
        <v>0</v>
      </c>
      <c r="Z1991">
        <v>0</v>
      </c>
      <c r="AA1991" t="str">
        <f>"Y"</f>
        <v>Y</v>
      </c>
      <c r="AB1991" t="str">
        <f>"SO21000055"</f>
        <v>SO21000055</v>
      </c>
      <c r="AC1991">
        <v>11</v>
      </c>
      <c r="AD1991" s="1">
        <v>44228</v>
      </c>
      <c r="AM1991" t="str">
        <f>"10"</f>
        <v>10</v>
      </c>
      <c r="AN1991" t="str">
        <f>"500000"</f>
        <v>500000</v>
      </c>
      <c r="AO1991" t="str">
        <f>"הכנסות  מלקוחות"</f>
        <v>הכנסות  מלקוחות</v>
      </c>
      <c r="AQ1991" t="str">
        <f>"034"</f>
        <v>034</v>
      </c>
      <c r="AR1991">
        <v>0</v>
      </c>
      <c r="AS1991">
        <v>0</v>
      </c>
      <c r="AT1991">
        <v>3.1030000000000002</v>
      </c>
      <c r="AX1991" t="str">
        <f>"E000331489"</f>
        <v>E000331489</v>
      </c>
      <c r="BD1991" t="str">
        <f>"ערן שלו"</f>
        <v>ערן שלו</v>
      </c>
    </row>
    <row r="1992" spans="1:56" x14ac:dyDescent="0.3">
      <c r="A1992" s="1">
        <v>44502</v>
      </c>
      <c r="B1992" t="str">
        <f>"SI216001529"</f>
        <v>SI216001529</v>
      </c>
      <c r="E1992" t="str">
        <f>"Y"</f>
        <v>Y</v>
      </c>
      <c r="F1992" t="str">
        <f>"חשבוניות מרכזות"</f>
        <v>חשבוניות מרכזות</v>
      </c>
      <c r="G1992" t="str">
        <f>"700065"</f>
        <v>700065</v>
      </c>
      <c r="H1992" t="str">
        <f>"אלתא מערכות בע""מ"</f>
        <v>אלתא מערכות בע"מ</v>
      </c>
      <c r="I1992" t="str">
        <f>"10"</f>
        <v>10</v>
      </c>
      <c r="J1992" t="str">
        <f>"OP-AR02681"</f>
        <v>OP-AR02681</v>
      </c>
      <c r="K1992" t="str">
        <f>"שדרוג כבלים מהזמנה E000326481"</f>
        <v>שדרוג כבלים מהזמנה E000326481</v>
      </c>
      <c r="L1992">
        <v>-1</v>
      </c>
      <c r="M1992" t="str">
        <f>"יח"</f>
        <v>יח</v>
      </c>
      <c r="N1992">
        <v>-1</v>
      </c>
      <c r="O1992" t="str">
        <f>"יח"</f>
        <v>יח</v>
      </c>
      <c r="P1992" s="2">
        <v>8932.35</v>
      </c>
      <c r="Q1992" t="str">
        <f>"$"</f>
        <v>$</v>
      </c>
      <c r="R1992" t="str">
        <f>"הזמנה"</f>
        <v>הזמנה</v>
      </c>
      <c r="S1992">
        <v>0</v>
      </c>
      <c r="T1992" s="2">
        <v>-8932.35</v>
      </c>
      <c r="U1992">
        <v>0</v>
      </c>
      <c r="V1992" s="2">
        <v>-8932.35</v>
      </c>
      <c r="W1992" t="str">
        <f>"$"</f>
        <v>$</v>
      </c>
      <c r="X1992">
        <v>0</v>
      </c>
      <c r="Y1992">
        <v>0</v>
      </c>
      <c r="Z1992">
        <v>0</v>
      </c>
      <c r="AA1992" t="str">
        <f>"Y"</f>
        <v>Y</v>
      </c>
      <c r="AC1992">
        <v>0</v>
      </c>
      <c r="AM1992" t="str">
        <f>"10"</f>
        <v>10</v>
      </c>
      <c r="AN1992" t="str">
        <f>"500000"</f>
        <v>500000</v>
      </c>
      <c r="AO1992" t="str">
        <f>"הכנסות  מלקוחות"</f>
        <v>הכנסות  מלקוחות</v>
      </c>
      <c r="AQ1992" t="str">
        <f>"040"</f>
        <v>040</v>
      </c>
      <c r="AR1992">
        <v>0</v>
      </c>
      <c r="AS1992">
        <v>0</v>
      </c>
      <c r="AT1992">
        <v>3.1339999999999999</v>
      </c>
      <c r="BB1992" t="str">
        <f>"Y"</f>
        <v>Y</v>
      </c>
      <c r="BD1992" t="str">
        <f>"רחמים זרוק"</f>
        <v>רחמים זרוק</v>
      </c>
    </row>
    <row r="1993" spans="1:56" x14ac:dyDescent="0.3">
      <c r="A1993" s="1">
        <v>44502</v>
      </c>
      <c r="B1993" t="str">
        <f>"SI216001528"</f>
        <v>SI216001528</v>
      </c>
      <c r="E1993" t="str">
        <f>"Y"</f>
        <v>Y</v>
      </c>
      <c r="F1993" t="str">
        <f>"חשבוניות מרכזות"</f>
        <v>חשבוניות מרכזות</v>
      </c>
      <c r="G1993" t="str">
        <f>"700065"</f>
        <v>700065</v>
      </c>
      <c r="H1993" t="str">
        <f>"אלתא מערכות בע""מ"</f>
        <v>אלתא מערכות בע"מ</v>
      </c>
      <c r="I1993" t="str">
        <f>"10"</f>
        <v>10</v>
      </c>
      <c r="J1993" t="str">
        <f>"OP-AR02681"</f>
        <v>OP-AR02681</v>
      </c>
      <c r="K1993" t="str">
        <f>"שדרוג כבלים מהזמנה E000326481"</f>
        <v>שדרוג כבלים מהזמנה E000326481</v>
      </c>
      <c r="L1993">
        <v>1</v>
      </c>
      <c r="M1993" t="str">
        <f>"יח"</f>
        <v>יח</v>
      </c>
      <c r="N1993">
        <v>1</v>
      </c>
      <c r="O1993" t="str">
        <f>"יח"</f>
        <v>יח</v>
      </c>
      <c r="P1993" s="2">
        <v>8932.35</v>
      </c>
      <c r="Q1993" t="str">
        <f>"$"</f>
        <v>$</v>
      </c>
      <c r="R1993" t="str">
        <f>"הזמנה"</f>
        <v>הזמנה</v>
      </c>
      <c r="S1993">
        <v>0</v>
      </c>
      <c r="T1993" s="2">
        <v>8932.35</v>
      </c>
      <c r="U1993">
        <v>0</v>
      </c>
      <c r="V1993" s="2">
        <v>8932.35</v>
      </c>
      <c r="W1993" t="str">
        <f>"$"</f>
        <v>$</v>
      </c>
      <c r="X1993">
        <v>0</v>
      </c>
      <c r="Y1993">
        <v>0</v>
      </c>
      <c r="Z1993">
        <v>0</v>
      </c>
      <c r="AA1993" t="str">
        <f>"Y"</f>
        <v>Y</v>
      </c>
      <c r="AC1993">
        <v>0</v>
      </c>
      <c r="AM1993" t="str">
        <f>"10"</f>
        <v>10</v>
      </c>
      <c r="AN1993" t="str">
        <f>"500000"</f>
        <v>500000</v>
      </c>
      <c r="AO1993" t="str">
        <f>"הכנסות  מלקוחות"</f>
        <v>הכנסות  מלקוחות</v>
      </c>
      <c r="AQ1993" t="str">
        <f>"040"</f>
        <v>040</v>
      </c>
      <c r="AR1993">
        <v>0</v>
      </c>
      <c r="AS1993">
        <v>0</v>
      </c>
      <c r="AT1993">
        <v>3.1339999999999999</v>
      </c>
      <c r="BB1993" t="str">
        <f>"Y"</f>
        <v>Y</v>
      </c>
      <c r="BD1993" t="str">
        <f>"רחמים זרוק"</f>
        <v>רחמים זרוק</v>
      </c>
    </row>
    <row r="1994" spans="1:56" x14ac:dyDescent="0.3">
      <c r="A1994" s="1">
        <v>44500</v>
      </c>
      <c r="B1994" t="str">
        <f>"SI216001531"</f>
        <v>SI216001531</v>
      </c>
      <c r="C1994" t="str">
        <f>"PR19000454"</f>
        <v>PR19000454</v>
      </c>
      <c r="E1994" t="str">
        <f>"Y"</f>
        <v>Y</v>
      </c>
      <c r="F1994" t="str">
        <f>"חשבוניות מרכזות"</f>
        <v>חשבוניות מרכזות</v>
      </c>
      <c r="G1994" t="str">
        <f>"700065"</f>
        <v>700065</v>
      </c>
      <c r="H1994" t="str">
        <f>"אלתא מערכות בע""מ"</f>
        <v>אלתא מערכות בע"מ</v>
      </c>
      <c r="I1994" t="str">
        <f>"10"</f>
        <v>10</v>
      </c>
      <c r="J1994" t="str">
        <f>"OP-AR01297"</f>
        <v>OP-AR01297</v>
      </c>
      <c r="K1994" t="str">
        <f>"שדרוג יחידה LB PDB"</f>
        <v>שדרוג יחידה LB PDB</v>
      </c>
      <c r="L1994">
        <v>-1</v>
      </c>
      <c r="M1994" t="str">
        <f>"יח"</f>
        <v>יח</v>
      </c>
      <c r="N1994">
        <v>-1</v>
      </c>
      <c r="O1994" t="str">
        <f>"יח"</f>
        <v>יח</v>
      </c>
      <c r="P1994" s="2">
        <v>2549</v>
      </c>
      <c r="Q1994" t="str">
        <f>"$"</f>
        <v>$</v>
      </c>
      <c r="R1994" t="str">
        <f>"הזמנה"</f>
        <v>הזמנה</v>
      </c>
      <c r="S1994">
        <v>0</v>
      </c>
      <c r="T1994" s="2">
        <v>-2549</v>
      </c>
      <c r="U1994">
        <v>0</v>
      </c>
      <c r="V1994" s="2">
        <v>-2549</v>
      </c>
      <c r="W1994" t="str">
        <f>"$"</f>
        <v>$</v>
      </c>
      <c r="X1994">
        <v>0</v>
      </c>
      <c r="Y1994">
        <v>0</v>
      </c>
      <c r="Z1994">
        <v>0</v>
      </c>
      <c r="AA1994" t="str">
        <f>"Y"</f>
        <v>Y</v>
      </c>
      <c r="AC1994">
        <v>0</v>
      </c>
      <c r="AM1994" t="str">
        <f>"10"</f>
        <v>10</v>
      </c>
      <c r="AN1994" t="str">
        <f>"500000"</f>
        <v>500000</v>
      </c>
      <c r="AO1994" t="str">
        <f>"הכנסות  מלקוחות"</f>
        <v>הכנסות  מלקוחות</v>
      </c>
      <c r="AQ1994" t="str">
        <f>"034"</f>
        <v>034</v>
      </c>
      <c r="AR1994">
        <v>0</v>
      </c>
      <c r="AS1994">
        <v>0</v>
      </c>
      <c r="AT1994">
        <v>3.31</v>
      </c>
      <c r="BB1994" t="str">
        <f>"Y"</f>
        <v>Y</v>
      </c>
      <c r="BD1994" t="str">
        <f>"ערן שלו"</f>
        <v>ערן שלו</v>
      </c>
    </row>
    <row r="1995" spans="1:56" x14ac:dyDescent="0.3">
      <c r="A1995" s="1">
        <v>44497</v>
      </c>
      <c r="B1995" t="str">
        <f>"SI216001484"</f>
        <v>SI216001484</v>
      </c>
      <c r="C1995" t="str">
        <f>"PR20000620"</f>
        <v>PR20000620</v>
      </c>
      <c r="E1995" t="str">
        <f>"Y"</f>
        <v>Y</v>
      </c>
      <c r="F1995" t="str">
        <f>"חשבוניות מרכזות"</f>
        <v>חשבוניות מרכזות</v>
      </c>
      <c r="G1995" t="str">
        <f>"700065"</f>
        <v>700065</v>
      </c>
      <c r="H1995" t="str">
        <f>"אלתא מערכות בע""מ"</f>
        <v>אלתא מערכות בע"מ</v>
      </c>
      <c r="I1995" t="str">
        <f>"10"</f>
        <v>10</v>
      </c>
      <c r="J1995" t="str">
        <f>"OP-AR02015"</f>
        <v>OP-AR02015</v>
      </c>
      <c r="K1995" t="str">
        <f>"MOQ FOR 9028C03101"</f>
        <v>MOQ FOR 9028C03101</v>
      </c>
      <c r="L1995">
        <v>-1</v>
      </c>
      <c r="M1995" t="str">
        <f>"יח"</f>
        <v>יח</v>
      </c>
      <c r="N1995">
        <v>-1</v>
      </c>
      <c r="O1995" t="str">
        <f>"יח"</f>
        <v>יח</v>
      </c>
      <c r="P1995" s="2">
        <v>3629.72</v>
      </c>
      <c r="Q1995" t="str">
        <f>"$"</f>
        <v>$</v>
      </c>
      <c r="R1995" t="str">
        <f>"הזמנה"</f>
        <v>הזמנה</v>
      </c>
      <c r="S1995">
        <v>0</v>
      </c>
      <c r="T1995" s="2">
        <v>-3629.72</v>
      </c>
      <c r="U1995">
        <v>0</v>
      </c>
      <c r="V1995" s="2">
        <v>-3629.72</v>
      </c>
      <c r="W1995" t="str">
        <f>"$"</f>
        <v>$</v>
      </c>
      <c r="X1995">
        <v>0</v>
      </c>
      <c r="Y1995">
        <v>0</v>
      </c>
      <c r="Z1995">
        <v>0</v>
      </c>
      <c r="AA1995" t="str">
        <f>"Y"</f>
        <v>Y</v>
      </c>
      <c r="AC1995">
        <v>0</v>
      </c>
      <c r="AM1995" t="str">
        <f>"10"</f>
        <v>10</v>
      </c>
      <c r="AN1995" t="str">
        <f>"500000"</f>
        <v>500000</v>
      </c>
      <c r="AO1995" t="str">
        <f>"הכנסות  מלקוחות"</f>
        <v>הכנסות  מלקוחות</v>
      </c>
      <c r="AQ1995" t="str">
        <f>"034"</f>
        <v>034</v>
      </c>
      <c r="AR1995">
        <v>0</v>
      </c>
      <c r="AS1995">
        <v>0</v>
      </c>
      <c r="AT1995">
        <v>3.2469999999999999</v>
      </c>
      <c r="BB1995" t="str">
        <f>"Y"</f>
        <v>Y</v>
      </c>
      <c r="BD1995" t="str">
        <f>"ערן שלו"</f>
        <v>ערן שלו</v>
      </c>
    </row>
    <row r="1996" spans="1:56" x14ac:dyDescent="0.3">
      <c r="A1996" s="1">
        <v>44496</v>
      </c>
      <c r="B1996" t="str">
        <f>"SI216001482"</f>
        <v>SI216001482</v>
      </c>
      <c r="C1996" t="str">
        <f>"PR21000562"</f>
        <v>PR21000562</v>
      </c>
      <c r="D1996" t="str">
        <f>"PR21000562"</f>
        <v>PR21000562</v>
      </c>
      <c r="E1996" t="str">
        <f>"Y"</f>
        <v>Y</v>
      </c>
      <c r="F1996" t="str">
        <f>"חשבוניות מרכזות"</f>
        <v>חשבוניות מרכזות</v>
      </c>
      <c r="G1996" t="str">
        <f>"700065"</f>
        <v>700065</v>
      </c>
      <c r="H1996" t="str">
        <f>"אלתא מערכות בע""מ"</f>
        <v>אלתא מערכות בע"מ</v>
      </c>
      <c r="I1996" t="str">
        <f>"10"</f>
        <v>10</v>
      </c>
      <c r="J1996" t="str">
        <f>"OP-AR02241"</f>
        <v>OP-AR02241</v>
      </c>
      <c r="K1996" t="str">
        <f>"1037M832-001   FAN BASE WIRING"</f>
        <v>1037M832-001   FAN BASE WIRING</v>
      </c>
      <c r="L1996">
        <v>2</v>
      </c>
      <c r="M1996" t="str">
        <f>"יח"</f>
        <v>יח</v>
      </c>
      <c r="N1996">
        <v>2</v>
      </c>
      <c r="O1996" t="str">
        <f>"יח"</f>
        <v>יח</v>
      </c>
      <c r="P1996">
        <v>620.57000000000005</v>
      </c>
      <c r="Q1996" t="str">
        <f>"$"</f>
        <v>$</v>
      </c>
      <c r="R1996" t="str">
        <f>"הזמנה"</f>
        <v>הזמנה</v>
      </c>
      <c r="S1996">
        <v>0</v>
      </c>
      <c r="T1996" s="2">
        <v>1241.1400000000001</v>
      </c>
      <c r="U1996">
        <v>0</v>
      </c>
      <c r="V1996" s="2">
        <v>1241.1400000000001</v>
      </c>
      <c r="W1996" t="str">
        <f>"$"</f>
        <v>$</v>
      </c>
      <c r="X1996">
        <v>0</v>
      </c>
      <c r="Y1996">
        <v>0</v>
      </c>
      <c r="Z1996">
        <v>0</v>
      </c>
      <c r="AA1996" t="str">
        <f>"Y"</f>
        <v>Y</v>
      </c>
      <c r="AB1996" t="str">
        <f>"SO21000361"</f>
        <v>SO21000361</v>
      </c>
      <c r="AC1996">
        <v>5</v>
      </c>
      <c r="AD1996" s="1">
        <v>44413</v>
      </c>
      <c r="AE1996" t="str">
        <f>"SH21001806"</f>
        <v>SH21001806</v>
      </c>
      <c r="AF1996" t="str">
        <f>"משלוחים ללקוח"</f>
        <v>משלוחים ללקוח</v>
      </c>
      <c r="AG1996" s="1">
        <v>44494</v>
      </c>
      <c r="AM1996" t="str">
        <f>"10"</f>
        <v>10</v>
      </c>
      <c r="AN1996" t="str">
        <f>"500000"</f>
        <v>500000</v>
      </c>
      <c r="AO1996" t="str">
        <f>"הכנסות  מלקוחות"</f>
        <v>הכנסות  מלקוחות</v>
      </c>
      <c r="AQ1996" t="str">
        <f>"040"</f>
        <v>040</v>
      </c>
      <c r="AR1996">
        <v>0</v>
      </c>
      <c r="AS1996">
        <v>0</v>
      </c>
      <c r="AT1996">
        <v>3.1909999999999998</v>
      </c>
      <c r="AX1996" t="str">
        <f>"E000344376"</f>
        <v>E000344376</v>
      </c>
      <c r="BD1996" t="str">
        <f>"רחמים זרוק"</f>
        <v>רחמים זרוק</v>
      </c>
    </row>
    <row r="1997" spans="1:56" x14ac:dyDescent="0.3">
      <c r="A1997" s="1">
        <v>44496</v>
      </c>
      <c r="B1997" t="str">
        <f>"SI216001482"</f>
        <v>SI216001482</v>
      </c>
      <c r="C1997" t="str">
        <f>"PR21000562"</f>
        <v>PR21000562</v>
      </c>
      <c r="D1997" t="str">
        <f>"PR21000562"</f>
        <v>PR21000562</v>
      </c>
      <c r="E1997" t="str">
        <f>"Y"</f>
        <v>Y</v>
      </c>
      <c r="F1997" t="str">
        <f>"חשבוניות מרכזות"</f>
        <v>חשבוניות מרכזות</v>
      </c>
      <c r="G1997" t="str">
        <f>"700065"</f>
        <v>700065</v>
      </c>
      <c r="H1997" t="str">
        <f>"אלתא מערכות בע""מ"</f>
        <v>אלתא מערכות בע"מ</v>
      </c>
      <c r="I1997" t="str">
        <f>"10"</f>
        <v>10</v>
      </c>
      <c r="J1997" t="str">
        <f>"OP-AR02241"</f>
        <v>OP-AR02241</v>
      </c>
      <c r="K1997" t="str">
        <f>"1037M832-001   FAN BASE WIRING"</f>
        <v>1037M832-001   FAN BASE WIRING</v>
      </c>
      <c r="L1997">
        <v>4</v>
      </c>
      <c r="M1997" t="str">
        <f>"יח"</f>
        <v>יח</v>
      </c>
      <c r="N1997">
        <v>4</v>
      </c>
      <c r="O1997" t="str">
        <f>"יח"</f>
        <v>יח</v>
      </c>
      <c r="P1997">
        <v>620.57000000000005</v>
      </c>
      <c r="Q1997" t="str">
        <f>"$"</f>
        <v>$</v>
      </c>
      <c r="R1997" t="str">
        <f>"הזמנה"</f>
        <v>הזמנה</v>
      </c>
      <c r="S1997">
        <v>0</v>
      </c>
      <c r="T1997" s="2">
        <v>2482.2800000000002</v>
      </c>
      <c r="U1997">
        <v>0</v>
      </c>
      <c r="V1997" s="2">
        <v>2482.2800000000002</v>
      </c>
      <c r="W1997" t="str">
        <f>"$"</f>
        <v>$</v>
      </c>
      <c r="X1997">
        <v>0</v>
      </c>
      <c r="Y1997">
        <v>0</v>
      </c>
      <c r="Z1997">
        <v>0</v>
      </c>
      <c r="AA1997" t="str">
        <f>"Y"</f>
        <v>Y</v>
      </c>
      <c r="AB1997" t="str">
        <f>"SO21000361"</f>
        <v>SO21000361</v>
      </c>
      <c r="AC1997">
        <v>6</v>
      </c>
      <c r="AD1997" s="1">
        <v>44413</v>
      </c>
      <c r="AE1997" t="str">
        <f>"SH21001806"</f>
        <v>SH21001806</v>
      </c>
      <c r="AF1997" t="str">
        <f>"משלוחים ללקוח"</f>
        <v>משלוחים ללקוח</v>
      </c>
      <c r="AG1997" s="1">
        <v>44494</v>
      </c>
      <c r="AM1997" t="str">
        <f>"10"</f>
        <v>10</v>
      </c>
      <c r="AN1997" t="str">
        <f>"500000"</f>
        <v>500000</v>
      </c>
      <c r="AO1997" t="str">
        <f>"הכנסות  מלקוחות"</f>
        <v>הכנסות  מלקוחות</v>
      </c>
      <c r="AQ1997" t="str">
        <f>"040"</f>
        <v>040</v>
      </c>
      <c r="AR1997">
        <v>0</v>
      </c>
      <c r="AS1997">
        <v>0</v>
      </c>
      <c r="AT1997">
        <v>3.1909999999999998</v>
      </c>
      <c r="AX1997" t="str">
        <f>"E000344376"</f>
        <v>E000344376</v>
      </c>
      <c r="BD1997" t="str">
        <f>"רחמים זרוק"</f>
        <v>רחמים זרוק</v>
      </c>
    </row>
    <row r="1998" spans="1:56" x14ac:dyDescent="0.3">
      <c r="A1998" s="1">
        <v>44496</v>
      </c>
      <c r="B1998" t="str">
        <f>"SI216001481"</f>
        <v>SI216001481</v>
      </c>
      <c r="C1998" t="str">
        <f>"PR20000778"</f>
        <v>PR20000778</v>
      </c>
      <c r="E1998" t="str">
        <f>"Y"</f>
        <v>Y</v>
      </c>
      <c r="F1998" t="str">
        <f>"חשבוניות מרכזות"</f>
        <v>חשבוניות מרכזות</v>
      </c>
      <c r="G1998" t="str">
        <f>"700065"</f>
        <v>700065</v>
      </c>
      <c r="H1998" t="str">
        <f>"אלתא מערכות בע""מ"</f>
        <v>אלתא מערכות בע"מ</v>
      </c>
      <c r="I1998" t="str">
        <f>"10"</f>
        <v>10</v>
      </c>
      <c r="J1998" t="str">
        <f>"OP-PD02881"</f>
        <v>OP-PD02881</v>
      </c>
      <c r="K1998" t="str">
        <f>"POWER DISTRIBUTION BOARD 09-SOCD"</f>
        <v>POWER DISTRIBUTION BOARD 09-SOCD</v>
      </c>
      <c r="L1998">
        <v>1</v>
      </c>
      <c r="M1998" t="str">
        <f>"יח"</f>
        <v>יח</v>
      </c>
      <c r="N1998">
        <v>1</v>
      </c>
      <c r="O1998" t="str">
        <f>"יח"</f>
        <v>יח</v>
      </c>
      <c r="P1998" s="2">
        <v>39999.300000000003</v>
      </c>
      <c r="Q1998" t="str">
        <f>"$"</f>
        <v>$</v>
      </c>
      <c r="R1998" t="str">
        <f>"הזמנה"</f>
        <v>הזמנה</v>
      </c>
      <c r="S1998">
        <v>0</v>
      </c>
      <c r="T1998" s="2">
        <v>39999.300000000003</v>
      </c>
      <c r="U1998">
        <v>0</v>
      </c>
      <c r="V1998" s="2">
        <v>39999.300000000003</v>
      </c>
      <c r="W1998" t="str">
        <f>"$"</f>
        <v>$</v>
      </c>
      <c r="X1998">
        <v>0</v>
      </c>
      <c r="Y1998">
        <v>0</v>
      </c>
      <c r="Z1998">
        <v>0</v>
      </c>
      <c r="AA1998" t="str">
        <f>"Y"</f>
        <v>Y</v>
      </c>
      <c r="AB1998" t="str">
        <f>"SO20000012"</f>
        <v>SO20000012</v>
      </c>
      <c r="AC1998">
        <v>6</v>
      </c>
      <c r="AD1998" s="1">
        <v>43837</v>
      </c>
      <c r="AE1998" t="str">
        <f>"SH21001813"</f>
        <v>SH21001813</v>
      </c>
      <c r="AF1998" t="str">
        <f>"משלוחים ללקוח"</f>
        <v>משלוחים ללקוח</v>
      </c>
      <c r="AG1998" s="1">
        <v>44494</v>
      </c>
      <c r="AM1998" t="str">
        <f>"10"</f>
        <v>10</v>
      </c>
      <c r="AN1998" t="str">
        <f>"500000"</f>
        <v>500000</v>
      </c>
      <c r="AO1998" t="str">
        <f>"הכנסות  מלקוחות"</f>
        <v>הכנסות  מלקוחות</v>
      </c>
      <c r="AQ1998" t="str">
        <f>"034"</f>
        <v>034</v>
      </c>
      <c r="AR1998">
        <v>0</v>
      </c>
      <c r="AS1998">
        <v>0</v>
      </c>
      <c r="AT1998">
        <v>3.1909999999999998</v>
      </c>
      <c r="AX1998" t="str">
        <f>"E000301089"</f>
        <v>E000301089</v>
      </c>
      <c r="BD1998" t="str">
        <f>"ערן שלו"</f>
        <v>ערן שלו</v>
      </c>
    </row>
    <row r="1999" spans="1:56" x14ac:dyDescent="0.3">
      <c r="A1999" s="1">
        <v>44496</v>
      </c>
      <c r="B1999" t="str">
        <f>"SI216001481"</f>
        <v>SI216001481</v>
      </c>
      <c r="C1999" t="str">
        <f>"PR20000778"</f>
        <v>PR20000778</v>
      </c>
      <c r="E1999" t="str">
        <f>"Y"</f>
        <v>Y</v>
      </c>
      <c r="F1999" t="str">
        <f>"חשבוניות מרכזות"</f>
        <v>חשבוניות מרכזות</v>
      </c>
      <c r="G1999" t="str">
        <f>"700065"</f>
        <v>700065</v>
      </c>
      <c r="H1999" t="str">
        <f>"אלתא מערכות בע""מ"</f>
        <v>אלתא מערכות בע"מ</v>
      </c>
      <c r="I1999" t="str">
        <f>"10"</f>
        <v>10</v>
      </c>
      <c r="J1999" t="str">
        <f>"OP-PD02880"</f>
        <v>OP-PD02880</v>
      </c>
      <c r="K1999" t="str">
        <f>"POWER DISTRIBUTION BOARD 06/07-SOCD"</f>
        <v>POWER DISTRIBUTION BOARD 06/07-SOCD</v>
      </c>
      <c r="L1999">
        <v>2</v>
      </c>
      <c r="M1999" t="str">
        <f>"יח"</f>
        <v>יח</v>
      </c>
      <c r="N1999">
        <v>2</v>
      </c>
      <c r="O1999" t="str">
        <f>"יח"</f>
        <v>יח</v>
      </c>
      <c r="P1999" s="2">
        <v>47244</v>
      </c>
      <c r="Q1999" t="str">
        <f>"$"</f>
        <v>$</v>
      </c>
      <c r="R1999" t="str">
        <f>"הזמנה"</f>
        <v>הזמנה</v>
      </c>
      <c r="S1999">
        <v>0</v>
      </c>
      <c r="T1999" s="2">
        <v>94488</v>
      </c>
      <c r="U1999">
        <v>0</v>
      </c>
      <c r="V1999" s="2">
        <v>94488</v>
      </c>
      <c r="W1999" t="str">
        <f>"$"</f>
        <v>$</v>
      </c>
      <c r="X1999">
        <v>0</v>
      </c>
      <c r="Y1999">
        <v>0</v>
      </c>
      <c r="Z1999">
        <v>0</v>
      </c>
      <c r="AA1999" t="str">
        <f>"Y"</f>
        <v>Y</v>
      </c>
      <c r="AB1999" t="str">
        <f>"SO20000012"</f>
        <v>SO20000012</v>
      </c>
      <c r="AC1999">
        <v>10</v>
      </c>
      <c r="AD1999" s="1">
        <v>43837</v>
      </c>
      <c r="AE1999" t="str">
        <f>"SH21001813"</f>
        <v>SH21001813</v>
      </c>
      <c r="AF1999" t="str">
        <f>"משלוחים ללקוח"</f>
        <v>משלוחים ללקוח</v>
      </c>
      <c r="AG1999" s="1">
        <v>44494</v>
      </c>
      <c r="AM1999" t="str">
        <f>"10"</f>
        <v>10</v>
      </c>
      <c r="AN1999" t="str">
        <f>"500000"</f>
        <v>500000</v>
      </c>
      <c r="AO1999" t="str">
        <f>"הכנסות  מלקוחות"</f>
        <v>הכנסות  מלקוחות</v>
      </c>
      <c r="AQ1999" t="str">
        <f>"034"</f>
        <v>034</v>
      </c>
      <c r="AR1999">
        <v>0</v>
      </c>
      <c r="AS1999">
        <v>0</v>
      </c>
      <c r="AT1999">
        <v>3.1909999999999998</v>
      </c>
      <c r="AX1999" t="str">
        <f>"E000301089"</f>
        <v>E000301089</v>
      </c>
      <c r="BD1999" t="str">
        <f>"ערן שלו"</f>
        <v>ערן שלו</v>
      </c>
    </row>
    <row r="2000" spans="1:56" x14ac:dyDescent="0.3">
      <c r="A2000" s="1">
        <v>44496</v>
      </c>
      <c r="B2000" t="str">
        <f>"SI216001480"</f>
        <v>SI216001480</v>
      </c>
      <c r="C2000" t="str">
        <f>"PR20000143"</f>
        <v>PR20000143</v>
      </c>
      <c r="E2000" t="str">
        <f>"Y"</f>
        <v>Y</v>
      </c>
      <c r="F2000" t="str">
        <f>"חשבוניות מרכזות"</f>
        <v>חשבוניות מרכזות</v>
      </c>
      <c r="G2000" t="str">
        <f>"700065"</f>
        <v>700065</v>
      </c>
      <c r="H2000" t="str">
        <f>"אלתא מערכות בע""מ"</f>
        <v>אלתא מערכות בע"מ</v>
      </c>
      <c r="I2000" t="str">
        <f>"10"</f>
        <v>10</v>
      </c>
      <c r="J2000" t="str">
        <f>"OP-AR09105-1"</f>
        <v>OP-AR09105-1</v>
      </c>
      <c r="K2000" t="str">
        <f>"לוח ARMY מק""ט לקוח 1036V310-001"</f>
        <v>לוח ARMY מק"ט לקוח 1036V310-001</v>
      </c>
      <c r="L2000">
        <v>1</v>
      </c>
      <c r="M2000" t="str">
        <f>"יח"</f>
        <v>יח</v>
      </c>
      <c r="N2000">
        <v>1</v>
      </c>
      <c r="O2000" t="str">
        <f>"יח"</f>
        <v>יח</v>
      </c>
      <c r="P2000" s="2">
        <v>38749</v>
      </c>
      <c r="Q2000" t="str">
        <f>"$"</f>
        <v>$</v>
      </c>
      <c r="R2000" t="str">
        <f>"הזמנה"</f>
        <v>הזמנה</v>
      </c>
      <c r="S2000">
        <v>0</v>
      </c>
      <c r="T2000" s="2">
        <v>38749</v>
      </c>
      <c r="U2000">
        <v>0</v>
      </c>
      <c r="V2000" s="2">
        <v>38749</v>
      </c>
      <c r="W2000" t="str">
        <f>"$"</f>
        <v>$</v>
      </c>
      <c r="X2000">
        <v>0</v>
      </c>
      <c r="Y2000">
        <v>0</v>
      </c>
      <c r="Z2000">
        <v>0</v>
      </c>
      <c r="AA2000" t="str">
        <f>"Y"</f>
        <v>Y</v>
      </c>
      <c r="AB2000" t="str">
        <f>"SO20000381"</f>
        <v>SO20000381</v>
      </c>
      <c r="AC2000">
        <v>9</v>
      </c>
      <c r="AD2000" s="1">
        <v>44073</v>
      </c>
      <c r="AE2000" t="str">
        <f>"SH21001821"</f>
        <v>SH21001821</v>
      </c>
      <c r="AF2000" t="str">
        <f>"משלוחים ללקוח"</f>
        <v>משלוחים ללקוח</v>
      </c>
      <c r="AG2000" s="1">
        <v>44495</v>
      </c>
      <c r="AM2000" t="str">
        <f>"10"</f>
        <v>10</v>
      </c>
      <c r="AN2000" t="str">
        <f>"500000"</f>
        <v>500000</v>
      </c>
      <c r="AO2000" t="str">
        <f>"הכנסות  מלקוחות"</f>
        <v>הכנסות  מלקוחות</v>
      </c>
      <c r="AQ2000" t="str">
        <f>"034"</f>
        <v>034</v>
      </c>
      <c r="AR2000">
        <v>0</v>
      </c>
      <c r="AS2000">
        <v>0</v>
      </c>
      <c r="AT2000">
        <v>3.1909999999999998</v>
      </c>
      <c r="AX2000" t="str">
        <f>"E000319715"</f>
        <v>E000319715</v>
      </c>
      <c r="BD2000" t="str">
        <f>"ערן שלו"</f>
        <v>ערן שלו</v>
      </c>
    </row>
    <row r="2001" spans="1:56" x14ac:dyDescent="0.3">
      <c r="A2001" s="1">
        <v>44496</v>
      </c>
      <c r="B2001" t="str">
        <f>"SI216001479"</f>
        <v>SI216001479</v>
      </c>
      <c r="C2001" t="str">
        <f>"PR21000338"</f>
        <v>PR21000338</v>
      </c>
      <c r="D2001" t="str">
        <f>"PR21000338"</f>
        <v>PR21000338</v>
      </c>
      <c r="E2001" t="str">
        <f>"Y"</f>
        <v>Y</v>
      </c>
      <c r="F2001" t="str">
        <f>"חשבוניות מרכזות"</f>
        <v>חשבוניות מרכזות</v>
      </c>
      <c r="G2001" t="str">
        <f>"700065"</f>
        <v>700065</v>
      </c>
      <c r="H2001" t="str">
        <f>"אלתא מערכות בע""מ"</f>
        <v>אלתא מערכות בע"מ</v>
      </c>
      <c r="I2001" t="str">
        <f>"10"</f>
        <v>10</v>
      </c>
      <c r="J2001" t="str">
        <f>"OP-AR02573"</f>
        <v>OP-AR02573</v>
      </c>
      <c r="K2001" t="str">
        <f>"5020G748-001   HARNESS WE009 - MAIN BU GFEA POWER SUPPL"</f>
        <v>5020G748-001   HARNESS WE009 - MAIN BU GFEA POWER SUPPL</v>
      </c>
      <c r="L2001">
        <v>3</v>
      </c>
      <c r="M2001" t="str">
        <f>"יח"</f>
        <v>יח</v>
      </c>
      <c r="N2001">
        <v>3</v>
      </c>
      <c r="O2001" t="str">
        <f>"יח"</f>
        <v>יח</v>
      </c>
      <c r="P2001">
        <v>160.91</v>
      </c>
      <c r="Q2001" t="str">
        <f>"$"</f>
        <v>$</v>
      </c>
      <c r="R2001" t="str">
        <f>"הזמנה"</f>
        <v>הזמנה</v>
      </c>
      <c r="S2001">
        <v>0</v>
      </c>
      <c r="T2001">
        <v>482.73</v>
      </c>
      <c r="U2001">
        <v>0</v>
      </c>
      <c r="V2001">
        <v>482.73</v>
      </c>
      <c r="W2001" t="str">
        <f>"$"</f>
        <v>$</v>
      </c>
      <c r="X2001">
        <v>0</v>
      </c>
      <c r="Y2001">
        <v>0</v>
      </c>
      <c r="Z2001">
        <v>0</v>
      </c>
      <c r="AA2001" t="str">
        <f>"Y"</f>
        <v>Y</v>
      </c>
      <c r="AB2001" t="str">
        <f>"SO21000231"</f>
        <v>SO21000231</v>
      </c>
      <c r="AC2001">
        <v>5</v>
      </c>
      <c r="AD2001" s="1">
        <v>44340</v>
      </c>
      <c r="AE2001" t="str">
        <f>"SH21001805"</f>
        <v>SH21001805</v>
      </c>
      <c r="AF2001" t="str">
        <f>"משלוחים ללקוח"</f>
        <v>משלוחים ללקוח</v>
      </c>
      <c r="AG2001" s="1">
        <v>44494</v>
      </c>
      <c r="AM2001" t="str">
        <f>"10"</f>
        <v>10</v>
      </c>
      <c r="AN2001" t="str">
        <f>"500000"</f>
        <v>500000</v>
      </c>
      <c r="AO2001" t="str">
        <f>"הכנסות  מלקוחות"</f>
        <v>הכנסות  מלקוחות</v>
      </c>
      <c r="AQ2001" t="str">
        <f>"040"</f>
        <v>040</v>
      </c>
      <c r="AR2001">
        <v>0</v>
      </c>
      <c r="AS2001">
        <v>0</v>
      </c>
      <c r="AT2001">
        <v>3.1909999999999998</v>
      </c>
      <c r="AX2001" t="str">
        <f>"E000336473"</f>
        <v>E000336473</v>
      </c>
      <c r="BD2001" t="str">
        <f>"רחמים זרוק"</f>
        <v>רחמים זרוק</v>
      </c>
    </row>
    <row r="2002" spans="1:56" x14ac:dyDescent="0.3">
      <c r="A2002" s="1">
        <v>44496</v>
      </c>
      <c r="B2002" t="str">
        <f>"SI216001479"</f>
        <v>SI216001479</v>
      </c>
      <c r="C2002" t="str">
        <f>"PR21000338"</f>
        <v>PR21000338</v>
      </c>
      <c r="D2002" t="str">
        <f>"PR21000338"</f>
        <v>PR21000338</v>
      </c>
      <c r="E2002" t="str">
        <f>"Y"</f>
        <v>Y</v>
      </c>
      <c r="F2002" t="str">
        <f>"חשבוניות מרכזות"</f>
        <v>חשבוניות מרכזות</v>
      </c>
      <c r="G2002" t="str">
        <f>"700065"</f>
        <v>700065</v>
      </c>
      <c r="H2002" t="str">
        <f>"אלתא מערכות בע""מ"</f>
        <v>אלתא מערכות בע"מ</v>
      </c>
      <c r="I2002" t="str">
        <f>"10"</f>
        <v>10</v>
      </c>
      <c r="J2002" t="str">
        <f>"OP-AR02574"</f>
        <v>OP-AR02574</v>
      </c>
      <c r="K2002" t="str">
        <f>"5020G749-001   HARNESS WE008 - MAIN BU GTRU POWER SUPPL"</f>
        <v>5020G749-001   HARNESS WE008 - MAIN BU GTRU POWER SUPPL</v>
      </c>
      <c r="L2002">
        <v>4</v>
      </c>
      <c r="M2002" t="str">
        <f>"יח"</f>
        <v>יח</v>
      </c>
      <c r="N2002">
        <v>4</v>
      </c>
      <c r="O2002" t="str">
        <f>"יח"</f>
        <v>יח</v>
      </c>
      <c r="P2002">
        <v>116.38</v>
      </c>
      <c r="Q2002" t="str">
        <f>"$"</f>
        <v>$</v>
      </c>
      <c r="R2002" t="str">
        <f>"הזמנה"</f>
        <v>הזמנה</v>
      </c>
      <c r="S2002">
        <v>0</v>
      </c>
      <c r="T2002">
        <v>465.52</v>
      </c>
      <c r="U2002">
        <v>0</v>
      </c>
      <c r="V2002">
        <v>465.52</v>
      </c>
      <c r="W2002" t="str">
        <f>"$"</f>
        <v>$</v>
      </c>
      <c r="X2002">
        <v>0</v>
      </c>
      <c r="Y2002">
        <v>0</v>
      </c>
      <c r="Z2002">
        <v>0</v>
      </c>
      <c r="AA2002" t="str">
        <f>"Y"</f>
        <v>Y</v>
      </c>
      <c r="AB2002" t="str">
        <f>"SO21000231"</f>
        <v>SO21000231</v>
      </c>
      <c r="AC2002">
        <v>6</v>
      </c>
      <c r="AD2002" s="1">
        <v>44340</v>
      </c>
      <c r="AE2002" t="str">
        <f>"SH21001805"</f>
        <v>SH21001805</v>
      </c>
      <c r="AF2002" t="str">
        <f>"משלוחים ללקוח"</f>
        <v>משלוחים ללקוח</v>
      </c>
      <c r="AG2002" s="1">
        <v>44494</v>
      </c>
      <c r="AM2002" t="str">
        <f>"10"</f>
        <v>10</v>
      </c>
      <c r="AN2002" t="str">
        <f>"500000"</f>
        <v>500000</v>
      </c>
      <c r="AO2002" t="str">
        <f>"הכנסות  מלקוחות"</f>
        <v>הכנסות  מלקוחות</v>
      </c>
      <c r="AQ2002" t="str">
        <f>"040"</f>
        <v>040</v>
      </c>
      <c r="AR2002">
        <v>0</v>
      </c>
      <c r="AS2002">
        <v>0</v>
      </c>
      <c r="AT2002">
        <v>3.1909999999999998</v>
      </c>
      <c r="AX2002" t="str">
        <f>"E000336473"</f>
        <v>E000336473</v>
      </c>
      <c r="BD2002" t="str">
        <f>"רחמים זרוק"</f>
        <v>רחמים זרוק</v>
      </c>
    </row>
    <row r="2003" spans="1:56" x14ac:dyDescent="0.3">
      <c r="A2003" s="1">
        <v>44496</v>
      </c>
      <c r="B2003" t="str">
        <f>"SI216001478"</f>
        <v>SI216001478</v>
      </c>
      <c r="C2003" t="str">
        <f>"PR21000653"</f>
        <v>PR21000653</v>
      </c>
      <c r="E2003" t="str">
        <f>"Y"</f>
        <v>Y</v>
      </c>
      <c r="F2003" t="str">
        <f>"חשבוניות מרכזות"</f>
        <v>חשבוניות מרכזות</v>
      </c>
      <c r="G2003" t="str">
        <f>"700065"</f>
        <v>700065</v>
      </c>
      <c r="H2003" t="str">
        <f>"אלתא מערכות בע""מ"</f>
        <v>אלתא מערכות בע"מ</v>
      </c>
      <c r="I2003" t="str">
        <f>"10"</f>
        <v>10</v>
      </c>
      <c r="J2003" t="str">
        <f>"OP-AR02595"</f>
        <v>OP-AR02595</v>
      </c>
      <c r="K2003" t="str">
        <f>"תיקון רתמה 1001U544-001"</f>
        <v>תיקון רתמה 1001U544-001</v>
      </c>
      <c r="L2003">
        <v>1</v>
      </c>
      <c r="M2003" t="str">
        <f>"יח"</f>
        <v>יח</v>
      </c>
      <c r="N2003">
        <v>1</v>
      </c>
      <c r="O2003" t="str">
        <f>"יח"</f>
        <v>יח</v>
      </c>
      <c r="P2003">
        <v>773</v>
      </c>
      <c r="Q2003" t="str">
        <f>"$"</f>
        <v>$</v>
      </c>
      <c r="R2003" t="str">
        <f>"הזמנה"</f>
        <v>הזמנה</v>
      </c>
      <c r="S2003">
        <v>0</v>
      </c>
      <c r="T2003">
        <v>773</v>
      </c>
      <c r="U2003">
        <v>0</v>
      </c>
      <c r="V2003">
        <v>773</v>
      </c>
      <c r="W2003" t="str">
        <f>"$"</f>
        <v>$</v>
      </c>
      <c r="X2003">
        <v>0</v>
      </c>
      <c r="Y2003">
        <v>0</v>
      </c>
      <c r="Z2003">
        <v>0</v>
      </c>
      <c r="AA2003" t="str">
        <f>"Y"</f>
        <v>Y</v>
      </c>
      <c r="AB2003" t="str">
        <f>"SO21000133"</f>
        <v>SO21000133</v>
      </c>
      <c r="AC2003">
        <v>1</v>
      </c>
      <c r="AD2003" s="1">
        <v>44273</v>
      </c>
      <c r="AE2003" t="str">
        <f>"SH21001811"</f>
        <v>SH21001811</v>
      </c>
      <c r="AF2003" t="str">
        <f>"משלוחים ללקוח"</f>
        <v>משלוחים ללקוח</v>
      </c>
      <c r="AG2003" s="1">
        <v>44494</v>
      </c>
      <c r="AM2003" t="str">
        <f>"10"</f>
        <v>10</v>
      </c>
      <c r="AN2003" t="str">
        <f>"500000"</f>
        <v>500000</v>
      </c>
      <c r="AO2003" t="str">
        <f>"הכנסות  מלקוחות"</f>
        <v>הכנסות  מלקוחות</v>
      </c>
      <c r="AQ2003" t="str">
        <f>"040"</f>
        <v>040</v>
      </c>
      <c r="AR2003">
        <v>0</v>
      </c>
      <c r="AS2003">
        <v>0</v>
      </c>
      <c r="AT2003">
        <v>3.1909999999999998</v>
      </c>
      <c r="AX2003" t="str">
        <f>"E000335026"</f>
        <v>E000335026</v>
      </c>
      <c r="BD2003" t="str">
        <f>"רחמים זרוק"</f>
        <v>רחמים זרוק</v>
      </c>
    </row>
    <row r="2004" spans="1:56" x14ac:dyDescent="0.3">
      <c r="A2004" s="1">
        <v>44496</v>
      </c>
      <c r="B2004" t="str">
        <f>"SI216001477"</f>
        <v>SI216001477</v>
      </c>
      <c r="C2004" t="str">
        <f>"PR21000585"</f>
        <v>PR21000585</v>
      </c>
      <c r="D2004" t="str">
        <f>"PR21000585"</f>
        <v>PR21000585</v>
      </c>
      <c r="E2004" t="str">
        <f>"Y"</f>
        <v>Y</v>
      </c>
      <c r="F2004" t="str">
        <f>"חשבוניות מרכזות"</f>
        <v>חשבוניות מרכזות</v>
      </c>
      <c r="G2004" t="str">
        <f>"700065"</f>
        <v>700065</v>
      </c>
      <c r="H2004" t="str">
        <f>"אלתא מערכות בע""מ"</f>
        <v>אלתא מערכות בע"מ</v>
      </c>
      <c r="I2004" t="str">
        <f>"10"</f>
        <v>10</v>
      </c>
      <c r="J2004" t="str">
        <f>"OP-AR02698"</f>
        <v>OP-AR02698</v>
      </c>
      <c r="K2004" t="str">
        <f>"2019E577-001    BFCU LAB TEST W3"</f>
        <v>2019E577-001    BFCU LAB TEST W3</v>
      </c>
      <c r="L2004">
        <v>1</v>
      </c>
      <c r="M2004" t="str">
        <f>"יח"</f>
        <v>יח</v>
      </c>
      <c r="N2004">
        <v>1</v>
      </c>
      <c r="O2004" t="str">
        <f>"יח"</f>
        <v>יח</v>
      </c>
      <c r="P2004">
        <v>147.53</v>
      </c>
      <c r="Q2004" t="str">
        <f>"$"</f>
        <v>$</v>
      </c>
      <c r="R2004" t="str">
        <f>"הזמנה"</f>
        <v>הזמנה</v>
      </c>
      <c r="S2004">
        <v>0</v>
      </c>
      <c r="T2004">
        <v>147.53</v>
      </c>
      <c r="U2004">
        <v>0</v>
      </c>
      <c r="V2004">
        <v>147.53</v>
      </c>
      <c r="W2004" t="str">
        <f>"$"</f>
        <v>$</v>
      </c>
      <c r="X2004">
        <v>0</v>
      </c>
      <c r="Y2004">
        <v>0</v>
      </c>
      <c r="Z2004">
        <v>0</v>
      </c>
      <c r="AA2004" t="str">
        <f>"Y"</f>
        <v>Y</v>
      </c>
      <c r="AB2004" t="str">
        <f>"SO21000375"</f>
        <v>SO21000375</v>
      </c>
      <c r="AC2004">
        <v>4</v>
      </c>
      <c r="AD2004" s="1">
        <v>44427</v>
      </c>
      <c r="AE2004" t="str">
        <f>"SH21001803"</f>
        <v>SH21001803</v>
      </c>
      <c r="AF2004" t="str">
        <f>"משלוחים ללקוח"</f>
        <v>משלוחים ללקוח</v>
      </c>
      <c r="AG2004" s="1">
        <v>44493</v>
      </c>
      <c r="AM2004" t="str">
        <f>"10"</f>
        <v>10</v>
      </c>
      <c r="AN2004" t="str">
        <f>"500000"</f>
        <v>500000</v>
      </c>
      <c r="AO2004" t="str">
        <f>"הכנסות  מלקוחות"</f>
        <v>הכנסות  מלקוחות</v>
      </c>
      <c r="AQ2004" t="str">
        <f>"040"</f>
        <v>040</v>
      </c>
      <c r="AR2004">
        <v>0</v>
      </c>
      <c r="AS2004">
        <v>0</v>
      </c>
      <c r="AT2004">
        <v>3.1909999999999998</v>
      </c>
      <c r="AX2004" t="str">
        <f>"E000345204"</f>
        <v>E000345204</v>
      </c>
      <c r="BD2004" t="str">
        <f>"רחמים זרוק"</f>
        <v>רחמים זרוק</v>
      </c>
    </row>
    <row r="2005" spans="1:56" x14ac:dyDescent="0.3">
      <c r="A2005" s="1">
        <v>44496</v>
      </c>
      <c r="B2005" t="str">
        <f>"SI216001477"</f>
        <v>SI216001477</v>
      </c>
      <c r="C2005" t="str">
        <f>"PR21000585"</f>
        <v>PR21000585</v>
      </c>
      <c r="D2005" t="str">
        <f>"PR21000585"</f>
        <v>PR21000585</v>
      </c>
      <c r="E2005" t="str">
        <f>"Y"</f>
        <v>Y</v>
      </c>
      <c r="F2005" t="str">
        <f>"חשבוניות מרכזות"</f>
        <v>חשבוניות מרכזות</v>
      </c>
      <c r="G2005" t="str">
        <f>"700065"</f>
        <v>700065</v>
      </c>
      <c r="H2005" t="str">
        <f>"אלתא מערכות בע""מ"</f>
        <v>אלתא מערכות בע"מ</v>
      </c>
      <c r="I2005" t="str">
        <f>"10"</f>
        <v>10</v>
      </c>
      <c r="J2005" t="str">
        <f>"OP-AR02698"</f>
        <v>OP-AR02698</v>
      </c>
      <c r="K2005" t="str">
        <f>"2019E577-001    BFCU LAB TEST W3"</f>
        <v>2019E577-001    BFCU LAB TEST W3</v>
      </c>
      <c r="L2005">
        <v>4</v>
      </c>
      <c r="M2005" t="str">
        <f>"יח"</f>
        <v>יח</v>
      </c>
      <c r="N2005">
        <v>4</v>
      </c>
      <c r="O2005" t="str">
        <f>"יח"</f>
        <v>יח</v>
      </c>
      <c r="P2005">
        <v>147.53</v>
      </c>
      <c r="Q2005" t="str">
        <f>"$"</f>
        <v>$</v>
      </c>
      <c r="R2005" t="str">
        <f>"הזמנה"</f>
        <v>הזמנה</v>
      </c>
      <c r="S2005">
        <v>0</v>
      </c>
      <c r="T2005">
        <v>590.12</v>
      </c>
      <c r="U2005">
        <v>0</v>
      </c>
      <c r="V2005">
        <v>590.12</v>
      </c>
      <c r="W2005" t="str">
        <f>"$"</f>
        <v>$</v>
      </c>
      <c r="X2005">
        <v>0</v>
      </c>
      <c r="Y2005">
        <v>0</v>
      </c>
      <c r="Z2005">
        <v>0</v>
      </c>
      <c r="AA2005" t="str">
        <f>"Y"</f>
        <v>Y</v>
      </c>
      <c r="AB2005" t="str">
        <f>"SO21000375"</f>
        <v>SO21000375</v>
      </c>
      <c r="AC2005">
        <v>5</v>
      </c>
      <c r="AD2005" s="1">
        <v>44427</v>
      </c>
      <c r="AE2005" t="str">
        <f>"SH21001803"</f>
        <v>SH21001803</v>
      </c>
      <c r="AF2005" t="str">
        <f>"משלוחים ללקוח"</f>
        <v>משלוחים ללקוח</v>
      </c>
      <c r="AG2005" s="1">
        <v>44493</v>
      </c>
      <c r="AM2005" t="str">
        <f>"10"</f>
        <v>10</v>
      </c>
      <c r="AN2005" t="str">
        <f>"500000"</f>
        <v>500000</v>
      </c>
      <c r="AO2005" t="str">
        <f>"הכנסות  מלקוחות"</f>
        <v>הכנסות  מלקוחות</v>
      </c>
      <c r="AQ2005" t="str">
        <f>"040"</f>
        <v>040</v>
      </c>
      <c r="AR2005">
        <v>0</v>
      </c>
      <c r="AS2005">
        <v>0</v>
      </c>
      <c r="AT2005">
        <v>3.1909999999999998</v>
      </c>
      <c r="AX2005" t="str">
        <f>"E000345204"</f>
        <v>E000345204</v>
      </c>
      <c r="BD2005" t="str">
        <f>"רחמים זרוק"</f>
        <v>רחמים זרוק</v>
      </c>
    </row>
    <row r="2006" spans="1:56" x14ac:dyDescent="0.3">
      <c r="A2006" s="1">
        <v>44496</v>
      </c>
      <c r="B2006" t="str">
        <f>"SI216001477"</f>
        <v>SI216001477</v>
      </c>
      <c r="C2006" t="str">
        <f>"PR21000585"</f>
        <v>PR21000585</v>
      </c>
      <c r="D2006" t="str">
        <f>"PR21000585"</f>
        <v>PR21000585</v>
      </c>
      <c r="E2006" t="str">
        <f>"Y"</f>
        <v>Y</v>
      </c>
      <c r="F2006" t="str">
        <f>"חשבוניות מרכזות"</f>
        <v>חשבוניות מרכזות</v>
      </c>
      <c r="G2006" t="str">
        <f>"700065"</f>
        <v>700065</v>
      </c>
      <c r="H2006" t="str">
        <f>"אלתא מערכות בע""מ"</f>
        <v>אלתא מערכות בע"מ</v>
      </c>
      <c r="I2006" t="str">
        <f>"10"</f>
        <v>10</v>
      </c>
      <c r="J2006" t="str">
        <f>"OP-AR02698"</f>
        <v>OP-AR02698</v>
      </c>
      <c r="K2006" t="str">
        <f>"2019E577-001    BFCU LAB TEST W3"</f>
        <v>2019E577-001    BFCU LAB TEST W3</v>
      </c>
      <c r="L2006">
        <v>9</v>
      </c>
      <c r="M2006" t="str">
        <f>"יח"</f>
        <v>יח</v>
      </c>
      <c r="N2006">
        <v>9</v>
      </c>
      <c r="O2006" t="str">
        <f>"יח"</f>
        <v>יח</v>
      </c>
      <c r="P2006">
        <v>147.53</v>
      </c>
      <c r="Q2006" t="str">
        <f>"$"</f>
        <v>$</v>
      </c>
      <c r="R2006" t="str">
        <f>"הזמנה"</f>
        <v>הזמנה</v>
      </c>
      <c r="S2006">
        <v>0</v>
      </c>
      <c r="T2006" s="2">
        <v>1327.77</v>
      </c>
      <c r="U2006">
        <v>0</v>
      </c>
      <c r="V2006" s="2">
        <v>1327.77</v>
      </c>
      <c r="W2006" t="str">
        <f>"$"</f>
        <v>$</v>
      </c>
      <c r="X2006">
        <v>0</v>
      </c>
      <c r="Y2006">
        <v>0</v>
      </c>
      <c r="Z2006">
        <v>0</v>
      </c>
      <c r="AA2006" t="str">
        <f>"Y"</f>
        <v>Y</v>
      </c>
      <c r="AB2006" t="str">
        <f>"SO21000375"</f>
        <v>SO21000375</v>
      </c>
      <c r="AC2006">
        <v>6</v>
      </c>
      <c r="AD2006" s="1">
        <v>44427</v>
      </c>
      <c r="AE2006" t="str">
        <f>"SH21001803"</f>
        <v>SH21001803</v>
      </c>
      <c r="AF2006" t="str">
        <f>"משלוחים ללקוח"</f>
        <v>משלוחים ללקוח</v>
      </c>
      <c r="AG2006" s="1">
        <v>44493</v>
      </c>
      <c r="AM2006" t="str">
        <f>"10"</f>
        <v>10</v>
      </c>
      <c r="AN2006" t="str">
        <f>"500000"</f>
        <v>500000</v>
      </c>
      <c r="AO2006" t="str">
        <f>"הכנסות  מלקוחות"</f>
        <v>הכנסות  מלקוחות</v>
      </c>
      <c r="AQ2006" t="str">
        <f>"040"</f>
        <v>040</v>
      </c>
      <c r="AR2006">
        <v>0</v>
      </c>
      <c r="AS2006">
        <v>0</v>
      </c>
      <c r="AT2006">
        <v>3.1909999999999998</v>
      </c>
      <c r="AX2006" t="str">
        <f>"E000345204"</f>
        <v>E000345204</v>
      </c>
      <c r="BD2006" t="str">
        <f>"רחמים זרוק"</f>
        <v>רחמים זרוק</v>
      </c>
    </row>
    <row r="2007" spans="1:56" x14ac:dyDescent="0.3">
      <c r="A2007" s="1">
        <v>44496</v>
      </c>
      <c r="B2007" t="str">
        <f>"SI216001477"</f>
        <v>SI216001477</v>
      </c>
      <c r="C2007" t="str">
        <f>"PR21000585"</f>
        <v>PR21000585</v>
      </c>
      <c r="D2007" t="str">
        <f>"PR21000585"</f>
        <v>PR21000585</v>
      </c>
      <c r="E2007" t="str">
        <f>"Y"</f>
        <v>Y</v>
      </c>
      <c r="F2007" t="str">
        <f>"חשבוניות מרכזות"</f>
        <v>חשבוניות מרכזות</v>
      </c>
      <c r="G2007" t="str">
        <f>"700065"</f>
        <v>700065</v>
      </c>
      <c r="H2007" t="str">
        <f>"אלתא מערכות בע""מ"</f>
        <v>אלתא מערכות בע"מ</v>
      </c>
      <c r="I2007" t="str">
        <f>"10"</f>
        <v>10</v>
      </c>
      <c r="J2007" t="str">
        <f>"OP-AR02699"</f>
        <v>OP-AR02699</v>
      </c>
      <c r="K2007" t="str">
        <f>"1020B114-001   CABLE ASSY 1W19"</f>
        <v>1020B114-001   CABLE ASSY 1W19</v>
      </c>
      <c r="L2007">
        <v>2</v>
      </c>
      <c r="M2007" t="str">
        <f>"יח"</f>
        <v>יח</v>
      </c>
      <c r="N2007">
        <v>2</v>
      </c>
      <c r="O2007" t="str">
        <f>"יח"</f>
        <v>יח</v>
      </c>
      <c r="P2007">
        <v>233.54</v>
      </c>
      <c r="Q2007" t="str">
        <f>"$"</f>
        <v>$</v>
      </c>
      <c r="R2007" t="str">
        <f>"הזמנה"</f>
        <v>הזמנה</v>
      </c>
      <c r="S2007">
        <v>0</v>
      </c>
      <c r="T2007">
        <v>467.08</v>
      </c>
      <c r="U2007">
        <v>0</v>
      </c>
      <c r="V2007">
        <v>467.08</v>
      </c>
      <c r="W2007" t="str">
        <f>"$"</f>
        <v>$</v>
      </c>
      <c r="X2007">
        <v>0</v>
      </c>
      <c r="Y2007">
        <v>0</v>
      </c>
      <c r="Z2007">
        <v>0</v>
      </c>
      <c r="AA2007" t="str">
        <f>"Y"</f>
        <v>Y</v>
      </c>
      <c r="AB2007" t="str">
        <f>"SO21000375"</f>
        <v>SO21000375</v>
      </c>
      <c r="AC2007">
        <v>7</v>
      </c>
      <c r="AD2007" s="1">
        <v>44427</v>
      </c>
      <c r="AE2007" t="str">
        <f>"SH21001803"</f>
        <v>SH21001803</v>
      </c>
      <c r="AF2007" t="str">
        <f>"משלוחים ללקוח"</f>
        <v>משלוחים ללקוח</v>
      </c>
      <c r="AG2007" s="1">
        <v>44493</v>
      </c>
      <c r="AM2007" t="str">
        <f>"10"</f>
        <v>10</v>
      </c>
      <c r="AN2007" t="str">
        <f>"500000"</f>
        <v>500000</v>
      </c>
      <c r="AO2007" t="str">
        <f>"הכנסות  מלקוחות"</f>
        <v>הכנסות  מלקוחות</v>
      </c>
      <c r="AQ2007" t="str">
        <f>"040"</f>
        <v>040</v>
      </c>
      <c r="AR2007">
        <v>0</v>
      </c>
      <c r="AS2007">
        <v>0</v>
      </c>
      <c r="AT2007">
        <v>3.1909999999999998</v>
      </c>
      <c r="AX2007" t="str">
        <f>"E000345204"</f>
        <v>E000345204</v>
      </c>
      <c r="BD2007" t="str">
        <f>"רחמים זרוק"</f>
        <v>רחמים זרוק</v>
      </c>
    </row>
    <row r="2008" spans="1:56" x14ac:dyDescent="0.3">
      <c r="A2008" s="1">
        <v>44496</v>
      </c>
      <c r="B2008" t="str">
        <f>"SI216001477"</f>
        <v>SI216001477</v>
      </c>
      <c r="C2008" t="str">
        <f>"PR21000585"</f>
        <v>PR21000585</v>
      </c>
      <c r="D2008" t="str">
        <f>"PR21000585"</f>
        <v>PR21000585</v>
      </c>
      <c r="E2008" t="str">
        <f>"Y"</f>
        <v>Y</v>
      </c>
      <c r="F2008" t="str">
        <f>"חשבוניות מרכזות"</f>
        <v>חשבוניות מרכזות</v>
      </c>
      <c r="G2008" t="str">
        <f>"700065"</f>
        <v>700065</v>
      </c>
      <c r="H2008" t="str">
        <f>"אלתא מערכות בע""מ"</f>
        <v>אלתא מערכות בע"מ</v>
      </c>
      <c r="I2008" t="str">
        <f>"10"</f>
        <v>10</v>
      </c>
      <c r="J2008" t="str">
        <f>"OP-AR02699"</f>
        <v>OP-AR02699</v>
      </c>
      <c r="K2008" t="str">
        <f>"1020B114-001   CABLE ASSY 1W19"</f>
        <v>1020B114-001   CABLE ASSY 1W19</v>
      </c>
      <c r="L2008">
        <v>2</v>
      </c>
      <c r="M2008" t="str">
        <f>"יח"</f>
        <v>יח</v>
      </c>
      <c r="N2008">
        <v>2</v>
      </c>
      <c r="O2008" t="str">
        <f>"יח"</f>
        <v>יח</v>
      </c>
      <c r="P2008">
        <v>233.54</v>
      </c>
      <c r="Q2008" t="str">
        <f>"$"</f>
        <v>$</v>
      </c>
      <c r="R2008" t="str">
        <f>"הזמנה"</f>
        <v>הזמנה</v>
      </c>
      <c r="S2008">
        <v>0</v>
      </c>
      <c r="T2008">
        <v>467.08</v>
      </c>
      <c r="U2008">
        <v>0</v>
      </c>
      <c r="V2008">
        <v>467.08</v>
      </c>
      <c r="W2008" t="str">
        <f>"$"</f>
        <v>$</v>
      </c>
      <c r="X2008">
        <v>0</v>
      </c>
      <c r="Y2008">
        <v>0</v>
      </c>
      <c r="Z2008">
        <v>0</v>
      </c>
      <c r="AA2008" t="str">
        <f>"Y"</f>
        <v>Y</v>
      </c>
      <c r="AB2008" t="str">
        <f>"SO21000375"</f>
        <v>SO21000375</v>
      </c>
      <c r="AC2008">
        <v>8</v>
      </c>
      <c r="AD2008" s="1">
        <v>44427</v>
      </c>
      <c r="AE2008" t="str">
        <f>"SH21001803"</f>
        <v>SH21001803</v>
      </c>
      <c r="AF2008" t="str">
        <f>"משלוחים ללקוח"</f>
        <v>משלוחים ללקוח</v>
      </c>
      <c r="AG2008" s="1">
        <v>44493</v>
      </c>
      <c r="AM2008" t="str">
        <f>"10"</f>
        <v>10</v>
      </c>
      <c r="AN2008" t="str">
        <f>"500000"</f>
        <v>500000</v>
      </c>
      <c r="AO2008" t="str">
        <f>"הכנסות  מלקוחות"</f>
        <v>הכנסות  מלקוחות</v>
      </c>
      <c r="AQ2008" t="str">
        <f>"040"</f>
        <v>040</v>
      </c>
      <c r="AR2008">
        <v>0</v>
      </c>
      <c r="AS2008">
        <v>0</v>
      </c>
      <c r="AT2008">
        <v>3.1909999999999998</v>
      </c>
      <c r="AX2008" t="str">
        <f>"E000345204"</f>
        <v>E000345204</v>
      </c>
      <c r="BD2008" t="str">
        <f>"רחמים זרוק"</f>
        <v>רחמים זרוק</v>
      </c>
    </row>
    <row r="2009" spans="1:56" x14ac:dyDescent="0.3">
      <c r="A2009" s="1">
        <v>44496</v>
      </c>
      <c r="B2009" t="str">
        <f>"SI216001476"</f>
        <v>SI216001476</v>
      </c>
      <c r="C2009" t="str">
        <f>"PR21000342"</f>
        <v>PR21000342</v>
      </c>
      <c r="D2009" t="str">
        <f>"PR21000342"</f>
        <v>PR21000342</v>
      </c>
      <c r="E2009" t="str">
        <f>"Y"</f>
        <v>Y</v>
      </c>
      <c r="F2009" t="str">
        <f>"חשבוניות מרכזות"</f>
        <v>חשבוניות מרכזות</v>
      </c>
      <c r="G2009" t="str">
        <f>"700065"</f>
        <v>700065</v>
      </c>
      <c r="H2009" t="str">
        <f>"אלתא מערכות בע""מ"</f>
        <v>אלתא מערכות בע"מ</v>
      </c>
      <c r="I2009" t="str">
        <f>"10"</f>
        <v>10</v>
      </c>
      <c r="J2009" t="str">
        <f>"OP-AR02585"</f>
        <v>OP-AR02585</v>
      </c>
      <c r="K2009" t="str">
        <f>"1001K760-001   IMPROVED FCR CAMERA WIRING"</f>
        <v>1001K760-001   IMPROVED FCR CAMERA WIRING</v>
      </c>
      <c r="L2009">
        <v>14</v>
      </c>
      <c r="M2009" t="str">
        <f>"יח"</f>
        <v>יח</v>
      </c>
      <c r="N2009">
        <v>14</v>
      </c>
      <c r="O2009" t="str">
        <f>"יח"</f>
        <v>יח</v>
      </c>
      <c r="P2009">
        <v>605.58000000000004</v>
      </c>
      <c r="Q2009" t="str">
        <f>"$"</f>
        <v>$</v>
      </c>
      <c r="R2009" t="str">
        <f>"הזמנה"</f>
        <v>הזמנה</v>
      </c>
      <c r="S2009">
        <v>0</v>
      </c>
      <c r="T2009" s="2">
        <v>8478.1200000000008</v>
      </c>
      <c r="U2009">
        <v>0</v>
      </c>
      <c r="V2009" s="2">
        <v>8478.1200000000008</v>
      </c>
      <c r="W2009" t="str">
        <f>"$"</f>
        <v>$</v>
      </c>
      <c r="X2009">
        <v>0</v>
      </c>
      <c r="Y2009">
        <v>0</v>
      </c>
      <c r="Z2009">
        <v>0</v>
      </c>
      <c r="AA2009" t="str">
        <f>"Y"</f>
        <v>Y</v>
      </c>
      <c r="AB2009" t="str">
        <f>"SO21000236"</f>
        <v>SO21000236</v>
      </c>
      <c r="AC2009">
        <v>1</v>
      </c>
      <c r="AD2009" s="1">
        <v>44341</v>
      </c>
      <c r="AE2009" t="str">
        <f>"SH21001807"</f>
        <v>SH21001807</v>
      </c>
      <c r="AF2009" t="str">
        <f>"משלוחים ללקוח"</f>
        <v>משלוחים ללקוח</v>
      </c>
      <c r="AG2009" s="1">
        <v>44494</v>
      </c>
      <c r="AM2009" t="str">
        <f>"10"</f>
        <v>10</v>
      </c>
      <c r="AN2009" t="str">
        <f>"500000"</f>
        <v>500000</v>
      </c>
      <c r="AO2009" t="str">
        <f>"הכנסות  מלקוחות"</f>
        <v>הכנסות  מלקוחות</v>
      </c>
      <c r="AQ2009" t="str">
        <f>"040"</f>
        <v>040</v>
      </c>
      <c r="AR2009">
        <v>0</v>
      </c>
      <c r="AS2009">
        <v>0</v>
      </c>
      <c r="AT2009">
        <v>3.2010000000000001</v>
      </c>
      <c r="AX2009" t="str">
        <f>"E000337986"</f>
        <v>E000337986</v>
      </c>
      <c r="BD2009" t="str">
        <f>"רחמים זרוק"</f>
        <v>רחמים זרוק</v>
      </c>
    </row>
    <row r="2010" spans="1:56" x14ac:dyDescent="0.3">
      <c r="A2010" s="1">
        <v>44495</v>
      </c>
      <c r="B2010" t="str">
        <f>"CR217000131"</f>
        <v>CR217000131</v>
      </c>
      <c r="E2010" t="str">
        <f>"Y"</f>
        <v>Y</v>
      </c>
      <c r="F2010" t="str">
        <f>"חשבוניות זיכוי"</f>
        <v>חשבוניות זיכוי</v>
      </c>
      <c r="G2010" t="str">
        <f>"700065"</f>
        <v>700065</v>
      </c>
      <c r="H2010" t="str">
        <f>"אלתא מערכות בע""מ"</f>
        <v>אלתא מערכות בע"מ</v>
      </c>
      <c r="I2010" t="str">
        <f>"10"</f>
        <v>10</v>
      </c>
      <c r="J2010" t="str">
        <f>"9977"</f>
        <v>9977</v>
      </c>
      <c r="K2010" t="str">
        <f>"קנס פיגור באספקה"</f>
        <v>קנס פיגור באספקה</v>
      </c>
      <c r="L2010">
        <v>1</v>
      </c>
      <c r="M2010" t="str">
        <f>"חל"</f>
        <v>חל</v>
      </c>
      <c r="N2010">
        <v>1</v>
      </c>
      <c r="O2010" t="str">
        <f>"חל"</f>
        <v>חל</v>
      </c>
      <c r="P2010">
        <v>15.65</v>
      </c>
      <c r="Q2010" t="str">
        <f>"$"</f>
        <v>$</v>
      </c>
      <c r="R2010" t="str">
        <f>"ידני"</f>
        <v>ידני</v>
      </c>
      <c r="S2010">
        <v>0</v>
      </c>
      <c r="T2010">
        <v>15.65</v>
      </c>
      <c r="U2010">
        <v>0</v>
      </c>
      <c r="V2010">
        <v>15.65</v>
      </c>
      <c r="W2010" t="str">
        <f>"$"</f>
        <v>$</v>
      </c>
      <c r="X2010">
        <v>0</v>
      </c>
      <c r="Y2010">
        <v>0</v>
      </c>
      <c r="Z2010">
        <v>0</v>
      </c>
      <c r="AA2010" t="str">
        <f>"Y"</f>
        <v>Y</v>
      </c>
      <c r="AC2010">
        <v>0</v>
      </c>
      <c r="AM2010" t="str">
        <f>"10"</f>
        <v>10</v>
      </c>
      <c r="AN2010" t="str">
        <f>"500000"</f>
        <v>500000</v>
      </c>
      <c r="AO2010" t="str">
        <f>"הכנסות  מלקוחות"</f>
        <v>הכנסות  מלקוחות</v>
      </c>
      <c r="AQ2010" t="str">
        <f>"034"</f>
        <v>034</v>
      </c>
      <c r="AR2010">
        <v>0</v>
      </c>
      <c r="AS2010">
        <v>0</v>
      </c>
      <c r="AT2010">
        <v>3.278</v>
      </c>
      <c r="BD2010" t="str">
        <f>"ערן שלו"</f>
        <v>ערן שלו</v>
      </c>
    </row>
    <row r="2011" spans="1:56" x14ac:dyDescent="0.3">
      <c r="A2011" s="1">
        <v>44495</v>
      </c>
      <c r="B2011" t="str">
        <f>"CR217000130"</f>
        <v>CR217000130</v>
      </c>
      <c r="E2011" t="str">
        <f>"Y"</f>
        <v>Y</v>
      </c>
      <c r="F2011" t="str">
        <f>"חשבוניות זיכוי"</f>
        <v>חשבוניות זיכוי</v>
      </c>
      <c r="G2011" t="str">
        <f>"700065"</f>
        <v>700065</v>
      </c>
      <c r="H2011" t="str">
        <f>"אלתא מערכות בע""מ"</f>
        <v>אלתא מערכות בע"מ</v>
      </c>
      <c r="I2011" t="str">
        <f>"10"</f>
        <v>10</v>
      </c>
      <c r="J2011" t="str">
        <f>"9977"</f>
        <v>9977</v>
      </c>
      <c r="K2011" t="str">
        <f>"קנס פיגור באספקה"</f>
        <v>קנס פיגור באספקה</v>
      </c>
      <c r="L2011">
        <v>1</v>
      </c>
      <c r="M2011" t="str">
        <f>"חל"</f>
        <v>חל</v>
      </c>
      <c r="N2011">
        <v>1</v>
      </c>
      <c r="O2011" t="str">
        <f>"חל"</f>
        <v>חל</v>
      </c>
      <c r="P2011">
        <v>70.53</v>
      </c>
      <c r="Q2011" t="str">
        <f>"$"</f>
        <v>$</v>
      </c>
      <c r="R2011" t="str">
        <f>"ידני"</f>
        <v>ידני</v>
      </c>
      <c r="S2011">
        <v>0</v>
      </c>
      <c r="T2011">
        <v>70.53</v>
      </c>
      <c r="U2011">
        <v>0</v>
      </c>
      <c r="V2011">
        <v>70.53</v>
      </c>
      <c r="W2011" t="str">
        <f>"$"</f>
        <v>$</v>
      </c>
      <c r="X2011">
        <v>0</v>
      </c>
      <c r="Y2011">
        <v>0</v>
      </c>
      <c r="Z2011">
        <v>0</v>
      </c>
      <c r="AA2011" t="str">
        <f>"Y"</f>
        <v>Y</v>
      </c>
      <c r="AC2011">
        <v>0</v>
      </c>
      <c r="AM2011" t="str">
        <f>"10"</f>
        <v>10</v>
      </c>
      <c r="AN2011" t="str">
        <f>"500000"</f>
        <v>500000</v>
      </c>
      <c r="AO2011" t="str">
        <f>"הכנסות  מלקוחות"</f>
        <v>הכנסות  מלקוחות</v>
      </c>
      <c r="AQ2011" t="str">
        <f>"034"</f>
        <v>034</v>
      </c>
      <c r="AR2011">
        <v>0</v>
      </c>
      <c r="AS2011">
        <v>0</v>
      </c>
      <c r="AT2011">
        <v>3.278</v>
      </c>
      <c r="BD2011" t="str">
        <f>"ערן שלו"</f>
        <v>ערן שלו</v>
      </c>
    </row>
    <row r="2012" spans="1:56" x14ac:dyDescent="0.3">
      <c r="A2012" s="1">
        <v>44495</v>
      </c>
      <c r="B2012" t="str">
        <f>"CR217000129"</f>
        <v>CR217000129</v>
      </c>
      <c r="E2012" t="str">
        <f>"Y"</f>
        <v>Y</v>
      </c>
      <c r="F2012" t="str">
        <f>"חשבוניות זיכוי"</f>
        <v>חשבוניות זיכוי</v>
      </c>
      <c r="G2012" t="str">
        <f>"700065"</f>
        <v>700065</v>
      </c>
      <c r="H2012" t="str">
        <f>"אלתא מערכות בע""מ"</f>
        <v>אלתא מערכות בע"מ</v>
      </c>
      <c r="I2012" t="str">
        <f>"10"</f>
        <v>10</v>
      </c>
      <c r="J2012" t="str">
        <f>"9977"</f>
        <v>9977</v>
      </c>
      <c r="K2012" t="str">
        <f>"קנס פיגור באספקה"</f>
        <v>קנס פיגור באספקה</v>
      </c>
      <c r="L2012">
        <v>1</v>
      </c>
      <c r="M2012" t="str">
        <f>"חל"</f>
        <v>חל</v>
      </c>
      <c r="N2012">
        <v>1</v>
      </c>
      <c r="O2012" t="str">
        <f>"חל"</f>
        <v>חל</v>
      </c>
      <c r="P2012">
        <v>184.26</v>
      </c>
      <c r="Q2012" t="str">
        <f>"$"</f>
        <v>$</v>
      </c>
      <c r="R2012" t="str">
        <f>"ידני"</f>
        <v>ידני</v>
      </c>
      <c r="S2012">
        <v>0</v>
      </c>
      <c r="T2012">
        <v>184.26</v>
      </c>
      <c r="U2012">
        <v>0</v>
      </c>
      <c r="V2012">
        <v>184.26</v>
      </c>
      <c r="W2012" t="str">
        <f>"$"</f>
        <v>$</v>
      </c>
      <c r="X2012">
        <v>0</v>
      </c>
      <c r="Y2012">
        <v>0</v>
      </c>
      <c r="Z2012">
        <v>0</v>
      </c>
      <c r="AA2012" t="str">
        <f>"Y"</f>
        <v>Y</v>
      </c>
      <c r="AC2012">
        <v>0</v>
      </c>
      <c r="AM2012" t="str">
        <f>"10"</f>
        <v>10</v>
      </c>
      <c r="AN2012" t="str">
        <f>"500000"</f>
        <v>500000</v>
      </c>
      <c r="AO2012" t="str">
        <f>"הכנסות  מלקוחות"</f>
        <v>הכנסות  מלקוחות</v>
      </c>
      <c r="AQ2012" t="str">
        <f>"040"</f>
        <v>040</v>
      </c>
      <c r="AR2012">
        <v>0</v>
      </c>
      <c r="AS2012">
        <v>0</v>
      </c>
      <c r="AT2012">
        <v>3.278</v>
      </c>
      <c r="BD2012" t="str">
        <f>"רחמים זרוק"</f>
        <v>רחמים זרוק</v>
      </c>
    </row>
    <row r="2013" spans="1:56" x14ac:dyDescent="0.3">
      <c r="A2013" s="1">
        <v>44494</v>
      </c>
      <c r="B2013" t="str">
        <f>"SI216001431"</f>
        <v>SI216001431</v>
      </c>
      <c r="E2013" t="str">
        <f>"Y"</f>
        <v>Y</v>
      </c>
      <c r="F2013" t="str">
        <f>"חשבוניות מרכזות"</f>
        <v>חשבוניות מרכזות</v>
      </c>
      <c r="G2013" t="str">
        <f>"700065"</f>
        <v>700065</v>
      </c>
      <c r="H2013" t="str">
        <f>"אלתא מערכות בע""מ"</f>
        <v>אלתא מערכות בע"מ</v>
      </c>
      <c r="I2013" t="str">
        <f>"10"</f>
        <v>10</v>
      </c>
      <c r="J2013" t="str">
        <f>"9977"</f>
        <v>9977</v>
      </c>
      <c r="K2013" t="str">
        <f>"ביטול קנס פיגור באספקה"</f>
        <v>ביטול קנס פיגור באספקה</v>
      </c>
      <c r="L2013">
        <v>1</v>
      </c>
      <c r="M2013" t="str">
        <f>"חל"</f>
        <v>חל</v>
      </c>
      <c r="N2013">
        <v>1</v>
      </c>
      <c r="O2013" t="str">
        <f>"חל"</f>
        <v>חל</v>
      </c>
      <c r="P2013">
        <v>94.85</v>
      </c>
      <c r="Q2013" t="str">
        <f>"$"</f>
        <v>$</v>
      </c>
      <c r="R2013" t="str">
        <f>"ידני"</f>
        <v>ידני</v>
      </c>
      <c r="S2013">
        <v>0</v>
      </c>
      <c r="T2013">
        <v>94.85</v>
      </c>
      <c r="U2013">
        <v>0</v>
      </c>
      <c r="V2013">
        <v>94.85</v>
      </c>
      <c r="W2013" t="str">
        <f>"$"</f>
        <v>$</v>
      </c>
      <c r="X2013">
        <v>0</v>
      </c>
      <c r="Y2013">
        <v>0</v>
      </c>
      <c r="Z2013">
        <v>0</v>
      </c>
      <c r="AA2013" t="str">
        <f>"Y"</f>
        <v>Y</v>
      </c>
      <c r="AC2013">
        <v>0</v>
      </c>
      <c r="AM2013" t="str">
        <f>"10"</f>
        <v>10</v>
      </c>
      <c r="AN2013" t="str">
        <f>"500000"</f>
        <v>500000</v>
      </c>
      <c r="AO2013" t="str">
        <f>"הכנסות  מלקוחות"</f>
        <v>הכנסות  מלקוחות</v>
      </c>
      <c r="AQ2013" t="str">
        <f>"034"</f>
        <v>034</v>
      </c>
      <c r="AR2013">
        <v>0</v>
      </c>
      <c r="AS2013">
        <v>0</v>
      </c>
      <c r="AT2013">
        <v>3.7279900000000001</v>
      </c>
      <c r="BD2013" t="str">
        <f>"ערן שלו"</f>
        <v>ערן שלו</v>
      </c>
    </row>
    <row r="2014" spans="1:56" x14ac:dyDescent="0.3">
      <c r="A2014" s="1">
        <v>44494</v>
      </c>
      <c r="B2014" t="str">
        <f>"CR217000127"</f>
        <v>CR217000127</v>
      </c>
      <c r="E2014" t="str">
        <f>"Y"</f>
        <v>Y</v>
      </c>
      <c r="F2014" t="str">
        <f>"חשבוניות זיכוי"</f>
        <v>חשבוניות זיכוי</v>
      </c>
      <c r="G2014" t="str">
        <f>"700065"</f>
        <v>700065</v>
      </c>
      <c r="H2014" t="str">
        <f>"אלתא מערכות בע""מ"</f>
        <v>אלתא מערכות בע"מ</v>
      </c>
      <c r="I2014" t="str">
        <f>"10"</f>
        <v>10</v>
      </c>
      <c r="J2014" t="str">
        <f>"OP-AR01934"</f>
        <v>OP-AR01934</v>
      </c>
      <c r="K2014" t="str">
        <f>"1038N524-001/A   CONTROL CABLE"</f>
        <v>1038N524-001/A   CONTROL CABLE</v>
      </c>
      <c r="L2014">
        <v>6</v>
      </c>
      <c r="M2014" t="str">
        <f>"יח"</f>
        <v>יח</v>
      </c>
      <c r="N2014">
        <v>6</v>
      </c>
      <c r="O2014" t="str">
        <f>"יח"</f>
        <v>יח</v>
      </c>
      <c r="P2014">
        <v>18</v>
      </c>
      <c r="Q2014" t="str">
        <f>"$"</f>
        <v>$</v>
      </c>
      <c r="R2014" t="str">
        <f>"ידני"</f>
        <v>ידני</v>
      </c>
      <c r="S2014">
        <v>0</v>
      </c>
      <c r="T2014">
        <v>108</v>
      </c>
      <c r="U2014">
        <v>0</v>
      </c>
      <c r="V2014">
        <v>108</v>
      </c>
      <c r="W2014" t="str">
        <f>"$"</f>
        <v>$</v>
      </c>
      <c r="X2014">
        <v>0</v>
      </c>
      <c r="Y2014">
        <v>0</v>
      </c>
      <c r="Z2014">
        <v>0</v>
      </c>
      <c r="AA2014" t="str">
        <f>"Y"</f>
        <v>Y</v>
      </c>
      <c r="AC2014">
        <v>0</v>
      </c>
      <c r="AM2014" t="str">
        <f>"10"</f>
        <v>10</v>
      </c>
      <c r="AN2014" t="str">
        <f>"500000"</f>
        <v>500000</v>
      </c>
      <c r="AO2014" t="str">
        <f>"הכנסות  מלקוחות"</f>
        <v>הכנסות  מלקוחות</v>
      </c>
      <c r="AQ2014" t="str">
        <f>"034"</f>
        <v>034</v>
      </c>
      <c r="AR2014">
        <v>0</v>
      </c>
      <c r="AS2014">
        <v>0</v>
      </c>
      <c r="AT2014">
        <v>3.3559999999999999</v>
      </c>
      <c r="BD2014" t="str">
        <f>"ערן שלו"</f>
        <v>ערן שלו</v>
      </c>
    </row>
    <row r="2015" spans="1:56" x14ac:dyDescent="0.3">
      <c r="A2015" s="1">
        <v>44493</v>
      </c>
      <c r="B2015" t="str">
        <f>"SI216001427"</f>
        <v>SI216001427</v>
      </c>
      <c r="C2015" t="str">
        <f>"PR20000533"</f>
        <v>PR20000533</v>
      </c>
      <c r="D2015" t="str">
        <f>"PR20000533"</f>
        <v>PR20000533</v>
      </c>
      <c r="E2015" t="str">
        <f>"Y"</f>
        <v>Y</v>
      </c>
      <c r="F2015" t="str">
        <f>"חשבוניות מרכזות"</f>
        <v>חשבוניות מרכזות</v>
      </c>
      <c r="G2015" t="str">
        <f>"700065"</f>
        <v>700065</v>
      </c>
      <c r="H2015" t="str">
        <f>"אלתא מערכות בע""מ"</f>
        <v>אלתא מערכות בע"מ</v>
      </c>
      <c r="I2015" t="str">
        <f>"10"</f>
        <v>10</v>
      </c>
      <c r="J2015" t="str">
        <f>"OP-AR01958"</f>
        <v>OP-AR01958</v>
      </c>
      <c r="K2015" t="str">
        <f>"1031B121-001/- - CABLE ASSY W121"</f>
        <v>1031B121-001/- - CABLE ASSY W121</v>
      </c>
      <c r="L2015">
        <v>1</v>
      </c>
      <c r="M2015" t="str">
        <f>"יח"</f>
        <v>יח</v>
      </c>
      <c r="N2015">
        <v>1</v>
      </c>
      <c r="O2015" t="str">
        <f>"יח"</f>
        <v>יח</v>
      </c>
      <c r="P2015" s="2">
        <v>2043.07</v>
      </c>
      <c r="Q2015" t="str">
        <f>"$"</f>
        <v>$</v>
      </c>
      <c r="R2015" t="str">
        <f>"ידני"</f>
        <v>ידני</v>
      </c>
      <c r="S2015">
        <v>0</v>
      </c>
      <c r="T2015" s="2">
        <v>2043.07</v>
      </c>
      <c r="U2015">
        <v>0</v>
      </c>
      <c r="V2015" s="2">
        <v>2043.07</v>
      </c>
      <c r="W2015" t="str">
        <f>"$"</f>
        <v>$</v>
      </c>
      <c r="X2015">
        <v>0</v>
      </c>
      <c r="Y2015">
        <v>0</v>
      </c>
      <c r="Z2015">
        <v>0</v>
      </c>
      <c r="AA2015" t="str">
        <f>"Y"</f>
        <v>Y</v>
      </c>
      <c r="AB2015" t="str">
        <f>"SO20000319"</f>
        <v>SO20000319</v>
      </c>
      <c r="AC2015">
        <v>14</v>
      </c>
      <c r="AD2015" s="1">
        <v>44034</v>
      </c>
      <c r="AM2015" t="str">
        <f>"10"</f>
        <v>10</v>
      </c>
      <c r="AN2015" t="str">
        <f>"500000"</f>
        <v>500000</v>
      </c>
      <c r="AO2015" t="str">
        <f>"הכנסות  מלקוחות"</f>
        <v>הכנסות  מלקוחות</v>
      </c>
      <c r="AQ2015" t="str">
        <f>"034"</f>
        <v>034</v>
      </c>
      <c r="AR2015">
        <v>0</v>
      </c>
      <c r="AS2015">
        <v>0</v>
      </c>
      <c r="AT2015">
        <v>3.218</v>
      </c>
      <c r="AX2015" t="str">
        <f>"E000316766"</f>
        <v>E000316766</v>
      </c>
      <c r="BD2015" t="str">
        <f>"ערן שלו"</f>
        <v>ערן שלו</v>
      </c>
    </row>
    <row r="2016" spans="1:56" x14ac:dyDescent="0.3">
      <c r="A2016" s="1">
        <v>44493</v>
      </c>
      <c r="B2016" t="str">
        <f>"CR217000126"</f>
        <v>CR217000126</v>
      </c>
      <c r="E2016" t="str">
        <f>"Y"</f>
        <v>Y</v>
      </c>
      <c r="F2016" t="str">
        <f>"חשבוניות זיכוי"</f>
        <v>חשבוניות זיכוי</v>
      </c>
      <c r="G2016" t="str">
        <f>"700065"</f>
        <v>700065</v>
      </c>
      <c r="H2016" t="str">
        <f>"אלתא מערכות בע""מ"</f>
        <v>אלתא מערכות בע"מ</v>
      </c>
      <c r="I2016" t="str">
        <f>"10"</f>
        <v>10</v>
      </c>
      <c r="J2016" t="str">
        <f>"9977"</f>
        <v>9977</v>
      </c>
      <c r="K2016" t="str">
        <f>"קנס פיגור באספקה"</f>
        <v>קנס פיגור באספקה</v>
      </c>
      <c r="L2016">
        <v>1</v>
      </c>
      <c r="M2016" t="str">
        <f>"חל"</f>
        <v>חל</v>
      </c>
      <c r="N2016">
        <v>1</v>
      </c>
      <c r="O2016" t="str">
        <f>"חל"</f>
        <v>חל</v>
      </c>
      <c r="P2016">
        <v>71.87</v>
      </c>
      <c r="Q2016" t="str">
        <f>"$"</f>
        <v>$</v>
      </c>
      <c r="R2016" t="str">
        <f>"ידני"</f>
        <v>ידני</v>
      </c>
      <c r="S2016">
        <v>0</v>
      </c>
      <c r="T2016">
        <v>71.87</v>
      </c>
      <c r="U2016">
        <v>0</v>
      </c>
      <c r="V2016">
        <v>71.87</v>
      </c>
      <c r="W2016" t="str">
        <f>"$"</f>
        <v>$</v>
      </c>
      <c r="X2016">
        <v>0</v>
      </c>
      <c r="Y2016">
        <v>0</v>
      </c>
      <c r="Z2016">
        <v>0</v>
      </c>
      <c r="AA2016" t="str">
        <f>"Y"</f>
        <v>Y</v>
      </c>
      <c r="AC2016">
        <v>0</v>
      </c>
      <c r="AM2016" t="str">
        <f>"10"</f>
        <v>10</v>
      </c>
      <c r="AN2016" t="str">
        <f>"500000"</f>
        <v>500000</v>
      </c>
      <c r="AO2016" t="str">
        <f>"הכנסות  מלקוחות"</f>
        <v>הכנסות  מלקוחות</v>
      </c>
      <c r="AQ2016" t="str">
        <f>"034"</f>
        <v>034</v>
      </c>
      <c r="AR2016">
        <v>0</v>
      </c>
      <c r="AS2016">
        <v>0</v>
      </c>
      <c r="AT2016">
        <v>3.3290000000000002</v>
      </c>
      <c r="BD2016" t="str">
        <f>"ערן שלו"</f>
        <v>ערן שלו</v>
      </c>
    </row>
    <row r="2017" spans="1:56" x14ac:dyDescent="0.3">
      <c r="A2017" s="1">
        <v>44493</v>
      </c>
      <c r="B2017" t="str">
        <f>"CR217000125"</f>
        <v>CR217000125</v>
      </c>
      <c r="E2017" t="str">
        <f>"Y"</f>
        <v>Y</v>
      </c>
      <c r="F2017" t="str">
        <f>"חשבוניות זיכוי"</f>
        <v>חשבוניות זיכוי</v>
      </c>
      <c r="G2017" t="str">
        <f>"700065"</f>
        <v>700065</v>
      </c>
      <c r="H2017" t="str">
        <f>"אלתא מערכות בע""מ"</f>
        <v>אלתא מערכות בע"מ</v>
      </c>
      <c r="I2017" t="str">
        <f>"10"</f>
        <v>10</v>
      </c>
      <c r="J2017" t="str">
        <f>"9977"</f>
        <v>9977</v>
      </c>
      <c r="K2017" t="str">
        <f>"קנס פיגור באספקה"</f>
        <v>קנס פיגור באספקה</v>
      </c>
      <c r="L2017">
        <v>1</v>
      </c>
      <c r="M2017" t="str">
        <f>"חל"</f>
        <v>חל</v>
      </c>
      <c r="N2017">
        <v>1</v>
      </c>
      <c r="O2017" t="str">
        <f>"חל"</f>
        <v>חל</v>
      </c>
      <c r="P2017">
        <v>112.37</v>
      </c>
      <c r="Q2017" t="str">
        <f>"$"</f>
        <v>$</v>
      </c>
      <c r="R2017" t="str">
        <f>"ידני"</f>
        <v>ידני</v>
      </c>
      <c r="S2017">
        <v>0</v>
      </c>
      <c r="T2017">
        <v>112.37</v>
      </c>
      <c r="U2017">
        <v>0</v>
      </c>
      <c r="V2017">
        <v>112.37</v>
      </c>
      <c r="W2017" t="str">
        <f>"$"</f>
        <v>$</v>
      </c>
      <c r="X2017">
        <v>0</v>
      </c>
      <c r="Y2017">
        <v>0</v>
      </c>
      <c r="Z2017">
        <v>0</v>
      </c>
      <c r="AA2017" t="str">
        <f>"Y"</f>
        <v>Y</v>
      </c>
      <c r="AC2017">
        <v>0</v>
      </c>
      <c r="AM2017" t="str">
        <f>"10"</f>
        <v>10</v>
      </c>
      <c r="AN2017" t="str">
        <f>"500000"</f>
        <v>500000</v>
      </c>
      <c r="AO2017" t="str">
        <f>"הכנסות  מלקוחות"</f>
        <v>הכנסות  מלקוחות</v>
      </c>
      <c r="AQ2017" t="str">
        <f>"034"</f>
        <v>034</v>
      </c>
      <c r="AR2017">
        <v>0</v>
      </c>
      <c r="AS2017">
        <v>0</v>
      </c>
      <c r="AT2017">
        <v>3.218</v>
      </c>
      <c r="BD2017" t="str">
        <f>"ערן שלו"</f>
        <v>ערן שלו</v>
      </c>
    </row>
    <row r="2018" spans="1:56" x14ac:dyDescent="0.3">
      <c r="A2018" s="1">
        <v>44493</v>
      </c>
      <c r="B2018" t="str">
        <f>"CR217000124"</f>
        <v>CR217000124</v>
      </c>
      <c r="E2018" t="str">
        <f>"Y"</f>
        <v>Y</v>
      </c>
      <c r="F2018" t="str">
        <f>"חשבוניות זיכוי"</f>
        <v>חשבוניות זיכוי</v>
      </c>
      <c r="G2018" t="str">
        <f>"700065"</f>
        <v>700065</v>
      </c>
      <c r="H2018" t="str">
        <f>"אלתא מערכות בע""מ"</f>
        <v>אלתא מערכות בע"מ</v>
      </c>
      <c r="I2018" t="str">
        <f>"10"</f>
        <v>10</v>
      </c>
      <c r="J2018" t="str">
        <f>"9977"</f>
        <v>9977</v>
      </c>
      <c r="K2018" t="str">
        <f>"קנס פיגור באספקה"</f>
        <v>קנס פיגור באספקה</v>
      </c>
      <c r="L2018">
        <v>1</v>
      </c>
      <c r="M2018" t="str">
        <f>"חל"</f>
        <v>חל</v>
      </c>
      <c r="N2018">
        <v>1</v>
      </c>
      <c r="O2018" t="str">
        <f>"חל"</f>
        <v>חל</v>
      </c>
      <c r="P2018">
        <v>182</v>
      </c>
      <c r="Q2018" t="str">
        <f>"$"</f>
        <v>$</v>
      </c>
      <c r="R2018" t="str">
        <f>"ידני"</f>
        <v>ידני</v>
      </c>
      <c r="S2018">
        <v>0</v>
      </c>
      <c r="T2018">
        <v>182</v>
      </c>
      <c r="U2018">
        <v>0</v>
      </c>
      <c r="V2018">
        <v>182</v>
      </c>
      <c r="W2018" t="str">
        <f>"$"</f>
        <v>$</v>
      </c>
      <c r="X2018">
        <v>0</v>
      </c>
      <c r="Y2018">
        <v>0</v>
      </c>
      <c r="Z2018">
        <v>0</v>
      </c>
      <c r="AA2018" t="str">
        <f>"Y"</f>
        <v>Y</v>
      </c>
      <c r="AC2018">
        <v>0</v>
      </c>
      <c r="AM2018" t="str">
        <f>"10"</f>
        <v>10</v>
      </c>
      <c r="AN2018" t="str">
        <f>"500000"</f>
        <v>500000</v>
      </c>
      <c r="AO2018" t="str">
        <f>"הכנסות  מלקוחות"</f>
        <v>הכנסות  מלקוחות</v>
      </c>
      <c r="AQ2018" t="str">
        <f>"034"</f>
        <v>034</v>
      </c>
      <c r="AR2018">
        <v>0</v>
      </c>
      <c r="AS2018">
        <v>0</v>
      </c>
      <c r="AT2018">
        <v>3.2879999999999998</v>
      </c>
      <c r="BD2018" t="str">
        <f>"ערן שלו"</f>
        <v>ערן שלו</v>
      </c>
    </row>
    <row r="2019" spans="1:56" x14ac:dyDescent="0.3">
      <c r="A2019" s="1">
        <v>44493</v>
      </c>
      <c r="B2019" t="str">
        <f>"CR217000123"</f>
        <v>CR217000123</v>
      </c>
      <c r="E2019" t="str">
        <f>"Y"</f>
        <v>Y</v>
      </c>
      <c r="F2019" t="str">
        <f>"חשבוניות זיכוי"</f>
        <v>חשבוניות זיכוי</v>
      </c>
      <c r="G2019" t="str">
        <f>"700065"</f>
        <v>700065</v>
      </c>
      <c r="H2019" t="str">
        <f>"אלתא מערכות בע""מ"</f>
        <v>אלתא מערכות בע"מ</v>
      </c>
      <c r="I2019" t="str">
        <f>"10"</f>
        <v>10</v>
      </c>
      <c r="J2019" t="str">
        <f>"9977"</f>
        <v>9977</v>
      </c>
      <c r="K2019" t="str">
        <f>"קנס פיגור באספקה"</f>
        <v>קנס פיגור באספקה</v>
      </c>
      <c r="L2019">
        <v>1</v>
      </c>
      <c r="M2019" t="str">
        <f>"חל"</f>
        <v>חל</v>
      </c>
      <c r="N2019">
        <v>1</v>
      </c>
      <c r="O2019" t="str">
        <f>"חל"</f>
        <v>חל</v>
      </c>
      <c r="P2019">
        <v>137.41999999999999</v>
      </c>
      <c r="Q2019" t="str">
        <f>"$"</f>
        <v>$</v>
      </c>
      <c r="R2019" t="str">
        <f>"ידני"</f>
        <v>ידני</v>
      </c>
      <c r="S2019">
        <v>0</v>
      </c>
      <c r="T2019">
        <v>137.41999999999999</v>
      </c>
      <c r="U2019">
        <v>0</v>
      </c>
      <c r="V2019">
        <v>137.41999999999999</v>
      </c>
      <c r="W2019" t="str">
        <f>"$"</f>
        <v>$</v>
      </c>
      <c r="X2019">
        <v>0</v>
      </c>
      <c r="Y2019">
        <v>0</v>
      </c>
      <c r="Z2019">
        <v>0</v>
      </c>
      <c r="AA2019" t="str">
        <f>"Y"</f>
        <v>Y</v>
      </c>
      <c r="AC2019">
        <v>0</v>
      </c>
      <c r="AM2019" t="str">
        <f>"10"</f>
        <v>10</v>
      </c>
      <c r="AN2019" t="str">
        <f>"500000"</f>
        <v>500000</v>
      </c>
      <c r="AO2019" t="str">
        <f>"הכנסות  מלקוחות"</f>
        <v>הכנסות  מלקוחות</v>
      </c>
      <c r="AQ2019" t="str">
        <f>"034"</f>
        <v>034</v>
      </c>
      <c r="AR2019">
        <v>0</v>
      </c>
      <c r="AS2019">
        <v>0</v>
      </c>
      <c r="AT2019">
        <v>3.2610000000000001</v>
      </c>
      <c r="BD2019" t="str">
        <f>"ערן שלו"</f>
        <v>ערן שלו</v>
      </c>
    </row>
    <row r="2020" spans="1:56" x14ac:dyDescent="0.3">
      <c r="A2020" s="1">
        <v>44493</v>
      </c>
      <c r="B2020" t="str">
        <f>"CR217000122"</f>
        <v>CR217000122</v>
      </c>
      <c r="E2020" t="str">
        <f>"Y"</f>
        <v>Y</v>
      </c>
      <c r="F2020" t="str">
        <f>"חשבוניות זיכוי"</f>
        <v>חשבוניות זיכוי</v>
      </c>
      <c r="G2020" t="str">
        <f>"700065"</f>
        <v>700065</v>
      </c>
      <c r="H2020" t="str">
        <f>"אלתא מערכות בע""מ"</f>
        <v>אלתא מערכות בע"מ</v>
      </c>
      <c r="I2020" t="str">
        <f>"10"</f>
        <v>10</v>
      </c>
      <c r="J2020" t="str">
        <f>"9977"</f>
        <v>9977</v>
      </c>
      <c r="K2020" t="str">
        <f>"קנס פיגור באספקה"</f>
        <v>קנס פיגור באספקה</v>
      </c>
      <c r="L2020">
        <v>1</v>
      </c>
      <c r="M2020" t="str">
        <f>"חל"</f>
        <v>חל</v>
      </c>
      <c r="N2020">
        <v>1</v>
      </c>
      <c r="O2020" t="str">
        <f>"חל"</f>
        <v>חל</v>
      </c>
      <c r="P2020">
        <v>22.14</v>
      </c>
      <c r="Q2020" t="str">
        <f>"$"</f>
        <v>$</v>
      </c>
      <c r="R2020" t="str">
        <f>"ידני"</f>
        <v>ידני</v>
      </c>
      <c r="S2020">
        <v>0</v>
      </c>
      <c r="T2020">
        <v>22.14</v>
      </c>
      <c r="U2020">
        <v>0</v>
      </c>
      <c r="V2020">
        <v>22.14</v>
      </c>
      <c r="W2020" t="str">
        <f>"$"</f>
        <v>$</v>
      </c>
      <c r="X2020">
        <v>0</v>
      </c>
      <c r="Y2020">
        <v>0</v>
      </c>
      <c r="Z2020">
        <v>0</v>
      </c>
      <c r="AA2020" t="str">
        <f>"Y"</f>
        <v>Y</v>
      </c>
      <c r="AC2020">
        <v>0</v>
      </c>
      <c r="AM2020" t="str">
        <f>"10"</f>
        <v>10</v>
      </c>
      <c r="AN2020" t="str">
        <f>"500000"</f>
        <v>500000</v>
      </c>
      <c r="AO2020" t="str">
        <f>"הכנסות  מלקוחות"</f>
        <v>הכנסות  מלקוחות</v>
      </c>
      <c r="AQ2020" t="str">
        <f>"040"</f>
        <v>040</v>
      </c>
      <c r="AR2020">
        <v>0</v>
      </c>
      <c r="AS2020">
        <v>0</v>
      </c>
      <c r="AT2020">
        <v>3.2389999999999999</v>
      </c>
      <c r="BD2020" t="str">
        <f>"רחמים זרוק"</f>
        <v>רחמים זרוק</v>
      </c>
    </row>
    <row r="2021" spans="1:56" x14ac:dyDescent="0.3">
      <c r="A2021" s="1">
        <v>44493</v>
      </c>
      <c r="B2021" t="str">
        <f>"CR217000121"</f>
        <v>CR217000121</v>
      </c>
      <c r="E2021" t="str">
        <f>"Y"</f>
        <v>Y</v>
      </c>
      <c r="F2021" t="str">
        <f>"חשבוניות זיכוי"</f>
        <v>חשבוניות זיכוי</v>
      </c>
      <c r="G2021" t="str">
        <f>"700065"</f>
        <v>700065</v>
      </c>
      <c r="H2021" t="str">
        <f>"אלתא מערכות בע""מ"</f>
        <v>אלתא מערכות בע"מ</v>
      </c>
      <c r="I2021" t="str">
        <f>"10"</f>
        <v>10</v>
      </c>
      <c r="J2021" t="str">
        <f>"9977"</f>
        <v>9977</v>
      </c>
      <c r="K2021" t="str">
        <f>"קנס פיגור באספקה"</f>
        <v>קנס פיגור באספקה</v>
      </c>
      <c r="L2021">
        <v>1</v>
      </c>
      <c r="M2021" t="str">
        <f>"חל"</f>
        <v>חל</v>
      </c>
      <c r="N2021">
        <v>1</v>
      </c>
      <c r="O2021" t="str">
        <f>"חל"</f>
        <v>חל</v>
      </c>
      <c r="P2021">
        <v>55.68</v>
      </c>
      <c r="Q2021" t="str">
        <f>"$"</f>
        <v>$</v>
      </c>
      <c r="R2021" t="str">
        <f>"ידני"</f>
        <v>ידני</v>
      </c>
      <c r="S2021">
        <v>0</v>
      </c>
      <c r="T2021">
        <v>55.68</v>
      </c>
      <c r="U2021">
        <v>0</v>
      </c>
      <c r="V2021">
        <v>55.68</v>
      </c>
      <c r="W2021" t="str">
        <f>"$"</f>
        <v>$</v>
      </c>
      <c r="X2021">
        <v>0</v>
      </c>
      <c r="Y2021">
        <v>0</v>
      </c>
      <c r="Z2021">
        <v>0</v>
      </c>
      <c r="AA2021" t="str">
        <f>"Y"</f>
        <v>Y</v>
      </c>
      <c r="AC2021">
        <v>0</v>
      </c>
      <c r="AM2021" t="str">
        <f>"10"</f>
        <v>10</v>
      </c>
      <c r="AN2021" t="str">
        <f>"500000"</f>
        <v>500000</v>
      </c>
      <c r="AO2021" t="str">
        <f>"הכנסות  מלקוחות"</f>
        <v>הכנסות  מלקוחות</v>
      </c>
      <c r="AQ2021" t="str">
        <f>"034"</f>
        <v>034</v>
      </c>
      <c r="AR2021">
        <v>0</v>
      </c>
      <c r="AS2021">
        <v>0</v>
      </c>
      <c r="AT2021">
        <v>3.2469999999999999</v>
      </c>
      <c r="BD2021" t="str">
        <f>"ערן שלו"</f>
        <v>ערן שלו</v>
      </c>
    </row>
    <row r="2022" spans="1:56" x14ac:dyDescent="0.3">
      <c r="A2022" s="1">
        <v>44493</v>
      </c>
      <c r="B2022" t="str">
        <f>"CR217000120"</f>
        <v>CR217000120</v>
      </c>
      <c r="E2022" t="str">
        <f>"Y"</f>
        <v>Y</v>
      </c>
      <c r="F2022" t="str">
        <f>"חשבוניות זיכוי"</f>
        <v>חשבוניות זיכוי</v>
      </c>
      <c r="G2022" t="str">
        <f>"700065"</f>
        <v>700065</v>
      </c>
      <c r="H2022" t="str">
        <f>"אלתא מערכות בע""מ"</f>
        <v>אלתא מערכות בע"מ</v>
      </c>
      <c r="I2022" t="str">
        <f>"10"</f>
        <v>10</v>
      </c>
      <c r="J2022" t="str">
        <f>"9977"</f>
        <v>9977</v>
      </c>
      <c r="K2022" t="str">
        <f>"קנס פיגור באספקה"</f>
        <v>קנס פיגור באספקה</v>
      </c>
      <c r="L2022">
        <v>1</v>
      </c>
      <c r="M2022" t="str">
        <f>"חל"</f>
        <v>חל</v>
      </c>
      <c r="N2022">
        <v>1</v>
      </c>
      <c r="O2022" t="str">
        <f>"חל"</f>
        <v>חל</v>
      </c>
      <c r="P2022">
        <v>57.55</v>
      </c>
      <c r="Q2022" t="str">
        <f>"$"</f>
        <v>$</v>
      </c>
      <c r="R2022" t="str">
        <f>"ידני"</f>
        <v>ידני</v>
      </c>
      <c r="S2022">
        <v>0</v>
      </c>
      <c r="T2022">
        <v>57.55</v>
      </c>
      <c r="U2022">
        <v>0</v>
      </c>
      <c r="V2022">
        <v>57.55</v>
      </c>
      <c r="W2022" t="str">
        <f>"$"</f>
        <v>$</v>
      </c>
      <c r="X2022">
        <v>0</v>
      </c>
      <c r="Y2022">
        <v>0</v>
      </c>
      <c r="Z2022">
        <v>0</v>
      </c>
      <c r="AA2022" t="str">
        <f>"Y"</f>
        <v>Y</v>
      </c>
      <c r="AC2022">
        <v>0</v>
      </c>
      <c r="AM2022" t="str">
        <f>"10"</f>
        <v>10</v>
      </c>
      <c r="AN2022" t="str">
        <f>"500000"</f>
        <v>500000</v>
      </c>
      <c r="AO2022" t="str">
        <f>"הכנסות  מלקוחות"</f>
        <v>הכנסות  מלקוחות</v>
      </c>
      <c r="AQ2022" t="str">
        <f>"034"</f>
        <v>034</v>
      </c>
      <c r="AR2022">
        <v>0</v>
      </c>
      <c r="AS2022">
        <v>0</v>
      </c>
      <c r="AT2022">
        <v>3.2469999999999999</v>
      </c>
      <c r="BD2022" t="str">
        <f>"ערן שלו"</f>
        <v>ערן שלו</v>
      </c>
    </row>
    <row r="2023" spans="1:56" x14ac:dyDescent="0.3">
      <c r="A2023" s="1">
        <v>44493</v>
      </c>
      <c r="B2023" t="str">
        <f>"CR217000119"</f>
        <v>CR217000119</v>
      </c>
      <c r="E2023" t="str">
        <f>"Y"</f>
        <v>Y</v>
      </c>
      <c r="F2023" t="str">
        <f>"חשבוניות זיכוי"</f>
        <v>חשבוניות זיכוי</v>
      </c>
      <c r="G2023" t="str">
        <f>"700065"</f>
        <v>700065</v>
      </c>
      <c r="H2023" t="str">
        <f>"אלתא מערכות בע""מ"</f>
        <v>אלתא מערכות בע"מ</v>
      </c>
      <c r="I2023" t="str">
        <f>"10"</f>
        <v>10</v>
      </c>
      <c r="J2023" t="str">
        <f>"9977"</f>
        <v>9977</v>
      </c>
      <c r="K2023" t="str">
        <f>"קנס פיגור באספקה"</f>
        <v>קנס פיגור באספקה</v>
      </c>
      <c r="L2023">
        <v>1</v>
      </c>
      <c r="M2023" t="str">
        <f>"חל"</f>
        <v>חל</v>
      </c>
      <c r="N2023">
        <v>1</v>
      </c>
      <c r="O2023" t="str">
        <f>"חל"</f>
        <v>חל</v>
      </c>
      <c r="P2023">
        <v>64.5</v>
      </c>
      <c r="Q2023" t="str">
        <f>"$"</f>
        <v>$</v>
      </c>
      <c r="R2023" t="str">
        <f>"ידני"</f>
        <v>ידני</v>
      </c>
      <c r="S2023">
        <v>0</v>
      </c>
      <c r="T2023">
        <v>64.5</v>
      </c>
      <c r="U2023">
        <v>0</v>
      </c>
      <c r="V2023">
        <v>64.5</v>
      </c>
      <c r="W2023" t="str">
        <f>"$"</f>
        <v>$</v>
      </c>
      <c r="X2023">
        <v>0</v>
      </c>
      <c r="Y2023">
        <v>0</v>
      </c>
      <c r="Z2023">
        <v>0</v>
      </c>
      <c r="AA2023" t="str">
        <f>"Y"</f>
        <v>Y</v>
      </c>
      <c r="AC2023">
        <v>0</v>
      </c>
      <c r="AM2023" t="str">
        <f>"10"</f>
        <v>10</v>
      </c>
      <c r="AN2023" t="str">
        <f>"500000"</f>
        <v>500000</v>
      </c>
      <c r="AO2023" t="str">
        <f>"הכנסות  מלקוחות"</f>
        <v>הכנסות  מלקוחות</v>
      </c>
      <c r="AQ2023" t="str">
        <f>"040"</f>
        <v>040</v>
      </c>
      <c r="AR2023">
        <v>0</v>
      </c>
      <c r="AS2023">
        <v>0</v>
      </c>
      <c r="AT2023">
        <v>3.2469999999999999</v>
      </c>
      <c r="BD2023" t="str">
        <f>"רחמים זרוק"</f>
        <v>רחמים זרוק</v>
      </c>
    </row>
    <row r="2024" spans="1:56" x14ac:dyDescent="0.3">
      <c r="A2024" s="1">
        <v>44493</v>
      </c>
      <c r="B2024" t="str">
        <f>"CR217000118"</f>
        <v>CR217000118</v>
      </c>
      <c r="E2024" t="str">
        <f>"Y"</f>
        <v>Y</v>
      </c>
      <c r="F2024" t="str">
        <f>"חשבוניות זיכוי"</f>
        <v>חשבוניות זיכוי</v>
      </c>
      <c r="G2024" t="str">
        <f>"700065"</f>
        <v>700065</v>
      </c>
      <c r="H2024" t="str">
        <f>"אלתא מערכות בע""מ"</f>
        <v>אלתא מערכות בע"מ</v>
      </c>
      <c r="I2024" t="str">
        <f>"10"</f>
        <v>10</v>
      </c>
      <c r="J2024" t="str">
        <f>"9977"</f>
        <v>9977</v>
      </c>
      <c r="K2024" t="str">
        <f>"קנס פיגור באספקה"</f>
        <v>קנס פיגור באספקה</v>
      </c>
      <c r="L2024">
        <v>1</v>
      </c>
      <c r="M2024" t="str">
        <f>"חל"</f>
        <v>חל</v>
      </c>
      <c r="N2024">
        <v>1</v>
      </c>
      <c r="O2024" t="str">
        <f>"חל"</f>
        <v>חל</v>
      </c>
      <c r="P2024">
        <v>36.659999999999997</v>
      </c>
      <c r="Q2024" t="str">
        <f>"$"</f>
        <v>$</v>
      </c>
      <c r="R2024" t="str">
        <f>"ידני"</f>
        <v>ידני</v>
      </c>
      <c r="S2024">
        <v>0</v>
      </c>
      <c r="T2024">
        <v>36.659999999999997</v>
      </c>
      <c r="U2024">
        <v>0</v>
      </c>
      <c r="V2024">
        <v>36.659999999999997</v>
      </c>
      <c r="W2024" t="str">
        <f>"$"</f>
        <v>$</v>
      </c>
      <c r="X2024">
        <v>0</v>
      </c>
      <c r="Y2024">
        <v>0</v>
      </c>
      <c r="Z2024">
        <v>0</v>
      </c>
      <c r="AA2024" t="str">
        <f>"Y"</f>
        <v>Y</v>
      </c>
      <c r="AC2024">
        <v>0</v>
      </c>
      <c r="AM2024" t="str">
        <f>"10"</f>
        <v>10</v>
      </c>
      <c r="AN2024" t="str">
        <f>"500000"</f>
        <v>500000</v>
      </c>
      <c r="AO2024" t="str">
        <f>"הכנסות  מלקוחות"</f>
        <v>הכנסות  מלקוחות</v>
      </c>
      <c r="AQ2024" t="str">
        <f>"034"</f>
        <v>034</v>
      </c>
      <c r="AR2024">
        <v>0</v>
      </c>
      <c r="AS2024">
        <v>0</v>
      </c>
      <c r="AT2024">
        <v>3.2469999999999999</v>
      </c>
      <c r="BD2024" t="str">
        <f>"ערן שלו"</f>
        <v>ערן שלו</v>
      </c>
    </row>
    <row r="2025" spans="1:56" x14ac:dyDescent="0.3">
      <c r="A2025" s="1">
        <v>44493</v>
      </c>
      <c r="B2025" t="str">
        <f>"CR217000117"</f>
        <v>CR217000117</v>
      </c>
      <c r="E2025" t="str">
        <f>"Y"</f>
        <v>Y</v>
      </c>
      <c r="F2025" t="str">
        <f>"חשבוניות זיכוי"</f>
        <v>חשבוניות זיכוי</v>
      </c>
      <c r="G2025" t="str">
        <f>"700065"</f>
        <v>700065</v>
      </c>
      <c r="H2025" t="str">
        <f>"אלתא מערכות בע""מ"</f>
        <v>אלתא מערכות בע"מ</v>
      </c>
      <c r="I2025" t="str">
        <f>"10"</f>
        <v>10</v>
      </c>
      <c r="J2025" t="str">
        <f>"9977"</f>
        <v>9977</v>
      </c>
      <c r="K2025" t="str">
        <f>"קנס פיגור באספקה"</f>
        <v>קנס פיגור באספקה</v>
      </c>
      <c r="L2025">
        <v>1</v>
      </c>
      <c r="M2025" t="str">
        <f>"חל"</f>
        <v>חל</v>
      </c>
      <c r="N2025">
        <v>1</v>
      </c>
      <c r="O2025" t="str">
        <f>"חל"</f>
        <v>חל</v>
      </c>
      <c r="P2025">
        <v>165.4</v>
      </c>
      <c r="Q2025" t="str">
        <f>"$"</f>
        <v>$</v>
      </c>
      <c r="R2025" t="str">
        <f>"ידני"</f>
        <v>ידני</v>
      </c>
      <c r="S2025">
        <v>0</v>
      </c>
      <c r="T2025">
        <v>165.4</v>
      </c>
      <c r="U2025">
        <v>0</v>
      </c>
      <c r="V2025">
        <v>165.4</v>
      </c>
      <c r="W2025" t="str">
        <f>"$"</f>
        <v>$</v>
      </c>
      <c r="X2025">
        <v>0</v>
      </c>
      <c r="Y2025">
        <v>0</v>
      </c>
      <c r="Z2025">
        <v>0</v>
      </c>
      <c r="AA2025" t="str">
        <f>"Y"</f>
        <v>Y</v>
      </c>
      <c r="AC2025">
        <v>0</v>
      </c>
      <c r="AM2025" t="str">
        <f>"10"</f>
        <v>10</v>
      </c>
      <c r="AN2025" t="str">
        <f>"500000"</f>
        <v>500000</v>
      </c>
      <c r="AO2025" t="str">
        <f>"הכנסות  מלקוחות"</f>
        <v>הכנסות  מלקוחות</v>
      </c>
      <c r="AQ2025" t="str">
        <f>"034"</f>
        <v>034</v>
      </c>
      <c r="AR2025">
        <v>0</v>
      </c>
      <c r="AS2025">
        <v>0</v>
      </c>
      <c r="AT2025">
        <v>3.2469999999999999</v>
      </c>
      <c r="BD2025" t="str">
        <f>"ערן שלו"</f>
        <v>ערן שלו</v>
      </c>
    </row>
    <row r="2026" spans="1:56" x14ac:dyDescent="0.3">
      <c r="A2026" s="1">
        <v>44493</v>
      </c>
      <c r="B2026" t="str">
        <f>"CR217000116"</f>
        <v>CR217000116</v>
      </c>
      <c r="E2026" t="str">
        <f>"Y"</f>
        <v>Y</v>
      </c>
      <c r="F2026" t="str">
        <f>"חשבוניות זיכוי"</f>
        <v>חשבוניות זיכוי</v>
      </c>
      <c r="G2026" t="str">
        <f>"700065"</f>
        <v>700065</v>
      </c>
      <c r="H2026" t="str">
        <f>"אלתא מערכות בע""מ"</f>
        <v>אלתא מערכות בע"מ</v>
      </c>
      <c r="I2026" t="str">
        <f>"10"</f>
        <v>10</v>
      </c>
      <c r="J2026" t="str">
        <f>"9977"</f>
        <v>9977</v>
      </c>
      <c r="K2026" t="str">
        <f>"קנס פיגור באספקה"</f>
        <v>קנס פיגור באספקה</v>
      </c>
      <c r="L2026">
        <v>1</v>
      </c>
      <c r="M2026" t="str">
        <f>"חל"</f>
        <v>חל</v>
      </c>
      <c r="N2026">
        <v>1</v>
      </c>
      <c r="O2026" t="str">
        <f>"חל"</f>
        <v>חל</v>
      </c>
      <c r="P2026">
        <v>50.6</v>
      </c>
      <c r="Q2026" t="str">
        <f>"$"</f>
        <v>$</v>
      </c>
      <c r="R2026" t="str">
        <f>"ידני"</f>
        <v>ידני</v>
      </c>
      <c r="S2026">
        <v>0</v>
      </c>
      <c r="T2026">
        <v>50.6</v>
      </c>
      <c r="U2026">
        <v>0</v>
      </c>
      <c r="V2026">
        <v>50.6</v>
      </c>
      <c r="W2026" t="str">
        <f>"$"</f>
        <v>$</v>
      </c>
      <c r="X2026">
        <v>0</v>
      </c>
      <c r="Y2026">
        <v>0</v>
      </c>
      <c r="Z2026">
        <v>0</v>
      </c>
      <c r="AA2026" t="str">
        <f>"Y"</f>
        <v>Y</v>
      </c>
      <c r="AC2026">
        <v>0</v>
      </c>
      <c r="AM2026" t="str">
        <f>"10"</f>
        <v>10</v>
      </c>
      <c r="AN2026" t="str">
        <f>"500000"</f>
        <v>500000</v>
      </c>
      <c r="AO2026" t="str">
        <f>"הכנסות  מלקוחות"</f>
        <v>הכנסות  מלקוחות</v>
      </c>
      <c r="AQ2026" t="str">
        <f>"034"</f>
        <v>034</v>
      </c>
      <c r="AR2026">
        <v>0</v>
      </c>
      <c r="AS2026">
        <v>0</v>
      </c>
      <c r="AT2026">
        <v>3.2469999999999999</v>
      </c>
      <c r="BD2026" t="str">
        <f>"ערן שלו"</f>
        <v>ערן שלו</v>
      </c>
    </row>
    <row r="2027" spans="1:56" x14ac:dyDescent="0.3">
      <c r="A2027" s="1">
        <v>44490</v>
      </c>
      <c r="B2027" t="str">
        <f>"CR217000115"</f>
        <v>CR217000115</v>
      </c>
      <c r="E2027" t="str">
        <f>"Y"</f>
        <v>Y</v>
      </c>
      <c r="F2027" t="str">
        <f>"חשבוניות זיכוי"</f>
        <v>חשבוניות זיכוי</v>
      </c>
      <c r="G2027" t="str">
        <f>"700065"</f>
        <v>700065</v>
      </c>
      <c r="H2027" t="str">
        <f>"אלתא מערכות בע""מ"</f>
        <v>אלתא מערכות בע"מ</v>
      </c>
      <c r="I2027" t="str">
        <f>"10"</f>
        <v>10</v>
      </c>
      <c r="J2027" t="str">
        <f>"9977"</f>
        <v>9977</v>
      </c>
      <c r="K2027" t="str">
        <f>"קנס פיגור באספקה"</f>
        <v>קנס פיגור באספקה</v>
      </c>
      <c r="L2027">
        <v>1</v>
      </c>
      <c r="M2027" t="str">
        <f>"חל"</f>
        <v>חל</v>
      </c>
      <c r="N2027">
        <v>1</v>
      </c>
      <c r="O2027" t="str">
        <f>"חל"</f>
        <v>חל</v>
      </c>
      <c r="P2027">
        <v>46.8</v>
      </c>
      <c r="Q2027" t="str">
        <f>"$"</f>
        <v>$</v>
      </c>
      <c r="R2027" t="str">
        <f>"ידני"</f>
        <v>ידני</v>
      </c>
      <c r="S2027">
        <v>0</v>
      </c>
      <c r="T2027">
        <v>46.8</v>
      </c>
      <c r="U2027">
        <v>0</v>
      </c>
      <c r="V2027">
        <v>46.8</v>
      </c>
      <c r="W2027" t="str">
        <f>"$"</f>
        <v>$</v>
      </c>
      <c r="X2027">
        <v>0</v>
      </c>
      <c r="Y2027">
        <v>0</v>
      </c>
      <c r="Z2027">
        <v>0</v>
      </c>
      <c r="AA2027" t="str">
        <f>"Y"</f>
        <v>Y</v>
      </c>
      <c r="AC2027">
        <v>0</v>
      </c>
      <c r="AM2027" t="str">
        <f>"10"</f>
        <v>10</v>
      </c>
      <c r="AN2027" t="str">
        <f>"500000"</f>
        <v>500000</v>
      </c>
      <c r="AO2027" t="str">
        <f>"הכנסות  מלקוחות"</f>
        <v>הכנסות  מלקוחות</v>
      </c>
      <c r="AQ2027" t="str">
        <f>"034"</f>
        <v>034</v>
      </c>
      <c r="AR2027">
        <v>0</v>
      </c>
      <c r="AS2027">
        <v>0</v>
      </c>
      <c r="AT2027">
        <v>3.3029999999999999</v>
      </c>
      <c r="BD2027" t="str">
        <f>"ערן שלו"</f>
        <v>ערן שלו</v>
      </c>
    </row>
    <row r="2028" spans="1:56" x14ac:dyDescent="0.3">
      <c r="A2028" s="1">
        <v>44490</v>
      </c>
      <c r="B2028" t="str">
        <f>"CR217000114"</f>
        <v>CR217000114</v>
      </c>
      <c r="E2028" t="str">
        <f>"Y"</f>
        <v>Y</v>
      </c>
      <c r="F2028" t="str">
        <f>"חשבוניות זיכוי"</f>
        <v>חשבוניות זיכוי</v>
      </c>
      <c r="G2028" t="str">
        <f>"700065"</f>
        <v>700065</v>
      </c>
      <c r="H2028" t="str">
        <f>"אלתא מערכות בע""מ"</f>
        <v>אלתא מערכות בע"מ</v>
      </c>
      <c r="I2028" t="str">
        <f>"10"</f>
        <v>10</v>
      </c>
      <c r="J2028" t="str">
        <f>"9977"</f>
        <v>9977</v>
      </c>
      <c r="K2028" t="str">
        <f>"קנס פיגור באספקה"</f>
        <v>קנס פיגור באספקה</v>
      </c>
      <c r="L2028">
        <v>1</v>
      </c>
      <c r="M2028" t="str">
        <f>"חל"</f>
        <v>חל</v>
      </c>
      <c r="N2028">
        <v>1</v>
      </c>
      <c r="O2028" t="str">
        <f>"חל"</f>
        <v>חל</v>
      </c>
      <c r="P2028">
        <v>248.1</v>
      </c>
      <c r="Q2028" t="str">
        <f>"$"</f>
        <v>$</v>
      </c>
      <c r="R2028" t="str">
        <f>"ידני"</f>
        <v>ידני</v>
      </c>
      <c r="S2028">
        <v>0</v>
      </c>
      <c r="T2028">
        <v>248.1</v>
      </c>
      <c r="U2028">
        <v>0</v>
      </c>
      <c r="V2028">
        <v>248.1</v>
      </c>
      <c r="W2028" t="str">
        <f>"$"</f>
        <v>$</v>
      </c>
      <c r="X2028">
        <v>0</v>
      </c>
      <c r="Y2028">
        <v>0</v>
      </c>
      <c r="Z2028">
        <v>0</v>
      </c>
      <c r="AA2028" t="str">
        <f>"Y"</f>
        <v>Y</v>
      </c>
      <c r="AC2028">
        <v>0</v>
      </c>
      <c r="AM2028" t="str">
        <f>"10"</f>
        <v>10</v>
      </c>
      <c r="AN2028" t="str">
        <f>"500000"</f>
        <v>500000</v>
      </c>
      <c r="AO2028" t="str">
        <f>"הכנסות  מלקוחות"</f>
        <v>הכנסות  מלקוחות</v>
      </c>
      <c r="AQ2028" t="str">
        <f>"034"</f>
        <v>034</v>
      </c>
      <c r="AR2028">
        <v>0</v>
      </c>
      <c r="AS2028">
        <v>0</v>
      </c>
      <c r="AT2028">
        <v>3.2530000000000001</v>
      </c>
      <c r="BD2028" t="str">
        <f>"ערן שלו"</f>
        <v>ערן שלו</v>
      </c>
    </row>
    <row r="2029" spans="1:56" x14ac:dyDescent="0.3">
      <c r="A2029" s="1">
        <v>44490</v>
      </c>
      <c r="B2029" t="str">
        <f>"CR217000113"</f>
        <v>CR217000113</v>
      </c>
      <c r="E2029" t="str">
        <f>"Y"</f>
        <v>Y</v>
      </c>
      <c r="F2029" t="str">
        <f>"חשבוניות זיכוי"</f>
        <v>חשבוניות זיכוי</v>
      </c>
      <c r="G2029" t="str">
        <f>"700065"</f>
        <v>700065</v>
      </c>
      <c r="H2029" t="str">
        <f>"אלתא מערכות בע""מ"</f>
        <v>אלתא מערכות בע"מ</v>
      </c>
      <c r="I2029" t="str">
        <f>"10"</f>
        <v>10</v>
      </c>
      <c r="J2029" t="str">
        <f>"9977"</f>
        <v>9977</v>
      </c>
      <c r="K2029" t="str">
        <f>"קנס פיגור באספקה"</f>
        <v>קנס פיגור באספקה</v>
      </c>
      <c r="L2029">
        <v>1</v>
      </c>
      <c r="M2029" t="str">
        <f>"חל"</f>
        <v>חל</v>
      </c>
      <c r="N2029">
        <v>1</v>
      </c>
      <c r="O2029" t="str">
        <f>"חל"</f>
        <v>חל</v>
      </c>
      <c r="P2029">
        <v>70.81</v>
      </c>
      <c r="Q2029" t="str">
        <f>"$"</f>
        <v>$</v>
      </c>
      <c r="R2029" t="str">
        <f>"ידני"</f>
        <v>ידני</v>
      </c>
      <c r="S2029">
        <v>0</v>
      </c>
      <c r="T2029">
        <v>70.81</v>
      </c>
      <c r="U2029">
        <v>0</v>
      </c>
      <c r="V2029">
        <v>70.81</v>
      </c>
      <c r="W2029" t="str">
        <f>"$"</f>
        <v>$</v>
      </c>
      <c r="X2029">
        <v>0</v>
      </c>
      <c r="Y2029">
        <v>0</v>
      </c>
      <c r="Z2029">
        <v>0</v>
      </c>
      <c r="AA2029" t="str">
        <f>"Y"</f>
        <v>Y</v>
      </c>
      <c r="AC2029">
        <v>0</v>
      </c>
      <c r="AM2029" t="str">
        <f>"10"</f>
        <v>10</v>
      </c>
      <c r="AN2029" t="str">
        <f>"500000"</f>
        <v>500000</v>
      </c>
      <c r="AO2029" t="str">
        <f>"הכנסות  מלקוחות"</f>
        <v>הכנסות  מלקוחות</v>
      </c>
      <c r="AQ2029" t="str">
        <f>"034"</f>
        <v>034</v>
      </c>
      <c r="AR2029">
        <v>0</v>
      </c>
      <c r="AS2029">
        <v>0</v>
      </c>
      <c r="AT2029">
        <v>3.238</v>
      </c>
      <c r="BD2029" t="str">
        <f>"ערן שלו"</f>
        <v>ערן שלו</v>
      </c>
    </row>
    <row r="2030" spans="1:56" x14ac:dyDescent="0.3">
      <c r="A2030" s="1">
        <v>44490</v>
      </c>
      <c r="B2030" t="str">
        <f>"CR217000112"</f>
        <v>CR217000112</v>
      </c>
      <c r="E2030" t="str">
        <f>"Y"</f>
        <v>Y</v>
      </c>
      <c r="F2030" t="str">
        <f>"חשבוניות זיכוי"</f>
        <v>חשבוניות זיכוי</v>
      </c>
      <c r="G2030" t="str">
        <f>"700065"</f>
        <v>700065</v>
      </c>
      <c r="H2030" t="str">
        <f>"אלתא מערכות בע""מ"</f>
        <v>אלתא מערכות בע"מ</v>
      </c>
      <c r="I2030" t="str">
        <f>"10"</f>
        <v>10</v>
      </c>
      <c r="J2030" t="str">
        <f>"9977"</f>
        <v>9977</v>
      </c>
      <c r="K2030" t="str">
        <f>"קנס פיגור באספקה"</f>
        <v>קנס פיגור באספקה</v>
      </c>
      <c r="L2030">
        <v>1</v>
      </c>
      <c r="M2030" t="str">
        <f>"חל"</f>
        <v>חל</v>
      </c>
      <c r="N2030">
        <v>1</v>
      </c>
      <c r="O2030" t="str">
        <f>"חל"</f>
        <v>חל</v>
      </c>
      <c r="P2030">
        <v>269.57</v>
      </c>
      <c r="Q2030" t="str">
        <f>"$"</f>
        <v>$</v>
      </c>
      <c r="R2030" t="str">
        <f>"ידני"</f>
        <v>ידני</v>
      </c>
      <c r="S2030">
        <v>0</v>
      </c>
      <c r="T2030">
        <v>269.57</v>
      </c>
      <c r="U2030">
        <v>0</v>
      </c>
      <c r="V2030">
        <v>269.57</v>
      </c>
      <c r="W2030" t="str">
        <f>"$"</f>
        <v>$</v>
      </c>
      <c r="X2030">
        <v>0</v>
      </c>
      <c r="Y2030">
        <v>0</v>
      </c>
      <c r="Z2030">
        <v>0</v>
      </c>
      <c r="AA2030" t="str">
        <f>"Y"</f>
        <v>Y</v>
      </c>
      <c r="AC2030">
        <v>0</v>
      </c>
      <c r="AM2030" t="str">
        <f>"10"</f>
        <v>10</v>
      </c>
      <c r="AN2030" t="str">
        <f>"500000"</f>
        <v>500000</v>
      </c>
      <c r="AO2030" t="str">
        <f>"הכנסות  מלקוחות"</f>
        <v>הכנסות  מלקוחות</v>
      </c>
      <c r="AQ2030" t="str">
        <f>"034"</f>
        <v>034</v>
      </c>
      <c r="AR2030">
        <v>0</v>
      </c>
      <c r="AS2030">
        <v>0</v>
      </c>
      <c r="AT2030">
        <v>3.2730000000000001</v>
      </c>
      <c r="BD2030" t="str">
        <f>"ערן שלו"</f>
        <v>ערן שלו</v>
      </c>
    </row>
    <row r="2031" spans="1:56" x14ac:dyDescent="0.3">
      <c r="A2031" s="1">
        <v>44490</v>
      </c>
      <c r="B2031" t="str">
        <f>"CR217000111"</f>
        <v>CR217000111</v>
      </c>
      <c r="E2031" t="str">
        <f>"Y"</f>
        <v>Y</v>
      </c>
      <c r="F2031" t="str">
        <f>"חשבוניות זיכוי"</f>
        <v>חשבוניות זיכוי</v>
      </c>
      <c r="G2031" t="str">
        <f>"700065"</f>
        <v>700065</v>
      </c>
      <c r="H2031" t="str">
        <f>"אלתא מערכות בע""מ"</f>
        <v>אלתא מערכות בע"מ</v>
      </c>
      <c r="I2031" t="str">
        <f>"10"</f>
        <v>10</v>
      </c>
      <c r="J2031" t="str">
        <f>"9977"</f>
        <v>9977</v>
      </c>
      <c r="K2031" t="str">
        <f>"קנס אספקה בפיגור"</f>
        <v>קנס אספקה בפיגור</v>
      </c>
      <c r="L2031">
        <v>1</v>
      </c>
      <c r="M2031" t="str">
        <f>"חל"</f>
        <v>חל</v>
      </c>
      <c r="N2031">
        <v>1</v>
      </c>
      <c r="O2031" t="str">
        <f>"חל"</f>
        <v>חל</v>
      </c>
      <c r="P2031">
        <v>15.84</v>
      </c>
      <c r="Q2031" t="str">
        <f>"$"</f>
        <v>$</v>
      </c>
      <c r="R2031" t="str">
        <f>"ידני"</f>
        <v>ידני</v>
      </c>
      <c r="S2031">
        <v>0</v>
      </c>
      <c r="T2031">
        <v>15.84</v>
      </c>
      <c r="U2031">
        <v>0</v>
      </c>
      <c r="V2031">
        <v>15.84</v>
      </c>
      <c r="W2031" t="str">
        <f>"$"</f>
        <v>$</v>
      </c>
      <c r="X2031">
        <v>0</v>
      </c>
      <c r="Y2031">
        <v>0</v>
      </c>
      <c r="Z2031">
        <v>0</v>
      </c>
      <c r="AA2031" t="str">
        <f>"Y"</f>
        <v>Y</v>
      </c>
      <c r="AC2031">
        <v>0</v>
      </c>
      <c r="AM2031" t="str">
        <f>"10"</f>
        <v>10</v>
      </c>
      <c r="AN2031" t="str">
        <f>"500000"</f>
        <v>500000</v>
      </c>
      <c r="AO2031" t="str">
        <f>"הכנסות  מלקוחות"</f>
        <v>הכנסות  מלקוחות</v>
      </c>
      <c r="AQ2031" t="str">
        <f>"034"</f>
        <v>034</v>
      </c>
      <c r="AR2031">
        <v>0</v>
      </c>
      <c r="AS2031">
        <v>0</v>
      </c>
      <c r="AT2031">
        <v>3.2469999999999999</v>
      </c>
      <c r="BD2031" t="str">
        <f>"ערן שלו"</f>
        <v>ערן שלו</v>
      </c>
    </row>
    <row r="2032" spans="1:56" x14ac:dyDescent="0.3">
      <c r="A2032" s="1">
        <v>44490</v>
      </c>
      <c r="B2032" t="str">
        <f>"CR217000110"</f>
        <v>CR217000110</v>
      </c>
      <c r="E2032" t="str">
        <f>"Y"</f>
        <v>Y</v>
      </c>
      <c r="F2032" t="str">
        <f>"חשבוניות זיכוי"</f>
        <v>חשבוניות זיכוי</v>
      </c>
      <c r="G2032" t="str">
        <f>"700065"</f>
        <v>700065</v>
      </c>
      <c r="H2032" t="str">
        <f>"אלתא מערכות בע""מ"</f>
        <v>אלתא מערכות בע"מ</v>
      </c>
      <c r="I2032" t="str">
        <f>"10"</f>
        <v>10</v>
      </c>
      <c r="J2032" t="str">
        <f>"9977"</f>
        <v>9977</v>
      </c>
      <c r="K2032" t="str">
        <f>"קנס פיגור באספקה"</f>
        <v>קנס פיגור באספקה</v>
      </c>
      <c r="L2032">
        <v>1</v>
      </c>
      <c r="M2032" t="str">
        <f>"חל"</f>
        <v>חל</v>
      </c>
      <c r="N2032">
        <v>1</v>
      </c>
      <c r="O2032" t="str">
        <f>"חל"</f>
        <v>חל</v>
      </c>
      <c r="P2032">
        <v>155.4</v>
      </c>
      <c r="Q2032" t="str">
        <f>"$"</f>
        <v>$</v>
      </c>
      <c r="R2032" t="str">
        <f>"ידני"</f>
        <v>ידני</v>
      </c>
      <c r="S2032">
        <v>0</v>
      </c>
      <c r="T2032">
        <v>155.4</v>
      </c>
      <c r="U2032">
        <v>0</v>
      </c>
      <c r="V2032">
        <v>155.4</v>
      </c>
      <c r="W2032" t="str">
        <f>"$"</f>
        <v>$</v>
      </c>
      <c r="X2032">
        <v>0</v>
      </c>
      <c r="Y2032">
        <v>0</v>
      </c>
      <c r="Z2032">
        <v>0</v>
      </c>
      <c r="AA2032" t="str">
        <f>"Y"</f>
        <v>Y</v>
      </c>
      <c r="AC2032">
        <v>0</v>
      </c>
      <c r="AM2032" t="str">
        <f>"10"</f>
        <v>10</v>
      </c>
      <c r="AN2032" t="str">
        <f>"500000"</f>
        <v>500000</v>
      </c>
      <c r="AO2032" t="str">
        <f>"הכנסות  מלקוחות"</f>
        <v>הכנסות  מלקוחות</v>
      </c>
      <c r="AQ2032" t="str">
        <f>"034"</f>
        <v>034</v>
      </c>
      <c r="AR2032">
        <v>0</v>
      </c>
      <c r="AS2032">
        <v>0</v>
      </c>
      <c r="AT2032">
        <v>3.2810000000000001</v>
      </c>
      <c r="BD2032" t="str">
        <f>"ערן שלו"</f>
        <v>ערן שלו</v>
      </c>
    </row>
    <row r="2033" spans="1:56" x14ac:dyDescent="0.3">
      <c r="A2033" s="1">
        <v>44490</v>
      </c>
      <c r="B2033" t="str">
        <f>"CR217000109"</f>
        <v>CR217000109</v>
      </c>
      <c r="E2033" t="str">
        <f>"Y"</f>
        <v>Y</v>
      </c>
      <c r="F2033" t="str">
        <f>"חשבוניות זיכוי"</f>
        <v>חשבוניות זיכוי</v>
      </c>
      <c r="G2033" t="str">
        <f>"700065"</f>
        <v>700065</v>
      </c>
      <c r="H2033" t="str">
        <f>"אלתא מערכות בע""מ"</f>
        <v>אלתא מערכות בע"מ</v>
      </c>
      <c r="I2033" t="str">
        <f>"10"</f>
        <v>10</v>
      </c>
      <c r="J2033" t="str">
        <f>"9977"</f>
        <v>9977</v>
      </c>
      <c r="K2033" t="str">
        <f>"קנס פיגור באספקה"</f>
        <v>קנס פיגור באספקה</v>
      </c>
      <c r="L2033">
        <v>1</v>
      </c>
      <c r="M2033" t="str">
        <f>"חל"</f>
        <v>חל</v>
      </c>
      <c r="N2033">
        <v>1</v>
      </c>
      <c r="O2033" t="str">
        <f>"חל"</f>
        <v>חל</v>
      </c>
      <c r="P2033">
        <v>131.77000000000001</v>
      </c>
      <c r="Q2033" t="str">
        <f>"$"</f>
        <v>$</v>
      </c>
      <c r="R2033" t="str">
        <f>"ידני"</f>
        <v>ידני</v>
      </c>
      <c r="S2033">
        <v>0</v>
      </c>
      <c r="T2033">
        <v>131.77000000000001</v>
      </c>
      <c r="U2033">
        <v>0</v>
      </c>
      <c r="V2033">
        <v>131.77000000000001</v>
      </c>
      <c r="W2033" t="str">
        <f>"$"</f>
        <v>$</v>
      </c>
      <c r="X2033">
        <v>0</v>
      </c>
      <c r="Y2033">
        <v>0</v>
      </c>
      <c r="Z2033">
        <v>0</v>
      </c>
      <c r="AA2033" t="str">
        <f>"Y"</f>
        <v>Y</v>
      </c>
      <c r="AC2033">
        <v>0</v>
      </c>
      <c r="AM2033" t="str">
        <f>"10"</f>
        <v>10</v>
      </c>
      <c r="AN2033" t="str">
        <f>"500000"</f>
        <v>500000</v>
      </c>
      <c r="AO2033" t="str">
        <f>"הכנסות  מלקוחות"</f>
        <v>הכנסות  מלקוחות</v>
      </c>
      <c r="AQ2033" t="str">
        <f>"034"</f>
        <v>034</v>
      </c>
      <c r="AR2033">
        <v>0</v>
      </c>
      <c r="AS2033">
        <v>0</v>
      </c>
      <c r="AT2033">
        <v>3.2890000000000001</v>
      </c>
      <c r="BD2033" t="str">
        <f>"ערן שלו"</f>
        <v>ערן שלו</v>
      </c>
    </row>
    <row r="2034" spans="1:56" x14ac:dyDescent="0.3">
      <c r="A2034" s="1">
        <v>44490</v>
      </c>
      <c r="B2034" t="str">
        <f>"CR217000108"</f>
        <v>CR217000108</v>
      </c>
      <c r="E2034" t="str">
        <f>"Y"</f>
        <v>Y</v>
      </c>
      <c r="F2034" t="str">
        <f>"חשבוניות זיכוי"</f>
        <v>חשבוניות זיכוי</v>
      </c>
      <c r="G2034" t="str">
        <f>"700065"</f>
        <v>700065</v>
      </c>
      <c r="H2034" t="str">
        <f>"אלתא מערכות בע""מ"</f>
        <v>אלתא מערכות בע"מ</v>
      </c>
      <c r="I2034" t="str">
        <f>"10"</f>
        <v>10</v>
      </c>
      <c r="J2034" t="str">
        <f>"9977"</f>
        <v>9977</v>
      </c>
      <c r="K2034" t="str">
        <f>"קנס אספקה באיחור"</f>
        <v>קנס אספקה באיחור</v>
      </c>
      <c r="L2034">
        <v>1</v>
      </c>
      <c r="M2034" t="str">
        <f>"חל"</f>
        <v>חל</v>
      </c>
      <c r="N2034">
        <v>1</v>
      </c>
      <c r="O2034" t="str">
        <f>"חל"</f>
        <v>חל</v>
      </c>
      <c r="P2034">
        <v>106.36</v>
      </c>
      <c r="Q2034" t="str">
        <f>"$"</f>
        <v>$</v>
      </c>
      <c r="R2034" t="str">
        <f>"ידני"</f>
        <v>ידני</v>
      </c>
      <c r="S2034">
        <v>0</v>
      </c>
      <c r="T2034">
        <v>106.36</v>
      </c>
      <c r="U2034">
        <v>0</v>
      </c>
      <c r="V2034">
        <v>106.36</v>
      </c>
      <c r="W2034" t="str">
        <f>"$"</f>
        <v>$</v>
      </c>
      <c r="X2034">
        <v>0</v>
      </c>
      <c r="Y2034">
        <v>0</v>
      </c>
      <c r="Z2034">
        <v>0</v>
      </c>
      <c r="AA2034" t="str">
        <f>"Y"</f>
        <v>Y</v>
      </c>
      <c r="AC2034">
        <v>0</v>
      </c>
      <c r="AM2034" t="str">
        <f>"10"</f>
        <v>10</v>
      </c>
      <c r="AN2034" t="str">
        <f>"500000"</f>
        <v>500000</v>
      </c>
      <c r="AO2034" t="str">
        <f>"הכנסות  מלקוחות"</f>
        <v>הכנסות  מלקוחות</v>
      </c>
      <c r="AQ2034" t="str">
        <f>"034"</f>
        <v>034</v>
      </c>
      <c r="AR2034">
        <v>0</v>
      </c>
      <c r="AS2034">
        <v>0</v>
      </c>
      <c r="AT2034">
        <v>3.2639999999999998</v>
      </c>
      <c r="BD2034" t="str">
        <f>"ערן שלו"</f>
        <v>ערן שלו</v>
      </c>
    </row>
    <row r="2035" spans="1:56" x14ac:dyDescent="0.3">
      <c r="A2035" s="1">
        <v>44489</v>
      </c>
      <c r="B2035" t="str">
        <f>"CR217000107"</f>
        <v>CR217000107</v>
      </c>
      <c r="E2035" t="str">
        <f>"Y"</f>
        <v>Y</v>
      </c>
      <c r="F2035" t="str">
        <f>"חשבוניות זיכוי"</f>
        <v>חשבוניות זיכוי</v>
      </c>
      <c r="G2035" t="str">
        <f>"700065"</f>
        <v>700065</v>
      </c>
      <c r="H2035" t="str">
        <f>"אלתא מערכות בע""מ"</f>
        <v>אלתא מערכות בע"מ</v>
      </c>
      <c r="I2035" t="str">
        <f>"10"</f>
        <v>10</v>
      </c>
      <c r="J2035" t="str">
        <f>"9977"</f>
        <v>9977</v>
      </c>
      <c r="K2035" t="str">
        <f>"קנס פיגור באספקה"</f>
        <v>קנס פיגור באספקה</v>
      </c>
      <c r="L2035">
        <v>1</v>
      </c>
      <c r="M2035" t="str">
        <f>"חל"</f>
        <v>חל</v>
      </c>
      <c r="N2035">
        <v>1</v>
      </c>
      <c r="O2035" t="str">
        <f>"חל"</f>
        <v>חל</v>
      </c>
      <c r="P2035">
        <v>77.510000000000005</v>
      </c>
      <c r="Q2035" t="str">
        <f>"$"</f>
        <v>$</v>
      </c>
      <c r="R2035" t="str">
        <f>"ידני"</f>
        <v>ידני</v>
      </c>
      <c r="S2035">
        <v>0</v>
      </c>
      <c r="T2035">
        <v>77.510000000000005</v>
      </c>
      <c r="U2035">
        <v>0</v>
      </c>
      <c r="V2035">
        <v>77.510000000000005</v>
      </c>
      <c r="W2035" t="str">
        <f>"$"</f>
        <v>$</v>
      </c>
      <c r="X2035">
        <v>0</v>
      </c>
      <c r="Y2035">
        <v>0</v>
      </c>
      <c r="Z2035">
        <v>0</v>
      </c>
      <c r="AA2035" t="str">
        <f>"Y"</f>
        <v>Y</v>
      </c>
      <c r="AC2035">
        <v>0</v>
      </c>
      <c r="AM2035" t="str">
        <f>"10"</f>
        <v>10</v>
      </c>
      <c r="AN2035" t="str">
        <f>"500000"</f>
        <v>500000</v>
      </c>
      <c r="AO2035" t="str">
        <f>"הכנסות  מלקוחות"</f>
        <v>הכנסות  מלקוחות</v>
      </c>
      <c r="AQ2035" t="str">
        <f>"034"</f>
        <v>034</v>
      </c>
      <c r="AR2035">
        <v>0</v>
      </c>
      <c r="AS2035">
        <v>0</v>
      </c>
      <c r="AT2035">
        <v>3.286</v>
      </c>
      <c r="BD2035" t="str">
        <f>"ערן שלו"</f>
        <v>ערן שלו</v>
      </c>
    </row>
    <row r="2036" spans="1:56" x14ac:dyDescent="0.3">
      <c r="A2036" s="1">
        <v>44489</v>
      </c>
      <c r="B2036" t="str">
        <f>"CR217000106"</f>
        <v>CR217000106</v>
      </c>
      <c r="E2036" t="str">
        <f>"Y"</f>
        <v>Y</v>
      </c>
      <c r="F2036" t="str">
        <f>"חשבוניות זיכוי"</f>
        <v>חשבוניות זיכוי</v>
      </c>
      <c r="G2036" t="str">
        <f>"700065"</f>
        <v>700065</v>
      </c>
      <c r="H2036" t="str">
        <f>"אלתא מערכות בע""מ"</f>
        <v>אלתא מערכות בע"מ</v>
      </c>
      <c r="I2036" t="str">
        <f>"10"</f>
        <v>10</v>
      </c>
      <c r="J2036" t="str">
        <f>"9977"</f>
        <v>9977</v>
      </c>
      <c r="K2036" t="str">
        <f>"קנס פיגור באספקה"</f>
        <v>קנס פיגור באספקה</v>
      </c>
      <c r="L2036">
        <v>1</v>
      </c>
      <c r="M2036" t="str">
        <f>"חל"</f>
        <v>חל</v>
      </c>
      <c r="N2036">
        <v>1</v>
      </c>
      <c r="O2036" t="str">
        <f>"חל"</f>
        <v>חל</v>
      </c>
      <c r="P2036" s="2">
        <v>3360</v>
      </c>
      <c r="Q2036" t="str">
        <f>"$"</f>
        <v>$</v>
      </c>
      <c r="R2036" t="str">
        <f>"ידני"</f>
        <v>ידני</v>
      </c>
      <c r="S2036">
        <v>0</v>
      </c>
      <c r="T2036" s="2">
        <v>3360</v>
      </c>
      <c r="U2036">
        <v>0</v>
      </c>
      <c r="V2036" s="2">
        <v>3360</v>
      </c>
      <c r="W2036" t="str">
        <f>"$"</f>
        <v>$</v>
      </c>
      <c r="X2036">
        <v>0</v>
      </c>
      <c r="Y2036">
        <v>0</v>
      </c>
      <c r="Z2036">
        <v>0</v>
      </c>
      <c r="AA2036" t="str">
        <f>"Y"</f>
        <v>Y</v>
      </c>
      <c r="AC2036">
        <v>0</v>
      </c>
      <c r="AM2036" t="str">
        <f>"10"</f>
        <v>10</v>
      </c>
      <c r="AN2036" t="str">
        <f>"500000"</f>
        <v>500000</v>
      </c>
      <c r="AO2036" t="str">
        <f>"הכנסות  מלקוחות"</f>
        <v>הכנסות  מלקוחות</v>
      </c>
      <c r="AQ2036" t="str">
        <f>"034"</f>
        <v>034</v>
      </c>
      <c r="AR2036">
        <v>0</v>
      </c>
      <c r="AS2036">
        <v>0</v>
      </c>
      <c r="AT2036">
        <v>3.2909999999999999</v>
      </c>
      <c r="BD2036" t="str">
        <f>"ערן שלו"</f>
        <v>ערן שלו</v>
      </c>
    </row>
    <row r="2037" spans="1:56" x14ac:dyDescent="0.3">
      <c r="A2037" s="1">
        <v>44489</v>
      </c>
      <c r="B2037" t="str">
        <f>"CR217000105"</f>
        <v>CR217000105</v>
      </c>
      <c r="E2037" t="str">
        <f>"Y"</f>
        <v>Y</v>
      </c>
      <c r="F2037" t="str">
        <f>"חשבוניות זיכוי"</f>
        <v>חשבוניות זיכוי</v>
      </c>
      <c r="G2037" t="str">
        <f>"700065"</f>
        <v>700065</v>
      </c>
      <c r="H2037" t="str">
        <f>"אלתא מערכות בע""מ"</f>
        <v>אלתא מערכות בע"מ</v>
      </c>
      <c r="I2037" t="str">
        <f>"10"</f>
        <v>10</v>
      </c>
      <c r="J2037" t="str">
        <f>"9977"</f>
        <v>9977</v>
      </c>
      <c r="K2037" t="str">
        <f>"קנס פיגור באספקה"</f>
        <v>קנס פיגור באספקה</v>
      </c>
      <c r="L2037">
        <v>1</v>
      </c>
      <c r="M2037" t="str">
        <f>"חל"</f>
        <v>חל</v>
      </c>
      <c r="N2037">
        <v>1</v>
      </c>
      <c r="O2037" t="str">
        <f>"חל"</f>
        <v>חל</v>
      </c>
      <c r="P2037">
        <v>18.48</v>
      </c>
      <c r="Q2037" t="str">
        <f>"$"</f>
        <v>$</v>
      </c>
      <c r="R2037" t="str">
        <f>"ידני"</f>
        <v>ידני</v>
      </c>
      <c r="S2037">
        <v>0</v>
      </c>
      <c r="T2037">
        <v>18.48</v>
      </c>
      <c r="U2037">
        <v>0</v>
      </c>
      <c r="V2037">
        <v>18.48</v>
      </c>
      <c r="W2037" t="str">
        <f>"$"</f>
        <v>$</v>
      </c>
      <c r="X2037">
        <v>0</v>
      </c>
      <c r="Y2037">
        <v>0</v>
      </c>
      <c r="Z2037">
        <v>0</v>
      </c>
      <c r="AA2037" t="str">
        <f>"Y"</f>
        <v>Y</v>
      </c>
      <c r="AC2037">
        <v>0</v>
      </c>
      <c r="AM2037" t="str">
        <f>"10"</f>
        <v>10</v>
      </c>
      <c r="AN2037" t="str">
        <f>"500000"</f>
        <v>500000</v>
      </c>
      <c r="AO2037" t="str">
        <f>"הכנסות  מלקוחות"</f>
        <v>הכנסות  מלקוחות</v>
      </c>
      <c r="AQ2037" t="str">
        <f>"034"</f>
        <v>034</v>
      </c>
      <c r="AR2037">
        <v>0</v>
      </c>
      <c r="AS2037">
        <v>0</v>
      </c>
      <c r="AT2037">
        <v>3.2639999999999998</v>
      </c>
      <c r="BD2037" t="str">
        <f>"ערן שלו"</f>
        <v>ערן שלו</v>
      </c>
    </row>
    <row r="2038" spans="1:56" x14ac:dyDescent="0.3">
      <c r="A2038" s="1">
        <v>44489</v>
      </c>
      <c r="B2038" t="str">
        <f>"CR217000104"</f>
        <v>CR217000104</v>
      </c>
      <c r="E2038" t="str">
        <f>"Y"</f>
        <v>Y</v>
      </c>
      <c r="F2038" t="str">
        <f>"חשבוניות זיכוי"</f>
        <v>חשבוניות זיכוי</v>
      </c>
      <c r="G2038" t="str">
        <f>"700065"</f>
        <v>700065</v>
      </c>
      <c r="H2038" t="str">
        <f>"אלתא מערכות בע""מ"</f>
        <v>אלתא מערכות בע"מ</v>
      </c>
      <c r="I2038" t="str">
        <f>"10"</f>
        <v>10</v>
      </c>
      <c r="J2038" t="str">
        <f>"9977"</f>
        <v>9977</v>
      </c>
      <c r="K2038" t="str">
        <f>"קנס פיגור באספקה"</f>
        <v>קנס פיגור באספקה</v>
      </c>
      <c r="L2038">
        <v>1</v>
      </c>
      <c r="M2038" t="str">
        <f>"חל"</f>
        <v>חל</v>
      </c>
      <c r="N2038">
        <v>1</v>
      </c>
      <c r="O2038" t="str">
        <f>"חל"</f>
        <v>חל</v>
      </c>
      <c r="P2038">
        <v>25.59</v>
      </c>
      <c r="Q2038" t="str">
        <f>"$"</f>
        <v>$</v>
      </c>
      <c r="R2038" t="str">
        <f>"ידני"</f>
        <v>ידני</v>
      </c>
      <c r="S2038">
        <v>0</v>
      </c>
      <c r="T2038">
        <v>25.59</v>
      </c>
      <c r="U2038">
        <v>0</v>
      </c>
      <c r="V2038">
        <v>25.59</v>
      </c>
      <c r="W2038" t="str">
        <f>"$"</f>
        <v>$</v>
      </c>
      <c r="X2038">
        <v>0</v>
      </c>
      <c r="Y2038">
        <v>0</v>
      </c>
      <c r="Z2038">
        <v>0</v>
      </c>
      <c r="AA2038" t="str">
        <f>"Y"</f>
        <v>Y</v>
      </c>
      <c r="AC2038">
        <v>0</v>
      </c>
      <c r="AM2038" t="str">
        <f>"10"</f>
        <v>10</v>
      </c>
      <c r="AN2038" t="str">
        <f>"500000"</f>
        <v>500000</v>
      </c>
      <c r="AO2038" t="str">
        <f>"הכנסות  מלקוחות"</f>
        <v>הכנסות  מלקוחות</v>
      </c>
      <c r="AQ2038" t="str">
        <f>"034"</f>
        <v>034</v>
      </c>
      <c r="AR2038">
        <v>0</v>
      </c>
      <c r="AS2038">
        <v>0</v>
      </c>
      <c r="AT2038">
        <v>3.28</v>
      </c>
      <c r="BD2038" t="str">
        <f>"ערן שלו"</f>
        <v>ערן שלו</v>
      </c>
    </row>
    <row r="2039" spans="1:56" x14ac:dyDescent="0.3">
      <c r="A2039" s="1">
        <v>44489</v>
      </c>
      <c r="B2039" t="str">
        <f>"CR217000103"</f>
        <v>CR217000103</v>
      </c>
      <c r="E2039" t="str">
        <f>"Y"</f>
        <v>Y</v>
      </c>
      <c r="F2039" t="str">
        <f>"חשבוניות זיכוי"</f>
        <v>חשבוניות זיכוי</v>
      </c>
      <c r="G2039" t="str">
        <f>"700065"</f>
        <v>700065</v>
      </c>
      <c r="H2039" t="str">
        <f>"אלתא מערכות בע""מ"</f>
        <v>אלתא מערכות בע"מ</v>
      </c>
      <c r="I2039" t="str">
        <f>"10"</f>
        <v>10</v>
      </c>
      <c r="J2039" t="str">
        <f>"9977"</f>
        <v>9977</v>
      </c>
      <c r="K2039" t="str">
        <f>"קנס פיגור באספקה"</f>
        <v>קנס פיגור באספקה</v>
      </c>
      <c r="L2039">
        <v>1</v>
      </c>
      <c r="M2039" t="str">
        <f>"חל"</f>
        <v>חל</v>
      </c>
      <c r="N2039">
        <v>1</v>
      </c>
      <c r="O2039" t="str">
        <f>"חל"</f>
        <v>חל</v>
      </c>
      <c r="P2039">
        <v>37.880000000000003</v>
      </c>
      <c r="Q2039" t="str">
        <f>"$"</f>
        <v>$</v>
      </c>
      <c r="R2039" t="str">
        <f>"ידני"</f>
        <v>ידני</v>
      </c>
      <c r="S2039">
        <v>0</v>
      </c>
      <c r="T2039">
        <v>37.880000000000003</v>
      </c>
      <c r="U2039">
        <v>0</v>
      </c>
      <c r="V2039">
        <v>37.880000000000003</v>
      </c>
      <c r="W2039" t="str">
        <f>"$"</f>
        <v>$</v>
      </c>
      <c r="X2039">
        <v>0</v>
      </c>
      <c r="Y2039">
        <v>0</v>
      </c>
      <c r="Z2039">
        <v>0</v>
      </c>
      <c r="AA2039" t="str">
        <f>"Y"</f>
        <v>Y</v>
      </c>
      <c r="AC2039">
        <v>0</v>
      </c>
      <c r="AM2039" t="str">
        <f>"10"</f>
        <v>10</v>
      </c>
      <c r="AN2039" t="str">
        <f>"500000"</f>
        <v>500000</v>
      </c>
      <c r="AO2039" t="str">
        <f>"הכנסות  מלקוחות"</f>
        <v>הכנסות  מלקוחות</v>
      </c>
      <c r="AQ2039" t="str">
        <f>"034"</f>
        <v>034</v>
      </c>
      <c r="AR2039">
        <v>0</v>
      </c>
      <c r="AS2039">
        <v>0</v>
      </c>
      <c r="AT2039">
        <v>3.2639999999999998</v>
      </c>
      <c r="BD2039" t="str">
        <f>"ערן שלו"</f>
        <v>ערן שלו</v>
      </c>
    </row>
    <row r="2040" spans="1:56" x14ac:dyDescent="0.3">
      <c r="A2040" s="1">
        <v>44489</v>
      </c>
      <c r="B2040" t="str">
        <f>"CR217000102"</f>
        <v>CR217000102</v>
      </c>
      <c r="E2040" t="str">
        <f>"Y"</f>
        <v>Y</v>
      </c>
      <c r="F2040" t="str">
        <f>"חשבוניות זיכוי"</f>
        <v>חשבוניות זיכוי</v>
      </c>
      <c r="G2040" t="str">
        <f>"700065"</f>
        <v>700065</v>
      </c>
      <c r="H2040" t="str">
        <f>"אלתא מערכות בע""מ"</f>
        <v>אלתא מערכות בע"מ</v>
      </c>
      <c r="I2040" t="str">
        <f>"10"</f>
        <v>10</v>
      </c>
      <c r="J2040" t="str">
        <f>"9977"</f>
        <v>9977</v>
      </c>
      <c r="K2040" t="str">
        <f>"קנס פיגור באספקה"</f>
        <v>קנס פיגור באספקה</v>
      </c>
      <c r="L2040">
        <v>1</v>
      </c>
      <c r="M2040" t="str">
        <f>"חל"</f>
        <v>חל</v>
      </c>
      <c r="N2040">
        <v>1</v>
      </c>
      <c r="O2040" t="str">
        <f>"חל"</f>
        <v>חל</v>
      </c>
      <c r="P2040">
        <v>47.02</v>
      </c>
      <c r="Q2040" t="str">
        <f>"$"</f>
        <v>$</v>
      </c>
      <c r="R2040" t="str">
        <f>"ידני"</f>
        <v>ידני</v>
      </c>
      <c r="S2040">
        <v>0</v>
      </c>
      <c r="T2040">
        <v>47.02</v>
      </c>
      <c r="U2040">
        <v>0</v>
      </c>
      <c r="V2040">
        <v>47.02</v>
      </c>
      <c r="W2040" t="str">
        <f>"$"</f>
        <v>$</v>
      </c>
      <c r="X2040">
        <v>0</v>
      </c>
      <c r="Y2040">
        <v>0</v>
      </c>
      <c r="Z2040">
        <v>0</v>
      </c>
      <c r="AA2040" t="str">
        <f>"Y"</f>
        <v>Y</v>
      </c>
      <c r="AC2040">
        <v>0</v>
      </c>
      <c r="AM2040" t="str">
        <f>"10"</f>
        <v>10</v>
      </c>
      <c r="AN2040" t="str">
        <f>"500000"</f>
        <v>500000</v>
      </c>
      <c r="AO2040" t="str">
        <f>"הכנסות  מלקוחות"</f>
        <v>הכנסות  מלקוחות</v>
      </c>
      <c r="AQ2040" t="str">
        <f>"034"</f>
        <v>034</v>
      </c>
      <c r="AR2040">
        <v>0</v>
      </c>
      <c r="AS2040">
        <v>0</v>
      </c>
      <c r="AT2040">
        <v>3.2879999999999998</v>
      </c>
      <c r="BD2040" t="str">
        <f>"ערן שלו"</f>
        <v>ערן שלו</v>
      </c>
    </row>
    <row r="2041" spans="1:56" x14ac:dyDescent="0.3">
      <c r="A2041" s="1">
        <v>44489</v>
      </c>
      <c r="B2041" t="str">
        <f>"CR217000101"</f>
        <v>CR217000101</v>
      </c>
      <c r="E2041" t="str">
        <f>"Y"</f>
        <v>Y</v>
      </c>
      <c r="F2041" t="str">
        <f>"חשבוניות זיכוי"</f>
        <v>חשבוניות זיכוי</v>
      </c>
      <c r="G2041" t="str">
        <f>"700065"</f>
        <v>700065</v>
      </c>
      <c r="H2041" t="str">
        <f>"אלתא מערכות בע""מ"</f>
        <v>אלתא מערכות בע"מ</v>
      </c>
      <c r="I2041" t="str">
        <f>"10"</f>
        <v>10</v>
      </c>
      <c r="J2041" t="str">
        <f>"9977"</f>
        <v>9977</v>
      </c>
      <c r="K2041" t="str">
        <f>"קנס פיגור באספקה"</f>
        <v>קנס פיגור באספקה</v>
      </c>
      <c r="L2041">
        <v>1</v>
      </c>
      <c r="M2041" t="str">
        <f>"חל"</f>
        <v>חל</v>
      </c>
      <c r="N2041">
        <v>1</v>
      </c>
      <c r="O2041" t="str">
        <f>"חל"</f>
        <v>חל</v>
      </c>
      <c r="P2041">
        <v>74.06</v>
      </c>
      <c r="Q2041" t="str">
        <f>"$"</f>
        <v>$</v>
      </c>
      <c r="R2041" t="str">
        <f>"ידני"</f>
        <v>ידני</v>
      </c>
      <c r="S2041">
        <v>0</v>
      </c>
      <c r="T2041">
        <v>74.06</v>
      </c>
      <c r="U2041">
        <v>0</v>
      </c>
      <c r="V2041">
        <v>74.06</v>
      </c>
      <c r="W2041" t="str">
        <f>"$"</f>
        <v>$</v>
      </c>
      <c r="X2041">
        <v>0</v>
      </c>
      <c r="Y2041">
        <v>0</v>
      </c>
      <c r="Z2041">
        <v>0</v>
      </c>
      <c r="AA2041" t="str">
        <f>"Y"</f>
        <v>Y</v>
      </c>
      <c r="AC2041">
        <v>0</v>
      </c>
      <c r="AM2041" t="str">
        <f>"10"</f>
        <v>10</v>
      </c>
      <c r="AN2041" t="str">
        <f>"500000"</f>
        <v>500000</v>
      </c>
      <c r="AO2041" t="str">
        <f>"הכנסות  מלקוחות"</f>
        <v>הכנסות  מלקוחות</v>
      </c>
      <c r="AQ2041" t="str">
        <f>"034"</f>
        <v>034</v>
      </c>
      <c r="AR2041">
        <v>0</v>
      </c>
      <c r="AS2041">
        <v>0</v>
      </c>
      <c r="AT2041">
        <v>3.2189999999999999</v>
      </c>
      <c r="BD2041" t="str">
        <f>"ערן שלו"</f>
        <v>ערן שלו</v>
      </c>
    </row>
    <row r="2042" spans="1:56" x14ac:dyDescent="0.3">
      <c r="A2042" s="1">
        <v>44489</v>
      </c>
      <c r="B2042" t="str">
        <f>"CR217000100"</f>
        <v>CR217000100</v>
      </c>
      <c r="E2042" t="str">
        <f>"Y"</f>
        <v>Y</v>
      </c>
      <c r="F2042" t="str">
        <f>"חשבוניות זיכוי"</f>
        <v>חשבוניות זיכוי</v>
      </c>
      <c r="G2042" t="str">
        <f>"700065"</f>
        <v>700065</v>
      </c>
      <c r="H2042" t="str">
        <f>"אלתא מערכות בע""מ"</f>
        <v>אלתא מערכות בע"מ</v>
      </c>
      <c r="I2042" t="str">
        <f>"10"</f>
        <v>10</v>
      </c>
      <c r="J2042" t="str">
        <f>"9977"</f>
        <v>9977</v>
      </c>
      <c r="K2042" t="str">
        <f>"קנס פיגור באספקה"</f>
        <v>קנס פיגור באספקה</v>
      </c>
      <c r="L2042">
        <v>1</v>
      </c>
      <c r="M2042" t="str">
        <f>"חל"</f>
        <v>חל</v>
      </c>
      <c r="N2042">
        <v>1</v>
      </c>
      <c r="O2042" t="str">
        <f>"חל"</f>
        <v>חל</v>
      </c>
      <c r="P2042">
        <v>94.76</v>
      </c>
      <c r="Q2042" t="str">
        <f>"$"</f>
        <v>$</v>
      </c>
      <c r="R2042" t="str">
        <f>"ידני"</f>
        <v>ידני</v>
      </c>
      <c r="S2042">
        <v>0</v>
      </c>
      <c r="T2042">
        <v>94.76</v>
      </c>
      <c r="U2042">
        <v>0</v>
      </c>
      <c r="V2042">
        <v>94.76</v>
      </c>
      <c r="W2042" t="str">
        <f>"$"</f>
        <v>$</v>
      </c>
      <c r="X2042">
        <v>0</v>
      </c>
      <c r="Y2042">
        <v>0</v>
      </c>
      <c r="Z2042">
        <v>0</v>
      </c>
      <c r="AA2042" t="str">
        <f>"Y"</f>
        <v>Y</v>
      </c>
      <c r="AC2042">
        <v>0</v>
      </c>
      <c r="AM2042" t="str">
        <f>"10"</f>
        <v>10</v>
      </c>
      <c r="AN2042" t="str">
        <f>"500000"</f>
        <v>500000</v>
      </c>
      <c r="AO2042" t="str">
        <f>"הכנסות  מלקוחות"</f>
        <v>הכנסות  מלקוחות</v>
      </c>
      <c r="AQ2042" t="str">
        <f>"034"</f>
        <v>034</v>
      </c>
      <c r="AR2042">
        <v>0</v>
      </c>
      <c r="AS2042">
        <v>0</v>
      </c>
      <c r="AT2042">
        <v>3.2189999999999999</v>
      </c>
      <c r="BD2042" t="str">
        <f>"ערן שלו"</f>
        <v>ערן שלו</v>
      </c>
    </row>
    <row r="2043" spans="1:56" x14ac:dyDescent="0.3">
      <c r="A2043" s="1">
        <v>44489</v>
      </c>
      <c r="B2043" t="str">
        <f>"CR217000099"</f>
        <v>CR217000099</v>
      </c>
      <c r="E2043" t="str">
        <f>"Y"</f>
        <v>Y</v>
      </c>
      <c r="F2043" t="str">
        <f>"חשבוניות זיכוי"</f>
        <v>חשבוניות זיכוי</v>
      </c>
      <c r="G2043" t="str">
        <f>"700065"</f>
        <v>700065</v>
      </c>
      <c r="H2043" t="str">
        <f>"אלתא מערכות בע""מ"</f>
        <v>אלתא מערכות בע"מ</v>
      </c>
      <c r="I2043" t="str">
        <f>"10"</f>
        <v>10</v>
      </c>
      <c r="J2043" t="str">
        <f>"9977"</f>
        <v>9977</v>
      </c>
      <c r="K2043" t="str">
        <f>"קנס פיגור באספקה"</f>
        <v>קנס פיגור באספקה</v>
      </c>
      <c r="L2043">
        <v>1</v>
      </c>
      <c r="M2043" t="str">
        <f>"חל"</f>
        <v>חל</v>
      </c>
      <c r="N2043">
        <v>1</v>
      </c>
      <c r="O2043" t="str">
        <f>"חל"</f>
        <v>חל</v>
      </c>
      <c r="P2043">
        <v>107.64</v>
      </c>
      <c r="Q2043" t="str">
        <f>"$"</f>
        <v>$</v>
      </c>
      <c r="R2043" t="str">
        <f>"ידני"</f>
        <v>ידני</v>
      </c>
      <c r="S2043">
        <v>0</v>
      </c>
      <c r="T2043">
        <v>107.64</v>
      </c>
      <c r="U2043">
        <v>0</v>
      </c>
      <c r="V2043">
        <v>107.64</v>
      </c>
      <c r="W2043" t="str">
        <f>"$"</f>
        <v>$</v>
      </c>
      <c r="X2043">
        <v>0</v>
      </c>
      <c r="Y2043">
        <v>0</v>
      </c>
      <c r="Z2043">
        <v>0</v>
      </c>
      <c r="AA2043" t="str">
        <f>"Y"</f>
        <v>Y</v>
      </c>
      <c r="AC2043">
        <v>0</v>
      </c>
      <c r="AM2043" t="str">
        <f>"10"</f>
        <v>10</v>
      </c>
      <c r="AN2043" t="str">
        <f>"500000"</f>
        <v>500000</v>
      </c>
      <c r="AO2043" t="str">
        <f>"הכנסות  מלקוחות"</f>
        <v>הכנסות  מלקוחות</v>
      </c>
      <c r="AQ2043" t="str">
        <f>"034"</f>
        <v>034</v>
      </c>
      <c r="AR2043">
        <v>0</v>
      </c>
      <c r="AS2043">
        <v>0</v>
      </c>
      <c r="AT2043">
        <v>3.2189999999999999</v>
      </c>
      <c r="BD2043" t="str">
        <f>"ערן שלו"</f>
        <v>ערן שלו</v>
      </c>
    </row>
    <row r="2044" spans="1:56" x14ac:dyDescent="0.3">
      <c r="A2044" s="1">
        <v>44489</v>
      </c>
      <c r="B2044" t="str">
        <f>"CR217000098"</f>
        <v>CR217000098</v>
      </c>
      <c r="E2044" t="str">
        <f>"Y"</f>
        <v>Y</v>
      </c>
      <c r="F2044" t="str">
        <f>"חשבוניות זיכוי"</f>
        <v>חשבוניות זיכוי</v>
      </c>
      <c r="G2044" t="str">
        <f>"700065"</f>
        <v>700065</v>
      </c>
      <c r="H2044" t="str">
        <f>"אלתא מערכות בע""מ"</f>
        <v>אלתא מערכות בע"מ</v>
      </c>
      <c r="I2044" t="str">
        <f>"10"</f>
        <v>10</v>
      </c>
      <c r="J2044" t="str">
        <f>"9977"</f>
        <v>9977</v>
      </c>
      <c r="K2044" t="str">
        <f>"קנס פיגור באספקה"</f>
        <v>קנס פיגור באספקה</v>
      </c>
      <c r="L2044">
        <v>1</v>
      </c>
      <c r="M2044" t="str">
        <f>"חל"</f>
        <v>חל</v>
      </c>
      <c r="N2044">
        <v>1</v>
      </c>
      <c r="O2044" t="str">
        <f>"חל"</f>
        <v>חל</v>
      </c>
      <c r="P2044">
        <v>118.42</v>
      </c>
      <c r="Q2044" t="str">
        <f>"$"</f>
        <v>$</v>
      </c>
      <c r="R2044" t="str">
        <f>"ידני"</f>
        <v>ידני</v>
      </c>
      <c r="S2044">
        <v>0</v>
      </c>
      <c r="T2044">
        <v>118.42</v>
      </c>
      <c r="U2044">
        <v>0</v>
      </c>
      <c r="V2044">
        <v>118.42</v>
      </c>
      <c r="W2044" t="str">
        <f>"$"</f>
        <v>$</v>
      </c>
      <c r="X2044">
        <v>0</v>
      </c>
      <c r="Y2044">
        <v>0</v>
      </c>
      <c r="Z2044">
        <v>0</v>
      </c>
      <c r="AA2044" t="str">
        <f>"Y"</f>
        <v>Y</v>
      </c>
      <c r="AC2044">
        <v>0</v>
      </c>
      <c r="AM2044" t="str">
        <f>"10"</f>
        <v>10</v>
      </c>
      <c r="AN2044" t="str">
        <f>"500000"</f>
        <v>500000</v>
      </c>
      <c r="AO2044" t="str">
        <f>"הכנסות  מלקוחות"</f>
        <v>הכנסות  מלקוחות</v>
      </c>
      <c r="AQ2044" t="str">
        <f>"034"</f>
        <v>034</v>
      </c>
      <c r="AR2044">
        <v>0</v>
      </c>
      <c r="AS2044">
        <v>0</v>
      </c>
      <c r="AT2044">
        <v>3.2909999999999999</v>
      </c>
      <c r="BD2044" t="str">
        <f>"ערן שלו"</f>
        <v>ערן שלו</v>
      </c>
    </row>
    <row r="2045" spans="1:56" x14ac:dyDescent="0.3">
      <c r="A2045" s="1">
        <v>44489</v>
      </c>
      <c r="B2045" t="str">
        <f>"CR217000097"</f>
        <v>CR217000097</v>
      </c>
      <c r="E2045" t="str">
        <f>"Y"</f>
        <v>Y</v>
      </c>
      <c r="F2045" t="str">
        <f>"חשבוניות זיכוי"</f>
        <v>חשבוניות זיכוי</v>
      </c>
      <c r="G2045" t="str">
        <f>"700065"</f>
        <v>700065</v>
      </c>
      <c r="H2045" t="str">
        <f>"אלתא מערכות בע""מ"</f>
        <v>אלתא מערכות בע"מ</v>
      </c>
      <c r="I2045" t="str">
        <f>"10"</f>
        <v>10</v>
      </c>
      <c r="J2045" t="str">
        <f>"9977"</f>
        <v>9977</v>
      </c>
      <c r="K2045" t="str">
        <f>"קנס פיגור באספקה"</f>
        <v>קנס פיגור באספקה</v>
      </c>
      <c r="L2045">
        <v>1</v>
      </c>
      <c r="M2045" t="str">
        <f>"חל"</f>
        <v>חל</v>
      </c>
      <c r="N2045">
        <v>1</v>
      </c>
      <c r="O2045" t="str">
        <f>"חל"</f>
        <v>חל</v>
      </c>
      <c r="P2045">
        <v>138.84</v>
      </c>
      <c r="Q2045" t="str">
        <f>"$"</f>
        <v>$</v>
      </c>
      <c r="R2045" t="str">
        <f>"ידני"</f>
        <v>ידני</v>
      </c>
      <c r="S2045">
        <v>0</v>
      </c>
      <c r="T2045">
        <v>138.84</v>
      </c>
      <c r="U2045">
        <v>0</v>
      </c>
      <c r="V2045">
        <v>138.84</v>
      </c>
      <c r="W2045" t="str">
        <f>"$"</f>
        <v>$</v>
      </c>
      <c r="X2045">
        <v>0</v>
      </c>
      <c r="Y2045">
        <v>0</v>
      </c>
      <c r="Z2045">
        <v>0</v>
      </c>
      <c r="AA2045" t="str">
        <f>"Y"</f>
        <v>Y</v>
      </c>
      <c r="AC2045">
        <v>0</v>
      </c>
      <c r="AM2045" t="str">
        <f>"10"</f>
        <v>10</v>
      </c>
      <c r="AN2045" t="str">
        <f>"500000"</f>
        <v>500000</v>
      </c>
      <c r="AO2045" t="str">
        <f>"הכנסות  מלקוחות"</f>
        <v>הכנסות  מלקוחות</v>
      </c>
      <c r="AQ2045" t="str">
        <f>"034"</f>
        <v>034</v>
      </c>
      <c r="AR2045">
        <v>0</v>
      </c>
      <c r="AS2045">
        <v>0</v>
      </c>
      <c r="AT2045">
        <v>3.28</v>
      </c>
      <c r="BD2045" t="str">
        <f>"ערן שלו"</f>
        <v>ערן שלו</v>
      </c>
    </row>
    <row r="2046" spans="1:56" x14ac:dyDescent="0.3">
      <c r="A2046" s="1">
        <v>44489</v>
      </c>
      <c r="B2046" t="str">
        <f>"CR217000096"</f>
        <v>CR217000096</v>
      </c>
      <c r="E2046" t="str">
        <f>"Y"</f>
        <v>Y</v>
      </c>
      <c r="F2046" t="str">
        <f>"חשבוניות זיכוי"</f>
        <v>חשבוניות זיכוי</v>
      </c>
      <c r="G2046" t="str">
        <f>"700065"</f>
        <v>700065</v>
      </c>
      <c r="H2046" t="str">
        <f>"אלתא מערכות בע""מ"</f>
        <v>אלתא מערכות בע"מ</v>
      </c>
      <c r="I2046" t="str">
        <f>"10"</f>
        <v>10</v>
      </c>
      <c r="J2046" t="str">
        <f>"9977"</f>
        <v>9977</v>
      </c>
      <c r="K2046" t="str">
        <f>"קנס פיגור באספקה"</f>
        <v>קנס פיגור באספקה</v>
      </c>
      <c r="L2046">
        <v>1</v>
      </c>
      <c r="M2046" t="str">
        <f>"חל"</f>
        <v>חל</v>
      </c>
      <c r="N2046">
        <v>1</v>
      </c>
      <c r="O2046" t="str">
        <f>"חל"</f>
        <v>חל</v>
      </c>
      <c r="P2046">
        <v>143.24</v>
      </c>
      <c r="Q2046" t="str">
        <f>"$"</f>
        <v>$</v>
      </c>
      <c r="R2046" t="str">
        <f>"ידני"</f>
        <v>ידני</v>
      </c>
      <c r="S2046">
        <v>0</v>
      </c>
      <c r="T2046">
        <v>143.24</v>
      </c>
      <c r="U2046">
        <v>0</v>
      </c>
      <c r="V2046">
        <v>143.24</v>
      </c>
      <c r="W2046" t="str">
        <f>"$"</f>
        <v>$</v>
      </c>
      <c r="X2046">
        <v>0</v>
      </c>
      <c r="Y2046">
        <v>0</v>
      </c>
      <c r="Z2046">
        <v>0</v>
      </c>
      <c r="AA2046" t="str">
        <f>"Y"</f>
        <v>Y</v>
      </c>
      <c r="AC2046">
        <v>0</v>
      </c>
      <c r="AM2046" t="str">
        <f>"10"</f>
        <v>10</v>
      </c>
      <c r="AN2046" t="str">
        <f>"500000"</f>
        <v>500000</v>
      </c>
      <c r="AO2046" t="str">
        <f>"הכנסות  מלקוחות"</f>
        <v>הכנסות  מלקוחות</v>
      </c>
      <c r="AQ2046" t="str">
        <f>"034"</f>
        <v>034</v>
      </c>
      <c r="AR2046">
        <v>0</v>
      </c>
      <c r="AS2046">
        <v>0</v>
      </c>
      <c r="AT2046">
        <v>3.2909999999999999</v>
      </c>
      <c r="BD2046" t="str">
        <f>"ערן שלו"</f>
        <v>ערן שלו</v>
      </c>
    </row>
    <row r="2047" spans="1:56" x14ac:dyDescent="0.3">
      <c r="A2047" s="1">
        <v>44489</v>
      </c>
      <c r="B2047" t="str">
        <f>"CR217000095"</f>
        <v>CR217000095</v>
      </c>
      <c r="E2047" t="str">
        <f>"Y"</f>
        <v>Y</v>
      </c>
      <c r="F2047" t="str">
        <f>"חשבוניות זיכוי"</f>
        <v>חשבוניות זיכוי</v>
      </c>
      <c r="G2047" t="str">
        <f>"700065"</f>
        <v>700065</v>
      </c>
      <c r="H2047" t="str">
        <f>"אלתא מערכות בע""מ"</f>
        <v>אלתא מערכות בע"מ</v>
      </c>
      <c r="I2047" t="str">
        <f>"10"</f>
        <v>10</v>
      </c>
      <c r="J2047" t="str">
        <f>"9977"</f>
        <v>9977</v>
      </c>
      <c r="K2047" t="str">
        <f>"קנס פיגור באספקה"</f>
        <v>קנס פיגור באספקה</v>
      </c>
      <c r="L2047">
        <v>1</v>
      </c>
      <c r="M2047" t="str">
        <f>"חל"</f>
        <v>חל</v>
      </c>
      <c r="N2047">
        <v>1</v>
      </c>
      <c r="O2047" t="str">
        <f>"חל"</f>
        <v>חל</v>
      </c>
      <c r="P2047">
        <v>158.30000000000001</v>
      </c>
      <c r="Q2047" t="str">
        <f>"$"</f>
        <v>$</v>
      </c>
      <c r="R2047" t="str">
        <f>"ידני"</f>
        <v>ידני</v>
      </c>
      <c r="S2047">
        <v>0</v>
      </c>
      <c r="T2047">
        <v>158.30000000000001</v>
      </c>
      <c r="U2047">
        <v>0</v>
      </c>
      <c r="V2047">
        <v>158.30000000000001</v>
      </c>
      <c r="W2047" t="str">
        <f>"$"</f>
        <v>$</v>
      </c>
      <c r="X2047">
        <v>0</v>
      </c>
      <c r="Y2047">
        <v>0</v>
      </c>
      <c r="Z2047">
        <v>0</v>
      </c>
      <c r="AA2047" t="str">
        <f>"Y"</f>
        <v>Y</v>
      </c>
      <c r="AC2047">
        <v>0</v>
      </c>
      <c r="AM2047" t="str">
        <f>"10"</f>
        <v>10</v>
      </c>
      <c r="AN2047" t="str">
        <f>"500000"</f>
        <v>500000</v>
      </c>
      <c r="AO2047" t="str">
        <f>"הכנסות  מלקוחות"</f>
        <v>הכנסות  מלקוחות</v>
      </c>
      <c r="AQ2047" t="str">
        <f>"034"</f>
        <v>034</v>
      </c>
      <c r="AR2047">
        <v>0</v>
      </c>
      <c r="AS2047">
        <v>0</v>
      </c>
      <c r="AT2047">
        <v>3.2639999999999998</v>
      </c>
      <c r="BD2047" t="str">
        <f>"ערן שלו"</f>
        <v>ערן שלו</v>
      </c>
    </row>
    <row r="2048" spans="1:56" x14ac:dyDescent="0.3">
      <c r="A2048" s="1">
        <v>44489</v>
      </c>
      <c r="B2048" t="str">
        <f>"CR217000094"</f>
        <v>CR217000094</v>
      </c>
      <c r="E2048" t="str">
        <f>"Y"</f>
        <v>Y</v>
      </c>
      <c r="F2048" t="str">
        <f>"חשבוניות זיכוי"</f>
        <v>חשבוניות זיכוי</v>
      </c>
      <c r="G2048" t="str">
        <f>"700065"</f>
        <v>700065</v>
      </c>
      <c r="H2048" t="str">
        <f>"אלתא מערכות בע""מ"</f>
        <v>אלתא מערכות בע"מ</v>
      </c>
      <c r="I2048" t="str">
        <f>"10"</f>
        <v>10</v>
      </c>
      <c r="J2048" t="str">
        <f>"9977"</f>
        <v>9977</v>
      </c>
      <c r="K2048" t="str">
        <f>"קנס אספקה בפיגור"</f>
        <v>קנס אספקה בפיגור</v>
      </c>
      <c r="L2048">
        <v>1</v>
      </c>
      <c r="M2048" t="str">
        <f>"חל"</f>
        <v>חל</v>
      </c>
      <c r="N2048">
        <v>1</v>
      </c>
      <c r="O2048" t="str">
        <f>"חל"</f>
        <v>חל</v>
      </c>
      <c r="P2048">
        <v>163.58000000000001</v>
      </c>
      <c r="Q2048" t="str">
        <f>"$"</f>
        <v>$</v>
      </c>
      <c r="R2048" t="str">
        <f>"ידני"</f>
        <v>ידני</v>
      </c>
      <c r="S2048">
        <v>0</v>
      </c>
      <c r="T2048">
        <v>163.58000000000001</v>
      </c>
      <c r="U2048">
        <v>0</v>
      </c>
      <c r="V2048">
        <v>163.58000000000001</v>
      </c>
      <c r="W2048" t="str">
        <f>"$"</f>
        <v>$</v>
      </c>
      <c r="X2048">
        <v>0</v>
      </c>
      <c r="Y2048">
        <v>0</v>
      </c>
      <c r="Z2048">
        <v>0</v>
      </c>
      <c r="AA2048" t="str">
        <f>"Y"</f>
        <v>Y</v>
      </c>
      <c r="AC2048">
        <v>0</v>
      </c>
      <c r="AM2048" t="str">
        <f>"10"</f>
        <v>10</v>
      </c>
      <c r="AN2048" t="str">
        <f>"500000"</f>
        <v>500000</v>
      </c>
      <c r="AO2048" t="str">
        <f>"הכנסות  מלקוחות"</f>
        <v>הכנסות  מלקוחות</v>
      </c>
      <c r="AQ2048" t="str">
        <f>"034"</f>
        <v>034</v>
      </c>
      <c r="AR2048">
        <v>0</v>
      </c>
      <c r="AS2048">
        <v>0</v>
      </c>
      <c r="AT2048">
        <v>3.2639999999999998</v>
      </c>
      <c r="BD2048" t="str">
        <f>"ערן שלו"</f>
        <v>ערן שלו</v>
      </c>
    </row>
    <row r="2049" spans="1:56" x14ac:dyDescent="0.3">
      <c r="A2049" s="1">
        <v>44489</v>
      </c>
      <c r="B2049" t="str">
        <f>"CR217000093"</f>
        <v>CR217000093</v>
      </c>
      <c r="E2049" t="str">
        <f>"Y"</f>
        <v>Y</v>
      </c>
      <c r="F2049" t="str">
        <f>"חשבוניות זיכוי"</f>
        <v>חשבוניות זיכוי</v>
      </c>
      <c r="G2049" t="str">
        <f>"700065"</f>
        <v>700065</v>
      </c>
      <c r="H2049" t="str">
        <f>"אלתא מערכות בע""מ"</f>
        <v>אלתא מערכות בע"מ</v>
      </c>
      <c r="I2049" t="str">
        <f>"10"</f>
        <v>10</v>
      </c>
      <c r="J2049" t="str">
        <f>"9977"</f>
        <v>9977</v>
      </c>
      <c r="K2049" t="str">
        <f>"קנס פיגור באספקה"</f>
        <v>קנס פיגור באספקה</v>
      </c>
      <c r="L2049">
        <v>1</v>
      </c>
      <c r="M2049" t="str">
        <f>"חל"</f>
        <v>חל</v>
      </c>
      <c r="N2049">
        <v>1</v>
      </c>
      <c r="O2049" t="str">
        <f>"חל"</f>
        <v>חל</v>
      </c>
      <c r="P2049">
        <v>240.56</v>
      </c>
      <c r="Q2049" t="str">
        <f>"$"</f>
        <v>$</v>
      </c>
      <c r="R2049" t="str">
        <f>"ידני"</f>
        <v>ידני</v>
      </c>
      <c r="S2049">
        <v>0</v>
      </c>
      <c r="T2049">
        <v>240.56</v>
      </c>
      <c r="U2049">
        <v>0</v>
      </c>
      <c r="V2049">
        <v>240.56</v>
      </c>
      <c r="W2049" t="str">
        <f>"$"</f>
        <v>$</v>
      </c>
      <c r="X2049">
        <v>0</v>
      </c>
      <c r="Y2049">
        <v>0</v>
      </c>
      <c r="Z2049">
        <v>0</v>
      </c>
      <c r="AA2049" t="str">
        <f>"Y"</f>
        <v>Y</v>
      </c>
      <c r="AC2049">
        <v>0</v>
      </c>
      <c r="AM2049" t="str">
        <f>"10"</f>
        <v>10</v>
      </c>
      <c r="AN2049" t="str">
        <f>"500000"</f>
        <v>500000</v>
      </c>
      <c r="AO2049" t="str">
        <f>"הכנסות  מלקוחות"</f>
        <v>הכנסות  מלקוחות</v>
      </c>
      <c r="AQ2049" t="str">
        <f>"034"</f>
        <v>034</v>
      </c>
      <c r="AR2049">
        <v>0</v>
      </c>
      <c r="AS2049">
        <v>0</v>
      </c>
      <c r="AT2049">
        <v>3.2909999999999999</v>
      </c>
      <c r="BD2049" t="str">
        <f>"ערן שלו"</f>
        <v>ערן שלו</v>
      </c>
    </row>
    <row r="2050" spans="1:56" x14ac:dyDescent="0.3">
      <c r="A2050" s="1">
        <v>44489</v>
      </c>
      <c r="B2050" t="str">
        <f>"CR217000092"</f>
        <v>CR217000092</v>
      </c>
      <c r="E2050" t="str">
        <f>"Y"</f>
        <v>Y</v>
      </c>
      <c r="F2050" t="str">
        <f>"חשבוניות זיכוי"</f>
        <v>חשבוניות זיכוי</v>
      </c>
      <c r="G2050" t="str">
        <f>"700065"</f>
        <v>700065</v>
      </c>
      <c r="H2050" t="str">
        <f>"אלתא מערכות בע""מ"</f>
        <v>אלתא מערכות בע"מ</v>
      </c>
      <c r="I2050" t="str">
        <f>"10"</f>
        <v>10</v>
      </c>
      <c r="J2050" t="str">
        <f>"9977"</f>
        <v>9977</v>
      </c>
      <c r="K2050" t="str">
        <f>"קנס פיגור באספקה"</f>
        <v>קנס פיגור באספקה</v>
      </c>
      <c r="L2050">
        <v>1</v>
      </c>
      <c r="M2050" t="str">
        <f>"חל"</f>
        <v>חל</v>
      </c>
      <c r="N2050">
        <v>1</v>
      </c>
      <c r="O2050" t="str">
        <f>"חל"</f>
        <v>חל</v>
      </c>
      <c r="P2050">
        <v>264.32</v>
      </c>
      <c r="Q2050" t="str">
        <f>"$"</f>
        <v>$</v>
      </c>
      <c r="R2050" t="str">
        <f>"ידני"</f>
        <v>ידני</v>
      </c>
      <c r="S2050">
        <v>0</v>
      </c>
      <c r="T2050">
        <v>264.32</v>
      </c>
      <c r="U2050">
        <v>0</v>
      </c>
      <c r="V2050">
        <v>264.32</v>
      </c>
      <c r="W2050" t="str">
        <f>"$"</f>
        <v>$</v>
      </c>
      <c r="X2050">
        <v>0</v>
      </c>
      <c r="Y2050">
        <v>0</v>
      </c>
      <c r="Z2050">
        <v>0</v>
      </c>
      <c r="AA2050" t="str">
        <f>"Y"</f>
        <v>Y</v>
      </c>
      <c r="AC2050">
        <v>0</v>
      </c>
      <c r="AM2050" t="str">
        <f>"10"</f>
        <v>10</v>
      </c>
      <c r="AN2050" t="str">
        <f>"500000"</f>
        <v>500000</v>
      </c>
      <c r="AO2050" t="str">
        <f>"הכנסות  מלקוחות"</f>
        <v>הכנסות  מלקוחות</v>
      </c>
      <c r="AQ2050" t="str">
        <f>"034"</f>
        <v>034</v>
      </c>
      <c r="AR2050">
        <v>0</v>
      </c>
      <c r="AS2050">
        <v>0</v>
      </c>
      <c r="AT2050">
        <v>3.2909999999999999</v>
      </c>
      <c r="BD2050" t="str">
        <f>"ערן שלו"</f>
        <v>ערן שלו</v>
      </c>
    </row>
    <row r="2051" spans="1:56" x14ac:dyDescent="0.3">
      <c r="A2051" s="1">
        <v>44489</v>
      </c>
      <c r="B2051" t="str">
        <f>"CR217000091"</f>
        <v>CR217000091</v>
      </c>
      <c r="E2051" t="str">
        <f>"Y"</f>
        <v>Y</v>
      </c>
      <c r="F2051" t="str">
        <f>"חשבוניות זיכוי"</f>
        <v>חשבוניות זיכוי</v>
      </c>
      <c r="G2051" t="str">
        <f>"700065"</f>
        <v>700065</v>
      </c>
      <c r="H2051" t="str">
        <f>"אלתא מערכות בע""מ"</f>
        <v>אלתא מערכות בע"מ</v>
      </c>
      <c r="I2051" t="str">
        <f>"10"</f>
        <v>10</v>
      </c>
      <c r="J2051" t="str">
        <f>"9977"</f>
        <v>9977</v>
      </c>
      <c r="K2051" t="str">
        <f>"קנס פיגור באספקה"</f>
        <v>קנס פיגור באספקה</v>
      </c>
      <c r="L2051">
        <v>1</v>
      </c>
      <c r="M2051" t="str">
        <f>"חל"</f>
        <v>חל</v>
      </c>
      <c r="N2051">
        <v>1</v>
      </c>
      <c r="O2051" t="str">
        <f>"חל"</f>
        <v>חל</v>
      </c>
      <c r="P2051">
        <v>415.47</v>
      </c>
      <c r="Q2051" t="str">
        <f>"$"</f>
        <v>$</v>
      </c>
      <c r="R2051" t="str">
        <f>"ידני"</f>
        <v>ידני</v>
      </c>
      <c r="S2051">
        <v>0</v>
      </c>
      <c r="T2051">
        <v>415.47</v>
      </c>
      <c r="U2051">
        <v>0</v>
      </c>
      <c r="V2051">
        <v>415.47</v>
      </c>
      <c r="W2051" t="str">
        <f>"$"</f>
        <v>$</v>
      </c>
      <c r="X2051">
        <v>0</v>
      </c>
      <c r="Y2051">
        <v>0</v>
      </c>
      <c r="Z2051">
        <v>0</v>
      </c>
      <c r="AA2051" t="str">
        <f>"Y"</f>
        <v>Y</v>
      </c>
      <c r="AC2051">
        <v>0</v>
      </c>
      <c r="AM2051" t="str">
        <f>"10"</f>
        <v>10</v>
      </c>
      <c r="AN2051" t="str">
        <f>"500000"</f>
        <v>500000</v>
      </c>
      <c r="AO2051" t="str">
        <f>"הכנסות  מלקוחות"</f>
        <v>הכנסות  מלקוחות</v>
      </c>
      <c r="AQ2051" t="str">
        <f>"034"</f>
        <v>034</v>
      </c>
      <c r="AR2051">
        <v>0</v>
      </c>
      <c r="AS2051">
        <v>0</v>
      </c>
      <c r="AT2051">
        <v>3.2909999999999999</v>
      </c>
      <c r="BD2051" t="str">
        <f>"ערן שלו"</f>
        <v>ערן שלו</v>
      </c>
    </row>
    <row r="2052" spans="1:56" x14ac:dyDescent="0.3">
      <c r="A2052" s="1">
        <v>44489</v>
      </c>
      <c r="B2052" t="str">
        <f>"CR217000090"</f>
        <v>CR217000090</v>
      </c>
      <c r="E2052" t="str">
        <f>"Y"</f>
        <v>Y</v>
      </c>
      <c r="F2052" t="str">
        <f>"חשבוניות זיכוי"</f>
        <v>חשבוניות זיכוי</v>
      </c>
      <c r="G2052" t="str">
        <f>"700065"</f>
        <v>700065</v>
      </c>
      <c r="H2052" t="str">
        <f>"אלתא מערכות בע""מ"</f>
        <v>אלתא מערכות בע"מ</v>
      </c>
      <c r="I2052" t="str">
        <f>"10"</f>
        <v>10</v>
      </c>
      <c r="J2052" t="str">
        <f>"OP-AR02031"</f>
        <v>OP-AR02031</v>
      </c>
      <c r="K2052" t="str">
        <f>"4030H112-001/- HARNESS W112"</f>
        <v>4030H112-001/- HARNESS W112</v>
      </c>
      <c r="L2052">
        <v>1</v>
      </c>
      <c r="M2052" t="str">
        <f>"יח"</f>
        <v>יח</v>
      </c>
      <c r="N2052">
        <v>1</v>
      </c>
      <c r="O2052" t="str">
        <f>"יח"</f>
        <v>יח</v>
      </c>
      <c r="P2052">
        <v>645.66</v>
      </c>
      <c r="Q2052" t="str">
        <f>"$"</f>
        <v>$</v>
      </c>
      <c r="R2052" t="str">
        <f>"ידני"</f>
        <v>ידני</v>
      </c>
      <c r="S2052">
        <v>0</v>
      </c>
      <c r="T2052">
        <v>645.66</v>
      </c>
      <c r="U2052">
        <v>0</v>
      </c>
      <c r="V2052">
        <v>645.66</v>
      </c>
      <c r="W2052" t="str">
        <f>"$"</f>
        <v>$</v>
      </c>
      <c r="X2052">
        <v>0</v>
      </c>
      <c r="Y2052">
        <v>0</v>
      </c>
      <c r="Z2052">
        <v>0</v>
      </c>
      <c r="AA2052" t="str">
        <f>"Y"</f>
        <v>Y</v>
      </c>
      <c r="AC2052">
        <v>0</v>
      </c>
      <c r="AM2052" t="str">
        <f>"10"</f>
        <v>10</v>
      </c>
      <c r="AN2052" t="str">
        <f>"500000"</f>
        <v>500000</v>
      </c>
      <c r="AO2052" t="str">
        <f>"הכנסות  מלקוחות"</f>
        <v>הכנסות  מלקוחות</v>
      </c>
      <c r="AQ2052" t="str">
        <f>"034"</f>
        <v>034</v>
      </c>
      <c r="AR2052">
        <v>0</v>
      </c>
      <c r="AS2052">
        <v>0</v>
      </c>
      <c r="AT2052">
        <v>3.2639999999999998</v>
      </c>
      <c r="BD2052" t="str">
        <f>"ערן שלו"</f>
        <v>ערן שלו</v>
      </c>
    </row>
    <row r="2053" spans="1:56" x14ac:dyDescent="0.3">
      <c r="A2053" s="1">
        <v>44489</v>
      </c>
      <c r="B2053" t="str">
        <f>"CR217000089"</f>
        <v>CR217000089</v>
      </c>
      <c r="E2053" t="str">
        <f>"Y"</f>
        <v>Y</v>
      </c>
      <c r="F2053" t="str">
        <f>"חשבוניות זיכוי"</f>
        <v>חשבוניות זיכוי</v>
      </c>
      <c r="G2053" t="str">
        <f>"700065"</f>
        <v>700065</v>
      </c>
      <c r="H2053" t="str">
        <f>"אלתא מערכות בע""מ"</f>
        <v>אלתא מערכות בע"מ</v>
      </c>
      <c r="I2053" t="str">
        <f>"10"</f>
        <v>10</v>
      </c>
      <c r="J2053" t="str">
        <f>"OP-AR01919"</f>
        <v>OP-AR01919</v>
      </c>
      <c r="K2053" t="str">
        <f>"1013P130-003 CABLE ASSY 1W47"</f>
        <v>1013P130-003 CABLE ASSY 1W47</v>
      </c>
      <c r="L2053">
        <v>1</v>
      </c>
      <c r="M2053" t="str">
        <f>"יח"</f>
        <v>יח</v>
      </c>
      <c r="N2053">
        <v>1</v>
      </c>
      <c r="O2053" t="str">
        <f>"יח"</f>
        <v>יח</v>
      </c>
      <c r="P2053" s="2">
        <v>2303.2800000000002</v>
      </c>
      <c r="Q2053" t="str">
        <f>"$"</f>
        <v>$</v>
      </c>
      <c r="R2053" t="str">
        <f>"ידני"</f>
        <v>ידני</v>
      </c>
      <c r="S2053">
        <v>0</v>
      </c>
      <c r="T2053" s="2">
        <v>2303.2800000000002</v>
      </c>
      <c r="U2053">
        <v>0</v>
      </c>
      <c r="V2053" s="2">
        <v>2303.2800000000002</v>
      </c>
      <c r="W2053" t="str">
        <f>"$"</f>
        <v>$</v>
      </c>
      <c r="X2053">
        <v>0</v>
      </c>
      <c r="Y2053">
        <v>0</v>
      </c>
      <c r="Z2053">
        <v>0</v>
      </c>
      <c r="AA2053" t="str">
        <f>"Y"</f>
        <v>Y</v>
      </c>
      <c r="AC2053">
        <v>0</v>
      </c>
      <c r="AM2053" t="str">
        <f>"10"</f>
        <v>10</v>
      </c>
      <c r="AN2053" t="str">
        <f>"500000"</f>
        <v>500000</v>
      </c>
      <c r="AO2053" t="str">
        <f>"הכנסות  מלקוחות"</f>
        <v>הכנסות  מלקוחות</v>
      </c>
      <c r="AQ2053" t="str">
        <f>"034"</f>
        <v>034</v>
      </c>
      <c r="AR2053">
        <v>0</v>
      </c>
      <c r="AS2053">
        <v>0</v>
      </c>
      <c r="AT2053">
        <v>3.28</v>
      </c>
      <c r="BD2053" t="str">
        <f>"ערן שלו"</f>
        <v>ערן שלו</v>
      </c>
    </row>
    <row r="2054" spans="1:56" x14ac:dyDescent="0.3">
      <c r="A2054" s="1">
        <v>44489</v>
      </c>
      <c r="B2054" t="str">
        <f>"CR217000087"</f>
        <v>CR217000087</v>
      </c>
      <c r="E2054" t="str">
        <f>"Y"</f>
        <v>Y</v>
      </c>
      <c r="F2054" t="str">
        <f>"חשבוניות זיכוי"</f>
        <v>חשבוניות זיכוי</v>
      </c>
      <c r="G2054" t="str">
        <f>"700065"</f>
        <v>700065</v>
      </c>
      <c r="H2054" t="str">
        <f>"אלתא מערכות בע""מ"</f>
        <v>אלתא מערכות בע"מ</v>
      </c>
      <c r="I2054" t="str">
        <f>"10"</f>
        <v>10</v>
      </c>
      <c r="J2054" t="str">
        <f>"9977"</f>
        <v>9977</v>
      </c>
      <c r="K2054" t="str">
        <f>"קנס פיגור באספקה"</f>
        <v>קנס פיגור באספקה</v>
      </c>
      <c r="L2054">
        <v>1</v>
      </c>
      <c r="M2054" t="str">
        <f>"חל"</f>
        <v>חל</v>
      </c>
      <c r="N2054">
        <v>1</v>
      </c>
      <c r="O2054" t="str">
        <f>"חל"</f>
        <v>חל</v>
      </c>
      <c r="P2054">
        <v>23.49</v>
      </c>
      <c r="Q2054" t="str">
        <f>"$"</f>
        <v>$</v>
      </c>
      <c r="R2054" t="str">
        <f>"ידני"</f>
        <v>ידני</v>
      </c>
      <c r="S2054">
        <v>0</v>
      </c>
      <c r="T2054">
        <v>23.49</v>
      </c>
      <c r="U2054">
        <v>0</v>
      </c>
      <c r="V2054">
        <v>23.49</v>
      </c>
      <c r="W2054" t="str">
        <f>"$"</f>
        <v>$</v>
      </c>
      <c r="X2054">
        <v>0</v>
      </c>
      <c r="Y2054">
        <v>0</v>
      </c>
      <c r="Z2054">
        <v>0</v>
      </c>
      <c r="AA2054" t="str">
        <f>"Y"</f>
        <v>Y</v>
      </c>
      <c r="AC2054">
        <v>0</v>
      </c>
      <c r="AM2054" t="str">
        <f>"10"</f>
        <v>10</v>
      </c>
      <c r="AN2054" t="str">
        <f>"500000"</f>
        <v>500000</v>
      </c>
      <c r="AO2054" t="str">
        <f>"הכנסות  מלקוחות"</f>
        <v>הכנסות  מלקוחות</v>
      </c>
      <c r="AQ2054" t="str">
        <f>"034"</f>
        <v>034</v>
      </c>
      <c r="AR2054">
        <v>0</v>
      </c>
      <c r="AS2054">
        <v>0</v>
      </c>
      <c r="AT2054">
        <v>3.1869999999999998</v>
      </c>
      <c r="BD2054" t="str">
        <f>"ערן שלו"</f>
        <v>ערן שלו</v>
      </c>
    </row>
    <row r="2055" spans="1:56" x14ac:dyDescent="0.3">
      <c r="A2055" s="1">
        <v>44489</v>
      </c>
      <c r="B2055" t="str">
        <f>"CR217000086"</f>
        <v>CR217000086</v>
      </c>
      <c r="E2055" t="str">
        <f>"Y"</f>
        <v>Y</v>
      </c>
      <c r="F2055" t="str">
        <f>"חשבוניות זיכוי"</f>
        <v>חשבוניות זיכוי</v>
      </c>
      <c r="G2055" t="str">
        <f>"700065"</f>
        <v>700065</v>
      </c>
      <c r="H2055" t="str">
        <f>"אלתא מערכות בע""מ"</f>
        <v>אלתא מערכות בע"מ</v>
      </c>
      <c r="I2055" t="str">
        <f>"10"</f>
        <v>10</v>
      </c>
      <c r="J2055" t="str">
        <f>"9977"</f>
        <v>9977</v>
      </c>
      <c r="K2055" t="str">
        <f>"קנס אספקה באיחור"</f>
        <v>קנס אספקה באיחור</v>
      </c>
      <c r="L2055">
        <v>1</v>
      </c>
      <c r="M2055" t="str">
        <f>"חל"</f>
        <v>חל</v>
      </c>
      <c r="N2055">
        <v>1</v>
      </c>
      <c r="O2055" t="str">
        <f>"חל"</f>
        <v>חל</v>
      </c>
      <c r="P2055">
        <v>79.290000000000006</v>
      </c>
      <c r="Q2055" t="str">
        <f>"$"</f>
        <v>$</v>
      </c>
      <c r="R2055" t="str">
        <f>"ידני"</f>
        <v>ידני</v>
      </c>
      <c r="S2055">
        <v>0</v>
      </c>
      <c r="T2055">
        <v>79.290000000000006</v>
      </c>
      <c r="U2055">
        <v>0</v>
      </c>
      <c r="V2055">
        <v>79.290000000000006</v>
      </c>
      <c r="W2055" t="str">
        <f>"$"</f>
        <v>$</v>
      </c>
      <c r="X2055">
        <v>0</v>
      </c>
      <c r="Y2055">
        <v>0</v>
      </c>
      <c r="Z2055">
        <v>0</v>
      </c>
      <c r="AA2055" t="str">
        <f>"Y"</f>
        <v>Y</v>
      </c>
      <c r="AC2055">
        <v>0</v>
      </c>
      <c r="AM2055" t="str">
        <f>"10"</f>
        <v>10</v>
      </c>
      <c r="AN2055" t="str">
        <f>"500000"</f>
        <v>500000</v>
      </c>
      <c r="AO2055" t="str">
        <f>"הכנסות  מלקוחות"</f>
        <v>הכנסות  מלקוחות</v>
      </c>
      <c r="AQ2055" t="str">
        <f>"034"</f>
        <v>034</v>
      </c>
      <c r="AR2055">
        <v>0</v>
      </c>
      <c r="AS2055">
        <v>0</v>
      </c>
      <c r="AT2055">
        <v>3.2309999999999999</v>
      </c>
      <c r="BD2055" t="str">
        <f>"ערן שלו"</f>
        <v>ערן שלו</v>
      </c>
    </row>
    <row r="2056" spans="1:56" x14ac:dyDescent="0.3">
      <c r="A2056" s="1">
        <v>44489</v>
      </c>
      <c r="B2056" t="str">
        <f>"CR217000085"</f>
        <v>CR217000085</v>
      </c>
      <c r="E2056" t="str">
        <f>"Y"</f>
        <v>Y</v>
      </c>
      <c r="F2056" t="str">
        <f>"חשבוניות זיכוי"</f>
        <v>חשבוניות זיכוי</v>
      </c>
      <c r="G2056" t="str">
        <f>"700065"</f>
        <v>700065</v>
      </c>
      <c r="H2056" t="str">
        <f>"אלתא מערכות בע""מ"</f>
        <v>אלתא מערכות בע"מ</v>
      </c>
      <c r="I2056" t="str">
        <f>"10"</f>
        <v>10</v>
      </c>
      <c r="J2056" t="str">
        <f>"9977"</f>
        <v>9977</v>
      </c>
      <c r="K2056" t="str">
        <f>"קנס פיגור באספקה"</f>
        <v>קנס פיגור באספקה</v>
      </c>
      <c r="L2056">
        <v>1</v>
      </c>
      <c r="M2056" t="str">
        <f>"חל"</f>
        <v>חל</v>
      </c>
      <c r="N2056">
        <v>1</v>
      </c>
      <c r="O2056" t="str">
        <f>"חל"</f>
        <v>חל</v>
      </c>
      <c r="P2056">
        <v>28.23</v>
      </c>
      <c r="Q2056" t="str">
        <f>"$"</f>
        <v>$</v>
      </c>
      <c r="R2056" t="str">
        <f>"ידני"</f>
        <v>ידני</v>
      </c>
      <c r="S2056">
        <v>0</v>
      </c>
      <c r="T2056">
        <v>28.23</v>
      </c>
      <c r="U2056">
        <v>0</v>
      </c>
      <c r="V2056">
        <v>28.23</v>
      </c>
      <c r="W2056" t="str">
        <f>"$"</f>
        <v>$</v>
      </c>
      <c r="X2056">
        <v>0</v>
      </c>
      <c r="Y2056">
        <v>0</v>
      </c>
      <c r="Z2056">
        <v>0</v>
      </c>
      <c r="AA2056" t="str">
        <f>"Y"</f>
        <v>Y</v>
      </c>
      <c r="AC2056">
        <v>0</v>
      </c>
      <c r="AM2056" t="str">
        <f>"10"</f>
        <v>10</v>
      </c>
      <c r="AN2056" t="str">
        <f>"500000"</f>
        <v>500000</v>
      </c>
      <c r="AO2056" t="str">
        <f>"הכנסות  מלקוחות"</f>
        <v>הכנסות  מלקוחות</v>
      </c>
      <c r="AQ2056" t="str">
        <f>"034"</f>
        <v>034</v>
      </c>
      <c r="AR2056">
        <v>0</v>
      </c>
      <c r="AS2056">
        <v>0</v>
      </c>
      <c r="AT2056">
        <v>3.2309999999999999</v>
      </c>
      <c r="BD2056" t="str">
        <f>"ערן שלו"</f>
        <v>ערן שלו</v>
      </c>
    </row>
    <row r="2057" spans="1:56" x14ac:dyDescent="0.3">
      <c r="A2057" s="1">
        <v>44489</v>
      </c>
      <c r="B2057" t="str">
        <f>"CR217000084"</f>
        <v>CR217000084</v>
      </c>
      <c r="E2057" t="str">
        <f>"Y"</f>
        <v>Y</v>
      </c>
      <c r="F2057" t="str">
        <f>"חשבוניות זיכוי"</f>
        <v>חשבוניות זיכוי</v>
      </c>
      <c r="G2057" t="str">
        <f>"700065"</f>
        <v>700065</v>
      </c>
      <c r="H2057" t="str">
        <f>"אלתא מערכות בע""מ"</f>
        <v>אלתא מערכות בע"מ</v>
      </c>
      <c r="I2057" t="str">
        <f>"10"</f>
        <v>10</v>
      </c>
      <c r="J2057" t="str">
        <f>"9977"</f>
        <v>9977</v>
      </c>
      <c r="K2057" t="str">
        <f>"קנס פיגור באספקה"</f>
        <v>קנס פיגור באספקה</v>
      </c>
      <c r="L2057">
        <v>1</v>
      </c>
      <c r="M2057" t="str">
        <f>"חל"</f>
        <v>חל</v>
      </c>
      <c r="N2057">
        <v>1</v>
      </c>
      <c r="O2057" t="str">
        <f>"חל"</f>
        <v>חל</v>
      </c>
      <c r="P2057">
        <v>33.700000000000003</v>
      </c>
      <c r="Q2057" t="str">
        <f>"$"</f>
        <v>$</v>
      </c>
      <c r="R2057" t="str">
        <f>"ידני"</f>
        <v>ידני</v>
      </c>
      <c r="S2057">
        <v>0</v>
      </c>
      <c r="T2057">
        <v>33.700000000000003</v>
      </c>
      <c r="U2057">
        <v>0</v>
      </c>
      <c r="V2057">
        <v>33.700000000000003</v>
      </c>
      <c r="W2057" t="str">
        <f>"$"</f>
        <v>$</v>
      </c>
      <c r="X2057">
        <v>0</v>
      </c>
      <c r="Y2057">
        <v>0</v>
      </c>
      <c r="Z2057">
        <v>0</v>
      </c>
      <c r="AA2057" t="str">
        <f>"Y"</f>
        <v>Y</v>
      </c>
      <c r="AC2057">
        <v>0</v>
      </c>
      <c r="AM2057" t="str">
        <f>"10"</f>
        <v>10</v>
      </c>
      <c r="AN2057" t="str">
        <f>"500000"</f>
        <v>500000</v>
      </c>
      <c r="AO2057" t="str">
        <f>"הכנסות  מלקוחות"</f>
        <v>הכנסות  מלקוחות</v>
      </c>
      <c r="AQ2057" t="str">
        <f>"034"</f>
        <v>034</v>
      </c>
      <c r="AR2057">
        <v>0</v>
      </c>
      <c r="AS2057">
        <v>0</v>
      </c>
      <c r="AT2057">
        <v>3.1859999999999999</v>
      </c>
      <c r="BD2057" t="str">
        <f>"ערן שלו"</f>
        <v>ערן שלו</v>
      </c>
    </row>
    <row r="2058" spans="1:56" x14ac:dyDescent="0.3">
      <c r="A2058" s="1">
        <v>44489</v>
      </c>
      <c r="B2058" t="str">
        <f>"CR217000083"</f>
        <v>CR217000083</v>
      </c>
      <c r="E2058" t="str">
        <f>"Y"</f>
        <v>Y</v>
      </c>
      <c r="F2058" t="str">
        <f>"חשבוניות זיכוי"</f>
        <v>חשבוניות זיכוי</v>
      </c>
      <c r="G2058" t="str">
        <f>"700065"</f>
        <v>700065</v>
      </c>
      <c r="H2058" t="str">
        <f>"אלתא מערכות בע""מ"</f>
        <v>אלתא מערכות בע"מ</v>
      </c>
      <c r="I2058" t="str">
        <f>"10"</f>
        <v>10</v>
      </c>
      <c r="J2058" t="str">
        <f>"9977"</f>
        <v>9977</v>
      </c>
      <c r="K2058" t="str">
        <f>"קנס פיגור באספקה"</f>
        <v>קנס פיגור באספקה</v>
      </c>
      <c r="L2058">
        <v>1</v>
      </c>
      <c r="M2058" t="str">
        <f>"חל"</f>
        <v>חל</v>
      </c>
      <c r="N2058">
        <v>1</v>
      </c>
      <c r="O2058" t="str">
        <f>"חל"</f>
        <v>חל</v>
      </c>
      <c r="P2058">
        <v>516.15</v>
      </c>
      <c r="Q2058" t="str">
        <f>"$"</f>
        <v>$</v>
      </c>
      <c r="R2058" t="str">
        <f>"ידני"</f>
        <v>ידני</v>
      </c>
      <c r="S2058">
        <v>0</v>
      </c>
      <c r="T2058">
        <v>516.15</v>
      </c>
      <c r="U2058">
        <v>0</v>
      </c>
      <c r="V2058">
        <v>516.15</v>
      </c>
      <c r="W2058" t="str">
        <f>"$"</f>
        <v>$</v>
      </c>
      <c r="X2058">
        <v>0</v>
      </c>
      <c r="Y2058">
        <v>0</v>
      </c>
      <c r="Z2058">
        <v>0</v>
      </c>
      <c r="AA2058" t="str">
        <f>"Y"</f>
        <v>Y</v>
      </c>
      <c r="AC2058">
        <v>0</v>
      </c>
      <c r="AM2058" t="str">
        <f>"10"</f>
        <v>10</v>
      </c>
      <c r="AN2058" t="str">
        <f>"500000"</f>
        <v>500000</v>
      </c>
      <c r="AO2058" t="str">
        <f>"הכנסות  מלקוחות"</f>
        <v>הכנסות  מלקוחות</v>
      </c>
      <c r="AQ2058" t="str">
        <f>"034"</f>
        <v>034</v>
      </c>
      <c r="AR2058">
        <v>0</v>
      </c>
      <c r="AS2058">
        <v>0</v>
      </c>
      <c r="AT2058">
        <v>3.218</v>
      </c>
      <c r="BD2058" t="str">
        <f>"ערן שלו"</f>
        <v>ערן שלו</v>
      </c>
    </row>
    <row r="2059" spans="1:56" x14ac:dyDescent="0.3">
      <c r="A2059" s="1">
        <v>44489</v>
      </c>
      <c r="B2059" t="str">
        <f>"CR217000082"</f>
        <v>CR217000082</v>
      </c>
      <c r="E2059" t="str">
        <f>"Y"</f>
        <v>Y</v>
      </c>
      <c r="F2059" t="str">
        <f>"חשבוניות זיכוי"</f>
        <v>חשבוניות זיכוי</v>
      </c>
      <c r="G2059" t="str">
        <f>"700065"</f>
        <v>700065</v>
      </c>
      <c r="H2059" t="str">
        <f>"אלתא מערכות בע""מ"</f>
        <v>אלתא מערכות בע"מ</v>
      </c>
      <c r="I2059" t="str">
        <f>"10"</f>
        <v>10</v>
      </c>
      <c r="J2059" t="str">
        <f>"9977"</f>
        <v>9977</v>
      </c>
      <c r="K2059" t="str">
        <f>"קנס פיגור באספקה"</f>
        <v>קנס פיגור באספקה</v>
      </c>
      <c r="L2059">
        <v>1</v>
      </c>
      <c r="M2059" t="str">
        <f>"חל"</f>
        <v>חל</v>
      </c>
      <c r="N2059">
        <v>1</v>
      </c>
      <c r="O2059" t="str">
        <f>"חל"</f>
        <v>חל</v>
      </c>
      <c r="P2059">
        <v>70.67</v>
      </c>
      <c r="Q2059" t="str">
        <f>"$"</f>
        <v>$</v>
      </c>
      <c r="R2059" t="str">
        <f>"ידני"</f>
        <v>ידני</v>
      </c>
      <c r="S2059">
        <v>0</v>
      </c>
      <c r="T2059">
        <v>70.67</v>
      </c>
      <c r="U2059">
        <v>0</v>
      </c>
      <c r="V2059">
        <v>70.67</v>
      </c>
      <c r="W2059" t="str">
        <f>"$"</f>
        <v>$</v>
      </c>
      <c r="X2059">
        <v>0</v>
      </c>
      <c r="Y2059">
        <v>0</v>
      </c>
      <c r="Z2059">
        <v>0</v>
      </c>
      <c r="AA2059" t="str">
        <f>"Y"</f>
        <v>Y</v>
      </c>
      <c r="AC2059">
        <v>0</v>
      </c>
      <c r="AM2059" t="str">
        <f>"10"</f>
        <v>10</v>
      </c>
      <c r="AN2059" t="str">
        <f>"500000"</f>
        <v>500000</v>
      </c>
      <c r="AO2059" t="str">
        <f>"הכנסות  מלקוחות"</f>
        <v>הכנסות  מלקוחות</v>
      </c>
      <c r="AQ2059" t="str">
        <f>"034"</f>
        <v>034</v>
      </c>
      <c r="AR2059">
        <v>0</v>
      </c>
      <c r="AS2059">
        <v>0</v>
      </c>
      <c r="AT2059">
        <v>3.222</v>
      </c>
      <c r="BD2059" t="str">
        <f>"ערן שלו"</f>
        <v>ערן שלו</v>
      </c>
    </row>
    <row r="2060" spans="1:56" x14ac:dyDescent="0.3">
      <c r="A2060" s="1">
        <v>44489</v>
      </c>
      <c r="B2060" t="str">
        <f>"CR217000081"</f>
        <v>CR217000081</v>
      </c>
      <c r="E2060" t="str">
        <f>"Y"</f>
        <v>Y</v>
      </c>
      <c r="F2060" t="str">
        <f>"חשבוניות זיכוי"</f>
        <v>חשבוניות זיכוי</v>
      </c>
      <c r="G2060" t="str">
        <f>"700065"</f>
        <v>700065</v>
      </c>
      <c r="H2060" t="str">
        <f>"אלתא מערכות בע""מ"</f>
        <v>אלתא מערכות בע"מ</v>
      </c>
      <c r="I2060" t="str">
        <f>"10"</f>
        <v>10</v>
      </c>
      <c r="J2060" t="str">
        <f>"9977"</f>
        <v>9977</v>
      </c>
      <c r="K2060" t="str">
        <f>"קנס פיגור באספקה"</f>
        <v>קנס פיגור באספקה</v>
      </c>
      <c r="L2060">
        <v>1</v>
      </c>
      <c r="M2060" t="str">
        <f>"חל"</f>
        <v>חל</v>
      </c>
      <c r="N2060">
        <v>1</v>
      </c>
      <c r="O2060" t="str">
        <f>"חל"</f>
        <v>חל</v>
      </c>
      <c r="P2060">
        <v>47.11</v>
      </c>
      <c r="Q2060" t="str">
        <f>"$"</f>
        <v>$</v>
      </c>
      <c r="R2060" t="str">
        <f>"ידני"</f>
        <v>ידני</v>
      </c>
      <c r="S2060">
        <v>0</v>
      </c>
      <c r="T2060">
        <v>47.11</v>
      </c>
      <c r="U2060">
        <v>0</v>
      </c>
      <c r="V2060">
        <v>47.11</v>
      </c>
      <c r="W2060" t="str">
        <f>"$"</f>
        <v>$</v>
      </c>
      <c r="X2060">
        <v>0</v>
      </c>
      <c r="Y2060">
        <v>0</v>
      </c>
      <c r="Z2060">
        <v>0</v>
      </c>
      <c r="AA2060" t="str">
        <f>"Y"</f>
        <v>Y</v>
      </c>
      <c r="AC2060">
        <v>0</v>
      </c>
      <c r="AM2060" t="str">
        <f>"10"</f>
        <v>10</v>
      </c>
      <c r="AN2060" t="str">
        <f>"500000"</f>
        <v>500000</v>
      </c>
      <c r="AO2060" t="str">
        <f>"הכנסות  מלקוחות"</f>
        <v>הכנסות  מלקוחות</v>
      </c>
      <c r="AQ2060" t="str">
        <f>"034"</f>
        <v>034</v>
      </c>
      <c r="AR2060">
        <v>0</v>
      </c>
      <c r="AS2060">
        <v>0</v>
      </c>
      <c r="AT2060">
        <v>3.222</v>
      </c>
      <c r="BD2060" t="str">
        <f>"ערן שלו"</f>
        <v>ערן שלו</v>
      </c>
    </row>
    <row r="2061" spans="1:56" x14ac:dyDescent="0.3">
      <c r="A2061" s="1">
        <v>44489</v>
      </c>
      <c r="B2061" t="str">
        <f>"CR217000080"</f>
        <v>CR217000080</v>
      </c>
      <c r="E2061" t="str">
        <f>"Y"</f>
        <v>Y</v>
      </c>
      <c r="F2061" t="str">
        <f>"חשבוניות זיכוי"</f>
        <v>חשבוניות זיכוי</v>
      </c>
      <c r="G2061" t="str">
        <f>"700065"</f>
        <v>700065</v>
      </c>
      <c r="H2061" t="str">
        <f>"אלתא מערכות בע""מ"</f>
        <v>אלתא מערכות בע"מ</v>
      </c>
      <c r="I2061" t="str">
        <f>"10"</f>
        <v>10</v>
      </c>
      <c r="J2061" t="str">
        <f>"9977"</f>
        <v>9977</v>
      </c>
      <c r="K2061" t="str">
        <f>"קנס פיגור באספקה"</f>
        <v>קנס פיגור באספקה</v>
      </c>
      <c r="L2061">
        <v>1</v>
      </c>
      <c r="M2061" t="str">
        <f>"חל"</f>
        <v>חל</v>
      </c>
      <c r="N2061">
        <v>1</v>
      </c>
      <c r="O2061" t="str">
        <f>"חל"</f>
        <v>חל</v>
      </c>
      <c r="P2061">
        <v>20.07</v>
      </c>
      <c r="Q2061" t="str">
        <f>"$"</f>
        <v>$</v>
      </c>
      <c r="R2061" t="str">
        <f>"ידני"</f>
        <v>ידני</v>
      </c>
      <c r="S2061">
        <v>0</v>
      </c>
      <c r="T2061">
        <v>20.07</v>
      </c>
      <c r="U2061">
        <v>0</v>
      </c>
      <c r="V2061">
        <v>20.07</v>
      </c>
      <c r="W2061" t="str">
        <f>"$"</f>
        <v>$</v>
      </c>
      <c r="X2061">
        <v>0</v>
      </c>
      <c r="Y2061">
        <v>0</v>
      </c>
      <c r="Z2061">
        <v>0</v>
      </c>
      <c r="AA2061" t="str">
        <f>"Y"</f>
        <v>Y</v>
      </c>
      <c r="AC2061">
        <v>0</v>
      </c>
      <c r="AM2061" t="str">
        <f>"10"</f>
        <v>10</v>
      </c>
      <c r="AN2061" t="str">
        <f>"500000"</f>
        <v>500000</v>
      </c>
      <c r="AO2061" t="str">
        <f>"הכנסות  מלקוחות"</f>
        <v>הכנסות  מלקוחות</v>
      </c>
      <c r="AQ2061" t="str">
        <f>"034"</f>
        <v>034</v>
      </c>
      <c r="AR2061">
        <v>0</v>
      </c>
      <c r="AS2061">
        <v>0</v>
      </c>
      <c r="AT2061">
        <v>3.218</v>
      </c>
      <c r="BD2061" t="str">
        <f>"ערן שלו"</f>
        <v>ערן שלו</v>
      </c>
    </row>
    <row r="2062" spans="1:56" x14ac:dyDescent="0.3">
      <c r="A2062" s="1">
        <v>44489</v>
      </c>
      <c r="B2062" t="str">
        <f>"CR217000079"</f>
        <v>CR217000079</v>
      </c>
      <c r="E2062" t="str">
        <f>"Y"</f>
        <v>Y</v>
      </c>
      <c r="F2062" t="str">
        <f>"חשבוניות זיכוי"</f>
        <v>חשבוניות זיכוי</v>
      </c>
      <c r="G2062" t="str">
        <f>"700065"</f>
        <v>700065</v>
      </c>
      <c r="H2062" t="str">
        <f>"אלתא מערכות בע""מ"</f>
        <v>אלתא מערכות בע"מ</v>
      </c>
      <c r="I2062" t="str">
        <f>"10"</f>
        <v>10</v>
      </c>
      <c r="J2062" t="str">
        <f>"9977"</f>
        <v>9977</v>
      </c>
      <c r="K2062" t="str">
        <f>"קנס פיגור באספקה"</f>
        <v>קנס פיגור באספקה</v>
      </c>
      <c r="L2062">
        <v>1</v>
      </c>
      <c r="M2062" t="str">
        <f>"חל"</f>
        <v>חל</v>
      </c>
      <c r="N2062">
        <v>1</v>
      </c>
      <c r="O2062" t="str">
        <f>"חל"</f>
        <v>חל</v>
      </c>
      <c r="P2062">
        <v>244.67</v>
      </c>
      <c r="Q2062" t="str">
        <f>"$"</f>
        <v>$</v>
      </c>
      <c r="R2062" t="str">
        <f>"ידני"</f>
        <v>ידני</v>
      </c>
      <c r="S2062">
        <v>0</v>
      </c>
      <c r="T2062">
        <v>244.67</v>
      </c>
      <c r="U2062">
        <v>0</v>
      </c>
      <c r="V2062">
        <v>244.67</v>
      </c>
      <c r="W2062" t="str">
        <f>"$"</f>
        <v>$</v>
      </c>
      <c r="X2062">
        <v>0</v>
      </c>
      <c r="Y2062">
        <v>0</v>
      </c>
      <c r="Z2062">
        <v>0</v>
      </c>
      <c r="AA2062" t="str">
        <f>"Y"</f>
        <v>Y</v>
      </c>
      <c r="AC2062">
        <v>0</v>
      </c>
      <c r="AM2062" t="str">
        <f>"10"</f>
        <v>10</v>
      </c>
      <c r="AN2062" t="str">
        <f>"500000"</f>
        <v>500000</v>
      </c>
      <c r="AO2062" t="str">
        <f>"הכנסות  מלקוחות"</f>
        <v>הכנסות  מלקוחות</v>
      </c>
      <c r="AQ2062" t="str">
        <f>"034"</f>
        <v>034</v>
      </c>
      <c r="AR2062">
        <v>0</v>
      </c>
      <c r="AS2062">
        <v>0</v>
      </c>
      <c r="AT2062">
        <v>3.2890000000000001</v>
      </c>
      <c r="BD2062" t="str">
        <f>"ערן שלו"</f>
        <v>ערן שלו</v>
      </c>
    </row>
    <row r="2063" spans="1:56" x14ac:dyDescent="0.3">
      <c r="A2063" s="1">
        <v>44489</v>
      </c>
      <c r="B2063" t="str">
        <f>"CR217000078"</f>
        <v>CR217000078</v>
      </c>
      <c r="E2063" t="str">
        <f>"Y"</f>
        <v>Y</v>
      </c>
      <c r="F2063" t="str">
        <f>"חשבוניות זיכוי"</f>
        <v>חשבוניות זיכוי</v>
      </c>
      <c r="G2063" t="str">
        <f>"700065"</f>
        <v>700065</v>
      </c>
      <c r="H2063" t="str">
        <f>"אלתא מערכות בע""מ"</f>
        <v>אלתא מערכות בע"מ</v>
      </c>
      <c r="I2063" t="str">
        <f>"10"</f>
        <v>10</v>
      </c>
      <c r="J2063" t="str">
        <f>"9977"</f>
        <v>9977</v>
      </c>
      <c r="K2063" t="str">
        <f>"קנס פיגור באספקה"</f>
        <v>קנס פיגור באספקה</v>
      </c>
      <c r="L2063">
        <v>1</v>
      </c>
      <c r="M2063" t="str">
        <f>"חל"</f>
        <v>חל</v>
      </c>
      <c r="N2063">
        <v>1</v>
      </c>
      <c r="O2063" t="str">
        <f>"חל"</f>
        <v>חל</v>
      </c>
      <c r="P2063">
        <v>19.57</v>
      </c>
      <c r="Q2063" t="str">
        <f>"$"</f>
        <v>$</v>
      </c>
      <c r="R2063" t="str">
        <f>"ידני"</f>
        <v>ידני</v>
      </c>
      <c r="S2063">
        <v>0</v>
      </c>
      <c r="T2063">
        <v>19.57</v>
      </c>
      <c r="U2063">
        <v>0</v>
      </c>
      <c r="V2063">
        <v>19.57</v>
      </c>
      <c r="W2063" t="str">
        <f>"$"</f>
        <v>$</v>
      </c>
      <c r="X2063">
        <v>0</v>
      </c>
      <c r="Y2063">
        <v>0</v>
      </c>
      <c r="Z2063">
        <v>0</v>
      </c>
      <c r="AA2063" t="str">
        <f>"Y"</f>
        <v>Y</v>
      </c>
      <c r="AC2063">
        <v>0</v>
      </c>
      <c r="AM2063" t="str">
        <f>"10"</f>
        <v>10</v>
      </c>
      <c r="AN2063" t="str">
        <f>"500000"</f>
        <v>500000</v>
      </c>
      <c r="AO2063" t="str">
        <f>"הכנסות  מלקוחות"</f>
        <v>הכנסות  מלקוחות</v>
      </c>
      <c r="AQ2063" t="str">
        <f>"034"</f>
        <v>034</v>
      </c>
      <c r="AR2063">
        <v>0</v>
      </c>
      <c r="AS2063">
        <v>0</v>
      </c>
      <c r="AT2063">
        <v>3.2890000000000001</v>
      </c>
      <c r="BD2063" t="str">
        <f>"ערן שלו"</f>
        <v>ערן שלו</v>
      </c>
    </row>
    <row r="2064" spans="1:56" x14ac:dyDescent="0.3">
      <c r="A2064" s="1">
        <v>44489</v>
      </c>
      <c r="B2064" t="str">
        <f>"CR217000077"</f>
        <v>CR217000077</v>
      </c>
      <c r="E2064" t="str">
        <f>"Y"</f>
        <v>Y</v>
      </c>
      <c r="F2064" t="str">
        <f>"חשבוניות זיכוי"</f>
        <v>חשבוניות זיכוי</v>
      </c>
      <c r="G2064" t="str">
        <f>"700065"</f>
        <v>700065</v>
      </c>
      <c r="H2064" t="str">
        <f>"אלתא מערכות בע""מ"</f>
        <v>אלתא מערכות בע"מ</v>
      </c>
      <c r="I2064" t="str">
        <f>"10"</f>
        <v>10</v>
      </c>
      <c r="J2064" t="str">
        <f>"OP-AR01698"</f>
        <v>OP-AR01698</v>
      </c>
      <c r="K2064" t="str">
        <f>"MOQ FOR E000308646"</f>
        <v>MOQ FOR E000308646</v>
      </c>
      <c r="L2064">
        <v>1</v>
      </c>
      <c r="M2064" t="str">
        <f>"יח"</f>
        <v>יח</v>
      </c>
      <c r="N2064">
        <v>1</v>
      </c>
      <c r="O2064" t="str">
        <f>"יח"</f>
        <v>יח</v>
      </c>
      <c r="P2064">
        <v>500</v>
      </c>
      <c r="Q2064" t="str">
        <f>"$"</f>
        <v>$</v>
      </c>
      <c r="R2064" t="str">
        <f>"ידני"</f>
        <v>ידני</v>
      </c>
      <c r="S2064">
        <v>0</v>
      </c>
      <c r="T2064">
        <v>500</v>
      </c>
      <c r="U2064">
        <v>0</v>
      </c>
      <c r="V2064">
        <v>500</v>
      </c>
      <c r="W2064" t="str">
        <f>"$"</f>
        <v>$</v>
      </c>
      <c r="X2064">
        <v>0</v>
      </c>
      <c r="Y2064">
        <v>0</v>
      </c>
      <c r="Z2064">
        <v>0</v>
      </c>
      <c r="AA2064" t="str">
        <f>"Y"</f>
        <v>Y</v>
      </c>
      <c r="AC2064">
        <v>0</v>
      </c>
      <c r="AM2064" t="str">
        <f>"10"</f>
        <v>10</v>
      </c>
      <c r="AN2064" t="str">
        <f>"500000"</f>
        <v>500000</v>
      </c>
      <c r="AO2064" t="str">
        <f>"הכנסות  מלקוחות"</f>
        <v>הכנסות  מלקוחות</v>
      </c>
      <c r="AQ2064" t="str">
        <f>"034"</f>
        <v>034</v>
      </c>
      <c r="AR2064">
        <v>0</v>
      </c>
      <c r="AS2064">
        <v>0</v>
      </c>
      <c r="AT2064">
        <v>3.4420000000000002</v>
      </c>
      <c r="BD2064" t="str">
        <f>"ערן שלו"</f>
        <v>ערן שלו</v>
      </c>
    </row>
    <row r="2065" spans="1:56" x14ac:dyDescent="0.3">
      <c r="A2065" s="1">
        <v>44489</v>
      </c>
      <c r="B2065" t="str">
        <f>"CR217000076"</f>
        <v>CR217000076</v>
      </c>
      <c r="E2065" t="str">
        <f>"Y"</f>
        <v>Y</v>
      </c>
      <c r="F2065" t="str">
        <f>"חשבוניות זיכוי"</f>
        <v>חשבוניות זיכוי</v>
      </c>
      <c r="G2065" t="str">
        <f>"700065"</f>
        <v>700065</v>
      </c>
      <c r="H2065" t="str">
        <f>"אלתא מערכות בע""מ"</f>
        <v>אלתא מערכות בע"מ</v>
      </c>
      <c r="I2065" t="str">
        <f>"10"</f>
        <v>10</v>
      </c>
      <c r="J2065" t="str">
        <f>"9977"</f>
        <v>9977</v>
      </c>
      <c r="K2065" t="str">
        <f>"קנס פיגור באספקה"</f>
        <v>קנס פיגור באספקה</v>
      </c>
      <c r="L2065">
        <v>1</v>
      </c>
      <c r="M2065" t="str">
        <f>"חל"</f>
        <v>חל</v>
      </c>
      <c r="N2065">
        <v>1</v>
      </c>
      <c r="O2065" t="str">
        <f>"חל"</f>
        <v>חל</v>
      </c>
      <c r="P2065">
        <v>87.25</v>
      </c>
      <c r="Q2065" t="str">
        <f>"$"</f>
        <v>$</v>
      </c>
      <c r="R2065" t="str">
        <f>"ידני"</f>
        <v>ידני</v>
      </c>
      <c r="S2065">
        <v>0</v>
      </c>
      <c r="T2065">
        <v>87.25</v>
      </c>
      <c r="U2065">
        <v>0</v>
      </c>
      <c r="V2065">
        <v>87.25</v>
      </c>
      <c r="W2065" t="str">
        <f>"$"</f>
        <v>$</v>
      </c>
      <c r="X2065">
        <v>0</v>
      </c>
      <c r="Y2065">
        <v>0</v>
      </c>
      <c r="Z2065">
        <v>0</v>
      </c>
      <c r="AA2065" t="str">
        <f>"Y"</f>
        <v>Y</v>
      </c>
      <c r="AC2065">
        <v>0</v>
      </c>
      <c r="AM2065" t="str">
        <f>"10"</f>
        <v>10</v>
      </c>
      <c r="AN2065" t="str">
        <f>"500000"</f>
        <v>500000</v>
      </c>
      <c r="AO2065" t="str">
        <f>"הכנסות  מלקוחות"</f>
        <v>הכנסות  מלקוחות</v>
      </c>
      <c r="AQ2065" t="str">
        <f>"034"</f>
        <v>034</v>
      </c>
      <c r="AR2065">
        <v>0</v>
      </c>
      <c r="AS2065">
        <v>0</v>
      </c>
      <c r="AT2065">
        <v>3.3929999999999998</v>
      </c>
      <c r="BD2065" t="str">
        <f>"ערן שלו"</f>
        <v>ערן שלו</v>
      </c>
    </row>
    <row r="2066" spans="1:56" x14ac:dyDescent="0.3">
      <c r="A2066" s="1">
        <v>44489</v>
      </c>
      <c r="B2066" t="str">
        <f>"CR217000075"</f>
        <v>CR217000075</v>
      </c>
      <c r="E2066" t="str">
        <f>"Y"</f>
        <v>Y</v>
      </c>
      <c r="F2066" t="str">
        <f>"חשבוניות זיכוי"</f>
        <v>חשבוניות זיכוי</v>
      </c>
      <c r="G2066" t="str">
        <f>"700065"</f>
        <v>700065</v>
      </c>
      <c r="H2066" t="str">
        <f>"אלתא מערכות בע""מ"</f>
        <v>אלתא מערכות בע"מ</v>
      </c>
      <c r="I2066" t="str">
        <f>"10"</f>
        <v>10</v>
      </c>
      <c r="J2066" t="str">
        <f>"9977"</f>
        <v>9977</v>
      </c>
      <c r="K2066" t="str">
        <f>"קנס פיגור באספקה"</f>
        <v>קנס פיגור באספקה</v>
      </c>
      <c r="L2066">
        <v>1</v>
      </c>
      <c r="M2066" t="str">
        <f>"חל"</f>
        <v>חל</v>
      </c>
      <c r="N2066">
        <v>1</v>
      </c>
      <c r="O2066" t="str">
        <f>"חל"</f>
        <v>חל</v>
      </c>
      <c r="P2066">
        <v>49.38</v>
      </c>
      <c r="Q2066" t="str">
        <f>"$"</f>
        <v>$</v>
      </c>
      <c r="R2066" t="str">
        <f>"ידני"</f>
        <v>ידני</v>
      </c>
      <c r="S2066">
        <v>0</v>
      </c>
      <c r="T2066">
        <v>49.38</v>
      </c>
      <c r="U2066">
        <v>0</v>
      </c>
      <c r="V2066">
        <v>49.38</v>
      </c>
      <c r="W2066" t="str">
        <f>"$"</f>
        <v>$</v>
      </c>
      <c r="X2066">
        <v>0</v>
      </c>
      <c r="Y2066">
        <v>0</v>
      </c>
      <c r="Z2066">
        <v>0</v>
      </c>
      <c r="AA2066" t="str">
        <f>"Y"</f>
        <v>Y</v>
      </c>
      <c r="AC2066">
        <v>0</v>
      </c>
      <c r="AM2066" t="str">
        <f>"10"</f>
        <v>10</v>
      </c>
      <c r="AN2066" t="str">
        <f>"500000"</f>
        <v>500000</v>
      </c>
      <c r="AO2066" t="str">
        <f>"הכנסות  מלקוחות"</f>
        <v>הכנסות  מלקוחות</v>
      </c>
      <c r="AQ2066" t="str">
        <f>"034"</f>
        <v>034</v>
      </c>
      <c r="AR2066">
        <v>0</v>
      </c>
      <c r="AS2066">
        <v>0</v>
      </c>
      <c r="AT2066">
        <v>3.3839999999999999</v>
      </c>
      <c r="BD2066" t="str">
        <f>"ערן שלו"</f>
        <v>ערן שלו</v>
      </c>
    </row>
    <row r="2067" spans="1:56" x14ac:dyDescent="0.3">
      <c r="A2067" s="1">
        <v>44489</v>
      </c>
      <c r="B2067" t="str">
        <f>"CR217000074"</f>
        <v>CR217000074</v>
      </c>
      <c r="E2067" t="str">
        <f>"Y"</f>
        <v>Y</v>
      </c>
      <c r="F2067" t="str">
        <f>"חשבוניות זיכוי"</f>
        <v>חשבוניות זיכוי</v>
      </c>
      <c r="G2067" t="str">
        <f>"700065"</f>
        <v>700065</v>
      </c>
      <c r="H2067" t="str">
        <f>"אלתא מערכות בע""מ"</f>
        <v>אלתא מערכות בע"מ</v>
      </c>
      <c r="I2067" t="str">
        <f>"10"</f>
        <v>10</v>
      </c>
      <c r="J2067" t="str">
        <f>"9977"</f>
        <v>9977</v>
      </c>
      <c r="K2067" t="str">
        <f>"קנס פיגור באספקה"</f>
        <v>קנס פיגור באספקה</v>
      </c>
      <c r="L2067">
        <v>1</v>
      </c>
      <c r="M2067" t="str">
        <f>"חל"</f>
        <v>חל</v>
      </c>
      <c r="N2067">
        <v>1</v>
      </c>
      <c r="O2067" t="str">
        <f>"חל"</f>
        <v>חל</v>
      </c>
      <c r="P2067">
        <v>889.53</v>
      </c>
      <c r="Q2067" t="str">
        <f>"$"</f>
        <v>$</v>
      </c>
      <c r="R2067" t="str">
        <f>"ידני"</f>
        <v>ידני</v>
      </c>
      <c r="S2067">
        <v>0</v>
      </c>
      <c r="T2067">
        <v>889.53</v>
      </c>
      <c r="U2067">
        <v>0</v>
      </c>
      <c r="V2067">
        <v>889.53</v>
      </c>
      <c r="W2067" t="str">
        <f>"$"</f>
        <v>$</v>
      </c>
      <c r="X2067">
        <v>0</v>
      </c>
      <c r="Y2067">
        <v>0</v>
      </c>
      <c r="Z2067">
        <v>0</v>
      </c>
      <c r="AA2067" t="str">
        <f>"Y"</f>
        <v>Y</v>
      </c>
      <c r="AC2067">
        <v>0</v>
      </c>
      <c r="AM2067" t="str">
        <f>"10"</f>
        <v>10</v>
      </c>
      <c r="AN2067" t="str">
        <f>"500000"</f>
        <v>500000</v>
      </c>
      <c r="AO2067" t="str">
        <f>"הכנסות  מלקוחות"</f>
        <v>הכנסות  מלקוחות</v>
      </c>
      <c r="AQ2067" t="str">
        <f>"034"</f>
        <v>034</v>
      </c>
      <c r="AR2067">
        <v>0</v>
      </c>
      <c r="AS2067">
        <v>0</v>
      </c>
      <c r="AT2067">
        <v>3.4590000000000001</v>
      </c>
      <c r="BD2067" t="str">
        <f>"ערן שלו"</f>
        <v>ערן שלו</v>
      </c>
    </row>
    <row r="2068" spans="1:56" x14ac:dyDescent="0.3">
      <c r="A2068" s="1">
        <v>44489</v>
      </c>
      <c r="B2068" t="str">
        <f>"CR217000073"</f>
        <v>CR217000073</v>
      </c>
      <c r="E2068" t="str">
        <f>"Y"</f>
        <v>Y</v>
      </c>
      <c r="F2068" t="str">
        <f>"חשבוניות זיכוי"</f>
        <v>חשבוניות זיכוי</v>
      </c>
      <c r="G2068" t="str">
        <f>"700065"</f>
        <v>700065</v>
      </c>
      <c r="H2068" t="str">
        <f>"אלתא מערכות בע""מ"</f>
        <v>אלתא מערכות בע"מ</v>
      </c>
      <c r="I2068" t="str">
        <f>"10"</f>
        <v>10</v>
      </c>
      <c r="J2068" t="str">
        <f>"9977"</f>
        <v>9977</v>
      </c>
      <c r="K2068" t="str">
        <f>"קנס פיגור באספקה"</f>
        <v>קנס פיגור באספקה</v>
      </c>
      <c r="L2068">
        <v>1</v>
      </c>
      <c r="M2068" t="str">
        <f>"חל"</f>
        <v>חל</v>
      </c>
      <c r="N2068">
        <v>1</v>
      </c>
      <c r="O2068" t="str">
        <f>"חל"</f>
        <v>חל</v>
      </c>
      <c r="P2068" s="2">
        <v>3119.59</v>
      </c>
      <c r="Q2068" t="str">
        <f>"$"</f>
        <v>$</v>
      </c>
      <c r="R2068" t="str">
        <f>"ידני"</f>
        <v>ידני</v>
      </c>
      <c r="S2068">
        <v>0</v>
      </c>
      <c r="T2068" s="2">
        <v>3119.59</v>
      </c>
      <c r="U2068">
        <v>0</v>
      </c>
      <c r="V2068" s="2">
        <v>3119.59</v>
      </c>
      <c r="W2068" t="str">
        <f>"$"</f>
        <v>$</v>
      </c>
      <c r="X2068">
        <v>0</v>
      </c>
      <c r="Y2068">
        <v>0</v>
      </c>
      <c r="Z2068">
        <v>0</v>
      </c>
      <c r="AA2068" t="str">
        <f>"Y"</f>
        <v>Y</v>
      </c>
      <c r="AC2068">
        <v>0</v>
      </c>
      <c r="AM2068" t="str">
        <f>"10"</f>
        <v>10</v>
      </c>
      <c r="AN2068" t="str">
        <f>"500000"</f>
        <v>500000</v>
      </c>
      <c r="AO2068" t="str">
        <f>"הכנסות  מלקוחות"</f>
        <v>הכנסות  מלקוחות</v>
      </c>
      <c r="AQ2068" t="str">
        <f>"034"</f>
        <v>034</v>
      </c>
      <c r="AR2068">
        <v>0</v>
      </c>
      <c r="AS2068">
        <v>0</v>
      </c>
      <c r="AT2068">
        <v>3.4670000000000001</v>
      </c>
      <c r="BD2068" t="str">
        <f>"ערן שלו"</f>
        <v>ערן שלו</v>
      </c>
    </row>
    <row r="2069" spans="1:56" x14ac:dyDescent="0.3">
      <c r="A2069" s="1">
        <v>44489</v>
      </c>
      <c r="B2069" t="str">
        <f>"CR217000072"</f>
        <v>CR217000072</v>
      </c>
      <c r="E2069" t="str">
        <f>"Y"</f>
        <v>Y</v>
      </c>
      <c r="F2069" t="str">
        <f>"חשבוניות זיכוי"</f>
        <v>חשבוניות זיכוי</v>
      </c>
      <c r="G2069" t="str">
        <f>"700065"</f>
        <v>700065</v>
      </c>
      <c r="H2069" t="str">
        <f>"אלתא מערכות בע""מ"</f>
        <v>אלתא מערכות בע"מ</v>
      </c>
      <c r="I2069" t="str">
        <f>"10"</f>
        <v>10</v>
      </c>
      <c r="J2069" t="str">
        <f>"9977"</f>
        <v>9977</v>
      </c>
      <c r="K2069" t="str">
        <f>"קנס פיגור באספקה"</f>
        <v>קנס פיגור באספקה</v>
      </c>
      <c r="L2069">
        <v>1</v>
      </c>
      <c r="M2069" t="str">
        <f>"חל"</f>
        <v>חל</v>
      </c>
      <c r="N2069">
        <v>1</v>
      </c>
      <c r="O2069" t="str">
        <f>"חל"</f>
        <v>חל</v>
      </c>
      <c r="P2069">
        <v>718.75</v>
      </c>
      <c r="Q2069" t="str">
        <f>"$"</f>
        <v>$</v>
      </c>
      <c r="R2069" t="str">
        <f>"ידני"</f>
        <v>ידני</v>
      </c>
      <c r="S2069">
        <v>0</v>
      </c>
      <c r="T2069">
        <v>718.75</v>
      </c>
      <c r="U2069">
        <v>0</v>
      </c>
      <c r="V2069">
        <v>718.75</v>
      </c>
      <c r="W2069" t="str">
        <f>"$"</f>
        <v>$</v>
      </c>
      <c r="X2069">
        <v>0</v>
      </c>
      <c r="Y2069">
        <v>0</v>
      </c>
      <c r="Z2069">
        <v>0</v>
      </c>
      <c r="AA2069" t="str">
        <f>"Y"</f>
        <v>Y</v>
      </c>
      <c r="AC2069">
        <v>0</v>
      </c>
      <c r="AM2069" t="str">
        <f>"10"</f>
        <v>10</v>
      </c>
      <c r="AN2069" t="str">
        <f>"500000"</f>
        <v>500000</v>
      </c>
      <c r="AO2069" t="str">
        <f>"הכנסות  מלקוחות"</f>
        <v>הכנסות  מלקוחות</v>
      </c>
      <c r="AQ2069" t="str">
        <f>"034"</f>
        <v>034</v>
      </c>
      <c r="AR2069">
        <v>0</v>
      </c>
      <c r="AS2069">
        <v>0</v>
      </c>
      <c r="AT2069">
        <v>3.4670000000000001</v>
      </c>
      <c r="BD2069" t="str">
        <f>"ערן שלו"</f>
        <v>ערן שלו</v>
      </c>
    </row>
    <row r="2070" spans="1:56" x14ac:dyDescent="0.3">
      <c r="A2070" s="1">
        <v>44489</v>
      </c>
      <c r="B2070" t="str">
        <f>"CR217000071"</f>
        <v>CR217000071</v>
      </c>
      <c r="E2070" t="str">
        <f>"Y"</f>
        <v>Y</v>
      </c>
      <c r="F2070" t="str">
        <f>"חשבוניות זיכוי"</f>
        <v>חשבוניות זיכוי</v>
      </c>
      <c r="G2070" t="str">
        <f>"700065"</f>
        <v>700065</v>
      </c>
      <c r="H2070" t="str">
        <f>"אלתא מערכות בע""מ"</f>
        <v>אלתא מערכות בע"מ</v>
      </c>
      <c r="I2070" t="str">
        <f>"10"</f>
        <v>10</v>
      </c>
      <c r="J2070" t="str">
        <f>"9977"</f>
        <v>9977</v>
      </c>
      <c r="K2070" t="str">
        <f>"קנס פיגור באספקה"</f>
        <v>קנס פיגור באספקה</v>
      </c>
      <c r="L2070">
        <v>1</v>
      </c>
      <c r="M2070" t="str">
        <f>"חל"</f>
        <v>חל</v>
      </c>
      <c r="N2070">
        <v>1</v>
      </c>
      <c r="O2070" t="str">
        <f>"חל"</f>
        <v>חל</v>
      </c>
      <c r="P2070">
        <v>270</v>
      </c>
      <c r="Q2070" t="str">
        <f>"$"</f>
        <v>$</v>
      </c>
      <c r="R2070" t="str">
        <f>"ידני"</f>
        <v>ידני</v>
      </c>
      <c r="S2070">
        <v>0</v>
      </c>
      <c r="T2070">
        <v>270</v>
      </c>
      <c r="U2070">
        <v>0</v>
      </c>
      <c r="V2070">
        <v>270</v>
      </c>
      <c r="W2070" t="str">
        <f>"$"</f>
        <v>$</v>
      </c>
      <c r="X2070">
        <v>0</v>
      </c>
      <c r="Y2070">
        <v>0</v>
      </c>
      <c r="Z2070">
        <v>0</v>
      </c>
      <c r="AA2070" t="str">
        <f>"Y"</f>
        <v>Y</v>
      </c>
      <c r="AC2070">
        <v>0</v>
      </c>
      <c r="AM2070" t="str">
        <f>"10"</f>
        <v>10</v>
      </c>
      <c r="AN2070" t="str">
        <f>"500000"</f>
        <v>500000</v>
      </c>
      <c r="AO2070" t="str">
        <f>"הכנסות  מלקוחות"</f>
        <v>הכנסות  מלקוחות</v>
      </c>
      <c r="AQ2070" t="str">
        <f>"034"</f>
        <v>034</v>
      </c>
      <c r="AR2070">
        <v>0</v>
      </c>
      <c r="AS2070">
        <v>0</v>
      </c>
      <c r="AT2070">
        <v>3.4449999999999998</v>
      </c>
      <c r="BD2070" t="str">
        <f>"ערן שלו"</f>
        <v>ערן שלו</v>
      </c>
    </row>
    <row r="2071" spans="1:56" x14ac:dyDescent="0.3">
      <c r="A2071" s="1">
        <v>44489</v>
      </c>
      <c r="B2071" t="str">
        <f>"CR217000070"</f>
        <v>CR217000070</v>
      </c>
      <c r="E2071" t="str">
        <f>"Y"</f>
        <v>Y</v>
      </c>
      <c r="F2071" t="str">
        <f>"חשבוניות זיכוי"</f>
        <v>חשבוניות זיכוי</v>
      </c>
      <c r="G2071" t="str">
        <f>"700065"</f>
        <v>700065</v>
      </c>
      <c r="H2071" t="str">
        <f>"אלתא מערכות בע""מ"</f>
        <v>אלתא מערכות בע"מ</v>
      </c>
      <c r="I2071" t="str">
        <f>"10"</f>
        <v>10</v>
      </c>
      <c r="J2071" t="str">
        <f>"9977"</f>
        <v>9977</v>
      </c>
      <c r="K2071" t="str">
        <f>"קנס פיגור באספקה"</f>
        <v>קנס פיגור באספקה</v>
      </c>
      <c r="L2071">
        <v>1</v>
      </c>
      <c r="M2071" t="str">
        <f>"חל"</f>
        <v>חל</v>
      </c>
      <c r="N2071">
        <v>1</v>
      </c>
      <c r="O2071" t="str">
        <f>"חל"</f>
        <v>חל</v>
      </c>
      <c r="P2071">
        <v>17.2</v>
      </c>
      <c r="Q2071" t="str">
        <f>"$"</f>
        <v>$</v>
      </c>
      <c r="R2071" t="str">
        <f>"ידני"</f>
        <v>ידני</v>
      </c>
      <c r="S2071">
        <v>0</v>
      </c>
      <c r="T2071">
        <v>17.2</v>
      </c>
      <c r="U2071">
        <v>0</v>
      </c>
      <c r="V2071">
        <v>17.2</v>
      </c>
      <c r="W2071" t="str">
        <f>"$"</f>
        <v>$</v>
      </c>
      <c r="X2071">
        <v>0</v>
      </c>
      <c r="Y2071">
        <v>0</v>
      </c>
      <c r="Z2071">
        <v>0</v>
      </c>
      <c r="AA2071" t="str">
        <f>"Y"</f>
        <v>Y</v>
      </c>
      <c r="AC2071">
        <v>0</v>
      </c>
      <c r="AM2071" t="str">
        <f>"10"</f>
        <v>10</v>
      </c>
      <c r="AN2071" t="str">
        <f>"500000"</f>
        <v>500000</v>
      </c>
      <c r="AO2071" t="str">
        <f>"הכנסות  מלקוחות"</f>
        <v>הכנסות  מלקוחות</v>
      </c>
      <c r="AQ2071" t="str">
        <f>"034"</f>
        <v>034</v>
      </c>
      <c r="AR2071">
        <v>0</v>
      </c>
      <c r="AS2071">
        <v>0</v>
      </c>
      <c r="AT2071">
        <v>3.4420000000000002</v>
      </c>
      <c r="BD2071" t="str">
        <f>"ערן שלו"</f>
        <v>ערן שלו</v>
      </c>
    </row>
    <row r="2072" spans="1:56" x14ac:dyDescent="0.3">
      <c r="A2072" s="1">
        <v>44489</v>
      </c>
      <c r="B2072" t="str">
        <f>"CR217000069"</f>
        <v>CR217000069</v>
      </c>
      <c r="E2072" t="str">
        <f>"Y"</f>
        <v>Y</v>
      </c>
      <c r="F2072" t="str">
        <f>"חשבוניות זיכוי"</f>
        <v>חשבוניות זיכוי</v>
      </c>
      <c r="G2072" t="str">
        <f>"700065"</f>
        <v>700065</v>
      </c>
      <c r="H2072" t="str">
        <f>"אלתא מערכות בע""מ"</f>
        <v>אלתא מערכות בע"מ</v>
      </c>
      <c r="I2072" t="str">
        <f>"10"</f>
        <v>10</v>
      </c>
      <c r="J2072" t="str">
        <f>"9977"</f>
        <v>9977</v>
      </c>
      <c r="K2072" t="str">
        <f>"קנס פיגור באספקה"</f>
        <v>קנס פיגור באספקה</v>
      </c>
      <c r="L2072">
        <v>1</v>
      </c>
      <c r="M2072" t="str">
        <f>"חל"</f>
        <v>חל</v>
      </c>
      <c r="N2072">
        <v>1</v>
      </c>
      <c r="O2072" t="str">
        <f>"חל"</f>
        <v>חל</v>
      </c>
      <c r="P2072">
        <v>133.51</v>
      </c>
      <c r="Q2072" t="str">
        <f>"$"</f>
        <v>$</v>
      </c>
      <c r="R2072" t="str">
        <f>"ידני"</f>
        <v>ידני</v>
      </c>
      <c r="S2072">
        <v>0</v>
      </c>
      <c r="T2072">
        <v>133.51</v>
      </c>
      <c r="U2072">
        <v>0</v>
      </c>
      <c r="V2072">
        <v>133.51</v>
      </c>
      <c r="W2072" t="str">
        <f>"$"</f>
        <v>$</v>
      </c>
      <c r="X2072">
        <v>0</v>
      </c>
      <c r="Y2072">
        <v>0</v>
      </c>
      <c r="Z2072">
        <v>0</v>
      </c>
      <c r="AA2072" t="str">
        <f>"Y"</f>
        <v>Y</v>
      </c>
      <c r="AC2072">
        <v>0</v>
      </c>
      <c r="AM2072" t="str">
        <f>"10"</f>
        <v>10</v>
      </c>
      <c r="AN2072" t="str">
        <f>"500000"</f>
        <v>500000</v>
      </c>
      <c r="AO2072" t="str">
        <f>"הכנסות  מלקוחות"</f>
        <v>הכנסות  מלקוחות</v>
      </c>
      <c r="AQ2072" t="str">
        <f>"034"</f>
        <v>034</v>
      </c>
      <c r="AR2072">
        <v>0</v>
      </c>
      <c r="AS2072">
        <v>0</v>
      </c>
      <c r="AT2072">
        <v>3.4470000000000001</v>
      </c>
      <c r="BD2072" t="str">
        <f>"ערן שלו"</f>
        <v>ערן שלו</v>
      </c>
    </row>
    <row r="2073" spans="1:56" x14ac:dyDescent="0.3">
      <c r="A2073" s="1">
        <v>44488</v>
      </c>
      <c r="B2073" t="str">
        <f>"SI216001410"</f>
        <v>SI216001410</v>
      </c>
      <c r="E2073" t="str">
        <f>"Y"</f>
        <v>Y</v>
      </c>
      <c r="F2073" t="str">
        <f>"חשבוניות מרכזות"</f>
        <v>חשבוניות מרכזות</v>
      </c>
      <c r="G2073" t="str">
        <f>"700065"</f>
        <v>700065</v>
      </c>
      <c r="H2073" t="str">
        <f>"אלתא מערכות בע""מ"</f>
        <v>אלתא מערכות בע"מ</v>
      </c>
      <c r="I2073" t="str">
        <f>"10"</f>
        <v>10</v>
      </c>
      <c r="J2073" t="str">
        <f>"9977"</f>
        <v>9977</v>
      </c>
      <c r="K2073" t="str">
        <f>"קנס פיגור באספקה"</f>
        <v>קנס פיגור באספקה</v>
      </c>
      <c r="L2073">
        <v>-1</v>
      </c>
      <c r="M2073" t="str">
        <f>"חל"</f>
        <v>חל</v>
      </c>
      <c r="N2073">
        <v>-1</v>
      </c>
      <c r="O2073" t="str">
        <f>"חל"</f>
        <v>חל</v>
      </c>
      <c r="P2073" s="2">
        <v>2366.58</v>
      </c>
      <c r="Q2073" t="str">
        <f>"$"</f>
        <v>$</v>
      </c>
      <c r="R2073" t="str">
        <f>"ידני"</f>
        <v>ידני</v>
      </c>
      <c r="S2073">
        <v>0</v>
      </c>
      <c r="T2073" s="2">
        <v>-2366.58</v>
      </c>
      <c r="U2073">
        <v>0</v>
      </c>
      <c r="V2073" s="2">
        <v>-2366.58</v>
      </c>
      <c r="W2073" t="str">
        <f>"$"</f>
        <v>$</v>
      </c>
      <c r="X2073">
        <v>0</v>
      </c>
      <c r="Y2073">
        <v>0</v>
      </c>
      <c r="Z2073">
        <v>0</v>
      </c>
      <c r="AA2073" t="str">
        <f>"Y"</f>
        <v>Y</v>
      </c>
      <c r="AC2073">
        <v>0</v>
      </c>
      <c r="AM2073" t="str">
        <f>"10"</f>
        <v>10</v>
      </c>
      <c r="AN2073" t="str">
        <f>"500000"</f>
        <v>500000</v>
      </c>
      <c r="AO2073" t="str">
        <f>"הכנסות  מלקוחות"</f>
        <v>הכנסות  מלקוחות</v>
      </c>
      <c r="AQ2073" t="str">
        <f>"034"</f>
        <v>034</v>
      </c>
      <c r="AR2073">
        <v>0</v>
      </c>
      <c r="AS2073">
        <v>0</v>
      </c>
      <c r="AT2073">
        <v>3.4470000000000001</v>
      </c>
      <c r="BB2073" t="str">
        <f>"Y"</f>
        <v>Y</v>
      </c>
      <c r="BD2073" t="str">
        <f>"ערן שלו"</f>
        <v>ערן שלו</v>
      </c>
    </row>
    <row r="2074" spans="1:56" x14ac:dyDescent="0.3">
      <c r="A2074" s="1">
        <v>44488</v>
      </c>
      <c r="B2074" t="str">
        <f>"SI216001409"</f>
        <v>SI216001409</v>
      </c>
      <c r="E2074" t="str">
        <f>"Y"</f>
        <v>Y</v>
      </c>
      <c r="F2074" t="str">
        <f>"חשבוניות מרכזות"</f>
        <v>חשבוניות מרכזות</v>
      </c>
      <c r="G2074" t="str">
        <f>"700065"</f>
        <v>700065</v>
      </c>
      <c r="H2074" t="str">
        <f>"אלתא מערכות בע""מ"</f>
        <v>אלתא מערכות בע"מ</v>
      </c>
      <c r="I2074" t="str">
        <f>"10"</f>
        <v>10</v>
      </c>
      <c r="J2074" t="str">
        <f>"9977"</f>
        <v>9977</v>
      </c>
      <c r="K2074" t="str">
        <f>"קנס פיגור באספקה"</f>
        <v>קנס פיגור באספקה</v>
      </c>
      <c r="L2074">
        <v>1</v>
      </c>
      <c r="M2074" t="str">
        <f>"חל"</f>
        <v>חל</v>
      </c>
      <c r="N2074">
        <v>1</v>
      </c>
      <c r="O2074" t="str">
        <f>"חל"</f>
        <v>חל</v>
      </c>
      <c r="P2074" s="2">
        <v>2366.58</v>
      </c>
      <c r="Q2074" t="str">
        <f>"$"</f>
        <v>$</v>
      </c>
      <c r="R2074" t="str">
        <f>"ידני"</f>
        <v>ידני</v>
      </c>
      <c r="S2074">
        <v>0</v>
      </c>
      <c r="T2074" s="2">
        <v>2366.58</v>
      </c>
      <c r="U2074">
        <v>0</v>
      </c>
      <c r="V2074" s="2">
        <v>2366.58</v>
      </c>
      <c r="W2074" t="str">
        <f>"$"</f>
        <v>$</v>
      </c>
      <c r="X2074">
        <v>0</v>
      </c>
      <c r="Y2074">
        <v>0</v>
      </c>
      <c r="Z2074">
        <v>0</v>
      </c>
      <c r="AA2074" t="str">
        <f>"Y"</f>
        <v>Y</v>
      </c>
      <c r="AC2074">
        <v>0</v>
      </c>
      <c r="AM2074" t="str">
        <f>"10"</f>
        <v>10</v>
      </c>
      <c r="AN2074" t="str">
        <f>"500000"</f>
        <v>500000</v>
      </c>
      <c r="AO2074" t="str">
        <f>"הכנסות  מלקוחות"</f>
        <v>הכנסות  מלקוחות</v>
      </c>
      <c r="AQ2074" t="str">
        <f>"034"</f>
        <v>034</v>
      </c>
      <c r="AR2074">
        <v>0</v>
      </c>
      <c r="AS2074">
        <v>0</v>
      </c>
      <c r="AT2074">
        <v>3.4470000000000001</v>
      </c>
      <c r="BB2074" t="str">
        <f>"Y"</f>
        <v>Y</v>
      </c>
      <c r="BD2074" t="str">
        <f>"ערן שלו"</f>
        <v>ערן שלו</v>
      </c>
    </row>
    <row r="2075" spans="1:56" x14ac:dyDescent="0.3">
      <c r="A2075" s="1">
        <v>44488</v>
      </c>
      <c r="B2075" t="str">
        <f>"SI216001408"</f>
        <v>SI216001408</v>
      </c>
      <c r="E2075" t="str">
        <f>"Y"</f>
        <v>Y</v>
      </c>
      <c r="F2075" t="str">
        <f>"חשבוניות מרכזות"</f>
        <v>חשבוניות מרכזות</v>
      </c>
      <c r="G2075" t="str">
        <f>"700065"</f>
        <v>700065</v>
      </c>
      <c r="H2075" t="str">
        <f>"אלתא מערכות בע""מ"</f>
        <v>אלתא מערכות בע"מ</v>
      </c>
      <c r="I2075" t="str">
        <f>"10"</f>
        <v>10</v>
      </c>
      <c r="J2075" t="str">
        <f>"OP-AR02681"</f>
        <v>OP-AR02681</v>
      </c>
      <c r="K2075" t="str">
        <f>"שדרוג כבלים מהזמנה E000326481"</f>
        <v>שדרוג כבלים מהזמנה E000326481</v>
      </c>
      <c r="L2075">
        <v>1</v>
      </c>
      <c r="M2075" t="str">
        <f>"יח"</f>
        <v>יח</v>
      </c>
      <c r="N2075">
        <v>1</v>
      </c>
      <c r="O2075" t="str">
        <f>"יח"</f>
        <v>יח</v>
      </c>
      <c r="P2075" s="2">
        <v>8932.35</v>
      </c>
      <c r="Q2075" t="str">
        <f>"$"</f>
        <v>$</v>
      </c>
      <c r="R2075" t="str">
        <f>"הזמנה"</f>
        <v>הזמנה</v>
      </c>
      <c r="S2075">
        <v>0</v>
      </c>
      <c r="T2075" s="2">
        <v>8932.35</v>
      </c>
      <c r="U2075">
        <v>0</v>
      </c>
      <c r="V2075" s="2">
        <v>8932.35</v>
      </c>
      <c r="W2075" t="str">
        <f>"$"</f>
        <v>$</v>
      </c>
      <c r="X2075">
        <v>0</v>
      </c>
      <c r="Y2075">
        <v>0</v>
      </c>
      <c r="Z2075">
        <v>0</v>
      </c>
      <c r="AA2075" t="str">
        <f>"Y"</f>
        <v>Y</v>
      </c>
      <c r="AB2075" t="str">
        <f>"SO21000351"</f>
        <v>SO21000351</v>
      </c>
      <c r="AC2075">
        <v>1</v>
      </c>
      <c r="AD2075" s="1">
        <v>44409</v>
      </c>
      <c r="AM2075" t="str">
        <f>"10"</f>
        <v>10</v>
      </c>
      <c r="AN2075" t="str">
        <f>"500000"</f>
        <v>500000</v>
      </c>
      <c r="AO2075" t="str">
        <f>"הכנסות  מלקוחות"</f>
        <v>הכנסות  מלקוחות</v>
      </c>
      <c r="AQ2075" t="str">
        <f>"040"</f>
        <v>040</v>
      </c>
      <c r="AR2075">
        <v>0</v>
      </c>
      <c r="AS2075">
        <v>0</v>
      </c>
      <c r="AT2075">
        <v>3.2290000000000001</v>
      </c>
      <c r="AX2075" t="str">
        <f>"E000342961"</f>
        <v>E000342961</v>
      </c>
      <c r="BD2075" t="str">
        <f>"רחמים זרוק"</f>
        <v>רחמים זרוק</v>
      </c>
    </row>
    <row r="2076" spans="1:56" x14ac:dyDescent="0.3">
      <c r="A2076" s="1">
        <v>44488</v>
      </c>
      <c r="B2076" t="str">
        <f>"CR217000067"</f>
        <v>CR217000067</v>
      </c>
      <c r="E2076" t="str">
        <f>"Y"</f>
        <v>Y</v>
      </c>
      <c r="F2076" t="str">
        <f>"חשבוניות זיכוי"</f>
        <v>חשבוניות זיכוי</v>
      </c>
      <c r="G2076" t="str">
        <f>"700065"</f>
        <v>700065</v>
      </c>
      <c r="H2076" t="str">
        <f>"אלתא מערכות בע""מ"</f>
        <v>אלתא מערכות בע"מ</v>
      </c>
      <c r="I2076" t="str">
        <f>"10"</f>
        <v>10</v>
      </c>
      <c r="J2076" t="str">
        <f>"9977"</f>
        <v>9977</v>
      </c>
      <c r="K2076" t="str">
        <f>"קנס פיגור באספקה"</f>
        <v>קנס פיגור באספקה</v>
      </c>
      <c r="L2076">
        <v>1</v>
      </c>
      <c r="M2076" t="str">
        <f>"חל"</f>
        <v>חל</v>
      </c>
      <c r="N2076">
        <v>1</v>
      </c>
      <c r="O2076" t="str">
        <f>"חל"</f>
        <v>חל</v>
      </c>
      <c r="P2076">
        <v>34.35</v>
      </c>
      <c r="Q2076" t="str">
        <f>"$"</f>
        <v>$</v>
      </c>
      <c r="R2076" t="str">
        <f>"ידני"</f>
        <v>ידני</v>
      </c>
      <c r="S2076">
        <v>0</v>
      </c>
      <c r="T2076">
        <v>34.35</v>
      </c>
      <c r="U2076">
        <v>0</v>
      </c>
      <c r="V2076">
        <v>34.35</v>
      </c>
      <c r="W2076" t="str">
        <f>"$"</f>
        <v>$</v>
      </c>
      <c r="X2076">
        <v>0</v>
      </c>
      <c r="Y2076">
        <v>0</v>
      </c>
      <c r="Z2076">
        <v>0</v>
      </c>
      <c r="AA2076" t="str">
        <f>"Y"</f>
        <v>Y</v>
      </c>
      <c r="AC2076">
        <v>0</v>
      </c>
      <c r="AM2076" t="str">
        <f>"10"</f>
        <v>10</v>
      </c>
      <c r="AN2076" t="str">
        <f>"500000"</f>
        <v>500000</v>
      </c>
      <c r="AO2076" t="str">
        <f>"הכנסות  מלקוחות"</f>
        <v>הכנסות  מלקוחות</v>
      </c>
      <c r="AQ2076" t="str">
        <f>"034"</f>
        <v>034</v>
      </c>
      <c r="AR2076">
        <v>0</v>
      </c>
      <c r="AS2076">
        <v>0</v>
      </c>
      <c r="AT2076">
        <v>3.4470000000000001</v>
      </c>
      <c r="BD2076" t="str">
        <f>"ערן שלו"</f>
        <v>ערן שלו</v>
      </c>
    </row>
    <row r="2077" spans="1:56" x14ac:dyDescent="0.3">
      <c r="A2077" s="1">
        <v>44488</v>
      </c>
      <c r="B2077" t="str">
        <f>"CR217000066"</f>
        <v>CR217000066</v>
      </c>
      <c r="E2077" t="str">
        <f>"Y"</f>
        <v>Y</v>
      </c>
      <c r="F2077" t="str">
        <f>"חשבוניות זיכוי"</f>
        <v>חשבוניות זיכוי</v>
      </c>
      <c r="G2077" t="str">
        <f>"700065"</f>
        <v>700065</v>
      </c>
      <c r="H2077" t="str">
        <f>"אלתא מערכות בע""מ"</f>
        <v>אלתא מערכות בע"מ</v>
      </c>
      <c r="I2077" t="str">
        <f>"10"</f>
        <v>10</v>
      </c>
      <c r="J2077" t="str">
        <f>"9977"</f>
        <v>9977</v>
      </c>
      <c r="K2077" t="str">
        <f>"קנס פיגור באספקה"</f>
        <v>קנס פיגור באספקה</v>
      </c>
      <c r="L2077">
        <v>1</v>
      </c>
      <c r="M2077" t="str">
        <f>"חל"</f>
        <v>חל</v>
      </c>
      <c r="N2077">
        <v>1</v>
      </c>
      <c r="O2077" t="str">
        <f>"חל"</f>
        <v>חל</v>
      </c>
      <c r="P2077">
        <v>41.68</v>
      </c>
      <c r="Q2077" t="str">
        <f>"$"</f>
        <v>$</v>
      </c>
      <c r="R2077" t="str">
        <f>"ידני"</f>
        <v>ידני</v>
      </c>
      <c r="S2077">
        <v>0</v>
      </c>
      <c r="T2077">
        <v>41.68</v>
      </c>
      <c r="U2077">
        <v>0</v>
      </c>
      <c r="V2077">
        <v>41.68</v>
      </c>
      <c r="W2077" t="str">
        <f>"$"</f>
        <v>$</v>
      </c>
      <c r="X2077">
        <v>0</v>
      </c>
      <c r="Y2077">
        <v>0</v>
      </c>
      <c r="Z2077">
        <v>0</v>
      </c>
      <c r="AA2077" t="str">
        <f>"Y"</f>
        <v>Y</v>
      </c>
      <c r="AC2077">
        <v>0</v>
      </c>
      <c r="AM2077" t="str">
        <f>"10"</f>
        <v>10</v>
      </c>
      <c r="AN2077" t="str">
        <f>"500000"</f>
        <v>500000</v>
      </c>
      <c r="AO2077" t="str">
        <f>"הכנסות  מלקוחות"</f>
        <v>הכנסות  מלקוחות</v>
      </c>
      <c r="AQ2077" t="str">
        <f>"034"</f>
        <v>034</v>
      </c>
      <c r="AR2077">
        <v>0</v>
      </c>
      <c r="AS2077">
        <v>0</v>
      </c>
      <c r="AT2077">
        <v>3.4470000000000001</v>
      </c>
      <c r="BD2077" t="str">
        <f>"ערן שלו"</f>
        <v>ערן שלו</v>
      </c>
    </row>
    <row r="2078" spans="1:56" x14ac:dyDescent="0.3">
      <c r="A2078" s="1">
        <v>44488</v>
      </c>
      <c r="B2078" t="str">
        <f>"CR217000065"</f>
        <v>CR217000065</v>
      </c>
      <c r="E2078" t="str">
        <f>"Y"</f>
        <v>Y</v>
      </c>
      <c r="F2078" t="str">
        <f>"חשבוניות זיכוי"</f>
        <v>חשבוניות זיכוי</v>
      </c>
      <c r="G2078" t="str">
        <f>"700065"</f>
        <v>700065</v>
      </c>
      <c r="H2078" t="str">
        <f>"אלתא מערכות בע""מ"</f>
        <v>אלתא מערכות בע"מ</v>
      </c>
      <c r="I2078" t="str">
        <f>"10"</f>
        <v>10</v>
      </c>
      <c r="J2078" t="str">
        <f>"9977"</f>
        <v>9977</v>
      </c>
      <c r="K2078" t="str">
        <f>"קנס פיגור באספקה"</f>
        <v>קנס פיגור באספקה</v>
      </c>
      <c r="L2078">
        <v>1</v>
      </c>
      <c r="M2078" t="str">
        <f>"חל"</f>
        <v>חל</v>
      </c>
      <c r="N2078">
        <v>1</v>
      </c>
      <c r="O2078" t="str">
        <f>"חל"</f>
        <v>חל</v>
      </c>
      <c r="P2078">
        <v>112.26</v>
      </c>
      <c r="Q2078" t="str">
        <f>"$"</f>
        <v>$</v>
      </c>
      <c r="R2078" t="str">
        <f>"ידני"</f>
        <v>ידני</v>
      </c>
      <c r="S2078">
        <v>0</v>
      </c>
      <c r="T2078">
        <v>112.26</v>
      </c>
      <c r="U2078">
        <v>0</v>
      </c>
      <c r="V2078">
        <v>112.26</v>
      </c>
      <c r="W2078" t="str">
        <f>"$"</f>
        <v>$</v>
      </c>
      <c r="X2078">
        <v>0</v>
      </c>
      <c r="Y2078">
        <v>0</v>
      </c>
      <c r="Z2078">
        <v>0</v>
      </c>
      <c r="AA2078" t="str">
        <f>"Y"</f>
        <v>Y</v>
      </c>
      <c r="AC2078">
        <v>0</v>
      </c>
      <c r="AM2078" t="str">
        <f>"10"</f>
        <v>10</v>
      </c>
      <c r="AN2078" t="str">
        <f>"500000"</f>
        <v>500000</v>
      </c>
      <c r="AO2078" t="str">
        <f>"הכנסות  מלקוחות"</f>
        <v>הכנסות  מלקוחות</v>
      </c>
      <c r="AQ2078" t="str">
        <f>"034"</f>
        <v>034</v>
      </c>
      <c r="AR2078">
        <v>0</v>
      </c>
      <c r="AS2078">
        <v>0</v>
      </c>
      <c r="AT2078">
        <v>3.4470000000000001</v>
      </c>
      <c r="BD2078" t="str">
        <f>"ערן שלו"</f>
        <v>ערן שלו</v>
      </c>
    </row>
    <row r="2079" spans="1:56" x14ac:dyDescent="0.3">
      <c r="A2079" s="1">
        <v>44488</v>
      </c>
      <c r="B2079" t="str">
        <f>"CR217000064"</f>
        <v>CR217000064</v>
      </c>
      <c r="E2079" t="str">
        <f>"Y"</f>
        <v>Y</v>
      </c>
      <c r="F2079" t="str">
        <f>"חשבוניות זיכוי"</f>
        <v>חשבוניות זיכוי</v>
      </c>
      <c r="G2079" t="str">
        <f>"700065"</f>
        <v>700065</v>
      </c>
      <c r="H2079" t="str">
        <f>"אלתא מערכות בע""מ"</f>
        <v>אלתא מערכות בע"מ</v>
      </c>
      <c r="I2079" t="str">
        <f>"10"</f>
        <v>10</v>
      </c>
      <c r="J2079" t="str">
        <f>"9977"</f>
        <v>9977</v>
      </c>
      <c r="K2079" t="str">
        <f>"קנס פיגור באספקה"</f>
        <v>קנס פיגור באספקה</v>
      </c>
      <c r="L2079">
        <v>1</v>
      </c>
      <c r="M2079" t="str">
        <f>"חל"</f>
        <v>חל</v>
      </c>
      <c r="N2079">
        <v>1</v>
      </c>
      <c r="O2079" t="str">
        <f>"חל"</f>
        <v>חל</v>
      </c>
      <c r="P2079">
        <v>249.03</v>
      </c>
      <c r="Q2079" t="str">
        <f>"$"</f>
        <v>$</v>
      </c>
      <c r="R2079" t="str">
        <f>"ידני"</f>
        <v>ידני</v>
      </c>
      <c r="S2079">
        <v>0</v>
      </c>
      <c r="T2079">
        <v>249.03</v>
      </c>
      <c r="U2079">
        <v>0</v>
      </c>
      <c r="V2079">
        <v>249.03</v>
      </c>
      <c r="W2079" t="str">
        <f>"$"</f>
        <v>$</v>
      </c>
      <c r="X2079">
        <v>0</v>
      </c>
      <c r="Y2079">
        <v>0</v>
      </c>
      <c r="Z2079">
        <v>0</v>
      </c>
      <c r="AA2079" t="str">
        <f>"Y"</f>
        <v>Y</v>
      </c>
      <c r="AC2079">
        <v>0</v>
      </c>
      <c r="AM2079" t="str">
        <f>"10"</f>
        <v>10</v>
      </c>
      <c r="AN2079" t="str">
        <f>"500000"</f>
        <v>500000</v>
      </c>
      <c r="AO2079" t="str">
        <f>"הכנסות  מלקוחות"</f>
        <v>הכנסות  מלקוחות</v>
      </c>
      <c r="AQ2079" t="str">
        <f>"034"</f>
        <v>034</v>
      </c>
      <c r="AR2079">
        <v>0</v>
      </c>
      <c r="AS2079">
        <v>0</v>
      </c>
      <c r="AT2079">
        <v>3.4470000000000001</v>
      </c>
      <c r="BD2079" t="str">
        <f>"ערן שלו"</f>
        <v>ערן שלו</v>
      </c>
    </row>
    <row r="2080" spans="1:56" x14ac:dyDescent="0.3">
      <c r="A2080" s="1">
        <v>44488</v>
      </c>
      <c r="B2080" t="str">
        <f>"CR217000063"</f>
        <v>CR217000063</v>
      </c>
      <c r="E2080" t="str">
        <f>"Y"</f>
        <v>Y</v>
      </c>
      <c r="F2080" t="str">
        <f>"חשבוניות זיכוי"</f>
        <v>חשבוניות זיכוי</v>
      </c>
      <c r="G2080" t="str">
        <f>"700065"</f>
        <v>700065</v>
      </c>
      <c r="H2080" t="str">
        <f>"אלתא מערכות בע""מ"</f>
        <v>אלתא מערכות בע"מ</v>
      </c>
      <c r="I2080" t="str">
        <f>"10"</f>
        <v>10</v>
      </c>
      <c r="J2080" t="str">
        <f>"9977"</f>
        <v>9977</v>
      </c>
      <c r="K2080" t="str">
        <f>"קנס פיגור באספקה"</f>
        <v>קנס פיגור באספקה</v>
      </c>
      <c r="L2080">
        <v>1</v>
      </c>
      <c r="M2080" t="str">
        <f>"חל"</f>
        <v>חל</v>
      </c>
      <c r="N2080">
        <v>1</v>
      </c>
      <c r="O2080" t="str">
        <f>"חל"</f>
        <v>חל</v>
      </c>
      <c r="P2080">
        <v>366</v>
      </c>
      <c r="Q2080" t="str">
        <f>"$"</f>
        <v>$</v>
      </c>
      <c r="R2080" t="str">
        <f>"ידני"</f>
        <v>ידני</v>
      </c>
      <c r="S2080">
        <v>0</v>
      </c>
      <c r="T2080">
        <v>366</v>
      </c>
      <c r="U2080">
        <v>0</v>
      </c>
      <c r="V2080">
        <v>366</v>
      </c>
      <c r="W2080" t="str">
        <f>"$"</f>
        <v>$</v>
      </c>
      <c r="X2080">
        <v>0</v>
      </c>
      <c r="Y2080">
        <v>0</v>
      </c>
      <c r="Z2080">
        <v>0</v>
      </c>
      <c r="AA2080" t="str">
        <f>"Y"</f>
        <v>Y</v>
      </c>
      <c r="AC2080">
        <v>0</v>
      </c>
      <c r="AM2080" t="str">
        <f>"10"</f>
        <v>10</v>
      </c>
      <c r="AN2080" t="str">
        <f>"500000"</f>
        <v>500000</v>
      </c>
      <c r="AO2080" t="str">
        <f>"הכנסות  מלקוחות"</f>
        <v>הכנסות  מלקוחות</v>
      </c>
      <c r="AQ2080" t="str">
        <f>"034"</f>
        <v>034</v>
      </c>
      <c r="AR2080">
        <v>0</v>
      </c>
      <c r="AS2080">
        <v>0</v>
      </c>
      <c r="AT2080">
        <v>3.4470000000000001</v>
      </c>
      <c r="BD2080" t="str">
        <f>"ערן שלו"</f>
        <v>ערן שלו</v>
      </c>
    </row>
    <row r="2081" spans="1:56" x14ac:dyDescent="0.3">
      <c r="A2081" s="1">
        <v>44488</v>
      </c>
      <c r="B2081" t="str">
        <f>"CR217000062"</f>
        <v>CR217000062</v>
      </c>
      <c r="E2081" t="str">
        <f>"Y"</f>
        <v>Y</v>
      </c>
      <c r="F2081" t="str">
        <f>"חשבוניות זיכוי"</f>
        <v>חשבוניות זיכוי</v>
      </c>
      <c r="G2081" t="str">
        <f>"700065"</f>
        <v>700065</v>
      </c>
      <c r="H2081" t="str">
        <f>"אלתא מערכות בע""מ"</f>
        <v>אלתא מערכות בע"מ</v>
      </c>
      <c r="I2081" t="str">
        <f>"10"</f>
        <v>10</v>
      </c>
      <c r="J2081" t="str">
        <f>"9977"</f>
        <v>9977</v>
      </c>
      <c r="K2081" t="str">
        <f>"קנס פיגור באספקה"</f>
        <v>קנס פיגור באספקה</v>
      </c>
      <c r="L2081">
        <v>1</v>
      </c>
      <c r="M2081" t="str">
        <f>"חל"</f>
        <v>חל</v>
      </c>
      <c r="N2081">
        <v>1</v>
      </c>
      <c r="O2081" t="str">
        <f>"חל"</f>
        <v>חל</v>
      </c>
      <c r="P2081" s="2">
        <v>1680</v>
      </c>
      <c r="Q2081" t="str">
        <f>"$"</f>
        <v>$</v>
      </c>
      <c r="R2081" t="str">
        <f>"ידני"</f>
        <v>ידני</v>
      </c>
      <c r="S2081">
        <v>0</v>
      </c>
      <c r="T2081" s="2">
        <v>1680</v>
      </c>
      <c r="U2081">
        <v>0</v>
      </c>
      <c r="V2081" s="2">
        <v>1680</v>
      </c>
      <c r="W2081" t="str">
        <f>"$"</f>
        <v>$</v>
      </c>
      <c r="X2081">
        <v>0</v>
      </c>
      <c r="Y2081">
        <v>0</v>
      </c>
      <c r="Z2081">
        <v>0</v>
      </c>
      <c r="AA2081" t="str">
        <f>"Y"</f>
        <v>Y</v>
      </c>
      <c r="AC2081">
        <v>0</v>
      </c>
      <c r="AM2081" t="str">
        <f>"10"</f>
        <v>10</v>
      </c>
      <c r="AN2081" t="str">
        <f>"500000"</f>
        <v>500000</v>
      </c>
      <c r="AO2081" t="str">
        <f>"הכנסות  מלקוחות"</f>
        <v>הכנסות  מלקוחות</v>
      </c>
      <c r="AQ2081" t="str">
        <f>"034"</f>
        <v>034</v>
      </c>
      <c r="AR2081">
        <v>0</v>
      </c>
      <c r="AS2081">
        <v>0</v>
      </c>
      <c r="AT2081">
        <v>3.484</v>
      </c>
      <c r="BD2081" t="str">
        <f>"ערן שלו"</f>
        <v>ערן שלו</v>
      </c>
    </row>
    <row r="2082" spans="1:56" x14ac:dyDescent="0.3">
      <c r="A2082" s="1">
        <v>44488</v>
      </c>
      <c r="B2082" t="str">
        <f>"CR217000061"</f>
        <v>CR217000061</v>
      </c>
      <c r="E2082" t="str">
        <f>"Y"</f>
        <v>Y</v>
      </c>
      <c r="F2082" t="str">
        <f>"חשבוניות זיכוי"</f>
        <v>חשבוניות זיכוי</v>
      </c>
      <c r="G2082" t="str">
        <f>"700065"</f>
        <v>700065</v>
      </c>
      <c r="H2082" t="str">
        <f>"אלתא מערכות בע""מ"</f>
        <v>אלתא מערכות בע"מ</v>
      </c>
      <c r="I2082" t="str">
        <f>"10"</f>
        <v>10</v>
      </c>
      <c r="J2082" t="str">
        <f>"9977"</f>
        <v>9977</v>
      </c>
      <c r="K2082" t="str">
        <f>"קנס פיגור באספקה"</f>
        <v>קנס פיגור באספקה</v>
      </c>
      <c r="L2082">
        <v>1</v>
      </c>
      <c r="M2082" t="str">
        <f>"חל"</f>
        <v>חל</v>
      </c>
      <c r="N2082">
        <v>1</v>
      </c>
      <c r="O2082" t="str">
        <f>"חל"</f>
        <v>חל</v>
      </c>
      <c r="P2082" s="2">
        <v>2366.58</v>
      </c>
      <c r="Q2082" t="str">
        <f>"$"</f>
        <v>$</v>
      </c>
      <c r="R2082" t="str">
        <f>"ידני"</f>
        <v>ידני</v>
      </c>
      <c r="S2082">
        <v>0</v>
      </c>
      <c r="T2082" s="2">
        <v>2366.58</v>
      </c>
      <c r="U2082">
        <v>0</v>
      </c>
      <c r="V2082" s="2">
        <v>2366.58</v>
      </c>
      <c r="W2082" t="str">
        <f>"$"</f>
        <v>$</v>
      </c>
      <c r="X2082">
        <v>0</v>
      </c>
      <c r="Y2082">
        <v>0</v>
      </c>
      <c r="Z2082">
        <v>0</v>
      </c>
      <c r="AA2082" t="str">
        <f>"Y"</f>
        <v>Y</v>
      </c>
      <c r="AC2082">
        <v>0</v>
      </c>
      <c r="AM2082" t="str">
        <f>"10"</f>
        <v>10</v>
      </c>
      <c r="AN2082" t="str">
        <f>"500000"</f>
        <v>500000</v>
      </c>
      <c r="AO2082" t="str">
        <f>"הכנסות  מלקוחות"</f>
        <v>הכנסות  מלקוחות</v>
      </c>
      <c r="AQ2082" t="str">
        <f>"034"</f>
        <v>034</v>
      </c>
      <c r="AR2082">
        <v>0</v>
      </c>
      <c r="AS2082">
        <v>0</v>
      </c>
      <c r="AT2082">
        <v>3.4470000000000001</v>
      </c>
      <c r="BD2082" t="str">
        <f>"ערן שלו"</f>
        <v>ערן שלו</v>
      </c>
    </row>
    <row r="2083" spans="1:56" x14ac:dyDescent="0.3">
      <c r="A2083" s="1">
        <v>44487</v>
      </c>
      <c r="B2083" t="str">
        <f>"SI216001426"</f>
        <v>SI216001426</v>
      </c>
      <c r="C2083" t="str">
        <f>"PR21000340"</f>
        <v>PR21000340</v>
      </c>
      <c r="D2083" t="str">
        <f>"PR21000340"</f>
        <v>PR21000340</v>
      </c>
      <c r="E2083" t="str">
        <f>"Y"</f>
        <v>Y</v>
      </c>
      <c r="F2083" t="str">
        <f>"חשבוניות מרכזות"</f>
        <v>חשבוניות מרכזות</v>
      </c>
      <c r="G2083" t="str">
        <f>"700065"</f>
        <v>700065</v>
      </c>
      <c r="H2083" t="str">
        <f>"אלתא מערכות בע""מ"</f>
        <v>אלתא מערכות בע"מ</v>
      </c>
      <c r="I2083" t="str">
        <f>"10"</f>
        <v>10</v>
      </c>
      <c r="J2083" t="str">
        <f>"OP-AR02587"</f>
        <v>OP-AR02587</v>
      </c>
      <c r="K2083" t="str">
        <f>"1019G390-001   HARNESS W41 - PED TO CU"</f>
        <v>1019G390-001   HARNESS W41 - PED TO CU</v>
      </c>
      <c r="L2083">
        <v>1</v>
      </c>
      <c r="M2083" t="str">
        <f>"יח"</f>
        <v>יח</v>
      </c>
      <c r="N2083">
        <v>1</v>
      </c>
      <c r="O2083" t="str">
        <f>"יח"</f>
        <v>יח</v>
      </c>
      <c r="P2083" s="2">
        <v>1118.82</v>
      </c>
      <c r="Q2083" t="str">
        <f>"$"</f>
        <v>$</v>
      </c>
      <c r="R2083" t="str">
        <f>"הזמנה"</f>
        <v>הזמנה</v>
      </c>
      <c r="S2083">
        <v>0</v>
      </c>
      <c r="T2083" s="2">
        <v>1118.82</v>
      </c>
      <c r="U2083">
        <v>0</v>
      </c>
      <c r="V2083" s="2">
        <v>1118.82</v>
      </c>
      <c r="W2083" t="str">
        <f>"$"</f>
        <v>$</v>
      </c>
      <c r="X2083">
        <v>0</v>
      </c>
      <c r="Y2083">
        <v>0</v>
      </c>
      <c r="Z2083">
        <v>0</v>
      </c>
      <c r="AA2083" t="str">
        <f>"Y"</f>
        <v>Y</v>
      </c>
      <c r="AB2083" t="str">
        <f>"SO21000237"</f>
        <v>SO21000237</v>
      </c>
      <c r="AC2083">
        <v>1</v>
      </c>
      <c r="AD2083" s="1">
        <v>44341</v>
      </c>
      <c r="AE2083" t="str">
        <f>"SH21001774"</f>
        <v>SH21001774</v>
      </c>
      <c r="AF2083" t="str">
        <f>"משלוחים ללקוח"</f>
        <v>משלוחים ללקוח</v>
      </c>
      <c r="AG2083" s="1">
        <v>44486</v>
      </c>
      <c r="AM2083" t="str">
        <f>"10"</f>
        <v>10</v>
      </c>
      <c r="AN2083" t="str">
        <f>"500000"</f>
        <v>500000</v>
      </c>
      <c r="AO2083" t="str">
        <f>"הכנסות  מלקוחות"</f>
        <v>הכנסות  מלקוחות</v>
      </c>
      <c r="AQ2083" t="str">
        <f>"040"</f>
        <v>040</v>
      </c>
      <c r="AR2083">
        <v>0</v>
      </c>
      <c r="AS2083">
        <v>0</v>
      </c>
      <c r="AT2083">
        <v>3.2290000000000001</v>
      </c>
      <c r="AX2083" t="str">
        <f>"E000338824"</f>
        <v>E000338824</v>
      </c>
      <c r="BD2083" t="str">
        <f>"רחמים זרוק"</f>
        <v>רחמים זרוק</v>
      </c>
    </row>
    <row r="2084" spans="1:56" x14ac:dyDescent="0.3">
      <c r="A2084" s="1">
        <v>44487</v>
      </c>
      <c r="B2084" t="str">
        <f>"SI216001425"</f>
        <v>SI216001425</v>
      </c>
      <c r="C2084" t="str">
        <f>"PR21000562"</f>
        <v>PR21000562</v>
      </c>
      <c r="D2084" t="str">
        <f>"PR21000562"</f>
        <v>PR21000562</v>
      </c>
      <c r="E2084" t="str">
        <f>"Y"</f>
        <v>Y</v>
      </c>
      <c r="F2084" t="str">
        <f>"חשבוניות מרכזות"</f>
        <v>חשבוניות מרכזות</v>
      </c>
      <c r="G2084" t="str">
        <f>"700065"</f>
        <v>700065</v>
      </c>
      <c r="H2084" t="str">
        <f>"אלתא מערכות בע""מ"</f>
        <v>אלתא מערכות בע"מ</v>
      </c>
      <c r="I2084" t="str">
        <f>"10"</f>
        <v>10</v>
      </c>
      <c r="J2084" t="str">
        <f>"OP-AR02690"</f>
        <v>OP-AR02690</v>
      </c>
      <c r="K2084" t="str">
        <f>"1038C466-001    GROUND CABLE WG466 - MAP TO PDB2 GROUND"</f>
        <v>1038C466-001    GROUND CABLE WG466 - MAP TO PDB2 GROUND</v>
      </c>
      <c r="L2084">
        <v>8</v>
      </c>
      <c r="M2084" t="str">
        <f>"יח"</f>
        <v>יח</v>
      </c>
      <c r="N2084">
        <v>8</v>
      </c>
      <c r="O2084" t="str">
        <f>"יח"</f>
        <v>יח</v>
      </c>
      <c r="P2084">
        <v>55.44</v>
      </c>
      <c r="Q2084" t="str">
        <f>"$"</f>
        <v>$</v>
      </c>
      <c r="R2084" t="str">
        <f>"הזמנה"</f>
        <v>הזמנה</v>
      </c>
      <c r="S2084">
        <v>0</v>
      </c>
      <c r="T2084">
        <v>443.52</v>
      </c>
      <c r="U2084">
        <v>0</v>
      </c>
      <c r="V2084">
        <v>443.52</v>
      </c>
      <c r="W2084" t="str">
        <f>"$"</f>
        <v>$</v>
      </c>
      <c r="X2084">
        <v>0</v>
      </c>
      <c r="Y2084">
        <v>0</v>
      </c>
      <c r="Z2084">
        <v>0</v>
      </c>
      <c r="AA2084" t="str">
        <f>"Y"</f>
        <v>Y</v>
      </c>
      <c r="AB2084" t="str">
        <f>"SO21000361"</f>
        <v>SO21000361</v>
      </c>
      <c r="AC2084">
        <v>9</v>
      </c>
      <c r="AD2084" s="1">
        <v>44413</v>
      </c>
      <c r="AE2084" t="str">
        <f>"SH21001780"</f>
        <v>SH21001780</v>
      </c>
      <c r="AF2084" t="str">
        <f>"משלוחים ללקוח"</f>
        <v>משלוחים ללקוח</v>
      </c>
      <c r="AG2084" s="1">
        <v>44486</v>
      </c>
      <c r="AM2084" t="str">
        <f>"10"</f>
        <v>10</v>
      </c>
      <c r="AN2084" t="str">
        <f>"500000"</f>
        <v>500000</v>
      </c>
      <c r="AO2084" t="str">
        <f>"הכנסות  מלקוחות"</f>
        <v>הכנסות  מלקוחות</v>
      </c>
      <c r="AQ2084" t="str">
        <f>"040"</f>
        <v>040</v>
      </c>
      <c r="AR2084">
        <v>0</v>
      </c>
      <c r="AS2084">
        <v>0</v>
      </c>
      <c r="AT2084">
        <v>3.2290000000000001</v>
      </c>
      <c r="AX2084" t="str">
        <f>"E000344376"</f>
        <v>E000344376</v>
      </c>
      <c r="BD2084" t="str">
        <f>"רחמים זרוק"</f>
        <v>רחמים זרוק</v>
      </c>
    </row>
    <row r="2085" spans="1:56" x14ac:dyDescent="0.3">
      <c r="A2085" s="1">
        <v>44487</v>
      </c>
      <c r="B2085" t="str">
        <f>"SI216001425"</f>
        <v>SI216001425</v>
      </c>
      <c r="C2085" t="str">
        <f>"PR21000562"</f>
        <v>PR21000562</v>
      </c>
      <c r="D2085" t="str">
        <f>"PR21000562"</f>
        <v>PR21000562</v>
      </c>
      <c r="E2085" t="str">
        <f>"Y"</f>
        <v>Y</v>
      </c>
      <c r="F2085" t="str">
        <f>"חשבוניות מרכזות"</f>
        <v>חשבוניות מרכזות</v>
      </c>
      <c r="G2085" t="str">
        <f>"700065"</f>
        <v>700065</v>
      </c>
      <c r="H2085" t="str">
        <f>"אלתא מערכות בע""מ"</f>
        <v>אלתא מערכות בע"מ</v>
      </c>
      <c r="I2085" t="str">
        <f>"10"</f>
        <v>10</v>
      </c>
      <c r="J2085" t="str">
        <f>"OP-AR02690"</f>
        <v>OP-AR02690</v>
      </c>
      <c r="K2085" t="str">
        <f>"1038C466-001    GROUND CABLE WG466 - MAP TO PDB2 GROUND"</f>
        <v>1038C466-001    GROUND CABLE WG466 - MAP TO PDB2 GROUND</v>
      </c>
      <c r="L2085">
        <v>3</v>
      </c>
      <c r="M2085" t="str">
        <f>"יח"</f>
        <v>יח</v>
      </c>
      <c r="N2085">
        <v>3</v>
      </c>
      <c r="O2085" t="str">
        <f>"יח"</f>
        <v>יח</v>
      </c>
      <c r="P2085">
        <v>55.44</v>
      </c>
      <c r="Q2085" t="str">
        <f>"$"</f>
        <v>$</v>
      </c>
      <c r="R2085" t="str">
        <f>"הזמנה"</f>
        <v>הזמנה</v>
      </c>
      <c r="S2085">
        <v>0</v>
      </c>
      <c r="T2085">
        <v>166.32</v>
      </c>
      <c r="U2085">
        <v>0</v>
      </c>
      <c r="V2085">
        <v>166.32</v>
      </c>
      <c r="W2085" t="str">
        <f>"$"</f>
        <v>$</v>
      </c>
      <c r="X2085">
        <v>0</v>
      </c>
      <c r="Y2085">
        <v>0</v>
      </c>
      <c r="Z2085">
        <v>0</v>
      </c>
      <c r="AA2085" t="str">
        <f>"Y"</f>
        <v>Y</v>
      </c>
      <c r="AB2085" t="str">
        <f>"SO21000361"</f>
        <v>SO21000361</v>
      </c>
      <c r="AC2085">
        <v>10</v>
      </c>
      <c r="AD2085" s="1">
        <v>44413</v>
      </c>
      <c r="AE2085" t="str">
        <f>"SH21001780"</f>
        <v>SH21001780</v>
      </c>
      <c r="AF2085" t="str">
        <f>"משלוחים ללקוח"</f>
        <v>משלוחים ללקוח</v>
      </c>
      <c r="AG2085" s="1">
        <v>44486</v>
      </c>
      <c r="AM2085" t="str">
        <f>"10"</f>
        <v>10</v>
      </c>
      <c r="AN2085" t="str">
        <f>"500000"</f>
        <v>500000</v>
      </c>
      <c r="AO2085" t="str">
        <f>"הכנסות  מלקוחות"</f>
        <v>הכנסות  מלקוחות</v>
      </c>
      <c r="AQ2085" t="str">
        <f>"040"</f>
        <v>040</v>
      </c>
      <c r="AR2085">
        <v>0</v>
      </c>
      <c r="AS2085">
        <v>0</v>
      </c>
      <c r="AT2085">
        <v>3.2290000000000001</v>
      </c>
      <c r="AX2085" t="str">
        <f>"E000344376"</f>
        <v>E000344376</v>
      </c>
      <c r="BD2085" t="str">
        <f>"רחמים זרוק"</f>
        <v>רחמים זרוק</v>
      </c>
    </row>
    <row r="2086" spans="1:56" x14ac:dyDescent="0.3">
      <c r="A2086" s="1">
        <v>44487</v>
      </c>
      <c r="B2086" t="str">
        <f>"SI216001425"</f>
        <v>SI216001425</v>
      </c>
      <c r="C2086" t="str">
        <f>"PR21000562"</f>
        <v>PR21000562</v>
      </c>
      <c r="D2086" t="str">
        <f>"PR21000562"</f>
        <v>PR21000562</v>
      </c>
      <c r="E2086" t="str">
        <f>"Y"</f>
        <v>Y</v>
      </c>
      <c r="F2086" t="str">
        <f>"חשבוניות מרכזות"</f>
        <v>חשבוניות מרכזות</v>
      </c>
      <c r="G2086" t="str">
        <f>"700065"</f>
        <v>700065</v>
      </c>
      <c r="H2086" t="str">
        <f>"אלתא מערכות בע""מ"</f>
        <v>אלתא מערכות בע"מ</v>
      </c>
      <c r="I2086" t="str">
        <f>"10"</f>
        <v>10</v>
      </c>
      <c r="J2086" t="str">
        <f>"OP-AR02691"</f>
        <v>OP-AR02691</v>
      </c>
      <c r="K2086" t="str">
        <f>"1038N156-001    GROUND CABLE WN156 - CUG - TCG TO CUG GR"</f>
        <v>1038N156-001    GROUND CABLE WN156 - CUG - TCG TO CUG GR</v>
      </c>
      <c r="L2086">
        <v>8</v>
      </c>
      <c r="M2086" t="str">
        <f>"יח"</f>
        <v>יח</v>
      </c>
      <c r="N2086">
        <v>8</v>
      </c>
      <c r="O2086" t="str">
        <f>"יח"</f>
        <v>יח</v>
      </c>
      <c r="P2086">
        <v>41.27</v>
      </c>
      <c r="Q2086" t="str">
        <f>"$"</f>
        <v>$</v>
      </c>
      <c r="R2086" t="str">
        <f>"הזמנה"</f>
        <v>הזמנה</v>
      </c>
      <c r="S2086">
        <v>0</v>
      </c>
      <c r="T2086">
        <v>330.16</v>
      </c>
      <c r="U2086">
        <v>0</v>
      </c>
      <c r="V2086">
        <v>330.16</v>
      </c>
      <c r="W2086" t="str">
        <f>"$"</f>
        <v>$</v>
      </c>
      <c r="X2086">
        <v>0</v>
      </c>
      <c r="Y2086">
        <v>0</v>
      </c>
      <c r="Z2086">
        <v>0</v>
      </c>
      <c r="AA2086" t="str">
        <f>"Y"</f>
        <v>Y</v>
      </c>
      <c r="AB2086" t="str">
        <f>"SO21000361"</f>
        <v>SO21000361</v>
      </c>
      <c r="AC2086">
        <v>11</v>
      </c>
      <c r="AD2086" s="1">
        <v>44413</v>
      </c>
      <c r="AE2086" t="str">
        <f>"SH21001780"</f>
        <v>SH21001780</v>
      </c>
      <c r="AF2086" t="str">
        <f>"משלוחים ללקוח"</f>
        <v>משלוחים ללקוח</v>
      </c>
      <c r="AG2086" s="1">
        <v>44486</v>
      </c>
      <c r="AM2086" t="str">
        <f>"10"</f>
        <v>10</v>
      </c>
      <c r="AN2086" t="str">
        <f>"500000"</f>
        <v>500000</v>
      </c>
      <c r="AO2086" t="str">
        <f>"הכנסות  מלקוחות"</f>
        <v>הכנסות  מלקוחות</v>
      </c>
      <c r="AQ2086" t="str">
        <f>"040"</f>
        <v>040</v>
      </c>
      <c r="AR2086">
        <v>0</v>
      </c>
      <c r="AS2086">
        <v>0</v>
      </c>
      <c r="AT2086">
        <v>3.2290000000000001</v>
      </c>
      <c r="AX2086" t="str">
        <f>"E000344376"</f>
        <v>E000344376</v>
      </c>
      <c r="BD2086" t="str">
        <f>"רחמים זרוק"</f>
        <v>רחמים זרוק</v>
      </c>
    </row>
    <row r="2087" spans="1:56" x14ac:dyDescent="0.3">
      <c r="A2087" s="1">
        <v>44487</v>
      </c>
      <c r="B2087" t="str">
        <f>"SI216001425"</f>
        <v>SI216001425</v>
      </c>
      <c r="C2087" t="str">
        <f>"PR21000562"</f>
        <v>PR21000562</v>
      </c>
      <c r="D2087" t="str">
        <f>"PR21000562"</f>
        <v>PR21000562</v>
      </c>
      <c r="E2087" t="str">
        <f>"Y"</f>
        <v>Y</v>
      </c>
      <c r="F2087" t="str">
        <f>"חשבוניות מרכזות"</f>
        <v>חשבוניות מרכזות</v>
      </c>
      <c r="G2087" t="str">
        <f>"700065"</f>
        <v>700065</v>
      </c>
      <c r="H2087" t="str">
        <f>"אלתא מערכות בע""מ"</f>
        <v>אלתא מערכות בע"מ</v>
      </c>
      <c r="I2087" t="str">
        <f>"10"</f>
        <v>10</v>
      </c>
      <c r="J2087" t="str">
        <f>"OP-AR02691"</f>
        <v>OP-AR02691</v>
      </c>
      <c r="K2087" t="str">
        <f>"1038N156-001    GROUND CABLE WN156 - CUG - TCG TO CUG GR"</f>
        <v>1038N156-001    GROUND CABLE WN156 - CUG - TCG TO CUG GR</v>
      </c>
      <c r="L2087">
        <v>3</v>
      </c>
      <c r="M2087" t="str">
        <f>"יח"</f>
        <v>יח</v>
      </c>
      <c r="N2087">
        <v>3</v>
      </c>
      <c r="O2087" t="str">
        <f>"יח"</f>
        <v>יח</v>
      </c>
      <c r="P2087">
        <v>41.27</v>
      </c>
      <c r="Q2087" t="str">
        <f>"$"</f>
        <v>$</v>
      </c>
      <c r="R2087" t="str">
        <f>"הזמנה"</f>
        <v>הזמנה</v>
      </c>
      <c r="S2087">
        <v>0</v>
      </c>
      <c r="T2087">
        <v>123.81</v>
      </c>
      <c r="U2087">
        <v>0</v>
      </c>
      <c r="V2087">
        <v>123.81</v>
      </c>
      <c r="W2087" t="str">
        <f>"$"</f>
        <v>$</v>
      </c>
      <c r="X2087">
        <v>0</v>
      </c>
      <c r="Y2087">
        <v>0</v>
      </c>
      <c r="Z2087">
        <v>0</v>
      </c>
      <c r="AA2087" t="str">
        <f>"Y"</f>
        <v>Y</v>
      </c>
      <c r="AB2087" t="str">
        <f>"SO21000361"</f>
        <v>SO21000361</v>
      </c>
      <c r="AC2087">
        <v>12</v>
      </c>
      <c r="AD2087" s="1">
        <v>44413</v>
      </c>
      <c r="AE2087" t="str">
        <f>"SH21001780"</f>
        <v>SH21001780</v>
      </c>
      <c r="AF2087" t="str">
        <f>"משלוחים ללקוח"</f>
        <v>משלוחים ללקוח</v>
      </c>
      <c r="AG2087" s="1">
        <v>44486</v>
      </c>
      <c r="AM2087" t="str">
        <f>"10"</f>
        <v>10</v>
      </c>
      <c r="AN2087" t="str">
        <f>"500000"</f>
        <v>500000</v>
      </c>
      <c r="AO2087" t="str">
        <f>"הכנסות  מלקוחות"</f>
        <v>הכנסות  מלקוחות</v>
      </c>
      <c r="AQ2087" t="str">
        <f>"040"</f>
        <v>040</v>
      </c>
      <c r="AR2087">
        <v>0</v>
      </c>
      <c r="AS2087">
        <v>0</v>
      </c>
      <c r="AT2087">
        <v>3.2290000000000001</v>
      </c>
      <c r="AX2087" t="str">
        <f>"E000344376"</f>
        <v>E000344376</v>
      </c>
      <c r="BD2087" t="str">
        <f>"רחמים זרוק"</f>
        <v>רחמים זרוק</v>
      </c>
    </row>
    <row r="2088" spans="1:56" x14ac:dyDescent="0.3">
      <c r="A2088" s="1">
        <v>44487</v>
      </c>
      <c r="B2088" t="str">
        <f>"SI216001425"</f>
        <v>SI216001425</v>
      </c>
      <c r="C2088" t="str">
        <f>"PR21000562"</f>
        <v>PR21000562</v>
      </c>
      <c r="D2088" t="str">
        <f>"PR21000562"</f>
        <v>PR21000562</v>
      </c>
      <c r="E2088" t="str">
        <f>"Y"</f>
        <v>Y</v>
      </c>
      <c r="F2088" t="str">
        <f>"חשבוניות מרכזות"</f>
        <v>חשבוניות מרכזות</v>
      </c>
      <c r="G2088" t="str">
        <f>"700065"</f>
        <v>700065</v>
      </c>
      <c r="H2088" t="str">
        <f>"אלתא מערכות בע""מ"</f>
        <v>אלתא מערכות בע"מ</v>
      </c>
      <c r="I2088" t="str">
        <f>"10"</f>
        <v>10</v>
      </c>
      <c r="J2088" t="str">
        <f>"OP-AR02692"</f>
        <v>OP-AR02692</v>
      </c>
      <c r="K2088" t="str">
        <f>"1038N157-001   GROUND CABLE WN157 - CUG - MT1000 TO CUG"</f>
        <v>1038N157-001   GROUND CABLE WN157 - CUG - MT1000 TO CUG</v>
      </c>
      <c r="L2088">
        <v>8</v>
      </c>
      <c r="M2088" t="str">
        <f>"יח"</f>
        <v>יח</v>
      </c>
      <c r="N2088">
        <v>8</v>
      </c>
      <c r="O2088" t="str">
        <f>"יח"</f>
        <v>יח</v>
      </c>
      <c r="P2088">
        <v>27.14</v>
      </c>
      <c r="Q2088" t="str">
        <f>"$"</f>
        <v>$</v>
      </c>
      <c r="R2088" t="str">
        <f>"הזמנה"</f>
        <v>הזמנה</v>
      </c>
      <c r="S2088">
        <v>0</v>
      </c>
      <c r="T2088">
        <v>217.12</v>
      </c>
      <c r="U2088">
        <v>0</v>
      </c>
      <c r="V2088">
        <v>217.12</v>
      </c>
      <c r="W2088" t="str">
        <f>"$"</f>
        <v>$</v>
      </c>
      <c r="X2088">
        <v>0</v>
      </c>
      <c r="Y2088">
        <v>0</v>
      </c>
      <c r="Z2088">
        <v>0</v>
      </c>
      <c r="AA2088" t="str">
        <f>"Y"</f>
        <v>Y</v>
      </c>
      <c r="AB2088" t="str">
        <f>"SO21000361"</f>
        <v>SO21000361</v>
      </c>
      <c r="AC2088">
        <v>13</v>
      </c>
      <c r="AD2088" s="1">
        <v>44413</v>
      </c>
      <c r="AE2088" t="str">
        <f>"SH21001780"</f>
        <v>SH21001780</v>
      </c>
      <c r="AF2088" t="str">
        <f>"משלוחים ללקוח"</f>
        <v>משלוחים ללקוח</v>
      </c>
      <c r="AG2088" s="1">
        <v>44486</v>
      </c>
      <c r="AM2088" t="str">
        <f>"10"</f>
        <v>10</v>
      </c>
      <c r="AN2088" t="str">
        <f>"500000"</f>
        <v>500000</v>
      </c>
      <c r="AO2088" t="str">
        <f>"הכנסות  מלקוחות"</f>
        <v>הכנסות  מלקוחות</v>
      </c>
      <c r="AQ2088" t="str">
        <f>"040"</f>
        <v>040</v>
      </c>
      <c r="AR2088">
        <v>0</v>
      </c>
      <c r="AS2088">
        <v>0</v>
      </c>
      <c r="AT2088">
        <v>3.2290000000000001</v>
      </c>
      <c r="AX2088" t="str">
        <f>"E000344376"</f>
        <v>E000344376</v>
      </c>
      <c r="BD2088" t="str">
        <f>"רחמים זרוק"</f>
        <v>רחמים זרוק</v>
      </c>
    </row>
    <row r="2089" spans="1:56" x14ac:dyDescent="0.3">
      <c r="A2089" s="1">
        <v>44487</v>
      </c>
      <c r="B2089" t="str">
        <f>"SI216001425"</f>
        <v>SI216001425</v>
      </c>
      <c r="C2089" t="str">
        <f>"PR21000562"</f>
        <v>PR21000562</v>
      </c>
      <c r="D2089" t="str">
        <f>"PR21000562"</f>
        <v>PR21000562</v>
      </c>
      <c r="E2089" t="str">
        <f>"Y"</f>
        <v>Y</v>
      </c>
      <c r="F2089" t="str">
        <f>"חשבוניות מרכזות"</f>
        <v>חשבוניות מרכזות</v>
      </c>
      <c r="G2089" t="str">
        <f>"700065"</f>
        <v>700065</v>
      </c>
      <c r="H2089" t="str">
        <f>"אלתא מערכות בע""מ"</f>
        <v>אלתא מערכות בע"מ</v>
      </c>
      <c r="I2089" t="str">
        <f>"10"</f>
        <v>10</v>
      </c>
      <c r="J2089" t="str">
        <f>"OP-AR02692"</f>
        <v>OP-AR02692</v>
      </c>
      <c r="K2089" t="str">
        <f>"1038N157-001   GROUND CABLE WN157 - CUG - MT1000 TO CUG"</f>
        <v>1038N157-001   GROUND CABLE WN157 - CUG - MT1000 TO CUG</v>
      </c>
      <c r="L2089">
        <v>3</v>
      </c>
      <c r="M2089" t="str">
        <f>"יח"</f>
        <v>יח</v>
      </c>
      <c r="N2089">
        <v>3</v>
      </c>
      <c r="O2089" t="str">
        <f>"יח"</f>
        <v>יח</v>
      </c>
      <c r="P2089">
        <v>27.14</v>
      </c>
      <c r="Q2089" t="str">
        <f>"$"</f>
        <v>$</v>
      </c>
      <c r="R2089" t="str">
        <f>"הזמנה"</f>
        <v>הזמנה</v>
      </c>
      <c r="S2089">
        <v>0</v>
      </c>
      <c r="T2089">
        <v>81.42</v>
      </c>
      <c r="U2089">
        <v>0</v>
      </c>
      <c r="V2089">
        <v>81.42</v>
      </c>
      <c r="W2089" t="str">
        <f>"$"</f>
        <v>$</v>
      </c>
      <c r="X2089">
        <v>0</v>
      </c>
      <c r="Y2089">
        <v>0</v>
      </c>
      <c r="Z2089">
        <v>0</v>
      </c>
      <c r="AA2089" t="str">
        <f>"Y"</f>
        <v>Y</v>
      </c>
      <c r="AB2089" t="str">
        <f>"SO21000361"</f>
        <v>SO21000361</v>
      </c>
      <c r="AC2089">
        <v>14</v>
      </c>
      <c r="AD2089" s="1">
        <v>44413</v>
      </c>
      <c r="AE2089" t="str">
        <f>"SH21001780"</f>
        <v>SH21001780</v>
      </c>
      <c r="AF2089" t="str">
        <f>"משלוחים ללקוח"</f>
        <v>משלוחים ללקוח</v>
      </c>
      <c r="AG2089" s="1">
        <v>44486</v>
      </c>
      <c r="AM2089" t="str">
        <f>"10"</f>
        <v>10</v>
      </c>
      <c r="AN2089" t="str">
        <f>"500000"</f>
        <v>500000</v>
      </c>
      <c r="AO2089" t="str">
        <f>"הכנסות  מלקוחות"</f>
        <v>הכנסות  מלקוחות</v>
      </c>
      <c r="AQ2089" t="str">
        <f>"040"</f>
        <v>040</v>
      </c>
      <c r="AR2089">
        <v>0</v>
      </c>
      <c r="AS2089">
        <v>0</v>
      </c>
      <c r="AT2089">
        <v>3.2290000000000001</v>
      </c>
      <c r="AX2089" t="str">
        <f>"E000344376"</f>
        <v>E000344376</v>
      </c>
      <c r="BD2089" t="str">
        <f>"רחמים זרוק"</f>
        <v>רחמים זרוק</v>
      </c>
    </row>
    <row r="2090" spans="1:56" x14ac:dyDescent="0.3">
      <c r="A2090" s="1">
        <v>44487</v>
      </c>
      <c r="B2090" t="str">
        <f>"SI216001425"</f>
        <v>SI216001425</v>
      </c>
      <c r="C2090" t="str">
        <f>"PR21000562"</f>
        <v>PR21000562</v>
      </c>
      <c r="D2090" t="str">
        <f>"PR21000562"</f>
        <v>PR21000562</v>
      </c>
      <c r="E2090" t="str">
        <f>"Y"</f>
        <v>Y</v>
      </c>
      <c r="F2090" t="str">
        <f>"חשבוניות מרכזות"</f>
        <v>חשבוניות מרכזות</v>
      </c>
      <c r="G2090" t="str">
        <f>"700065"</f>
        <v>700065</v>
      </c>
      <c r="H2090" t="str">
        <f>"אלתא מערכות בע""מ"</f>
        <v>אלתא מערכות בע"מ</v>
      </c>
      <c r="I2090" t="str">
        <f>"10"</f>
        <v>10</v>
      </c>
      <c r="J2090" t="str">
        <f>"OP-AR02693"</f>
        <v>OP-AR02693</v>
      </c>
      <c r="K2090" t="str">
        <f>"1038N158-001    GROUNG CABLE WN158 - CUG - IFF TO GROUNG"</f>
        <v>1038N158-001    GROUNG CABLE WN158 - CUG - IFF TO GROUNG</v>
      </c>
      <c r="L2090">
        <v>8</v>
      </c>
      <c r="M2090" t="str">
        <f>"יח"</f>
        <v>יח</v>
      </c>
      <c r="N2090">
        <v>8</v>
      </c>
      <c r="O2090" t="str">
        <f>"יח"</f>
        <v>יח</v>
      </c>
      <c r="P2090">
        <v>42.21</v>
      </c>
      <c r="Q2090" t="str">
        <f>"$"</f>
        <v>$</v>
      </c>
      <c r="R2090" t="str">
        <f>"הזמנה"</f>
        <v>הזמנה</v>
      </c>
      <c r="S2090">
        <v>0</v>
      </c>
      <c r="T2090">
        <v>337.68</v>
      </c>
      <c r="U2090">
        <v>0</v>
      </c>
      <c r="V2090">
        <v>337.68</v>
      </c>
      <c r="W2090" t="str">
        <f>"$"</f>
        <v>$</v>
      </c>
      <c r="X2090">
        <v>0</v>
      </c>
      <c r="Y2090">
        <v>0</v>
      </c>
      <c r="Z2090">
        <v>0</v>
      </c>
      <c r="AA2090" t="str">
        <f>"Y"</f>
        <v>Y</v>
      </c>
      <c r="AB2090" t="str">
        <f>"SO21000361"</f>
        <v>SO21000361</v>
      </c>
      <c r="AC2090">
        <v>15</v>
      </c>
      <c r="AD2090" s="1">
        <v>44413</v>
      </c>
      <c r="AE2090" t="str">
        <f>"SH21001780"</f>
        <v>SH21001780</v>
      </c>
      <c r="AF2090" t="str">
        <f>"משלוחים ללקוח"</f>
        <v>משלוחים ללקוח</v>
      </c>
      <c r="AG2090" s="1">
        <v>44486</v>
      </c>
      <c r="AM2090" t="str">
        <f>"10"</f>
        <v>10</v>
      </c>
      <c r="AN2090" t="str">
        <f>"500000"</f>
        <v>500000</v>
      </c>
      <c r="AO2090" t="str">
        <f>"הכנסות  מלקוחות"</f>
        <v>הכנסות  מלקוחות</v>
      </c>
      <c r="AQ2090" t="str">
        <f>"040"</f>
        <v>040</v>
      </c>
      <c r="AR2090">
        <v>0</v>
      </c>
      <c r="AS2090">
        <v>0</v>
      </c>
      <c r="AT2090">
        <v>3.2290000000000001</v>
      </c>
      <c r="AX2090" t="str">
        <f>"E000344376"</f>
        <v>E000344376</v>
      </c>
      <c r="BD2090" t="str">
        <f>"רחמים זרוק"</f>
        <v>רחמים זרוק</v>
      </c>
    </row>
    <row r="2091" spans="1:56" x14ac:dyDescent="0.3">
      <c r="A2091" s="1">
        <v>44487</v>
      </c>
      <c r="B2091" t="str">
        <f>"SI216001425"</f>
        <v>SI216001425</v>
      </c>
      <c r="C2091" t="str">
        <f>"PR21000562"</f>
        <v>PR21000562</v>
      </c>
      <c r="D2091" t="str">
        <f>"PR21000562"</f>
        <v>PR21000562</v>
      </c>
      <c r="E2091" t="str">
        <f>"Y"</f>
        <v>Y</v>
      </c>
      <c r="F2091" t="str">
        <f>"חשבוניות מרכזות"</f>
        <v>חשבוניות מרכזות</v>
      </c>
      <c r="G2091" t="str">
        <f>"700065"</f>
        <v>700065</v>
      </c>
      <c r="H2091" t="str">
        <f>"אלתא מערכות בע""מ"</f>
        <v>אלתא מערכות בע"מ</v>
      </c>
      <c r="I2091" t="str">
        <f>"10"</f>
        <v>10</v>
      </c>
      <c r="J2091" t="str">
        <f>"OP-AR02693"</f>
        <v>OP-AR02693</v>
      </c>
      <c r="K2091" t="str">
        <f>"1038N158-001    GROUNG CABLE WN158 - CUG - IFF TO GROUNG"</f>
        <v>1038N158-001    GROUNG CABLE WN158 - CUG - IFF TO GROUNG</v>
      </c>
      <c r="L2091">
        <v>3</v>
      </c>
      <c r="M2091" t="str">
        <f>"יח"</f>
        <v>יח</v>
      </c>
      <c r="N2091">
        <v>3</v>
      </c>
      <c r="O2091" t="str">
        <f>"יח"</f>
        <v>יח</v>
      </c>
      <c r="P2091">
        <v>42.21</v>
      </c>
      <c r="Q2091" t="str">
        <f>"$"</f>
        <v>$</v>
      </c>
      <c r="R2091" t="str">
        <f>"הזמנה"</f>
        <v>הזמנה</v>
      </c>
      <c r="S2091">
        <v>0</v>
      </c>
      <c r="T2091">
        <v>126.63</v>
      </c>
      <c r="U2091">
        <v>0</v>
      </c>
      <c r="V2091">
        <v>126.63</v>
      </c>
      <c r="W2091" t="str">
        <f>"$"</f>
        <v>$</v>
      </c>
      <c r="X2091">
        <v>0</v>
      </c>
      <c r="Y2091">
        <v>0</v>
      </c>
      <c r="Z2091">
        <v>0</v>
      </c>
      <c r="AA2091" t="str">
        <f>"Y"</f>
        <v>Y</v>
      </c>
      <c r="AB2091" t="str">
        <f>"SO21000361"</f>
        <v>SO21000361</v>
      </c>
      <c r="AC2091">
        <v>16</v>
      </c>
      <c r="AD2091" s="1">
        <v>44413</v>
      </c>
      <c r="AE2091" t="str">
        <f>"SH21001780"</f>
        <v>SH21001780</v>
      </c>
      <c r="AF2091" t="str">
        <f>"משלוחים ללקוח"</f>
        <v>משלוחים ללקוח</v>
      </c>
      <c r="AG2091" s="1">
        <v>44486</v>
      </c>
      <c r="AM2091" t="str">
        <f>"10"</f>
        <v>10</v>
      </c>
      <c r="AN2091" t="str">
        <f>"500000"</f>
        <v>500000</v>
      </c>
      <c r="AO2091" t="str">
        <f>"הכנסות  מלקוחות"</f>
        <v>הכנסות  מלקוחות</v>
      </c>
      <c r="AQ2091" t="str">
        <f>"040"</f>
        <v>040</v>
      </c>
      <c r="AR2091">
        <v>0</v>
      </c>
      <c r="AS2091">
        <v>0</v>
      </c>
      <c r="AT2091">
        <v>3.2290000000000001</v>
      </c>
      <c r="AX2091" t="str">
        <f>"E000344376"</f>
        <v>E000344376</v>
      </c>
      <c r="BD2091" t="str">
        <f>"רחמים זרוק"</f>
        <v>רחמים זרוק</v>
      </c>
    </row>
    <row r="2092" spans="1:56" x14ac:dyDescent="0.3">
      <c r="A2092" s="1">
        <v>44487</v>
      </c>
      <c r="B2092" t="str">
        <f>"SI216001424"</f>
        <v>SI216001424</v>
      </c>
      <c r="C2092" t="str">
        <f>"PR21000250"</f>
        <v>PR21000250</v>
      </c>
      <c r="E2092" t="str">
        <f>"Y"</f>
        <v>Y</v>
      </c>
      <c r="F2092" t="str">
        <f>"חשבוניות מרכזות"</f>
        <v>חשבוניות מרכזות</v>
      </c>
      <c r="G2092" t="str">
        <f>"700065"</f>
        <v>700065</v>
      </c>
      <c r="H2092" t="str">
        <f>"אלתא מערכות בע""מ"</f>
        <v>אלתא מערכות בע"מ</v>
      </c>
      <c r="I2092" t="str">
        <f>"10"</f>
        <v>10</v>
      </c>
      <c r="J2092" t="str">
        <f>"OP-AR02353"</f>
        <v>OP-AR02353</v>
      </c>
      <c r="K2092" t="str">
        <f>"2203B026-001    FIO CABLE ASSY"</f>
        <v>2203B026-001    FIO CABLE ASSY</v>
      </c>
      <c r="L2092">
        <v>1</v>
      </c>
      <c r="M2092" t="str">
        <f>"יח"</f>
        <v>יח</v>
      </c>
      <c r="N2092">
        <v>1</v>
      </c>
      <c r="O2092" t="str">
        <f>"יח"</f>
        <v>יח</v>
      </c>
      <c r="P2092">
        <v>466.36</v>
      </c>
      <c r="Q2092" t="str">
        <f>"$"</f>
        <v>$</v>
      </c>
      <c r="R2092" t="str">
        <f>"הזמנה"</f>
        <v>הזמנה</v>
      </c>
      <c r="S2092">
        <v>0</v>
      </c>
      <c r="T2092">
        <v>466.36</v>
      </c>
      <c r="U2092">
        <v>0</v>
      </c>
      <c r="V2092">
        <v>466.36</v>
      </c>
      <c r="W2092" t="str">
        <f>"$"</f>
        <v>$</v>
      </c>
      <c r="X2092">
        <v>0</v>
      </c>
      <c r="Y2092">
        <v>0</v>
      </c>
      <c r="Z2092">
        <v>0</v>
      </c>
      <c r="AA2092" t="str">
        <f>"Y"</f>
        <v>Y</v>
      </c>
      <c r="AB2092" t="str">
        <f>"SO21000171"</f>
        <v>SO21000171</v>
      </c>
      <c r="AC2092">
        <v>3</v>
      </c>
      <c r="AD2092" s="1">
        <v>44304</v>
      </c>
      <c r="AE2092" t="str">
        <f>"SH21001777"</f>
        <v>SH21001777</v>
      </c>
      <c r="AF2092" t="str">
        <f>"משלוחים ללקוח"</f>
        <v>משלוחים ללקוח</v>
      </c>
      <c r="AG2092" s="1">
        <v>44486</v>
      </c>
      <c r="AM2092" t="str">
        <f>"10"</f>
        <v>10</v>
      </c>
      <c r="AN2092" t="str">
        <f>"500000"</f>
        <v>500000</v>
      </c>
      <c r="AO2092" t="str">
        <f>"הכנסות  מלקוחות"</f>
        <v>הכנסות  מלקוחות</v>
      </c>
      <c r="AQ2092" t="str">
        <f>"040"</f>
        <v>040</v>
      </c>
      <c r="AR2092">
        <v>0</v>
      </c>
      <c r="AS2092">
        <v>0</v>
      </c>
      <c r="AT2092">
        <v>3.2290000000000001</v>
      </c>
      <c r="AX2092" t="str">
        <f>"E000336785"</f>
        <v>E000336785</v>
      </c>
      <c r="BD2092" t="str">
        <f>"רחמים זרוק"</f>
        <v>רחמים זרוק</v>
      </c>
    </row>
    <row r="2093" spans="1:56" x14ac:dyDescent="0.3">
      <c r="A2093" s="1">
        <v>44487</v>
      </c>
      <c r="B2093" t="str">
        <f>"SI216001423"</f>
        <v>SI216001423</v>
      </c>
      <c r="C2093" t="str">
        <f>"PR20000834"</f>
        <v>PR20000834</v>
      </c>
      <c r="D2093" t="str">
        <f>"PR20000834"</f>
        <v>PR20000834</v>
      </c>
      <c r="E2093" t="str">
        <f>"Y"</f>
        <v>Y</v>
      </c>
      <c r="F2093" t="str">
        <f>"חשבוניות מרכזות"</f>
        <v>חשבוניות מרכזות</v>
      </c>
      <c r="G2093" t="str">
        <f>"700065"</f>
        <v>700065</v>
      </c>
      <c r="H2093" t="str">
        <f>"אלתא מערכות בע""מ"</f>
        <v>אלתא מערכות בע"מ</v>
      </c>
      <c r="I2093" t="str">
        <f>"10"</f>
        <v>10</v>
      </c>
      <c r="J2093" t="str">
        <f>"OP-AR02102"</f>
        <v>OP-AR02102</v>
      </c>
      <c r="K2093" t="str">
        <f>"1032F920-001/-   ETHERNET CABLE MFR-W920 - FILTE"</f>
        <v>1032F920-001/-   ETHERNET CABLE MFR-W920 - FILTE</v>
      </c>
      <c r="L2093">
        <v>8</v>
      </c>
      <c r="M2093" t="str">
        <f>"יח"</f>
        <v>יח</v>
      </c>
      <c r="N2093">
        <v>8</v>
      </c>
      <c r="O2093" t="str">
        <f>"יח"</f>
        <v>יח</v>
      </c>
      <c r="P2093">
        <v>174</v>
      </c>
      <c r="Q2093" t="str">
        <f>"$"</f>
        <v>$</v>
      </c>
      <c r="R2093" t="str">
        <f>"הזמנה"</f>
        <v>הזמנה</v>
      </c>
      <c r="S2093">
        <v>0</v>
      </c>
      <c r="T2093" s="2">
        <v>1392</v>
      </c>
      <c r="U2093">
        <v>0</v>
      </c>
      <c r="V2093" s="2">
        <v>1392</v>
      </c>
      <c r="W2093" t="str">
        <f>"$"</f>
        <v>$</v>
      </c>
      <c r="X2093">
        <v>0</v>
      </c>
      <c r="Y2093">
        <v>0</v>
      </c>
      <c r="Z2093">
        <v>0</v>
      </c>
      <c r="AA2093" t="str">
        <f>"Y"</f>
        <v>Y</v>
      </c>
      <c r="AB2093" t="str">
        <f>"SO20000532"</f>
        <v>SO20000532</v>
      </c>
      <c r="AC2093">
        <v>171</v>
      </c>
      <c r="AD2093" s="1">
        <v>44155</v>
      </c>
      <c r="AE2093" t="str">
        <f>"SH21001776"</f>
        <v>SH21001776</v>
      </c>
      <c r="AF2093" t="str">
        <f>"משלוחים ללקוח"</f>
        <v>משלוחים ללקוח</v>
      </c>
      <c r="AG2093" s="1">
        <v>44486</v>
      </c>
      <c r="AM2093" t="str">
        <f>"10"</f>
        <v>10</v>
      </c>
      <c r="AN2093" t="str">
        <f>"500000"</f>
        <v>500000</v>
      </c>
      <c r="AO2093" t="str">
        <f>"הכנסות  מלקוחות"</f>
        <v>הכנסות  מלקוחות</v>
      </c>
      <c r="AQ2093" t="str">
        <f>"034"</f>
        <v>034</v>
      </c>
      <c r="AR2093">
        <v>0</v>
      </c>
      <c r="AS2093">
        <v>0</v>
      </c>
      <c r="AT2093">
        <v>3.2290000000000001</v>
      </c>
      <c r="AX2093" t="str">
        <f>"E000321177"</f>
        <v>E000321177</v>
      </c>
      <c r="BD2093" t="str">
        <f>"ערן שלו"</f>
        <v>ערן שלו</v>
      </c>
    </row>
    <row r="2094" spans="1:56" x14ac:dyDescent="0.3">
      <c r="A2094" s="1">
        <v>44487</v>
      </c>
      <c r="B2094" t="str">
        <f>"SI216001422"</f>
        <v>SI216001422</v>
      </c>
      <c r="C2094" t="str">
        <f>"PR21000277"</f>
        <v>PR21000277</v>
      </c>
      <c r="E2094" t="str">
        <f>"Y"</f>
        <v>Y</v>
      </c>
      <c r="F2094" t="str">
        <f>"חשבוניות מרכזות"</f>
        <v>חשבוניות מרכזות</v>
      </c>
      <c r="G2094" t="str">
        <f>"700065"</f>
        <v>700065</v>
      </c>
      <c r="H2094" t="str">
        <f>"אלתא מערכות בע""מ"</f>
        <v>אלתא מערכות בע"מ</v>
      </c>
      <c r="I2094" t="str">
        <f>"10"</f>
        <v>10</v>
      </c>
      <c r="J2094" t="str">
        <f>"OP-AR02453"</f>
        <v>OP-AR02453</v>
      </c>
      <c r="K2094" t="str">
        <f>"1093Y436-001   HARNESS - J1 BOX TO J1 TOP BOARD"</f>
        <v>1093Y436-001   HARNESS - J1 BOX TO J1 TOP BOARD</v>
      </c>
      <c r="L2094">
        <v>13</v>
      </c>
      <c r="M2094" t="str">
        <f>"יח"</f>
        <v>יח</v>
      </c>
      <c r="N2094">
        <v>13</v>
      </c>
      <c r="O2094" t="str">
        <f>"יח"</f>
        <v>יח</v>
      </c>
      <c r="P2094">
        <v>295.99</v>
      </c>
      <c r="Q2094" t="str">
        <f>"$"</f>
        <v>$</v>
      </c>
      <c r="R2094" t="str">
        <f>"הזמנה"</f>
        <v>הזמנה</v>
      </c>
      <c r="S2094">
        <v>0</v>
      </c>
      <c r="T2094" s="2">
        <v>3847.87</v>
      </c>
      <c r="U2094">
        <v>0</v>
      </c>
      <c r="V2094" s="2">
        <v>3847.87</v>
      </c>
      <c r="W2094" t="str">
        <f>"$"</f>
        <v>$</v>
      </c>
      <c r="X2094">
        <v>0</v>
      </c>
      <c r="Y2094">
        <v>0</v>
      </c>
      <c r="Z2094">
        <v>0</v>
      </c>
      <c r="AA2094" t="str">
        <f>"Y"</f>
        <v>Y</v>
      </c>
      <c r="AB2094" t="str">
        <f>"SO21000174"</f>
        <v>SO21000174</v>
      </c>
      <c r="AC2094">
        <v>1</v>
      </c>
      <c r="AD2094" s="1">
        <v>44306</v>
      </c>
      <c r="AE2094" t="str">
        <f>"SH21001784"</f>
        <v>SH21001784</v>
      </c>
      <c r="AF2094" t="str">
        <f>"משלוחים ללקוח"</f>
        <v>משלוחים ללקוח</v>
      </c>
      <c r="AG2094" s="1">
        <v>44486</v>
      </c>
      <c r="AM2094" t="str">
        <f>"10"</f>
        <v>10</v>
      </c>
      <c r="AN2094" t="str">
        <f>"500000"</f>
        <v>500000</v>
      </c>
      <c r="AO2094" t="str">
        <f>"הכנסות  מלקוחות"</f>
        <v>הכנסות  מלקוחות</v>
      </c>
      <c r="AQ2094" t="str">
        <f>"040"</f>
        <v>040</v>
      </c>
      <c r="AR2094">
        <v>0</v>
      </c>
      <c r="AS2094">
        <v>0</v>
      </c>
      <c r="AT2094">
        <v>3.2290000000000001</v>
      </c>
      <c r="AX2094" t="str">
        <f>"E000336835"</f>
        <v>E000336835</v>
      </c>
      <c r="BD2094" t="str">
        <f>"רחמים זרוק"</f>
        <v>רחמים זרוק</v>
      </c>
    </row>
    <row r="2095" spans="1:56" x14ac:dyDescent="0.3">
      <c r="A2095" s="1">
        <v>44487</v>
      </c>
      <c r="B2095" t="str">
        <f>"SI216001421"</f>
        <v>SI216001421</v>
      </c>
      <c r="C2095" t="str">
        <f>"PR21000124"</f>
        <v>PR21000124</v>
      </c>
      <c r="E2095" t="str">
        <f>"Y"</f>
        <v>Y</v>
      </c>
      <c r="F2095" t="str">
        <f>"חשבוניות מרכזות"</f>
        <v>חשבוניות מרכזות</v>
      </c>
      <c r="G2095" t="str">
        <f>"700065"</f>
        <v>700065</v>
      </c>
      <c r="H2095" t="str">
        <f>"אלתא מערכות בע""מ"</f>
        <v>אלתא מערכות בע"מ</v>
      </c>
      <c r="I2095" t="str">
        <f>"10"</f>
        <v>10</v>
      </c>
      <c r="J2095" t="str">
        <f>"OP-AR02259"</f>
        <v>OP-AR02259</v>
      </c>
      <c r="K2095" t="str">
        <f>"1038H713-001   WLC2 2138 RACK INTERNAL CABLE"</f>
        <v>1038H713-001   WLC2 2138 RACK INTERNAL CABLE</v>
      </c>
      <c r="L2095">
        <v>1</v>
      </c>
      <c r="M2095" t="str">
        <f>"יח"</f>
        <v>יח</v>
      </c>
      <c r="N2095">
        <v>1</v>
      </c>
      <c r="O2095" t="str">
        <f>"יח"</f>
        <v>יח</v>
      </c>
      <c r="P2095">
        <v>835.23</v>
      </c>
      <c r="Q2095" t="str">
        <f>"$"</f>
        <v>$</v>
      </c>
      <c r="R2095" t="str">
        <f>"הזמנה"</f>
        <v>הזמנה</v>
      </c>
      <c r="S2095">
        <v>0</v>
      </c>
      <c r="T2095">
        <v>835.23</v>
      </c>
      <c r="U2095">
        <v>0</v>
      </c>
      <c r="V2095">
        <v>835.23</v>
      </c>
      <c r="W2095" t="str">
        <f>"$"</f>
        <v>$</v>
      </c>
      <c r="X2095">
        <v>0</v>
      </c>
      <c r="Y2095">
        <v>0</v>
      </c>
      <c r="Z2095">
        <v>0</v>
      </c>
      <c r="AA2095" t="str">
        <f>"Y"</f>
        <v>Y</v>
      </c>
      <c r="AB2095" t="str">
        <f>"SO21000069"</f>
        <v>SO21000069</v>
      </c>
      <c r="AC2095">
        <v>2</v>
      </c>
      <c r="AD2095" s="1">
        <v>44236</v>
      </c>
      <c r="AE2095" t="str">
        <f>"SH21001783"</f>
        <v>SH21001783</v>
      </c>
      <c r="AF2095" t="str">
        <f>"משלוחים ללקוח"</f>
        <v>משלוחים ללקוח</v>
      </c>
      <c r="AG2095" s="1">
        <v>44486</v>
      </c>
      <c r="AM2095" t="str">
        <f>"10"</f>
        <v>10</v>
      </c>
      <c r="AN2095" t="str">
        <f>"500000"</f>
        <v>500000</v>
      </c>
      <c r="AO2095" t="str">
        <f>"הכנסות  מלקוחות"</f>
        <v>הכנסות  מלקוחות</v>
      </c>
      <c r="AQ2095" t="str">
        <f>"034"</f>
        <v>034</v>
      </c>
      <c r="AR2095">
        <v>0</v>
      </c>
      <c r="AS2095">
        <v>0</v>
      </c>
      <c r="AT2095">
        <v>3.2290000000000001</v>
      </c>
      <c r="AX2095" t="str">
        <f>"E000331632"</f>
        <v>E000331632</v>
      </c>
      <c r="BD2095" t="str">
        <f>"ערן שלו"</f>
        <v>ערן שלו</v>
      </c>
    </row>
    <row r="2096" spans="1:56" x14ac:dyDescent="0.3">
      <c r="A2096" s="1">
        <v>44487</v>
      </c>
      <c r="B2096" t="str">
        <f>"SI216001420"</f>
        <v>SI216001420</v>
      </c>
      <c r="C2096" t="str">
        <f>"PR21000546"</f>
        <v>PR21000546</v>
      </c>
      <c r="E2096" t="str">
        <f>"Y"</f>
        <v>Y</v>
      </c>
      <c r="F2096" t="str">
        <f>"חשבוניות מרכזות"</f>
        <v>חשבוניות מרכזות</v>
      </c>
      <c r="G2096" t="str">
        <f>"700065"</f>
        <v>700065</v>
      </c>
      <c r="H2096" t="str">
        <f>"אלתא מערכות בע""מ"</f>
        <v>אלתא מערכות בע"מ</v>
      </c>
      <c r="I2096" t="str">
        <f>"10"</f>
        <v>10</v>
      </c>
      <c r="J2096" t="str">
        <f>"OP-AR02682"</f>
        <v>OP-AR02682</v>
      </c>
      <c r="K2096" t="str">
        <f>"4043B630-001    HARNESS W630 - PDU TO GATU DC PWR DATA C"</f>
        <v>4043B630-001    HARNESS W630 - PDU TO GATU DC PWR DATA C</v>
      </c>
      <c r="L2096">
        <v>2</v>
      </c>
      <c r="M2096" t="str">
        <f>"יח"</f>
        <v>יח</v>
      </c>
      <c r="N2096">
        <v>2</v>
      </c>
      <c r="O2096" t="str">
        <f>"יח"</f>
        <v>יח</v>
      </c>
      <c r="P2096">
        <v>666.27</v>
      </c>
      <c r="Q2096" t="str">
        <f>"$"</f>
        <v>$</v>
      </c>
      <c r="R2096" t="str">
        <f>"הזמנה"</f>
        <v>הזמנה</v>
      </c>
      <c r="S2096">
        <v>0</v>
      </c>
      <c r="T2096" s="2">
        <v>1332.54</v>
      </c>
      <c r="U2096">
        <v>0</v>
      </c>
      <c r="V2096" s="2">
        <v>1332.54</v>
      </c>
      <c r="W2096" t="str">
        <f>"$"</f>
        <v>$</v>
      </c>
      <c r="X2096">
        <v>0</v>
      </c>
      <c r="Y2096">
        <v>0</v>
      </c>
      <c r="Z2096">
        <v>0</v>
      </c>
      <c r="AA2096" t="str">
        <f>"Y"</f>
        <v>Y</v>
      </c>
      <c r="AB2096" t="str">
        <f>"SO21000348"</f>
        <v>SO21000348</v>
      </c>
      <c r="AC2096">
        <v>1</v>
      </c>
      <c r="AD2096" s="1">
        <v>44409</v>
      </c>
      <c r="AE2096" t="str">
        <f>"SH21001765"</f>
        <v>SH21001765</v>
      </c>
      <c r="AF2096" t="str">
        <f>"משלוחים ללקוח"</f>
        <v>משלוחים ללקוח</v>
      </c>
      <c r="AG2096" s="1">
        <v>44483</v>
      </c>
      <c r="AM2096" t="str">
        <f>"10"</f>
        <v>10</v>
      </c>
      <c r="AN2096" t="str">
        <f>"500000"</f>
        <v>500000</v>
      </c>
      <c r="AO2096" t="str">
        <f>"הכנסות  מלקוחות"</f>
        <v>הכנסות  מלקוחות</v>
      </c>
      <c r="AQ2096" t="str">
        <f>"040"</f>
        <v>040</v>
      </c>
      <c r="AR2096">
        <v>0</v>
      </c>
      <c r="AS2096">
        <v>0</v>
      </c>
      <c r="AT2096">
        <v>3.2290000000000001</v>
      </c>
      <c r="AX2096" t="str">
        <f>"E000344246"</f>
        <v>E000344246</v>
      </c>
      <c r="BD2096" t="str">
        <f>"רחמים זרוק"</f>
        <v>רחמים זרוק</v>
      </c>
    </row>
    <row r="2097" spans="1:56" x14ac:dyDescent="0.3">
      <c r="A2097" s="1">
        <v>44487</v>
      </c>
      <c r="B2097" t="str">
        <f>"SI216001420"</f>
        <v>SI216001420</v>
      </c>
      <c r="C2097" t="str">
        <f>"PR21000546"</f>
        <v>PR21000546</v>
      </c>
      <c r="E2097" t="str">
        <f>"Y"</f>
        <v>Y</v>
      </c>
      <c r="F2097" t="str">
        <f>"חשבוניות מרכזות"</f>
        <v>חשבוניות מרכזות</v>
      </c>
      <c r="G2097" t="str">
        <f>"700065"</f>
        <v>700065</v>
      </c>
      <c r="H2097" t="str">
        <f>"אלתא מערכות בע""מ"</f>
        <v>אלתא מערכות בע"מ</v>
      </c>
      <c r="I2097" t="str">
        <f>"10"</f>
        <v>10</v>
      </c>
      <c r="J2097" t="str">
        <f>"OP-AR02684"</f>
        <v>OP-AR02684</v>
      </c>
      <c r="K2097" t="str">
        <f>"4043B632-001    HARNESS W632 - PDU TO GFEA BU POWER CABL"</f>
        <v>4043B632-001    HARNESS W632 - PDU TO GFEA BU POWER CABL</v>
      </c>
      <c r="L2097">
        <v>2</v>
      </c>
      <c r="M2097" t="str">
        <f>"יח"</f>
        <v>יח</v>
      </c>
      <c r="N2097">
        <v>2</v>
      </c>
      <c r="O2097" t="str">
        <f>"יח"</f>
        <v>יח</v>
      </c>
      <c r="P2097">
        <v>332.19</v>
      </c>
      <c r="Q2097" t="str">
        <f>"$"</f>
        <v>$</v>
      </c>
      <c r="R2097" t="str">
        <f>"הזמנה"</f>
        <v>הזמנה</v>
      </c>
      <c r="S2097">
        <v>0</v>
      </c>
      <c r="T2097">
        <v>664.38</v>
      </c>
      <c r="U2097">
        <v>0</v>
      </c>
      <c r="V2097">
        <v>664.38</v>
      </c>
      <c r="W2097" t="str">
        <f>"$"</f>
        <v>$</v>
      </c>
      <c r="X2097">
        <v>0</v>
      </c>
      <c r="Y2097">
        <v>0</v>
      </c>
      <c r="Z2097">
        <v>0</v>
      </c>
      <c r="AA2097" t="str">
        <f>"Y"</f>
        <v>Y</v>
      </c>
      <c r="AB2097" t="str">
        <f>"SO21000348"</f>
        <v>SO21000348</v>
      </c>
      <c r="AC2097">
        <v>3</v>
      </c>
      <c r="AD2097" s="1">
        <v>44409</v>
      </c>
      <c r="AE2097" t="str">
        <f>"SH21001765"</f>
        <v>SH21001765</v>
      </c>
      <c r="AF2097" t="str">
        <f>"משלוחים ללקוח"</f>
        <v>משלוחים ללקוח</v>
      </c>
      <c r="AG2097" s="1">
        <v>44483</v>
      </c>
      <c r="AM2097" t="str">
        <f>"10"</f>
        <v>10</v>
      </c>
      <c r="AN2097" t="str">
        <f>"500000"</f>
        <v>500000</v>
      </c>
      <c r="AO2097" t="str">
        <f>"הכנסות  מלקוחות"</f>
        <v>הכנסות  מלקוחות</v>
      </c>
      <c r="AQ2097" t="str">
        <f>"040"</f>
        <v>040</v>
      </c>
      <c r="AR2097">
        <v>0</v>
      </c>
      <c r="AS2097">
        <v>0</v>
      </c>
      <c r="AT2097">
        <v>3.2290000000000001</v>
      </c>
      <c r="AX2097" t="str">
        <f>"E000344246"</f>
        <v>E000344246</v>
      </c>
      <c r="BD2097" t="str">
        <f>"רחמים זרוק"</f>
        <v>רחמים זרוק</v>
      </c>
    </row>
    <row r="2098" spans="1:56" x14ac:dyDescent="0.3">
      <c r="A2098" s="1">
        <v>44487</v>
      </c>
      <c r="B2098" t="str">
        <f>"SI216001420"</f>
        <v>SI216001420</v>
      </c>
      <c r="C2098" t="str">
        <f>"PR21000546"</f>
        <v>PR21000546</v>
      </c>
      <c r="E2098" t="str">
        <f>"Y"</f>
        <v>Y</v>
      </c>
      <c r="F2098" t="str">
        <f>"חשבוניות מרכזות"</f>
        <v>חשבוניות מרכזות</v>
      </c>
      <c r="G2098" t="str">
        <f>"700065"</f>
        <v>700065</v>
      </c>
      <c r="H2098" t="str">
        <f>"אלתא מערכות בע""מ"</f>
        <v>אלתא מערכות בע"מ</v>
      </c>
      <c r="I2098" t="str">
        <f>"10"</f>
        <v>10</v>
      </c>
      <c r="J2098" t="str">
        <f>"OP-AR02686"</f>
        <v>OP-AR02686</v>
      </c>
      <c r="K2098" t="str">
        <f>"4043B635-001    HARNESS W635 - GFEA BU TO PDU"</f>
        <v>4043B635-001    HARNESS W635 - GFEA BU TO PDU</v>
      </c>
      <c r="L2098">
        <v>2</v>
      </c>
      <c r="M2098" t="str">
        <f>"יח"</f>
        <v>יח</v>
      </c>
      <c r="N2098">
        <v>2</v>
      </c>
      <c r="O2098" t="str">
        <f>"יח"</f>
        <v>יח</v>
      </c>
      <c r="P2098">
        <v>339.25</v>
      </c>
      <c r="Q2098" t="str">
        <f>"$"</f>
        <v>$</v>
      </c>
      <c r="R2098" t="str">
        <f>"הזמנה"</f>
        <v>הזמנה</v>
      </c>
      <c r="S2098">
        <v>0</v>
      </c>
      <c r="T2098">
        <v>678.5</v>
      </c>
      <c r="U2098">
        <v>0</v>
      </c>
      <c r="V2098">
        <v>678.5</v>
      </c>
      <c r="W2098" t="str">
        <f>"$"</f>
        <v>$</v>
      </c>
      <c r="X2098">
        <v>0</v>
      </c>
      <c r="Y2098">
        <v>0</v>
      </c>
      <c r="Z2098">
        <v>0</v>
      </c>
      <c r="AA2098" t="str">
        <f>"Y"</f>
        <v>Y</v>
      </c>
      <c r="AB2098" t="str">
        <f>"SO21000348"</f>
        <v>SO21000348</v>
      </c>
      <c r="AC2098">
        <v>5</v>
      </c>
      <c r="AD2098" s="1">
        <v>44409</v>
      </c>
      <c r="AE2098" t="str">
        <f>"SH21001765"</f>
        <v>SH21001765</v>
      </c>
      <c r="AF2098" t="str">
        <f>"משלוחים ללקוח"</f>
        <v>משלוחים ללקוח</v>
      </c>
      <c r="AG2098" s="1">
        <v>44483</v>
      </c>
      <c r="AM2098" t="str">
        <f>"10"</f>
        <v>10</v>
      </c>
      <c r="AN2098" t="str">
        <f>"500000"</f>
        <v>500000</v>
      </c>
      <c r="AO2098" t="str">
        <f>"הכנסות  מלקוחות"</f>
        <v>הכנסות  מלקוחות</v>
      </c>
      <c r="AQ2098" t="str">
        <f>"040"</f>
        <v>040</v>
      </c>
      <c r="AR2098">
        <v>0</v>
      </c>
      <c r="AS2098">
        <v>0</v>
      </c>
      <c r="AT2098">
        <v>3.2290000000000001</v>
      </c>
      <c r="AX2098" t="str">
        <f>"E000344246"</f>
        <v>E000344246</v>
      </c>
      <c r="BD2098" t="str">
        <f>"רחמים זרוק"</f>
        <v>רחמים זרוק</v>
      </c>
    </row>
    <row r="2099" spans="1:56" x14ac:dyDescent="0.3">
      <c r="A2099" s="1">
        <v>44487</v>
      </c>
      <c r="B2099" t="str">
        <f>"SI216001420"</f>
        <v>SI216001420</v>
      </c>
      <c r="C2099" t="str">
        <f>"PR21000546"</f>
        <v>PR21000546</v>
      </c>
      <c r="E2099" t="str">
        <f>"Y"</f>
        <v>Y</v>
      </c>
      <c r="F2099" t="str">
        <f>"חשבוניות מרכזות"</f>
        <v>חשבוניות מרכזות</v>
      </c>
      <c r="G2099" t="str">
        <f>"700065"</f>
        <v>700065</v>
      </c>
      <c r="H2099" t="str">
        <f>"אלתא מערכות בע""מ"</f>
        <v>אלתא מערכות בע"מ</v>
      </c>
      <c r="I2099" t="str">
        <f>"10"</f>
        <v>10</v>
      </c>
      <c r="J2099" t="str">
        <f>"OP-AR02683"</f>
        <v>OP-AR02683</v>
      </c>
      <c r="K2099" t="str">
        <f>"4043B631-001   HARNESS W631 - GTRU BU AND FAN POWER TO"</f>
        <v>4043B631-001   HARNESS W631 - GTRU BU AND FAN POWER TO</v>
      </c>
      <c r="L2099">
        <v>2</v>
      </c>
      <c r="M2099" t="str">
        <f>"יח"</f>
        <v>יח</v>
      </c>
      <c r="N2099">
        <v>2</v>
      </c>
      <c r="O2099" t="str">
        <f>"יח"</f>
        <v>יח</v>
      </c>
      <c r="P2099">
        <v>364.96</v>
      </c>
      <c r="Q2099" t="str">
        <f>"$"</f>
        <v>$</v>
      </c>
      <c r="R2099" t="str">
        <f>"הזמנה"</f>
        <v>הזמנה</v>
      </c>
      <c r="S2099">
        <v>0</v>
      </c>
      <c r="T2099">
        <v>729.92</v>
      </c>
      <c r="U2099">
        <v>0</v>
      </c>
      <c r="V2099">
        <v>729.92</v>
      </c>
      <c r="W2099" t="str">
        <f>"$"</f>
        <v>$</v>
      </c>
      <c r="X2099">
        <v>0</v>
      </c>
      <c r="Y2099">
        <v>0</v>
      </c>
      <c r="Z2099">
        <v>0</v>
      </c>
      <c r="AA2099" t="str">
        <f>"Y"</f>
        <v>Y</v>
      </c>
      <c r="AB2099" t="str">
        <f>"SO21000348"</f>
        <v>SO21000348</v>
      </c>
      <c r="AC2099">
        <v>8</v>
      </c>
      <c r="AD2099" s="1">
        <v>44409</v>
      </c>
      <c r="AE2099" t="str">
        <f>"SH21001765"</f>
        <v>SH21001765</v>
      </c>
      <c r="AF2099" t="str">
        <f>"משלוחים ללקוח"</f>
        <v>משלוחים ללקוח</v>
      </c>
      <c r="AG2099" s="1">
        <v>44483</v>
      </c>
      <c r="AM2099" t="str">
        <f>"10"</f>
        <v>10</v>
      </c>
      <c r="AN2099" t="str">
        <f>"500000"</f>
        <v>500000</v>
      </c>
      <c r="AO2099" t="str">
        <f>"הכנסות  מלקוחות"</f>
        <v>הכנסות  מלקוחות</v>
      </c>
      <c r="AQ2099" t="str">
        <f>"040"</f>
        <v>040</v>
      </c>
      <c r="AR2099">
        <v>0</v>
      </c>
      <c r="AS2099">
        <v>0</v>
      </c>
      <c r="AT2099">
        <v>3.2290000000000001</v>
      </c>
      <c r="AX2099" t="str">
        <f>"E000344246"</f>
        <v>E000344246</v>
      </c>
      <c r="BD2099" t="str">
        <f>"רחמים זרוק"</f>
        <v>רחמים זרוק</v>
      </c>
    </row>
    <row r="2100" spans="1:56" x14ac:dyDescent="0.3">
      <c r="A2100" s="1">
        <v>44487</v>
      </c>
      <c r="B2100" t="str">
        <f>"SI216001420"</f>
        <v>SI216001420</v>
      </c>
      <c r="C2100" t="str">
        <f>"PR21000546"</f>
        <v>PR21000546</v>
      </c>
      <c r="E2100" t="str">
        <f>"Y"</f>
        <v>Y</v>
      </c>
      <c r="F2100" t="str">
        <f>"חשבוניות מרכזות"</f>
        <v>חשבוניות מרכזות</v>
      </c>
      <c r="G2100" t="str">
        <f>"700065"</f>
        <v>700065</v>
      </c>
      <c r="H2100" t="str">
        <f>"אלתא מערכות בע""מ"</f>
        <v>אלתא מערכות בע"מ</v>
      </c>
      <c r="I2100" t="str">
        <f>"10"</f>
        <v>10</v>
      </c>
      <c r="J2100" t="str">
        <f>"OP-AR02685"</f>
        <v>OP-AR02685</v>
      </c>
      <c r="K2100" t="str">
        <f>"4043B634-001    HARNESS W634 - PDU TO GTRU BU CONTROL C"</f>
        <v>4043B634-001    HARNESS W634 - PDU TO GTRU BU CONTROL C</v>
      </c>
      <c r="L2100">
        <v>2</v>
      </c>
      <c r="M2100" t="str">
        <f>"יח"</f>
        <v>יח</v>
      </c>
      <c r="N2100">
        <v>2</v>
      </c>
      <c r="O2100" t="str">
        <f>"יח"</f>
        <v>יח</v>
      </c>
      <c r="P2100">
        <v>721.54</v>
      </c>
      <c r="Q2100" t="str">
        <f>"$"</f>
        <v>$</v>
      </c>
      <c r="R2100" t="str">
        <f>"הזמנה"</f>
        <v>הזמנה</v>
      </c>
      <c r="S2100">
        <v>0</v>
      </c>
      <c r="T2100" s="2">
        <v>1443.08</v>
      </c>
      <c r="U2100">
        <v>0</v>
      </c>
      <c r="V2100" s="2">
        <v>1443.08</v>
      </c>
      <c r="W2100" t="str">
        <f>"$"</f>
        <v>$</v>
      </c>
      <c r="X2100">
        <v>0</v>
      </c>
      <c r="Y2100">
        <v>0</v>
      </c>
      <c r="Z2100">
        <v>0</v>
      </c>
      <c r="AA2100" t="str">
        <f>"Y"</f>
        <v>Y</v>
      </c>
      <c r="AB2100" t="str">
        <f>"SO21000348"</f>
        <v>SO21000348</v>
      </c>
      <c r="AC2100">
        <v>10</v>
      </c>
      <c r="AD2100" s="1">
        <v>44409</v>
      </c>
      <c r="AE2100" t="str">
        <f>"SH21001765"</f>
        <v>SH21001765</v>
      </c>
      <c r="AF2100" t="str">
        <f>"משלוחים ללקוח"</f>
        <v>משלוחים ללקוח</v>
      </c>
      <c r="AG2100" s="1">
        <v>44483</v>
      </c>
      <c r="AM2100" t="str">
        <f>"10"</f>
        <v>10</v>
      </c>
      <c r="AN2100" t="str">
        <f>"500000"</f>
        <v>500000</v>
      </c>
      <c r="AO2100" t="str">
        <f>"הכנסות  מלקוחות"</f>
        <v>הכנסות  מלקוחות</v>
      </c>
      <c r="AQ2100" t="str">
        <f>"040"</f>
        <v>040</v>
      </c>
      <c r="AR2100">
        <v>0</v>
      </c>
      <c r="AS2100">
        <v>0</v>
      </c>
      <c r="AT2100">
        <v>3.2290000000000001</v>
      </c>
      <c r="AX2100" t="str">
        <f>"E000344246"</f>
        <v>E000344246</v>
      </c>
      <c r="BD2100" t="str">
        <f>"רחמים זרוק"</f>
        <v>רחמים זרוק</v>
      </c>
    </row>
    <row r="2101" spans="1:56" x14ac:dyDescent="0.3">
      <c r="A2101" s="1">
        <v>44487</v>
      </c>
      <c r="B2101" t="str">
        <f>"SI216001419"</f>
        <v>SI216001419</v>
      </c>
      <c r="C2101" t="str">
        <f>"PR21000338"</f>
        <v>PR21000338</v>
      </c>
      <c r="D2101" t="str">
        <f>"PR21000338"</f>
        <v>PR21000338</v>
      </c>
      <c r="E2101" t="str">
        <f>"Y"</f>
        <v>Y</v>
      </c>
      <c r="F2101" t="str">
        <f>"חשבוניות מרכזות"</f>
        <v>חשבוניות מרכזות</v>
      </c>
      <c r="G2101" t="str">
        <f>"700065"</f>
        <v>700065</v>
      </c>
      <c r="H2101" t="str">
        <f>"אלתא מערכות בע""מ"</f>
        <v>אלתא מערכות בע"מ</v>
      </c>
      <c r="I2101" t="str">
        <f>"10"</f>
        <v>10</v>
      </c>
      <c r="J2101" t="str">
        <f>"OP-AR02569"</f>
        <v>OP-AR02569</v>
      </c>
      <c r="K2101" t="str">
        <f>"4040K388-001   HARNESS WL388 - LAB - BU SIGNAL AIRBORN"</f>
        <v>4040K388-001   HARNESS WL388 - LAB - BU SIGNAL AIRBORN</v>
      </c>
      <c r="L2101">
        <v>3</v>
      </c>
      <c r="M2101" t="str">
        <f>"יח"</f>
        <v>יח</v>
      </c>
      <c r="N2101">
        <v>3</v>
      </c>
      <c r="O2101" t="str">
        <f>"יח"</f>
        <v>יח</v>
      </c>
      <c r="P2101">
        <v>401.12</v>
      </c>
      <c r="Q2101" t="str">
        <f>"$"</f>
        <v>$</v>
      </c>
      <c r="R2101" t="str">
        <f>"הזמנה"</f>
        <v>הזמנה</v>
      </c>
      <c r="S2101">
        <v>0</v>
      </c>
      <c r="T2101" s="2">
        <v>1203.3599999999999</v>
      </c>
      <c r="U2101">
        <v>0</v>
      </c>
      <c r="V2101" s="2">
        <v>1203.3599999999999</v>
      </c>
      <c r="W2101" t="str">
        <f>"$"</f>
        <v>$</v>
      </c>
      <c r="X2101">
        <v>0</v>
      </c>
      <c r="Y2101">
        <v>0</v>
      </c>
      <c r="Z2101">
        <v>0</v>
      </c>
      <c r="AA2101" t="str">
        <f>"Y"</f>
        <v>Y</v>
      </c>
      <c r="AB2101" t="str">
        <f>"SO21000231"</f>
        <v>SO21000231</v>
      </c>
      <c r="AC2101">
        <v>1</v>
      </c>
      <c r="AD2101" s="1">
        <v>44340</v>
      </c>
      <c r="AE2101" t="str">
        <f>"SH21001773"</f>
        <v>SH21001773</v>
      </c>
      <c r="AF2101" t="str">
        <f>"משלוחים ללקוח"</f>
        <v>משלוחים ללקוח</v>
      </c>
      <c r="AG2101" s="1">
        <v>44486</v>
      </c>
      <c r="AM2101" t="str">
        <f>"10"</f>
        <v>10</v>
      </c>
      <c r="AN2101" t="str">
        <f>"500000"</f>
        <v>500000</v>
      </c>
      <c r="AO2101" t="str">
        <f>"הכנסות  מלקוחות"</f>
        <v>הכנסות  מלקוחות</v>
      </c>
      <c r="AQ2101" t="str">
        <f>"040"</f>
        <v>040</v>
      </c>
      <c r="AR2101">
        <v>0</v>
      </c>
      <c r="AS2101">
        <v>0</v>
      </c>
      <c r="AT2101">
        <v>3.2290000000000001</v>
      </c>
      <c r="AX2101" t="str">
        <f>"E000336473"</f>
        <v>E000336473</v>
      </c>
      <c r="BD2101" t="str">
        <f>"רחמים זרוק"</f>
        <v>רחמים זרוק</v>
      </c>
    </row>
    <row r="2102" spans="1:56" x14ac:dyDescent="0.3">
      <c r="A2102" s="1">
        <v>44487</v>
      </c>
      <c r="B2102" t="str">
        <f>"SI216001419"</f>
        <v>SI216001419</v>
      </c>
      <c r="C2102" t="str">
        <f>"PR21000338"</f>
        <v>PR21000338</v>
      </c>
      <c r="D2102" t="str">
        <f>"PR21000338"</f>
        <v>PR21000338</v>
      </c>
      <c r="E2102" t="str">
        <f>"Y"</f>
        <v>Y</v>
      </c>
      <c r="F2102" t="str">
        <f>"חשבוניות מרכזות"</f>
        <v>חשבוניות מרכזות</v>
      </c>
      <c r="G2102" t="str">
        <f>"700065"</f>
        <v>700065</v>
      </c>
      <c r="H2102" t="str">
        <f>"אלתא מערכות בע""מ"</f>
        <v>אלתא מערכות בע"מ</v>
      </c>
      <c r="I2102" t="str">
        <f>"10"</f>
        <v>10</v>
      </c>
      <c r="J2102" t="str">
        <f>"OP-AR02570"</f>
        <v>OP-AR02570</v>
      </c>
      <c r="K2102" t="str">
        <f>"4040K389-001   HARNESS WL389 - LAB - BU SIGNAL GROUND"</f>
        <v>4040K389-001   HARNESS WL389 - LAB - BU SIGNAL GROUND</v>
      </c>
      <c r="L2102">
        <v>2</v>
      </c>
      <c r="M2102" t="str">
        <f>"יח"</f>
        <v>יח</v>
      </c>
      <c r="N2102">
        <v>2</v>
      </c>
      <c r="O2102" t="str">
        <f>"יח"</f>
        <v>יח</v>
      </c>
      <c r="P2102">
        <v>460.46</v>
      </c>
      <c r="Q2102" t="str">
        <f>"$"</f>
        <v>$</v>
      </c>
      <c r="R2102" t="str">
        <f>"הזמנה"</f>
        <v>הזמנה</v>
      </c>
      <c r="S2102">
        <v>0</v>
      </c>
      <c r="T2102">
        <v>920.92</v>
      </c>
      <c r="U2102">
        <v>0</v>
      </c>
      <c r="V2102">
        <v>920.92</v>
      </c>
      <c r="W2102" t="str">
        <f>"$"</f>
        <v>$</v>
      </c>
      <c r="X2102">
        <v>0</v>
      </c>
      <c r="Y2102">
        <v>0</v>
      </c>
      <c r="Z2102">
        <v>0</v>
      </c>
      <c r="AA2102" t="str">
        <f>"Y"</f>
        <v>Y</v>
      </c>
      <c r="AB2102" t="str">
        <f>"SO21000231"</f>
        <v>SO21000231</v>
      </c>
      <c r="AC2102">
        <v>2</v>
      </c>
      <c r="AD2102" s="1">
        <v>44340</v>
      </c>
      <c r="AE2102" t="str">
        <f>"SH21001773"</f>
        <v>SH21001773</v>
      </c>
      <c r="AF2102" t="str">
        <f>"משלוחים ללקוח"</f>
        <v>משלוחים ללקוח</v>
      </c>
      <c r="AG2102" s="1">
        <v>44486</v>
      </c>
      <c r="AM2102" t="str">
        <f>"10"</f>
        <v>10</v>
      </c>
      <c r="AN2102" t="str">
        <f>"500000"</f>
        <v>500000</v>
      </c>
      <c r="AO2102" t="str">
        <f>"הכנסות  מלקוחות"</f>
        <v>הכנסות  מלקוחות</v>
      </c>
      <c r="AQ2102" t="str">
        <f>"040"</f>
        <v>040</v>
      </c>
      <c r="AR2102">
        <v>0</v>
      </c>
      <c r="AS2102">
        <v>0</v>
      </c>
      <c r="AT2102">
        <v>3.2290000000000001</v>
      </c>
      <c r="AX2102" t="str">
        <f>"E000336473"</f>
        <v>E000336473</v>
      </c>
      <c r="BD2102" t="str">
        <f>"רחמים זרוק"</f>
        <v>רחמים זרוק</v>
      </c>
    </row>
    <row r="2103" spans="1:56" x14ac:dyDescent="0.3">
      <c r="A2103" s="1">
        <v>44487</v>
      </c>
      <c r="B2103" t="str">
        <f>"SI216001419"</f>
        <v>SI216001419</v>
      </c>
      <c r="C2103" t="str">
        <f>"PR21000338"</f>
        <v>PR21000338</v>
      </c>
      <c r="D2103" t="str">
        <f>"PR21000338"</f>
        <v>PR21000338</v>
      </c>
      <c r="E2103" t="str">
        <f>"Y"</f>
        <v>Y</v>
      </c>
      <c r="F2103" t="str">
        <f>"חשבוניות מרכזות"</f>
        <v>חשבוניות מרכזות</v>
      </c>
      <c r="G2103" t="str">
        <f>"700065"</f>
        <v>700065</v>
      </c>
      <c r="H2103" t="str">
        <f>"אלתא מערכות בע""מ"</f>
        <v>אלתא מערכות בע"מ</v>
      </c>
      <c r="I2103" t="str">
        <f>"10"</f>
        <v>10</v>
      </c>
      <c r="J2103" t="str">
        <f>"OP-AR02577"</f>
        <v>OP-AR02577</v>
      </c>
      <c r="K2103" t="str">
        <f>"5020G755-001   HARNESS WE003 - PR AFEA POWER SUPPLY"</f>
        <v>5020G755-001   HARNESS WE003 - PR AFEA POWER SUPPLY</v>
      </c>
      <c r="L2103">
        <v>2</v>
      </c>
      <c r="M2103" t="str">
        <f>"יח"</f>
        <v>יח</v>
      </c>
      <c r="N2103">
        <v>2</v>
      </c>
      <c r="O2103" t="str">
        <f>"יח"</f>
        <v>יח</v>
      </c>
      <c r="P2103">
        <v>122.74</v>
      </c>
      <c r="Q2103" t="str">
        <f>"$"</f>
        <v>$</v>
      </c>
      <c r="R2103" t="str">
        <f>"הזמנה"</f>
        <v>הזמנה</v>
      </c>
      <c r="S2103">
        <v>0</v>
      </c>
      <c r="T2103">
        <v>245.48</v>
      </c>
      <c r="U2103">
        <v>0</v>
      </c>
      <c r="V2103">
        <v>245.48</v>
      </c>
      <c r="W2103" t="str">
        <f>"$"</f>
        <v>$</v>
      </c>
      <c r="X2103">
        <v>0</v>
      </c>
      <c r="Y2103">
        <v>0</v>
      </c>
      <c r="Z2103">
        <v>0</v>
      </c>
      <c r="AA2103" t="str">
        <f>"Y"</f>
        <v>Y</v>
      </c>
      <c r="AB2103" t="str">
        <f>"SO21000231"</f>
        <v>SO21000231</v>
      </c>
      <c r="AC2103">
        <v>9</v>
      </c>
      <c r="AD2103" s="1">
        <v>44340</v>
      </c>
      <c r="AE2103" t="str">
        <f>"SH21001773"</f>
        <v>SH21001773</v>
      </c>
      <c r="AF2103" t="str">
        <f>"משלוחים ללקוח"</f>
        <v>משלוחים ללקוח</v>
      </c>
      <c r="AG2103" s="1">
        <v>44486</v>
      </c>
      <c r="AM2103" t="str">
        <f>"10"</f>
        <v>10</v>
      </c>
      <c r="AN2103" t="str">
        <f>"500000"</f>
        <v>500000</v>
      </c>
      <c r="AO2103" t="str">
        <f>"הכנסות  מלקוחות"</f>
        <v>הכנסות  מלקוחות</v>
      </c>
      <c r="AQ2103" t="str">
        <f>"040"</f>
        <v>040</v>
      </c>
      <c r="AR2103">
        <v>0</v>
      </c>
      <c r="AS2103">
        <v>0</v>
      </c>
      <c r="AT2103">
        <v>3.2290000000000001</v>
      </c>
      <c r="AX2103" t="str">
        <f>"E000336473"</f>
        <v>E000336473</v>
      </c>
      <c r="BD2103" t="str">
        <f>"רחמים זרוק"</f>
        <v>רחמים זרוק</v>
      </c>
    </row>
    <row r="2104" spans="1:56" x14ac:dyDescent="0.3">
      <c r="A2104" s="1">
        <v>44487</v>
      </c>
      <c r="B2104" t="str">
        <f>"SI216001418"</f>
        <v>SI216001418</v>
      </c>
      <c r="C2104" t="str">
        <f>"PR21000526"</f>
        <v>PR21000526</v>
      </c>
      <c r="E2104" t="str">
        <f>"Y"</f>
        <v>Y</v>
      </c>
      <c r="F2104" t="str">
        <f>"חשבוניות מרכזות"</f>
        <v>חשבוניות מרכזות</v>
      </c>
      <c r="G2104" t="str">
        <f>"700065"</f>
        <v>700065</v>
      </c>
      <c r="H2104" t="str">
        <f>"אלתא מערכות בע""מ"</f>
        <v>אלתא מערכות בע"מ</v>
      </c>
      <c r="I2104" t="str">
        <f>"10"</f>
        <v>10</v>
      </c>
      <c r="J2104" t="str">
        <f>"cust000846"</f>
        <v>cust000846</v>
      </c>
      <c r="K2104" t="str">
        <f>"1039H842-001 אלתא"</f>
        <v>1039H842-001 אלתא</v>
      </c>
      <c r="L2104">
        <v>2</v>
      </c>
      <c r="M2104" t="str">
        <f>"יח"</f>
        <v>יח</v>
      </c>
      <c r="N2104">
        <v>2</v>
      </c>
      <c r="O2104" t="str">
        <f>"יח"</f>
        <v>יח</v>
      </c>
      <c r="P2104">
        <v>317.63</v>
      </c>
      <c r="Q2104" t="str">
        <f>"$"</f>
        <v>$</v>
      </c>
      <c r="R2104" t="str">
        <f>"הזמנה"</f>
        <v>הזמנה</v>
      </c>
      <c r="S2104">
        <v>0</v>
      </c>
      <c r="T2104">
        <v>635.26</v>
      </c>
      <c r="U2104">
        <v>0</v>
      </c>
      <c r="V2104">
        <v>635.26</v>
      </c>
      <c r="W2104" t="str">
        <f>"$"</f>
        <v>$</v>
      </c>
      <c r="X2104">
        <v>0</v>
      </c>
      <c r="Y2104">
        <v>0</v>
      </c>
      <c r="Z2104">
        <v>0</v>
      </c>
      <c r="AA2104" t="str">
        <f>"Y"</f>
        <v>Y</v>
      </c>
      <c r="AB2104" t="str">
        <f>"SO21000346"</f>
        <v>SO21000346</v>
      </c>
      <c r="AC2104">
        <v>5</v>
      </c>
      <c r="AD2104" s="1">
        <v>44409</v>
      </c>
      <c r="AE2104" t="str">
        <f>"SH21001779"</f>
        <v>SH21001779</v>
      </c>
      <c r="AF2104" t="str">
        <f>"משלוחים ללקוח"</f>
        <v>משלוחים ללקוח</v>
      </c>
      <c r="AG2104" s="1">
        <v>44486</v>
      </c>
      <c r="AM2104" t="str">
        <f>"10"</f>
        <v>10</v>
      </c>
      <c r="AN2104" t="str">
        <f>"500000"</f>
        <v>500000</v>
      </c>
      <c r="AO2104" t="str">
        <f>"הכנסות  מלקוחות"</f>
        <v>הכנסות  מלקוחות</v>
      </c>
      <c r="AQ2104" t="str">
        <f>"040"</f>
        <v>040</v>
      </c>
      <c r="AR2104">
        <v>0</v>
      </c>
      <c r="AS2104">
        <v>0</v>
      </c>
      <c r="AT2104">
        <v>3.2290000000000001</v>
      </c>
      <c r="AX2104" t="str">
        <f>"E000339502"</f>
        <v>E000339502</v>
      </c>
      <c r="BD2104" t="str">
        <f>"רחמים זרוק"</f>
        <v>רחמים זרוק</v>
      </c>
    </row>
    <row r="2105" spans="1:56" x14ac:dyDescent="0.3">
      <c r="A2105" s="1">
        <v>44487</v>
      </c>
      <c r="B2105" t="str">
        <f>"SI216001417"</f>
        <v>SI216001417</v>
      </c>
      <c r="C2105" t="str">
        <f>"PR20000851"</f>
        <v>PR20000851</v>
      </c>
      <c r="D2105" t="str">
        <f>"PR20000851"</f>
        <v>PR20000851</v>
      </c>
      <c r="E2105" t="str">
        <f>"Y"</f>
        <v>Y</v>
      </c>
      <c r="F2105" t="str">
        <f>"חשבוניות מרכזות"</f>
        <v>חשבוניות מרכזות</v>
      </c>
      <c r="G2105" t="str">
        <f>"700065"</f>
        <v>700065</v>
      </c>
      <c r="H2105" t="str">
        <f>"אלתא מערכות בע""מ"</f>
        <v>אלתא מערכות בע"מ</v>
      </c>
      <c r="I2105" t="str">
        <f>"10"</f>
        <v>10</v>
      </c>
      <c r="J2105" t="str">
        <f>"OP-AR02159"</f>
        <v>OP-AR02159</v>
      </c>
      <c r="K2105" t="str">
        <f>"1039H814-001   HARNESS WY014 - PDU TO TRA4 SHE"</f>
        <v>1039H814-001   HARNESS WY014 - PDU TO TRA4 SHE</v>
      </c>
      <c r="L2105">
        <v>4</v>
      </c>
      <c r="M2105" t="str">
        <f>"יח"</f>
        <v>יח</v>
      </c>
      <c r="N2105">
        <v>4</v>
      </c>
      <c r="O2105" t="str">
        <f>"יח"</f>
        <v>יח</v>
      </c>
      <c r="P2105">
        <v>441.92</v>
      </c>
      <c r="Q2105" t="str">
        <f>"$"</f>
        <v>$</v>
      </c>
      <c r="R2105" t="str">
        <f>"הזמנה"</f>
        <v>הזמנה</v>
      </c>
      <c r="S2105">
        <v>0</v>
      </c>
      <c r="T2105" s="2">
        <v>1767.68</v>
      </c>
      <c r="U2105">
        <v>0</v>
      </c>
      <c r="V2105" s="2">
        <v>1767.68</v>
      </c>
      <c r="W2105" t="str">
        <f>"$"</f>
        <v>$</v>
      </c>
      <c r="X2105">
        <v>0</v>
      </c>
      <c r="Y2105">
        <v>0</v>
      </c>
      <c r="Z2105">
        <v>0</v>
      </c>
      <c r="AA2105" t="str">
        <f>"Y"</f>
        <v>Y</v>
      </c>
      <c r="AB2105" t="str">
        <f>"SO20000555"</f>
        <v>SO20000555</v>
      </c>
      <c r="AC2105">
        <v>7</v>
      </c>
      <c r="AD2105" s="1">
        <v>44166</v>
      </c>
      <c r="AE2105" t="str">
        <f>"SH21001766"</f>
        <v>SH21001766</v>
      </c>
      <c r="AF2105" t="str">
        <f>"משלוחים ללקוח"</f>
        <v>משלוחים ללקוח</v>
      </c>
      <c r="AG2105" s="1">
        <v>44483</v>
      </c>
      <c r="AM2105" t="str">
        <f>"10"</f>
        <v>10</v>
      </c>
      <c r="AN2105" t="str">
        <f>"500000"</f>
        <v>500000</v>
      </c>
      <c r="AO2105" t="str">
        <f>"הכנסות  מלקוחות"</f>
        <v>הכנסות  מלקוחות</v>
      </c>
      <c r="AQ2105" t="str">
        <f>"034"</f>
        <v>034</v>
      </c>
      <c r="AR2105">
        <v>0</v>
      </c>
      <c r="AS2105">
        <v>0</v>
      </c>
      <c r="AT2105">
        <v>3.2290000000000001</v>
      </c>
      <c r="AX2105" t="str">
        <f>"E000326481"</f>
        <v>E000326481</v>
      </c>
      <c r="BD2105" t="str">
        <f>"ערן שלו"</f>
        <v>ערן שלו</v>
      </c>
    </row>
    <row r="2106" spans="1:56" x14ac:dyDescent="0.3">
      <c r="A2106" s="1">
        <v>44487</v>
      </c>
      <c r="B2106" t="str">
        <f>"SI216001417"</f>
        <v>SI216001417</v>
      </c>
      <c r="C2106" t="str">
        <f>"PR20000851"</f>
        <v>PR20000851</v>
      </c>
      <c r="D2106" t="str">
        <f>"PR20000851"</f>
        <v>PR20000851</v>
      </c>
      <c r="E2106" t="str">
        <f>"Y"</f>
        <v>Y</v>
      </c>
      <c r="F2106" t="str">
        <f>"חשבוניות מרכזות"</f>
        <v>חשבוניות מרכזות</v>
      </c>
      <c r="G2106" t="str">
        <f>"700065"</f>
        <v>700065</v>
      </c>
      <c r="H2106" t="str">
        <f>"אלתא מערכות בע""מ"</f>
        <v>אלתא מערכות בע"מ</v>
      </c>
      <c r="I2106" t="str">
        <f>"10"</f>
        <v>10</v>
      </c>
      <c r="J2106" t="str">
        <f>"OP-AR02163"</f>
        <v>OP-AR02163</v>
      </c>
      <c r="K2106" t="str">
        <f>"1039H818-001   HARNESS WY018 - PDU TO IFF SHEL"</f>
        <v>1039H818-001   HARNESS WY018 - PDU TO IFF SHEL</v>
      </c>
      <c r="L2106">
        <v>4</v>
      </c>
      <c r="M2106" t="str">
        <f>"יח"</f>
        <v>יח</v>
      </c>
      <c r="N2106">
        <v>4</v>
      </c>
      <c r="O2106" t="str">
        <f>"יח"</f>
        <v>יח</v>
      </c>
      <c r="P2106">
        <v>298.01</v>
      </c>
      <c r="Q2106" t="str">
        <f>"$"</f>
        <v>$</v>
      </c>
      <c r="R2106" t="str">
        <f>"הזמנה"</f>
        <v>הזמנה</v>
      </c>
      <c r="S2106">
        <v>0</v>
      </c>
      <c r="T2106" s="2">
        <v>1192.04</v>
      </c>
      <c r="U2106">
        <v>0</v>
      </c>
      <c r="V2106" s="2">
        <v>1192.04</v>
      </c>
      <c r="W2106" t="str">
        <f>"$"</f>
        <v>$</v>
      </c>
      <c r="X2106">
        <v>0</v>
      </c>
      <c r="Y2106">
        <v>0</v>
      </c>
      <c r="Z2106">
        <v>0</v>
      </c>
      <c r="AA2106" t="str">
        <f>"Y"</f>
        <v>Y</v>
      </c>
      <c r="AB2106" t="str">
        <f>"SO20000555"</f>
        <v>SO20000555</v>
      </c>
      <c r="AC2106">
        <v>11</v>
      </c>
      <c r="AD2106" s="1">
        <v>44166</v>
      </c>
      <c r="AE2106" t="str">
        <f>"SH21001766"</f>
        <v>SH21001766</v>
      </c>
      <c r="AF2106" t="str">
        <f>"משלוחים ללקוח"</f>
        <v>משלוחים ללקוח</v>
      </c>
      <c r="AG2106" s="1">
        <v>44483</v>
      </c>
      <c r="AM2106" t="str">
        <f>"10"</f>
        <v>10</v>
      </c>
      <c r="AN2106" t="str">
        <f>"500000"</f>
        <v>500000</v>
      </c>
      <c r="AO2106" t="str">
        <f>"הכנסות  מלקוחות"</f>
        <v>הכנסות  מלקוחות</v>
      </c>
      <c r="AQ2106" t="str">
        <f>"034"</f>
        <v>034</v>
      </c>
      <c r="AR2106">
        <v>0</v>
      </c>
      <c r="AS2106">
        <v>0</v>
      </c>
      <c r="AT2106">
        <v>3.2290000000000001</v>
      </c>
      <c r="AX2106" t="str">
        <f>"E000326481"</f>
        <v>E000326481</v>
      </c>
      <c r="BD2106" t="str">
        <f>"ערן שלו"</f>
        <v>ערן שלו</v>
      </c>
    </row>
    <row r="2107" spans="1:56" x14ac:dyDescent="0.3">
      <c r="A2107" s="1">
        <v>44487</v>
      </c>
      <c r="B2107" t="str">
        <f>"SI216001417"</f>
        <v>SI216001417</v>
      </c>
      <c r="C2107" t="str">
        <f>"PR20000851"</f>
        <v>PR20000851</v>
      </c>
      <c r="D2107" t="str">
        <f>"PR20000851"</f>
        <v>PR20000851</v>
      </c>
      <c r="E2107" t="str">
        <f>"Y"</f>
        <v>Y</v>
      </c>
      <c r="F2107" t="str">
        <f>"חשבוניות מרכזות"</f>
        <v>חשבוניות מרכזות</v>
      </c>
      <c r="G2107" t="str">
        <f>"700065"</f>
        <v>700065</v>
      </c>
      <c r="H2107" t="str">
        <f>"אלתא מערכות בע""מ"</f>
        <v>אלתא מערכות בע"מ</v>
      </c>
      <c r="I2107" t="str">
        <f>"10"</f>
        <v>10</v>
      </c>
      <c r="J2107" t="str">
        <f>"OP-AR02165"</f>
        <v>OP-AR02165</v>
      </c>
      <c r="K2107" t="str">
        <f>"1039H821-001/-   HARNESS WY021 - PDU TO TRA1 EXT"</f>
        <v>1039H821-001/-   HARNESS WY021 - PDU TO TRA1 EXT</v>
      </c>
      <c r="L2107">
        <v>4</v>
      </c>
      <c r="M2107" t="str">
        <f>"יח"</f>
        <v>יח</v>
      </c>
      <c r="N2107">
        <v>4</v>
      </c>
      <c r="O2107" t="str">
        <f>"יח"</f>
        <v>יח</v>
      </c>
      <c r="P2107">
        <v>828.98</v>
      </c>
      <c r="Q2107" t="str">
        <f>"$"</f>
        <v>$</v>
      </c>
      <c r="R2107" t="str">
        <f>"הזמנה"</f>
        <v>הזמנה</v>
      </c>
      <c r="S2107">
        <v>0</v>
      </c>
      <c r="T2107" s="2">
        <v>3315.92</v>
      </c>
      <c r="U2107">
        <v>0</v>
      </c>
      <c r="V2107" s="2">
        <v>3315.92</v>
      </c>
      <c r="W2107" t="str">
        <f>"$"</f>
        <v>$</v>
      </c>
      <c r="X2107">
        <v>0</v>
      </c>
      <c r="Y2107">
        <v>0</v>
      </c>
      <c r="Z2107">
        <v>0</v>
      </c>
      <c r="AA2107" t="str">
        <f>"Y"</f>
        <v>Y</v>
      </c>
      <c r="AB2107" t="str">
        <f>"SO20000555"</f>
        <v>SO20000555</v>
      </c>
      <c r="AC2107">
        <v>12</v>
      </c>
      <c r="AD2107" s="1">
        <v>44166</v>
      </c>
      <c r="AE2107" t="str">
        <f>"SH21001766"</f>
        <v>SH21001766</v>
      </c>
      <c r="AF2107" t="str">
        <f>"משלוחים ללקוח"</f>
        <v>משלוחים ללקוח</v>
      </c>
      <c r="AG2107" s="1">
        <v>44483</v>
      </c>
      <c r="AM2107" t="str">
        <f>"10"</f>
        <v>10</v>
      </c>
      <c r="AN2107" t="str">
        <f>"500000"</f>
        <v>500000</v>
      </c>
      <c r="AO2107" t="str">
        <f>"הכנסות  מלקוחות"</f>
        <v>הכנסות  מלקוחות</v>
      </c>
      <c r="AQ2107" t="str">
        <f>"034"</f>
        <v>034</v>
      </c>
      <c r="AR2107">
        <v>0</v>
      </c>
      <c r="AS2107">
        <v>0</v>
      </c>
      <c r="AT2107">
        <v>3.2290000000000001</v>
      </c>
      <c r="AX2107" t="str">
        <f>"E000326481"</f>
        <v>E000326481</v>
      </c>
      <c r="BD2107" t="str">
        <f>"ערן שלו"</f>
        <v>ערן שלו</v>
      </c>
    </row>
    <row r="2108" spans="1:56" x14ac:dyDescent="0.3">
      <c r="A2108" s="1">
        <v>44487</v>
      </c>
      <c r="B2108" t="str">
        <f>"SI216001417"</f>
        <v>SI216001417</v>
      </c>
      <c r="C2108" t="str">
        <f>"PR20000851"</f>
        <v>PR20000851</v>
      </c>
      <c r="D2108" t="str">
        <f>"PR20000851"</f>
        <v>PR20000851</v>
      </c>
      <c r="E2108" t="str">
        <f>"Y"</f>
        <v>Y</v>
      </c>
      <c r="F2108" t="str">
        <f>"חשבוניות מרכזות"</f>
        <v>חשבוניות מרכזות</v>
      </c>
      <c r="G2108" t="str">
        <f>"700065"</f>
        <v>700065</v>
      </c>
      <c r="H2108" t="str">
        <f>"אלתא מערכות בע""מ"</f>
        <v>אלתא מערכות בע"מ</v>
      </c>
      <c r="I2108" t="str">
        <f>"10"</f>
        <v>10</v>
      </c>
      <c r="J2108" t="str">
        <f>"OP-AR02175"</f>
        <v>OP-AR02175</v>
      </c>
      <c r="K2108" t="str">
        <f>"1039H833-001/-   HARNESS WY033 - PDU TO TRA3 EXT"</f>
        <v>1039H833-001/-   HARNESS WY033 - PDU TO TRA3 EXT</v>
      </c>
      <c r="L2108">
        <v>1</v>
      </c>
      <c r="M2108" t="str">
        <f>"יח"</f>
        <v>יח</v>
      </c>
      <c r="N2108">
        <v>1</v>
      </c>
      <c r="O2108" t="str">
        <f>"יח"</f>
        <v>יח</v>
      </c>
      <c r="P2108" s="2">
        <v>1348.85</v>
      </c>
      <c r="Q2108" t="str">
        <f>"$"</f>
        <v>$</v>
      </c>
      <c r="R2108" t="str">
        <f>"הזמנה"</f>
        <v>הזמנה</v>
      </c>
      <c r="S2108">
        <v>0</v>
      </c>
      <c r="T2108" s="2">
        <v>1348.85</v>
      </c>
      <c r="U2108">
        <v>0</v>
      </c>
      <c r="V2108" s="2">
        <v>1348.85</v>
      </c>
      <c r="W2108" t="str">
        <f>"$"</f>
        <v>$</v>
      </c>
      <c r="X2108">
        <v>0</v>
      </c>
      <c r="Y2108">
        <v>0</v>
      </c>
      <c r="Z2108">
        <v>0</v>
      </c>
      <c r="AA2108" t="str">
        <f>"Y"</f>
        <v>Y</v>
      </c>
      <c r="AB2108" t="str">
        <f>"SO20000555"</f>
        <v>SO20000555</v>
      </c>
      <c r="AC2108">
        <v>22</v>
      </c>
      <c r="AD2108" s="1">
        <v>44166</v>
      </c>
      <c r="AE2108" t="str">
        <f>"SH21001766"</f>
        <v>SH21001766</v>
      </c>
      <c r="AF2108" t="str">
        <f>"משלוחים ללקוח"</f>
        <v>משלוחים ללקוח</v>
      </c>
      <c r="AG2108" s="1">
        <v>44483</v>
      </c>
      <c r="AM2108" t="str">
        <f>"10"</f>
        <v>10</v>
      </c>
      <c r="AN2108" t="str">
        <f>"500000"</f>
        <v>500000</v>
      </c>
      <c r="AO2108" t="str">
        <f>"הכנסות  מלקוחות"</f>
        <v>הכנסות  מלקוחות</v>
      </c>
      <c r="AQ2108" t="str">
        <f>"034"</f>
        <v>034</v>
      </c>
      <c r="AR2108">
        <v>0</v>
      </c>
      <c r="AS2108">
        <v>0</v>
      </c>
      <c r="AT2108">
        <v>3.2290000000000001</v>
      </c>
      <c r="AX2108" t="str">
        <f>"E000326481"</f>
        <v>E000326481</v>
      </c>
      <c r="BD2108" t="str">
        <f>"ערן שלו"</f>
        <v>ערן שלו</v>
      </c>
    </row>
    <row r="2109" spans="1:56" x14ac:dyDescent="0.3">
      <c r="A2109" s="1">
        <v>44487</v>
      </c>
      <c r="B2109" t="str">
        <f>"SI216001416"</f>
        <v>SI216001416</v>
      </c>
      <c r="C2109" t="str">
        <f>"PR21000342"</f>
        <v>PR21000342</v>
      </c>
      <c r="D2109" t="str">
        <f>"PR21000342"</f>
        <v>PR21000342</v>
      </c>
      <c r="E2109" t="str">
        <f>"Y"</f>
        <v>Y</v>
      </c>
      <c r="F2109" t="str">
        <f>"חשבוניות מרכזות"</f>
        <v>חשבוניות מרכזות</v>
      </c>
      <c r="G2109" t="str">
        <f>"700065"</f>
        <v>700065</v>
      </c>
      <c r="H2109" t="str">
        <f>"אלתא מערכות בע""מ"</f>
        <v>אלתא מערכות בע"מ</v>
      </c>
      <c r="I2109" t="str">
        <f>"10"</f>
        <v>10</v>
      </c>
      <c r="J2109" t="str">
        <f>"OP-AR02262"</f>
        <v>OP-AR02262</v>
      </c>
      <c r="K2109" t="str">
        <f>"1038C462-001   WG462 - P.S TO BUSBAR GROUN"</f>
        <v>1038C462-001   WG462 - P.S TO BUSBAR GROUN</v>
      </c>
      <c r="L2109">
        <v>6</v>
      </c>
      <c r="M2109" t="str">
        <f>"יח"</f>
        <v>יח</v>
      </c>
      <c r="N2109">
        <v>6</v>
      </c>
      <c r="O2109" t="str">
        <f>"יח"</f>
        <v>יח</v>
      </c>
      <c r="P2109">
        <v>55.27</v>
      </c>
      <c r="Q2109" t="str">
        <f>"$"</f>
        <v>$</v>
      </c>
      <c r="R2109" t="str">
        <f>"הזמנה"</f>
        <v>הזמנה</v>
      </c>
      <c r="S2109">
        <v>0</v>
      </c>
      <c r="T2109">
        <v>331.62</v>
      </c>
      <c r="U2109">
        <v>0</v>
      </c>
      <c r="V2109">
        <v>331.62</v>
      </c>
      <c r="W2109" t="str">
        <f>"$"</f>
        <v>$</v>
      </c>
      <c r="X2109">
        <v>0</v>
      </c>
      <c r="Y2109">
        <v>0</v>
      </c>
      <c r="Z2109">
        <v>0</v>
      </c>
      <c r="AA2109" t="str">
        <f>"Y"</f>
        <v>Y</v>
      </c>
      <c r="AB2109" t="str">
        <f>"SO21000236"</f>
        <v>SO21000236</v>
      </c>
      <c r="AC2109">
        <v>3</v>
      </c>
      <c r="AD2109" s="1">
        <v>44341</v>
      </c>
      <c r="AE2109" t="str">
        <f>"SH21001778"</f>
        <v>SH21001778</v>
      </c>
      <c r="AF2109" t="str">
        <f>"משלוחים ללקוח"</f>
        <v>משלוחים ללקוח</v>
      </c>
      <c r="AG2109" s="1">
        <v>44486</v>
      </c>
      <c r="AM2109" t="str">
        <f>"10"</f>
        <v>10</v>
      </c>
      <c r="AN2109" t="str">
        <f>"500000"</f>
        <v>500000</v>
      </c>
      <c r="AO2109" t="str">
        <f>"הכנסות  מלקוחות"</f>
        <v>הכנסות  מלקוחות</v>
      </c>
      <c r="AQ2109" t="str">
        <f>"040"</f>
        <v>040</v>
      </c>
      <c r="AR2109">
        <v>0</v>
      </c>
      <c r="AS2109">
        <v>0</v>
      </c>
      <c r="AT2109">
        <v>3.2290000000000001</v>
      </c>
      <c r="AX2109" t="str">
        <f>"E000337986"</f>
        <v>E000337986</v>
      </c>
      <c r="BD2109" t="str">
        <f>"רחמים זרוק"</f>
        <v>רחמים זרוק</v>
      </c>
    </row>
    <row r="2110" spans="1:56" x14ac:dyDescent="0.3">
      <c r="A2110" s="1">
        <v>44487</v>
      </c>
      <c r="B2110" t="str">
        <f>"SI216001406"</f>
        <v>SI216001406</v>
      </c>
      <c r="C2110" t="str">
        <f>"PR21000083"</f>
        <v>PR21000083</v>
      </c>
      <c r="E2110" t="str">
        <f>"Y"</f>
        <v>Y</v>
      </c>
      <c r="F2110" t="str">
        <f>"חשבוניות מרכזות"</f>
        <v>חשבוניות מרכזות</v>
      </c>
      <c r="G2110" t="str">
        <f>"700065"</f>
        <v>700065</v>
      </c>
      <c r="H2110" t="str">
        <f>"אלתא מערכות בע""מ"</f>
        <v>אלתא מערכות בע"מ</v>
      </c>
      <c r="I2110" t="str">
        <f>"10"</f>
        <v>10</v>
      </c>
      <c r="J2110" t="str">
        <f>"OP-AR02242"</f>
        <v>OP-AR02242</v>
      </c>
      <c r="K2110" t="str">
        <f>"1094F817-001   CABLE W7"</f>
        <v>1094F817-001   CABLE W7</v>
      </c>
      <c r="L2110">
        <v>1</v>
      </c>
      <c r="M2110" t="str">
        <f>"יח"</f>
        <v>יח</v>
      </c>
      <c r="N2110">
        <v>1</v>
      </c>
      <c r="O2110" t="str">
        <f>"יח"</f>
        <v>יח</v>
      </c>
      <c r="P2110">
        <v>791.52</v>
      </c>
      <c r="Q2110" t="str">
        <f>"$"</f>
        <v>$</v>
      </c>
      <c r="R2110" t="str">
        <f>"הזמנה"</f>
        <v>הזמנה</v>
      </c>
      <c r="S2110">
        <v>0</v>
      </c>
      <c r="T2110">
        <v>791.52</v>
      </c>
      <c r="U2110">
        <v>0</v>
      </c>
      <c r="V2110">
        <v>791.52</v>
      </c>
      <c r="W2110" t="str">
        <f>"$"</f>
        <v>$</v>
      </c>
      <c r="X2110">
        <v>0</v>
      </c>
      <c r="Y2110">
        <v>0</v>
      </c>
      <c r="Z2110">
        <v>0</v>
      </c>
      <c r="AA2110" t="str">
        <f>"Y"</f>
        <v>Y</v>
      </c>
      <c r="AB2110" t="str">
        <f>"SO21000038"</f>
        <v>SO21000038</v>
      </c>
      <c r="AC2110">
        <v>2</v>
      </c>
      <c r="AD2110" s="1">
        <v>44217</v>
      </c>
      <c r="AE2110" t="str">
        <f>"SH21001775"</f>
        <v>SH21001775</v>
      </c>
      <c r="AF2110" t="str">
        <f>"משלוחים ללקוח"</f>
        <v>משלוחים ללקוח</v>
      </c>
      <c r="AG2110" s="1">
        <v>44486</v>
      </c>
      <c r="AM2110" t="str">
        <f>"10"</f>
        <v>10</v>
      </c>
      <c r="AN2110" t="str">
        <f>"500000"</f>
        <v>500000</v>
      </c>
      <c r="AO2110" t="str">
        <f>"הכנסות  מלקוחות"</f>
        <v>הכנסות  מלקוחות</v>
      </c>
      <c r="AQ2110" t="str">
        <f>"034"</f>
        <v>034</v>
      </c>
      <c r="AR2110">
        <v>0</v>
      </c>
      <c r="AS2110">
        <v>0</v>
      </c>
      <c r="AT2110">
        <v>3.2290000000000001</v>
      </c>
      <c r="AX2110" t="str">
        <f>"E000331155"</f>
        <v>E000331155</v>
      </c>
      <c r="BD2110" t="str">
        <f>"ערן שלו"</f>
        <v>ערן שלו</v>
      </c>
    </row>
    <row r="2111" spans="1:56" x14ac:dyDescent="0.3">
      <c r="A2111" s="1">
        <v>44481</v>
      </c>
      <c r="B2111" t="str">
        <f>"CR217000057"</f>
        <v>CR217000057</v>
      </c>
      <c r="E2111" t="str">
        <f>"Y"</f>
        <v>Y</v>
      </c>
      <c r="F2111" t="str">
        <f>"חשבוניות זיכוי"</f>
        <v>חשבוניות זיכוי</v>
      </c>
      <c r="G2111" t="str">
        <f>"700065"</f>
        <v>700065</v>
      </c>
      <c r="H2111" t="str">
        <f>"אלתא מערכות בע""מ"</f>
        <v>אלתא מערכות בע"מ</v>
      </c>
      <c r="I2111" t="str">
        <f>"10"</f>
        <v>10</v>
      </c>
      <c r="J2111" t="str">
        <f>"PA1000608"</f>
        <v>PA1000608</v>
      </c>
      <c r="K2111" t="str">
        <f>"מתאם לפלאג RQND-40AB-S-1506-SB"</f>
        <v>מתאם לפלאג RQND-40AB-S-1506-SB</v>
      </c>
      <c r="L2111">
        <v>1</v>
      </c>
      <c r="M2111" t="str">
        <f>"יח"</f>
        <v>יח</v>
      </c>
      <c r="N2111">
        <v>1</v>
      </c>
      <c r="O2111" t="str">
        <f>"יח"</f>
        <v>יח</v>
      </c>
      <c r="P2111" s="2">
        <v>1118.8800000000001</v>
      </c>
      <c r="Q2111" t="str">
        <f>"$"</f>
        <v>$</v>
      </c>
      <c r="R2111" t="str">
        <f>"ידני"</f>
        <v>ידני</v>
      </c>
      <c r="S2111">
        <v>0</v>
      </c>
      <c r="T2111" s="2">
        <v>1118.8800000000001</v>
      </c>
      <c r="U2111">
        <v>0</v>
      </c>
      <c r="V2111" s="2">
        <v>1118.8800000000001</v>
      </c>
      <c r="W2111" t="str">
        <f>"$"</f>
        <v>$</v>
      </c>
      <c r="X2111">
        <v>0</v>
      </c>
      <c r="Y2111">
        <v>0</v>
      </c>
      <c r="Z2111">
        <v>0</v>
      </c>
      <c r="AA2111" t="str">
        <f>"Y"</f>
        <v>Y</v>
      </c>
      <c r="AC2111">
        <v>0</v>
      </c>
      <c r="AM2111" t="str">
        <f>"10"</f>
        <v>10</v>
      </c>
      <c r="AN2111" t="str">
        <f>"500000"</f>
        <v>500000</v>
      </c>
      <c r="AO2111" t="str">
        <f>"הכנסות  מלקוחות"</f>
        <v>הכנסות  מלקוחות</v>
      </c>
      <c r="AQ2111" t="str">
        <f>"034"</f>
        <v>034</v>
      </c>
      <c r="AR2111">
        <v>0</v>
      </c>
      <c r="AS2111">
        <v>0</v>
      </c>
      <c r="AT2111">
        <v>3.21</v>
      </c>
      <c r="BD2111" t="str">
        <f>"ערן שלו"</f>
        <v>ערן שלו</v>
      </c>
    </row>
    <row r="2112" spans="1:56" x14ac:dyDescent="0.3">
      <c r="A2112" s="1">
        <v>44481</v>
      </c>
      <c r="B2112" t="str">
        <f>"CR217000056"</f>
        <v>CR217000056</v>
      </c>
      <c r="E2112" t="str">
        <f>"Y"</f>
        <v>Y</v>
      </c>
      <c r="F2112" t="str">
        <f>"חשבוניות זיכוי"</f>
        <v>חשבוניות זיכוי</v>
      </c>
      <c r="G2112" t="str">
        <f>"700065"</f>
        <v>700065</v>
      </c>
      <c r="H2112" t="str">
        <f>"אלתא מערכות בע""מ"</f>
        <v>אלתא מערכות בע"מ</v>
      </c>
      <c r="I2112" t="str">
        <f>"10"</f>
        <v>10</v>
      </c>
      <c r="J2112" t="str">
        <f>"OP-AR01958"</f>
        <v>OP-AR01958</v>
      </c>
      <c r="K2112" t="str">
        <f>"1031B121-001/- - CABLE ASSY W121"</f>
        <v>1031B121-001/- - CABLE ASSY W121</v>
      </c>
      <c r="L2112">
        <v>1</v>
      </c>
      <c r="M2112" t="str">
        <f>"יח"</f>
        <v>יח</v>
      </c>
      <c r="N2112">
        <v>1</v>
      </c>
      <c r="O2112" t="str">
        <f>"יח"</f>
        <v>יח</v>
      </c>
      <c r="P2112" s="2">
        <v>2043.07</v>
      </c>
      <c r="Q2112" t="str">
        <f>"$"</f>
        <v>$</v>
      </c>
      <c r="R2112" t="str">
        <f>"ידני"</f>
        <v>ידני</v>
      </c>
      <c r="S2112">
        <v>0</v>
      </c>
      <c r="T2112" s="2">
        <v>2043.07</v>
      </c>
      <c r="U2112">
        <v>0</v>
      </c>
      <c r="V2112" s="2">
        <v>2043.07</v>
      </c>
      <c r="W2112" t="str">
        <f>"$"</f>
        <v>$</v>
      </c>
      <c r="X2112">
        <v>0</v>
      </c>
      <c r="Y2112">
        <v>0</v>
      </c>
      <c r="Z2112">
        <v>0</v>
      </c>
      <c r="AA2112" t="str">
        <f>"Y"</f>
        <v>Y</v>
      </c>
      <c r="AC2112">
        <v>0</v>
      </c>
      <c r="AM2112" t="str">
        <f>"10"</f>
        <v>10</v>
      </c>
      <c r="AN2112" t="str">
        <f>"500000"</f>
        <v>500000</v>
      </c>
      <c r="AO2112" t="str">
        <f>"הכנסות  מלקוחות"</f>
        <v>הכנסות  מלקוחות</v>
      </c>
      <c r="AQ2112" t="str">
        <f>"034"</f>
        <v>034</v>
      </c>
      <c r="AR2112">
        <v>0</v>
      </c>
      <c r="AS2112">
        <v>0</v>
      </c>
      <c r="AT2112">
        <v>3.3319999999999999</v>
      </c>
      <c r="BD2112" t="str">
        <f>"ערן שלו"</f>
        <v>ערן שלו</v>
      </c>
    </row>
    <row r="2113" spans="1:56" x14ac:dyDescent="0.3">
      <c r="A2113" s="1">
        <v>44480</v>
      </c>
      <c r="B2113" t="str">
        <f>"SI216001380"</f>
        <v>SI216001380</v>
      </c>
      <c r="C2113" t="str">
        <f>"PR20000622"</f>
        <v>PR20000622</v>
      </c>
      <c r="D2113" t="str">
        <f>"PR20000622"</f>
        <v>PR20000622</v>
      </c>
      <c r="E2113" t="str">
        <f>"Y"</f>
        <v>Y</v>
      </c>
      <c r="F2113" t="str">
        <f>"חשבוניות מרכזות"</f>
        <v>חשבוניות מרכזות</v>
      </c>
      <c r="G2113" t="str">
        <f>"700065"</f>
        <v>700065</v>
      </c>
      <c r="H2113" t="str">
        <f>"אלתא מערכות בע""מ"</f>
        <v>אלתא מערכות בע"מ</v>
      </c>
      <c r="I2113" t="str">
        <f>"10"</f>
        <v>10</v>
      </c>
      <c r="J2113" t="str">
        <f>"000"</f>
        <v>000</v>
      </c>
      <c r="K2113" t="str">
        <f>"NRE"</f>
        <v>NRE</v>
      </c>
      <c r="L2113">
        <v>1</v>
      </c>
      <c r="M2113" t="str">
        <f>"יח"</f>
        <v>יח</v>
      </c>
      <c r="N2113">
        <v>1</v>
      </c>
      <c r="O2113" t="str">
        <f>"יח"</f>
        <v>יח</v>
      </c>
      <c r="P2113">
        <v>635</v>
      </c>
      <c r="Q2113" t="str">
        <f>"$"</f>
        <v>$</v>
      </c>
      <c r="R2113" t="str">
        <f>"הזמנה"</f>
        <v>הזמנה</v>
      </c>
      <c r="S2113">
        <v>0</v>
      </c>
      <c r="T2113">
        <v>635</v>
      </c>
      <c r="U2113">
        <v>0</v>
      </c>
      <c r="V2113">
        <v>635</v>
      </c>
      <c r="W2113" t="str">
        <f>"$"</f>
        <v>$</v>
      </c>
      <c r="X2113">
        <v>0</v>
      </c>
      <c r="Y2113">
        <v>0</v>
      </c>
      <c r="Z2113">
        <v>0</v>
      </c>
      <c r="AA2113" t="str">
        <f>"Y"</f>
        <v>Y</v>
      </c>
      <c r="AB2113" t="str">
        <f>"SO20000414"</f>
        <v>SO20000414</v>
      </c>
      <c r="AC2113">
        <v>3</v>
      </c>
      <c r="AD2113" s="1">
        <v>44082</v>
      </c>
      <c r="AM2113" t="str">
        <f>"10"</f>
        <v>10</v>
      </c>
      <c r="AN2113" t="str">
        <f>"500000"</f>
        <v>500000</v>
      </c>
      <c r="AO2113" t="str">
        <f>"הכנסות  מלקוחות"</f>
        <v>הכנסות  מלקוחות</v>
      </c>
      <c r="AQ2113" t="str">
        <f>"034"</f>
        <v>034</v>
      </c>
      <c r="AR2113">
        <v>0</v>
      </c>
      <c r="AS2113">
        <v>0</v>
      </c>
      <c r="AT2113">
        <v>3.2309999999999999</v>
      </c>
      <c r="AX2113" t="str">
        <f>"E000319937"</f>
        <v>E000319937</v>
      </c>
      <c r="BD2113" t="str">
        <f>"ערן שלו"</f>
        <v>ערן שלו</v>
      </c>
    </row>
    <row r="2114" spans="1:56" x14ac:dyDescent="0.3">
      <c r="A2114" s="1">
        <v>44474</v>
      </c>
      <c r="B2114" t="str">
        <f>"SI216001346"</f>
        <v>SI216001346</v>
      </c>
      <c r="C2114" t="str">
        <f>"PR20000775"</f>
        <v>PR20000775</v>
      </c>
      <c r="E2114" t="str">
        <f>"Y"</f>
        <v>Y</v>
      </c>
      <c r="F2114" t="str">
        <f>"חשבוניות מרכזות"</f>
        <v>חשבוניות מרכזות</v>
      </c>
      <c r="G2114" t="str">
        <f>"700065"</f>
        <v>700065</v>
      </c>
      <c r="H2114" t="str">
        <f>"אלתא מערכות בע""מ"</f>
        <v>אלתא מערכות בע"מ</v>
      </c>
      <c r="I2114" t="str">
        <f>"05"</f>
        <v>05</v>
      </c>
      <c r="J2114" t="str">
        <f>"OP-PD02882"</f>
        <v>OP-PD02882</v>
      </c>
      <c r="K2114" t="str">
        <f>"ISOLATION TRANSFORMER UNIT 200KVA"</f>
        <v>ISOLATION TRANSFORMER UNIT 200KVA</v>
      </c>
      <c r="L2114">
        <v>2</v>
      </c>
      <c r="M2114" t="str">
        <f>"יח"</f>
        <v>יח</v>
      </c>
      <c r="N2114">
        <v>2</v>
      </c>
      <c r="O2114" t="str">
        <f>"יח"</f>
        <v>יח</v>
      </c>
      <c r="P2114" s="2">
        <v>35340</v>
      </c>
      <c r="Q2114" t="str">
        <f>"$"</f>
        <v>$</v>
      </c>
      <c r="R2114" t="str">
        <f>"הזמנה"</f>
        <v>הזמנה</v>
      </c>
      <c r="S2114">
        <v>0</v>
      </c>
      <c r="T2114" s="2">
        <v>70680</v>
      </c>
      <c r="U2114">
        <v>0</v>
      </c>
      <c r="V2114" s="2">
        <v>70680</v>
      </c>
      <c r="W2114" t="str">
        <f>"$"</f>
        <v>$</v>
      </c>
      <c r="X2114">
        <v>0</v>
      </c>
      <c r="Y2114">
        <v>0</v>
      </c>
      <c r="Z2114">
        <v>0</v>
      </c>
      <c r="AA2114" t="str">
        <f>"Y"</f>
        <v>Y</v>
      </c>
      <c r="AB2114" t="str">
        <f>"SO21000184"</f>
        <v>SO21000184</v>
      </c>
      <c r="AC2114">
        <v>1</v>
      </c>
      <c r="AD2114" s="1">
        <v>44307</v>
      </c>
      <c r="AE2114" t="str">
        <f>"SH21001714"</f>
        <v>SH21001714</v>
      </c>
      <c r="AF2114" t="str">
        <f>"משלוחים ללקוח"</f>
        <v>משלוחים ללקוח</v>
      </c>
      <c r="AG2114" s="1">
        <v>44474</v>
      </c>
      <c r="AM2114" t="str">
        <f>"10"</f>
        <v>10</v>
      </c>
      <c r="AN2114" t="str">
        <f>"500000"</f>
        <v>500000</v>
      </c>
      <c r="AO2114" t="str">
        <f>"הכנסות  מלקוחות"</f>
        <v>הכנסות  מלקוחות</v>
      </c>
      <c r="AQ2114" t="str">
        <f>"034"</f>
        <v>034</v>
      </c>
      <c r="AR2114">
        <v>0</v>
      </c>
      <c r="AS2114">
        <v>0</v>
      </c>
      <c r="AT2114">
        <v>3.2170000000000001</v>
      </c>
      <c r="AX2114" t="str">
        <f>"E000336430"</f>
        <v>E000336430</v>
      </c>
      <c r="BD2114" t="str">
        <f>"ערן שלו"</f>
        <v>ערן שלו</v>
      </c>
    </row>
    <row r="2115" spans="1:56" x14ac:dyDescent="0.3">
      <c r="A2115" s="1">
        <v>44474</v>
      </c>
      <c r="B2115" t="str">
        <f>"SI216001346"</f>
        <v>SI216001346</v>
      </c>
      <c r="C2115" t="str">
        <f>"PR20000775"</f>
        <v>PR20000775</v>
      </c>
      <c r="E2115" t="str">
        <f>"Y"</f>
        <v>Y</v>
      </c>
      <c r="F2115" t="str">
        <f>"חשבוניות מרכזות"</f>
        <v>חשבוניות מרכזות</v>
      </c>
      <c r="G2115" t="str">
        <f>"700065"</f>
        <v>700065</v>
      </c>
      <c r="H2115" t="str">
        <f>"אלתא מערכות בע""מ"</f>
        <v>אלתא מערכות בע"מ</v>
      </c>
      <c r="I2115" t="str">
        <f>"05"</f>
        <v>05</v>
      </c>
      <c r="J2115" t="str">
        <f>"OP-PD02882"</f>
        <v>OP-PD02882</v>
      </c>
      <c r="K2115" t="str">
        <f>"ISOLATION TRANSFORMER UNIT 200KVA"</f>
        <v>ISOLATION TRANSFORMER UNIT 200KVA</v>
      </c>
      <c r="L2115">
        <v>1</v>
      </c>
      <c r="M2115" t="str">
        <f>"יח"</f>
        <v>יח</v>
      </c>
      <c r="N2115">
        <v>1</v>
      </c>
      <c r="O2115" t="str">
        <f>"יח"</f>
        <v>יח</v>
      </c>
      <c r="P2115" s="2">
        <v>35340</v>
      </c>
      <c r="Q2115" t="str">
        <f>"$"</f>
        <v>$</v>
      </c>
      <c r="R2115" t="str">
        <f>"הזמנה"</f>
        <v>הזמנה</v>
      </c>
      <c r="S2115">
        <v>0</v>
      </c>
      <c r="T2115" s="2">
        <v>35340</v>
      </c>
      <c r="U2115">
        <v>0</v>
      </c>
      <c r="V2115" s="2">
        <v>35340</v>
      </c>
      <c r="W2115" t="str">
        <f>"$"</f>
        <v>$</v>
      </c>
      <c r="X2115">
        <v>0</v>
      </c>
      <c r="Y2115">
        <v>0</v>
      </c>
      <c r="Z2115">
        <v>0</v>
      </c>
      <c r="AA2115" t="str">
        <f>"Y"</f>
        <v>Y</v>
      </c>
      <c r="AB2115" t="str">
        <f>"SO21000184"</f>
        <v>SO21000184</v>
      </c>
      <c r="AC2115">
        <v>3</v>
      </c>
      <c r="AD2115" s="1">
        <v>44307</v>
      </c>
      <c r="AE2115" t="str">
        <f>"SH21001714"</f>
        <v>SH21001714</v>
      </c>
      <c r="AF2115" t="str">
        <f>"משלוחים ללקוח"</f>
        <v>משלוחים ללקוח</v>
      </c>
      <c r="AG2115" s="1">
        <v>44474</v>
      </c>
      <c r="AM2115" t="str">
        <f>"10"</f>
        <v>10</v>
      </c>
      <c r="AN2115" t="str">
        <f>"500000"</f>
        <v>500000</v>
      </c>
      <c r="AO2115" t="str">
        <f>"הכנסות  מלקוחות"</f>
        <v>הכנסות  מלקוחות</v>
      </c>
      <c r="AQ2115" t="str">
        <f>"034"</f>
        <v>034</v>
      </c>
      <c r="AR2115">
        <v>0</v>
      </c>
      <c r="AS2115">
        <v>0</v>
      </c>
      <c r="AT2115">
        <v>3.2170000000000001</v>
      </c>
      <c r="AX2115" t="str">
        <f>"E000336430"</f>
        <v>E000336430</v>
      </c>
      <c r="BD2115" t="str">
        <f>"ערן שלו"</f>
        <v>ערן שלו</v>
      </c>
    </row>
    <row r="2116" spans="1:56" x14ac:dyDescent="0.3">
      <c r="A2116" s="1">
        <v>44474</v>
      </c>
      <c r="B2116" t="str">
        <f>"SI216001346"</f>
        <v>SI216001346</v>
      </c>
      <c r="C2116" t="str">
        <f>"PR20000775"</f>
        <v>PR20000775</v>
      </c>
      <c r="E2116" t="str">
        <f>"Y"</f>
        <v>Y</v>
      </c>
      <c r="F2116" t="str">
        <f>"חשבוניות מרכזות"</f>
        <v>חשבוניות מרכזות</v>
      </c>
      <c r="G2116" t="str">
        <f>"700065"</f>
        <v>700065</v>
      </c>
      <c r="H2116" t="str">
        <f>"אלתא מערכות בע""מ"</f>
        <v>אלתא מערכות בע"מ</v>
      </c>
      <c r="I2116" t="str">
        <f>"05"</f>
        <v>05</v>
      </c>
      <c r="J2116" t="str">
        <f>"OP-PD02883"</f>
        <v>OP-PD02883</v>
      </c>
      <c r="K2116" t="str">
        <f>"ISOLATION TRANSFORMER UNIT 70KVA"</f>
        <v>ISOLATION TRANSFORMER UNIT 70KVA</v>
      </c>
      <c r="L2116">
        <v>1</v>
      </c>
      <c r="M2116" t="str">
        <f>"יח"</f>
        <v>יח</v>
      </c>
      <c r="N2116">
        <v>1</v>
      </c>
      <c r="O2116" t="str">
        <f>"יח"</f>
        <v>יח</v>
      </c>
      <c r="P2116" s="2">
        <v>17670</v>
      </c>
      <c r="Q2116" t="str">
        <f>"$"</f>
        <v>$</v>
      </c>
      <c r="R2116" t="str">
        <f>"הזמנה"</f>
        <v>הזמנה</v>
      </c>
      <c r="S2116">
        <v>0</v>
      </c>
      <c r="T2116" s="2">
        <v>17670</v>
      </c>
      <c r="U2116">
        <v>0</v>
      </c>
      <c r="V2116" s="2">
        <v>17670</v>
      </c>
      <c r="W2116" t="str">
        <f>"$"</f>
        <v>$</v>
      </c>
      <c r="X2116">
        <v>0</v>
      </c>
      <c r="Y2116">
        <v>0</v>
      </c>
      <c r="Z2116">
        <v>0</v>
      </c>
      <c r="AA2116" t="str">
        <f>"Y"</f>
        <v>Y</v>
      </c>
      <c r="AB2116" t="str">
        <f>"SO21000184"</f>
        <v>SO21000184</v>
      </c>
      <c r="AC2116">
        <v>7</v>
      </c>
      <c r="AD2116" s="1">
        <v>44307</v>
      </c>
      <c r="AE2116" t="str">
        <f>"SH21001714"</f>
        <v>SH21001714</v>
      </c>
      <c r="AF2116" t="str">
        <f>"משלוחים ללקוח"</f>
        <v>משלוחים ללקוח</v>
      </c>
      <c r="AG2116" s="1">
        <v>44474</v>
      </c>
      <c r="AM2116" t="str">
        <f>"10"</f>
        <v>10</v>
      </c>
      <c r="AN2116" t="str">
        <f>"500000"</f>
        <v>500000</v>
      </c>
      <c r="AO2116" t="str">
        <f>"הכנסות  מלקוחות"</f>
        <v>הכנסות  מלקוחות</v>
      </c>
      <c r="AQ2116" t="str">
        <f>"034"</f>
        <v>034</v>
      </c>
      <c r="AR2116">
        <v>0</v>
      </c>
      <c r="AS2116">
        <v>0</v>
      </c>
      <c r="AT2116">
        <v>3.2170000000000001</v>
      </c>
      <c r="AX2116" t="str">
        <f>"E000336430"</f>
        <v>E000336430</v>
      </c>
      <c r="BD2116" t="str">
        <f>"ערן שלו"</f>
        <v>ערן שלו</v>
      </c>
    </row>
    <row r="2117" spans="1:56" x14ac:dyDescent="0.3">
      <c r="A2117" s="1">
        <v>44474</v>
      </c>
      <c r="B2117" t="str">
        <f>"SI216001346"</f>
        <v>SI216001346</v>
      </c>
      <c r="C2117" t="str">
        <f>"PR20000775"</f>
        <v>PR20000775</v>
      </c>
      <c r="E2117" t="str">
        <f>"Y"</f>
        <v>Y</v>
      </c>
      <c r="F2117" t="str">
        <f>"חשבוניות מרכזות"</f>
        <v>חשבוניות מרכזות</v>
      </c>
      <c r="G2117" t="str">
        <f>"700065"</f>
        <v>700065</v>
      </c>
      <c r="H2117" t="str">
        <f>"אלתא מערכות בע""מ"</f>
        <v>אלתא מערכות בע"מ</v>
      </c>
      <c r="I2117" t="str">
        <f>"05"</f>
        <v>05</v>
      </c>
      <c r="J2117" t="str">
        <f>"OP-PD02883"</f>
        <v>OP-PD02883</v>
      </c>
      <c r="K2117" t="str">
        <f>"ISOLATION TRANSFORMER UNIT 70KVA"</f>
        <v>ISOLATION TRANSFORMER UNIT 70KVA</v>
      </c>
      <c r="L2117">
        <v>1</v>
      </c>
      <c r="M2117" t="str">
        <f>"יח"</f>
        <v>יח</v>
      </c>
      <c r="N2117">
        <v>1</v>
      </c>
      <c r="O2117" t="str">
        <f>"יח"</f>
        <v>יח</v>
      </c>
      <c r="P2117" s="2">
        <v>17670</v>
      </c>
      <c r="Q2117" t="str">
        <f>"$"</f>
        <v>$</v>
      </c>
      <c r="R2117" t="str">
        <f>"הזמנה"</f>
        <v>הזמנה</v>
      </c>
      <c r="S2117">
        <v>0</v>
      </c>
      <c r="T2117" s="2">
        <v>17670</v>
      </c>
      <c r="U2117">
        <v>0</v>
      </c>
      <c r="V2117" s="2">
        <v>17670</v>
      </c>
      <c r="W2117" t="str">
        <f>"$"</f>
        <v>$</v>
      </c>
      <c r="X2117">
        <v>0</v>
      </c>
      <c r="Y2117">
        <v>0</v>
      </c>
      <c r="Z2117">
        <v>0</v>
      </c>
      <c r="AA2117" t="str">
        <f>"Y"</f>
        <v>Y</v>
      </c>
      <c r="AB2117" t="str">
        <f>"SO21000184"</f>
        <v>SO21000184</v>
      </c>
      <c r="AC2117">
        <v>8</v>
      </c>
      <c r="AD2117" s="1">
        <v>44307</v>
      </c>
      <c r="AE2117" t="str">
        <f>"SH21001714"</f>
        <v>SH21001714</v>
      </c>
      <c r="AF2117" t="str">
        <f>"משלוחים ללקוח"</f>
        <v>משלוחים ללקוח</v>
      </c>
      <c r="AG2117" s="1">
        <v>44474</v>
      </c>
      <c r="AM2117" t="str">
        <f>"10"</f>
        <v>10</v>
      </c>
      <c r="AN2117" t="str">
        <f>"500000"</f>
        <v>500000</v>
      </c>
      <c r="AO2117" t="str">
        <f>"הכנסות  מלקוחות"</f>
        <v>הכנסות  מלקוחות</v>
      </c>
      <c r="AQ2117" t="str">
        <f>"034"</f>
        <v>034</v>
      </c>
      <c r="AR2117">
        <v>0</v>
      </c>
      <c r="AS2117">
        <v>0</v>
      </c>
      <c r="AT2117">
        <v>3.2170000000000001</v>
      </c>
      <c r="AX2117" t="str">
        <f>"E000336430"</f>
        <v>E000336430</v>
      </c>
      <c r="BD2117" t="str">
        <f>"ערן שלו"</f>
        <v>ערן שלו</v>
      </c>
    </row>
    <row r="2118" spans="1:56" x14ac:dyDescent="0.3">
      <c r="A2118" s="1">
        <v>44474</v>
      </c>
      <c r="B2118" t="str">
        <f>"SI216001346"</f>
        <v>SI216001346</v>
      </c>
      <c r="C2118" t="str">
        <f>"PR20000775"</f>
        <v>PR20000775</v>
      </c>
      <c r="E2118" t="str">
        <f>"Y"</f>
        <v>Y</v>
      </c>
      <c r="F2118" t="str">
        <f>"חשבוניות מרכזות"</f>
        <v>חשבוניות מרכזות</v>
      </c>
      <c r="G2118" t="str">
        <f>"700065"</f>
        <v>700065</v>
      </c>
      <c r="H2118" t="str">
        <f>"אלתא מערכות בע""מ"</f>
        <v>אלתא מערכות בע"מ</v>
      </c>
      <c r="I2118" t="str">
        <f>"05"</f>
        <v>05</v>
      </c>
      <c r="J2118" t="str">
        <f>"OP-PD02883"</f>
        <v>OP-PD02883</v>
      </c>
      <c r="K2118" t="str">
        <f>"ISOLATION TRANSFORMER UNIT 70KVA"</f>
        <v>ISOLATION TRANSFORMER UNIT 70KVA</v>
      </c>
      <c r="L2118">
        <v>1</v>
      </c>
      <c r="M2118" t="str">
        <f>"יח"</f>
        <v>יח</v>
      </c>
      <c r="N2118">
        <v>1</v>
      </c>
      <c r="O2118" t="str">
        <f>"יח"</f>
        <v>יח</v>
      </c>
      <c r="P2118" s="2">
        <v>17670</v>
      </c>
      <c r="Q2118" t="str">
        <f>"$"</f>
        <v>$</v>
      </c>
      <c r="R2118" t="str">
        <f>"הזמנה"</f>
        <v>הזמנה</v>
      </c>
      <c r="S2118">
        <v>0</v>
      </c>
      <c r="T2118" s="2">
        <v>17670</v>
      </c>
      <c r="U2118">
        <v>0</v>
      </c>
      <c r="V2118" s="2">
        <v>17670</v>
      </c>
      <c r="W2118" t="str">
        <f>"$"</f>
        <v>$</v>
      </c>
      <c r="X2118">
        <v>0</v>
      </c>
      <c r="Y2118">
        <v>0</v>
      </c>
      <c r="Z2118">
        <v>0</v>
      </c>
      <c r="AA2118" t="str">
        <f>"Y"</f>
        <v>Y</v>
      </c>
      <c r="AB2118" t="str">
        <f>"SO21000184"</f>
        <v>SO21000184</v>
      </c>
      <c r="AC2118">
        <v>9</v>
      </c>
      <c r="AD2118" s="1">
        <v>44307</v>
      </c>
      <c r="AE2118" t="str">
        <f>"SH21001714"</f>
        <v>SH21001714</v>
      </c>
      <c r="AF2118" t="str">
        <f>"משלוחים ללקוח"</f>
        <v>משלוחים ללקוח</v>
      </c>
      <c r="AG2118" s="1">
        <v>44474</v>
      </c>
      <c r="AM2118" t="str">
        <f>"10"</f>
        <v>10</v>
      </c>
      <c r="AN2118" t="str">
        <f>"500000"</f>
        <v>500000</v>
      </c>
      <c r="AO2118" t="str">
        <f>"הכנסות  מלקוחות"</f>
        <v>הכנסות  מלקוחות</v>
      </c>
      <c r="AQ2118" t="str">
        <f>"034"</f>
        <v>034</v>
      </c>
      <c r="AR2118">
        <v>0</v>
      </c>
      <c r="AS2118">
        <v>0</v>
      </c>
      <c r="AT2118">
        <v>3.2170000000000001</v>
      </c>
      <c r="AX2118" t="str">
        <f>"E000336430"</f>
        <v>E000336430</v>
      </c>
      <c r="BD2118" t="str">
        <f>"ערן שלו"</f>
        <v>ערן שלו</v>
      </c>
    </row>
    <row r="2119" spans="1:56" x14ac:dyDescent="0.3">
      <c r="A2119" s="1">
        <v>44474</v>
      </c>
      <c r="B2119" t="str">
        <f>"SI216001345"</f>
        <v>SI216001345</v>
      </c>
      <c r="C2119" t="str">
        <f>"PR19000400"</f>
        <v>PR19000400</v>
      </c>
      <c r="E2119" t="str">
        <f>"Y"</f>
        <v>Y</v>
      </c>
      <c r="F2119" t="str">
        <f>"חשבוניות מרכזות"</f>
        <v>חשבוניות מרכזות</v>
      </c>
      <c r="G2119" t="str">
        <f>"700065"</f>
        <v>700065</v>
      </c>
      <c r="H2119" t="str">
        <f>"אלתא מערכות בע""מ"</f>
        <v>אלתא מערכות בע"מ</v>
      </c>
      <c r="I2119" t="str">
        <f>"10"</f>
        <v>10</v>
      </c>
      <c r="J2119" t="str">
        <f>"OP-PD02882"</f>
        <v>OP-PD02882</v>
      </c>
      <c r="K2119" t="str">
        <f>"ISOLATION TRANSFORMER UNIT 200KVA"</f>
        <v>ISOLATION TRANSFORMER UNIT 200KVA</v>
      </c>
      <c r="L2119">
        <v>1</v>
      </c>
      <c r="M2119" t="str">
        <f>"יח"</f>
        <v>יח</v>
      </c>
      <c r="N2119">
        <v>1</v>
      </c>
      <c r="O2119" t="str">
        <f>"יח"</f>
        <v>יח</v>
      </c>
      <c r="P2119" s="2">
        <v>35340</v>
      </c>
      <c r="Q2119" t="str">
        <f>"$"</f>
        <v>$</v>
      </c>
      <c r="R2119" t="str">
        <f>"הזמנה"</f>
        <v>הזמנה</v>
      </c>
      <c r="S2119">
        <v>0</v>
      </c>
      <c r="T2119" s="2">
        <v>35340</v>
      </c>
      <c r="U2119">
        <v>0</v>
      </c>
      <c r="V2119" s="2">
        <v>35340</v>
      </c>
      <c r="W2119" t="str">
        <f>"$"</f>
        <v>$</v>
      </c>
      <c r="X2119">
        <v>0</v>
      </c>
      <c r="Y2119">
        <v>0</v>
      </c>
      <c r="Z2119">
        <v>0</v>
      </c>
      <c r="AA2119" t="str">
        <f>"Y"</f>
        <v>Y</v>
      </c>
      <c r="AB2119" t="str">
        <f>"SO20000012"</f>
        <v>SO20000012</v>
      </c>
      <c r="AC2119">
        <v>25</v>
      </c>
      <c r="AD2119" s="1">
        <v>43837</v>
      </c>
      <c r="AE2119" t="str">
        <f>"SH21001712"</f>
        <v>SH21001712</v>
      </c>
      <c r="AF2119" t="str">
        <f>"משלוחים ללקוח"</f>
        <v>משלוחים ללקוח</v>
      </c>
      <c r="AG2119" s="1">
        <v>44474</v>
      </c>
      <c r="AM2119" t="str">
        <f>"10"</f>
        <v>10</v>
      </c>
      <c r="AN2119" t="str">
        <f>"500000"</f>
        <v>500000</v>
      </c>
      <c r="AO2119" t="str">
        <f>"הכנסות  מלקוחות"</f>
        <v>הכנסות  מלקוחות</v>
      </c>
      <c r="AQ2119" t="str">
        <f>"034"</f>
        <v>034</v>
      </c>
      <c r="AR2119">
        <v>0</v>
      </c>
      <c r="AS2119">
        <v>0</v>
      </c>
      <c r="AT2119">
        <v>3.2170000000000001</v>
      </c>
      <c r="AX2119" t="str">
        <f>"E000301089"</f>
        <v>E000301089</v>
      </c>
      <c r="BD2119" t="str">
        <f>"ערן שלו"</f>
        <v>ערן שלו</v>
      </c>
    </row>
    <row r="2120" spans="1:56" x14ac:dyDescent="0.3">
      <c r="A2120" s="1">
        <v>44474</v>
      </c>
      <c r="B2120" t="str">
        <f>"SI216001344"</f>
        <v>SI216001344</v>
      </c>
      <c r="E2120" t="str">
        <f>"Y"</f>
        <v>Y</v>
      </c>
      <c r="F2120" t="str">
        <f>"חשבוניות מרכזות"</f>
        <v>חשבוניות מרכזות</v>
      </c>
      <c r="G2120" t="str">
        <f>"700065"</f>
        <v>700065</v>
      </c>
      <c r="H2120" t="str">
        <f>"אלתא מערכות בע""מ"</f>
        <v>אלתא מערכות בע"מ</v>
      </c>
      <c r="I2120" t="str">
        <f>"10"</f>
        <v>10</v>
      </c>
      <c r="J2120" t="str">
        <f>"000"</f>
        <v>000</v>
      </c>
      <c r="K2120" t="str">
        <f>"תשלום עבור אנליזות, שינוי תוכניות עבודה"</f>
        <v>תשלום עבור אנליזות, שינוי תוכניות עבודה</v>
      </c>
      <c r="L2120">
        <v>1</v>
      </c>
      <c r="M2120" t="str">
        <f>"יח"</f>
        <v>יח</v>
      </c>
      <c r="N2120">
        <v>1</v>
      </c>
      <c r="O2120" t="str">
        <f>"יח"</f>
        <v>יח</v>
      </c>
      <c r="P2120" s="2">
        <v>70000</v>
      </c>
      <c r="Q2120" t="str">
        <f>"$"</f>
        <v>$</v>
      </c>
      <c r="R2120" t="str">
        <f>"הזמנה"</f>
        <v>הזמנה</v>
      </c>
      <c r="S2120">
        <v>0</v>
      </c>
      <c r="T2120" s="2">
        <v>70000</v>
      </c>
      <c r="U2120">
        <v>0</v>
      </c>
      <c r="V2120" s="2">
        <v>70000</v>
      </c>
      <c r="W2120" t="str">
        <f>"$"</f>
        <v>$</v>
      </c>
      <c r="X2120">
        <v>0</v>
      </c>
      <c r="Y2120">
        <v>0</v>
      </c>
      <c r="Z2120">
        <v>0</v>
      </c>
      <c r="AA2120" t="str">
        <f>"Y"</f>
        <v>Y</v>
      </c>
      <c r="AB2120" t="str">
        <f>"SO21000418"</f>
        <v>SO21000418</v>
      </c>
      <c r="AC2120">
        <v>1</v>
      </c>
      <c r="AD2120" s="1">
        <v>44474</v>
      </c>
      <c r="AM2120" t="str">
        <f>"10"</f>
        <v>10</v>
      </c>
      <c r="AN2120" t="str">
        <f>"500000"</f>
        <v>500000</v>
      </c>
      <c r="AO2120" t="str">
        <f>"הכנסות  מלקוחות"</f>
        <v>הכנסות  מלקוחות</v>
      </c>
      <c r="AQ2120" t="str">
        <f>"034"</f>
        <v>034</v>
      </c>
      <c r="AR2120">
        <v>0</v>
      </c>
      <c r="AS2120">
        <v>0</v>
      </c>
      <c r="AT2120">
        <v>3.2170000000000001</v>
      </c>
      <c r="AX2120" t="str">
        <f>"E000346956"</f>
        <v>E000346956</v>
      </c>
      <c r="BD2120" t="str">
        <f>"ערן שלו"</f>
        <v>ערן שלו</v>
      </c>
    </row>
    <row r="2121" spans="1:56" x14ac:dyDescent="0.3">
      <c r="A2121" s="1">
        <v>44474</v>
      </c>
      <c r="B2121" t="str">
        <f>"SI216001344"</f>
        <v>SI216001344</v>
      </c>
      <c r="E2121" t="str">
        <f>"Y"</f>
        <v>Y</v>
      </c>
      <c r="F2121" t="str">
        <f>"חשבוניות מרכזות"</f>
        <v>חשבוניות מרכזות</v>
      </c>
      <c r="G2121" t="str">
        <f>"700065"</f>
        <v>700065</v>
      </c>
      <c r="H2121" t="str">
        <f>"אלתא מערכות בע""מ"</f>
        <v>אלתא מערכות בע"מ</v>
      </c>
      <c r="I2121" t="str">
        <f>"10"</f>
        <v>10</v>
      </c>
      <c r="J2121" t="str">
        <f>"000"</f>
        <v>000</v>
      </c>
      <c r="K2121" t="str">
        <f>"תוספת עבור חומר גלם וש""ע בייצור ה RPU"</f>
        <v>תוספת עבור חומר גלם וש"ע בייצור ה RPU</v>
      </c>
      <c r="L2121">
        <v>1</v>
      </c>
      <c r="M2121" t="str">
        <f>"יח"</f>
        <v>יח</v>
      </c>
      <c r="N2121">
        <v>1</v>
      </c>
      <c r="O2121" t="str">
        <f>"יח"</f>
        <v>יח</v>
      </c>
      <c r="P2121" s="2">
        <v>25000</v>
      </c>
      <c r="Q2121" t="str">
        <f>"$"</f>
        <v>$</v>
      </c>
      <c r="R2121" t="str">
        <f>"הזמנה"</f>
        <v>הזמנה</v>
      </c>
      <c r="S2121">
        <v>0</v>
      </c>
      <c r="T2121" s="2">
        <v>25000</v>
      </c>
      <c r="U2121">
        <v>0</v>
      </c>
      <c r="V2121" s="2">
        <v>25000</v>
      </c>
      <c r="W2121" t="str">
        <f>"$"</f>
        <v>$</v>
      </c>
      <c r="X2121">
        <v>0</v>
      </c>
      <c r="Y2121">
        <v>0</v>
      </c>
      <c r="Z2121">
        <v>0</v>
      </c>
      <c r="AA2121" t="str">
        <f>"Y"</f>
        <v>Y</v>
      </c>
      <c r="AB2121" t="str">
        <f>"SO21000418"</f>
        <v>SO21000418</v>
      </c>
      <c r="AC2121">
        <v>2</v>
      </c>
      <c r="AD2121" s="1">
        <v>44474</v>
      </c>
      <c r="AM2121" t="str">
        <f>"10"</f>
        <v>10</v>
      </c>
      <c r="AN2121" t="str">
        <f>"500000"</f>
        <v>500000</v>
      </c>
      <c r="AO2121" t="str">
        <f>"הכנסות  מלקוחות"</f>
        <v>הכנסות  מלקוחות</v>
      </c>
      <c r="AQ2121" t="str">
        <f>"034"</f>
        <v>034</v>
      </c>
      <c r="AR2121">
        <v>0</v>
      </c>
      <c r="AS2121">
        <v>0</v>
      </c>
      <c r="AT2121">
        <v>3.2170000000000001</v>
      </c>
      <c r="AX2121" t="str">
        <f>"E000346956"</f>
        <v>E000346956</v>
      </c>
      <c r="BD2121" t="str">
        <f>"ערן שלו"</f>
        <v>ערן שלו</v>
      </c>
    </row>
    <row r="2122" spans="1:56" x14ac:dyDescent="0.3">
      <c r="A2122" s="1">
        <v>44470</v>
      </c>
      <c r="B2122" t="str">
        <f>"CR217000128"</f>
        <v>CR217000128</v>
      </c>
      <c r="C2122" t="str">
        <f>"PR20000531"</f>
        <v>PR20000531</v>
      </c>
      <c r="E2122" t="str">
        <f>"Y"</f>
        <v>Y</v>
      </c>
      <c r="F2122" t="str">
        <f>"חשבוניות זיכוי"</f>
        <v>חשבוניות זיכוי</v>
      </c>
      <c r="G2122" t="str">
        <f>"700065"</f>
        <v>700065</v>
      </c>
      <c r="H2122" t="str">
        <f>"אלתא מערכות בע""מ"</f>
        <v>אלתא מערכות בע"מ</v>
      </c>
      <c r="I2122" t="str">
        <f>"10"</f>
        <v>10</v>
      </c>
      <c r="J2122" t="str">
        <f>"PA1000608"</f>
        <v>PA1000608</v>
      </c>
      <c r="K2122" t="str">
        <f>"מתאם לפלאג RQND-40AB-S-1506-SB"</f>
        <v>מתאם לפלאג RQND-40AB-S-1506-SB</v>
      </c>
      <c r="L2122">
        <v>-1</v>
      </c>
      <c r="M2122" t="str">
        <f>"יח"</f>
        <v>יח</v>
      </c>
      <c r="N2122">
        <v>-1</v>
      </c>
      <c r="O2122" t="str">
        <f>"יח"</f>
        <v>יח</v>
      </c>
      <c r="P2122" s="2">
        <v>1118.8800000000001</v>
      </c>
      <c r="Q2122" t="str">
        <f>"$"</f>
        <v>$</v>
      </c>
      <c r="R2122" t="str">
        <f>"הזמנה"</f>
        <v>הזמנה</v>
      </c>
      <c r="S2122">
        <v>0</v>
      </c>
      <c r="T2122" s="2">
        <v>-1118.8800000000001</v>
      </c>
      <c r="U2122">
        <v>0</v>
      </c>
      <c r="V2122" s="2">
        <v>-1118.8800000000001</v>
      </c>
      <c r="W2122" t="str">
        <f>"$"</f>
        <v>$</v>
      </c>
      <c r="X2122">
        <v>0</v>
      </c>
      <c r="Y2122">
        <v>0</v>
      </c>
      <c r="Z2122">
        <v>0</v>
      </c>
      <c r="AA2122" t="str">
        <f>"Y"</f>
        <v>Y</v>
      </c>
      <c r="AC2122">
        <v>0</v>
      </c>
      <c r="AM2122" t="str">
        <f>"10"</f>
        <v>10</v>
      </c>
      <c r="AN2122" t="str">
        <f>"500000"</f>
        <v>500000</v>
      </c>
      <c r="AO2122" t="str">
        <f>"הכנסות  מלקוחות"</f>
        <v>הכנסות  מלקוחות</v>
      </c>
      <c r="AQ2122" t="str">
        <f>"034"</f>
        <v>034</v>
      </c>
      <c r="AR2122">
        <v>0</v>
      </c>
      <c r="AS2122">
        <v>0</v>
      </c>
      <c r="AT2122">
        <v>3.21</v>
      </c>
      <c r="BB2122" t="str">
        <f>"Y"</f>
        <v>Y</v>
      </c>
      <c r="BD2122" t="str">
        <f>"ערן שלו"</f>
        <v>ערן שלו</v>
      </c>
    </row>
    <row r="2123" spans="1:56" x14ac:dyDescent="0.3">
      <c r="A2123" s="1">
        <v>44469</v>
      </c>
      <c r="B2123" t="str">
        <f>"SI216001336"</f>
        <v>SI216001336</v>
      </c>
      <c r="C2123" t="str">
        <f>"PR21000585"</f>
        <v>PR21000585</v>
      </c>
      <c r="D2123" t="str">
        <f>"PR21000585"</f>
        <v>PR21000585</v>
      </c>
      <c r="E2123" t="str">
        <f>"Y"</f>
        <v>Y</v>
      </c>
      <c r="F2123" t="str">
        <f>"חשבוניות מרכזות"</f>
        <v>חשבוניות מרכזות</v>
      </c>
      <c r="G2123" t="str">
        <f>"700065"</f>
        <v>700065</v>
      </c>
      <c r="H2123" t="str">
        <f>"אלתא מערכות בע""מ"</f>
        <v>אלתא מערכות בע"מ</v>
      </c>
      <c r="I2123" t="str">
        <f>"10"</f>
        <v>10</v>
      </c>
      <c r="J2123" t="str">
        <f>"OP-AR02697"</f>
        <v>OP-AR02697</v>
      </c>
      <c r="K2123" t="str">
        <f>"1093E125-001   CSU CABLE"</f>
        <v>1093E125-001   CSU CABLE</v>
      </c>
      <c r="L2123">
        <v>1</v>
      </c>
      <c r="M2123" t="str">
        <f>"יח"</f>
        <v>יח</v>
      </c>
      <c r="N2123">
        <v>1</v>
      </c>
      <c r="O2123" t="str">
        <f>"יח"</f>
        <v>יח</v>
      </c>
      <c r="P2123">
        <v>159.34</v>
      </c>
      <c r="Q2123" t="str">
        <f>"$"</f>
        <v>$</v>
      </c>
      <c r="R2123" t="str">
        <f>"הזמנה"</f>
        <v>הזמנה</v>
      </c>
      <c r="S2123">
        <v>0</v>
      </c>
      <c r="T2123">
        <v>159.34</v>
      </c>
      <c r="U2123">
        <v>0</v>
      </c>
      <c r="V2123">
        <v>159.34</v>
      </c>
      <c r="W2123" t="str">
        <f>"$"</f>
        <v>$</v>
      </c>
      <c r="X2123">
        <v>0</v>
      </c>
      <c r="Y2123">
        <v>0</v>
      </c>
      <c r="Z2123">
        <v>0</v>
      </c>
      <c r="AA2123" t="str">
        <f>"Y"</f>
        <v>Y</v>
      </c>
      <c r="AB2123" t="str">
        <f>"SO21000375"</f>
        <v>SO21000375</v>
      </c>
      <c r="AC2123">
        <v>1</v>
      </c>
      <c r="AD2123" s="1">
        <v>44427</v>
      </c>
      <c r="AE2123" t="str">
        <f>"SH21001670"</f>
        <v>SH21001670</v>
      </c>
      <c r="AF2123" t="str">
        <f>"משלוחים ללקוח"</f>
        <v>משלוחים ללקוח</v>
      </c>
      <c r="AG2123" s="1">
        <v>44469</v>
      </c>
      <c r="AM2123" t="str">
        <f>"10"</f>
        <v>10</v>
      </c>
      <c r="AN2123" t="str">
        <f>"500000"</f>
        <v>500000</v>
      </c>
      <c r="AO2123" t="str">
        <f>"הכנסות  מלקוחות"</f>
        <v>הכנסות  מלקוחות</v>
      </c>
      <c r="AQ2123" t="str">
        <f>"040"</f>
        <v>040</v>
      </c>
      <c r="AR2123">
        <v>0</v>
      </c>
      <c r="AS2123">
        <v>0</v>
      </c>
      <c r="AT2123">
        <v>3.2290000000000001</v>
      </c>
      <c r="AX2123" t="str">
        <f>"E000345204"</f>
        <v>E000345204</v>
      </c>
      <c r="BD2123" t="str">
        <f>"רחמים זרוק"</f>
        <v>רחמים זרוק</v>
      </c>
    </row>
    <row r="2124" spans="1:56" x14ac:dyDescent="0.3">
      <c r="A2124" s="1">
        <v>44469</v>
      </c>
      <c r="B2124" t="str">
        <f>"SI216001336"</f>
        <v>SI216001336</v>
      </c>
      <c r="C2124" t="str">
        <f>"PR21000585"</f>
        <v>PR21000585</v>
      </c>
      <c r="D2124" t="str">
        <f>"PR21000585"</f>
        <v>PR21000585</v>
      </c>
      <c r="E2124" t="str">
        <f>"Y"</f>
        <v>Y</v>
      </c>
      <c r="F2124" t="str">
        <f>"חשבוניות מרכזות"</f>
        <v>חשבוניות מרכזות</v>
      </c>
      <c r="G2124" t="str">
        <f>"700065"</f>
        <v>700065</v>
      </c>
      <c r="H2124" t="str">
        <f>"אלתא מערכות בע""מ"</f>
        <v>אלתא מערכות בע"מ</v>
      </c>
      <c r="I2124" t="str">
        <f>"10"</f>
        <v>10</v>
      </c>
      <c r="J2124" t="str">
        <f>"OP-AR02697"</f>
        <v>OP-AR02697</v>
      </c>
      <c r="K2124" t="str">
        <f>"1093E125-001   CSU CABLE"</f>
        <v>1093E125-001   CSU CABLE</v>
      </c>
      <c r="L2124">
        <v>4</v>
      </c>
      <c r="M2124" t="str">
        <f>"יח"</f>
        <v>יח</v>
      </c>
      <c r="N2124">
        <v>4</v>
      </c>
      <c r="O2124" t="str">
        <f>"יח"</f>
        <v>יח</v>
      </c>
      <c r="P2124">
        <v>159.34</v>
      </c>
      <c r="Q2124" t="str">
        <f>"$"</f>
        <v>$</v>
      </c>
      <c r="R2124" t="str">
        <f>"הזמנה"</f>
        <v>הזמנה</v>
      </c>
      <c r="S2124">
        <v>0</v>
      </c>
      <c r="T2124">
        <v>637.36</v>
      </c>
      <c r="U2124">
        <v>0</v>
      </c>
      <c r="V2124">
        <v>637.36</v>
      </c>
      <c r="W2124" t="str">
        <f>"$"</f>
        <v>$</v>
      </c>
      <c r="X2124">
        <v>0</v>
      </c>
      <c r="Y2124">
        <v>0</v>
      </c>
      <c r="Z2124">
        <v>0</v>
      </c>
      <c r="AA2124" t="str">
        <f>"Y"</f>
        <v>Y</v>
      </c>
      <c r="AB2124" t="str">
        <f>"SO21000375"</f>
        <v>SO21000375</v>
      </c>
      <c r="AC2124">
        <v>2</v>
      </c>
      <c r="AD2124" s="1">
        <v>44427</v>
      </c>
      <c r="AE2124" t="str">
        <f>"SH21001670"</f>
        <v>SH21001670</v>
      </c>
      <c r="AF2124" t="str">
        <f>"משלוחים ללקוח"</f>
        <v>משלוחים ללקוח</v>
      </c>
      <c r="AG2124" s="1">
        <v>44469</v>
      </c>
      <c r="AM2124" t="str">
        <f>"10"</f>
        <v>10</v>
      </c>
      <c r="AN2124" t="str">
        <f>"500000"</f>
        <v>500000</v>
      </c>
      <c r="AO2124" t="str">
        <f>"הכנסות  מלקוחות"</f>
        <v>הכנסות  מלקוחות</v>
      </c>
      <c r="AQ2124" t="str">
        <f>"040"</f>
        <v>040</v>
      </c>
      <c r="AR2124">
        <v>0</v>
      </c>
      <c r="AS2124">
        <v>0</v>
      </c>
      <c r="AT2124">
        <v>3.2290000000000001</v>
      </c>
      <c r="AX2124" t="str">
        <f>"E000345204"</f>
        <v>E000345204</v>
      </c>
      <c r="BD2124" t="str">
        <f>"רחמים זרוק"</f>
        <v>רחמים זרוק</v>
      </c>
    </row>
    <row r="2125" spans="1:56" x14ac:dyDescent="0.3">
      <c r="A2125" s="1">
        <v>44469</v>
      </c>
      <c r="B2125" t="str">
        <f>"SI216001336"</f>
        <v>SI216001336</v>
      </c>
      <c r="C2125" t="str">
        <f>"PR21000585"</f>
        <v>PR21000585</v>
      </c>
      <c r="D2125" t="str">
        <f>"PR21000585"</f>
        <v>PR21000585</v>
      </c>
      <c r="E2125" t="str">
        <f>"Y"</f>
        <v>Y</v>
      </c>
      <c r="F2125" t="str">
        <f>"חשבוניות מרכזות"</f>
        <v>חשבוניות מרכזות</v>
      </c>
      <c r="G2125" t="str">
        <f>"700065"</f>
        <v>700065</v>
      </c>
      <c r="H2125" t="str">
        <f>"אלתא מערכות בע""מ"</f>
        <v>אלתא מערכות בע"מ</v>
      </c>
      <c r="I2125" t="str">
        <f>"10"</f>
        <v>10</v>
      </c>
      <c r="J2125" t="str">
        <f>"OP-AR02697"</f>
        <v>OP-AR02697</v>
      </c>
      <c r="K2125" t="str">
        <f>"1093E125-001   CSU CABLE"</f>
        <v>1093E125-001   CSU CABLE</v>
      </c>
      <c r="L2125">
        <v>9</v>
      </c>
      <c r="M2125" t="str">
        <f>"יח"</f>
        <v>יח</v>
      </c>
      <c r="N2125">
        <v>9</v>
      </c>
      <c r="O2125" t="str">
        <f>"יח"</f>
        <v>יח</v>
      </c>
      <c r="P2125">
        <v>159.34</v>
      </c>
      <c r="Q2125" t="str">
        <f>"$"</f>
        <v>$</v>
      </c>
      <c r="R2125" t="str">
        <f>"הזמנה"</f>
        <v>הזמנה</v>
      </c>
      <c r="S2125">
        <v>0</v>
      </c>
      <c r="T2125" s="2">
        <v>1434.06</v>
      </c>
      <c r="U2125">
        <v>0</v>
      </c>
      <c r="V2125" s="2">
        <v>1434.06</v>
      </c>
      <c r="W2125" t="str">
        <f>"$"</f>
        <v>$</v>
      </c>
      <c r="X2125">
        <v>0</v>
      </c>
      <c r="Y2125">
        <v>0</v>
      </c>
      <c r="Z2125">
        <v>0</v>
      </c>
      <c r="AA2125" t="str">
        <f>"Y"</f>
        <v>Y</v>
      </c>
      <c r="AB2125" t="str">
        <f>"SO21000375"</f>
        <v>SO21000375</v>
      </c>
      <c r="AC2125">
        <v>3</v>
      </c>
      <c r="AD2125" s="1">
        <v>44427</v>
      </c>
      <c r="AE2125" t="str">
        <f>"SH21001670"</f>
        <v>SH21001670</v>
      </c>
      <c r="AF2125" t="str">
        <f>"משלוחים ללקוח"</f>
        <v>משלוחים ללקוח</v>
      </c>
      <c r="AG2125" s="1">
        <v>44469</v>
      </c>
      <c r="AM2125" t="str">
        <f>"10"</f>
        <v>10</v>
      </c>
      <c r="AN2125" t="str">
        <f>"500000"</f>
        <v>500000</v>
      </c>
      <c r="AO2125" t="str">
        <f>"הכנסות  מלקוחות"</f>
        <v>הכנסות  מלקוחות</v>
      </c>
      <c r="AQ2125" t="str">
        <f>"040"</f>
        <v>040</v>
      </c>
      <c r="AR2125">
        <v>0</v>
      </c>
      <c r="AS2125">
        <v>0</v>
      </c>
      <c r="AT2125">
        <v>3.2290000000000001</v>
      </c>
      <c r="AX2125" t="str">
        <f>"E000345204"</f>
        <v>E000345204</v>
      </c>
      <c r="BD2125" t="str">
        <f>"רחמים זרוק"</f>
        <v>רחמים זרוק</v>
      </c>
    </row>
    <row r="2126" spans="1:56" x14ac:dyDescent="0.3">
      <c r="A2126" s="1">
        <v>44469</v>
      </c>
      <c r="B2126" t="str">
        <f>"SI216001335"</f>
        <v>SI216001335</v>
      </c>
      <c r="C2126" t="str">
        <f>"PR21000526"</f>
        <v>PR21000526</v>
      </c>
      <c r="E2126" t="str">
        <f>"Y"</f>
        <v>Y</v>
      </c>
      <c r="F2126" t="str">
        <f>"חשבוניות מרכזות"</f>
        <v>חשבוניות מרכזות</v>
      </c>
      <c r="G2126" t="str">
        <f>"700065"</f>
        <v>700065</v>
      </c>
      <c r="H2126" t="str">
        <f>"אלתא מערכות בע""מ"</f>
        <v>אלתא מערכות בע"מ</v>
      </c>
      <c r="I2126" t="str">
        <f>"10"</f>
        <v>10</v>
      </c>
      <c r="J2126" t="str">
        <f>"cust000845"</f>
        <v>cust000845</v>
      </c>
      <c r="K2126" t="str">
        <f>"1039H815-001 אלתא"</f>
        <v>1039H815-001 אלתא</v>
      </c>
      <c r="L2126">
        <v>4</v>
      </c>
      <c r="M2126" t="str">
        <f>"יח"</f>
        <v>יח</v>
      </c>
      <c r="N2126">
        <v>4</v>
      </c>
      <c r="O2126" t="str">
        <f>"יח"</f>
        <v>יח</v>
      </c>
      <c r="P2126">
        <v>297.68</v>
      </c>
      <c r="Q2126" t="str">
        <f>"$"</f>
        <v>$</v>
      </c>
      <c r="R2126" t="str">
        <f>"הזמנה"</f>
        <v>הזמנה</v>
      </c>
      <c r="S2126">
        <v>0</v>
      </c>
      <c r="T2126" s="2">
        <v>1190.72</v>
      </c>
      <c r="U2126">
        <v>0</v>
      </c>
      <c r="V2126" s="2">
        <v>1190.72</v>
      </c>
      <c r="W2126" t="str">
        <f>"$"</f>
        <v>$</v>
      </c>
      <c r="X2126">
        <v>0</v>
      </c>
      <c r="Y2126">
        <v>0</v>
      </c>
      <c r="Z2126">
        <v>0</v>
      </c>
      <c r="AA2126" t="str">
        <f>"Y"</f>
        <v>Y</v>
      </c>
      <c r="AB2126" t="str">
        <f>"SO21000346"</f>
        <v>SO21000346</v>
      </c>
      <c r="AC2126">
        <v>4</v>
      </c>
      <c r="AD2126" s="1">
        <v>44409</v>
      </c>
      <c r="AE2126" t="str">
        <f>"SH21001674"</f>
        <v>SH21001674</v>
      </c>
      <c r="AF2126" t="str">
        <f>"משלוחים ללקוח"</f>
        <v>משלוחים ללקוח</v>
      </c>
      <c r="AG2126" s="1">
        <v>44469</v>
      </c>
      <c r="AM2126" t="str">
        <f>"10"</f>
        <v>10</v>
      </c>
      <c r="AN2126" t="str">
        <f>"500000"</f>
        <v>500000</v>
      </c>
      <c r="AO2126" t="str">
        <f>"הכנסות  מלקוחות"</f>
        <v>הכנסות  מלקוחות</v>
      </c>
      <c r="AQ2126" t="str">
        <f>"040"</f>
        <v>040</v>
      </c>
      <c r="AR2126">
        <v>0</v>
      </c>
      <c r="AS2126">
        <v>0</v>
      </c>
      <c r="AT2126">
        <v>3.2290000000000001</v>
      </c>
      <c r="AX2126" t="str">
        <f>"E000339502"</f>
        <v>E000339502</v>
      </c>
      <c r="BD2126" t="str">
        <f>"רחמים זרוק"</f>
        <v>רחמים זרוק</v>
      </c>
    </row>
    <row r="2127" spans="1:56" x14ac:dyDescent="0.3">
      <c r="A2127" s="1">
        <v>44469</v>
      </c>
      <c r="B2127" t="str">
        <f>"SI216001334"</f>
        <v>SI216001334</v>
      </c>
      <c r="C2127" t="str">
        <f>"PR20000780"</f>
        <v>PR20000780</v>
      </c>
      <c r="D2127" t="str">
        <f>"PR20000780"</f>
        <v>PR20000780</v>
      </c>
      <c r="E2127" t="str">
        <f>"Y"</f>
        <v>Y</v>
      </c>
      <c r="F2127" t="str">
        <f>"חשבוניות מרכזות"</f>
        <v>חשבוניות מרכזות</v>
      </c>
      <c r="G2127" t="str">
        <f>"700065"</f>
        <v>700065</v>
      </c>
      <c r="H2127" t="str">
        <f>"אלתא מערכות בע""מ"</f>
        <v>אלתא מערכות בע"מ</v>
      </c>
      <c r="I2127" t="str">
        <f>"10"</f>
        <v>10</v>
      </c>
      <c r="J2127" t="str">
        <f>"PA1001666"</f>
        <v>PA1001666</v>
      </c>
      <c r="K2127" t="str">
        <f>"NLS-E-GN-C185-M40B  CONN CIRC LINE SOURCE GROUND"</f>
        <v>NLS-E-GN-C185-M40B  CONN CIRC LINE SOURCE GROUND</v>
      </c>
      <c r="L2127">
        <v>4</v>
      </c>
      <c r="M2127" t="str">
        <f>"יח"</f>
        <v>יח</v>
      </c>
      <c r="N2127">
        <v>4</v>
      </c>
      <c r="O2127" t="str">
        <f>"יח"</f>
        <v>יח</v>
      </c>
      <c r="P2127">
        <v>50.12</v>
      </c>
      <c r="Q2127" t="str">
        <f>"$"</f>
        <v>$</v>
      </c>
      <c r="R2127" t="str">
        <f>"הזמנה"</f>
        <v>הזמנה</v>
      </c>
      <c r="S2127">
        <v>0</v>
      </c>
      <c r="T2127">
        <v>200.48</v>
      </c>
      <c r="U2127">
        <v>0</v>
      </c>
      <c r="V2127">
        <v>200.48</v>
      </c>
      <c r="W2127" t="str">
        <f>"$"</f>
        <v>$</v>
      </c>
      <c r="X2127">
        <v>0</v>
      </c>
      <c r="Y2127">
        <v>0</v>
      </c>
      <c r="Z2127">
        <v>0</v>
      </c>
      <c r="AA2127" t="str">
        <f>"Y"</f>
        <v>Y</v>
      </c>
      <c r="AB2127" t="str">
        <f>"SO20000516"</f>
        <v>SO20000516</v>
      </c>
      <c r="AC2127">
        <v>1</v>
      </c>
      <c r="AD2127" s="1">
        <v>44144</v>
      </c>
      <c r="AE2127" t="str">
        <f>"SH21001678"</f>
        <v>SH21001678</v>
      </c>
      <c r="AF2127" t="str">
        <f>"משלוחים ללקוח"</f>
        <v>משלוחים ללקוח</v>
      </c>
      <c r="AG2127" s="1">
        <v>44469</v>
      </c>
      <c r="AM2127" t="str">
        <f>"10"</f>
        <v>10</v>
      </c>
      <c r="AN2127" t="str">
        <f>"500000"</f>
        <v>500000</v>
      </c>
      <c r="AO2127" t="str">
        <f>"הכנסות  מלקוחות"</f>
        <v>הכנסות  מלקוחות</v>
      </c>
      <c r="AQ2127" t="str">
        <f>"034"</f>
        <v>034</v>
      </c>
      <c r="AR2127">
        <v>0</v>
      </c>
      <c r="AS2127">
        <v>0</v>
      </c>
      <c r="AT2127">
        <v>3.2290000000000001</v>
      </c>
      <c r="AX2127" t="str">
        <f>"E000322953"</f>
        <v>E000322953</v>
      </c>
      <c r="BD2127" t="str">
        <f>"ערן שלו"</f>
        <v>ערן שלו</v>
      </c>
    </row>
    <row r="2128" spans="1:56" x14ac:dyDescent="0.3">
      <c r="A2128" s="1">
        <v>44469</v>
      </c>
      <c r="B2128" t="str">
        <f>"SI216001333"</f>
        <v>SI216001333</v>
      </c>
      <c r="C2128" t="str">
        <f>"PR21000250"</f>
        <v>PR21000250</v>
      </c>
      <c r="E2128" t="str">
        <f>"Y"</f>
        <v>Y</v>
      </c>
      <c r="F2128" t="str">
        <f>"חשבוניות מרכזות"</f>
        <v>חשבוניות מרכזות</v>
      </c>
      <c r="G2128" t="str">
        <f>"700065"</f>
        <v>700065</v>
      </c>
      <c r="H2128" t="str">
        <f>"אלתא מערכות בע""מ"</f>
        <v>אלתא מערכות בע"מ</v>
      </c>
      <c r="I2128" t="str">
        <f>"10"</f>
        <v>10</v>
      </c>
      <c r="J2128" t="str">
        <f>"OP-AR02349"</f>
        <v>OP-AR02349</v>
      </c>
      <c r="K2128" t="str">
        <f>"2202B030-001     TRW20 CABLE ASSY"</f>
        <v>2202B030-001     TRW20 CABLE ASSY</v>
      </c>
      <c r="L2128">
        <v>2</v>
      </c>
      <c r="M2128" t="str">
        <f>"יח"</f>
        <v>יח</v>
      </c>
      <c r="N2128">
        <v>2</v>
      </c>
      <c r="O2128" t="str">
        <f>"יח"</f>
        <v>יח</v>
      </c>
      <c r="P2128">
        <v>246.58</v>
      </c>
      <c r="Q2128" t="str">
        <f>"$"</f>
        <v>$</v>
      </c>
      <c r="R2128" t="str">
        <f>"הזמנה"</f>
        <v>הזמנה</v>
      </c>
      <c r="S2128">
        <v>0</v>
      </c>
      <c r="T2128">
        <v>493.16</v>
      </c>
      <c r="U2128">
        <v>0</v>
      </c>
      <c r="V2128">
        <v>493.16</v>
      </c>
      <c r="W2128" t="str">
        <f>"$"</f>
        <v>$</v>
      </c>
      <c r="X2128">
        <v>0</v>
      </c>
      <c r="Y2128">
        <v>0</v>
      </c>
      <c r="Z2128">
        <v>0</v>
      </c>
      <c r="AA2128" t="str">
        <f>"Y"</f>
        <v>Y</v>
      </c>
      <c r="AB2128" t="str">
        <f>"SO21000171"</f>
        <v>SO21000171</v>
      </c>
      <c r="AC2128">
        <v>1</v>
      </c>
      <c r="AD2128" s="1">
        <v>44304</v>
      </c>
      <c r="AE2128" t="str">
        <f>"SH21001673"</f>
        <v>SH21001673</v>
      </c>
      <c r="AF2128" t="str">
        <f>"משלוחים ללקוח"</f>
        <v>משלוחים ללקוח</v>
      </c>
      <c r="AG2128" s="1">
        <v>44469</v>
      </c>
      <c r="AM2128" t="str">
        <f>"10"</f>
        <v>10</v>
      </c>
      <c r="AN2128" t="str">
        <f>"500000"</f>
        <v>500000</v>
      </c>
      <c r="AO2128" t="str">
        <f>"הכנסות  מלקוחות"</f>
        <v>הכנסות  מלקוחות</v>
      </c>
      <c r="AQ2128" t="str">
        <f>"040"</f>
        <v>040</v>
      </c>
      <c r="AR2128">
        <v>0</v>
      </c>
      <c r="AS2128">
        <v>0</v>
      </c>
      <c r="AT2128">
        <v>3.2290000000000001</v>
      </c>
      <c r="AX2128" t="str">
        <f>"E000336785"</f>
        <v>E000336785</v>
      </c>
      <c r="BD2128" t="str">
        <f>"רחמים זרוק"</f>
        <v>רחמים זרוק</v>
      </c>
    </row>
    <row r="2129" spans="1:56" x14ac:dyDescent="0.3">
      <c r="A2129" s="1">
        <v>44469</v>
      </c>
      <c r="B2129" t="str">
        <f>"SI216001333"</f>
        <v>SI216001333</v>
      </c>
      <c r="C2129" t="str">
        <f>"PR21000250"</f>
        <v>PR21000250</v>
      </c>
      <c r="E2129" t="str">
        <f>"Y"</f>
        <v>Y</v>
      </c>
      <c r="F2129" t="str">
        <f>"חשבוניות מרכזות"</f>
        <v>חשבוניות מרכזות</v>
      </c>
      <c r="G2129" t="str">
        <f>"700065"</f>
        <v>700065</v>
      </c>
      <c r="H2129" t="str">
        <f>"אלתא מערכות בע""מ"</f>
        <v>אלתא מערכות בע"מ</v>
      </c>
      <c r="I2129" t="str">
        <f>"10"</f>
        <v>10</v>
      </c>
      <c r="J2129" t="str">
        <f>"OP-AR02353"</f>
        <v>OP-AR02353</v>
      </c>
      <c r="K2129" t="str">
        <f>"2203B026-001    FIO CABLE ASSY"</f>
        <v>2203B026-001    FIO CABLE ASSY</v>
      </c>
      <c r="L2129">
        <v>1</v>
      </c>
      <c r="M2129" t="str">
        <f>"יח"</f>
        <v>יח</v>
      </c>
      <c r="N2129">
        <v>1</v>
      </c>
      <c r="O2129" t="str">
        <f>"יח"</f>
        <v>יח</v>
      </c>
      <c r="P2129">
        <v>466.36</v>
      </c>
      <c r="Q2129" t="str">
        <f>"$"</f>
        <v>$</v>
      </c>
      <c r="R2129" t="str">
        <f>"הזמנה"</f>
        <v>הזמנה</v>
      </c>
      <c r="S2129">
        <v>0</v>
      </c>
      <c r="T2129">
        <v>466.36</v>
      </c>
      <c r="U2129">
        <v>0</v>
      </c>
      <c r="V2129">
        <v>466.36</v>
      </c>
      <c r="W2129" t="str">
        <f>"$"</f>
        <v>$</v>
      </c>
      <c r="X2129">
        <v>0</v>
      </c>
      <c r="Y2129">
        <v>0</v>
      </c>
      <c r="Z2129">
        <v>0</v>
      </c>
      <c r="AA2129" t="str">
        <f>"Y"</f>
        <v>Y</v>
      </c>
      <c r="AB2129" t="str">
        <f>"SO21000171"</f>
        <v>SO21000171</v>
      </c>
      <c r="AC2129">
        <v>3</v>
      </c>
      <c r="AD2129" s="1">
        <v>44304</v>
      </c>
      <c r="AE2129" t="str">
        <f>"SH21001673"</f>
        <v>SH21001673</v>
      </c>
      <c r="AF2129" t="str">
        <f>"משלוחים ללקוח"</f>
        <v>משלוחים ללקוח</v>
      </c>
      <c r="AG2129" s="1">
        <v>44469</v>
      </c>
      <c r="AM2129" t="str">
        <f>"10"</f>
        <v>10</v>
      </c>
      <c r="AN2129" t="str">
        <f>"500000"</f>
        <v>500000</v>
      </c>
      <c r="AO2129" t="str">
        <f>"הכנסות  מלקוחות"</f>
        <v>הכנסות  מלקוחות</v>
      </c>
      <c r="AQ2129" t="str">
        <f>"040"</f>
        <v>040</v>
      </c>
      <c r="AR2129">
        <v>0</v>
      </c>
      <c r="AS2129">
        <v>0</v>
      </c>
      <c r="AT2129">
        <v>3.2290000000000001</v>
      </c>
      <c r="AX2129" t="str">
        <f>"E000336785"</f>
        <v>E000336785</v>
      </c>
      <c r="BD2129" t="str">
        <f>"רחמים זרוק"</f>
        <v>רחמים זרוק</v>
      </c>
    </row>
    <row r="2130" spans="1:56" x14ac:dyDescent="0.3">
      <c r="A2130" s="1">
        <v>44469</v>
      </c>
      <c r="B2130" t="str">
        <f>"SI216001332"</f>
        <v>SI216001332</v>
      </c>
      <c r="C2130" t="str">
        <f>"PR21000277"</f>
        <v>PR21000277</v>
      </c>
      <c r="E2130" t="str">
        <f>"Y"</f>
        <v>Y</v>
      </c>
      <c r="F2130" t="str">
        <f>"חשבוניות מרכזות"</f>
        <v>חשבוניות מרכזות</v>
      </c>
      <c r="G2130" t="str">
        <f>"700065"</f>
        <v>700065</v>
      </c>
      <c r="H2130" t="str">
        <f>"אלתא מערכות בע""מ"</f>
        <v>אלתא מערכות בע"מ</v>
      </c>
      <c r="I2130" t="str">
        <f>"10"</f>
        <v>10</v>
      </c>
      <c r="J2130" t="str">
        <f>"OP-AR02454"</f>
        <v>OP-AR02454</v>
      </c>
      <c r="K2130" t="str">
        <f>"1093Y437-002   HARNESS - J2 BOX TO FILTER"</f>
        <v>1093Y437-002   HARNESS - J2 BOX TO FILTER</v>
      </c>
      <c r="L2130">
        <v>15</v>
      </c>
      <c r="M2130" t="str">
        <f>"יח"</f>
        <v>יח</v>
      </c>
      <c r="N2130">
        <v>15</v>
      </c>
      <c r="O2130" t="str">
        <f>"יח"</f>
        <v>יח</v>
      </c>
      <c r="P2130">
        <v>89.04</v>
      </c>
      <c r="Q2130" t="str">
        <f>"$"</f>
        <v>$</v>
      </c>
      <c r="R2130" t="str">
        <f>"הזמנה"</f>
        <v>הזמנה</v>
      </c>
      <c r="S2130">
        <v>0</v>
      </c>
      <c r="T2130" s="2">
        <v>1335.6</v>
      </c>
      <c r="U2130">
        <v>0</v>
      </c>
      <c r="V2130" s="2">
        <v>1335.6</v>
      </c>
      <c r="W2130" t="str">
        <f>"$"</f>
        <v>$</v>
      </c>
      <c r="X2130">
        <v>0</v>
      </c>
      <c r="Y2130">
        <v>0</v>
      </c>
      <c r="Z2130">
        <v>0</v>
      </c>
      <c r="AA2130" t="str">
        <f>"Y"</f>
        <v>Y</v>
      </c>
      <c r="AB2130" t="str">
        <f>"SO21000174"</f>
        <v>SO21000174</v>
      </c>
      <c r="AC2130">
        <v>2</v>
      </c>
      <c r="AD2130" s="1">
        <v>44306</v>
      </c>
      <c r="AE2130" t="str">
        <f>"SH21001675"</f>
        <v>SH21001675</v>
      </c>
      <c r="AF2130" t="str">
        <f>"משלוחים ללקוח"</f>
        <v>משלוחים ללקוח</v>
      </c>
      <c r="AG2130" s="1">
        <v>44469</v>
      </c>
      <c r="AM2130" t="str">
        <f>"10"</f>
        <v>10</v>
      </c>
      <c r="AN2130" t="str">
        <f>"500000"</f>
        <v>500000</v>
      </c>
      <c r="AO2130" t="str">
        <f>"הכנסות  מלקוחות"</f>
        <v>הכנסות  מלקוחות</v>
      </c>
      <c r="AQ2130" t="str">
        <f>"040"</f>
        <v>040</v>
      </c>
      <c r="AR2130">
        <v>0</v>
      </c>
      <c r="AS2130">
        <v>0</v>
      </c>
      <c r="AT2130">
        <v>3.2290000000000001</v>
      </c>
      <c r="AX2130" t="str">
        <f>"E000336835"</f>
        <v>E000336835</v>
      </c>
      <c r="BD2130" t="str">
        <f>"רחמים זרוק"</f>
        <v>רחמים זרוק</v>
      </c>
    </row>
    <row r="2131" spans="1:56" x14ac:dyDescent="0.3">
      <c r="A2131" s="1">
        <v>44469</v>
      </c>
      <c r="B2131" t="str">
        <f>"SI216001331"</f>
        <v>SI216001331</v>
      </c>
      <c r="C2131" t="str">
        <f>"PR21000137"</f>
        <v>PR21000137</v>
      </c>
      <c r="E2131" t="str">
        <f>"Y"</f>
        <v>Y</v>
      </c>
      <c r="F2131" t="str">
        <f>"חשבוניות מרכזות"</f>
        <v>חשבוניות מרכזות</v>
      </c>
      <c r="G2131" t="str">
        <f>"700065"</f>
        <v>700065</v>
      </c>
      <c r="H2131" t="str">
        <f>"אלתא מערכות בע""מ"</f>
        <v>אלתא מערכות בע"מ</v>
      </c>
      <c r="I2131" t="str">
        <f>"10"</f>
        <v>10</v>
      </c>
      <c r="J2131" t="str">
        <f>"OP-AR09107-1"</f>
        <v>OP-AR09107-1</v>
      </c>
      <c r="K2131" t="str">
        <f>"לוח AUX BOX מק""ט לקוח 1036V320 001"</f>
        <v>לוח AUX BOX מק"ט לקוח 1036V320 001</v>
      </c>
      <c r="L2131">
        <v>1</v>
      </c>
      <c r="M2131" t="str">
        <f>"יח"</f>
        <v>יח</v>
      </c>
      <c r="N2131">
        <v>1</v>
      </c>
      <c r="O2131" t="str">
        <f>"יח"</f>
        <v>יח</v>
      </c>
      <c r="P2131" s="2">
        <v>26958</v>
      </c>
      <c r="Q2131" t="str">
        <f>"$"</f>
        <v>$</v>
      </c>
      <c r="R2131" t="str">
        <f>"הזמנה"</f>
        <v>הזמנה</v>
      </c>
      <c r="S2131">
        <v>0</v>
      </c>
      <c r="T2131" s="2">
        <v>26958</v>
      </c>
      <c r="U2131">
        <v>0</v>
      </c>
      <c r="V2131" s="2">
        <v>26958</v>
      </c>
      <c r="W2131" t="str">
        <f>"$"</f>
        <v>$</v>
      </c>
      <c r="X2131">
        <v>0</v>
      </c>
      <c r="Y2131">
        <v>0</v>
      </c>
      <c r="Z2131">
        <v>0</v>
      </c>
      <c r="AA2131" t="str">
        <f>"Y"</f>
        <v>Y</v>
      </c>
      <c r="AB2131" t="str">
        <f>"SO20000381"</f>
        <v>SO20000381</v>
      </c>
      <c r="AC2131">
        <v>20</v>
      </c>
      <c r="AD2131" s="1">
        <v>44073</v>
      </c>
      <c r="AE2131" t="str">
        <f>"SH21001666"</f>
        <v>SH21001666</v>
      </c>
      <c r="AF2131" t="str">
        <f>"משלוחים ללקוח"</f>
        <v>משלוחים ללקוח</v>
      </c>
      <c r="AG2131" s="1">
        <v>44469</v>
      </c>
      <c r="AM2131" t="str">
        <f>"10"</f>
        <v>10</v>
      </c>
      <c r="AN2131" t="str">
        <f>"500000"</f>
        <v>500000</v>
      </c>
      <c r="AO2131" t="str">
        <f>"הכנסות  מלקוחות"</f>
        <v>הכנסות  מלקוחות</v>
      </c>
      <c r="AQ2131" t="str">
        <f>"034"</f>
        <v>034</v>
      </c>
      <c r="AR2131">
        <v>0</v>
      </c>
      <c r="AS2131">
        <v>0</v>
      </c>
      <c r="AT2131">
        <v>3.2290000000000001</v>
      </c>
      <c r="AX2131" t="str">
        <f>"E000319715"</f>
        <v>E000319715</v>
      </c>
      <c r="BD2131" t="str">
        <f>"ערן שלו"</f>
        <v>ערן שלו</v>
      </c>
    </row>
    <row r="2132" spans="1:56" x14ac:dyDescent="0.3">
      <c r="A2132" s="1">
        <v>44469</v>
      </c>
      <c r="B2132" t="str">
        <f>"SI216001330"</f>
        <v>SI216001330</v>
      </c>
      <c r="C2132" t="str">
        <f>"PR21000647"</f>
        <v>PR21000647</v>
      </c>
      <c r="E2132" t="str">
        <f>"Y"</f>
        <v>Y</v>
      </c>
      <c r="F2132" t="str">
        <f>"חשבוניות מרכזות"</f>
        <v>חשבוניות מרכזות</v>
      </c>
      <c r="G2132" t="str">
        <f>"700065"</f>
        <v>700065</v>
      </c>
      <c r="H2132" t="str">
        <f>"אלתא מערכות בע""מ"</f>
        <v>אלתא מערכות בע"מ</v>
      </c>
      <c r="I2132" t="str">
        <f>"10"</f>
        <v>10</v>
      </c>
      <c r="J2132" t="str">
        <f>"cust000992"</f>
        <v>cust000992</v>
      </c>
      <c r="K2132" t="str">
        <f>"POWER DISTRIBUTION BOARD 06/07 אלתא ספינות"</f>
        <v>POWER DISTRIBUTION BOARD 06/07 אלתא ספינות</v>
      </c>
      <c r="L2132">
        <v>1</v>
      </c>
      <c r="M2132" t="str">
        <f>"יח"</f>
        <v>יח</v>
      </c>
      <c r="N2132">
        <v>1</v>
      </c>
      <c r="O2132" t="str">
        <f>"יח"</f>
        <v>יח</v>
      </c>
      <c r="P2132" s="2">
        <v>28500</v>
      </c>
      <c r="Q2132" t="str">
        <f>"$"</f>
        <v>$</v>
      </c>
      <c r="R2132" t="str">
        <f>"הזמנה"</f>
        <v>הזמנה</v>
      </c>
      <c r="S2132">
        <v>0</v>
      </c>
      <c r="T2132" s="2">
        <v>28500</v>
      </c>
      <c r="U2132">
        <v>0</v>
      </c>
      <c r="V2132" s="2">
        <v>28500</v>
      </c>
      <c r="W2132" t="str">
        <f>"$"</f>
        <v>$</v>
      </c>
      <c r="X2132">
        <v>0</v>
      </c>
      <c r="Y2132">
        <v>0</v>
      </c>
      <c r="Z2132">
        <v>0</v>
      </c>
      <c r="AA2132" t="str">
        <f>"Y"</f>
        <v>Y</v>
      </c>
      <c r="AB2132" t="str">
        <f>"SO21000415"</f>
        <v>SO21000415</v>
      </c>
      <c r="AC2132">
        <v>1</v>
      </c>
      <c r="AD2132" s="1">
        <v>44468</v>
      </c>
      <c r="AE2132" t="str">
        <f>"SH21001682"</f>
        <v>SH21001682</v>
      </c>
      <c r="AF2132" t="str">
        <f>"משלוחים ללקוח"</f>
        <v>משלוחים ללקוח</v>
      </c>
      <c r="AG2132" s="1">
        <v>44469</v>
      </c>
      <c r="AM2132" t="str">
        <f>"10"</f>
        <v>10</v>
      </c>
      <c r="AN2132" t="str">
        <f>"500000"</f>
        <v>500000</v>
      </c>
      <c r="AO2132" t="str">
        <f>"הכנסות  מלקוחות"</f>
        <v>הכנסות  מלקוחות</v>
      </c>
      <c r="AQ2132" t="str">
        <f>"007"</f>
        <v>007</v>
      </c>
      <c r="AR2132">
        <v>0</v>
      </c>
      <c r="AS2132">
        <v>0</v>
      </c>
      <c r="AT2132">
        <v>3.2290000000000001</v>
      </c>
      <c r="AX2132" t="str">
        <f>"E000346556"</f>
        <v>E000346556</v>
      </c>
      <c r="BD2132" t="str">
        <f>"רוני דידי"</f>
        <v>רוני דידי</v>
      </c>
    </row>
    <row r="2133" spans="1:56" x14ac:dyDescent="0.3">
      <c r="A2133" s="1">
        <v>44469</v>
      </c>
      <c r="B2133" t="str">
        <f>"SI216001328"</f>
        <v>SI216001328</v>
      </c>
      <c r="C2133" t="str">
        <f>"PR20000851"</f>
        <v>PR20000851</v>
      </c>
      <c r="D2133" t="str">
        <f>"PR20000851"</f>
        <v>PR20000851</v>
      </c>
      <c r="E2133" t="str">
        <f>"Y"</f>
        <v>Y</v>
      </c>
      <c r="F2133" t="str">
        <f>"חשבוניות מרכזות"</f>
        <v>חשבוניות מרכזות</v>
      </c>
      <c r="G2133" t="str">
        <f>"700065"</f>
        <v>700065</v>
      </c>
      <c r="H2133" t="str">
        <f>"אלתא מערכות בע""מ"</f>
        <v>אלתא מערכות בע"מ</v>
      </c>
      <c r="I2133" t="str">
        <f>"10"</f>
        <v>10</v>
      </c>
      <c r="J2133" t="str">
        <f>"OP-AR02167"</f>
        <v>OP-AR02167</v>
      </c>
      <c r="K2133" t="str">
        <f>"1039H823-001/-   HARNESS WY023 - PDU TO TRA3 EXT"</f>
        <v>1039H823-001/-   HARNESS WY023 - PDU TO TRA3 EXT</v>
      </c>
      <c r="L2133">
        <v>2</v>
      </c>
      <c r="M2133" t="str">
        <f>"יח"</f>
        <v>יח</v>
      </c>
      <c r="N2133">
        <v>2</v>
      </c>
      <c r="O2133" t="str">
        <f>"יח"</f>
        <v>יח</v>
      </c>
      <c r="P2133">
        <v>828.98</v>
      </c>
      <c r="Q2133" t="str">
        <f>"$"</f>
        <v>$</v>
      </c>
      <c r="R2133" t="str">
        <f>"הזמנה"</f>
        <v>הזמנה</v>
      </c>
      <c r="S2133">
        <v>0</v>
      </c>
      <c r="T2133" s="2">
        <v>1657.96</v>
      </c>
      <c r="U2133">
        <v>0</v>
      </c>
      <c r="V2133" s="2">
        <v>1657.96</v>
      </c>
      <c r="W2133" t="str">
        <f>"$"</f>
        <v>$</v>
      </c>
      <c r="X2133">
        <v>0</v>
      </c>
      <c r="Y2133">
        <v>0</v>
      </c>
      <c r="Z2133">
        <v>0</v>
      </c>
      <c r="AA2133" t="str">
        <f>"Y"</f>
        <v>Y</v>
      </c>
      <c r="AB2133" t="str">
        <f>"SO20000555"</f>
        <v>SO20000555</v>
      </c>
      <c r="AC2133">
        <v>14</v>
      </c>
      <c r="AD2133" s="1">
        <v>44166</v>
      </c>
      <c r="AE2133" t="str">
        <f>"SH21001668"</f>
        <v>SH21001668</v>
      </c>
      <c r="AF2133" t="str">
        <f>"משלוחים ללקוח"</f>
        <v>משלוחים ללקוח</v>
      </c>
      <c r="AG2133" s="1">
        <v>44469</v>
      </c>
      <c r="AM2133" t="str">
        <f>"10"</f>
        <v>10</v>
      </c>
      <c r="AN2133" t="str">
        <f>"500000"</f>
        <v>500000</v>
      </c>
      <c r="AO2133" t="str">
        <f>"הכנסות  מלקוחות"</f>
        <v>הכנסות  מלקוחות</v>
      </c>
      <c r="AQ2133" t="str">
        <f>"034"</f>
        <v>034</v>
      </c>
      <c r="AR2133">
        <v>0</v>
      </c>
      <c r="AS2133">
        <v>0</v>
      </c>
      <c r="AT2133">
        <v>3.2290000000000001</v>
      </c>
      <c r="AX2133" t="str">
        <f>"E000326481"</f>
        <v>E000326481</v>
      </c>
      <c r="BD2133" t="str">
        <f>"ערן שלו"</f>
        <v>ערן שלו</v>
      </c>
    </row>
    <row r="2134" spans="1:56" x14ac:dyDescent="0.3">
      <c r="A2134" s="1">
        <v>44469</v>
      </c>
      <c r="B2134" t="str">
        <f>"SI216001328"</f>
        <v>SI216001328</v>
      </c>
      <c r="C2134" t="str">
        <f>"PR20000851"</f>
        <v>PR20000851</v>
      </c>
      <c r="D2134" t="str">
        <f>"PR20000851"</f>
        <v>PR20000851</v>
      </c>
      <c r="E2134" t="str">
        <f>"Y"</f>
        <v>Y</v>
      </c>
      <c r="F2134" t="str">
        <f>"חשבוניות מרכזות"</f>
        <v>חשבוניות מרכזות</v>
      </c>
      <c r="G2134" t="str">
        <f>"700065"</f>
        <v>700065</v>
      </c>
      <c r="H2134" t="str">
        <f>"אלתא מערכות בע""מ"</f>
        <v>אלתא מערכות בע"מ</v>
      </c>
      <c r="I2134" t="str">
        <f>"10"</f>
        <v>10</v>
      </c>
      <c r="J2134" t="str">
        <f>"OP-AR02175"</f>
        <v>OP-AR02175</v>
      </c>
      <c r="K2134" t="str">
        <f>"1039H833-001/-   HARNESS WY033 - PDU TO TRA3 EXT"</f>
        <v>1039H833-001/-   HARNESS WY033 - PDU TO TRA3 EXT</v>
      </c>
      <c r="L2134">
        <v>3</v>
      </c>
      <c r="M2134" t="str">
        <f>"יח"</f>
        <v>יח</v>
      </c>
      <c r="N2134">
        <v>3</v>
      </c>
      <c r="O2134" t="str">
        <f>"יח"</f>
        <v>יח</v>
      </c>
      <c r="P2134" s="2">
        <v>1348.85</v>
      </c>
      <c r="Q2134" t="str">
        <f>"$"</f>
        <v>$</v>
      </c>
      <c r="R2134" t="str">
        <f>"הזמנה"</f>
        <v>הזמנה</v>
      </c>
      <c r="S2134">
        <v>0</v>
      </c>
      <c r="T2134" s="2">
        <v>4046.55</v>
      </c>
      <c r="U2134">
        <v>0</v>
      </c>
      <c r="V2134" s="2">
        <v>4046.55</v>
      </c>
      <c r="W2134" t="str">
        <f>"$"</f>
        <v>$</v>
      </c>
      <c r="X2134">
        <v>0</v>
      </c>
      <c r="Y2134">
        <v>0</v>
      </c>
      <c r="Z2134">
        <v>0</v>
      </c>
      <c r="AA2134" t="str">
        <f>"Y"</f>
        <v>Y</v>
      </c>
      <c r="AB2134" t="str">
        <f>"SO20000555"</f>
        <v>SO20000555</v>
      </c>
      <c r="AC2134">
        <v>22</v>
      </c>
      <c r="AD2134" s="1">
        <v>44166</v>
      </c>
      <c r="AE2134" t="str">
        <f>"SH21001668"</f>
        <v>SH21001668</v>
      </c>
      <c r="AF2134" t="str">
        <f>"משלוחים ללקוח"</f>
        <v>משלוחים ללקוח</v>
      </c>
      <c r="AG2134" s="1">
        <v>44469</v>
      </c>
      <c r="AM2134" t="str">
        <f>"10"</f>
        <v>10</v>
      </c>
      <c r="AN2134" t="str">
        <f>"500000"</f>
        <v>500000</v>
      </c>
      <c r="AO2134" t="str">
        <f>"הכנסות  מלקוחות"</f>
        <v>הכנסות  מלקוחות</v>
      </c>
      <c r="AQ2134" t="str">
        <f>"034"</f>
        <v>034</v>
      </c>
      <c r="AR2134">
        <v>0</v>
      </c>
      <c r="AS2134">
        <v>0</v>
      </c>
      <c r="AT2134">
        <v>3.2290000000000001</v>
      </c>
      <c r="AX2134" t="str">
        <f>"E000326481"</f>
        <v>E000326481</v>
      </c>
      <c r="BD2134" t="str">
        <f>"ערן שלו"</f>
        <v>ערן שלו</v>
      </c>
    </row>
    <row r="2135" spans="1:56" x14ac:dyDescent="0.3">
      <c r="A2135" s="1">
        <v>44469</v>
      </c>
      <c r="B2135" t="str">
        <f>"SI216001328"</f>
        <v>SI216001328</v>
      </c>
      <c r="C2135" t="str">
        <f>"PR20000851"</f>
        <v>PR20000851</v>
      </c>
      <c r="D2135" t="str">
        <f>"PR20000851"</f>
        <v>PR20000851</v>
      </c>
      <c r="E2135" t="str">
        <f>"Y"</f>
        <v>Y</v>
      </c>
      <c r="F2135" t="str">
        <f>"חשבוניות מרכזות"</f>
        <v>חשבוניות מרכזות</v>
      </c>
      <c r="G2135" t="str">
        <f>"700065"</f>
        <v>700065</v>
      </c>
      <c r="H2135" t="str">
        <f>"אלתא מערכות בע""מ"</f>
        <v>אלתא מערכות בע"מ</v>
      </c>
      <c r="I2135" t="str">
        <f>"10"</f>
        <v>10</v>
      </c>
      <c r="J2135" t="str">
        <f>"OP-AR02179"</f>
        <v>OP-AR02179</v>
      </c>
      <c r="K2135" t="str">
        <f>"1039H839-001/A   HARNESS WY039 - FAN"</f>
        <v>1039H839-001/A   HARNESS WY039 - FAN</v>
      </c>
      <c r="L2135">
        <v>4</v>
      </c>
      <c r="M2135" t="str">
        <f>"יח"</f>
        <v>יח</v>
      </c>
      <c r="N2135">
        <v>4</v>
      </c>
      <c r="O2135" t="str">
        <f>"יח"</f>
        <v>יח</v>
      </c>
      <c r="P2135">
        <v>82.92</v>
      </c>
      <c r="Q2135" t="str">
        <f>"$"</f>
        <v>$</v>
      </c>
      <c r="R2135" t="str">
        <f>"הזמנה"</f>
        <v>הזמנה</v>
      </c>
      <c r="S2135">
        <v>0</v>
      </c>
      <c r="T2135">
        <v>331.68</v>
      </c>
      <c r="U2135">
        <v>0</v>
      </c>
      <c r="V2135">
        <v>331.68</v>
      </c>
      <c r="W2135" t="str">
        <f>"$"</f>
        <v>$</v>
      </c>
      <c r="X2135">
        <v>0</v>
      </c>
      <c r="Y2135">
        <v>0</v>
      </c>
      <c r="Z2135">
        <v>0</v>
      </c>
      <c r="AA2135" t="str">
        <f>"Y"</f>
        <v>Y</v>
      </c>
      <c r="AB2135" t="str">
        <f>"SO20000555"</f>
        <v>SO20000555</v>
      </c>
      <c r="AC2135">
        <v>26</v>
      </c>
      <c r="AD2135" s="1">
        <v>44166</v>
      </c>
      <c r="AE2135" t="str">
        <f>"SH21001668"</f>
        <v>SH21001668</v>
      </c>
      <c r="AF2135" t="str">
        <f>"משלוחים ללקוח"</f>
        <v>משלוחים ללקוח</v>
      </c>
      <c r="AG2135" s="1">
        <v>44469</v>
      </c>
      <c r="AM2135" t="str">
        <f>"10"</f>
        <v>10</v>
      </c>
      <c r="AN2135" t="str">
        <f>"500000"</f>
        <v>500000</v>
      </c>
      <c r="AO2135" t="str">
        <f>"הכנסות  מלקוחות"</f>
        <v>הכנסות  מלקוחות</v>
      </c>
      <c r="AQ2135" t="str">
        <f>"034"</f>
        <v>034</v>
      </c>
      <c r="AR2135">
        <v>0</v>
      </c>
      <c r="AS2135">
        <v>0</v>
      </c>
      <c r="AT2135">
        <v>3.2290000000000001</v>
      </c>
      <c r="AX2135" t="str">
        <f>"E000326481"</f>
        <v>E000326481</v>
      </c>
      <c r="BD2135" t="str">
        <f>"ערן שלו"</f>
        <v>ערן שלו</v>
      </c>
    </row>
    <row r="2136" spans="1:56" x14ac:dyDescent="0.3">
      <c r="A2136" s="1">
        <v>44469</v>
      </c>
      <c r="B2136" t="str">
        <f>"SI216001326"</f>
        <v>SI216001326</v>
      </c>
      <c r="C2136" t="str">
        <f>"PR20000878"</f>
        <v>PR20000878</v>
      </c>
      <c r="E2136" t="str">
        <f>"Y"</f>
        <v>Y</v>
      </c>
      <c r="F2136" t="str">
        <f>"חשבוניות מרכזות"</f>
        <v>חשבוניות מרכזות</v>
      </c>
      <c r="G2136" t="str">
        <f>"700065"</f>
        <v>700065</v>
      </c>
      <c r="H2136" t="str">
        <f>"אלתא מערכות בע""מ"</f>
        <v>אלתא מערכות בע"מ</v>
      </c>
      <c r="I2136" t="str">
        <f>"10"</f>
        <v>10</v>
      </c>
      <c r="J2136" t="str">
        <f>"PS0400063"</f>
        <v>PS0400063</v>
      </c>
      <c r="K2136" t="str">
        <f>"TSI-EPC-48V-230Vac-Module MEDIA ( Stainless)"</f>
        <v>TSI-EPC-48V-230Vac-Module MEDIA ( Stainless)</v>
      </c>
      <c r="L2136">
        <v>2</v>
      </c>
      <c r="M2136" t="str">
        <f>"יח"</f>
        <v>יח</v>
      </c>
      <c r="N2136">
        <v>2</v>
      </c>
      <c r="O2136" t="str">
        <f>"יח"</f>
        <v>יח</v>
      </c>
      <c r="P2136" s="2">
        <v>3550</v>
      </c>
      <c r="Q2136" t="str">
        <f>"$"</f>
        <v>$</v>
      </c>
      <c r="R2136" t="str">
        <f>"הזמנה"</f>
        <v>הזמנה</v>
      </c>
      <c r="S2136">
        <v>0</v>
      </c>
      <c r="T2136" s="2">
        <v>7100</v>
      </c>
      <c r="U2136">
        <v>0</v>
      </c>
      <c r="V2136" s="2">
        <v>7100</v>
      </c>
      <c r="W2136" t="str">
        <f>"$"</f>
        <v>$</v>
      </c>
      <c r="X2136">
        <v>0</v>
      </c>
      <c r="Y2136">
        <v>0</v>
      </c>
      <c r="Z2136">
        <v>0</v>
      </c>
      <c r="AA2136" t="str">
        <f>"Y"</f>
        <v>Y</v>
      </c>
      <c r="AB2136" t="str">
        <f>"SO20000580"</f>
        <v>SO20000580</v>
      </c>
      <c r="AC2136">
        <v>2</v>
      </c>
      <c r="AD2136" s="1">
        <v>44174</v>
      </c>
      <c r="AE2136" t="str">
        <f>"SH21001669"</f>
        <v>SH21001669</v>
      </c>
      <c r="AF2136" t="str">
        <f>"משלוחים ללקוח"</f>
        <v>משלוחים ללקוח</v>
      </c>
      <c r="AG2136" s="1">
        <v>44469</v>
      </c>
      <c r="AM2136" t="str">
        <f>"10"</f>
        <v>10</v>
      </c>
      <c r="AN2136" t="str">
        <f>"500000"</f>
        <v>500000</v>
      </c>
      <c r="AO2136" t="str">
        <f>"הכנסות  מלקוחות"</f>
        <v>הכנסות  מלקוחות</v>
      </c>
      <c r="AQ2136" t="str">
        <f>"034"</f>
        <v>034</v>
      </c>
      <c r="AR2136">
        <v>0</v>
      </c>
      <c r="AS2136">
        <v>0</v>
      </c>
      <c r="AT2136">
        <v>3.2290000000000001</v>
      </c>
      <c r="AX2136" t="str">
        <f>"E000327817"</f>
        <v>E000327817</v>
      </c>
      <c r="BD2136" t="str">
        <f>"ערן שלו"</f>
        <v>ערן שלו</v>
      </c>
    </row>
    <row r="2137" spans="1:56" x14ac:dyDescent="0.3">
      <c r="A2137" s="1">
        <v>44453</v>
      </c>
      <c r="B2137" t="str">
        <f>"SI216001317"</f>
        <v>SI216001317</v>
      </c>
      <c r="C2137" t="str">
        <f>"PR20000698"</f>
        <v>PR20000698</v>
      </c>
      <c r="E2137" t="str">
        <f>"Y"</f>
        <v>Y</v>
      </c>
      <c r="F2137" t="str">
        <f>"חשבוניות מרכזות"</f>
        <v>חשבוניות מרכזות</v>
      </c>
      <c r="G2137" t="str">
        <f>"700065"</f>
        <v>700065</v>
      </c>
      <c r="H2137" t="str">
        <f>"אלתא מערכות בע""מ"</f>
        <v>אלתא מערכות בע"מ</v>
      </c>
      <c r="I2137" t="str">
        <f>"10"</f>
        <v>10</v>
      </c>
      <c r="J2137" t="str">
        <f>"OP-ML00179"</f>
        <v>OP-ML00179</v>
      </c>
      <c r="K2137" t="str">
        <f>"1038C906-001 Radar Power Unit (RPU) Platform"</f>
        <v>1038C906-001 Radar Power Unit (RPU) Platform</v>
      </c>
      <c r="L2137">
        <v>1</v>
      </c>
      <c r="M2137" t="str">
        <f>"יח"</f>
        <v>יח</v>
      </c>
      <c r="N2137">
        <v>1</v>
      </c>
      <c r="O2137" t="str">
        <f>"יח"</f>
        <v>יח</v>
      </c>
      <c r="P2137" s="2">
        <v>284970</v>
      </c>
      <c r="Q2137" t="str">
        <f>"$"</f>
        <v>$</v>
      </c>
      <c r="R2137" t="str">
        <f>"הזמנה"</f>
        <v>הזמנה</v>
      </c>
      <c r="S2137">
        <v>0</v>
      </c>
      <c r="T2137" s="2">
        <v>284970</v>
      </c>
      <c r="U2137">
        <v>0</v>
      </c>
      <c r="V2137" s="2">
        <v>284970</v>
      </c>
      <c r="W2137" t="str">
        <f>"$"</f>
        <v>$</v>
      </c>
      <c r="X2137">
        <v>0</v>
      </c>
      <c r="Y2137">
        <v>0</v>
      </c>
      <c r="Z2137">
        <v>0</v>
      </c>
      <c r="AA2137" t="str">
        <f>"Y"</f>
        <v>Y</v>
      </c>
      <c r="AB2137" t="str">
        <f>"SO20000218"</f>
        <v>SO20000218</v>
      </c>
      <c r="AC2137">
        <v>1</v>
      </c>
      <c r="AD2137" s="1">
        <v>43982</v>
      </c>
      <c r="AE2137" t="str">
        <f>"SH21001630"</f>
        <v>SH21001630</v>
      </c>
      <c r="AF2137" t="str">
        <f>"משלוחים ללקוח"</f>
        <v>משלוחים ללקוח</v>
      </c>
      <c r="AG2137" s="1">
        <v>44453</v>
      </c>
      <c r="AM2137" t="str">
        <f>"10"</f>
        <v>10</v>
      </c>
      <c r="AN2137" t="str">
        <f>"500000"</f>
        <v>500000</v>
      </c>
      <c r="AO2137" t="str">
        <f>"הכנסות  מלקוחות"</f>
        <v>הכנסות  מלקוחות</v>
      </c>
      <c r="AQ2137" t="str">
        <f>"034"</f>
        <v>034</v>
      </c>
      <c r="AR2137">
        <v>0</v>
      </c>
      <c r="AS2137">
        <v>0</v>
      </c>
      <c r="AT2137">
        <v>3.2109999999999999</v>
      </c>
      <c r="AX2137" t="str">
        <f>"E000312785"</f>
        <v>E000312785</v>
      </c>
      <c r="BD2137" t="str">
        <f>"ערן שלו"</f>
        <v>ערן שלו</v>
      </c>
    </row>
    <row r="2138" spans="1:56" x14ac:dyDescent="0.3">
      <c r="A2138" s="1">
        <v>44452</v>
      </c>
      <c r="B2138" t="str">
        <f>"SI216001284"</f>
        <v>SI216001284</v>
      </c>
      <c r="C2138" t="str">
        <f>"PR21000020"</f>
        <v>PR21000020</v>
      </c>
      <c r="E2138" t="str">
        <f>"Y"</f>
        <v>Y</v>
      </c>
      <c r="F2138" t="str">
        <f>"חשבוניות מרכזות"</f>
        <v>חשבוניות מרכזות</v>
      </c>
      <c r="G2138" t="str">
        <f>"700065"</f>
        <v>700065</v>
      </c>
      <c r="H2138" t="str">
        <f>"אלתא מערכות בע""מ"</f>
        <v>אלתא מערכות בע"מ</v>
      </c>
      <c r="I2138" t="str">
        <f>"10"</f>
        <v>10</v>
      </c>
      <c r="J2138" t="str">
        <f>"OP-AR02235"</f>
        <v>OP-AR02235</v>
      </c>
      <c r="K2138" t="str">
        <f>"1036C426-001   HARNESS W426 - EPU - PDU1 CONTROL"</f>
        <v>1036C426-001   HARNESS W426 - EPU - PDU1 CONTROL</v>
      </c>
      <c r="L2138">
        <v>1</v>
      </c>
      <c r="M2138" t="str">
        <f>"יח"</f>
        <v>יח</v>
      </c>
      <c r="N2138">
        <v>1</v>
      </c>
      <c r="O2138" t="str">
        <f>"יח"</f>
        <v>יח</v>
      </c>
      <c r="P2138" s="2">
        <v>3307.94</v>
      </c>
      <c r="Q2138" t="str">
        <f>"$"</f>
        <v>$</v>
      </c>
      <c r="R2138" t="str">
        <f>"הזמנה"</f>
        <v>הזמנה</v>
      </c>
      <c r="S2138">
        <v>0</v>
      </c>
      <c r="T2138" s="2">
        <v>3307.94</v>
      </c>
      <c r="U2138">
        <v>0</v>
      </c>
      <c r="V2138" s="2">
        <v>3307.94</v>
      </c>
      <c r="W2138" t="str">
        <f>"$"</f>
        <v>$</v>
      </c>
      <c r="X2138">
        <v>0</v>
      </c>
      <c r="Y2138">
        <v>0</v>
      </c>
      <c r="Z2138">
        <v>0</v>
      </c>
      <c r="AA2138" t="str">
        <f>"Y"</f>
        <v>Y</v>
      </c>
      <c r="AB2138" t="str">
        <f>"SO20000583"</f>
        <v>SO20000583</v>
      </c>
      <c r="AC2138">
        <v>4</v>
      </c>
      <c r="AD2138" s="1">
        <v>44175</v>
      </c>
      <c r="AE2138" t="str">
        <f>"SH21001614"</f>
        <v>SH21001614</v>
      </c>
      <c r="AF2138" t="str">
        <f>"משלוחים ללקוח"</f>
        <v>משלוחים ללקוח</v>
      </c>
      <c r="AG2138" s="1">
        <v>44451</v>
      </c>
      <c r="AM2138" t="str">
        <f>"10"</f>
        <v>10</v>
      </c>
      <c r="AN2138" t="str">
        <f>"500000"</f>
        <v>500000</v>
      </c>
      <c r="AO2138" t="str">
        <f>"הכנסות  מלקוחות"</f>
        <v>הכנסות  מלקוחות</v>
      </c>
      <c r="AQ2138" t="str">
        <f>"034"</f>
        <v>034</v>
      </c>
      <c r="AR2138">
        <v>0</v>
      </c>
      <c r="AS2138">
        <v>0</v>
      </c>
      <c r="AT2138">
        <v>3.206</v>
      </c>
      <c r="AX2138" t="str">
        <f>"E000327655"</f>
        <v>E000327655</v>
      </c>
      <c r="BD2138" t="str">
        <f>"ערן שלו"</f>
        <v>ערן שלו</v>
      </c>
    </row>
    <row r="2139" spans="1:56" x14ac:dyDescent="0.3">
      <c r="A2139" s="1">
        <v>44452</v>
      </c>
      <c r="B2139" t="str">
        <f>"SI216001269"</f>
        <v>SI216001269</v>
      </c>
      <c r="C2139" t="str">
        <f>"PR20000499"</f>
        <v>PR20000499</v>
      </c>
      <c r="E2139" t="str">
        <f>"Y"</f>
        <v>Y</v>
      </c>
      <c r="F2139" t="str">
        <f>"חשבוניות מרכזות"</f>
        <v>חשבוניות מרכזות</v>
      </c>
      <c r="G2139" t="str">
        <f>"700065"</f>
        <v>700065</v>
      </c>
      <c r="H2139" t="str">
        <f>"אלתא מערכות בע""מ"</f>
        <v>אלתא מערכות בע"מ</v>
      </c>
      <c r="I2139" t="str">
        <f>"10"</f>
        <v>10</v>
      </c>
      <c r="J2139" t="str">
        <f>"OP-AR01919"</f>
        <v>OP-AR01919</v>
      </c>
      <c r="K2139" t="str">
        <f>"1013P130-003 CABLE ASSY 1W47"</f>
        <v>1013P130-003 CABLE ASSY 1W47</v>
      </c>
      <c r="L2139">
        <v>-1</v>
      </c>
      <c r="M2139" t="str">
        <f>"יח"</f>
        <v>יח</v>
      </c>
      <c r="N2139">
        <v>-1</v>
      </c>
      <c r="O2139" t="str">
        <f>"יח"</f>
        <v>יח</v>
      </c>
      <c r="P2139">
        <v>80.61</v>
      </c>
      <c r="Q2139" t="str">
        <f>"$"</f>
        <v>$</v>
      </c>
      <c r="R2139" t="str">
        <f>"ידני"</f>
        <v>ידני</v>
      </c>
      <c r="S2139">
        <v>0</v>
      </c>
      <c r="T2139">
        <v>-80.61</v>
      </c>
      <c r="U2139">
        <v>0</v>
      </c>
      <c r="V2139">
        <v>-80.61</v>
      </c>
      <c r="W2139" t="str">
        <f>"$"</f>
        <v>$</v>
      </c>
      <c r="X2139">
        <v>0</v>
      </c>
      <c r="Y2139">
        <v>0</v>
      </c>
      <c r="Z2139">
        <v>0</v>
      </c>
      <c r="AA2139" t="str">
        <f>"Y"</f>
        <v>Y</v>
      </c>
      <c r="AC2139">
        <v>0</v>
      </c>
      <c r="AM2139" t="str">
        <f>"10"</f>
        <v>10</v>
      </c>
      <c r="AN2139" t="str">
        <f>"500000"</f>
        <v>500000</v>
      </c>
      <c r="AO2139" t="str">
        <f>"הכנסות  מלקוחות"</f>
        <v>הכנסות  מלקוחות</v>
      </c>
      <c r="AP2139" t="str">
        <f>"Y"</f>
        <v>Y</v>
      </c>
      <c r="AQ2139" t="str">
        <f>"034"</f>
        <v>034</v>
      </c>
      <c r="AR2139">
        <v>0</v>
      </c>
      <c r="AS2139">
        <v>0</v>
      </c>
      <c r="AT2139">
        <v>3.2650000000000001</v>
      </c>
      <c r="BB2139" t="str">
        <f>"Y"</f>
        <v>Y</v>
      </c>
      <c r="BD2139" t="str">
        <f>"ערן שלו"</f>
        <v>ערן שלו</v>
      </c>
    </row>
    <row r="2140" spans="1:56" x14ac:dyDescent="0.3">
      <c r="A2140" s="1">
        <v>44452</v>
      </c>
      <c r="B2140" t="str">
        <f>"SI216001268"</f>
        <v>SI216001268</v>
      </c>
      <c r="C2140" t="str">
        <f>"PR20000499"</f>
        <v>PR20000499</v>
      </c>
      <c r="E2140" t="str">
        <f>"Y"</f>
        <v>Y</v>
      </c>
      <c r="F2140" t="str">
        <f>"חשבוניות מרכזות"</f>
        <v>חשבוניות מרכזות</v>
      </c>
      <c r="G2140" t="str">
        <f>"700065"</f>
        <v>700065</v>
      </c>
      <c r="H2140" t="str">
        <f>"אלתא מערכות בע""מ"</f>
        <v>אלתא מערכות בע"מ</v>
      </c>
      <c r="I2140" t="str">
        <f>"10"</f>
        <v>10</v>
      </c>
      <c r="J2140" t="str">
        <f>"OP-AR01919"</f>
        <v>OP-AR01919</v>
      </c>
      <c r="K2140" t="str">
        <f>"1013P130-003 CABLE ASSY 1W47"</f>
        <v>1013P130-003 CABLE ASSY 1W47</v>
      </c>
      <c r="L2140">
        <v>1</v>
      </c>
      <c r="M2140" t="str">
        <f>"יח"</f>
        <v>יח</v>
      </c>
      <c r="N2140">
        <v>1</v>
      </c>
      <c r="O2140" t="str">
        <f>"יח"</f>
        <v>יח</v>
      </c>
      <c r="P2140">
        <v>80.61</v>
      </c>
      <c r="Q2140" t="str">
        <f>"$"</f>
        <v>$</v>
      </c>
      <c r="R2140" t="str">
        <f>"ידני"</f>
        <v>ידני</v>
      </c>
      <c r="S2140">
        <v>0</v>
      </c>
      <c r="T2140">
        <v>80.61</v>
      </c>
      <c r="U2140">
        <v>0</v>
      </c>
      <c r="V2140">
        <v>80.61</v>
      </c>
      <c r="W2140" t="str">
        <f>"$"</f>
        <v>$</v>
      </c>
      <c r="X2140">
        <v>0</v>
      </c>
      <c r="Y2140">
        <v>0</v>
      </c>
      <c r="Z2140">
        <v>0</v>
      </c>
      <c r="AA2140" t="str">
        <f>"Y"</f>
        <v>Y</v>
      </c>
      <c r="AC2140">
        <v>0</v>
      </c>
      <c r="AM2140" t="str">
        <f>"10"</f>
        <v>10</v>
      </c>
      <c r="AN2140" t="str">
        <f>"500000"</f>
        <v>500000</v>
      </c>
      <c r="AO2140" t="str">
        <f>"הכנסות  מלקוחות"</f>
        <v>הכנסות  מלקוחות</v>
      </c>
      <c r="AP2140" t="str">
        <f>"Y"</f>
        <v>Y</v>
      </c>
      <c r="AQ2140" t="str">
        <f>"034"</f>
        <v>034</v>
      </c>
      <c r="AR2140">
        <v>0</v>
      </c>
      <c r="AS2140">
        <v>0</v>
      </c>
      <c r="AT2140">
        <v>3.2650000000000001</v>
      </c>
      <c r="BB2140" t="str">
        <f>"Y"</f>
        <v>Y</v>
      </c>
      <c r="BD2140" t="str">
        <f>"ערן שלו"</f>
        <v>ערן שלו</v>
      </c>
    </row>
    <row r="2141" spans="1:56" x14ac:dyDescent="0.3">
      <c r="A2141" s="1">
        <v>44452</v>
      </c>
      <c r="B2141" t="str">
        <f>"SI216001266"</f>
        <v>SI216001266</v>
      </c>
      <c r="C2141" t="str">
        <f>"PR20000796"</f>
        <v>PR20000796</v>
      </c>
      <c r="D2141" t="str">
        <f>"PR20000796"</f>
        <v>PR20000796</v>
      </c>
      <c r="E2141" t="str">
        <f>"Y"</f>
        <v>Y</v>
      </c>
      <c r="F2141" t="str">
        <f>"חשבוניות מרכזות"</f>
        <v>חשבוניות מרכזות</v>
      </c>
      <c r="G2141" t="str">
        <f>"700065"</f>
        <v>700065</v>
      </c>
      <c r="H2141" t="str">
        <f>"אלתא מערכות בע""מ"</f>
        <v>אלתא מערכות בע"מ</v>
      </c>
      <c r="I2141" t="str">
        <f>"10"</f>
        <v>10</v>
      </c>
      <c r="J2141" t="str">
        <f>"OP-AR02076"</f>
        <v>OP-AR02076</v>
      </c>
      <c r="K2141" t="str">
        <f>"1027H563-001/-  HARNESS WH003 - DATA AND CONTROL"</f>
        <v>1027H563-001/-  HARNESS WH003 - DATA AND CONTROL</v>
      </c>
      <c r="L2141">
        <v>1</v>
      </c>
      <c r="M2141" t="str">
        <f>"יח"</f>
        <v>יח</v>
      </c>
      <c r="N2141">
        <v>1</v>
      </c>
      <c r="O2141" t="str">
        <f>"יח"</f>
        <v>יח</v>
      </c>
      <c r="P2141">
        <v>614</v>
      </c>
      <c r="Q2141" t="str">
        <f>"$"</f>
        <v>$</v>
      </c>
      <c r="R2141" t="str">
        <f>"הזמנה"</f>
        <v>הזמנה</v>
      </c>
      <c r="S2141">
        <v>0</v>
      </c>
      <c r="T2141">
        <v>614</v>
      </c>
      <c r="U2141">
        <v>0</v>
      </c>
      <c r="V2141">
        <v>614</v>
      </c>
      <c r="W2141" t="str">
        <f>"$"</f>
        <v>$</v>
      </c>
      <c r="X2141">
        <v>0</v>
      </c>
      <c r="Y2141">
        <v>0</v>
      </c>
      <c r="Z2141">
        <v>0</v>
      </c>
      <c r="AA2141" t="str">
        <f>"Y"</f>
        <v>Y</v>
      </c>
      <c r="AB2141" t="str">
        <f>"SO20000523"</f>
        <v>SO20000523</v>
      </c>
      <c r="AC2141">
        <v>3</v>
      </c>
      <c r="AD2141" s="1">
        <v>44147</v>
      </c>
      <c r="AE2141" t="str">
        <f>"SH21000354"</f>
        <v>SH21000354</v>
      </c>
      <c r="AF2141" t="str">
        <f>"משלוחים ללקוח"</f>
        <v>משלוחים ללקוח</v>
      </c>
      <c r="AG2141" s="1">
        <v>44262</v>
      </c>
      <c r="AM2141" t="str">
        <f>"10"</f>
        <v>10</v>
      </c>
      <c r="AN2141" t="str">
        <f>"500000"</f>
        <v>500000</v>
      </c>
      <c r="AO2141" t="str">
        <f>"הכנסות  מלקוחות"</f>
        <v>הכנסות  מלקוחות</v>
      </c>
      <c r="AQ2141" t="str">
        <f>"034"</f>
        <v>034</v>
      </c>
      <c r="AR2141">
        <v>0</v>
      </c>
      <c r="AS2141">
        <v>0</v>
      </c>
      <c r="AT2141">
        <v>3.2010000000000001</v>
      </c>
      <c r="AX2141" t="str">
        <f>"E000325831"</f>
        <v>E000325831</v>
      </c>
      <c r="BD2141" t="str">
        <f>"ערן שלו"</f>
        <v>ערן שלו</v>
      </c>
    </row>
    <row r="2142" spans="1:56" x14ac:dyDescent="0.3">
      <c r="A2142" s="1">
        <v>44452</v>
      </c>
      <c r="B2142" t="str">
        <f>"SI216001266"</f>
        <v>SI216001266</v>
      </c>
      <c r="C2142" t="str">
        <f>"PR20000796"</f>
        <v>PR20000796</v>
      </c>
      <c r="D2142" t="str">
        <f>"PR20000796"</f>
        <v>PR20000796</v>
      </c>
      <c r="E2142" t="str">
        <f>"Y"</f>
        <v>Y</v>
      </c>
      <c r="F2142" t="str">
        <f>"חשבוניות מרכזות"</f>
        <v>חשבוניות מרכזות</v>
      </c>
      <c r="G2142" t="str">
        <f>"700065"</f>
        <v>700065</v>
      </c>
      <c r="H2142" t="str">
        <f>"אלתא מערכות בע""מ"</f>
        <v>אלתא מערכות בע"מ</v>
      </c>
      <c r="I2142" t="str">
        <f>"10"</f>
        <v>10</v>
      </c>
      <c r="J2142" t="str">
        <f>"OP-AR02078"</f>
        <v>OP-AR02078</v>
      </c>
      <c r="K2142" t="str">
        <f>"1027H565-001/-  HARNESS WH005 - ACP/ARP TO IFF/E"</f>
        <v>1027H565-001/-  HARNESS WH005 - ACP/ARP TO IFF/E</v>
      </c>
      <c r="L2142">
        <v>1</v>
      </c>
      <c r="M2142" t="str">
        <f>"יח"</f>
        <v>יח</v>
      </c>
      <c r="N2142">
        <v>1</v>
      </c>
      <c r="O2142" t="str">
        <f>"יח"</f>
        <v>יח</v>
      </c>
      <c r="P2142" s="2">
        <v>1845</v>
      </c>
      <c r="Q2142" t="str">
        <f>"$"</f>
        <v>$</v>
      </c>
      <c r="R2142" t="str">
        <f>"הזמנה"</f>
        <v>הזמנה</v>
      </c>
      <c r="S2142">
        <v>0</v>
      </c>
      <c r="T2142" s="2">
        <v>1845</v>
      </c>
      <c r="U2142">
        <v>0</v>
      </c>
      <c r="V2142" s="2">
        <v>1845</v>
      </c>
      <c r="W2142" t="str">
        <f>"$"</f>
        <v>$</v>
      </c>
      <c r="X2142">
        <v>0</v>
      </c>
      <c r="Y2142">
        <v>0</v>
      </c>
      <c r="Z2142">
        <v>0</v>
      </c>
      <c r="AA2142" t="str">
        <f>"Y"</f>
        <v>Y</v>
      </c>
      <c r="AB2142" t="str">
        <f>"SO20000523"</f>
        <v>SO20000523</v>
      </c>
      <c r="AC2142">
        <v>5</v>
      </c>
      <c r="AD2142" s="1">
        <v>44147</v>
      </c>
      <c r="AE2142" t="str">
        <f>"SH21000354"</f>
        <v>SH21000354</v>
      </c>
      <c r="AF2142" t="str">
        <f>"משלוחים ללקוח"</f>
        <v>משלוחים ללקוח</v>
      </c>
      <c r="AG2142" s="1">
        <v>44262</v>
      </c>
      <c r="AM2142" t="str">
        <f>"10"</f>
        <v>10</v>
      </c>
      <c r="AN2142" t="str">
        <f>"500000"</f>
        <v>500000</v>
      </c>
      <c r="AO2142" t="str">
        <f>"הכנסות  מלקוחות"</f>
        <v>הכנסות  מלקוחות</v>
      </c>
      <c r="AQ2142" t="str">
        <f>"034"</f>
        <v>034</v>
      </c>
      <c r="AR2142">
        <v>0</v>
      </c>
      <c r="AS2142">
        <v>0</v>
      </c>
      <c r="AT2142">
        <v>3.2010000000000001</v>
      </c>
      <c r="AX2142" t="str">
        <f>"E000325831"</f>
        <v>E000325831</v>
      </c>
      <c r="BD2142" t="str">
        <f>"ערן שלו"</f>
        <v>ערן שלו</v>
      </c>
    </row>
    <row r="2143" spans="1:56" x14ac:dyDescent="0.3">
      <c r="A2143" s="1">
        <v>44452</v>
      </c>
      <c r="B2143" t="str">
        <f>"SI216001266"</f>
        <v>SI216001266</v>
      </c>
      <c r="C2143" t="str">
        <f>"PR20000796"</f>
        <v>PR20000796</v>
      </c>
      <c r="D2143" t="str">
        <f>"PR20000796"</f>
        <v>PR20000796</v>
      </c>
      <c r="E2143" t="str">
        <f>"Y"</f>
        <v>Y</v>
      </c>
      <c r="F2143" t="str">
        <f>"חשבוניות מרכזות"</f>
        <v>חשבוניות מרכזות</v>
      </c>
      <c r="G2143" t="str">
        <f>"700065"</f>
        <v>700065</v>
      </c>
      <c r="H2143" t="str">
        <f>"אלתא מערכות בע""מ"</f>
        <v>אלתא מערכות בע"מ</v>
      </c>
      <c r="I2143" t="str">
        <f>"10"</f>
        <v>10</v>
      </c>
      <c r="J2143" t="str">
        <f>"OP-AR02079"</f>
        <v>OP-AR02079</v>
      </c>
      <c r="K2143" t="str">
        <f>"1027H566-001/-  HARNESS WH006 - PCU ETH TO SHELT"</f>
        <v>1027H566-001/-  HARNESS WH006 - PCU ETH TO SHELT</v>
      </c>
      <c r="L2143">
        <v>1</v>
      </c>
      <c r="M2143" t="str">
        <f>"יח"</f>
        <v>יח</v>
      </c>
      <c r="N2143">
        <v>1</v>
      </c>
      <c r="O2143" t="str">
        <f>"יח"</f>
        <v>יח</v>
      </c>
      <c r="P2143" s="2">
        <v>2079.6799999999998</v>
      </c>
      <c r="Q2143" t="str">
        <f>"$"</f>
        <v>$</v>
      </c>
      <c r="R2143" t="str">
        <f>"הזמנה"</f>
        <v>הזמנה</v>
      </c>
      <c r="S2143">
        <v>0</v>
      </c>
      <c r="T2143" s="2">
        <v>2079.6799999999998</v>
      </c>
      <c r="U2143">
        <v>0</v>
      </c>
      <c r="V2143" s="2">
        <v>2079.6799999999998</v>
      </c>
      <c r="W2143" t="str">
        <f>"$"</f>
        <v>$</v>
      </c>
      <c r="X2143">
        <v>0</v>
      </c>
      <c r="Y2143">
        <v>0</v>
      </c>
      <c r="Z2143">
        <v>0</v>
      </c>
      <c r="AA2143" t="str">
        <f>"Y"</f>
        <v>Y</v>
      </c>
      <c r="AB2143" t="str">
        <f>"SO20000523"</f>
        <v>SO20000523</v>
      </c>
      <c r="AC2143">
        <v>6</v>
      </c>
      <c r="AD2143" s="1">
        <v>44147</v>
      </c>
      <c r="AE2143" t="str">
        <f>"SH21000354"</f>
        <v>SH21000354</v>
      </c>
      <c r="AF2143" t="str">
        <f>"משלוחים ללקוח"</f>
        <v>משלוחים ללקוח</v>
      </c>
      <c r="AG2143" s="1">
        <v>44262</v>
      </c>
      <c r="AM2143" t="str">
        <f>"10"</f>
        <v>10</v>
      </c>
      <c r="AN2143" t="str">
        <f>"500000"</f>
        <v>500000</v>
      </c>
      <c r="AO2143" t="str">
        <f>"הכנסות  מלקוחות"</f>
        <v>הכנסות  מלקוחות</v>
      </c>
      <c r="AQ2143" t="str">
        <f>"034"</f>
        <v>034</v>
      </c>
      <c r="AR2143">
        <v>0</v>
      </c>
      <c r="AS2143">
        <v>0</v>
      </c>
      <c r="AT2143">
        <v>3.2010000000000001</v>
      </c>
      <c r="AX2143" t="str">
        <f>"E000325831"</f>
        <v>E000325831</v>
      </c>
      <c r="BD2143" t="str">
        <f>"ערן שלו"</f>
        <v>ערן שלו</v>
      </c>
    </row>
    <row r="2144" spans="1:56" x14ac:dyDescent="0.3">
      <c r="A2144" s="1">
        <v>44452</v>
      </c>
      <c r="B2144" t="str">
        <f>"SI216001266"</f>
        <v>SI216001266</v>
      </c>
      <c r="C2144" t="str">
        <f>"PR20000796"</f>
        <v>PR20000796</v>
      </c>
      <c r="D2144" t="str">
        <f>"PR20000796"</f>
        <v>PR20000796</v>
      </c>
      <c r="E2144" t="str">
        <f>"Y"</f>
        <v>Y</v>
      </c>
      <c r="F2144" t="str">
        <f>"חשבוניות מרכזות"</f>
        <v>חשבוניות מרכזות</v>
      </c>
      <c r="G2144" t="str">
        <f>"700065"</f>
        <v>700065</v>
      </c>
      <c r="H2144" t="str">
        <f>"אלתא מערכות בע""מ"</f>
        <v>אלתא מערכות בע"מ</v>
      </c>
      <c r="I2144" t="str">
        <f>"10"</f>
        <v>10</v>
      </c>
      <c r="J2144" t="str">
        <f>"OP-AR02080"</f>
        <v>OP-AR02080</v>
      </c>
      <c r="K2144" t="str">
        <f>"1027H568-001/-  HARNESS WH008 - IFF INTEREGRATOR"</f>
        <v>1027H568-001/-  HARNESS WH008 - IFF INTEREGRATOR</v>
      </c>
      <c r="L2144">
        <v>1</v>
      </c>
      <c r="M2144" t="str">
        <f>"יח"</f>
        <v>יח</v>
      </c>
      <c r="N2144">
        <v>1</v>
      </c>
      <c r="O2144" t="str">
        <f>"יח"</f>
        <v>יח</v>
      </c>
      <c r="P2144">
        <v>543</v>
      </c>
      <c r="Q2144" t="str">
        <f>"$"</f>
        <v>$</v>
      </c>
      <c r="R2144" t="str">
        <f>"הזמנה"</f>
        <v>הזמנה</v>
      </c>
      <c r="S2144">
        <v>0</v>
      </c>
      <c r="T2144">
        <v>543</v>
      </c>
      <c r="U2144">
        <v>0</v>
      </c>
      <c r="V2144">
        <v>543</v>
      </c>
      <c r="W2144" t="str">
        <f>"$"</f>
        <v>$</v>
      </c>
      <c r="X2144">
        <v>0</v>
      </c>
      <c r="Y2144">
        <v>0</v>
      </c>
      <c r="Z2144">
        <v>0</v>
      </c>
      <c r="AA2144" t="str">
        <f>"Y"</f>
        <v>Y</v>
      </c>
      <c r="AB2144" t="str">
        <f>"SO20000523"</f>
        <v>SO20000523</v>
      </c>
      <c r="AC2144">
        <v>7</v>
      </c>
      <c r="AD2144" s="1">
        <v>44147</v>
      </c>
      <c r="AE2144" t="str">
        <f>"SH21000354"</f>
        <v>SH21000354</v>
      </c>
      <c r="AF2144" t="str">
        <f>"משלוחים ללקוח"</f>
        <v>משלוחים ללקוח</v>
      </c>
      <c r="AG2144" s="1">
        <v>44262</v>
      </c>
      <c r="AM2144" t="str">
        <f>"10"</f>
        <v>10</v>
      </c>
      <c r="AN2144" t="str">
        <f>"500000"</f>
        <v>500000</v>
      </c>
      <c r="AO2144" t="str">
        <f>"הכנסות  מלקוחות"</f>
        <v>הכנסות  מלקוחות</v>
      </c>
      <c r="AQ2144" t="str">
        <f>"034"</f>
        <v>034</v>
      </c>
      <c r="AR2144">
        <v>0</v>
      </c>
      <c r="AS2144">
        <v>0</v>
      </c>
      <c r="AT2144">
        <v>3.2010000000000001</v>
      </c>
      <c r="AX2144" t="str">
        <f>"E000325831"</f>
        <v>E000325831</v>
      </c>
      <c r="BD2144" t="str">
        <f>"ערן שלו"</f>
        <v>ערן שלו</v>
      </c>
    </row>
    <row r="2145" spans="1:56" x14ac:dyDescent="0.3">
      <c r="A2145" s="1">
        <v>44452</v>
      </c>
      <c r="B2145" t="str">
        <f>"SI216001266"</f>
        <v>SI216001266</v>
      </c>
      <c r="C2145" t="str">
        <f>"PR20000796"</f>
        <v>PR20000796</v>
      </c>
      <c r="D2145" t="str">
        <f>"PR20000796"</f>
        <v>PR20000796</v>
      </c>
      <c r="E2145" t="str">
        <f>"Y"</f>
        <v>Y</v>
      </c>
      <c r="F2145" t="str">
        <f>"חשבוניות מרכזות"</f>
        <v>חשבוניות מרכזות</v>
      </c>
      <c r="G2145" t="str">
        <f>"700065"</f>
        <v>700065</v>
      </c>
      <c r="H2145" t="str">
        <f>"אלתא מערכות בע""מ"</f>
        <v>אלתא מערכות בע"מ</v>
      </c>
      <c r="I2145" t="str">
        <f>"10"</f>
        <v>10</v>
      </c>
      <c r="J2145" t="str">
        <f>"OP-AR02082"</f>
        <v>OP-AR02082</v>
      </c>
      <c r="K2145" t="str">
        <f>"1027H570-001/-  HARNESS WH010 - IFF POWER"</f>
        <v>1027H570-001/-  HARNESS WH010 - IFF POWER</v>
      </c>
      <c r="L2145">
        <v>1</v>
      </c>
      <c r="M2145" t="str">
        <f>"יח"</f>
        <v>יח</v>
      </c>
      <c r="N2145">
        <v>1</v>
      </c>
      <c r="O2145" t="str">
        <f>"יח"</f>
        <v>יח</v>
      </c>
      <c r="P2145">
        <v>245.33</v>
      </c>
      <c r="Q2145" t="str">
        <f>"$"</f>
        <v>$</v>
      </c>
      <c r="R2145" t="str">
        <f>"הזמנה"</f>
        <v>הזמנה</v>
      </c>
      <c r="S2145">
        <v>0</v>
      </c>
      <c r="T2145">
        <v>245.33</v>
      </c>
      <c r="U2145">
        <v>0</v>
      </c>
      <c r="V2145">
        <v>245.33</v>
      </c>
      <c r="W2145" t="str">
        <f>"$"</f>
        <v>$</v>
      </c>
      <c r="X2145">
        <v>0</v>
      </c>
      <c r="Y2145">
        <v>0</v>
      </c>
      <c r="Z2145">
        <v>0</v>
      </c>
      <c r="AA2145" t="str">
        <f>"Y"</f>
        <v>Y</v>
      </c>
      <c r="AB2145" t="str">
        <f>"SO20000523"</f>
        <v>SO20000523</v>
      </c>
      <c r="AC2145">
        <v>9</v>
      </c>
      <c r="AD2145" s="1">
        <v>44147</v>
      </c>
      <c r="AE2145" t="str">
        <f>"SH21000354"</f>
        <v>SH21000354</v>
      </c>
      <c r="AF2145" t="str">
        <f>"משלוחים ללקוח"</f>
        <v>משלוחים ללקוח</v>
      </c>
      <c r="AG2145" s="1">
        <v>44262</v>
      </c>
      <c r="AM2145" t="str">
        <f>"10"</f>
        <v>10</v>
      </c>
      <c r="AN2145" t="str">
        <f>"500000"</f>
        <v>500000</v>
      </c>
      <c r="AO2145" t="str">
        <f>"הכנסות  מלקוחות"</f>
        <v>הכנסות  מלקוחות</v>
      </c>
      <c r="AQ2145" t="str">
        <f>"034"</f>
        <v>034</v>
      </c>
      <c r="AR2145">
        <v>0</v>
      </c>
      <c r="AS2145">
        <v>0</v>
      </c>
      <c r="AT2145">
        <v>3.2010000000000001</v>
      </c>
      <c r="AX2145" t="str">
        <f>"E000325831"</f>
        <v>E000325831</v>
      </c>
      <c r="BD2145" t="str">
        <f>"ערן שלו"</f>
        <v>ערן שלו</v>
      </c>
    </row>
    <row r="2146" spans="1:56" x14ac:dyDescent="0.3">
      <c r="A2146" s="1">
        <v>44452</v>
      </c>
      <c r="B2146" t="str">
        <f>"SI216001266"</f>
        <v>SI216001266</v>
      </c>
      <c r="C2146" t="str">
        <f>"PR20000796"</f>
        <v>PR20000796</v>
      </c>
      <c r="D2146" t="str">
        <f>"PR20000796"</f>
        <v>PR20000796</v>
      </c>
      <c r="E2146" t="str">
        <f>"Y"</f>
        <v>Y</v>
      </c>
      <c r="F2146" t="str">
        <f>"חשבוניות מרכזות"</f>
        <v>חשבוניות מרכזות</v>
      </c>
      <c r="G2146" t="str">
        <f>"700065"</f>
        <v>700065</v>
      </c>
      <c r="H2146" t="str">
        <f>"אלתא מערכות בע""מ"</f>
        <v>אלתא מערכות בע"מ</v>
      </c>
      <c r="I2146" t="str">
        <f>"10"</f>
        <v>10</v>
      </c>
      <c r="J2146" t="str">
        <f>"OP-AR02084"</f>
        <v>OP-AR02084</v>
      </c>
      <c r="K2146" t="str">
        <f>"1027H572-001/-  HARNESS WH012 - IFF CONTROL"</f>
        <v>1027H572-001/-  HARNESS WH012 - IFF CONTROL</v>
      </c>
      <c r="L2146">
        <v>1</v>
      </c>
      <c r="M2146" t="str">
        <f>"יח"</f>
        <v>יח</v>
      </c>
      <c r="N2146">
        <v>1</v>
      </c>
      <c r="O2146" t="str">
        <f>"יח"</f>
        <v>יח</v>
      </c>
      <c r="P2146">
        <v>794.68</v>
      </c>
      <c r="Q2146" t="str">
        <f>"$"</f>
        <v>$</v>
      </c>
      <c r="R2146" t="str">
        <f>"הזמנה"</f>
        <v>הזמנה</v>
      </c>
      <c r="S2146">
        <v>0</v>
      </c>
      <c r="T2146">
        <v>794.68</v>
      </c>
      <c r="U2146">
        <v>0</v>
      </c>
      <c r="V2146">
        <v>794.68</v>
      </c>
      <c r="W2146" t="str">
        <f>"$"</f>
        <v>$</v>
      </c>
      <c r="X2146">
        <v>0</v>
      </c>
      <c r="Y2146">
        <v>0</v>
      </c>
      <c r="Z2146">
        <v>0</v>
      </c>
      <c r="AA2146" t="str">
        <f>"Y"</f>
        <v>Y</v>
      </c>
      <c r="AB2146" t="str">
        <f>"SO20000523"</f>
        <v>SO20000523</v>
      </c>
      <c r="AC2146">
        <v>11</v>
      </c>
      <c r="AD2146" s="1">
        <v>44147</v>
      </c>
      <c r="AE2146" t="str">
        <f>"SH21000354"</f>
        <v>SH21000354</v>
      </c>
      <c r="AF2146" t="str">
        <f>"משלוחים ללקוח"</f>
        <v>משלוחים ללקוח</v>
      </c>
      <c r="AG2146" s="1">
        <v>44262</v>
      </c>
      <c r="AM2146" t="str">
        <f>"10"</f>
        <v>10</v>
      </c>
      <c r="AN2146" t="str">
        <f>"500000"</f>
        <v>500000</v>
      </c>
      <c r="AO2146" t="str">
        <f>"הכנסות  מלקוחות"</f>
        <v>הכנסות  מלקוחות</v>
      </c>
      <c r="AQ2146" t="str">
        <f>"034"</f>
        <v>034</v>
      </c>
      <c r="AR2146">
        <v>0</v>
      </c>
      <c r="AS2146">
        <v>0</v>
      </c>
      <c r="AT2146">
        <v>3.2010000000000001</v>
      </c>
      <c r="AX2146" t="str">
        <f>"E000325831"</f>
        <v>E000325831</v>
      </c>
      <c r="BD2146" t="str">
        <f>"ערן שלו"</f>
        <v>ערן שלו</v>
      </c>
    </row>
    <row r="2147" spans="1:56" x14ac:dyDescent="0.3">
      <c r="A2147" s="1">
        <v>44452</v>
      </c>
      <c r="B2147" t="str">
        <f>"SI216001264"</f>
        <v>SI216001264</v>
      </c>
      <c r="E2147" t="str">
        <f>"Y"</f>
        <v>Y</v>
      </c>
      <c r="F2147" t="str">
        <f>"חשבוניות מרכזות"</f>
        <v>חשבוניות מרכזות</v>
      </c>
      <c r="G2147" t="str">
        <f>"700065"</f>
        <v>700065</v>
      </c>
      <c r="H2147" t="str">
        <f>"אלתא מערכות בע""מ"</f>
        <v>אלתא מערכות בע"מ</v>
      </c>
      <c r="I2147" t="str">
        <f>"10"</f>
        <v>10</v>
      </c>
      <c r="J2147" t="str">
        <f>"PS0230057"</f>
        <v>PS0230057</v>
      </c>
      <c r="K2147" t="str">
        <f>"(d0117478)Rectifier DPR 3500B -24 DELTA"</f>
        <v>(d0117478)Rectifier DPR 3500B -24 DELTA</v>
      </c>
      <c r="L2147">
        <v>2</v>
      </c>
      <c r="M2147" t="str">
        <f>"יח"</f>
        <v>יח</v>
      </c>
      <c r="N2147">
        <v>2</v>
      </c>
      <c r="O2147" t="str">
        <f>"יח"</f>
        <v>יח</v>
      </c>
      <c r="P2147">
        <v>755</v>
      </c>
      <c r="Q2147" t="str">
        <f>"$"</f>
        <v>$</v>
      </c>
      <c r="R2147" t="str">
        <f>"הזמנה"</f>
        <v>הזמנה</v>
      </c>
      <c r="S2147">
        <v>0</v>
      </c>
      <c r="T2147" s="2">
        <v>1510</v>
      </c>
      <c r="U2147">
        <v>0</v>
      </c>
      <c r="V2147" s="2">
        <v>1510</v>
      </c>
      <c r="W2147" t="str">
        <f>"$"</f>
        <v>$</v>
      </c>
      <c r="X2147">
        <v>0</v>
      </c>
      <c r="Y2147">
        <v>0</v>
      </c>
      <c r="Z2147">
        <v>0</v>
      </c>
      <c r="AA2147" t="str">
        <f>"Y"</f>
        <v>Y</v>
      </c>
      <c r="AB2147" t="str">
        <f>"SO21000286"</f>
        <v>SO21000286</v>
      </c>
      <c r="AC2147">
        <v>1</v>
      </c>
      <c r="AD2147" s="1">
        <v>44367</v>
      </c>
      <c r="AM2147" t="str">
        <f>"10"</f>
        <v>10</v>
      </c>
      <c r="AN2147" t="str">
        <f>"500000"</f>
        <v>500000</v>
      </c>
      <c r="AO2147" t="str">
        <f>"הכנסות  מלקוחות"</f>
        <v>הכנסות  מלקוחות</v>
      </c>
      <c r="AQ2147" t="str">
        <f>"034"</f>
        <v>034</v>
      </c>
      <c r="AR2147">
        <v>0</v>
      </c>
      <c r="AS2147">
        <v>0</v>
      </c>
      <c r="AT2147">
        <v>3.2010000000000001</v>
      </c>
      <c r="AX2147" t="str">
        <f>"E000346803"</f>
        <v>E000346803</v>
      </c>
      <c r="BD2147" t="str">
        <f>"ערן שלו"</f>
        <v>ערן שלו</v>
      </c>
    </row>
    <row r="2148" spans="1:56" x14ac:dyDescent="0.3">
      <c r="A2148" s="1">
        <v>44452</v>
      </c>
      <c r="B2148" t="str">
        <f>"CR217000088"</f>
        <v>CR217000088</v>
      </c>
      <c r="C2148" t="str">
        <f>"PR20000570"</f>
        <v>PR20000570</v>
      </c>
      <c r="E2148" t="str">
        <f>"Y"</f>
        <v>Y</v>
      </c>
      <c r="F2148" t="str">
        <f>"חשבוניות זיכוי"</f>
        <v>חשבוניות זיכוי</v>
      </c>
      <c r="G2148" t="str">
        <f>"700065"</f>
        <v>700065</v>
      </c>
      <c r="H2148" t="str">
        <f>"אלתא מערכות בע""מ"</f>
        <v>אלתא מערכות בע"מ</v>
      </c>
      <c r="I2148" t="str">
        <f>"10"</f>
        <v>10</v>
      </c>
      <c r="J2148" t="str">
        <f>"OP-AR01770"</f>
        <v>OP-AR01770</v>
      </c>
      <c r="K2148" t="str">
        <f>"1036U451-001 WP451 - POWER 400VAC PDB TO LRCU"</f>
        <v>1036U451-001 WP451 - POWER 400VAC PDB TO LRCU</v>
      </c>
      <c r="L2148">
        <v>-1</v>
      </c>
      <c r="M2148" t="str">
        <f>"יח"</f>
        <v>יח</v>
      </c>
      <c r="N2148">
        <v>-1</v>
      </c>
      <c r="O2148" t="str">
        <f>"יח"</f>
        <v>יח</v>
      </c>
      <c r="P2148">
        <v>71.87</v>
      </c>
      <c r="Q2148" t="str">
        <f>"$"</f>
        <v>$</v>
      </c>
      <c r="R2148" t="str">
        <f>"ידני"</f>
        <v>ידני</v>
      </c>
      <c r="S2148">
        <v>0</v>
      </c>
      <c r="T2148">
        <v>-71.87</v>
      </c>
      <c r="U2148">
        <v>0</v>
      </c>
      <c r="V2148">
        <v>-71.87</v>
      </c>
      <c r="W2148" t="str">
        <f>"$"</f>
        <v>$</v>
      </c>
      <c r="X2148">
        <v>0</v>
      </c>
      <c r="Y2148">
        <v>0</v>
      </c>
      <c r="Z2148">
        <v>0</v>
      </c>
      <c r="AA2148" t="str">
        <f>"Y"</f>
        <v>Y</v>
      </c>
      <c r="AC2148">
        <v>0</v>
      </c>
      <c r="AM2148" t="str">
        <f>"10"</f>
        <v>10</v>
      </c>
      <c r="AN2148" t="str">
        <f>"500000"</f>
        <v>500000</v>
      </c>
      <c r="AO2148" t="str">
        <f>"הכנסות  מלקוחות"</f>
        <v>הכנסות  מלקוחות</v>
      </c>
      <c r="AP2148" t="str">
        <f>"Y"</f>
        <v>Y</v>
      </c>
      <c r="AQ2148" t="str">
        <f>"034"</f>
        <v>034</v>
      </c>
      <c r="AR2148">
        <v>0</v>
      </c>
      <c r="AS2148">
        <v>0</v>
      </c>
      <c r="AT2148">
        <v>3.3290000000000002</v>
      </c>
      <c r="BB2148" t="str">
        <f>"Y"</f>
        <v>Y</v>
      </c>
      <c r="BD2148" t="str">
        <f>"ערן שלו"</f>
        <v>ערן שלו</v>
      </c>
    </row>
    <row r="2149" spans="1:56" x14ac:dyDescent="0.3">
      <c r="A2149" s="1">
        <v>44452</v>
      </c>
      <c r="B2149" t="str">
        <f>"CR217000054"</f>
        <v>CR217000054</v>
      </c>
      <c r="C2149" t="str">
        <f>"PR20000790"</f>
        <v>PR20000790</v>
      </c>
      <c r="E2149" t="str">
        <f>"Y"</f>
        <v>Y</v>
      </c>
      <c r="F2149" t="str">
        <f>"חשבוניות זיכוי"</f>
        <v>חשבוניות זיכוי</v>
      </c>
      <c r="G2149" t="str">
        <f>"700065"</f>
        <v>700065</v>
      </c>
      <c r="H2149" t="str">
        <f>"אלתא מערכות בע""מ"</f>
        <v>אלתא מערכות בע"מ</v>
      </c>
      <c r="I2149" t="str">
        <f>"10"</f>
        <v>10</v>
      </c>
      <c r="J2149" t="str">
        <f>"OP-AR00099"</f>
        <v>OP-AR00099</v>
      </c>
      <c r="K2149" t="str">
        <f>"XT4N 250 TMA 200-2000 3p Including AUX &amp; SOR"</f>
        <v>XT4N 250 TMA 200-2000 3p Including AUX &amp; SOR</v>
      </c>
      <c r="L2149">
        <v>1</v>
      </c>
      <c r="M2149" t="str">
        <f>"יח"</f>
        <v>יח</v>
      </c>
      <c r="N2149">
        <v>1</v>
      </c>
      <c r="O2149" t="str">
        <f>"יח"</f>
        <v>יח</v>
      </c>
      <c r="P2149">
        <v>5.49</v>
      </c>
      <c r="Q2149" t="str">
        <f>"$"</f>
        <v>$</v>
      </c>
      <c r="R2149" t="str">
        <f>"ידני"</f>
        <v>ידני</v>
      </c>
      <c r="S2149">
        <v>0</v>
      </c>
      <c r="T2149">
        <v>5.49</v>
      </c>
      <c r="U2149">
        <v>0</v>
      </c>
      <c r="V2149">
        <v>5.49</v>
      </c>
      <c r="W2149" t="str">
        <f>"$"</f>
        <v>$</v>
      </c>
      <c r="X2149">
        <v>0</v>
      </c>
      <c r="Y2149">
        <v>0</v>
      </c>
      <c r="Z2149">
        <v>0</v>
      </c>
      <c r="AA2149" t="str">
        <f>"Y"</f>
        <v>Y</v>
      </c>
      <c r="AC2149">
        <v>0</v>
      </c>
      <c r="AM2149" t="str">
        <f>"10"</f>
        <v>10</v>
      </c>
      <c r="AN2149" t="str">
        <f>"500000"</f>
        <v>500000</v>
      </c>
      <c r="AO2149" t="str">
        <f>"הכנסות  מלקוחות"</f>
        <v>הכנסות  מלקוחות</v>
      </c>
      <c r="AP2149" t="str">
        <f>"Y"</f>
        <v>Y</v>
      </c>
      <c r="AQ2149" t="str">
        <f>"034"</f>
        <v>034</v>
      </c>
      <c r="AR2149">
        <v>0</v>
      </c>
      <c r="AS2149">
        <v>0</v>
      </c>
      <c r="AT2149">
        <v>3.306</v>
      </c>
      <c r="BD2149" t="str">
        <f>"ערן שלו"</f>
        <v>ערן שלו</v>
      </c>
    </row>
    <row r="2150" spans="1:56" x14ac:dyDescent="0.3">
      <c r="A2150" s="1">
        <v>44452</v>
      </c>
      <c r="B2150" t="str">
        <f>"CR217000054"</f>
        <v>CR217000054</v>
      </c>
      <c r="C2150" t="str">
        <f>"PR20000790"</f>
        <v>PR20000790</v>
      </c>
      <c r="E2150" t="str">
        <f>"Y"</f>
        <v>Y</v>
      </c>
      <c r="F2150" t="str">
        <f>"חשבוניות זיכוי"</f>
        <v>חשבוניות זיכוי</v>
      </c>
      <c r="G2150" t="str">
        <f>"700065"</f>
        <v>700065</v>
      </c>
      <c r="H2150" t="str">
        <f>"אלתא מערכות בע""מ"</f>
        <v>אלתא מערכות בע"מ</v>
      </c>
      <c r="I2150" t="str">
        <f>"10"</f>
        <v>10</v>
      </c>
      <c r="J2150" t="str">
        <f>"OP-AR00099"</f>
        <v>OP-AR00099</v>
      </c>
      <c r="K2150" t="str">
        <f>"XT4N 250 TMA 200-2000 3p Including AUX &amp; SOR"</f>
        <v>XT4N 250 TMA 200-2000 3p Including AUX &amp; SOR</v>
      </c>
      <c r="L2150">
        <v>1</v>
      </c>
      <c r="M2150" t="str">
        <f>"יח"</f>
        <v>יח</v>
      </c>
      <c r="N2150">
        <v>1</v>
      </c>
      <c r="O2150" t="str">
        <f>"יח"</f>
        <v>יח</v>
      </c>
      <c r="P2150">
        <v>60.35</v>
      </c>
      <c r="Q2150" t="str">
        <f>"$"</f>
        <v>$</v>
      </c>
      <c r="R2150" t="str">
        <f>"ידני"</f>
        <v>ידני</v>
      </c>
      <c r="S2150">
        <v>0</v>
      </c>
      <c r="T2150">
        <v>60.35</v>
      </c>
      <c r="U2150">
        <v>0</v>
      </c>
      <c r="V2150">
        <v>60.35</v>
      </c>
      <c r="W2150" t="str">
        <f>"$"</f>
        <v>$</v>
      </c>
      <c r="X2150">
        <v>0</v>
      </c>
      <c r="Y2150">
        <v>0</v>
      </c>
      <c r="Z2150">
        <v>0</v>
      </c>
      <c r="AA2150" t="str">
        <f>"Y"</f>
        <v>Y</v>
      </c>
      <c r="AC2150">
        <v>0</v>
      </c>
      <c r="AM2150" t="str">
        <f>"10"</f>
        <v>10</v>
      </c>
      <c r="AN2150" t="str">
        <f>"500000"</f>
        <v>500000</v>
      </c>
      <c r="AO2150" t="str">
        <f>"הכנסות  מלקוחות"</f>
        <v>הכנסות  מלקוחות</v>
      </c>
      <c r="AP2150" t="str">
        <f>"Y"</f>
        <v>Y</v>
      </c>
      <c r="AQ2150" t="str">
        <f>"034"</f>
        <v>034</v>
      </c>
      <c r="AR2150">
        <v>0</v>
      </c>
      <c r="AS2150">
        <v>0</v>
      </c>
      <c r="AT2150">
        <v>3.306</v>
      </c>
      <c r="BD2150" t="str">
        <f>"ערן שלו"</f>
        <v>ערן שלו</v>
      </c>
    </row>
    <row r="2151" spans="1:56" x14ac:dyDescent="0.3">
      <c r="A2151" s="1">
        <v>44452</v>
      </c>
      <c r="B2151" t="str">
        <f>"CR217000054"</f>
        <v>CR217000054</v>
      </c>
      <c r="C2151" t="str">
        <f>"PR20000790"</f>
        <v>PR20000790</v>
      </c>
      <c r="E2151" t="str">
        <f>"Y"</f>
        <v>Y</v>
      </c>
      <c r="F2151" t="str">
        <f>"חשבוניות זיכוי"</f>
        <v>חשבוניות זיכוי</v>
      </c>
      <c r="G2151" t="str">
        <f>"700065"</f>
        <v>700065</v>
      </c>
      <c r="H2151" t="str">
        <f>"אלתא מערכות בע""מ"</f>
        <v>אלתא מערכות בע"מ</v>
      </c>
      <c r="I2151" t="str">
        <f>"10"</f>
        <v>10</v>
      </c>
      <c r="J2151" t="str">
        <f>"OP-AR00100"</f>
        <v>OP-AR00100</v>
      </c>
      <c r="K2151" t="str">
        <f>"XT2N 160 Ekip-LS/I In=160A 3p Including SOR"</f>
        <v>XT2N 160 Ekip-LS/I In=160A 3p Including SOR</v>
      </c>
      <c r="L2151">
        <v>1</v>
      </c>
      <c r="M2151" t="str">
        <f>"יח"</f>
        <v>יח</v>
      </c>
      <c r="N2151">
        <v>1</v>
      </c>
      <c r="O2151" t="str">
        <f>"יח"</f>
        <v>יח</v>
      </c>
      <c r="P2151">
        <v>4.78</v>
      </c>
      <c r="Q2151" t="str">
        <f>"$"</f>
        <v>$</v>
      </c>
      <c r="R2151" t="str">
        <f>"ידני"</f>
        <v>ידני</v>
      </c>
      <c r="S2151">
        <v>0</v>
      </c>
      <c r="T2151">
        <v>4.78</v>
      </c>
      <c r="U2151">
        <v>0</v>
      </c>
      <c r="V2151">
        <v>4.78</v>
      </c>
      <c r="W2151" t="str">
        <f>"$"</f>
        <v>$</v>
      </c>
      <c r="X2151">
        <v>0</v>
      </c>
      <c r="Y2151">
        <v>0</v>
      </c>
      <c r="Z2151">
        <v>0</v>
      </c>
      <c r="AA2151" t="str">
        <f>"Y"</f>
        <v>Y</v>
      </c>
      <c r="AC2151">
        <v>0</v>
      </c>
      <c r="AM2151" t="str">
        <f>"10"</f>
        <v>10</v>
      </c>
      <c r="AN2151" t="str">
        <f>"500000"</f>
        <v>500000</v>
      </c>
      <c r="AO2151" t="str">
        <f>"הכנסות  מלקוחות"</f>
        <v>הכנסות  מלקוחות</v>
      </c>
      <c r="AP2151" t="str">
        <f>"Y"</f>
        <v>Y</v>
      </c>
      <c r="AQ2151" t="str">
        <f>"034"</f>
        <v>034</v>
      </c>
      <c r="AR2151">
        <v>0</v>
      </c>
      <c r="AS2151">
        <v>0</v>
      </c>
      <c r="AT2151">
        <v>3.306</v>
      </c>
      <c r="BD2151" t="str">
        <f>"ערן שלו"</f>
        <v>ערן שלו</v>
      </c>
    </row>
    <row r="2152" spans="1:56" x14ac:dyDescent="0.3">
      <c r="A2152" s="1">
        <v>44452</v>
      </c>
      <c r="B2152" t="str">
        <f>"CR217000054"</f>
        <v>CR217000054</v>
      </c>
      <c r="C2152" t="str">
        <f>"PR20000790"</f>
        <v>PR20000790</v>
      </c>
      <c r="E2152" t="str">
        <f>"Y"</f>
        <v>Y</v>
      </c>
      <c r="F2152" t="str">
        <f>"חשבוניות זיכוי"</f>
        <v>חשבוניות זיכוי</v>
      </c>
      <c r="G2152" t="str">
        <f>"700065"</f>
        <v>700065</v>
      </c>
      <c r="H2152" t="str">
        <f>"אלתא מערכות בע""מ"</f>
        <v>אלתא מערכות בע"מ</v>
      </c>
      <c r="I2152" t="str">
        <f>"10"</f>
        <v>10</v>
      </c>
      <c r="J2152" t="str">
        <f>"OP-AR00100"</f>
        <v>OP-AR00100</v>
      </c>
      <c r="K2152" t="str">
        <f>"XT2N 160 Ekip-LS/I In=160A 3p Including SOR"</f>
        <v>XT2N 160 Ekip-LS/I In=160A 3p Including SOR</v>
      </c>
      <c r="L2152">
        <v>1</v>
      </c>
      <c r="M2152" t="str">
        <f>"יח"</f>
        <v>יח</v>
      </c>
      <c r="N2152">
        <v>1</v>
      </c>
      <c r="O2152" t="str">
        <f>"יח"</f>
        <v>יח</v>
      </c>
      <c r="P2152">
        <v>52.63</v>
      </c>
      <c r="Q2152" t="str">
        <f>"$"</f>
        <v>$</v>
      </c>
      <c r="R2152" t="str">
        <f>"ידני"</f>
        <v>ידני</v>
      </c>
      <c r="S2152">
        <v>0</v>
      </c>
      <c r="T2152">
        <v>52.63</v>
      </c>
      <c r="U2152">
        <v>0</v>
      </c>
      <c r="V2152">
        <v>52.63</v>
      </c>
      <c r="W2152" t="str">
        <f>"$"</f>
        <v>$</v>
      </c>
      <c r="X2152">
        <v>0</v>
      </c>
      <c r="Y2152">
        <v>0</v>
      </c>
      <c r="Z2152">
        <v>0</v>
      </c>
      <c r="AA2152" t="str">
        <f>"Y"</f>
        <v>Y</v>
      </c>
      <c r="AC2152">
        <v>0</v>
      </c>
      <c r="AM2152" t="str">
        <f>"10"</f>
        <v>10</v>
      </c>
      <c r="AN2152" t="str">
        <f>"500000"</f>
        <v>500000</v>
      </c>
      <c r="AO2152" t="str">
        <f>"הכנסות  מלקוחות"</f>
        <v>הכנסות  מלקוחות</v>
      </c>
      <c r="AP2152" t="str">
        <f>"Y"</f>
        <v>Y</v>
      </c>
      <c r="AQ2152" t="str">
        <f>"034"</f>
        <v>034</v>
      </c>
      <c r="AR2152">
        <v>0</v>
      </c>
      <c r="AS2152">
        <v>0</v>
      </c>
      <c r="AT2152">
        <v>3.306</v>
      </c>
      <c r="BD2152" t="str">
        <f>"ערן שלו"</f>
        <v>ערן שלו</v>
      </c>
    </row>
    <row r="2153" spans="1:56" x14ac:dyDescent="0.3">
      <c r="A2153" s="1">
        <v>44452</v>
      </c>
      <c r="B2153" t="str">
        <f>"CR217000054"</f>
        <v>CR217000054</v>
      </c>
      <c r="C2153" t="str">
        <f>"PR20000790"</f>
        <v>PR20000790</v>
      </c>
      <c r="E2153" t="str">
        <f>"Y"</f>
        <v>Y</v>
      </c>
      <c r="F2153" t="str">
        <f>"חשבוניות זיכוי"</f>
        <v>חשבוניות זיכוי</v>
      </c>
      <c r="G2153" t="str">
        <f>"700065"</f>
        <v>700065</v>
      </c>
      <c r="H2153" t="str">
        <f>"אלתא מערכות בע""מ"</f>
        <v>אלתא מערכות בע"מ</v>
      </c>
      <c r="I2153" t="str">
        <f>"10"</f>
        <v>10</v>
      </c>
      <c r="J2153" t="str">
        <f>"OP-AR00101"</f>
        <v>OP-AR00101</v>
      </c>
      <c r="K2153" t="str">
        <f>"XT1C 160 TMD 100-1000 3p Including AUX"</f>
        <v>XT1C 160 TMD 100-1000 3p Including AUX</v>
      </c>
      <c r="L2153">
        <v>1</v>
      </c>
      <c r="M2153" t="str">
        <f>"יח"</f>
        <v>יח</v>
      </c>
      <c r="N2153">
        <v>1</v>
      </c>
      <c r="O2153" t="str">
        <f>"יח"</f>
        <v>יח</v>
      </c>
      <c r="P2153">
        <v>1.58</v>
      </c>
      <c r="Q2153" t="str">
        <f>"$"</f>
        <v>$</v>
      </c>
      <c r="R2153" t="str">
        <f>"ידני"</f>
        <v>ידני</v>
      </c>
      <c r="S2153">
        <v>0</v>
      </c>
      <c r="T2153">
        <v>1.58</v>
      </c>
      <c r="U2153">
        <v>0</v>
      </c>
      <c r="V2153">
        <v>1.58</v>
      </c>
      <c r="W2153" t="str">
        <f>"$"</f>
        <v>$</v>
      </c>
      <c r="X2153">
        <v>0</v>
      </c>
      <c r="Y2153">
        <v>0</v>
      </c>
      <c r="Z2153">
        <v>0</v>
      </c>
      <c r="AA2153" t="str">
        <f>"Y"</f>
        <v>Y</v>
      </c>
      <c r="AC2153">
        <v>0</v>
      </c>
      <c r="AM2153" t="str">
        <f>"10"</f>
        <v>10</v>
      </c>
      <c r="AN2153" t="str">
        <f>"500000"</f>
        <v>500000</v>
      </c>
      <c r="AO2153" t="str">
        <f>"הכנסות  מלקוחות"</f>
        <v>הכנסות  מלקוחות</v>
      </c>
      <c r="AP2153" t="str">
        <f>"Y"</f>
        <v>Y</v>
      </c>
      <c r="AQ2153" t="str">
        <f>"034"</f>
        <v>034</v>
      </c>
      <c r="AR2153">
        <v>0</v>
      </c>
      <c r="AS2153">
        <v>0</v>
      </c>
      <c r="AT2153">
        <v>3.306</v>
      </c>
      <c r="BD2153" t="str">
        <f>"ערן שלו"</f>
        <v>ערן שלו</v>
      </c>
    </row>
    <row r="2154" spans="1:56" x14ac:dyDescent="0.3">
      <c r="A2154" s="1">
        <v>44452</v>
      </c>
      <c r="B2154" t="str">
        <f>"CR217000054"</f>
        <v>CR217000054</v>
      </c>
      <c r="C2154" t="str">
        <f>"PR20000790"</f>
        <v>PR20000790</v>
      </c>
      <c r="E2154" t="str">
        <f>"Y"</f>
        <v>Y</v>
      </c>
      <c r="F2154" t="str">
        <f>"חשבוניות זיכוי"</f>
        <v>חשבוניות זיכוי</v>
      </c>
      <c r="G2154" t="str">
        <f>"700065"</f>
        <v>700065</v>
      </c>
      <c r="H2154" t="str">
        <f>"אלתא מערכות בע""מ"</f>
        <v>אלתא מערכות בע"מ</v>
      </c>
      <c r="I2154" t="str">
        <f>"10"</f>
        <v>10</v>
      </c>
      <c r="J2154" t="str">
        <f>"OP-AR00101"</f>
        <v>OP-AR00101</v>
      </c>
      <c r="K2154" t="str">
        <f>"XT1C 160 TMD 100-1000 3p Including AUX"</f>
        <v>XT1C 160 TMD 100-1000 3p Including AUX</v>
      </c>
      <c r="L2154">
        <v>1</v>
      </c>
      <c r="M2154" t="str">
        <f>"יח"</f>
        <v>יח</v>
      </c>
      <c r="N2154">
        <v>1</v>
      </c>
      <c r="O2154" t="str">
        <f>"יח"</f>
        <v>יח</v>
      </c>
      <c r="P2154">
        <v>1.58</v>
      </c>
      <c r="Q2154" t="str">
        <f>"$"</f>
        <v>$</v>
      </c>
      <c r="R2154" t="str">
        <f>"ידני"</f>
        <v>ידני</v>
      </c>
      <c r="S2154">
        <v>0</v>
      </c>
      <c r="T2154">
        <v>1.58</v>
      </c>
      <c r="U2154">
        <v>0</v>
      </c>
      <c r="V2154">
        <v>1.58</v>
      </c>
      <c r="W2154" t="str">
        <f>"$"</f>
        <v>$</v>
      </c>
      <c r="X2154">
        <v>0</v>
      </c>
      <c r="Y2154">
        <v>0</v>
      </c>
      <c r="Z2154">
        <v>0</v>
      </c>
      <c r="AA2154" t="str">
        <f>"Y"</f>
        <v>Y</v>
      </c>
      <c r="AC2154">
        <v>0</v>
      </c>
      <c r="AM2154" t="str">
        <f>"10"</f>
        <v>10</v>
      </c>
      <c r="AN2154" t="str">
        <f>"500000"</f>
        <v>500000</v>
      </c>
      <c r="AO2154" t="str">
        <f>"הכנסות  מלקוחות"</f>
        <v>הכנסות  מלקוחות</v>
      </c>
      <c r="AP2154" t="str">
        <f>"Y"</f>
        <v>Y</v>
      </c>
      <c r="AQ2154" t="str">
        <f>"034"</f>
        <v>034</v>
      </c>
      <c r="AR2154">
        <v>0</v>
      </c>
      <c r="AS2154">
        <v>0</v>
      </c>
      <c r="AT2154">
        <v>3.306</v>
      </c>
      <c r="BD2154" t="str">
        <f>"ערן שלו"</f>
        <v>ערן שלו</v>
      </c>
    </row>
    <row r="2155" spans="1:56" x14ac:dyDescent="0.3">
      <c r="A2155" s="1">
        <v>44452</v>
      </c>
      <c r="B2155" t="str">
        <f>"CR217000054"</f>
        <v>CR217000054</v>
      </c>
      <c r="C2155" t="str">
        <f>"PR20000790"</f>
        <v>PR20000790</v>
      </c>
      <c r="E2155" t="str">
        <f>"Y"</f>
        <v>Y</v>
      </c>
      <c r="F2155" t="str">
        <f>"חשבוניות זיכוי"</f>
        <v>חשבוניות זיכוי</v>
      </c>
      <c r="G2155" t="str">
        <f>"700065"</f>
        <v>700065</v>
      </c>
      <c r="H2155" t="str">
        <f>"אלתא מערכות בע""מ"</f>
        <v>אלתא מערכות בע"מ</v>
      </c>
      <c r="I2155" t="str">
        <f>"10"</f>
        <v>10</v>
      </c>
      <c r="J2155" t="str">
        <f>"PD0247674"</f>
        <v>PD0247674</v>
      </c>
      <c r="K2155" t="str">
        <f>"מא""ז S201M-C10 1X10A 10K ABB"</f>
        <v>מא"ז S201M-C10 1X10A 10K ABB</v>
      </c>
      <c r="L2155">
        <v>1</v>
      </c>
      <c r="M2155" t="str">
        <f>"יח"</f>
        <v>יח</v>
      </c>
      <c r="N2155">
        <v>1</v>
      </c>
      <c r="O2155" t="str">
        <f>"יח"</f>
        <v>יח</v>
      </c>
      <c r="P2155">
        <v>0.28999999999999998</v>
      </c>
      <c r="Q2155" t="str">
        <f>"$"</f>
        <v>$</v>
      </c>
      <c r="R2155" t="str">
        <f>"ידני"</f>
        <v>ידני</v>
      </c>
      <c r="S2155">
        <v>0</v>
      </c>
      <c r="T2155">
        <v>0.28999999999999998</v>
      </c>
      <c r="U2155">
        <v>0</v>
      </c>
      <c r="V2155">
        <v>0.28999999999999998</v>
      </c>
      <c r="W2155" t="str">
        <f>"$"</f>
        <v>$</v>
      </c>
      <c r="X2155">
        <v>0</v>
      </c>
      <c r="Y2155">
        <v>0</v>
      </c>
      <c r="Z2155">
        <v>0</v>
      </c>
      <c r="AA2155" t="str">
        <f>"Y"</f>
        <v>Y</v>
      </c>
      <c r="AC2155">
        <v>0</v>
      </c>
      <c r="AM2155" t="str">
        <f>"10"</f>
        <v>10</v>
      </c>
      <c r="AN2155" t="str">
        <f>"500000"</f>
        <v>500000</v>
      </c>
      <c r="AO2155" t="str">
        <f>"הכנסות  מלקוחות"</f>
        <v>הכנסות  מלקוחות</v>
      </c>
      <c r="AP2155" t="str">
        <f>"Y"</f>
        <v>Y</v>
      </c>
      <c r="AQ2155" t="str">
        <f>"034"</f>
        <v>034</v>
      </c>
      <c r="AR2155">
        <v>0</v>
      </c>
      <c r="AS2155">
        <v>0</v>
      </c>
      <c r="AT2155">
        <v>3.306</v>
      </c>
      <c r="BD2155" t="str">
        <f>"ערן שלו"</f>
        <v>ערן שלו</v>
      </c>
    </row>
    <row r="2156" spans="1:56" x14ac:dyDescent="0.3">
      <c r="A2156" s="1">
        <v>44452</v>
      </c>
      <c r="B2156" t="str">
        <f>"CR217000054"</f>
        <v>CR217000054</v>
      </c>
      <c r="C2156" t="str">
        <f>"PR20000790"</f>
        <v>PR20000790</v>
      </c>
      <c r="E2156" t="str">
        <f>"Y"</f>
        <v>Y</v>
      </c>
      <c r="F2156" t="str">
        <f>"חשבוניות זיכוי"</f>
        <v>חשבוניות זיכוי</v>
      </c>
      <c r="G2156" t="str">
        <f>"700065"</f>
        <v>700065</v>
      </c>
      <c r="H2156" t="str">
        <f>"אלתא מערכות בע""מ"</f>
        <v>אלתא מערכות בע"מ</v>
      </c>
      <c r="I2156" t="str">
        <f>"10"</f>
        <v>10</v>
      </c>
      <c r="J2156" t="str">
        <f>"PD0247674"</f>
        <v>PD0247674</v>
      </c>
      <c r="K2156" t="str">
        <f>"מא""ז S201M-C10 1X10A 10K ABB"</f>
        <v>מא"ז S201M-C10 1X10A 10K ABB</v>
      </c>
      <c r="L2156">
        <v>1</v>
      </c>
      <c r="M2156" t="str">
        <f>"יח"</f>
        <v>יח</v>
      </c>
      <c r="N2156">
        <v>1</v>
      </c>
      <c r="O2156" t="str">
        <f>"יח"</f>
        <v>יח</v>
      </c>
      <c r="P2156">
        <v>3.31</v>
      </c>
      <c r="Q2156" t="str">
        <f>"$"</f>
        <v>$</v>
      </c>
      <c r="R2156" t="str">
        <f>"ידני"</f>
        <v>ידני</v>
      </c>
      <c r="S2156">
        <v>0</v>
      </c>
      <c r="T2156">
        <v>3.31</v>
      </c>
      <c r="U2156">
        <v>0</v>
      </c>
      <c r="V2156">
        <v>3.31</v>
      </c>
      <c r="W2156" t="str">
        <f>"$"</f>
        <v>$</v>
      </c>
      <c r="X2156">
        <v>0</v>
      </c>
      <c r="Y2156">
        <v>0</v>
      </c>
      <c r="Z2156">
        <v>0</v>
      </c>
      <c r="AA2156" t="str">
        <f>"Y"</f>
        <v>Y</v>
      </c>
      <c r="AC2156">
        <v>0</v>
      </c>
      <c r="AM2156" t="str">
        <f>"10"</f>
        <v>10</v>
      </c>
      <c r="AN2156" t="str">
        <f>"500000"</f>
        <v>500000</v>
      </c>
      <c r="AO2156" t="str">
        <f>"הכנסות  מלקוחות"</f>
        <v>הכנסות  מלקוחות</v>
      </c>
      <c r="AP2156" t="str">
        <f>"Y"</f>
        <v>Y</v>
      </c>
      <c r="AQ2156" t="str">
        <f>"034"</f>
        <v>034</v>
      </c>
      <c r="AR2156">
        <v>0</v>
      </c>
      <c r="AS2156">
        <v>0</v>
      </c>
      <c r="AT2156">
        <v>3.306</v>
      </c>
      <c r="BD2156" t="str">
        <f>"ערן שלו"</f>
        <v>ערן שלו</v>
      </c>
    </row>
    <row r="2157" spans="1:56" x14ac:dyDescent="0.3">
      <c r="A2157" s="1">
        <v>44452</v>
      </c>
      <c r="B2157" t="str">
        <f>"CR217000054"</f>
        <v>CR217000054</v>
      </c>
      <c r="C2157" t="str">
        <f>"PR20000790"</f>
        <v>PR20000790</v>
      </c>
      <c r="E2157" t="str">
        <f>"Y"</f>
        <v>Y</v>
      </c>
      <c r="F2157" t="str">
        <f>"חשבוניות זיכוי"</f>
        <v>חשבוניות זיכוי</v>
      </c>
      <c r="G2157" t="str">
        <f>"700065"</f>
        <v>700065</v>
      </c>
      <c r="H2157" t="str">
        <f>"אלתא מערכות בע""מ"</f>
        <v>אלתא מערכות בע"מ</v>
      </c>
      <c r="I2157" t="str">
        <f>"10"</f>
        <v>10</v>
      </c>
      <c r="J2157" t="str">
        <f>"PD0247617"</f>
        <v>PD0247617</v>
      </c>
      <c r="K2157" t="str">
        <f>"מא""ז 1X16 10K ABB S201M-C 16"</f>
        <v>מא"ז 1X16 10K ABB S201M-C 16</v>
      </c>
      <c r="L2157">
        <v>1</v>
      </c>
      <c r="M2157" t="str">
        <f>"יח"</f>
        <v>יח</v>
      </c>
      <c r="N2157">
        <v>1</v>
      </c>
      <c r="O2157" t="str">
        <f>"יח"</f>
        <v>יח</v>
      </c>
      <c r="P2157">
        <v>1.72</v>
      </c>
      <c r="Q2157" t="str">
        <f>"$"</f>
        <v>$</v>
      </c>
      <c r="R2157" t="str">
        <f>"ידני"</f>
        <v>ידני</v>
      </c>
      <c r="S2157">
        <v>0</v>
      </c>
      <c r="T2157">
        <v>1.72</v>
      </c>
      <c r="U2157">
        <v>0</v>
      </c>
      <c r="V2157">
        <v>1.72</v>
      </c>
      <c r="W2157" t="str">
        <f>"$"</f>
        <v>$</v>
      </c>
      <c r="X2157">
        <v>0</v>
      </c>
      <c r="Y2157">
        <v>0</v>
      </c>
      <c r="Z2157">
        <v>0</v>
      </c>
      <c r="AA2157" t="str">
        <f>"Y"</f>
        <v>Y</v>
      </c>
      <c r="AC2157">
        <v>0</v>
      </c>
      <c r="AM2157" t="str">
        <f>"10"</f>
        <v>10</v>
      </c>
      <c r="AN2157" t="str">
        <f>"500000"</f>
        <v>500000</v>
      </c>
      <c r="AO2157" t="str">
        <f>"הכנסות  מלקוחות"</f>
        <v>הכנסות  מלקוחות</v>
      </c>
      <c r="AP2157" t="str">
        <f>"Y"</f>
        <v>Y</v>
      </c>
      <c r="AQ2157" t="str">
        <f>"034"</f>
        <v>034</v>
      </c>
      <c r="AR2157">
        <v>0</v>
      </c>
      <c r="AS2157">
        <v>0</v>
      </c>
      <c r="AT2157">
        <v>3.306</v>
      </c>
      <c r="BD2157" t="str">
        <f>"ערן שלו"</f>
        <v>ערן שלו</v>
      </c>
    </row>
    <row r="2158" spans="1:56" x14ac:dyDescent="0.3">
      <c r="A2158" s="1">
        <v>44452</v>
      </c>
      <c r="B2158" t="str">
        <f>"CR217000054"</f>
        <v>CR217000054</v>
      </c>
      <c r="C2158" t="str">
        <f>"PR20000790"</f>
        <v>PR20000790</v>
      </c>
      <c r="E2158" t="str">
        <f>"Y"</f>
        <v>Y</v>
      </c>
      <c r="F2158" t="str">
        <f>"חשבוניות זיכוי"</f>
        <v>חשבוניות זיכוי</v>
      </c>
      <c r="G2158" t="str">
        <f>"700065"</f>
        <v>700065</v>
      </c>
      <c r="H2158" t="str">
        <f>"אלתא מערכות בע""מ"</f>
        <v>אלתא מערכות בע"מ</v>
      </c>
      <c r="I2158" t="str">
        <f>"10"</f>
        <v>10</v>
      </c>
      <c r="J2158" t="str">
        <f>"PD0241321"</f>
        <v>PD0241321</v>
      </c>
      <c r="K2158" t="str">
        <f>"מא""ז ABB 3X32AC 10KA S203M-C 32"</f>
        <v>מא"ז ABB 3X32AC 10KA S203M-C 32</v>
      </c>
      <c r="L2158">
        <v>1</v>
      </c>
      <c r="M2158" t="str">
        <f>"יח"</f>
        <v>יח</v>
      </c>
      <c r="N2158">
        <v>1</v>
      </c>
      <c r="O2158" t="str">
        <f>"יח"</f>
        <v>יח</v>
      </c>
      <c r="P2158">
        <v>0.86</v>
      </c>
      <c r="Q2158" t="str">
        <f>"$"</f>
        <v>$</v>
      </c>
      <c r="R2158" t="str">
        <f>"ידני"</f>
        <v>ידני</v>
      </c>
      <c r="S2158">
        <v>0</v>
      </c>
      <c r="T2158">
        <v>0.86</v>
      </c>
      <c r="U2158">
        <v>0</v>
      </c>
      <c r="V2158">
        <v>0.86</v>
      </c>
      <c r="W2158" t="str">
        <f>"$"</f>
        <v>$</v>
      </c>
      <c r="X2158">
        <v>0</v>
      </c>
      <c r="Y2158">
        <v>0</v>
      </c>
      <c r="Z2158">
        <v>0</v>
      </c>
      <c r="AA2158" t="str">
        <f>"Y"</f>
        <v>Y</v>
      </c>
      <c r="AC2158">
        <v>0</v>
      </c>
      <c r="AM2158" t="str">
        <f>"10"</f>
        <v>10</v>
      </c>
      <c r="AN2158" t="str">
        <f>"500000"</f>
        <v>500000</v>
      </c>
      <c r="AO2158" t="str">
        <f>"הכנסות  מלקוחות"</f>
        <v>הכנסות  מלקוחות</v>
      </c>
      <c r="AP2158" t="str">
        <f>"Y"</f>
        <v>Y</v>
      </c>
      <c r="AQ2158" t="str">
        <f>"034"</f>
        <v>034</v>
      </c>
      <c r="AR2158">
        <v>0</v>
      </c>
      <c r="AS2158">
        <v>0</v>
      </c>
      <c r="AT2158">
        <v>3.306</v>
      </c>
      <c r="BD2158" t="str">
        <f>"ערן שלו"</f>
        <v>ערן שלו</v>
      </c>
    </row>
    <row r="2159" spans="1:56" x14ac:dyDescent="0.3">
      <c r="A2159" s="1">
        <v>44452</v>
      </c>
      <c r="B2159" t="str">
        <f>"CR217000054"</f>
        <v>CR217000054</v>
      </c>
      <c r="C2159" t="str">
        <f>"PR20000790"</f>
        <v>PR20000790</v>
      </c>
      <c r="E2159" t="str">
        <f>"Y"</f>
        <v>Y</v>
      </c>
      <c r="F2159" t="str">
        <f>"חשבוניות זיכוי"</f>
        <v>חשבוניות זיכוי</v>
      </c>
      <c r="G2159" t="str">
        <f>"700065"</f>
        <v>700065</v>
      </c>
      <c r="H2159" t="str">
        <f>"אלתא מערכות בע""מ"</f>
        <v>אלתא מערכות בע"מ</v>
      </c>
      <c r="I2159" t="str">
        <f>"10"</f>
        <v>10</v>
      </c>
      <c r="J2159" t="str">
        <f>"PD0201222"</f>
        <v>PD0201222</v>
      </c>
      <c r="K2159" t="str">
        <f>"מא""ז ABB S202M-K50UC 2X50A"</f>
        <v>מא"ז ABB S202M-K50UC 2X50A</v>
      </c>
      <c r="L2159">
        <v>1</v>
      </c>
      <c r="M2159" t="str">
        <f>"יח"</f>
        <v>יח</v>
      </c>
      <c r="N2159">
        <v>1</v>
      </c>
      <c r="O2159" t="str">
        <f>"יח"</f>
        <v>יח</v>
      </c>
      <c r="P2159">
        <v>1.43</v>
      </c>
      <c r="Q2159" t="str">
        <f>"$"</f>
        <v>$</v>
      </c>
      <c r="R2159" t="str">
        <f>"ידני"</f>
        <v>ידני</v>
      </c>
      <c r="S2159">
        <v>0</v>
      </c>
      <c r="T2159">
        <v>1.43</v>
      </c>
      <c r="U2159">
        <v>0</v>
      </c>
      <c r="V2159">
        <v>1.43</v>
      </c>
      <c r="W2159" t="str">
        <f>"$"</f>
        <v>$</v>
      </c>
      <c r="X2159">
        <v>0</v>
      </c>
      <c r="Y2159">
        <v>0</v>
      </c>
      <c r="Z2159">
        <v>0</v>
      </c>
      <c r="AA2159" t="str">
        <f>"Y"</f>
        <v>Y</v>
      </c>
      <c r="AC2159">
        <v>0</v>
      </c>
      <c r="AM2159" t="str">
        <f>"10"</f>
        <v>10</v>
      </c>
      <c r="AN2159" t="str">
        <f>"500000"</f>
        <v>500000</v>
      </c>
      <c r="AO2159" t="str">
        <f>"הכנסות  מלקוחות"</f>
        <v>הכנסות  מלקוחות</v>
      </c>
      <c r="AP2159" t="str">
        <f>"Y"</f>
        <v>Y</v>
      </c>
      <c r="AQ2159" t="str">
        <f>"034"</f>
        <v>034</v>
      </c>
      <c r="AR2159">
        <v>0</v>
      </c>
      <c r="AS2159">
        <v>0</v>
      </c>
      <c r="AT2159">
        <v>3.306</v>
      </c>
      <c r="BD2159" t="str">
        <f>"ערן שלו"</f>
        <v>ערן שלו</v>
      </c>
    </row>
    <row r="2160" spans="1:56" x14ac:dyDescent="0.3">
      <c r="A2160" s="1">
        <v>44452</v>
      </c>
      <c r="B2160" t="str">
        <f>"CR217000054"</f>
        <v>CR217000054</v>
      </c>
      <c r="C2160" t="str">
        <f>"PR20000790"</f>
        <v>PR20000790</v>
      </c>
      <c r="E2160" t="str">
        <f>"Y"</f>
        <v>Y</v>
      </c>
      <c r="F2160" t="str">
        <f>"חשבוניות זיכוי"</f>
        <v>חשבוניות זיכוי</v>
      </c>
      <c r="G2160" t="str">
        <f>"700065"</f>
        <v>700065</v>
      </c>
      <c r="H2160" t="str">
        <f>"אלתא מערכות בע""מ"</f>
        <v>אלתא מערכות בע"מ</v>
      </c>
      <c r="I2160" t="str">
        <f>"10"</f>
        <v>10</v>
      </c>
      <c r="J2160" t="str">
        <f>"PD0201222"</f>
        <v>PD0201222</v>
      </c>
      <c r="K2160" t="str">
        <f>"מא""ז ABB S202M-K50UC 2X50A"</f>
        <v>מא"ז ABB S202M-K50UC 2X50A</v>
      </c>
      <c r="L2160">
        <v>1</v>
      </c>
      <c r="M2160" t="str">
        <f>"יח"</f>
        <v>יח</v>
      </c>
      <c r="N2160">
        <v>1</v>
      </c>
      <c r="O2160" t="str">
        <f>"יח"</f>
        <v>יח</v>
      </c>
      <c r="P2160">
        <v>15.73</v>
      </c>
      <c r="Q2160" t="str">
        <f>"$"</f>
        <v>$</v>
      </c>
      <c r="R2160" t="str">
        <f>"ידני"</f>
        <v>ידני</v>
      </c>
      <c r="S2160">
        <v>0</v>
      </c>
      <c r="T2160">
        <v>15.73</v>
      </c>
      <c r="U2160">
        <v>0</v>
      </c>
      <c r="V2160">
        <v>15.73</v>
      </c>
      <c r="W2160" t="str">
        <f>"$"</f>
        <v>$</v>
      </c>
      <c r="X2160">
        <v>0</v>
      </c>
      <c r="Y2160">
        <v>0</v>
      </c>
      <c r="Z2160">
        <v>0</v>
      </c>
      <c r="AA2160" t="str">
        <f>"Y"</f>
        <v>Y</v>
      </c>
      <c r="AC2160">
        <v>0</v>
      </c>
      <c r="AM2160" t="str">
        <f>"10"</f>
        <v>10</v>
      </c>
      <c r="AN2160" t="str">
        <f>"500000"</f>
        <v>500000</v>
      </c>
      <c r="AO2160" t="str">
        <f>"הכנסות  מלקוחות"</f>
        <v>הכנסות  מלקוחות</v>
      </c>
      <c r="AP2160" t="str">
        <f>"Y"</f>
        <v>Y</v>
      </c>
      <c r="AQ2160" t="str">
        <f>"034"</f>
        <v>034</v>
      </c>
      <c r="AR2160">
        <v>0</v>
      </c>
      <c r="AS2160">
        <v>0</v>
      </c>
      <c r="AT2160">
        <v>3.306</v>
      </c>
      <c r="BD2160" t="str">
        <f>"ערן שלו"</f>
        <v>ערן שלו</v>
      </c>
    </row>
    <row r="2161" spans="1:56" x14ac:dyDescent="0.3">
      <c r="A2161" s="1">
        <v>44452</v>
      </c>
      <c r="B2161" t="str">
        <f>"CR217000054"</f>
        <v>CR217000054</v>
      </c>
      <c r="C2161" t="str">
        <f>"PR20000790"</f>
        <v>PR20000790</v>
      </c>
      <c r="E2161" t="str">
        <f>"Y"</f>
        <v>Y</v>
      </c>
      <c r="F2161" t="str">
        <f>"חשבוניות זיכוי"</f>
        <v>חשבוניות זיכוי</v>
      </c>
      <c r="G2161" t="str">
        <f>"700065"</f>
        <v>700065</v>
      </c>
      <c r="H2161" t="str">
        <f>"אלתא מערכות בע""מ"</f>
        <v>אלתא מערכות בע"מ</v>
      </c>
      <c r="I2161" t="str">
        <f>"10"</f>
        <v>10</v>
      </c>
      <c r="J2161" t="str">
        <f>"PD0247007"</f>
        <v>PD0247007</v>
      </c>
      <c r="K2161" t="str">
        <f>"מא""ז 1X6 10KA ABB S201M C6"</f>
        <v>מא"ז 1X6 10KA ABB S201M C6</v>
      </c>
      <c r="L2161">
        <v>1</v>
      </c>
      <c r="M2161" t="str">
        <f>"יח"</f>
        <v>יח</v>
      </c>
      <c r="N2161">
        <v>1</v>
      </c>
      <c r="O2161" t="str">
        <f>"יח"</f>
        <v>יח</v>
      </c>
      <c r="P2161">
        <v>0.37</v>
      </c>
      <c r="Q2161" t="str">
        <f>"$"</f>
        <v>$</v>
      </c>
      <c r="R2161" t="str">
        <f>"ידני"</f>
        <v>ידני</v>
      </c>
      <c r="S2161">
        <v>0</v>
      </c>
      <c r="T2161">
        <v>0.37</v>
      </c>
      <c r="U2161">
        <v>0</v>
      </c>
      <c r="V2161">
        <v>0.37</v>
      </c>
      <c r="W2161" t="str">
        <f>"$"</f>
        <v>$</v>
      </c>
      <c r="X2161">
        <v>0</v>
      </c>
      <c r="Y2161">
        <v>0</v>
      </c>
      <c r="Z2161">
        <v>0</v>
      </c>
      <c r="AA2161" t="str">
        <f>"Y"</f>
        <v>Y</v>
      </c>
      <c r="AC2161">
        <v>0</v>
      </c>
      <c r="AM2161" t="str">
        <f>"10"</f>
        <v>10</v>
      </c>
      <c r="AN2161" t="str">
        <f>"500000"</f>
        <v>500000</v>
      </c>
      <c r="AO2161" t="str">
        <f>"הכנסות  מלקוחות"</f>
        <v>הכנסות  מלקוחות</v>
      </c>
      <c r="AP2161" t="str">
        <f>"Y"</f>
        <v>Y</v>
      </c>
      <c r="AQ2161" t="str">
        <f>"034"</f>
        <v>034</v>
      </c>
      <c r="AR2161">
        <v>0</v>
      </c>
      <c r="AS2161">
        <v>0</v>
      </c>
      <c r="AT2161">
        <v>3.306</v>
      </c>
      <c r="BD2161" t="str">
        <f>"ערן שלו"</f>
        <v>ערן שלו</v>
      </c>
    </row>
    <row r="2162" spans="1:56" x14ac:dyDescent="0.3">
      <c r="A2162" s="1">
        <v>44452</v>
      </c>
      <c r="B2162" t="str">
        <f>"CR217000054"</f>
        <v>CR217000054</v>
      </c>
      <c r="C2162" t="str">
        <f>"PR20000790"</f>
        <v>PR20000790</v>
      </c>
      <c r="E2162" t="str">
        <f>"Y"</f>
        <v>Y</v>
      </c>
      <c r="F2162" t="str">
        <f>"חשבוניות זיכוי"</f>
        <v>חשבוניות זיכוי</v>
      </c>
      <c r="G2162" t="str">
        <f>"700065"</f>
        <v>700065</v>
      </c>
      <c r="H2162" t="str">
        <f>"אלתא מערכות בע""מ"</f>
        <v>אלתא מערכות בע"מ</v>
      </c>
      <c r="I2162" t="str">
        <f>"10"</f>
        <v>10</v>
      </c>
      <c r="J2162" t="str">
        <f>"PD0247007"</f>
        <v>PD0247007</v>
      </c>
      <c r="K2162" t="str">
        <f>"מא""ז 1X6 10KA ABB S201M C6"</f>
        <v>מא"ז 1X6 10KA ABB S201M C6</v>
      </c>
      <c r="L2162">
        <v>1</v>
      </c>
      <c r="M2162" t="str">
        <f>"יח"</f>
        <v>יח</v>
      </c>
      <c r="N2162">
        <v>1</v>
      </c>
      <c r="O2162" t="str">
        <f>"יח"</f>
        <v>יח</v>
      </c>
      <c r="P2162">
        <v>4.47</v>
      </c>
      <c r="Q2162" t="str">
        <f>"$"</f>
        <v>$</v>
      </c>
      <c r="R2162" t="str">
        <f>"ידני"</f>
        <v>ידני</v>
      </c>
      <c r="S2162">
        <v>0</v>
      </c>
      <c r="T2162">
        <v>4.47</v>
      </c>
      <c r="U2162">
        <v>0</v>
      </c>
      <c r="V2162">
        <v>4.47</v>
      </c>
      <c r="W2162" t="str">
        <f>"$"</f>
        <v>$</v>
      </c>
      <c r="X2162">
        <v>0</v>
      </c>
      <c r="Y2162">
        <v>0</v>
      </c>
      <c r="Z2162">
        <v>0</v>
      </c>
      <c r="AA2162" t="str">
        <f>"Y"</f>
        <v>Y</v>
      </c>
      <c r="AC2162">
        <v>0</v>
      </c>
      <c r="AM2162" t="str">
        <f>"10"</f>
        <v>10</v>
      </c>
      <c r="AN2162" t="str">
        <f>"500000"</f>
        <v>500000</v>
      </c>
      <c r="AO2162" t="str">
        <f>"הכנסות  מלקוחות"</f>
        <v>הכנסות  מלקוחות</v>
      </c>
      <c r="AP2162" t="str">
        <f>"Y"</f>
        <v>Y</v>
      </c>
      <c r="AQ2162" t="str">
        <f>"034"</f>
        <v>034</v>
      </c>
      <c r="AR2162">
        <v>0</v>
      </c>
      <c r="AS2162">
        <v>0</v>
      </c>
      <c r="AT2162">
        <v>3.306</v>
      </c>
      <c r="BD2162" t="str">
        <f>"ערן שלו"</f>
        <v>ערן שלו</v>
      </c>
    </row>
    <row r="2163" spans="1:56" x14ac:dyDescent="0.3">
      <c r="A2163" s="1">
        <v>44452</v>
      </c>
      <c r="B2163" t="str">
        <f>"CR217000054"</f>
        <v>CR217000054</v>
      </c>
      <c r="C2163" t="str">
        <f>"PR20000790"</f>
        <v>PR20000790</v>
      </c>
      <c r="E2163" t="str">
        <f>"Y"</f>
        <v>Y</v>
      </c>
      <c r="F2163" t="str">
        <f>"חשבוניות זיכוי"</f>
        <v>חשבוניות זיכוי</v>
      </c>
      <c r="G2163" t="str">
        <f>"700065"</f>
        <v>700065</v>
      </c>
      <c r="H2163" t="str">
        <f>"אלתא מערכות בע""מ"</f>
        <v>אלתא מערכות בע"מ</v>
      </c>
      <c r="I2163" t="str">
        <f>"10"</f>
        <v>10</v>
      </c>
      <c r="J2163" t="str">
        <f>"PD0247675"</f>
        <v>PD0247675</v>
      </c>
      <c r="K2163" t="str">
        <f>"מא""ז ABB S201M- C20 10K"</f>
        <v>מא"ז ABB S201M- C20 10K</v>
      </c>
      <c r="L2163">
        <v>1</v>
      </c>
      <c r="M2163" t="str">
        <f>"יח"</f>
        <v>יח</v>
      </c>
      <c r="N2163">
        <v>1</v>
      </c>
      <c r="O2163" t="str">
        <f>"יח"</f>
        <v>יח</v>
      </c>
      <c r="P2163">
        <v>7.0000000000000007E-2</v>
      </c>
      <c r="Q2163" t="str">
        <f>"$"</f>
        <v>$</v>
      </c>
      <c r="R2163" t="str">
        <f>"ידני"</f>
        <v>ידני</v>
      </c>
      <c r="S2163">
        <v>0</v>
      </c>
      <c r="T2163">
        <v>7.0000000000000007E-2</v>
      </c>
      <c r="U2163">
        <v>0</v>
      </c>
      <c r="V2163">
        <v>7.0000000000000007E-2</v>
      </c>
      <c r="W2163" t="str">
        <f>"$"</f>
        <v>$</v>
      </c>
      <c r="X2163">
        <v>0</v>
      </c>
      <c r="Y2163">
        <v>0</v>
      </c>
      <c r="Z2163">
        <v>0</v>
      </c>
      <c r="AA2163" t="str">
        <f>"Y"</f>
        <v>Y</v>
      </c>
      <c r="AC2163">
        <v>0</v>
      </c>
      <c r="AM2163" t="str">
        <f>"10"</f>
        <v>10</v>
      </c>
      <c r="AN2163" t="str">
        <f>"500000"</f>
        <v>500000</v>
      </c>
      <c r="AO2163" t="str">
        <f>"הכנסות  מלקוחות"</f>
        <v>הכנסות  מלקוחות</v>
      </c>
      <c r="AP2163" t="str">
        <f>"Y"</f>
        <v>Y</v>
      </c>
      <c r="AQ2163" t="str">
        <f>"034"</f>
        <v>034</v>
      </c>
      <c r="AR2163">
        <v>0</v>
      </c>
      <c r="AS2163">
        <v>0</v>
      </c>
      <c r="AT2163">
        <v>3.306</v>
      </c>
      <c r="BD2163" t="str">
        <f>"ערן שלו"</f>
        <v>ערן שלו</v>
      </c>
    </row>
    <row r="2164" spans="1:56" x14ac:dyDescent="0.3">
      <c r="A2164" s="1">
        <v>44452</v>
      </c>
      <c r="B2164" t="str">
        <f>"CR217000054"</f>
        <v>CR217000054</v>
      </c>
      <c r="C2164" t="str">
        <f>"PR20000790"</f>
        <v>PR20000790</v>
      </c>
      <c r="E2164" t="str">
        <f>"Y"</f>
        <v>Y</v>
      </c>
      <c r="F2164" t="str">
        <f>"חשבוניות זיכוי"</f>
        <v>חשבוניות זיכוי</v>
      </c>
      <c r="G2164" t="str">
        <f>"700065"</f>
        <v>700065</v>
      </c>
      <c r="H2164" t="str">
        <f>"אלתא מערכות בע""מ"</f>
        <v>אלתא מערכות בע"מ</v>
      </c>
      <c r="I2164" t="str">
        <f>"10"</f>
        <v>10</v>
      </c>
      <c r="J2164" t="str">
        <f>"PD0247675"</f>
        <v>PD0247675</v>
      </c>
      <c r="K2164" t="str">
        <f>"מא""ז ABB S201M- C20 10K"</f>
        <v>מא"ז ABB S201M- C20 10K</v>
      </c>
      <c r="L2164">
        <v>1</v>
      </c>
      <c r="M2164" t="str">
        <f>"יח"</f>
        <v>יח</v>
      </c>
      <c r="N2164">
        <v>1</v>
      </c>
      <c r="O2164" t="str">
        <f>"יח"</f>
        <v>יח</v>
      </c>
      <c r="P2164">
        <v>0.79</v>
      </c>
      <c r="Q2164" t="str">
        <f>"$"</f>
        <v>$</v>
      </c>
      <c r="R2164" t="str">
        <f>"ידני"</f>
        <v>ידני</v>
      </c>
      <c r="S2164">
        <v>0</v>
      </c>
      <c r="T2164">
        <v>0.79</v>
      </c>
      <c r="U2164">
        <v>0</v>
      </c>
      <c r="V2164">
        <v>0.79</v>
      </c>
      <c r="W2164" t="str">
        <f>"$"</f>
        <v>$</v>
      </c>
      <c r="X2164">
        <v>0</v>
      </c>
      <c r="Y2164">
        <v>0</v>
      </c>
      <c r="Z2164">
        <v>0</v>
      </c>
      <c r="AA2164" t="str">
        <f>"Y"</f>
        <v>Y</v>
      </c>
      <c r="AC2164">
        <v>0</v>
      </c>
      <c r="AM2164" t="str">
        <f>"10"</f>
        <v>10</v>
      </c>
      <c r="AN2164" t="str">
        <f>"500000"</f>
        <v>500000</v>
      </c>
      <c r="AO2164" t="str">
        <f>"הכנסות  מלקוחות"</f>
        <v>הכנסות  מלקוחות</v>
      </c>
      <c r="AP2164" t="str">
        <f>"Y"</f>
        <v>Y</v>
      </c>
      <c r="AQ2164" t="str">
        <f>"034"</f>
        <v>034</v>
      </c>
      <c r="AR2164">
        <v>0</v>
      </c>
      <c r="AS2164">
        <v>0</v>
      </c>
      <c r="AT2164">
        <v>3.306</v>
      </c>
      <c r="BD2164" t="str">
        <f>"ערן שלו"</f>
        <v>ערן שלו</v>
      </c>
    </row>
    <row r="2165" spans="1:56" x14ac:dyDescent="0.3">
      <c r="A2165" s="1">
        <v>44452</v>
      </c>
      <c r="B2165" t="str">
        <f>"CR217000054"</f>
        <v>CR217000054</v>
      </c>
      <c r="C2165" t="str">
        <f>"PR20000790"</f>
        <v>PR20000790</v>
      </c>
      <c r="E2165" t="str">
        <f>"Y"</f>
        <v>Y</v>
      </c>
      <c r="F2165" t="str">
        <f>"חשבוניות זיכוי"</f>
        <v>חשבוניות זיכוי</v>
      </c>
      <c r="G2165" t="str">
        <f>"700065"</f>
        <v>700065</v>
      </c>
      <c r="H2165" t="str">
        <f>"אלתא מערכות בע""מ"</f>
        <v>אלתא מערכות בע"מ</v>
      </c>
      <c r="I2165" t="str">
        <f>"10"</f>
        <v>10</v>
      </c>
      <c r="J2165" t="str">
        <f>"PD0241104"</f>
        <v>PD0241104</v>
      </c>
      <c r="K2165" t="str">
        <f>"מא""ז ABB 3X6AC 10KA S203M-C 6"</f>
        <v>מא"ז ABB 3X6AC 10KA S203M-C 6</v>
      </c>
      <c r="L2165">
        <v>1</v>
      </c>
      <c r="M2165" t="str">
        <f>"יח"</f>
        <v>יח</v>
      </c>
      <c r="N2165">
        <v>1</v>
      </c>
      <c r="O2165" t="str">
        <f>"יח"</f>
        <v>יח</v>
      </c>
      <c r="P2165">
        <v>0.7</v>
      </c>
      <c r="Q2165" t="str">
        <f>"$"</f>
        <v>$</v>
      </c>
      <c r="R2165" t="str">
        <f>"ידני"</f>
        <v>ידני</v>
      </c>
      <c r="S2165">
        <v>0</v>
      </c>
      <c r="T2165">
        <v>0.7</v>
      </c>
      <c r="U2165">
        <v>0</v>
      </c>
      <c r="V2165">
        <v>0.7</v>
      </c>
      <c r="W2165" t="str">
        <f>"$"</f>
        <v>$</v>
      </c>
      <c r="X2165">
        <v>0</v>
      </c>
      <c r="Y2165">
        <v>0</v>
      </c>
      <c r="Z2165">
        <v>0</v>
      </c>
      <c r="AA2165" t="str">
        <f>"Y"</f>
        <v>Y</v>
      </c>
      <c r="AC2165">
        <v>0</v>
      </c>
      <c r="AM2165" t="str">
        <f>"10"</f>
        <v>10</v>
      </c>
      <c r="AN2165" t="str">
        <f>"500000"</f>
        <v>500000</v>
      </c>
      <c r="AO2165" t="str">
        <f>"הכנסות  מלקוחות"</f>
        <v>הכנסות  מלקוחות</v>
      </c>
      <c r="AP2165" t="str">
        <f>"Y"</f>
        <v>Y</v>
      </c>
      <c r="AQ2165" t="str">
        <f>"034"</f>
        <v>034</v>
      </c>
      <c r="AR2165">
        <v>0</v>
      </c>
      <c r="AS2165">
        <v>0</v>
      </c>
      <c r="AT2165">
        <v>3.306</v>
      </c>
      <c r="BD2165" t="str">
        <f>"ערן שלו"</f>
        <v>ערן שלו</v>
      </c>
    </row>
    <row r="2166" spans="1:56" x14ac:dyDescent="0.3">
      <c r="A2166" s="1">
        <v>44452</v>
      </c>
      <c r="B2166" t="str">
        <f>"CR217000054"</f>
        <v>CR217000054</v>
      </c>
      <c r="C2166" t="str">
        <f>"PR20000790"</f>
        <v>PR20000790</v>
      </c>
      <c r="E2166" t="str">
        <f>"Y"</f>
        <v>Y</v>
      </c>
      <c r="F2166" t="str">
        <f>"חשבוניות זיכוי"</f>
        <v>חשבוניות זיכוי</v>
      </c>
      <c r="G2166" t="str">
        <f>"700065"</f>
        <v>700065</v>
      </c>
      <c r="H2166" t="str">
        <f>"אלתא מערכות בע""מ"</f>
        <v>אלתא מערכות בע"מ</v>
      </c>
      <c r="I2166" t="str">
        <f>"10"</f>
        <v>10</v>
      </c>
      <c r="J2166" t="str">
        <f>"PD0241104"</f>
        <v>PD0241104</v>
      </c>
      <c r="K2166" t="str">
        <f>"מא""ז ABB 3X6AC 10KA S203M-C 6"</f>
        <v>מא"ז ABB 3X6AC 10KA S203M-C 6</v>
      </c>
      <c r="L2166">
        <v>1</v>
      </c>
      <c r="M2166" t="str">
        <f>"יח"</f>
        <v>יח</v>
      </c>
      <c r="N2166">
        <v>1</v>
      </c>
      <c r="O2166" t="str">
        <f>"יח"</f>
        <v>יח</v>
      </c>
      <c r="P2166">
        <v>7.74</v>
      </c>
      <c r="Q2166" t="str">
        <f>"$"</f>
        <v>$</v>
      </c>
      <c r="R2166" t="str">
        <f>"ידני"</f>
        <v>ידני</v>
      </c>
      <c r="S2166">
        <v>0</v>
      </c>
      <c r="T2166">
        <v>7.74</v>
      </c>
      <c r="U2166">
        <v>0</v>
      </c>
      <c r="V2166">
        <v>7.74</v>
      </c>
      <c r="W2166" t="str">
        <f>"$"</f>
        <v>$</v>
      </c>
      <c r="X2166">
        <v>0</v>
      </c>
      <c r="Y2166">
        <v>0</v>
      </c>
      <c r="Z2166">
        <v>0</v>
      </c>
      <c r="AA2166" t="str">
        <f>"Y"</f>
        <v>Y</v>
      </c>
      <c r="AC2166">
        <v>0</v>
      </c>
      <c r="AM2166" t="str">
        <f>"10"</f>
        <v>10</v>
      </c>
      <c r="AN2166" t="str">
        <f>"500000"</f>
        <v>500000</v>
      </c>
      <c r="AO2166" t="str">
        <f>"הכנסות  מלקוחות"</f>
        <v>הכנסות  מלקוחות</v>
      </c>
      <c r="AP2166" t="str">
        <f>"Y"</f>
        <v>Y</v>
      </c>
      <c r="AQ2166" t="str">
        <f>"034"</f>
        <v>034</v>
      </c>
      <c r="AR2166">
        <v>0</v>
      </c>
      <c r="AS2166">
        <v>0</v>
      </c>
      <c r="AT2166">
        <v>3.306</v>
      </c>
      <c r="BD2166" t="str">
        <f>"ערן שלו"</f>
        <v>ערן שלו</v>
      </c>
    </row>
    <row r="2167" spans="1:56" x14ac:dyDescent="0.3">
      <c r="A2167" s="1">
        <v>44452</v>
      </c>
      <c r="B2167" t="str">
        <f>"CR217000054"</f>
        <v>CR217000054</v>
      </c>
      <c r="C2167" t="str">
        <f>"PR20000790"</f>
        <v>PR20000790</v>
      </c>
      <c r="E2167" t="str">
        <f>"Y"</f>
        <v>Y</v>
      </c>
      <c r="F2167" t="str">
        <f>"חשבוניות זיכוי"</f>
        <v>חשבוניות זיכוי</v>
      </c>
      <c r="G2167" t="str">
        <f>"700065"</f>
        <v>700065</v>
      </c>
      <c r="H2167" t="str">
        <f>"אלתא מערכות בע""מ"</f>
        <v>אלתא מערכות בע"מ</v>
      </c>
      <c r="I2167" t="str">
        <f>"10"</f>
        <v>10</v>
      </c>
      <c r="J2167" t="str">
        <f>"PD0248403"</f>
        <v>PD0248403</v>
      </c>
      <c r="K2167" t="str">
        <f>"מא""ז 3X40 10KA ABB S203M-C 40"</f>
        <v>מא"ז 3X40 10KA ABB S203M-C 40</v>
      </c>
      <c r="L2167">
        <v>1</v>
      </c>
      <c r="M2167" t="str">
        <f>"יח"</f>
        <v>יח</v>
      </c>
      <c r="N2167">
        <v>1</v>
      </c>
      <c r="O2167" t="str">
        <f>"יח"</f>
        <v>יח</v>
      </c>
      <c r="P2167">
        <v>0.43</v>
      </c>
      <c r="Q2167" t="str">
        <f>"$"</f>
        <v>$</v>
      </c>
      <c r="R2167" t="str">
        <f>"ידני"</f>
        <v>ידני</v>
      </c>
      <c r="S2167">
        <v>0</v>
      </c>
      <c r="T2167">
        <v>0.43</v>
      </c>
      <c r="U2167">
        <v>0</v>
      </c>
      <c r="V2167">
        <v>0.43</v>
      </c>
      <c r="W2167" t="str">
        <f>"$"</f>
        <v>$</v>
      </c>
      <c r="X2167">
        <v>0</v>
      </c>
      <c r="Y2167">
        <v>0</v>
      </c>
      <c r="Z2167">
        <v>0</v>
      </c>
      <c r="AA2167" t="str">
        <f>"Y"</f>
        <v>Y</v>
      </c>
      <c r="AC2167">
        <v>0</v>
      </c>
      <c r="AM2167" t="str">
        <f>"10"</f>
        <v>10</v>
      </c>
      <c r="AN2167" t="str">
        <f>"500000"</f>
        <v>500000</v>
      </c>
      <c r="AO2167" t="str">
        <f>"הכנסות  מלקוחות"</f>
        <v>הכנסות  מלקוחות</v>
      </c>
      <c r="AP2167" t="str">
        <f>"Y"</f>
        <v>Y</v>
      </c>
      <c r="AQ2167" t="str">
        <f>"034"</f>
        <v>034</v>
      </c>
      <c r="AR2167">
        <v>0</v>
      </c>
      <c r="AS2167">
        <v>0</v>
      </c>
      <c r="AT2167">
        <v>3.306</v>
      </c>
      <c r="BD2167" t="str">
        <f>"ערן שלו"</f>
        <v>ערן שלו</v>
      </c>
    </row>
    <row r="2168" spans="1:56" x14ac:dyDescent="0.3">
      <c r="A2168" s="1">
        <v>44452</v>
      </c>
      <c r="B2168" t="str">
        <f>"CR217000054"</f>
        <v>CR217000054</v>
      </c>
      <c r="C2168" t="str">
        <f>"PR20000790"</f>
        <v>PR20000790</v>
      </c>
      <c r="E2168" t="str">
        <f>"Y"</f>
        <v>Y</v>
      </c>
      <c r="F2168" t="str">
        <f>"חשבוניות זיכוי"</f>
        <v>חשבוניות זיכוי</v>
      </c>
      <c r="G2168" t="str">
        <f>"700065"</f>
        <v>700065</v>
      </c>
      <c r="H2168" t="str">
        <f>"אלתא מערכות בע""מ"</f>
        <v>אלתא מערכות בע"מ</v>
      </c>
      <c r="I2168" t="str">
        <f>"10"</f>
        <v>10</v>
      </c>
      <c r="J2168" t="str">
        <f>"PD0248403"</f>
        <v>PD0248403</v>
      </c>
      <c r="K2168" t="str">
        <f>"מא""ז 3X40 10KA ABB S203M-C 40"</f>
        <v>מא"ז 3X40 10KA ABB S203M-C 40</v>
      </c>
      <c r="L2168">
        <v>1</v>
      </c>
      <c r="M2168" t="str">
        <f>"יח"</f>
        <v>יח</v>
      </c>
      <c r="N2168">
        <v>1</v>
      </c>
      <c r="O2168" t="str">
        <f>"יח"</f>
        <v>יח</v>
      </c>
      <c r="P2168">
        <v>4.7</v>
      </c>
      <c r="Q2168" t="str">
        <f>"$"</f>
        <v>$</v>
      </c>
      <c r="R2168" t="str">
        <f>"ידני"</f>
        <v>ידני</v>
      </c>
      <c r="S2168">
        <v>0</v>
      </c>
      <c r="T2168">
        <v>4.7</v>
      </c>
      <c r="U2168">
        <v>0</v>
      </c>
      <c r="V2168">
        <v>4.7</v>
      </c>
      <c r="W2168" t="str">
        <f>"$"</f>
        <v>$</v>
      </c>
      <c r="X2168">
        <v>0</v>
      </c>
      <c r="Y2168">
        <v>0</v>
      </c>
      <c r="Z2168">
        <v>0</v>
      </c>
      <c r="AA2168" t="str">
        <f>"Y"</f>
        <v>Y</v>
      </c>
      <c r="AC2168">
        <v>0</v>
      </c>
      <c r="AM2168" t="str">
        <f>"10"</f>
        <v>10</v>
      </c>
      <c r="AN2168" t="str">
        <f>"500000"</f>
        <v>500000</v>
      </c>
      <c r="AO2168" t="str">
        <f>"הכנסות  מלקוחות"</f>
        <v>הכנסות  מלקוחות</v>
      </c>
      <c r="AP2168" t="str">
        <f>"Y"</f>
        <v>Y</v>
      </c>
      <c r="AQ2168" t="str">
        <f>"034"</f>
        <v>034</v>
      </c>
      <c r="AR2168">
        <v>0</v>
      </c>
      <c r="AS2168">
        <v>0</v>
      </c>
      <c r="AT2168">
        <v>3.306</v>
      </c>
      <c r="BD2168" t="str">
        <f>"ערן שלו"</f>
        <v>ערן שלו</v>
      </c>
    </row>
    <row r="2169" spans="1:56" x14ac:dyDescent="0.3">
      <c r="A2169" s="1">
        <v>44452</v>
      </c>
      <c r="B2169" t="str">
        <f>"CR217000054"</f>
        <v>CR217000054</v>
      </c>
      <c r="C2169" t="str">
        <f>"PR20000790"</f>
        <v>PR20000790</v>
      </c>
      <c r="E2169" t="str">
        <f>"Y"</f>
        <v>Y</v>
      </c>
      <c r="F2169" t="str">
        <f>"חשבוניות זיכוי"</f>
        <v>חשבוניות זיכוי</v>
      </c>
      <c r="G2169" t="str">
        <f>"700065"</f>
        <v>700065</v>
      </c>
      <c r="H2169" t="str">
        <f>"אלתא מערכות בע""מ"</f>
        <v>אלתא מערכות בע"מ</v>
      </c>
      <c r="I2169" t="str">
        <f>"10"</f>
        <v>10</v>
      </c>
      <c r="J2169" t="str">
        <f>"PD0200715"</f>
        <v>PD0200715</v>
      </c>
      <c r="K2169" t="str">
        <f>"מנתק ח""א דו קוטבי S802B-C100 ABB"</f>
        <v>מנתק ח"א דו קוטבי S802B-C100 ABB</v>
      </c>
      <c r="L2169">
        <v>1</v>
      </c>
      <c r="M2169" t="str">
        <f>"יח"</f>
        <v>יח</v>
      </c>
      <c r="N2169">
        <v>1</v>
      </c>
      <c r="O2169" t="str">
        <f>"יח"</f>
        <v>יח</v>
      </c>
      <c r="P2169">
        <v>0.9</v>
      </c>
      <c r="Q2169" t="str">
        <f>"$"</f>
        <v>$</v>
      </c>
      <c r="R2169" t="str">
        <f>"ידני"</f>
        <v>ידני</v>
      </c>
      <c r="S2169">
        <v>0</v>
      </c>
      <c r="T2169">
        <v>0.9</v>
      </c>
      <c r="U2169">
        <v>0</v>
      </c>
      <c r="V2169">
        <v>0.9</v>
      </c>
      <c r="W2169" t="str">
        <f>"$"</f>
        <v>$</v>
      </c>
      <c r="X2169">
        <v>0</v>
      </c>
      <c r="Y2169">
        <v>0</v>
      </c>
      <c r="Z2169">
        <v>0</v>
      </c>
      <c r="AA2169" t="str">
        <f>"Y"</f>
        <v>Y</v>
      </c>
      <c r="AC2169">
        <v>0</v>
      </c>
      <c r="AM2169" t="str">
        <f>"10"</f>
        <v>10</v>
      </c>
      <c r="AN2169" t="str">
        <f>"500000"</f>
        <v>500000</v>
      </c>
      <c r="AO2169" t="str">
        <f>"הכנסות  מלקוחות"</f>
        <v>הכנסות  מלקוחות</v>
      </c>
      <c r="AP2169" t="str">
        <f>"Y"</f>
        <v>Y</v>
      </c>
      <c r="AQ2169" t="str">
        <f>"034"</f>
        <v>034</v>
      </c>
      <c r="AR2169">
        <v>0</v>
      </c>
      <c r="AS2169">
        <v>0</v>
      </c>
      <c r="AT2169">
        <v>3.306</v>
      </c>
      <c r="BD2169" t="str">
        <f>"ערן שלו"</f>
        <v>ערן שלו</v>
      </c>
    </row>
    <row r="2170" spans="1:56" x14ac:dyDescent="0.3">
      <c r="A2170" s="1">
        <v>44452</v>
      </c>
      <c r="B2170" t="str">
        <f>"CR217000054"</f>
        <v>CR217000054</v>
      </c>
      <c r="C2170" t="str">
        <f>"PR20000790"</f>
        <v>PR20000790</v>
      </c>
      <c r="E2170" t="str">
        <f>"Y"</f>
        <v>Y</v>
      </c>
      <c r="F2170" t="str">
        <f>"חשבוניות זיכוי"</f>
        <v>חשבוניות זיכוי</v>
      </c>
      <c r="G2170" t="str">
        <f>"700065"</f>
        <v>700065</v>
      </c>
      <c r="H2170" t="str">
        <f>"אלתא מערכות בע""מ"</f>
        <v>אלתא מערכות בע"מ</v>
      </c>
      <c r="I2170" t="str">
        <f>"10"</f>
        <v>10</v>
      </c>
      <c r="J2170" t="str">
        <f>"PD0200715"</f>
        <v>PD0200715</v>
      </c>
      <c r="K2170" t="str">
        <f>"מנתק ח""א דו קוטבי S802B-C100 ABB"</f>
        <v>מנתק ח"א דו קוטבי S802B-C100 ABB</v>
      </c>
      <c r="L2170">
        <v>1</v>
      </c>
      <c r="M2170" t="str">
        <f>"יח"</f>
        <v>יח</v>
      </c>
      <c r="N2170">
        <v>1</v>
      </c>
      <c r="O2170" t="str">
        <f>"יח"</f>
        <v>יח</v>
      </c>
      <c r="P2170">
        <v>9.86</v>
      </c>
      <c r="Q2170" t="str">
        <f>"$"</f>
        <v>$</v>
      </c>
      <c r="R2170" t="str">
        <f>"ידני"</f>
        <v>ידני</v>
      </c>
      <c r="S2170">
        <v>0</v>
      </c>
      <c r="T2170">
        <v>9.86</v>
      </c>
      <c r="U2170">
        <v>0</v>
      </c>
      <c r="V2170">
        <v>9.86</v>
      </c>
      <c r="W2170" t="str">
        <f>"$"</f>
        <v>$</v>
      </c>
      <c r="X2170">
        <v>0</v>
      </c>
      <c r="Y2170">
        <v>0</v>
      </c>
      <c r="Z2170">
        <v>0</v>
      </c>
      <c r="AA2170" t="str">
        <f>"Y"</f>
        <v>Y</v>
      </c>
      <c r="AC2170">
        <v>0</v>
      </c>
      <c r="AM2170" t="str">
        <f>"10"</f>
        <v>10</v>
      </c>
      <c r="AN2170" t="str">
        <f>"500000"</f>
        <v>500000</v>
      </c>
      <c r="AO2170" t="str">
        <f>"הכנסות  מלקוחות"</f>
        <v>הכנסות  מלקוחות</v>
      </c>
      <c r="AP2170" t="str">
        <f>"Y"</f>
        <v>Y</v>
      </c>
      <c r="AQ2170" t="str">
        <f>"034"</f>
        <v>034</v>
      </c>
      <c r="AR2170">
        <v>0</v>
      </c>
      <c r="AS2170">
        <v>0</v>
      </c>
      <c r="AT2170">
        <v>3.306</v>
      </c>
      <c r="BD2170" t="str">
        <f>"ערן שלו"</f>
        <v>ערן שלו</v>
      </c>
    </row>
    <row r="2171" spans="1:56" x14ac:dyDescent="0.3">
      <c r="A2171" s="1">
        <v>44452</v>
      </c>
      <c r="B2171" t="str">
        <f>"CR217000054"</f>
        <v>CR217000054</v>
      </c>
      <c r="C2171" t="str">
        <f>"PR20000790"</f>
        <v>PR20000790</v>
      </c>
      <c r="E2171" t="str">
        <f>"Y"</f>
        <v>Y</v>
      </c>
      <c r="F2171" t="str">
        <f>"חשבוניות זיכוי"</f>
        <v>חשבוניות זיכוי</v>
      </c>
      <c r="G2171" t="str">
        <f>"700065"</f>
        <v>700065</v>
      </c>
      <c r="H2171" t="str">
        <f>"אלתא מערכות בע""מ"</f>
        <v>אלתא מערכות בע"מ</v>
      </c>
      <c r="I2171" t="str">
        <f>"10"</f>
        <v>10</v>
      </c>
      <c r="J2171" t="str">
        <f>"PD0241322"</f>
        <v>PD0241322</v>
      </c>
      <c r="K2171" t="str">
        <f>"מא""ז תלת קוטבי 10K S203M- C 25 ABB"</f>
        <v>מא"ז תלת קוטבי 10K S203M- C 25 ABB</v>
      </c>
      <c r="L2171">
        <v>1</v>
      </c>
      <c r="M2171" t="str">
        <f>"יח"</f>
        <v>יח</v>
      </c>
      <c r="N2171">
        <v>1</v>
      </c>
      <c r="O2171" t="str">
        <f>"יח"</f>
        <v>יח</v>
      </c>
      <c r="P2171">
        <v>0.35</v>
      </c>
      <c r="Q2171" t="str">
        <f>"$"</f>
        <v>$</v>
      </c>
      <c r="R2171" t="str">
        <f>"ידני"</f>
        <v>ידני</v>
      </c>
      <c r="S2171">
        <v>0</v>
      </c>
      <c r="T2171">
        <v>0.35</v>
      </c>
      <c r="U2171">
        <v>0</v>
      </c>
      <c r="V2171">
        <v>0.35</v>
      </c>
      <c r="W2171" t="str">
        <f>"$"</f>
        <v>$</v>
      </c>
      <c r="X2171">
        <v>0</v>
      </c>
      <c r="Y2171">
        <v>0</v>
      </c>
      <c r="Z2171">
        <v>0</v>
      </c>
      <c r="AA2171" t="str">
        <f>"Y"</f>
        <v>Y</v>
      </c>
      <c r="AC2171">
        <v>0</v>
      </c>
      <c r="AM2171" t="str">
        <f>"10"</f>
        <v>10</v>
      </c>
      <c r="AN2171" t="str">
        <f>"500000"</f>
        <v>500000</v>
      </c>
      <c r="AO2171" t="str">
        <f>"הכנסות  מלקוחות"</f>
        <v>הכנסות  מלקוחות</v>
      </c>
      <c r="AP2171" t="str">
        <f>"Y"</f>
        <v>Y</v>
      </c>
      <c r="AQ2171" t="str">
        <f>"034"</f>
        <v>034</v>
      </c>
      <c r="AR2171">
        <v>0</v>
      </c>
      <c r="AS2171">
        <v>0</v>
      </c>
      <c r="AT2171">
        <v>3.306</v>
      </c>
      <c r="BD2171" t="str">
        <f>"ערן שלו"</f>
        <v>ערן שלו</v>
      </c>
    </row>
    <row r="2172" spans="1:56" x14ac:dyDescent="0.3">
      <c r="A2172" s="1">
        <v>44452</v>
      </c>
      <c r="B2172" t="str">
        <f>"CR217000054"</f>
        <v>CR217000054</v>
      </c>
      <c r="C2172" t="str">
        <f>"PR20000790"</f>
        <v>PR20000790</v>
      </c>
      <c r="E2172" t="str">
        <f>"Y"</f>
        <v>Y</v>
      </c>
      <c r="F2172" t="str">
        <f>"חשבוניות זיכוי"</f>
        <v>חשבוניות זיכוי</v>
      </c>
      <c r="G2172" t="str">
        <f>"700065"</f>
        <v>700065</v>
      </c>
      <c r="H2172" t="str">
        <f>"אלתא מערכות בע""מ"</f>
        <v>אלתא מערכות בע"מ</v>
      </c>
      <c r="I2172" t="str">
        <f>"10"</f>
        <v>10</v>
      </c>
      <c r="J2172" t="str">
        <f>"PD0241322"</f>
        <v>PD0241322</v>
      </c>
      <c r="K2172" t="str">
        <f>"מא""ז תלת קוטבי 10K S203M- C 25 ABB"</f>
        <v>מא"ז תלת קוטבי 10K S203M- C 25 ABB</v>
      </c>
      <c r="L2172">
        <v>1</v>
      </c>
      <c r="M2172" t="str">
        <f>"יח"</f>
        <v>יח</v>
      </c>
      <c r="N2172">
        <v>1</v>
      </c>
      <c r="O2172" t="str">
        <f>"יח"</f>
        <v>יח</v>
      </c>
      <c r="P2172">
        <v>3.88</v>
      </c>
      <c r="Q2172" t="str">
        <f>"$"</f>
        <v>$</v>
      </c>
      <c r="R2172" t="str">
        <f>"ידני"</f>
        <v>ידני</v>
      </c>
      <c r="S2172">
        <v>0</v>
      </c>
      <c r="T2172">
        <v>3.88</v>
      </c>
      <c r="U2172">
        <v>0</v>
      </c>
      <c r="V2172">
        <v>3.88</v>
      </c>
      <c r="W2172" t="str">
        <f>"$"</f>
        <v>$</v>
      </c>
      <c r="X2172">
        <v>0</v>
      </c>
      <c r="Y2172">
        <v>0</v>
      </c>
      <c r="Z2172">
        <v>0</v>
      </c>
      <c r="AA2172" t="str">
        <f>"Y"</f>
        <v>Y</v>
      </c>
      <c r="AC2172">
        <v>0</v>
      </c>
      <c r="AM2172" t="str">
        <f>"10"</f>
        <v>10</v>
      </c>
      <c r="AN2172" t="str">
        <f>"500000"</f>
        <v>500000</v>
      </c>
      <c r="AO2172" t="str">
        <f>"הכנסות  מלקוחות"</f>
        <v>הכנסות  מלקוחות</v>
      </c>
      <c r="AP2172" t="str">
        <f>"Y"</f>
        <v>Y</v>
      </c>
      <c r="AQ2172" t="str">
        <f>"034"</f>
        <v>034</v>
      </c>
      <c r="AR2172">
        <v>0</v>
      </c>
      <c r="AS2172">
        <v>0</v>
      </c>
      <c r="AT2172">
        <v>3.306</v>
      </c>
      <c r="BD2172" t="str">
        <f>"ערן שלו"</f>
        <v>ערן שלו</v>
      </c>
    </row>
    <row r="2173" spans="1:56" x14ac:dyDescent="0.3">
      <c r="A2173" s="1">
        <v>44452</v>
      </c>
      <c r="B2173" t="str">
        <f>"CR217000054"</f>
        <v>CR217000054</v>
      </c>
      <c r="C2173" t="str">
        <f>"PR20000790"</f>
        <v>PR20000790</v>
      </c>
      <c r="E2173" t="str">
        <f>"Y"</f>
        <v>Y</v>
      </c>
      <c r="F2173" t="str">
        <f>"חשבוניות זיכוי"</f>
        <v>חשבוניות זיכוי</v>
      </c>
      <c r="G2173" t="str">
        <f>"700065"</f>
        <v>700065</v>
      </c>
      <c r="H2173" t="str">
        <f>"אלתא מערכות בע""מ"</f>
        <v>אלתא מערכות בע"מ</v>
      </c>
      <c r="I2173" t="str">
        <f>"10"</f>
        <v>10</v>
      </c>
      <c r="J2173" t="str">
        <f>"PD0201222"</f>
        <v>PD0201222</v>
      </c>
      <c r="K2173" t="str">
        <f>"מא""ז ABB S202M-K50UC 2X50A"</f>
        <v>מא"ז ABB S202M-K50UC 2X50A</v>
      </c>
      <c r="L2173">
        <v>1</v>
      </c>
      <c r="M2173" t="str">
        <f>"יח"</f>
        <v>יח</v>
      </c>
      <c r="N2173">
        <v>1</v>
      </c>
      <c r="O2173" t="str">
        <f>"יח"</f>
        <v>יח</v>
      </c>
      <c r="P2173">
        <v>1.43</v>
      </c>
      <c r="Q2173" t="str">
        <f>"$"</f>
        <v>$</v>
      </c>
      <c r="R2173" t="str">
        <f>"ידני"</f>
        <v>ידני</v>
      </c>
      <c r="S2173">
        <v>0</v>
      </c>
      <c r="T2173">
        <v>1.43</v>
      </c>
      <c r="U2173">
        <v>0</v>
      </c>
      <c r="V2173">
        <v>1.43</v>
      </c>
      <c r="W2173" t="str">
        <f>"$"</f>
        <v>$</v>
      </c>
      <c r="X2173">
        <v>0</v>
      </c>
      <c r="Y2173">
        <v>0</v>
      </c>
      <c r="Z2173">
        <v>0</v>
      </c>
      <c r="AA2173" t="str">
        <f>"Y"</f>
        <v>Y</v>
      </c>
      <c r="AC2173">
        <v>0</v>
      </c>
      <c r="AM2173" t="str">
        <f>"10"</f>
        <v>10</v>
      </c>
      <c r="AN2173" t="str">
        <f>"500000"</f>
        <v>500000</v>
      </c>
      <c r="AO2173" t="str">
        <f>"הכנסות  מלקוחות"</f>
        <v>הכנסות  מלקוחות</v>
      </c>
      <c r="AP2173" t="str">
        <f>"Y"</f>
        <v>Y</v>
      </c>
      <c r="AQ2173" t="str">
        <f>"034"</f>
        <v>034</v>
      </c>
      <c r="AR2173">
        <v>0</v>
      </c>
      <c r="AS2173">
        <v>0</v>
      </c>
      <c r="AT2173">
        <v>3.306</v>
      </c>
      <c r="BD2173" t="str">
        <f>"ערן שלו"</f>
        <v>ערן שלו</v>
      </c>
    </row>
    <row r="2174" spans="1:56" x14ac:dyDescent="0.3">
      <c r="A2174" s="1">
        <v>44452</v>
      </c>
      <c r="B2174" t="str">
        <f>"CR217000054"</f>
        <v>CR217000054</v>
      </c>
      <c r="C2174" t="str">
        <f>"PR20000790"</f>
        <v>PR20000790</v>
      </c>
      <c r="E2174" t="str">
        <f>"Y"</f>
        <v>Y</v>
      </c>
      <c r="F2174" t="str">
        <f>"חשבוניות זיכוי"</f>
        <v>חשבוניות זיכוי</v>
      </c>
      <c r="G2174" t="str">
        <f>"700065"</f>
        <v>700065</v>
      </c>
      <c r="H2174" t="str">
        <f>"אלתא מערכות בע""מ"</f>
        <v>אלתא מערכות בע"מ</v>
      </c>
      <c r="I2174" t="str">
        <f>"10"</f>
        <v>10</v>
      </c>
      <c r="J2174" t="str">
        <f>"PD0201222"</f>
        <v>PD0201222</v>
      </c>
      <c r="K2174" t="str">
        <f>"מא""ז ABB S202M-K50UC 2X50A"</f>
        <v>מא"ז ABB S202M-K50UC 2X50A</v>
      </c>
      <c r="L2174">
        <v>1</v>
      </c>
      <c r="M2174" t="str">
        <f>"יח"</f>
        <v>יח</v>
      </c>
      <c r="N2174">
        <v>1</v>
      </c>
      <c r="O2174" t="str">
        <f>"יח"</f>
        <v>יח</v>
      </c>
      <c r="P2174">
        <v>15.73</v>
      </c>
      <c r="Q2174" t="str">
        <f>"$"</f>
        <v>$</v>
      </c>
      <c r="R2174" t="str">
        <f>"ידני"</f>
        <v>ידני</v>
      </c>
      <c r="S2174">
        <v>0</v>
      </c>
      <c r="T2174">
        <v>15.73</v>
      </c>
      <c r="U2174">
        <v>0</v>
      </c>
      <c r="V2174">
        <v>15.73</v>
      </c>
      <c r="W2174" t="str">
        <f>"$"</f>
        <v>$</v>
      </c>
      <c r="X2174">
        <v>0</v>
      </c>
      <c r="Y2174">
        <v>0</v>
      </c>
      <c r="Z2174">
        <v>0</v>
      </c>
      <c r="AA2174" t="str">
        <f>"Y"</f>
        <v>Y</v>
      </c>
      <c r="AC2174">
        <v>0</v>
      </c>
      <c r="AM2174" t="str">
        <f>"10"</f>
        <v>10</v>
      </c>
      <c r="AN2174" t="str">
        <f>"500000"</f>
        <v>500000</v>
      </c>
      <c r="AO2174" t="str">
        <f>"הכנסות  מלקוחות"</f>
        <v>הכנסות  מלקוחות</v>
      </c>
      <c r="AP2174" t="str">
        <f>"Y"</f>
        <v>Y</v>
      </c>
      <c r="AQ2174" t="str">
        <f>"034"</f>
        <v>034</v>
      </c>
      <c r="AR2174">
        <v>0</v>
      </c>
      <c r="AS2174">
        <v>0</v>
      </c>
      <c r="AT2174">
        <v>3.306</v>
      </c>
      <c r="BD2174" t="str">
        <f>"ערן שלו"</f>
        <v>ערן שלו</v>
      </c>
    </row>
    <row r="2175" spans="1:56" x14ac:dyDescent="0.3">
      <c r="A2175" s="1">
        <v>44452</v>
      </c>
      <c r="B2175" t="str">
        <f>"CR217000054"</f>
        <v>CR217000054</v>
      </c>
      <c r="C2175" t="str">
        <f>"PR20000790"</f>
        <v>PR20000790</v>
      </c>
      <c r="E2175" t="str">
        <f>"Y"</f>
        <v>Y</v>
      </c>
      <c r="F2175" t="str">
        <f>"חשבוניות זיכוי"</f>
        <v>חשבוניות זיכוי</v>
      </c>
      <c r="G2175" t="str">
        <f>"700065"</f>
        <v>700065</v>
      </c>
      <c r="H2175" t="str">
        <f>"אלתא מערכות בע""מ"</f>
        <v>אלתא מערכות בע"מ</v>
      </c>
      <c r="I2175" t="str">
        <f>"10"</f>
        <v>10</v>
      </c>
      <c r="J2175" t="str">
        <f>"PD0200559"</f>
        <v>PD0200559</v>
      </c>
      <c r="K2175" t="str">
        <f>"מא""ז S801B-C100 ABB"</f>
        <v>מא"ז S801B-C100 ABB</v>
      </c>
      <c r="L2175">
        <v>1</v>
      </c>
      <c r="M2175" t="str">
        <f>"יח"</f>
        <v>יח</v>
      </c>
      <c r="N2175">
        <v>1</v>
      </c>
      <c r="O2175" t="str">
        <f>"יח"</f>
        <v>יח</v>
      </c>
      <c r="P2175">
        <v>0.45</v>
      </c>
      <c r="Q2175" t="str">
        <f>"$"</f>
        <v>$</v>
      </c>
      <c r="R2175" t="str">
        <f>"ידני"</f>
        <v>ידני</v>
      </c>
      <c r="S2175">
        <v>0</v>
      </c>
      <c r="T2175">
        <v>0.45</v>
      </c>
      <c r="U2175">
        <v>0</v>
      </c>
      <c r="V2175">
        <v>0.45</v>
      </c>
      <c r="W2175" t="str">
        <f>"$"</f>
        <v>$</v>
      </c>
      <c r="X2175">
        <v>0</v>
      </c>
      <c r="Y2175">
        <v>0</v>
      </c>
      <c r="Z2175">
        <v>0</v>
      </c>
      <c r="AA2175" t="str">
        <f>"Y"</f>
        <v>Y</v>
      </c>
      <c r="AC2175">
        <v>0</v>
      </c>
      <c r="AM2175" t="str">
        <f>"10"</f>
        <v>10</v>
      </c>
      <c r="AN2175" t="str">
        <f>"500000"</f>
        <v>500000</v>
      </c>
      <c r="AO2175" t="str">
        <f>"הכנסות  מלקוחות"</f>
        <v>הכנסות  מלקוחות</v>
      </c>
      <c r="AP2175" t="str">
        <f>"Y"</f>
        <v>Y</v>
      </c>
      <c r="AQ2175" t="str">
        <f>"034"</f>
        <v>034</v>
      </c>
      <c r="AR2175">
        <v>0</v>
      </c>
      <c r="AS2175">
        <v>0</v>
      </c>
      <c r="AT2175">
        <v>3.306</v>
      </c>
      <c r="BD2175" t="str">
        <f>"ערן שלו"</f>
        <v>ערן שלו</v>
      </c>
    </row>
    <row r="2176" spans="1:56" x14ac:dyDescent="0.3">
      <c r="A2176" s="1">
        <v>44452</v>
      </c>
      <c r="B2176" t="str">
        <f>"CR217000054"</f>
        <v>CR217000054</v>
      </c>
      <c r="C2176" t="str">
        <f>"PR20000790"</f>
        <v>PR20000790</v>
      </c>
      <c r="E2176" t="str">
        <f>"Y"</f>
        <v>Y</v>
      </c>
      <c r="F2176" t="str">
        <f>"חשבוניות זיכוי"</f>
        <v>חשבוניות זיכוי</v>
      </c>
      <c r="G2176" t="str">
        <f>"700065"</f>
        <v>700065</v>
      </c>
      <c r="H2176" t="str">
        <f>"אלתא מערכות בע""מ"</f>
        <v>אלתא מערכות בע"מ</v>
      </c>
      <c r="I2176" t="str">
        <f>"10"</f>
        <v>10</v>
      </c>
      <c r="J2176" t="str">
        <f>"PD0200559"</f>
        <v>PD0200559</v>
      </c>
      <c r="K2176" t="str">
        <f>"מא""ז S801B-C100 ABB"</f>
        <v>מא"ז S801B-C100 ABB</v>
      </c>
      <c r="L2176">
        <v>1</v>
      </c>
      <c r="M2176" t="str">
        <f>"יח"</f>
        <v>יח</v>
      </c>
      <c r="N2176">
        <v>1</v>
      </c>
      <c r="O2176" t="str">
        <f>"יח"</f>
        <v>יח</v>
      </c>
      <c r="P2176">
        <v>5</v>
      </c>
      <c r="Q2176" t="str">
        <f>"$"</f>
        <v>$</v>
      </c>
      <c r="R2176" t="str">
        <f>"ידני"</f>
        <v>ידני</v>
      </c>
      <c r="S2176">
        <v>0</v>
      </c>
      <c r="T2176">
        <v>5</v>
      </c>
      <c r="U2176">
        <v>0</v>
      </c>
      <c r="V2176">
        <v>5</v>
      </c>
      <c r="W2176" t="str">
        <f>"$"</f>
        <v>$</v>
      </c>
      <c r="X2176">
        <v>0</v>
      </c>
      <c r="Y2176">
        <v>0</v>
      </c>
      <c r="Z2176">
        <v>0</v>
      </c>
      <c r="AA2176" t="str">
        <f>"Y"</f>
        <v>Y</v>
      </c>
      <c r="AC2176">
        <v>0</v>
      </c>
      <c r="AM2176" t="str">
        <f>"10"</f>
        <v>10</v>
      </c>
      <c r="AN2176" t="str">
        <f>"500000"</f>
        <v>500000</v>
      </c>
      <c r="AO2176" t="str">
        <f>"הכנסות  מלקוחות"</f>
        <v>הכנסות  מלקוחות</v>
      </c>
      <c r="AP2176" t="str">
        <f>"Y"</f>
        <v>Y</v>
      </c>
      <c r="AQ2176" t="str">
        <f>"034"</f>
        <v>034</v>
      </c>
      <c r="AR2176">
        <v>0</v>
      </c>
      <c r="AS2176">
        <v>0</v>
      </c>
      <c r="AT2176">
        <v>3.306</v>
      </c>
      <c r="BD2176" t="str">
        <f>"ערן שלו"</f>
        <v>ערן שלו</v>
      </c>
    </row>
    <row r="2177" spans="1:56" x14ac:dyDescent="0.3">
      <c r="A2177" s="1">
        <v>44452</v>
      </c>
      <c r="B2177" t="str">
        <f>"CR217000053"</f>
        <v>CR217000053</v>
      </c>
      <c r="C2177" t="str">
        <f>"PR20000530"</f>
        <v>PR20000530</v>
      </c>
      <c r="E2177" t="str">
        <f>"Y"</f>
        <v>Y</v>
      </c>
      <c r="F2177" t="str">
        <f>"חשבוניות זיכוי"</f>
        <v>חשבוניות זיכוי</v>
      </c>
      <c r="G2177" t="str">
        <f>"700065"</f>
        <v>700065</v>
      </c>
      <c r="H2177" t="str">
        <f>"אלתא מערכות בע""מ"</f>
        <v>אלתא מערכות בע"מ</v>
      </c>
      <c r="I2177" t="str">
        <f>"10"</f>
        <v>10</v>
      </c>
      <c r="J2177" t="str">
        <f>"OP-AR01963"</f>
        <v>OP-AR01963</v>
      </c>
      <c r="K2177" t="str">
        <f>"1031Y617-001/A - CABLE ASSY W101A"</f>
        <v>1031Y617-001/A - CABLE ASSY W101A</v>
      </c>
      <c r="L2177">
        <v>1</v>
      </c>
      <c r="M2177" t="str">
        <f>"יח"</f>
        <v>יח</v>
      </c>
      <c r="N2177">
        <v>1</v>
      </c>
      <c r="O2177" t="str">
        <f>"יח"</f>
        <v>יח</v>
      </c>
      <c r="P2177">
        <v>89.54</v>
      </c>
      <c r="Q2177" t="str">
        <f>"$"</f>
        <v>$</v>
      </c>
      <c r="R2177" t="str">
        <f>"ידני"</f>
        <v>ידני</v>
      </c>
      <c r="S2177">
        <v>0</v>
      </c>
      <c r="T2177">
        <v>89.54</v>
      </c>
      <c r="U2177">
        <v>0</v>
      </c>
      <c r="V2177">
        <v>89.54</v>
      </c>
      <c r="W2177" t="str">
        <f>"$"</f>
        <v>$</v>
      </c>
      <c r="X2177">
        <v>0</v>
      </c>
      <c r="Y2177">
        <v>0</v>
      </c>
      <c r="Z2177">
        <v>0</v>
      </c>
      <c r="AA2177" t="str">
        <f>"Y"</f>
        <v>Y</v>
      </c>
      <c r="AC2177">
        <v>0</v>
      </c>
      <c r="AM2177" t="str">
        <f>"10"</f>
        <v>10</v>
      </c>
      <c r="AN2177" t="str">
        <f>"500000"</f>
        <v>500000</v>
      </c>
      <c r="AO2177" t="str">
        <f>"הכנסות  מלקוחות"</f>
        <v>הכנסות  מלקוחות</v>
      </c>
      <c r="AP2177" t="str">
        <f>"Y"</f>
        <v>Y</v>
      </c>
      <c r="AQ2177" t="str">
        <f>"034"</f>
        <v>034</v>
      </c>
      <c r="AR2177">
        <v>0</v>
      </c>
      <c r="AS2177">
        <v>0</v>
      </c>
      <c r="AT2177">
        <v>3.3319999999999999</v>
      </c>
      <c r="BD2177" t="str">
        <f>"ערן שלו"</f>
        <v>ערן שלו</v>
      </c>
    </row>
    <row r="2178" spans="1:56" x14ac:dyDescent="0.3">
      <c r="A2178" s="1">
        <v>44452</v>
      </c>
      <c r="B2178" t="str">
        <f>"CR217000052"</f>
        <v>CR217000052</v>
      </c>
      <c r="C2178" t="str">
        <f>"PR20000570"</f>
        <v>PR20000570</v>
      </c>
      <c r="E2178" t="str">
        <f>"Y"</f>
        <v>Y</v>
      </c>
      <c r="F2178" t="str">
        <f>"חשבוניות זיכוי"</f>
        <v>חשבוניות זיכוי</v>
      </c>
      <c r="G2178" t="str">
        <f>"700065"</f>
        <v>700065</v>
      </c>
      <c r="H2178" t="str">
        <f>"אלתא מערכות בע""מ"</f>
        <v>אלתא מערכות בע"מ</v>
      </c>
      <c r="I2178" t="str">
        <f>"10"</f>
        <v>10</v>
      </c>
      <c r="J2178" t="str">
        <f>"OP-AR01770"</f>
        <v>OP-AR01770</v>
      </c>
      <c r="K2178" t="str">
        <f>"1036U451-001 WP451 - POWER 400VAC PDB TO LRCU"</f>
        <v>1036U451-001 WP451 - POWER 400VAC PDB TO LRCU</v>
      </c>
      <c r="L2178">
        <v>1</v>
      </c>
      <c r="M2178" t="str">
        <f>"יח"</f>
        <v>יח</v>
      </c>
      <c r="N2178">
        <v>1</v>
      </c>
      <c r="O2178" t="str">
        <f>"יח"</f>
        <v>יח</v>
      </c>
      <c r="P2178">
        <v>215.62</v>
      </c>
      <c r="Q2178" t="str">
        <f>"$"</f>
        <v>$</v>
      </c>
      <c r="R2178" t="str">
        <f>"ידני"</f>
        <v>ידני</v>
      </c>
      <c r="S2178">
        <v>0</v>
      </c>
      <c r="T2178">
        <v>215.62</v>
      </c>
      <c r="U2178">
        <v>0</v>
      </c>
      <c r="V2178">
        <v>215.62</v>
      </c>
      <c r="W2178" t="str">
        <f>"$"</f>
        <v>$</v>
      </c>
      <c r="X2178">
        <v>0</v>
      </c>
      <c r="Y2178">
        <v>0</v>
      </c>
      <c r="Z2178">
        <v>0</v>
      </c>
      <c r="AA2178" t="str">
        <f>"Y"</f>
        <v>Y</v>
      </c>
      <c r="AC2178">
        <v>0</v>
      </c>
      <c r="AM2178" t="str">
        <f>"10"</f>
        <v>10</v>
      </c>
      <c r="AN2178" t="str">
        <f>"500000"</f>
        <v>500000</v>
      </c>
      <c r="AO2178" t="str">
        <f>"הכנסות  מלקוחות"</f>
        <v>הכנסות  מלקוחות</v>
      </c>
      <c r="AP2178" t="str">
        <f>"Y"</f>
        <v>Y</v>
      </c>
      <c r="AQ2178" t="str">
        <f>"034"</f>
        <v>034</v>
      </c>
      <c r="AR2178">
        <v>0</v>
      </c>
      <c r="AS2178">
        <v>0</v>
      </c>
      <c r="AT2178">
        <v>3.3319999999999999</v>
      </c>
      <c r="BD2178" t="str">
        <f>"ערן שלו"</f>
        <v>ערן שלו</v>
      </c>
    </row>
    <row r="2179" spans="1:56" x14ac:dyDescent="0.3">
      <c r="A2179" s="1">
        <v>44452</v>
      </c>
      <c r="B2179" t="str">
        <f>"CR217000051"</f>
        <v>CR217000051</v>
      </c>
      <c r="C2179" t="str">
        <f>"PR20000570"</f>
        <v>PR20000570</v>
      </c>
      <c r="E2179" t="str">
        <f>"Y"</f>
        <v>Y</v>
      </c>
      <c r="F2179" t="str">
        <f>"חשבוניות זיכוי"</f>
        <v>חשבוניות זיכוי</v>
      </c>
      <c r="G2179" t="str">
        <f>"700065"</f>
        <v>700065</v>
      </c>
      <c r="H2179" t="str">
        <f>"אלתא מערכות בע""מ"</f>
        <v>אלתא מערכות בע"מ</v>
      </c>
      <c r="I2179" t="str">
        <f>"10"</f>
        <v>10</v>
      </c>
      <c r="J2179" t="str">
        <f>"OP-AR01770"</f>
        <v>OP-AR01770</v>
      </c>
      <c r="K2179" t="str">
        <f>"1036U451-001 WP451 - POWER 400VAC PDB TO LRCU"</f>
        <v>1036U451-001 WP451 - POWER 400VAC PDB TO LRCU</v>
      </c>
      <c r="L2179">
        <v>1</v>
      </c>
      <c r="M2179" t="str">
        <f>"יח"</f>
        <v>יח</v>
      </c>
      <c r="N2179">
        <v>1</v>
      </c>
      <c r="O2179" t="str">
        <f>"יח"</f>
        <v>יח</v>
      </c>
      <c r="P2179">
        <v>71.87</v>
      </c>
      <c r="Q2179" t="str">
        <f>"$"</f>
        <v>$</v>
      </c>
      <c r="R2179" t="str">
        <f>"ידני"</f>
        <v>ידני</v>
      </c>
      <c r="S2179">
        <v>0</v>
      </c>
      <c r="T2179">
        <v>71.87</v>
      </c>
      <c r="U2179">
        <v>0</v>
      </c>
      <c r="V2179">
        <v>71.87</v>
      </c>
      <c r="W2179" t="str">
        <f>"$"</f>
        <v>$</v>
      </c>
      <c r="X2179">
        <v>0</v>
      </c>
      <c r="Y2179">
        <v>0</v>
      </c>
      <c r="Z2179">
        <v>0</v>
      </c>
      <c r="AA2179" t="str">
        <f>"Y"</f>
        <v>Y</v>
      </c>
      <c r="AC2179">
        <v>0</v>
      </c>
      <c r="AM2179" t="str">
        <f>"10"</f>
        <v>10</v>
      </c>
      <c r="AN2179" t="str">
        <f>"500000"</f>
        <v>500000</v>
      </c>
      <c r="AO2179" t="str">
        <f>"הכנסות  מלקוחות"</f>
        <v>הכנסות  מלקוחות</v>
      </c>
      <c r="AP2179" t="str">
        <f>"Y"</f>
        <v>Y</v>
      </c>
      <c r="AQ2179" t="str">
        <f>"034"</f>
        <v>034</v>
      </c>
      <c r="AR2179">
        <v>0</v>
      </c>
      <c r="AS2179">
        <v>0</v>
      </c>
      <c r="AT2179">
        <v>3.3290000000000002</v>
      </c>
      <c r="BB2179" t="str">
        <f>"Y"</f>
        <v>Y</v>
      </c>
      <c r="BD2179" t="str">
        <f>"ערן שלו"</f>
        <v>ערן שלו</v>
      </c>
    </row>
    <row r="2180" spans="1:56" x14ac:dyDescent="0.3">
      <c r="A2180" s="1">
        <v>44452</v>
      </c>
      <c r="B2180" t="str">
        <f>"CR217000050"</f>
        <v>CR217000050</v>
      </c>
      <c r="C2180" t="str">
        <f>"PR20000348"</f>
        <v>PR20000348</v>
      </c>
      <c r="E2180" t="str">
        <f>"Y"</f>
        <v>Y</v>
      </c>
      <c r="F2180" t="str">
        <f>"חשבוניות זיכוי"</f>
        <v>חשבוניות זיכוי</v>
      </c>
      <c r="G2180" t="str">
        <f>"700065"</f>
        <v>700065</v>
      </c>
      <c r="H2180" t="str">
        <f>"אלתא מערכות בע""מ"</f>
        <v>אלתא מערכות בע"מ</v>
      </c>
      <c r="I2180" t="str">
        <f>"10"</f>
        <v>10</v>
      </c>
      <c r="J2180" t="str">
        <f>"OP-AR01734"</f>
        <v>OP-AR01734</v>
      </c>
      <c r="K2180" t="str">
        <f>"1039V325-001 WP325 - POWER 320VDC PDB TO ROTARY"</f>
        <v>1039V325-001 WP325 - POWER 320VDC PDB TO ROTARY</v>
      </c>
      <c r="L2180">
        <v>1</v>
      </c>
      <c r="M2180" t="str">
        <f>"יח"</f>
        <v>יח</v>
      </c>
      <c r="N2180">
        <v>1</v>
      </c>
      <c r="O2180" t="str">
        <f>"יח"</f>
        <v>יח</v>
      </c>
      <c r="P2180">
        <v>19.32</v>
      </c>
      <c r="Q2180" t="str">
        <f>"$"</f>
        <v>$</v>
      </c>
      <c r="R2180" t="str">
        <f>"ידני"</f>
        <v>ידני</v>
      </c>
      <c r="S2180">
        <v>0</v>
      </c>
      <c r="T2180">
        <v>19.32</v>
      </c>
      <c r="U2180">
        <v>0</v>
      </c>
      <c r="V2180">
        <v>19.32</v>
      </c>
      <c r="W2180" t="str">
        <f>"$"</f>
        <v>$</v>
      </c>
      <c r="X2180">
        <v>0</v>
      </c>
      <c r="Y2180">
        <v>0</v>
      </c>
      <c r="Z2180">
        <v>0</v>
      </c>
      <c r="AA2180" t="str">
        <f>"Y"</f>
        <v>Y</v>
      </c>
      <c r="AC2180">
        <v>0</v>
      </c>
      <c r="AM2180" t="str">
        <f>"10"</f>
        <v>10</v>
      </c>
      <c r="AN2180" t="str">
        <f>"500000"</f>
        <v>500000</v>
      </c>
      <c r="AO2180" t="str">
        <f>"הכנסות  מלקוחות"</f>
        <v>הכנסות  מלקוחות</v>
      </c>
      <c r="AP2180" t="str">
        <f>"Y"</f>
        <v>Y</v>
      </c>
      <c r="AQ2180" t="str">
        <f>"034"</f>
        <v>034</v>
      </c>
      <c r="AR2180">
        <v>0</v>
      </c>
      <c r="AS2180">
        <v>0</v>
      </c>
      <c r="AT2180">
        <v>3.3929999999999998</v>
      </c>
      <c r="BD2180" t="str">
        <f>"ערן שלו"</f>
        <v>ערן שלו</v>
      </c>
    </row>
    <row r="2181" spans="1:56" x14ac:dyDescent="0.3">
      <c r="A2181" s="1">
        <v>44452</v>
      </c>
      <c r="B2181" t="str">
        <f>"CR217000050"</f>
        <v>CR217000050</v>
      </c>
      <c r="C2181" t="str">
        <f>"PR20000348"</f>
        <v>PR20000348</v>
      </c>
      <c r="E2181" t="str">
        <f>"Y"</f>
        <v>Y</v>
      </c>
      <c r="F2181" t="str">
        <f>"חשבוניות זיכוי"</f>
        <v>חשבוניות זיכוי</v>
      </c>
      <c r="G2181" t="str">
        <f>"700065"</f>
        <v>700065</v>
      </c>
      <c r="H2181" t="str">
        <f>"אלתא מערכות בע""מ"</f>
        <v>אלתא מערכות בע"מ</v>
      </c>
      <c r="I2181" t="str">
        <f>"10"</f>
        <v>10</v>
      </c>
      <c r="J2181" t="str">
        <f>"OP-AR01742"</f>
        <v>OP-AR01742</v>
      </c>
      <c r="K2181" t="str">
        <f>"1039V318-001 WP318 - CONTROL DATA MICRO SWITCH S"</f>
        <v>1039V318-001 WP318 - CONTROL DATA MICRO SWITCH S</v>
      </c>
      <c r="L2181">
        <v>1</v>
      </c>
      <c r="M2181" t="str">
        <f>"יח"</f>
        <v>יח</v>
      </c>
      <c r="N2181">
        <v>1</v>
      </c>
      <c r="O2181" t="str">
        <f>"יח"</f>
        <v>יח</v>
      </c>
      <c r="P2181">
        <v>20.74</v>
      </c>
      <c r="Q2181" t="str">
        <f>"$"</f>
        <v>$</v>
      </c>
      <c r="R2181" t="str">
        <f>"ידני"</f>
        <v>ידני</v>
      </c>
      <c r="S2181">
        <v>0</v>
      </c>
      <c r="T2181">
        <v>20.74</v>
      </c>
      <c r="U2181">
        <v>0</v>
      </c>
      <c r="V2181">
        <v>20.74</v>
      </c>
      <c r="W2181" t="str">
        <f>"$"</f>
        <v>$</v>
      </c>
      <c r="X2181">
        <v>0</v>
      </c>
      <c r="Y2181">
        <v>0</v>
      </c>
      <c r="Z2181">
        <v>0</v>
      </c>
      <c r="AA2181" t="str">
        <f>"Y"</f>
        <v>Y</v>
      </c>
      <c r="AC2181">
        <v>0</v>
      </c>
      <c r="AM2181" t="str">
        <f>"10"</f>
        <v>10</v>
      </c>
      <c r="AN2181" t="str">
        <f>"500000"</f>
        <v>500000</v>
      </c>
      <c r="AO2181" t="str">
        <f>"הכנסות  מלקוחות"</f>
        <v>הכנסות  מלקוחות</v>
      </c>
      <c r="AP2181" t="str">
        <f>"Y"</f>
        <v>Y</v>
      </c>
      <c r="AQ2181" t="str">
        <f>"034"</f>
        <v>034</v>
      </c>
      <c r="AR2181">
        <v>0</v>
      </c>
      <c r="AS2181">
        <v>0</v>
      </c>
      <c r="AT2181">
        <v>3.3929999999999998</v>
      </c>
      <c r="BD2181" t="str">
        <f>"ערן שלו"</f>
        <v>ערן שלו</v>
      </c>
    </row>
    <row r="2182" spans="1:56" x14ac:dyDescent="0.3">
      <c r="A2182" s="1">
        <v>44452</v>
      </c>
      <c r="B2182" t="str">
        <f>"CR217000050"</f>
        <v>CR217000050</v>
      </c>
      <c r="C2182" t="str">
        <f>"PR20000348"</f>
        <v>PR20000348</v>
      </c>
      <c r="E2182" t="str">
        <f>"Y"</f>
        <v>Y</v>
      </c>
      <c r="F2182" t="str">
        <f>"חשבוניות זיכוי"</f>
        <v>חשבוניות זיכוי</v>
      </c>
      <c r="G2182" t="str">
        <f>"700065"</f>
        <v>700065</v>
      </c>
      <c r="H2182" t="str">
        <f>"אלתא מערכות בע""מ"</f>
        <v>אלתא מערכות בע"מ</v>
      </c>
      <c r="I2182" t="str">
        <f>"10"</f>
        <v>10</v>
      </c>
      <c r="J2182" t="str">
        <f>"OP-AR01743"</f>
        <v>OP-AR01743</v>
      </c>
      <c r="K2182" t="str">
        <f>"1039V311-001 WP311- POWER 400VAC PEDESTAL TO PED"</f>
        <v>1039V311-001 WP311- POWER 400VAC PEDESTAL TO PED</v>
      </c>
      <c r="L2182">
        <v>1</v>
      </c>
      <c r="M2182" t="str">
        <f>"יח"</f>
        <v>יח</v>
      </c>
      <c r="N2182">
        <v>1</v>
      </c>
      <c r="O2182" t="str">
        <f>"יח"</f>
        <v>יח</v>
      </c>
      <c r="P2182">
        <v>20.66</v>
      </c>
      <c r="Q2182" t="str">
        <f>"$"</f>
        <v>$</v>
      </c>
      <c r="R2182" t="str">
        <f>"ידני"</f>
        <v>ידני</v>
      </c>
      <c r="S2182">
        <v>0</v>
      </c>
      <c r="T2182">
        <v>20.66</v>
      </c>
      <c r="U2182">
        <v>0</v>
      </c>
      <c r="V2182">
        <v>20.66</v>
      </c>
      <c r="W2182" t="str">
        <f>"$"</f>
        <v>$</v>
      </c>
      <c r="X2182">
        <v>0</v>
      </c>
      <c r="Y2182">
        <v>0</v>
      </c>
      <c r="Z2182">
        <v>0</v>
      </c>
      <c r="AA2182" t="str">
        <f>"Y"</f>
        <v>Y</v>
      </c>
      <c r="AC2182">
        <v>0</v>
      </c>
      <c r="AM2182" t="str">
        <f>"10"</f>
        <v>10</v>
      </c>
      <c r="AN2182" t="str">
        <f>"500000"</f>
        <v>500000</v>
      </c>
      <c r="AO2182" t="str">
        <f>"הכנסות  מלקוחות"</f>
        <v>הכנסות  מלקוחות</v>
      </c>
      <c r="AP2182" t="str">
        <f>"Y"</f>
        <v>Y</v>
      </c>
      <c r="AQ2182" t="str">
        <f>"034"</f>
        <v>034</v>
      </c>
      <c r="AR2182">
        <v>0</v>
      </c>
      <c r="AS2182">
        <v>0</v>
      </c>
      <c r="AT2182">
        <v>3.3929999999999998</v>
      </c>
      <c r="BD2182" t="str">
        <f>"ערן שלו"</f>
        <v>ערן שלו</v>
      </c>
    </row>
    <row r="2183" spans="1:56" x14ac:dyDescent="0.3">
      <c r="A2183" s="1">
        <v>44452</v>
      </c>
      <c r="B2183" t="str">
        <f>"CR217000049"</f>
        <v>CR217000049</v>
      </c>
      <c r="C2183" t="str">
        <f>"PR20000348"</f>
        <v>PR20000348</v>
      </c>
      <c r="E2183" t="str">
        <f>"Y"</f>
        <v>Y</v>
      </c>
      <c r="F2183" t="str">
        <f>"חשבוניות זיכוי"</f>
        <v>חשבוניות זיכוי</v>
      </c>
      <c r="G2183" t="str">
        <f>"700065"</f>
        <v>700065</v>
      </c>
      <c r="H2183" t="str">
        <f>"אלתא מערכות בע""מ"</f>
        <v>אלתא מערכות בע"מ</v>
      </c>
      <c r="I2183" t="str">
        <f>"10"</f>
        <v>10</v>
      </c>
      <c r="J2183" t="str">
        <f>"OP-AR01741"</f>
        <v>OP-AR01741</v>
      </c>
      <c r="K2183" t="str">
        <f>"1039V321-001 WP321 - POWER 400VAC PDB TO ROTARY"</f>
        <v>1039V321-001 WP321 - POWER 400VAC PDB TO ROTARY</v>
      </c>
      <c r="L2183">
        <v>1</v>
      </c>
      <c r="M2183" t="str">
        <f>"יח"</f>
        <v>יח</v>
      </c>
      <c r="N2183">
        <v>1</v>
      </c>
      <c r="O2183" t="str">
        <f>"יח"</f>
        <v>יח</v>
      </c>
      <c r="P2183">
        <v>46.48</v>
      </c>
      <c r="Q2183" t="str">
        <f>"$"</f>
        <v>$</v>
      </c>
      <c r="R2183" t="str">
        <f>"ידני"</f>
        <v>ידני</v>
      </c>
      <c r="S2183">
        <v>0</v>
      </c>
      <c r="T2183">
        <v>46.48</v>
      </c>
      <c r="U2183">
        <v>0</v>
      </c>
      <c r="V2183">
        <v>46.48</v>
      </c>
      <c r="W2183" t="str">
        <f>"$"</f>
        <v>$</v>
      </c>
      <c r="X2183">
        <v>0</v>
      </c>
      <c r="Y2183">
        <v>0</v>
      </c>
      <c r="Z2183">
        <v>0</v>
      </c>
      <c r="AA2183" t="str">
        <f>"Y"</f>
        <v>Y</v>
      </c>
      <c r="AC2183">
        <v>0</v>
      </c>
      <c r="AM2183" t="str">
        <f>"10"</f>
        <v>10</v>
      </c>
      <c r="AN2183" t="str">
        <f>"500000"</f>
        <v>500000</v>
      </c>
      <c r="AO2183" t="str">
        <f>"הכנסות  מלקוחות"</f>
        <v>הכנסות  מלקוחות</v>
      </c>
      <c r="AP2183" t="str">
        <f>"Y"</f>
        <v>Y</v>
      </c>
      <c r="AQ2183" t="str">
        <f>"034"</f>
        <v>034</v>
      </c>
      <c r="AR2183">
        <v>0</v>
      </c>
      <c r="AS2183">
        <v>0</v>
      </c>
      <c r="AT2183">
        <v>3.3860000000000001</v>
      </c>
      <c r="BD2183" t="str">
        <f>"ערן שלו"</f>
        <v>ערן שלו</v>
      </c>
    </row>
    <row r="2184" spans="1:56" x14ac:dyDescent="0.3">
      <c r="A2184" s="1">
        <v>44452</v>
      </c>
      <c r="B2184" t="str">
        <f>"CR217000049"</f>
        <v>CR217000049</v>
      </c>
      <c r="C2184" t="str">
        <f>"PR20000348"</f>
        <v>PR20000348</v>
      </c>
      <c r="E2184" t="str">
        <f>"Y"</f>
        <v>Y</v>
      </c>
      <c r="F2184" t="str">
        <f>"חשבוניות זיכוי"</f>
        <v>חשבוניות זיכוי</v>
      </c>
      <c r="G2184" t="str">
        <f>"700065"</f>
        <v>700065</v>
      </c>
      <c r="H2184" t="str">
        <f>"אלתא מערכות בע""מ"</f>
        <v>אלתא מערכות בע"מ</v>
      </c>
      <c r="I2184" t="str">
        <f>"10"</f>
        <v>10</v>
      </c>
      <c r="J2184" t="str">
        <f>"OP-AR01753"</f>
        <v>OP-AR01753</v>
      </c>
      <c r="K2184" t="str">
        <f>"1039V355-001 WP355 - POWER PDB to LTSU and LOAD"</f>
        <v>1039V355-001 WP355 - POWER PDB to LTSU and LOAD</v>
      </c>
      <c r="L2184">
        <v>1</v>
      </c>
      <c r="M2184" t="str">
        <f>"יח"</f>
        <v>יח</v>
      </c>
      <c r="N2184">
        <v>1</v>
      </c>
      <c r="O2184" t="str">
        <f>"יח"</f>
        <v>יח</v>
      </c>
      <c r="P2184">
        <v>39.090000000000003</v>
      </c>
      <c r="Q2184" t="str">
        <f>"$"</f>
        <v>$</v>
      </c>
      <c r="R2184" t="str">
        <f>"ידני"</f>
        <v>ידני</v>
      </c>
      <c r="S2184">
        <v>0</v>
      </c>
      <c r="T2184">
        <v>39.090000000000003</v>
      </c>
      <c r="U2184">
        <v>0</v>
      </c>
      <c r="V2184">
        <v>39.090000000000003</v>
      </c>
      <c r="W2184" t="str">
        <f>"$"</f>
        <v>$</v>
      </c>
      <c r="X2184">
        <v>0</v>
      </c>
      <c r="Y2184">
        <v>0</v>
      </c>
      <c r="Z2184">
        <v>0</v>
      </c>
      <c r="AA2184" t="str">
        <f>"Y"</f>
        <v>Y</v>
      </c>
      <c r="AC2184">
        <v>0</v>
      </c>
      <c r="AM2184" t="str">
        <f>"10"</f>
        <v>10</v>
      </c>
      <c r="AN2184" t="str">
        <f>"500000"</f>
        <v>500000</v>
      </c>
      <c r="AO2184" t="str">
        <f>"הכנסות  מלקוחות"</f>
        <v>הכנסות  מלקוחות</v>
      </c>
      <c r="AP2184" t="str">
        <f>"Y"</f>
        <v>Y</v>
      </c>
      <c r="AQ2184" t="str">
        <f>"034"</f>
        <v>034</v>
      </c>
      <c r="AR2184">
        <v>0</v>
      </c>
      <c r="AS2184">
        <v>0</v>
      </c>
      <c r="AT2184">
        <v>3.3860000000000001</v>
      </c>
      <c r="BD2184" t="str">
        <f>"ערן שלו"</f>
        <v>ערן שלו</v>
      </c>
    </row>
    <row r="2185" spans="1:56" x14ac:dyDescent="0.3">
      <c r="A2185" s="1">
        <v>44452</v>
      </c>
      <c r="B2185" t="str">
        <f>"CR217000049"</f>
        <v>CR217000049</v>
      </c>
      <c r="C2185" t="str">
        <f>"PR20000348"</f>
        <v>PR20000348</v>
      </c>
      <c r="E2185" t="str">
        <f>"Y"</f>
        <v>Y</v>
      </c>
      <c r="F2185" t="str">
        <f>"חשבוניות זיכוי"</f>
        <v>חשבוניות זיכוי</v>
      </c>
      <c r="G2185" t="str">
        <f>"700065"</f>
        <v>700065</v>
      </c>
      <c r="H2185" t="str">
        <f>"אלתא מערכות בע""מ"</f>
        <v>אלתא מערכות בע"מ</v>
      </c>
      <c r="I2185" t="str">
        <f>"10"</f>
        <v>10</v>
      </c>
      <c r="J2185" t="str">
        <f>"OP-AR01756"</f>
        <v>OP-AR01756</v>
      </c>
      <c r="K2185" t="str">
        <f>"1036U457-001 WP457 - PWR PDB TO JACK BOX"</f>
        <v>1036U457-001 WP457 - PWR PDB TO JACK BOX</v>
      </c>
      <c r="L2185">
        <v>1</v>
      </c>
      <c r="M2185" t="str">
        <f>"יח"</f>
        <v>יח</v>
      </c>
      <c r="N2185">
        <v>1</v>
      </c>
      <c r="O2185" t="str">
        <f>"יח"</f>
        <v>יח</v>
      </c>
      <c r="P2185">
        <v>32.79</v>
      </c>
      <c r="Q2185" t="str">
        <f>"$"</f>
        <v>$</v>
      </c>
      <c r="R2185" t="str">
        <f>"ידני"</f>
        <v>ידני</v>
      </c>
      <c r="S2185">
        <v>0</v>
      </c>
      <c r="T2185">
        <v>32.79</v>
      </c>
      <c r="U2185">
        <v>0</v>
      </c>
      <c r="V2185">
        <v>32.79</v>
      </c>
      <c r="W2185" t="str">
        <f>"$"</f>
        <v>$</v>
      </c>
      <c r="X2185">
        <v>0</v>
      </c>
      <c r="Y2185">
        <v>0</v>
      </c>
      <c r="Z2185">
        <v>0</v>
      </c>
      <c r="AA2185" t="str">
        <f>"Y"</f>
        <v>Y</v>
      </c>
      <c r="AC2185">
        <v>0</v>
      </c>
      <c r="AM2185" t="str">
        <f>"10"</f>
        <v>10</v>
      </c>
      <c r="AN2185" t="str">
        <f>"500000"</f>
        <v>500000</v>
      </c>
      <c r="AO2185" t="str">
        <f>"הכנסות  מלקוחות"</f>
        <v>הכנסות  מלקוחות</v>
      </c>
      <c r="AP2185" t="str">
        <f>"Y"</f>
        <v>Y</v>
      </c>
      <c r="AQ2185" t="str">
        <f>"034"</f>
        <v>034</v>
      </c>
      <c r="AR2185">
        <v>0</v>
      </c>
      <c r="AS2185">
        <v>0</v>
      </c>
      <c r="AT2185">
        <v>3.3860000000000001</v>
      </c>
      <c r="BD2185" t="str">
        <f>"ערן שלו"</f>
        <v>ערן שלו</v>
      </c>
    </row>
    <row r="2186" spans="1:56" x14ac:dyDescent="0.3">
      <c r="A2186" s="1">
        <v>44452</v>
      </c>
      <c r="B2186" t="str">
        <f>"CR217000049"</f>
        <v>CR217000049</v>
      </c>
      <c r="C2186" t="str">
        <f>"PR20000348"</f>
        <v>PR20000348</v>
      </c>
      <c r="E2186" t="str">
        <f>"Y"</f>
        <v>Y</v>
      </c>
      <c r="F2186" t="str">
        <f>"חשבוניות זיכוי"</f>
        <v>חשבוניות זיכוי</v>
      </c>
      <c r="G2186" t="str">
        <f>"700065"</f>
        <v>700065</v>
      </c>
      <c r="H2186" t="str">
        <f>"אלתא מערכות בע""מ"</f>
        <v>אלתא מערכות בע"מ</v>
      </c>
      <c r="I2186" t="str">
        <f>"10"</f>
        <v>10</v>
      </c>
      <c r="J2186" t="str">
        <f>"OP-AR01791"</f>
        <v>OP-AR01791</v>
      </c>
      <c r="K2186" t="str">
        <f>"1037V768-001 WPG108 - BONDING STRAP MAIN COM PLA"</f>
        <v>1037V768-001 WPG108 - BONDING STRAP MAIN COM PLA</v>
      </c>
      <c r="L2186">
        <v>1</v>
      </c>
      <c r="M2186" t="str">
        <f>"יח"</f>
        <v>יח</v>
      </c>
      <c r="N2186">
        <v>1</v>
      </c>
      <c r="O2186" t="str">
        <f>"יח"</f>
        <v>יח</v>
      </c>
      <c r="P2186">
        <v>6.04</v>
      </c>
      <c r="Q2186" t="str">
        <f>"$"</f>
        <v>$</v>
      </c>
      <c r="R2186" t="str">
        <f>"ידני"</f>
        <v>ידני</v>
      </c>
      <c r="S2186">
        <v>0</v>
      </c>
      <c r="T2186">
        <v>6.04</v>
      </c>
      <c r="U2186">
        <v>0</v>
      </c>
      <c r="V2186">
        <v>6.04</v>
      </c>
      <c r="W2186" t="str">
        <f>"$"</f>
        <v>$</v>
      </c>
      <c r="X2186">
        <v>0</v>
      </c>
      <c r="Y2186">
        <v>0</v>
      </c>
      <c r="Z2186">
        <v>0</v>
      </c>
      <c r="AA2186" t="str">
        <f>"Y"</f>
        <v>Y</v>
      </c>
      <c r="AC2186">
        <v>0</v>
      </c>
      <c r="AM2186" t="str">
        <f>"10"</f>
        <v>10</v>
      </c>
      <c r="AN2186" t="str">
        <f>"500000"</f>
        <v>500000</v>
      </c>
      <c r="AO2186" t="str">
        <f>"הכנסות  מלקוחות"</f>
        <v>הכנסות  מלקוחות</v>
      </c>
      <c r="AP2186" t="str">
        <f>"Y"</f>
        <v>Y</v>
      </c>
      <c r="AQ2186" t="str">
        <f>"034"</f>
        <v>034</v>
      </c>
      <c r="AR2186">
        <v>0</v>
      </c>
      <c r="AS2186">
        <v>0</v>
      </c>
      <c r="AT2186">
        <v>3.3860000000000001</v>
      </c>
      <c r="BD2186" t="str">
        <f>"ערן שלו"</f>
        <v>ערן שלו</v>
      </c>
    </row>
    <row r="2187" spans="1:56" x14ac:dyDescent="0.3">
      <c r="A2187" s="1">
        <v>44452</v>
      </c>
      <c r="B2187" t="str">
        <f>"CR217000048"</f>
        <v>CR217000048</v>
      </c>
      <c r="C2187" t="str">
        <f>"PR20000348"</f>
        <v>PR20000348</v>
      </c>
      <c r="E2187" t="str">
        <f>"Y"</f>
        <v>Y</v>
      </c>
      <c r="F2187" t="str">
        <f>"חשבוניות זיכוי"</f>
        <v>חשבוניות זיכוי</v>
      </c>
      <c r="G2187" t="str">
        <f>"700065"</f>
        <v>700065</v>
      </c>
      <c r="H2187" t="str">
        <f>"אלתא מערכות בע""מ"</f>
        <v>אלתא מערכות בע"מ</v>
      </c>
      <c r="I2187" t="str">
        <f>"10"</f>
        <v>10</v>
      </c>
      <c r="J2187" t="str">
        <f>"OP-AR01736"</f>
        <v>OP-AR01736</v>
      </c>
      <c r="K2187" t="str">
        <f>"1039V358-001 WP358 - DATA AFT COMMAND TO LDE AND"</f>
        <v>1039V358-001 WP358 - DATA AFT COMMAND TO LDE AND</v>
      </c>
      <c r="L2187">
        <v>1</v>
      </c>
      <c r="M2187" t="str">
        <f>"יח"</f>
        <v>יח</v>
      </c>
      <c r="N2187">
        <v>1</v>
      </c>
      <c r="O2187" t="str">
        <f>"יח"</f>
        <v>יח</v>
      </c>
      <c r="P2187">
        <v>24.75</v>
      </c>
      <c r="Q2187" t="str">
        <f>"$"</f>
        <v>$</v>
      </c>
      <c r="R2187" t="str">
        <f>"ידני"</f>
        <v>ידני</v>
      </c>
      <c r="S2187">
        <v>0</v>
      </c>
      <c r="T2187">
        <v>24.75</v>
      </c>
      <c r="U2187">
        <v>0</v>
      </c>
      <c r="V2187">
        <v>24.75</v>
      </c>
      <c r="W2187" t="str">
        <f>"$"</f>
        <v>$</v>
      </c>
      <c r="X2187">
        <v>0</v>
      </c>
      <c r="Y2187">
        <v>0</v>
      </c>
      <c r="Z2187">
        <v>0</v>
      </c>
      <c r="AA2187" t="str">
        <f>"Y"</f>
        <v>Y</v>
      </c>
      <c r="AC2187">
        <v>0</v>
      </c>
      <c r="AM2187" t="str">
        <f>"10"</f>
        <v>10</v>
      </c>
      <c r="AN2187" t="str">
        <f>"500000"</f>
        <v>500000</v>
      </c>
      <c r="AO2187" t="str">
        <f>"הכנסות  מלקוחות"</f>
        <v>הכנסות  מלקוחות</v>
      </c>
      <c r="AP2187" t="str">
        <f>"Y"</f>
        <v>Y</v>
      </c>
      <c r="AQ2187" t="str">
        <f>"034"</f>
        <v>034</v>
      </c>
      <c r="AR2187">
        <v>0</v>
      </c>
      <c r="AS2187">
        <v>0</v>
      </c>
      <c r="AT2187">
        <v>3.3559999999999999</v>
      </c>
      <c r="BD2187" t="str">
        <f>"ערן שלו"</f>
        <v>ערן שלו</v>
      </c>
    </row>
    <row r="2188" spans="1:56" x14ac:dyDescent="0.3">
      <c r="A2188" s="1">
        <v>44452</v>
      </c>
      <c r="B2188" t="str">
        <f>"CR217000048"</f>
        <v>CR217000048</v>
      </c>
      <c r="C2188" t="str">
        <f>"PR20000348"</f>
        <v>PR20000348</v>
      </c>
      <c r="E2188" t="str">
        <f>"Y"</f>
        <v>Y</v>
      </c>
      <c r="F2188" t="str">
        <f>"חשבוניות זיכוי"</f>
        <v>חשבוניות זיכוי</v>
      </c>
      <c r="G2188" t="str">
        <f>"700065"</f>
        <v>700065</v>
      </c>
      <c r="H2188" t="str">
        <f>"אלתא מערכות בע""מ"</f>
        <v>אלתא מערכות בע"מ</v>
      </c>
      <c r="I2188" t="str">
        <f>"10"</f>
        <v>10</v>
      </c>
      <c r="J2188" t="str">
        <f>"OP-AR01758"</f>
        <v>OP-AR01758</v>
      </c>
      <c r="K2188" t="str">
        <f>"1039V368-001 WP368 - CONTROL LDE TO LEFT FRONT J"</f>
        <v>1039V368-001 WP368 - CONTROL LDE TO LEFT FRONT J</v>
      </c>
      <c r="L2188">
        <v>1</v>
      </c>
      <c r="M2188" t="str">
        <f>"יח"</f>
        <v>יח</v>
      </c>
      <c r="N2188">
        <v>1</v>
      </c>
      <c r="O2188" t="str">
        <f>"יח"</f>
        <v>יח</v>
      </c>
      <c r="P2188">
        <v>45.16</v>
      </c>
      <c r="Q2188" t="str">
        <f>"$"</f>
        <v>$</v>
      </c>
      <c r="R2188" t="str">
        <f>"ידני"</f>
        <v>ידני</v>
      </c>
      <c r="S2188">
        <v>0</v>
      </c>
      <c r="T2188">
        <v>45.16</v>
      </c>
      <c r="U2188">
        <v>0</v>
      </c>
      <c r="V2188">
        <v>45.16</v>
      </c>
      <c r="W2188" t="str">
        <f>"$"</f>
        <v>$</v>
      </c>
      <c r="X2188">
        <v>0</v>
      </c>
      <c r="Y2188">
        <v>0</v>
      </c>
      <c r="Z2188">
        <v>0</v>
      </c>
      <c r="AA2188" t="str">
        <f>"Y"</f>
        <v>Y</v>
      </c>
      <c r="AC2188">
        <v>0</v>
      </c>
      <c r="AM2188" t="str">
        <f>"10"</f>
        <v>10</v>
      </c>
      <c r="AN2188" t="str">
        <f>"500000"</f>
        <v>500000</v>
      </c>
      <c r="AO2188" t="str">
        <f>"הכנסות  מלקוחות"</f>
        <v>הכנסות  מלקוחות</v>
      </c>
      <c r="AP2188" t="str">
        <f>"Y"</f>
        <v>Y</v>
      </c>
      <c r="AQ2188" t="str">
        <f>"034"</f>
        <v>034</v>
      </c>
      <c r="AR2188">
        <v>0</v>
      </c>
      <c r="AS2188">
        <v>0</v>
      </c>
      <c r="AT2188">
        <v>3.3559999999999999</v>
      </c>
      <c r="BD2188" t="str">
        <f>"ערן שלו"</f>
        <v>ערן שלו</v>
      </c>
    </row>
    <row r="2189" spans="1:56" x14ac:dyDescent="0.3">
      <c r="A2189" s="1">
        <v>44452</v>
      </c>
      <c r="B2189" t="str">
        <f>"CR217000048"</f>
        <v>CR217000048</v>
      </c>
      <c r="C2189" t="str">
        <f>"PR20000348"</f>
        <v>PR20000348</v>
      </c>
      <c r="E2189" t="str">
        <f>"Y"</f>
        <v>Y</v>
      </c>
      <c r="F2189" t="str">
        <f>"חשבוניות זיכוי"</f>
        <v>חשבוניות זיכוי</v>
      </c>
      <c r="G2189" t="str">
        <f>"700065"</f>
        <v>700065</v>
      </c>
      <c r="H2189" t="str">
        <f>"אלתא מערכות בע""מ"</f>
        <v>אלתא מערכות בע"מ</v>
      </c>
      <c r="I2189" t="str">
        <f>"10"</f>
        <v>10</v>
      </c>
      <c r="J2189" t="str">
        <f>"OP-AR01768"</f>
        <v>OP-AR01768</v>
      </c>
      <c r="K2189" t="str">
        <f>"1036U410-001 WP440 - CONTROL MEB TO PEDPNL AND S"</f>
        <v>1036U410-001 WP440 - CONTROL MEB TO PEDPNL AND S</v>
      </c>
      <c r="L2189">
        <v>1</v>
      </c>
      <c r="M2189" t="str">
        <f>"יח"</f>
        <v>יח</v>
      </c>
      <c r="N2189">
        <v>1</v>
      </c>
      <c r="O2189" t="str">
        <f>"יח"</f>
        <v>יח</v>
      </c>
      <c r="P2189">
        <v>58.91</v>
      </c>
      <c r="Q2189" t="str">
        <f>"$"</f>
        <v>$</v>
      </c>
      <c r="R2189" t="str">
        <f>"ידני"</f>
        <v>ידני</v>
      </c>
      <c r="S2189">
        <v>0</v>
      </c>
      <c r="T2189">
        <v>58.91</v>
      </c>
      <c r="U2189">
        <v>0</v>
      </c>
      <c r="V2189">
        <v>58.91</v>
      </c>
      <c r="W2189" t="str">
        <f>"$"</f>
        <v>$</v>
      </c>
      <c r="X2189">
        <v>0</v>
      </c>
      <c r="Y2189">
        <v>0</v>
      </c>
      <c r="Z2189">
        <v>0</v>
      </c>
      <c r="AA2189" t="str">
        <f>"Y"</f>
        <v>Y</v>
      </c>
      <c r="AC2189">
        <v>0</v>
      </c>
      <c r="AM2189" t="str">
        <f>"10"</f>
        <v>10</v>
      </c>
      <c r="AN2189" t="str">
        <f>"500000"</f>
        <v>500000</v>
      </c>
      <c r="AO2189" t="str">
        <f>"הכנסות  מלקוחות"</f>
        <v>הכנסות  מלקוחות</v>
      </c>
      <c r="AP2189" t="str">
        <f>"Y"</f>
        <v>Y</v>
      </c>
      <c r="AQ2189" t="str">
        <f>"034"</f>
        <v>034</v>
      </c>
      <c r="AR2189">
        <v>0</v>
      </c>
      <c r="AS2189">
        <v>0</v>
      </c>
      <c r="AT2189">
        <v>3.3559999999999999</v>
      </c>
      <c r="BD2189" t="str">
        <f>"ערן שלו"</f>
        <v>ערן שלו</v>
      </c>
    </row>
    <row r="2190" spans="1:56" x14ac:dyDescent="0.3">
      <c r="A2190" s="1">
        <v>44452</v>
      </c>
      <c r="B2190" t="str">
        <f>"CR217000048"</f>
        <v>CR217000048</v>
      </c>
      <c r="C2190" t="str">
        <f>"PR20000348"</f>
        <v>PR20000348</v>
      </c>
      <c r="E2190" t="str">
        <f>"Y"</f>
        <v>Y</v>
      </c>
      <c r="F2190" t="str">
        <f>"חשבוניות זיכוי"</f>
        <v>חשבוניות זיכוי</v>
      </c>
      <c r="G2190" t="str">
        <f>"700065"</f>
        <v>700065</v>
      </c>
      <c r="H2190" t="str">
        <f>"אלתא מערכות בע""מ"</f>
        <v>אלתא מערכות בע"מ</v>
      </c>
      <c r="I2190" t="str">
        <f>"10"</f>
        <v>10</v>
      </c>
      <c r="J2190" t="str">
        <f>"OP-AR01769"</f>
        <v>OP-AR01769</v>
      </c>
      <c r="K2190" t="str">
        <f>"1036U403-001 WP433 - MEB AZ/EL MOTORS"</f>
        <v>1036U403-001 WP433 - MEB AZ/EL MOTORS</v>
      </c>
      <c r="L2190">
        <v>1</v>
      </c>
      <c r="M2190" t="str">
        <f>"יח"</f>
        <v>יח</v>
      </c>
      <c r="N2190">
        <v>1</v>
      </c>
      <c r="O2190" t="str">
        <f>"יח"</f>
        <v>יח</v>
      </c>
      <c r="P2190">
        <v>35.15</v>
      </c>
      <c r="Q2190" t="str">
        <f>"$"</f>
        <v>$</v>
      </c>
      <c r="R2190" t="str">
        <f>"ידני"</f>
        <v>ידני</v>
      </c>
      <c r="S2190">
        <v>0</v>
      </c>
      <c r="T2190">
        <v>35.15</v>
      </c>
      <c r="U2190">
        <v>0</v>
      </c>
      <c r="V2190">
        <v>35.15</v>
      </c>
      <c r="W2190" t="str">
        <f>"$"</f>
        <v>$</v>
      </c>
      <c r="X2190">
        <v>0</v>
      </c>
      <c r="Y2190">
        <v>0</v>
      </c>
      <c r="Z2190">
        <v>0</v>
      </c>
      <c r="AA2190" t="str">
        <f>"Y"</f>
        <v>Y</v>
      </c>
      <c r="AC2190">
        <v>0</v>
      </c>
      <c r="AM2190" t="str">
        <f>"10"</f>
        <v>10</v>
      </c>
      <c r="AN2190" t="str">
        <f>"500000"</f>
        <v>500000</v>
      </c>
      <c r="AO2190" t="str">
        <f>"הכנסות  מלקוחות"</f>
        <v>הכנסות  מלקוחות</v>
      </c>
      <c r="AP2190" t="str">
        <f>"Y"</f>
        <v>Y</v>
      </c>
      <c r="AQ2190" t="str">
        <f>"034"</f>
        <v>034</v>
      </c>
      <c r="AR2190">
        <v>0</v>
      </c>
      <c r="AS2190">
        <v>0</v>
      </c>
      <c r="AT2190">
        <v>3.3559999999999999</v>
      </c>
      <c r="BD2190" t="str">
        <f>"ערן שלו"</f>
        <v>ערן שלו</v>
      </c>
    </row>
    <row r="2191" spans="1:56" x14ac:dyDescent="0.3">
      <c r="A2191" s="1">
        <v>44452</v>
      </c>
      <c r="B2191" t="str">
        <f>"CR217000048"</f>
        <v>CR217000048</v>
      </c>
      <c r="C2191" t="str">
        <f>"PR20000348"</f>
        <v>PR20000348</v>
      </c>
      <c r="E2191" t="str">
        <f>"Y"</f>
        <v>Y</v>
      </c>
      <c r="F2191" t="str">
        <f>"חשבוניות זיכוי"</f>
        <v>חשבוניות זיכוי</v>
      </c>
      <c r="G2191" t="str">
        <f>"700065"</f>
        <v>700065</v>
      </c>
      <c r="H2191" t="str">
        <f>"אלתא מערכות בע""מ"</f>
        <v>אלתא מערכות בע"מ</v>
      </c>
      <c r="I2191" t="str">
        <f>"10"</f>
        <v>10</v>
      </c>
      <c r="J2191" t="str">
        <f>"OP-AR01772"</f>
        <v>OP-AR01772</v>
      </c>
      <c r="K2191" t="str">
        <f>"1039V364-001 WP364 - CONTROL LDE TO LEFT REAR JA"</f>
        <v>1039V364-001 WP364 - CONTROL LDE TO LEFT REAR JA</v>
      </c>
      <c r="L2191">
        <v>1</v>
      </c>
      <c r="M2191" t="str">
        <f>"יח"</f>
        <v>יח</v>
      </c>
      <c r="N2191">
        <v>1</v>
      </c>
      <c r="O2191" t="str">
        <f>"יח"</f>
        <v>יח</v>
      </c>
      <c r="P2191">
        <v>34.9</v>
      </c>
      <c r="Q2191" t="str">
        <f>"$"</f>
        <v>$</v>
      </c>
      <c r="R2191" t="str">
        <f>"ידני"</f>
        <v>ידני</v>
      </c>
      <c r="S2191">
        <v>0</v>
      </c>
      <c r="T2191">
        <v>34.9</v>
      </c>
      <c r="U2191">
        <v>0</v>
      </c>
      <c r="V2191">
        <v>34.9</v>
      </c>
      <c r="W2191" t="str">
        <f>"$"</f>
        <v>$</v>
      </c>
      <c r="X2191">
        <v>0</v>
      </c>
      <c r="Y2191">
        <v>0</v>
      </c>
      <c r="Z2191">
        <v>0</v>
      </c>
      <c r="AA2191" t="str">
        <f>"Y"</f>
        <v>Y</v>
      </c>
      <c r="AC2191">
        <v>0</v>
      </c>
      <c r="AM2191" t="str">
        <f>"10"</f>
        <v>10</v>
      </c>
      <c r="AN2191" t="str">
        <f>"500000"</f>
        <v>500000</v>
      </c>
      <c r="AO2191" t="str">
        <f>"הכנסות  מלקוחות"</f>
        <v>הכנסות  מלקוחות</v>
      </c>
      <c r="AP2191" t="str">
        <f>"Y"</f>
        <v>Y</v>
      </c>
      <c r="AQ2191" t="str">
        <f>"034"</f>
        <v>034</v>
      </c>
      <c r="AR2191">
        <v>0</v>
      </c>
      <c r="AS2191">
        <v>0</v>
      </c>
      <c r="AT2191">
        <v>3.3559999999999999</v>
      </c>
      <c r="BD2191" t="str">
        <f>"ערן שלו"</f>
        <v>ערן שלו</v>
      </c>
    </row>
    <row r="2192" spans="1:56" x14ac:dyDescent="0.3">
      <c r="A2192" s="1">
        <v>44452</v>
      </c>
      <c r="B2192" t="str">
        <f>"CR217000048"</f>
        <v>CR217000048</v>
      </c>
      <c r="C2192" t="str">
        <f>"PR20000348"</f>
        <v>PR20000348</v>
      </c>
      <c r="E2192" t="str">
        <f>"Y"</f>
        <v>Y</v>
      </c>
      <c r="F2192" t="str">
        <f>"חשבוניות זיכוי"</f>
        <v>חשבוניות זיכוי</v>
      </c>
      <c r="G2192" t="str">
        <f>"700065"</f>
        <v>700065</v>
      </c>
      <c r="H2192" t="str">
        <f>"אלתא מערכות בע""מ"</f>
        <v>אלתא מערכות בע"מ</v>
      </c>
      <c r="I2192" t="str">
        <f>"10"</f>
        <v>10</v>
      </c>
      <c r="J2192" t="str">
        <f>"OP-AR01781"</f>
        <v>OP-AR01781</v>
      </c>
      <c r="K2192" t="str">
        <f>"1036U472-001 WP472 - PYLON RIGHT SW2"</f>
        <v>1036U472-001 WP472 - PYLON RIGHT SW2</v>
      </c>
      <c r="L2192">
        <v>1</v>
      </c>
      <c r="M2192" t="str">
        <f>"יח"</f>
        <v>יח</v>
      </c>
      <c r="N2192">
        <v>1</v>
      </c>
      <c r="O2192" t="str">
        <f>"יח"</f>
        <v>יח</v>
      </c>
      <c r="P2192">
        <v>54.8</v>
      </c>
      <c r="Q2192" t="str">
        <f>"$"</f>
        <v>$</v>
      </c>
      <c r="R2192" t="str">
        <f>"ידני"</f>
        <v>ידני</v>
      </c>
      <c r="S2192">
        <v>0</v>
      </c>
      <c r="T2192">
        <v>54.8</v>
      </c>
      <c r="U2192">
        <v>0</v>
      </c>
      <c r="V2192">
        <v>54.8</v>
      </c>
      <c r="W2192" t="str">
        <f>"$"</f>
        <v>$</v>
      </c>
      <c r="X2192">
        <v>0</v>
      </c>
      <c r="Y2192">
        <v>0</v>
      </c>
      <c r="Z2192">
        <v>0</v>
      </c>
      <c r="AA2192" t="str">
        <f>"Y"</f>
        <v>Y</v>
      </c>
      <c r="AC2192">
        <v>0</v>
      </c>
      <c r="AM2192" t="str">
        <f>"10"</f>
        <v>10</v>
      </c>
      <c r="AN2192" t="str">
        <f>"500000"</f>
        <v>500000</v>
      </c>
      <c r="AO2192" t="str">
        <f>"הכנסות  מלקוחות"</f>
        <v>הכנסות  מלקוחות</v>
      </c>
      <c r="AP2192" t="str">
        <f>"Y"</f>
        <v>Y</v>
      </c>
      <c r="AQ2192" t="str">
        <f>"034"</f>
        <v>034</v>
      </c>
      <c r="AR2192">
        <v>0</v>
      </c>
      <c r="AS2192">
        <v>0</v>
      </c>
      <c r="AT2192">
        <v>3.3559999999999999</v>
      </c>
      <c r="BD2192" t="str">
        <f>"ערן שלו"</f>
        <v>ערן שלו</v>
      </c>
    </row>
    <row r="2193" spans="1:56" x14ac:dyDescent="0.3">
      <c r="A2193" s="1">
        <v>44452</v>
      </c>
      <c r="B2193" t="str">
        <f>"CR217000047"</f>
        <v>CR217000047</v>
      </c>
      <c r="C2193" t="str">
        <f>"PR20000485"</f>
        <v>PR20000485</v>
      </c>
      <c r="E2193" t="str">
        <f>"Y"</f>
        <v>Y</v>
      </c>
      <c r="F2193" t="str">
        <f>"חשבוניות זיכוי"</f>
        <v>חשבוניות זיכוי</v>
      </c>
      <c r="G2193" t="str">
        <f>"700065"</f>
        <v>700065</v>
      </c>
      <c r="H2193" t="str">
        <f>"אלתא מערכות בע""מ"</f>
        <v>אלתא מערכות בע"מ</v>
      </c>
      <c r="I2193" t="str">
        <f>"10"</f>
        <v>10</v>
      </c>
      <c r="J2193" t="str">
        <f>"OP-AR01873"</f>
        <v>OP-AR01873</v>
      </c>
      <c r="K2193" t="str">
        <f>"1032Y073-001  -  HARNESS W1073"</f>
        <v>1032Y073-001  -  HARNESS W1073</v>
      </c>
      <c r="L2193">
        <v>1</v>
      </c>
      <c r="M2193" t="str">
        <f>"יח"</f>
        <v>יח</v>
      </c>
      <c r="N2193">
        <v>1</v>
      </c>
      <c r="O2193" t="str">
        <f>"יח"</f>
        <v>יח</v>
      </c>
      <c r="P2193">
        <v>63.84</v>
      </c>
      <c r="Q2193" t="str">
        <f>"$"</f>
        <v>$</v>
      </c>
      <c r="R2193" t="str">
        <f>"ידני"</f>
        <v>ידני</v>
      </c>
      <c r="S2193">
        <v>0</v>
      </c>
      <c r="T2193">
        <v>63.84</v>
      </c>
      <c r="U2193">
        <v>0</v>
      </c>
      <c r="V2193">
        <v>63.84</v>
      </c>
      <c r="W2193" t="str">
        <f>"$"</f>
        <v>$</v>
      </c>
      <c r="X2193">
        <v>0</v>
      </c>
      <c r="Y2193">
        <v>0</v>
      </c>
      <c r="Z2193">
        <v>0</v>
      </c>
      <c r="AA2193" t="str">
        <f>"Y"</f>
        <v>Y</v>
      </c>
      <c r="AC2193">
        <v>0</v>
      </c>
      <c r="AM2193" t="str">
        <f>"10"</f>
        <v>10</v>
      </c>
      <c r="AN2193" t="str">
        <f>"500000"</f>
        <v>500000</v>
      </c>
      <c r="AO2193" t="str">
        <f>"הכנסות  מלקוחות"</f>
        <v>הכנסות  מלקוחות</v>
      </c>
      <c r="AP2193" t="str">
        <f>"Y"</f>
        <v>Y</v>
      </c>
      <c r="AQ2193" t="str">
        <f>"034"</f>
        <v>034</v>
      </c>
      <c r="AR2193">
        <v>0</v>
      </c>
      <c r="AS2193">
        <v>0</v>
      </c>
      <c r="AT2193">
        <v>3.2890000000000001</v>
      </c>
      <c r="BD2193" t="str">
        <f>"ערן שלו"</f>
        <v>ערן שלו</v>
      </c>
    </row>
    <row r="2194" spans="1:56" x14ac:dyDescent="0.3">
      <c r="A2194" s="1">
        <v>44452</v>
      </c>
      <c r="B2194" t="str">
        <f>"CR217000047"</f>
        <v>CR217000047</v>
      </c>
      <c r="C2194" t="str">
        <f>"PR20000485"</f>
        <v>PR20000485</v>
      </c>
      <c r="E2194" t="str">
        <f>"Y"</f>
        <v>Y</v>
      </c>
      <c r="F2194" t="str">
        <f>"חשבוניות זיכוי"</f>
        <v>חשבוניות זיכוי</v>
      </c>
      <c r="G2194" t="str">
        <f>"700065"</f>
        <v>700065</v>
      </c>
      <c r="H2194" t="str">
        <f>"אלתא מערכות בע""מ"</f>
        <v>אלתא מערכות בע"מ</v>
      </c>
      <c r="I2194" t="str">
        <f>"10"</f>
        <v>10</v>
      </c>
      <c r="J2194" t="str">
        <f>"OP-AR01874"</f>
        <v>OP-AR01874</v>
      </c>
      <c r="K2194" t="str">
        <f>"1031W783-001  -  LAB CABLE ASSY W20"</f>
        <v>1031W783-001  -  LAB CABLE ASSY W20</v>
      </c>
      <c r="L2194">
        <v>1</v>
      </c>
      <c r="M2194" t="str">
        <f>"יח"</f>
        <v>יח</v>
      </c>
      <c r="N2194">
        <v>1</v>
      </c>
      <c r="O2194" t="str">
        <f>"יח"</f>
        <v>יח</v>
      </c>
      <c r="P2194">
        <v>34.01</v>
      </c>
      <c r="Q2194" t="str">
        <f>"$"</f>
        <v>$</v>
      </c>
      <c r="R2194" t="str">
        <f>"ידני"</f>
        <v>ידני</v>
      </c>
      <c r="S2194">
        <v>0</v>
      </c>
      <c r="T2194">
        <v>34.01</v>
      </c>
      <c r="U2194">
        <v>0</v>
      </c>
      <c r="V2194">
        <v>34.01</v>
      </c>
      <c r="W2194" t="str">
        <f>"$"</f>
        <v>$</v>
      </c>
      <c r="X2194">
        <v>0</v>
      </c>
      <c r="Y2194">
        <v>0</v>
      </c>
      <c r="Z2194">
        <v>0</v>
      </c>
      <c r="AA2194" t="str">
        <f>"Y"</f>
        <v>Y</v>
      </c>
      <c r="AC2194">
        <v>0</v>
      </c>
      <c r="AM2194" t="str">
        <f>"10"</f>
        <v>10</v>
      </c>
      <c r="AN2194" t="str">
        <f>"500000"</f>
        <v>500000</v>
      </c>
      <c r="AO2194" t="str">
        <f>"הכנסות  מלקוחות"</f>
        <v>הכנסות  מלקוחות</v>
      </c>
      <c r="AP2194" t="str">
        <f>"Y"</f>
        <v>Y</v>
      </c>
      <c r="AQ2194" t="str">
        <f>"034"</f>
        <v>034</v>
      </c>
      <c r="AR2194">
        <v>0</v>
      </c>
      <c r="AS2194">
        <v>0</v>
      </c>
      <c r="AT2194">
        <v>3.2890000000000001</v>
      </c>
      <c r="BD2194" t="str">
        <f>"ערן שלו"</f>
        <v>ערן שלו</v>
      </c>
    </row>
    <row r="2195" spans="1:56" x14ac:dyDescent="0.3">
      <c r="A2195" s="1">
        <v>44452</v>
      </c>
      <c r="B2195" t="str">
        <f>"CR217000047"</f>
        <v>CR217000047</v>
      </c>
      <c r="C2195" t="str">
        <f>"PR20000485"</f>
        <v>PR20000485</v>
      </c>
      <c r="E2195" t="str">
        <f>"Y"</f>
        <v>Y</v>
      </c>
      <c r="F2195" t="str">
        <f>"חשבוניות זיכוי"</f>
        <v>חשבוניות זיכוי</v>
      </c>
      <c r="G2195" t="str">
        <f>"700065"</f>
        <v>700065</v>
      </c>
      <c r="H2195" t="str">
        <f>"אלתא מערכות בע""מ"</f>
        <v>אלתא מערכות בע"מ</v>
      </c>
      <c r="I2195" t="str">
        <f>"10"</f>
        <v>10</v>
      </c>
      <c r="J2195" t="str">
        <f>"OP-AR01875"</f>
        <v>OP-AR01875</v>
      </c>
      <c r="K2195" t="str">
        <f>"1032Y063-001  -  HARNESS W1063"</f>
        <v>1032Y063-001  -  HARNESS W1063</v>
      </c>
      <c r="L2195">
        <v>1</v>
      </c>
      <c r="M2195" t="str">
        <f>"יח"</f>
        <v>יח</v>
      </c>
      <c r="N2195">
        <v>1</v>
      </c>
      <c r="O2195" t="str">
        <f>"יח"</f>
        <v>יח</v>
      </c>
      <c r="P2195">
        <v>36.659999999999997</v>
      </c>
      <c r="Q2195" t="str">
        <f>"$"</f>
        <v>$</v>
      </c>
      <c r="R2195" t="str">
        <f>"ידני"</f>
        <v>ידני</v>
      </c>
      <c r="S2195">
        <v>0</v>
      </c>
      <c r="T2195">
        <v>36.659999999999997</v>
      </c>
      <c r="U2195">
        <v>0</v>
      </c>
      <c r="V2195">
        <v>36.659999999999997</v>
      </c>
      <c r="W2195" t="str">
        <f>"$"</f>
        <v>$</v>
      </c>
      <c r="X2195">
        <v>0</v>
      </c>
      <c r="Y2195">
        <v>0</v>
      </c>
      <c r="Z2195">
        <v>0</v>
      </c>
      <c r="AA2195" t="str">
        <f>"Y"</f>
        <v>Y</v>
      </c>
      <c r="AC2195">
        <v>0</v>
      </c>
      <c r="AM2195" t="str">
        <f>"10"</f>
        <v>10</v>
      </c>
      <c r="AN2195" t="str">
        <f>"500000"</f>
        <v>500000</v>
      </c>
      <c r="AO2195" t="str">
        <f>"הכנסות  מלקוחות"</f>
        <v>הכנסות  מלקוחות</v>
      </c>
      <c r="AP2195" t="str">
        <f>"Y"</f>
        <v>Y</v>
      </c>
      <c r="AQ2195" t="str">
        <f>"034"</f>
        <v>034</v>
      </c>
      <c r="AR2195">
        <v>0</v>
      </c>
      <c r="AS2195">
        <v>0</v>
      </c>
      <c r="AT2195">
        <v>3.2890000000000001</v>
      </c>
      <c r="BD2195" t="str">
        <f>"ערן שלו"</f>
        <v>ערן שלו</v>
      </c>
    </row>
    <row r="2196" spans="1:56" x14ac:dyDescent="0.3">
      <c r="A2196" s="1">
        <v>44452</v>
      </c>
      <c r="B2196" t="str">
        <f>"CR217000047"</f>
        <v>CR217000047</v>
      </c>
      <c r="C2196" t="str">
        <f>"PR20000485"</f>
        <v>PR20000485</v>
      </c>
      <c r="E2196" t="str">
        <f>"Y"</f>
        <v>Y</v>
      </c>
      <c r="F2196" t="str">
        <f>"חשבוניות זיכוי"</f>
        <v>חשבוניות זיכוי</v>
      </c>
      <c r="G2196" t="str">
        <f>"700065"</f>
        <v>700065</v>
      </c>
      <c r="H2196" t="str">
        <f>"אלתא מערכות בע""מ"</f>
        <v>אלתא מערכות בע"מ</v>
      </c>
      <c r="I2196" t="str">
        <f>"10"</f>
        <v>10</v>
      </c>
      <c r="J2196" t="str">
        <f>"OP-AR01878"</f>
        <v>OP-AR01878</v>
      </c>
      <c r="K2196" t="str">
        <f>"1031A592-001  -  CU FINAL CONTROL CBL"</f>
        <v>1031A592-001  -  CU FINAL CONTROL CBL</v>
      </c>
      <c r="L2196">
        <v>1</v>
      </c>
      <c r="M2196" t="str">
        <f>"יח"</f>
        <v>יח</v>
      </c>
      <c r="N2196">
        <v>1</v>
      </c>
      <c r="O2196" t="str">
        <f>"יח"</f>
        <v>יח</v>
      </c>
      <c r="P2196">
        <v>59.08</v>
      </c>
      <c r="Q2196" t="str">
        <f>"$"</f>
        <v>$</v>
      </c>
      <c r="R2196" t="str">
        <f>"ידני"</f>
        <v>ידני</v>
      </c>
      <c r="S2196">
        <v>0</v>
      </c>
      <c r="T2196">
        <v>59.08</v>
      </c>
      <c r="U2196">
        <v>0</v>
      </c>
      <c r="V2196">
        <v>59.08</v>
      </c>
      <c r="W2196" t="str">
        <f>"$"</f>
        <v>$</v>
      </c>
      <c r="X2196">
        <v>0</v>
      </c>
      <c r="Y2196">
        <v>0</v>
      </c>
      <c r="Z2196">
        <v>0</v>
      </c>
      <c r="AA2196" t="str">
        <f>"Y"</f>
        <v>Y</v>
      </c>
      <c r="AC2196">
        <v>0</v>
      </c>
      <c r="AM2196" t="str">
        <f>"10"</f>
        <v>10</v>
      </c>
      <c r="AN2196" t="str">
        <f>"500000"</f>
        <v>500000</v>
      </c>
      <c r="AO2196" t="str">
        <f>"הכנסות  מלקוחות"</f>
        <v>הכנסות  מלקוחות</v>
      </c>
      <c r="AP2196" t="str">
        <f>"Y"</f>
        <v>Y</v>
      </c>
      <c r="AQ2196" t="str">
        <f>"034"</f>
        <v>034</v>
      </c>
      <c r="AR2196">
        <v>0</v>
      </c>
      <c r="AS2196">
        <v>0</v>
      </c>
      <c r="AT2196">
        <v>3.2890000000000001</v>
      </c>
      <c r="BD2196" t="str">
        <f>"ערן שלו"</f>
        <v>ערן שלו</v>
      </c>
    </row>
    <row r="2197" spans="1:56" x14ac:dyDescent="0.3">
      <c r="A2197" s="1">
        <v>44452</v>
      </c>
      <c r="B2197" t="str">
        <f>"CR217000046"</f>
        <v>CR217000046</v>
      </c>
      <c r="C2197" t="str">
        <f>"PR20000570"</f>
        <v>PR20000570</v>
      </c>
      <c r="E2197" t="str">
        <f>"Y"</f>
        <v>Y</v>
      </c>
      <c r="F2197" t="str">
        <f>"חשבוניות זיכוי"</f>
        <v>חשבוניות זיכוי</v>
      </c>
      <c r="G2197" t="str">
        <f>"700065"</f>
        <v>700065</v>
      </c>
      <c r="H2197" t="str">
        <f>"אלתא מערכות בע""מ"</f>
        <v>אלתא מערכות בע"מ</v>
      </c>
      <c r="I2197" t="str">
        <f>"10"</f>
        <v>10</v>
      </c>
      <c r="J2197" t="str">
        <f>"OP-AR01655"</f>
        <v>OP-AR01655</v>
      </c>
      <c r="K2197" t="str">
        <f>"1041G354-001 W354 - PWR FROM SHELTER TO ANT UNIT"</f>
        <v>1041G354-001 W354 - PWR FROM SHELTER TO ANT UNIT</v>
      </c>
      <c r="L2197">
        <v>1</v>
      </c>
      <c r="M2197" t="str">
        <f>"יח"</f>
        <v>יח</v>
      </c>
      <c r="N2197">
        <v>1</v>
      </c>
      <c r="O2197" t="str">
        <f>"יח"</f>
        <v>יח</v>
      </c>
      <c r="P2197">
        <v>16.93</v>
      </c>
      <c r="Q2197" t="str">
        <f>"$"</f>
        <v>$</v>
      </c>
      <c r="R2197" t="str">
        <f>"ידני"</f>
        <v>ידני</v>
      </c>
      <c r="S2197">
        <v>0</v>
      </c>
      <c r="T2197">
        <v>16.93</v>
      </c>
      <c r="U2197">
        <v>0</v>
      </c>
      <c r="V2197">
        <v>16.93</v>
      </c>
      <c r="W2197" t="str">
        <f>"$"</f>
        <v>$</v>
      </c>
      <c r="X2197">
        <v>0</v>
      </c>
      <c r="Y2197">
        <v>0</v>
      </c>
      <c r="Z2197">
        <v>0</v>
      </c>
      <c r="AA2197" t="str">
        <f>"Y"</f>
        <v>Y</v>
      </c>
      <c r="AC2197">
        <v>0</v>
      </c>
      <c r="AM2197" t="str">
        <f>"10"</f>
        <v>10</v>
      </c>
      <c r="AN2197" t="str">
        <f>"500000"</f>
        <v>500000</v>
      </c>
      <c r="AO2197" t="str">
        <f>"הכנסות  מלקוחות"</f>
        <v>הכנסות  מלקוחות</v>
      </c>
      <c r="AP2197" t="str">
        <f>"Y"</f>
        <v>Y</v>
      </c>
      <c r="AQ2197" t="str">
        <f>"034"</f>
        <v>034</v>
      </c>
      <c r="AR2197">
        <v>0</v>
      </c>
      <c r="AS2197">
        <v>0</v>
      </c>
      <c r="AT2197">
        <v>3.222</v>
      </c>
      <c r="BD2197" t="str">
        <f>"ערן שלו"</f>
        <v>ערן שלו</v>
      </c>
    </row>
    <row r="2198" spans="1:56" x14ac:dyDescent="0.3">
      <c r="A2198" s="1">
        <v>44452</v>
      </c>
      <c r="B2198" t="str">
        <f>"CR217000046"</f>
        <v>CR217000046</v>
      </c>
      <c r="C2198" t="str">
        <f>"PR20000570"</f>
        <v>PR20000570</v>
      </c>
      <c r="E2198" t="str">
        <f>"Y"</f>
        <v>Y</v>
      </c>
      <c r="F2198" t="str">
        <f>"חשבוניות זיכוי"</f>
        <v>חשבוניות זיכוי</v>
      </c>
      <c r="G2198" t="str">
        <f>"700065"</f>
        <v>700065</v>
      </c>
      <c r="H2198" t="str">
        <f>"אלתא מערכות בע""מ"</f>
        <v>אלתא מערכות בע"מ</v>
      </c>
      <c r="I2198" t="str">
        <f>"10"</f>
        <v>10</v>
      </c>
      <c r="J2198" t="str">
        <f>"OP-AR01656"</f>
        <v>OP-AR01656</v>
      </c>
      <c r="K2198" t="str">
        <f>"1041G356-001 W356 - CU RACK TO PEDESTAL - POWER"</f>
        <v>1041G356-001 W356 - CU RACK TO PEDESTAL - POWER</v>
      </c>
      <c r="L2198">
        <v>1</v>
      </c>
      <c r="M2198" t="str">
        <f>"יח"</f>
        <v>יח</v>
      </c>
      <c r="N2198">
        <v>1</v>
      </c>
      <c r="O2198" t="str">
        <f>"יח"</f>
        <v>יח</v>
      </c>
      <c r="P2198">
        <v>26.69</v>
      </c>
      <c r="Q2198" t="str">
        <f>"$"</f>
        <v>$</v>
      </c>
      <c r="R2198" t="str">
        <f>"ידני"</f>
        <v>ידני</v>
      </c>
      <c r="S2198">
        <v>0</v>
      </c>
      <c r="T2198">
        <v>26.69</v>
      </c>
      <c r="U2198">
        <v>0</v>
      </c>
      <c r="V2198">
        <v>26.69</v>
      </c>
      <c r="W2198" t="str">
        <f>"$"</f>
        <v>$</v>
      </c>
      <c r="X2198">
        <v>0</v>
      </c>
      <c r="Y2198">
        <v>0</v>
      </c>
      <c r="Z2198">
        <v>0</v>
      </c>
      <c r="AA2198" t="str">
        <f>"Y"</f>
        <v>Y</v>
      </c>
      <c r="AC2198">
        <v>0</v>
      </c>
      <c r="AM2198" t="str">
        <f>"10"</f>
        <v>10</v>
      </c>
      <c r="AN2198" t="str">
        <f>"500000"</f>
        <v>500000</v>
      </c>
      <c r="AO2198" t="str">
        <f>"הכנסות  מלקוחות"</f>
        <v>הכנסות  מלקוחות</v>
      </c>
      <c r="AP2198" t="str">
        <f>"Y"</f>
        <v>Y</v>
      </c>
      <c r="AQ2198" t="str">
        <f>"034"</f>
        <v>034</v>
      </c>
      <c r="AR2198">
        <v>0</v>
      </c>
      <c r="AS2198">
        <v>0</v>
      </c>
      <c r="AT2198">
        <v>3.222</v>
      </c>
      <c r="BD2198" t="str">
        <f>"ערן שלו"</f>
        <v>ערן שלו</v>
      </c>
    </row>
    <row r="2199" spans="1:56" x14ac:dyDescent="0.3">
      <c r="A2199" s="1">
        <v>44452</v>
      </c>
      <c r="B2199" t="str">
        <f>"CR217000045"</f>
        <v>CR217000045</v>
      </c>
      <c r="C2199" t="str">
        <f>"PR20000348"</f>
        <v>PR20000348</v>
      </c>
      <c r="E2199" t="str">
        <f>"Y"</f>
        <v>Y</v>
      </c>
      <c r="F2199" t="str">
        <f>"חשבוניות זיכוי"</f>
        <v>חשבוניות זיכוי</v>
      </c>
      <c r="G2199" t="str">
        <f>"700065"</f>
        <v>700065</v>
      </c>
      <c r="H2199" t="str">
        <f>"אלתא מערכות בע""מ"</f>
        <v>אלתא מערכות בע"מ</v>
      </c>
      <c r="I2199" t="str">
        <f>"10"</f>
        <v>10</v>
      </c>
      <c r="J2199" t="str">
        <f>"OP-AR01738"</f>
        <v>OP-AR01738</v>
      </c>
      <c r="K2199" t="str">
        <f>"1029P331-003 WP031 - PWR 230VAC FANS AUX-BOX TO"</f>
        <v>1029P331-003 WP031 - PWR 230VAC FANS AUX-BOX TO</v>
      </c>
      <c r="L2199">
        <v>1</v>
      </c>
      <c r="M2199" t="str">
        <f>"יח"</f>
        <v>יח</v>
      </c>
      <c r="N2199">
        <v>1</v>
      </c>
      <c r="O2199" t="str">
        <f>"יח"</f>
        <v>יח</v>
      </c>
      <c r="P2199">
        <v>140.08000000000001</v>
      </c>
      <c r="Q2199" t="str">
        <f>"$"</f>
        <v>$</v>
      </c>
      <c r="R2199" t="str">
        <f>"ידני"</f>
        <v>ידני</v>
      </c>
      <c r="S2199">
        <v>0</v>
      </c>
      <c r="T2199">
        <v>140.08000000000001</v>
      </c>
      <c r="U2199">
        <v>0</v>
      </c>
      <c r="V2199">
        <v>140.08000000000001</v>
      </c>
      <c r="W2199" t="str">
        <f>"$"</f>
        <v>$</v>
      </c>
      <c r="X2199">
        <v>0</v>
      </c>
      <c r="Y2199">
        <v>0</v>
      </c>
      <c r="Z2199">
        <v>0</v>
      </c>
      <c r="AA2199" t="str">
        <f>"Y"</f>
        <v>Y</v>
      </c>
      <c r="AC2199">
        <v>0</v>
      </c>
      <c r="AM2199" t="str">
        <f>"10"</f>
        <v>10</v>
      </c>
      <c r="AN2199" t="str">
        <f>"500000"</f>
        <v>500000</v>
      </c>
      <c r="AO2199" t="str">
        <f>"הכנסות  מלקוחות"</f>
        <v>הכנסות  מלקוחות</v>
      </c>
      <c r="AP2199" t="str">
        <f>"Y"</f>
        <v>Y</v>
      </c>
      <c r="AQ2199" t="str">
        <f>"034"</f>
        <v>034</v>
      </c>
      <c r="AR2199">
        <v>0</v>
      </c>
      <c r="AS2199">
        <v>0</v>
      </c>
      <c r="AT2199">
        <v>3.218</v>
      </c>
      <c r="BD2199" t="str">
        <f>"ערן שלו"</f>
        <v>ערן שלו</v>
      </c>
    </row>
    <row r="2200" spans="1:56" x14ac:dyDescent="0.3">
      <c r="A2200" s="1">
        <v>44452</v>
      </c>
      <c r="B2200" t="str">
        <f>"CR217000045"</f>
        <v>CR217000045</v>
      </c>
      <c r="C2200" t="str">
        <f>"PR20000348"</f>
        <v>PR20000348</v>
      </c>
      <c r="E2200" t="str">
        <f>"Y"</f>
        <v>Y</v>
      </c>
      <c r="F2200" t="str">
        <f>"חשבוניות זיכוי"</f>
        <v>חשבוניות זיכוי</v>
      </c>
      <c r="G2200" t="str">
        <f>"700065"</f>
        <v>700065</v>
      </c>
      <c r="H2200" t="str">
        <f>"אלתא מערכות בע""מ"</f>
        <v>אלתא מערכות בע"מ</v>
      </c>
      <c r="I2200" t="str">
        <f>"10"</f>
        <v>10</v>
      </c>
      <c r="J2200" t="str">
        <f>"OP-AR01747"</f>
        <v>OP-AR01747</v>
      </c>
      <c r="K2200" t="str">
        <f>"1029P310-002 WP010 - CONTROL AND DATA MEB TO PED"</f>
        <v>1029P310-002 WP010 - CONTROL AND DATA MEB TO PED</v>
      </c>
      <c r="L2200">
        <v>1</v>
      </c>
      <c r="M2200" t="str">
        <f>"יח"</f>
        <v>יח</v>
      </c>
      <c r="N2200">
        <v>1</v>
      </c>
      <c r="O2200" t="str">
        <f>"יח"</f>
        <v>יח</v>
      </c>
      <c r="P2200">
        <v>115.01</v>
      </c>
      <c r="Q2200" t="str">
        <f>"$"</f>
        <v>$</v>
      </c>
      <c r="R2200" t="str">
        <f>"ידני"</f>
        <v>ידני</v>
      </c>
      <c r="S2200">
        <v>0</v>
      </c>
      <c r="T2200">
        <v>115.01</v>
      </c>
      <c r="U2200">
        <v>0</v>
      </c>
      <c r="V2200">
        <v>115.01</v>
      </c>
      <c r="W2200" t="str">
        <f>"$"</f>
        <v>$</v>
      </c>
      <c r="X2200">
        <v>0</v>
      </c>
      <c r="Y2200">
        <v>0</v>
      </c>
      <c r="Z2200">
        <v>0</v>
      </c>
      <c r="AA2200" t="str">
        <f>"Y"</f>
        <v>Y</v>
      </c>
      <c r="AC2200">
        <v>0</v>
      </c>
      <c r="AM2200" t="str">
        <f>"10"</f>
        <v>10</v>
      </c>
      <c r="AN2200" t="str">
        <f>"500000"</f>
        <v>500000</v>
      </c>
      <c r="AO2200" t="str">
        <f>"הכנסות  מלקוחות"</f>
        <v>הכנסות  מלקוחות</v>
      </c>
      <c r="AP2200" t="str">
        <f>"Y"</f>
        <v>Y</v>
      </c>
      <c r="AQ2200" t="str">
        <f>"034"</f>
        <v>034</v>
      </c>
      <c r="AR2200">
        <v>0</v>
      </c>
      <c r="AS2200">
        <v>0</v>
      </c>
      <c r="AT2200">
        <v>3.218</v>
      </c>
      <c r="BD2200" t="str">
        <f>"ערן שלו"</f>
        <v>ערן שלו</v>
      </c>
    </row>
    <row r="2201" spans="1:56" x14ac:dyDescent="0.3">
      <c r="A2201" s="1">
        <v>44452</v>
      </c>
      <c r="B2201" t="str">
        <f>"CR217000044"</f>
        <v>CR217000044</v>
      </c>
      <c r="C2201" t="str">
        <f>"PR20000500"</f>
        <v>PR20000500</v>
      </c>
      <c r="E2201" t="str">
        <f>"Y"</f>
        <v>Y</v>
      </c>
      <c r="F2201" t="str">
        <f>"חשבוניות זיכוי"</f>
        <v>חשבוניות זיכוי</v>
      </c>
      <c r="G2201" t="str">
        <f>"700065"</f>
        <v>700065</v>
      </c>
      <c r="H2201" t="str">
        <f>"אלתא מערכות בע""מ"</f>
        <v>אלתא מערכות בע"מ</v>
      </c>
      <c r="I2201" t="str">
        <f>"10"</f>
        <v>10</v>
      </c>
      <c r="J2201" t="str">
        <f>"OP-AR01935"</f>
        <v>OP-AR01935</v>
      </c>
      <c r="K2201" t="str">
        <f>"1023B563-001/B  HARNESS WV063 - JACKS MOTOR POWE"</f>
        <v>1023B563-001/B  HARNESS WV063 - JACKS MOTOR POWE</v>
      </c>
      <c r="L2201">
        <v>1</v>
      </c>
      <c r="M2201" t="str">
        <f>"יח"</f>
        <v>יח</v>
      </c>
      <c r="N2201">
        <v>1</v>
      </c>
      <c r="O2201" t="str">
        <f>"יח"</f>
        <v>יח</v>
      </c>
      <c r="P2201">
        <v>13.92</v>
      </c>
      <c r="Q2201" t="str">
        <f>"$"</f>
        <v>$</v>
      </c>
      <c r="R2201" t="str">
        <f>"ידני"</f>
        <v>ידני</v>
      </c>
      <c r="S2201">
        <v>0</v>
      </c>
      <c r="T2201">
        <v>13.92</v>
      </c>
      <c r="U2201">
        <v>0</v>
      </c>
      <c r="V2201">
        <v>13.92</v>
      </c>
      <c r="W2201" t="str">
        <f>"$"</f>
        <v>$</v>
      </c>
      <c r="X2201">
        <v>0</v>
      </c>
      <c r="Y2201">
        <v>0</v>
      </c>
      <c r="Z2201">
        <v>0</v>
      </c>
      <c r="AA2201" t="str">
        <f>"Y"</f>
        <v>Y</v>
      </c>
      <c r="AC2201">
        <v>0</v>
      </c>
      <c r="AM2201" t="str">
        <f>"10"</f>
        <v>10</v>
      </c>
      <c r="AN2201" t="str">
        <f>"500000"</f>
        <v>500000</v>
      </c>
      <c r="AO2201" t="str">
        <f>"הכנסות  מלקוחות"</f>
        <v>הכנסות  מלקוחות</v>
      </c>
      <c r="AP2201" t="str">
        <f>"Y"</f>
        <v>Y</v>
      </c>
      <c r="AQ2201" t="str">
        <f>"034"</f>
        <v>034</v>
      </c>
      <c r="AR2201">
        <v>0</v>
      </c>
      <c r="AS2201">
        <v>0</v>
      </c>
      <c r="AT2201">
        <v>3.222</v>
      </c>
      <c r="BD2201" t="str">
        <f>"ערן שלו"</f>
        <v>ערן שלו</v>
      </c>
    </row>
    <row r="2202" spans="1:56" x14ac:dyDescent="0.3">
      <c r="A2202" s="1">
        <v>44452</v>
      </c>
      <c r="B2202" t="str">
        <f>"CR217000044"</f>
        <v>CR217000044</v>
      </c>
      <c r="C2202" t="str">
        <f>"PR20000500"</f>
        <v>PR20000500</v>
      </c>
      <c r="E2202" t="str">
        <f>"Y"</f>
        <v>Y</v>
      </c>
      <c r="F2202" t="str">
        <f>"חשבוניות זיכוי"</f>
        <v>חשבוניות זיכוי</v>
      </c>
      <c r="G2202" t="str">
        <f>"700065"</f>
        <v>700065</v>
      </c>
      <c r="H2202" t="str">
        <f>"אלתא מערכות בע""מ"</f>
        <v>אלתא מערכות בע"מ</v>
      </c>
      <c r="I2202" t="str">
        <f>"10"</f>
        <v>10</v>
      </c>
      <c r="J2202" t="str">
        <f>"OP-AR01935"</f>
        <v>OP-AR01935</v>
      </c>
      <c r="K2202" t="str">
        <f>"1023B563-001/B  HARNESS WV063 - JACKS MOTOR POWE"</f>
        <v>1023B563-001/B  HARNESS WV063 - JACKS MOTOR POWE</v>
      </c>
      <c r="L2202">
        <v>1</v>
      </c>
      <c r="M2202" t="str">
        <f>"יח"</f>
        <v>יח</v>
      </c>
      <c r="N2202">
        <v>1</v>
      </c>
      <c r="O2202" t="str">
        <f>"יח"</f>
        <v>יח</v>
      </c>
      <c r="P2202">
        <v>111.33</v>
      </c>
      <c r="Q2202" t="str">
        <f>"$"</f>
        <v>$</v>
      </c>
      <c r="R2202" t="str">
        <f>"ידני"</f>
        <v>ידני</v>
      </c>
      <c r="S2202">
        <v>0</v>
      </c>
      <c r="T2202">
        <v>111.33</v>
      </c>
      <c r="U2202">
        <v>0</v>
      </c>
      <c r="V2202">
        <v>111.33</v>
      </c>
      <c r="W2202" t="str">
        <f>"$"</f>
        <v>$</v>
      </c>
      <c r="X2202">
        <v>0</v>
      </c>
      <c r="Y2202">
        <v>0</v>
      </c>
      <c r="Z2202">
        <v>0</v>
      </c>
      <c r="AA2202" t="str">
        <f>"Y"</f>
        <v>Y</v>
      </c>
      <c r="AC2202">
        <v>0</v>
      </c>
      <c r="AM2202" t="str">
        <f>"10"</f>
        <v>10</v>
      </c>
      <c r="AN2202" t="str">
        <f>"500000"</f>
        <v>500000</v>
      </c>
      <c r="AO2202" t="str">
        <f>"הכנסות  מלקוחות"</f>
        <v>הכנסות  מלקוחות</v>
      </c>
      <c r="AP2202" t="str">
        <f>"Y"</f>
        <v>Y</v>
      </c>
      <c r="AQ2202" t="str">
        <f>"034"</f>
        <v>034</v>
      </c>
      <c r="AR2202">
        <v>0</v>
      </c>
      <c r="AS2202">
        <v>0</v>
      </c>
      <c r="AT2202">
        <v>3.222</v>
      </c>
      <c r="BD2202" t="str">
        <f>"ערן שלו"</f>
        <v>ערן שלו</v>
      </c>
    </row>
    <row r="2203" spans="1:56" x14ac:dyDescent="0.3">
      <c r="A2203" s="1">
        <v>44452</v>
      </c>
      <c r="B2203" t="str">
        <f>"CR217000043"</f>
        <v>CR217000043</v>
      </c>
      <c r="C2203" t="str">
        <f>"PR20000210"</f>
        <v>PR20000210</v>
      </c>
      <c r="E2203" t="str">
        <f>"Y"</f>
        <v>Y</v>
      </c>
      <c r="F2203" t="str">
        <f>"חשבוניות זיכוי"</f>
        <v>חשבוניות זיכוי</v>
      </c>
      <c r="G2203" t="str">
        <f>"700065"</f>
        <v>700065</v>
      </c>
      <c r="H2203" t="str">
        <f>"אלתא מערכות בע""מ"</f>
        <v>אלתא מערכות בע"מ</v>
      </c>
      <c r="I2203" t="str">
        <f>"10"</f>
        <v>10</v>
      </c>
      <c r="J2203" t="str">
        <f>"OP-AR01713"</f>
        <v>OP-AR01713</v>
      </c>
      <c r="K2203" t="str">
        <f>"1022H892-002 W12 -32CH VIDEO CABLE (MASTER)"</f>
        <v>1022H892-002 W12 -32CH VIDEO CABLE (MASTER)</v>
      </c>
      <c r="L2203">
        <v>1</v>
      </c>
      <c r="M2203" t="str">
        <f>"יח"</f>
        <v>יח</v>
      </c>
      <c r="N2203">
        <v>1</v>
      </c>
      <c r="O2203" t="str">
        <f>"יח"</f>
        <v>יח</v>
      </c>
      <c r="P2203">
        <v>40.44</v>
      </c>
      <c r="Q2203" t="str">
        <f>"$"</f>
        <v>$</v>
      </c>
      <c r="R2203" t="str">
        <f>"ידני"</f>
        <v>ידני</v>
      </c>
      <c r="S2203">
        <v>0</v>
      </c>
      <c r="T2203">
        <v>40.44</v>
      </c>
      <c r="U2203">
        <v>0</v>
      </c>
      <c r="V2203">
        <v>40.44</v>
      </c>
      <c r="W2203" t="str">
        <f>"$"</f>
        <v>$</v>
      </c>
      <c r="X2203">
        <v>0</v>
      </c>
      <c r="Y2203">
        <v>0</v>
      </c>
      <c r="Z2203">
        <v>0</v>
      </c>
      <c r="AA2203" t="str">
        <f>"Y"</f>
        <v>Y</v>
      </c>
      <c r="AC2203">
        <v>0</v>
      </c>
      <c r="AM2203" t="str">
        <f>"10"</f>
        <v>10</v>
      </c>
      <c r="AN2203" t="str">
        <f>"500000"</f>
        <v>500000</v>
      </c>
      <c r="AO2203" t="str">
        <f>"הכנסות  מלקוחות"</f>
        <v>הכנסות  מלקוחות</v>
      </c>
      <c r="AP2203" t="str">
        <f>"Y"</f>
        <v>Y</v>
      </c>
      <c r="AQ2203" t="str">
        <f>"034"</f>
        <v>034</v>
      </c>
      <c r="AR2203">
        <v>0</v>
      </c>
      <c r="AS2203">
        <v>0</v>
      </c>
      <c r="AT2203">
        <v>3.222</v>
      </c>
      <c r="BD2203" t="str">
        <f>"ערן שלו"</f>
        <v>ערן שלו</v>
      </c>
    </row>
    <row r="2204" spans="1:56" x14ac:dyDescent="0.3">
      <c r="A2204" s="1">
        <v>44452</v>
      </c>
      <c r="B2204" t="str">
        <f>"CR217000042"</f>
        <v>CR217000042</v>
      </c>
      <c r="C2204" t="str">
        <f>"PR20000570"</f>
        <v>PR20000570</v>
      </c>
      <c r="E2204" t="str">
        <f>"Y"</f>
        <v>Y</v>
      </c>
      <c r="F2204" t="str">
        <f>"חשבוניות זיכוי"</f>
        <v>חשבוניות זיכוי</v>
      </c>
      <c r="G2204" t="str">
        <f>"700065"</f>
        <v>700065</v>
      </c>
      <c r="H2204" t="str">
        <f>"אלתא מערכות בע""מ"</f>
        <v>אלתא מערכות בע"מ</v>
      </c>
      <c r="I2204" t="str">
        <f>"10"</f>
        <v>10</v>
      </c>
      <c r="J2204" t="str">
        <f>"OP-AR01736"</f>
        <v>OP-AR01736</v>
      </c>
      <c r="K2204" t="str">
        <f>"1039V358-001 WP358 - DATA AFT COMMAND TO LDE AND"</f>
        <v>1039V358-001 WP358 - DATA AFT COMMAND TO LDE AND</v>
      </c>
      <c r="L2204">
        <v>1</v>
      </c>
      <c r="M2204" t="str">
        <f>"יח"</f>
        <v>יח</v>
      </c>
      <c r="N2204">
        <v>1</v>
      </c>
      <c r="O2204" t="str">
        <f>"יח"</f>
        <v>יח</v>
      </c>
      <c r="P2204">
        <v>24.75</v>
      </c>
      <c r="Q2204" t="str">
        <f>"$"</f>
        <v>$</v>
      </c>
      <c r="R2204" t="str">
        <f>"ידני"</f>
        <v>ידני</v>
      </c>
      <c r="S2204">
        <v>0</v>
      </c>
      <c r="T2204">
        <v>24.75</v>
      </c>
      <c r="U2204">
        <v>0</v>
      </c>
      <c r="V2204">
        <v>24.75</v>
      </c>
      <c r="W2204" t="str">
        <f>"$"</f>
        <v>$</v>
      </c>
      <c r="X2204">
        <v>0</v>
      </c>
      <c r="Y2204">
        <v>0</v>
      </c>
      <c r="Z2204">
        <v>0</v>
      </c>
      <c r="AA2204" t="str">
        <f>"Y"</f>
        <v>Y</v>
      </c>
      <c r="AC2204">
        <v>0</v>
      </c>
      <c r="AM2204" t="str">
        <f>"10"</f>
        <v>10</v>
      </c>
      <c r="AN2204" t="str">
        <f>"500000"</f>
        <v>500000</v>
      </c>
      <c r="AO2204" t="str">
        <f>"הכנסות  מלקוחות"</f>
        <v>הכנסות  מלקוחות</v>
      </c>
      <c r="AP2204" t="str">
        <f>"Y"</f>
        <v>Y</v>
      </c>
      <c r="AQ2204" t="str">
        <f>"034"</f>
        <v>034</v>
      </c>
      <c r="AR2204">
        <v>0</v>
      </c>
      <c r="AS2204">
        <v>0</v>
      </c>
      <c r="AT2204">
        <v>3.222</v>
      </c>
      <c r="BD2204" t="str">
        <f>"ערן שלו"</f>
        <v>ערן שלו</v>
      </c>
    </row>
    <row r="2205" spans="1:56" x14ac:dyDescent="0.3">
      <c r="A2205" s="1">
        <v>44452</v>
      </c>
      <c r="B2205" t="str">
        <f>"CR217000041"</f>
        <v>CR217000041</v>
      </c>
      <c r="C2205" t="str">
        <f>"PR20000502"</f>
        <v>PR20000502</v>
      </c>
      <c r="E2205" t="str">
        <f>"Y"</f>
        <v>Y</v>
      </c>
      <c r="F2205" t="str">
        <f>"חשבוניות זיכוי"</f>
        <v>חשבוניות זיכוי</v>
      </c>
      <c r="G2205" t="str">
        <f>"700065"</f>
        <v>700065</v>
      </c>
      <c r="H2205" t="str">
        <f>"אלתא מערכות בע""מ"</f>
        <v>אלתא מערכות בע"מ</v>
      </c>
      <c r="I2205" t="str">
        <f>"10"</f>
        <v>10</v>
      </c>
      <c r="J2205" t="str">
        <f>"OP-AR01923"</f>
        <v>OP-AR01923</v>
      </c>
      <c r="K2205" t="str">
        <f>"2114B152-001/D BLKXW2 CABLE ASSY (SSTU DC POWER"</f>
        <v>2114B152-001/D BLKXW2 CABLE ASSY (SSTU DC POWER</v>
      </c>
      <c r="L2205">
        <v>1</v>
      </c>
      <c r="M2205" t="str">
        <f>"יח"</f>
        <v>יח</v>
      </c>
      <c r="N2205">
        <v>1</v>
      </c>
      <c r="O2205" t="str">
        <f>"יח"</f>
        <v>יח</v>
      </c>
      <c r="P2205">
        <v>47.56</v>
      </c>
      <c r="Q2205" t="str">
        <f>"$"</f>
        <v>$</v>
      </c>
      <c r="R2205" t="str">
        <f>"ידני"</f>
        <v>ידני</v>
      </c>
      <c r="S2205">
        <v>0</v>
      </c>
      <c r="T2205">
        <v>47.56</v>
      </c>
      <c r="U2205">
        <v>0</v>
      </c>
      <c r="V2205">
        <v>47.56</v>
      </c>
      <c r="W2205" t="str">
        <f>"$"</f>
        <v>$</v>
      </c>
      <c r="X2205">
        <v>0</v>
      </c>
      <c r="Y2205">
        <v>0</v>
      </c>
      <c r="Z2205">
        <v>0</v>
      </c>
      <c r="AA2205" t="str">
        <f>"Y"</f>
        <v>Y</v>
      </c>
      <c r="AC2205">
        <v>0</v>
      </c>
      <c r="AM2205" t="str">
        <f>"10"</f>
        <v>10</v>
      </c>
      <c r="AN2205" t="str">
        <f>"500000"</f>
        <v>500000</v>
      </c>
      <c r="AO2205" t="str">
        <f>"הכנסות  מלקוחות"</f>
        <v>הכנסות  מלקוחות</v>
      </c>
      <c r="AP2205" t="str">
        <f>"Y"</f>
        <v>Y</v>
      </c>
      <c r="AQ2205" t="str">
        <f>"034"</f>
        <v>034</v>
      </c>
      <c r="AR2205">
        <v>0</v>
      </c>
      <c r="AS2205">
        <v>0</v>
      </c>
      <c r="AT2205">
        <v>3.222</v>
      </c>
      <c r="BD2205" t="str">
        <f>"ערן שלו"</f>
        <v>ערן שלו</v>
      </c>
    </row>
    <row r="2206" spans="1:56" x14ac:dyDescent="0.3">
      <c r="A2206" s="1">
        <v>44452</v>
      </c>
      <c r="B2206" t="str">
        <f>"CR217000040"</f>
        <v>CR217000040</v>
      </c>
      <c r="C2206" t="str">
        <f>"PR20000697"</f>
        <v>PR20000697</v>
      </c>
      <c r="E2206" t="str">
        <f>"Y"</f>
        <v>Y</v>
      </c>
      <c r="F2206" t="str">
        <f>"חשבוניות זיכוי"</f>
        <v>חשבוניות זיכוי</v>
      </c>
      <c r="G2206" t="str">
        <f>"700065"</f>
        <v>700065</v>
      </c>
      <c r="H2206" t="str">
        <f>"אלתא מערכות בע""מ"</f>
        <v>אלתא מערכות בע"מ</v>
      </c>
      <c r="I2206" t="str">
        <f>"10"</f>
        <v>10</v>
      </c>
      <c r="J2206" t="str">
        <f>"OP-AR01702"</f>
        <v>OP-AR01702</v>
      </c>
      <c r="K2206" t="str">
        <f>"1020B584-003 P.C.U HARN/W7/ABS NC/DATA POS"</f>
        <v>1020B584-003 P.C.U HARN/W7/ABS NC/DATA POS</v>
      </c>
      <c r="L2206">
        <v>1</v>
      </c>
      <c r="M2206" t="str">
        <f>"יח"</f>
        <v>יח</v>
      </c>
      <c r="N2206">
        <v>1</v>
      </c>
      <c r="O2206" t="str">
        <f>"יח"</f>
        <v>יח</v>
      </c>
      <c r="P2206">
        <v>21</v>
      </c>
      <c r="Q2206" t="str">
        <f>"$"</f>
        <v>$</v>
      </c>
      <c r="R2206" t="str">
        <f>"ידני"</f>
        <v>ידני</v>
      </c>
      <c r="S2206">
        <v>0</v>
      </c>
      <c r="T2206">
        <v>21</v>
      </c>
      <c r="U2206">
        <v>0</v>
      </c>
      <c r="V2206">
        <v>21</v>
      </c>
      <c r="W2206" t="str">
        <f>"$"</f>
        <v>$</v>
      </c>
      <c r="X2206">
        <v>0</v>
      </c>
      <c r="Y2206">
        <v>0</v>
      </c>
      <c r="Z2206">
        <v>0</v>
      </c>
      <c r="AA2206" t="str">
        <f>"Y"</f>
        <v>Y</v>
      </c>
      <c r="AC2206">
        <v>0</v>
      </c>
      <c r="AM2206" t="str">
        <f>"10"</f>
        <v>10</v>
      </c>
      <c r="AN2206" t="str">
        <f>"500000"</f>
        <v>500000</v>
      </c>
      <c r="AO2206" t="str">
        <f>"הכנסות  מלקוחות"</f>
        <v>הכנסות  מלקוחות</v>
      </c>
      <c r="AP2206" t="str">
        <f>"Y"</f>
        <v>Y</v>
      </c>
      <c r="AQ2206" t="str">
        <f>"034"</f>
        <v>034</v>
      </c>
      <c r="AR2206">
        <v>0</v>
      </c>
      <c r="AS2206">
        <v>0</v>
      </c>
      <c r="AT2206">
        <v>3.218</v>
      </c>
      <c r="BD2206" t="str">
        <f>"ערן שלו"</f>
        <v>ערן שלו</v>
      </c>
    </row>
    <row r="2207" spans="1:56" x14ac:dyDescent="0.3">
      <c r="A2207" s="1">
        <v>44452</v>
      </c>
      <c r="B2207" t="str">
        <f>"CR217000039"</f>
        <v>CR217000039</v>
      </c>
      <c r="C2207" t="str">
        <f>"PR20000570"</f>
        <v>PR20000570</v>
      </c>
      <c r="E2207" t="str">
        <f>"Y"</f>
        <v>Y</v>
      </c>
      <c r="F2207" t="str">
        <f>"חשבוניות זיכוי"</f>
        <v>חשבוניות זיכוי</v>
      </c>
      <c r="G2207" t="str">
        <f>"700065"</f>
        <v>700065</v>
      </c>
      <c r="H2207" t="str">
        <f>"אלתא מערכות בע""מ"</f>
        <v>אלתא מערכות בע"מ</v>
      </c>
      <c r="I2207" t="str">
        <f>"10"</f>
        <v>10</v>
      </c>
      <c r="J2207" t="str">
        <f>"OP-AR01742"</f>
        <v>OP-AR01742</v>
      </c>
      <c r="K2207" t="str">
        <f>"1039V318-001 WP318 - CONTROL DATA MICRO SWITCH S"</f>
        <v>1039V318-001 WP318 - CONTROL DATA MICRO SWITCH S</v>
      </c>
      <c r="L2207">
        <v>1</v>
      </c>
      <c r="M2207" t="str">
        <f>"יח"</f>
        <v>יח</v>
      </c>
      <c r="N2207">
        <v>1</v>
      </c>
      <c r="O2207" t="str">
        <f>"יח"</f>
        <v>יח</v>
      </c>
      <c r="P2207">
        <v>41.49</v>
      </c>
      <c r="Q2207" t="str">
        <f>"$"</f>
        <v>$</v>
      </c>
      <c r="R2207" t="str">
        <f>"ידני"</f>
        <v>ידני</v>
      </c>
      <c r="S2207">
        <v>0</v>
      </c>
      <c r="T2207">
        <v>41.49</v>
      </c>
      <c r="U2207">
        <v>0</v>
      </c>
      <c r="V2207">
        <v>41.49</v>
      </c>
      <c r="W2207" t="str">
        <f>"$"</f>
        <v>$</v>
      </c>
      <c r="X2207">
        <v>0</v>
      </c>
      <c r="Y2207">
        <v>0</v>
      </c>
      <c r="Z2207">
        <v>0</v>
      </c>
      <c r="AA2207" t="str">
        <f>"Y"</f>
        <v>Y</v>
      </c>
      <c r="AC2207">
        <v>0</v>
      </c>
      <c r="AM2207" t="str">
        <f>"10"</f>
        <v>10</v>
      </c>
      <c r="AN2207" t="str">
        <f>"500000"</f>
        <v>500000</v>
      </c>
      <c r="AO2207" t="str">
        <f>"הכנסות  מלקוחות"</f>
        <v>הכנסות  מלקוחות</v>
      </c>
      <c r="AP2207" t="str">
        <f>"Y"</f>
        <v>Y</v>
      </c>
      <c r="AQ2207" t="str">
        <f>"034"</f>
        <v>034</v>
      </c>
      <c r="AR2207">
        <v>0</v>
      </c>
      <c r="AS2207">
        <v>0</v>
      </c>
      <c r="AT2207">
        <v>3.218</v>
      </c>
      <c r="BD2207" t="str">
        <f>"ערן שלו"</f>
        <v>ערן שלו</v>
      </c>
    </row>
    <row r="2208" spans="1:56" x14ac:dyDescent="0.3">
      <c r="A2208" s="1">
        <v>44452</v>
      </c>
      <c r="B2208" t="str">
        <f>"CR217000039"</f>
        <v>CR217000039</v>
      </c>
      <c r="C2208" t="str">
        <f>"PR20000570"</f>
        <v>PR20000570</v>
      </c>
      <c r="E2208" t="str">
        <f>"Y"</f>
        <v>Y</v>
      </c>
      <c r="F2208" t="str">
        <f>"חשבוניות זיכוי"</f>
        <v>חשבוניות זיכוי</v>
      </c>
      <c r="G2208" t="str">
        <f>"700065"</f>
        <v>700065</v>
      </c>
      <c r="H2208" t="str">
        <f>"אלתא מערכות בע""מ"</f>
        <v>אלתא מערכות בע"מ</v>
      </c>
      <c r="I2208" t="str">
        <f>"10"</f>
        <v>10</v>
      </c>
      <c r="J2208" t="str">
        <f>"OP-AR01756"</f>
        <v>OP-AR01756</v>
      </c>
      <c r="K2208" t="str">
        <f>"1036U457-001 WP457 - PWR PDB TO JACK BOX"</f>
        <v>1036U457-001 WP457 - PWR PDB TO JACK BOX</v>
      </c>
      <c r="L2208">
        <v>1</v>
      </c>
      <c r="M2208" t="str">
        <f>"יח"</f>
        <v>יח</v>
      </c>
      <c r="N2208">
        <v>1</v>
      </c>
      <c r="O2208" t="str">
        <f>"יח"</f>
        <v>יח</v>
      </c>
      <c r="P2208">
        <v>39.35</v>
      </c>
      <c r="Q2208" t="str">
        <f>"$"</f>
        <v>$</v>
      </c>
      <c r="R2208" t="str">
        <f>"ידני"</f>
        <v>ידני</v>
      </c>
      <c r="S2208">
        <v>0</v>
      </c>
      <c r="T2208">
        <v>39.35</v>
      </c>
      <c r="U2208">
        <v>0</v>
      </c>
      <c r="V2208">
        <v>39.35</v>
      </c>
      <c r="W2208" t="str">
        <f>"$"</f>
        <v>$</v>
      </c>
      <c r="X2208">
        <v>0</v>
      </c>
      <c r="Y2208">
        <v>0</v>
      </c>
      <c r="Z2208">
        <v>0</v>
      </c>
      <c r="AA2208" t="str">
        <f>"Y"</f>
        <v>Y</v>
      </c>
      <c r="AC2208">
        <v>0</v>
      </c>
      <c r="AM2208" t="str">
        <f>"10"</f>
        <v>10</v>
      </c>
      <c r="AN2208" t="str">
        <f>"500000"</f>
        <v>500000</v>
      </c>
      <c r="AO2208" t="str">
        <f>"הכנסות  מלקוחות"</f>
        <v>הכנסות  מלקוחות</v>
      </c>
      <c r="AP2208" t="str">
        <f>"Y"</f>
        <v>Y</v>
      </c>
      <c r="AQ2208" t="str">
        <f>"034"</f>
        <v>034</v>
      </c>
      <c r="AR2208">
        <v>0</v>
      </c>
      <c r="AS2208">
        <v>0</v>
      </c>
      <c r="AT2208">
        <v>3.218</v>
      </c>
      <c r="BD2208" t="str">
        <f>"ערן שלו"</f>
        <v>ערן שלו</v>
      </c>
    </row>
    <row r="2209" spans="1:56" x14ac:dyDescent="0.3">
      <c r="A2209" s="1">
        <v>44452</v>
      </c>
      <c r="B2209" t="str">
        <f>"CR217000039"</f>
        <v>CR217000039</v>
      </c>
      <c r="C2209" t="str">
        <f>"PR20000570"</f>
        <v>PR20000570</v>
      </c>
      <c r="E2209" t="str">
        <f>"Y"</f>
        <v>Y</v>
      </c>
      <c r="F2209" t="str">
        <f>"חשבוניות זיכוי"</f>
        <v>חשבוניות זיכוי</v>
      </c>
      <c r="G2209" t="str">
        <f>"700065"</f>
        <v>700065</v>
      </c>
      <c r="H2209" t="str">
        <f>"אלתא מערכות בע""מ"</f>
        <v>אלתא מערכות בע"מ</v>
      </c>
      <c r="I2209" t="str">
        <f>"10"</f>
        <v>10</v>
      </c>
      <c r="J2209" t="str">
        <f>"OP-AR01757"</f>
        <v>OP-AR01757</v>
      </c>
      <c r="K2209" t="str">
        <f>"1036U461-001 WP461 - RIGHT REAR POWER JACK-EXTEN"</f>
        <v>1036U461-001 WP461 - RIGHT REAR POWER JACK-EXTEN</v>
      </c>
      <c r="L2209">
        <v>1</v>
      </c>
      <c r="M2209" t="str">
        <f>"יח"</f>
        <v>יח</v>
      </c>
      <c r="N2209">
        <v>1</v>
      </c>
      <c r="O2209" t="str">
        <f>"יח"</f>
        <v>יח</v>
      </c>
      <c r="P2209">
        <v>29.96</v>
      </c>
      <c r="Q2209" t="str">
        <f>"$"</f>
        <v>$</v>
      </c>
      <c r="R2209" t="str">
        <f>"ידני"</f>
        <v>ידני</v>
      </c>
      <c r="S2209">
        <v>0</v>
      </c>
      <c r="T2209">
        <v>29.96</v>
      </c>
      <c r="U2209">
        <v>0</v>
      </c>
      <c r="V2209">
        <v>29.96</v>
      </c>
      <c r="W2209" t="str">
        <f>"$"</f>
        <v>$</v>
      </c>
      <c r="X2209">
        <v>0</v>
      </c>
      <c r="Y2209">
        <v>0</v>
      </c>
      <c r="Z2209">
        <v>0</v>
      </c>
      <c r="AA2209" t="str">
        <f>"Y"</f>
        <v>Y</v>
      </c>
      <c r="AC2209">
        <v>0</v>
      </c>
      <c r="AM2209" t="str">
        <f>"10"</f>
        <v>10</v>
      </c>
      <c r="AN2209" t="str">
        <f>"500000"</f>
        <v>500000</v>
      </c>
      <c r="AO2209" t="str">
        <f>"הכנסות  מלקוחות"</f>
        <v>הכנסות  מלקוחות</v>
      </c>
      <c r="AP2209" t="str">
        <f>"Y"</f>
        <v>Y</v>
      </c>
      <c r="AQ2209" t="str">
        <f>"034"</f>
        <v>034</v>
      </c>
      <c r="AR2209">
        <v>0</v>
      </c>
      <c r="AS2209">
        <v>0</v>
      </c>
      <c r="AT2209">
        <v>3.218</v>
      </c>
      <c r="BD2209" t="str">
        <f>"ערן שלו"</f>
        <v>ערן שלו</v>
      </c>
    </row>
    <row r="2210" spans="1:56" x14ac:dyDescent="0.3">
      <c r="A2210" s="1">
        <v>44452</v>
      </c>
      <c r="B2210" t="str">
        <f>"CR217000038"</f>
        <v>CR217000038</v>
      </c>
      <c r="C2210" t="str">
        <f>"PR18000543"</f>
        <v>PR18000543</v>
      </c>
      <c r="E2210" t="str">
        <f>"Y"</f>
        <v>Y</v>
      </c>
      <c r="F2210" t="str">
        <f>"חשבוניות זיכוי"</f>
        <v>חשבוניות זיכוי</v>
      </c>
      <c r="G2210" t="str">
        <f>"700065"</f>
        <v>700065</v>
      </c>
      <c r="H2210" t="str">
        <f>"אלתא מערכות בע""מ"</f>
        <v>אלתא מערכות בע"מ</v>
      </c>
      <c r="I2210" t="str">
        <f>"10"</f>
        <v>10</v>
      </c>
      <c r="J2210" t="str">
        <f>"000"</f>
        <v>000</v>
      </c>
      <c r="K2210" t="str">
        <f>"HVJB BRACKET- שינוי תכן 14744$"</f>
        <v>HVJB BRACKET- שינוי תכן 14744$</v>
      </c>
      <c r="L2210">
        <v>1</v>
      </c>
      <c r="M2210" t="str">
        <f>"יח"</f>
        <v>יח</v>
      </c>
      <c r="N2210">
        <v>1</v>
      </c>
      <c r="O2210" t="str">
        <f>"יח"</f>
        <v>יח</v>
      </c>
      <c r="P2210">
        <v>173.68</v>
      </c>
      <c r="Q2210" t="str">
        <f>"$"</f>
        <v>$</v>
      </c>
      <c r="R2210" t="str">
        <f>"ידני"</f>
        <v>ידני</v>
      </c>
      <c r="S2210">
        <v>0</v>
      </c>
      <c r="T2210">
        <v>173.68</v>
      </c>
      <c r="U2210">
        <v>0</v>
      </c>
      <c r="V2210">
        <v>173.68</v>
      </c>
      <c r="W2210" t="str">
        <f>"$"</f>
        <v>$</v>
      </c>
      <c r="X2210">
        <v>0</v>
      </c>
      <c r="Y2210">
        <v>0</v>
      </c>
      <c r="Z2210">
        <v>0</v>
      </c>
      <c r="AA2210" t="str">
        <f>"Y"</f>
        <v>Y</v>
      </c>
      <c r="AC2210">
        <v>0</v>
      </c>
      <c r="AM2210" t="str">
        <f>"10"</f>
        <v>10</v>
      </c>
      <c r="AN2210" t="str">
        <f>"500000"</f>
        <v>500000</v>
      </c>
      <c r="AO2210" t="str">
        <f>"הכנסות  מלקוחות"</f>
        <v>הכנסות  מלקוחות</v>
      </c>
      <c r="AP2210" t="str">
        <f>"Y"</f>
        <v>Y</v>
      </c>
      <c r="AQ2210" t="str">
        <f>"034"</f>
        <v>034</v>
      </c>
      <c r="AR2210">
        <v>0</v>
      </c>
      <c r="AS2210">
        <v>0</v>
      </c>
      <c r="AT2210">
        <v>3.383</v>
      </c>
      <c r="BD2210" t="str">
        <f>"ערן שלו"</f>
        <v>ערן שלו</v>
      </c>
    </row>
    <row r="2211" spans="1:56" x14ac:dyDescent="0.3">
      <c r="A2211" s="1">
        <v>44452</v>
      </c>
      <c r="B2211" t="str">
        <f>"CR217000037"</f>
        <v>CR217000037</v>
      </c>
      <c r="C2211" t="str">
        <f>"PR20000524"</f>
        <v>PR20000524</v>
      </c>
      <c r="E2211" t="str">
        <f>"Y"</f>
        <v>Y</v>
      </c>
      <c r="F2211" t="str">
        <f>"חשבוניות זיכוי"</f>
        <v>חשבוניות זיכוי</v>
      </c>
      <c r="G2211" t="str">
        <f>"700065"</f>
        <v>700065</v>
      </c>
      <c r="H2211" t="str">
        <f>"אלתא מערכות בע""מ"</f>
        <v>אלתא מערכות בע"מ</v>
      </c>
      <c r="I2211" t="str">
        <f>"10"</f>
        <v>10</v>
      </c>
      <c r="J2211" t="str">
        <f>"OP-AR01650"</f>
        <v>OP-AR01650</v>
      </c>
      <c r="K2211" t="str">
        <f>"1041G357-001 W357 - CU RACK TO PEDESTAL - CONTRO"</f>
        <v>1041G357-001 W357 - CU RACK TO PEDESTAL - CONTRO</v>
      </c>
      <c r="L2211">
        <v>1</v>
      </c>
      <c r="M2211" t="str">
        <f>"יח"</f>
        <v>יח</v>
      </c>
      <c r="N2211">
        <v>1</v>
      </c>
      <c r="O2211" t="str">
        <f>"יח"</f>
        <v>יח</v>
      </c>
      <c r="P2211">
        <v>27.92</v>
      </c>
      <c r="Q2211" t="str">
        <f>"$"</f>
        <v>$</v>
      </c>
      <c r="R2211" t="str">
        <f>"ידני"</f>
        <v>ידני</v>
      </c>
      <c r="S2211">
        <v>0</v>
      </c>
      <c r="T2211">
        <v>27.92</v>
      </c>
      <c r="U2211">
        <v>0</v>
      </c>
      <c r="V2211">
        <v>27.92</v>
      </c>
      <c r="W2211" t="str">
        <f>"$"</f>
        <v>$</v>
      </c>
      <c r="X2211">
        <v>0</v>
      </c>
      <c r="Y2211">
        <v>0</v>
      </c>
      <c r="Z2211">
        <v>0</v>
      </c>
      <c r="AA2211" t="str">
        <f>"Y"</f>
        <v>Y</v>
      </c>
      <c r="AC2211">
        <v>0</v>
      </c>
      <c r="AM2211" t="str">
        <f>"10"</f>
        <v>10</v>
      </c>
      <c r="AN2211" t="str">
        <f>"500000"</f>
        <v>500000</v>
      </c>
      <c r="AO2211" t="str">
        <f>"הכנסות  מלקוחות"</f>
        <v>הכנסות  מלקוחות</v>
      </c>
      <c r="AP2211" t="str">
        <f>"Y"</f>
        <v>Y</v>
      </c>
      <c r="AQ2211" t="str">
        <f>"034"</f>
        <v>034</v>
      </c>
      <c r="AR2211">
        <v>0</v>
      </c>
      <c r="AS2211">
        <v>0</v>
      </c>
      <c r="AT2211">
        <v>3.1869999999999998</v>
      </c>
      <c r="BD2211" t="str">
        <f>"ערן שלו"</f>
        <v>ערן שלו</v>
      </c>
    </row>
    <row r="2212" spans="1:56" x14ac:dyDescent="0.3">
      <c r="A2212" s="1">
        <v>44452</v>
      </c>
      <c r="B2212" t="str">
        <f>"CR217000036"</f>
        <v>CR217000036</v>
      </c>
      <c r="C2212" t="str">
        <f>"PR20000495"</f>
        <v>PR20000495</v>
      </c>
      <c r="E2212" t="str">
        <f>"Y"</f>
        <v>Y</v>
      </c>
      <c r="F2212" t="str">
        <f>"חשבוניות זיכוי"</f>
        <v>חשבוניות זיכוי</v>
      </c>
      <c r="G2212" t="str">
        <f>"700065"</f>
        <v>700065</v>
      </c>
      <c r="H2212" t="str">
        <f>"אלתא מערכות בע""מ"</f>
        <v>אלתא מערכות בע"מ</v>
      </c>
      <c r="I2212" t="str">
        <f>"10"</f>
        <v>10</v>
      </c>
      <c r="J2212" t="str">
        <f>"OP-AR01900"</f>
        <v>OP-AR01900</v>
      </c>
      <c r="K2212" t="str">
        <f>"1039V963-001 - CABLE ASSY WR113"</f>
        <v>1039V963-001 - CABLE ASSY WR113</v>
      </c>
      <c r="L2212">
        <v>1</v>
      </c>
      <c r="M2212" t="str">
        <f>"יח"</f>
        <v>יח</v>
      </c>
      <c r="N2212">
        <v>1</v>
      </c>
      <c r="O2212" t="str">
        <f>"יח"</f>
        <v>יח</v>
      </c>
      <c r="P2212">
        <v>205.8</v>
      </c>
      <c r="Q2212" t="str">
        <f>"$"</f>
        <v>$</v>
      </c>
      <c r="R2212" t="str">
        <f>"ידני"</f>
        <v>ידני</v>
      </c>
      <c r="S2212">
        <v>0</v>
      </c>
      <c r="T2212">
        <v>205.8</v>
      </c>
      <c r="U2212">
        <v>0</v>
      </c>
      <c r="V2212">
        <v>205.8</v>
      </c>
      <c r="W2212" t="str">
        <f>"$"</f>
        <v>$</v>
      </c>
      <c r="X2212">
        <v>0</v>
      </c>
      <c r="Y2212">
        <v>0</v>
      </c>
      <c r="Z2212">
        <v>0</v>
      </c>
      <c r="AA2212" t="str">
        <f>"Y"</f>
        <v>Y</v>
      </c>
      <c r="AC2212">
        <v>0</v>
      </c>
      <c r="AM2212" t="str">
        <f>"10"</f>
        <v>10</v>
      </c>
      <c r="AN2212" t="str">
        <f>"500000"</f>
        <v>500000</v>
      </c>
      <c r="AO2212" t="str">
        <f>"הכנסות  מלקוחות"</f>
        <v>הכנסות  מלקוחות</v>
      </c>
      <c r="AP2212" t="str">
        <f>"Y"</f>
        <v>Y</v>
      </c>
      <c r="AQ2212" t="str">
        <f>"034"</f>
        <v>034</v>
      </c>
      <c r="AR2212">
        <v>0</v>
      </c>
      <c r="AS2212">
        <v>0</v>
      </c>
      <c r="AT2212">
        <v>3.2309999999999999</v>
      </c>
      <c r="BD2212" t="str">
        <f>"ערן שלו"</f>
        <v>ערן שלו</v>
      </c>
    </row>
    <row r="2213" spans="1:56" x14ac:dyDescent="0.3">
      <c r="A2213" s="1">
        <v>44452</v>
      </c>
      <c r="B2213" t="str">
        <f>"CR217000035"</f>
        <v>CR217000035</v>
      </c>
      <c r="C2213" t="str">
        <f>"PR20000524"</f>
        <v>PR20000524</v>
      </c>
      <c r="E2213" t="str">
        <f>"Y"</f>
        <v>Y</v>
      </c>
      <c r="F2213" t="str">
        <f>"חשבוניות זיכוי"</f>
        <v>חשבוניות זיכוי</v>
      </c>
      <c r="G2213" t="str">
        <f>"700065"</f>
        <v>700065</v>
      </c>
      <c r="H2213" t="str">
        <f>"אלתא מערכות בע""מ"</f>
        <v>אלתא מערכות בע"מ</v>
      </c>
      <c r="I2213" t="str">
        <f>"10"</f>
        <v>10</v>
      </c>
      <c r="J2213" t="str">
        <f>"OP-AR01658"</f>
        <v>OP-AR01658</v>
      </c>
      <c r="K2213" t="str">
        <f>"1041G355-001 W355 - LIMIT SWITCHES, CU RACK TO P"</f>
        <v>1041G355-001 W355 - LIMIT SWITCHES, CU RACK TO P</v>
      </c>
      <c r="L2213">
        <v>1</v>
      </c>
      <c r="M2213" t="str">
        <f>"יח"</f>
        <v>יח</v>
      </c>
      <c r="N2213">
        <v>1</v>
      </c>
      <c r="O2213" t="str">
        <f>"יח"</f>
        <v>יח</v>
      </c>
      <c r="P2213">
        <v>59.89</v>
      </c>
      <c r="Q2213" t="str">
        <f>"$"</f>
        <v>$</v>
      </c>
      <c r="R2213" t="str">
        <f>"ידני"</f>
        <v>ידני</v>
      </c>
      <c r="S2213">
        <v>0</v>
      </c>
      <c r="T2213">
        <v>59.89</v>
      </c>
      <c r="U2213">
        <v>0</v>
      </c>
      <c r="V2213">
        <v>59.89</v>
      </c>
      <c r="W2213" t="str">
        <f>"$"</f>
        <v>$</v>
      </c>
      <c r="X2213">
        <v>0</v>
      </c>
      <c r="Y2213">
        <v>0</v>
      </c>
      <c r="Z2213">
        <v>0</v>
      </c>
      <c r="AA2213" t="str">
        <f>"Y"</f>
        <v>Y</v>
      </c>
      <c r="AC2213">
        <v>0</v>
      </c>
      <c r="AM2213" t="str">
        <f>"10"</f>
        <v>10</v>
      </c>
      <c r="AN2213" t="str">
        <f>"500000"</f>
        <v>500000</v>
      </c>
      <c r="AO2213" t="str">
        <f>"הכנסות  מלקוחות"</f>
        <v>הכנסות  מלקוחות</v>
      </c>
      <c r="AP2213" t="str">
        <f>"Y"</f>
        <v>Y</v>
      </c>
      <c r="AQ2213" t="str">
        <f>"034"</f>
        <v>034</v>
      </c>
      <c r="AR2213">
        <v>0</v>
      </c>
      <c r="AS2213">
        <v>0</v>
      </c>
      <c r="AT2213">
        <v>3.2309999999999999</v>
      </c>
      <c r="BD2213" t="str">
        <f>"ערן שלו"</f>
        <v>ערן שלו</v>
      </c>
    </row>
    <row r="2214" spans="1:56" x14ac:dyDescent="0.3">
      <c r="A2214" s="1">
        <v>44452</v>
      </c>
      <c r="B2214" t="str">
        <f>"CR217000034"</f>
        <v>CR217000034</v>
      </c>
      <c r="C2214" t="str">
        <f>"PR20000570"</f>
        <v>PR20000570</v>
      </c>
      <c r="E2214" t="str">
        <f>"Y"</f>
        <v>Y</v>
      </c>
      <c r="F2214" t="str">
        <f>"חשבוניות זיכוי"</f>
        <v>חשבוניות זיכוי</v>
      </c>
      <c r="G2214" t="str">
        <f>"700065"</f>
        <v>700065</v>
      </c>
      <c r="H2214" t="str">
        <f>"אלתא מערכות בע""מ"</f>
        <v>אלתא מערכות בע"מ</v>
      </c>
      <c r="I2214" t="str">
        <f>"10"</f>
        <v>10</v>
      </c>
      <c r="J2214" t="str">
        <f>"OP-AR01780"</f>
        <v>OP-AR01780</v>
      </c>
      <c r="K2214" t="str">
        <f>"1036U471-001 WP471 - PYLON LEFT SW2"</f>
        <v>1036U471-001 WP471 - PYLON LEFT SW2</v>
      </c>
      <c r="L2214">
        <v>1</v>
      </c>
      <c r="M2214" t="str">
        <f>"יח"</f>
        <v>יח</v>
      </c>
      <c r="N2214">
        <v>1</v>
      </c>
      <c r="O2214" t="str">
        <f>"יח"</f>
        <v>יח</v>
      </c>
      <c r="P2214">
        <v>73.069999999999993</v>
      </c>
      <c r="Q2214" t="str">
        <f>"$"</f>
        <v>$</v>
      </c>
      <c r="R2214" t="str">
        <f>"ידני"</f>
        <v>ידני</v>
      </c>
      <c r="S2214">
        <v>0</v>
      </c>
      <c r="T2214">
        <v>73.069999999999993</v>
      </c>
      <c r="U2214">
        <v>0</v>
      </c>
      <c r="V2214">
        <v>73.069999999999993</v>
      </c>
      <c r="W2214" t="str">
        <f>"$"</f>
        <v>$</v>
      </c>
      <c r="X2214">
        <v>0</v>
      </c>
      <c r="Y2214">
        <v>0</v>
      </c>
      <c r="Z2214">
        <v>0</v>
      </c>
      <c r="AA2214" t="str">
        <f>"Y"</f>
        <v>Y</v>
      </c>
      <c r="AC2214">
        <v>0</v>
      </c>
      <c r="AM2214" t="str">
        <f>"10"</f>
        <v>10</v>
      </c>
      <c r="AN2214" t="str">
        <f>"500000"</f>
        <v>500000</v>
      </c>
      <c r="AO2214" t="str">
        <f>"הכנסות  מלקוחות"</f>
        <v>הכנסות  מלקוחות</v>
      </c>
      <c r="AP2214" t="str">
        <f>"Y"</f>
        <v>Y</v>
      </c>
      <c r="AQ2214" t="str">
        <f>"034"</f>
        <v>034</v>
      </c>
      <c r="AR2214">
        <v>0</v>
      </c>
      <c r="AS2214">
        <v>0</v>
      </c>
      <c r="AT2214">
        <v>3.2309999999999999</v>
      </c>
      <c r="BD2214" t="str">
        <f>"ערן שלו"</f>
        <v>ערן שלו</v>
      </c>
    </row>
    <row r="2215" spans="1:56" x14ac:dyDescent="0.3">
      <c r="A2215" s="1">
        <v>44452</v>
      </c>
      <c r="B2215" t="str">
        <f>"CR217000034"</f>
        <v>CR217000034</v>
      </c>
      <c r="C2215" t="str">
        <f>"PR20000570"</f>
        <v>PR20000570</v>
      </c>
      <c r="E2215" t="str">
        <f>"Y"</f>
        <v>Y</v>
      </c>
      <c r="F2215" t="str">
        <f>"חשבוניות זיכוי"</f>
        <v>חשבוניות זיכוי</v>
      </c>
      <c r="G2215" t="str">
        <f>"700065"</f>
        <v>700065</v>
      </c>
      <c r="H2215" t="str">
        <f>"אלתא מערכות בע""מ"</f>
        <v>אלתא מערכות בע"מ</v>
      </c>
      <c r="I2215" t="str">
        <f>"10"</f>
        <v>10</v>
      </c>
      <c r="J2215" t="str">
        <f>"OP-AR01753"</f>
        <v>OP-AR01753</v>
      </c>
      <c r="K2215" t="str">
        <f>"1039V355-001 WP355 - POWER PDB to LTSU and LOAD"</f>
        <v>1039V355-001 WP355 - POWER PDB to LTSU and LOAD</v>
      </c>
      <c r="L2215">
        <v>1</v>
      </c>
      <c r="M2215" t="str">
        <f>"יח"</f>
        <v>יח</v>
      </c>
      <c r="N2215">
        <v>1</v>
      </c>
      <c r="O2215" t="str">
        <f>"יח"</f>
        <v>יח</v>
      </c>
      <c r="P2215">
        <v>93.81</v>
      </c>
      <c r="Q2215" t="str">
        <f>"$"</f>
        <v>$</v>
      </c>
      <c r="R2215" t="str">
        <f>"ידני"</f>
        <v>ידני</v>
      </c>
      <c r="S2215">
        <v>0</v>
      </c>
      <c r="T2215">
        <v>93.81</v>
      </c>
      <c r="U2215">
        <v>0</v>
      </c>
      <c r="V2215">
        <v>93.81</v>
      </c>
      <c r="W2215" t="str">
        <f>"$"</f>
        <v>$</v>
      </c>
      <c r="X2215">
        <v>0</v>
      </c>
      <c r="Y2215">
        <v>0</v>
      </c>
      <c r="Z2215">
        <v>0</v>
      </c>
      <c r="AA2215" t="str">
        <f>"Y"</f>
        <v>Y</v>
      </c>
      <c r="AC2215">
        <v>0</v>
      </c>
      <c r="AM2215" t="str">
        <f>"10"</f>
        <v>10</v>
      </c>
      <c r="AN2215" t="str">
        <f>"500000"</f>
        <v>500000</v>
      </c>
      <c r="AO2215" t="str">
        <f>"הכנסות  מלקוחות"</f>
        <v>הכנסות  מלקוחות</v>
      </c>
      <c r="AP2215" t="str">
        <f>"Y"</f>
        <v>Y</v>
      </c>
      <c r="AQ2215" t="str">
        <f>"034"</f>
        <v>034</v>
      </c>
      <c r="AR2215">
        <v>0</v>
      </c>
      <c r="AS2215">
        <v>0</v>
      </c>
      <c r="AT2215">
        <v>3.2309999999999999</v>
      </c>
      <c r="BD2215" t="str">
        <f>"ערן שלו"</f>
        <v>ערן שלו</v>
      </c>
    </row>
    <row r="2216" spans="1:56" x14ac:dyDescent="0.3">
      <c r="A2216" s="1">
        <v>44452</v>
      </c>
      <c r="B2216" t="str">
        <f>"CR217000033"</f>
        <v>CR217000033</v>
      </c>
      <c r="C2216" t="str">
        <f>"PR20000495"</f>
        <v>PR20000495</v>
      </c>
      <c r="E2216" t="str">
        <f>"Y"</f>
        <v>Y</v>
      </c>
      <c r="F2216" t="str">
        <f>"חשבוניות זיכוי"</f>
        <v>חשבוניות זיכוי</v>
      </c>
      <c r="G2216" t="str">
        <f>"700065"</f>
        <v>700065</v>
      </c>
      <c r="H2216" t="str">
        <f>"אלתא מערכות בע""מ"</f>
        <v>אלתא מערכות בע"מ</v>
      </c>
      <c r="I2216" t="str">
        <f>"10"</f>
        <v>10</v>
      </c>
      <c r="J2216" t="str">
        <f>"OP-AR01894"</f>
        <v>OP-AR01894</v>
      </c>
      <c r="K2216" t="str">
        <f>"1027L257-001 - CABLE ASSY WR007"</f>
        <v>1027L257-001 - CABLE ASSY WR007</v>
      </c>
      <c r="L2216">
        <v>1</v>
      </c>
      <c r="M2216" t="str">
        <f>"יח"</f>
        <v>יח</v>
      </c>
      <c r="N2216">
        <v>1</v>
      </c>
      <c r="O2216" t="str">
        <f>"יח"</f>
        <v>יח</v>
      </c>
      <c r="P2216">
        <v>55.02</v>
      </c>
      <c r="Q2216" t="str">
        <f>"$"</f>
        <v>$</v>
      </c>
      <c r="R2216" t="str">
        <f>"ידני"</f>
        <v>ידני</v>
      </c>
      <c r="S2216">
        <v>0</v>
      </c>
      <c r="T2216">
        <v>55.02</v>
      </c>
      <c r="U2216">
        <v>0</v>
      </c>
      <c r="V2216">
        <v>55.02</v>
      </c>
      <c r="W2216" t="str">
        <f>"$"</f>
        <v>$</v>
      </c>
      <c r="X2216">
        <v>0</v>
      </c>
      <c r="Y2216">
        <v>0</v>
      </c>
      <c r="Z2216">
        <v>0</v>
      </c>
      <c r="AA2216" t="str">
        <f>"Y"</f>
        <v>Y</v>
      </c>
      <c r="AC2216">
        <v>0</v>
      </c>
      <c r="AM2216" t="str">
        <f>"10"</f>
        <v>10</v>
      </c>
      <c r="AN2216" t="str">
        <f>"500000"</f>
        <v>500000</v>
      </c>
      <c r="AO2216" t="str">
        <f>"הכנסות  מלקוחות"</f>
        <v>הכנסות  מלקוחות</v>
      </c>
      <c r="AP2216" t="str">
        <f>"Y"</f>
        <v>Y</v>
      </c>
      <c r="AQ2216" t="str">
        <f>"034"</f>
        <v>034</v>
      </c>
      <c r="AR2216">
        <v>0</v>
      </c>
      <c r="AS2216">
        <v>0</v>
      </c>
      <c r="AT2216">
        <v>3.2309999999999999</v>
      </c>
      <c r="BD2216" t="str">
        <f>"ערן שלו"</f>
        <v>ערן שלו</v>
      </c>
    </row>
    <row r="2217" spans="1:56" x14ac:dyDescent="0.3">
      <c r="A2217" s="1">
        <v>44452</v>
      </c>
      <c r="B2217" t="str">
        <f>"CR217000033"</f>
        <v>CR217000033</v>
      </c>
      <c r="C2217" t="str">
        <f>"PR20000495"</f>
        <v>PR20000495</v>
      </c>
      <c r="E2217" t="str">
        <f>"Y"</f>
        <v>Y</v>
      </c>
      <c r="F2217" t="str">
        <f>"חשבוניות זיכוי"</f>
        <v>חשבוניות זיכוי</v>
      </c>
      <c r="G2217" t="str">
        <f>"700065"</f>
        <v>700065</v>
      </c>
      <c r="H2217" t="str">
        <f>"אלתא מערכות בע""מ"</f>
        <v>אלתא מערכות בע"מ</v>
      </c>
      <c r="I2217" t="str">
        <f>"10"</f>
        <v>10</v>
      </c>
      <c r="J2217" t="str">
        <f>"OP-AR01895"</f>
        <v>OP-AR01895</v>
      </c>
      <c r="K2217" t="str">
        <f>"1027L258-002 - CABLE ASSY WR008"</f>
        <v>1027L258-002 - CABLE ASSY WR008</v>
      </c>
      <c r="L2217">
        <v>1</v>
      </c>
      <c r="M2217" t="str">
        <f>"יח"</f>
        <v>יח</v>
      </c>
      <c r="N2217">
        <v>1</v>
      </c>
      <c r="O2217" t="str">
        <f>"יח"</f>
        <v>יח</v>
      </c>
      <c r="P2217">
        <v>63.44</v>
      </c>
      <c r="Q2217" t="str">
        <f>"$"</f>
        <v>$</v>
      </c>
      <c r="R2217" t="str">
        <f>"ידני"</f>
        <v>ידני</v>
      </c>
      <c r="S2217">
        <v>0</v>
      </c>
      <c r="T2217">
        <v>63.44</v>
      </c>
      <c r="U2217">
        <v>0</v>
      </c>
      <c r="V2217">
        <v>63.44</v>
      </c>
      <c r="W2217" t="str">
        <f>"$"</f>
        <v>$</v>
      </c>
      <c r="X2217">
        <v>0</v>
      </c>
      <c r="Y2217">
        <v>0</v>
      </c>
      <c r="Z2217">
        <v>0</v>
      </c>
      <c r="AA2217" t="str">
        <f>"Y"</f>
        <v>Y</v>
      </c>
      <c r="AC2217">
        <v>0</v>
      </c>
      <c r="AM2217" t="str">
        <f>"10"</f>
        <v>10</v>
      </c>
      <c r="AN2217" t="str">
        <f>"500000"</f>
        <v>500000</v>
      </c>
      <c r="AO2217" t="str">
        <f>"הכנסות  מלקוחות"</f>
        <v>הכנסות  מלקוחות</v>
      </c>
      <c r="AP2217" t="str">
        <f>"Y"</f>
        <v>Y</v>
      </c>
      <c r="AQ2217" t="str">
        <f>"034"</f>
        <v>034</v>
      </c>
      <c r="AR2217">
        <v>0</v>
      </c>
      <c r="AS2217">
        <v>0</v>
      </c>
      <c r="AT2217">
        <v>3.2309999999999999</v>
      </c>
      <c r="BD2217" t="str">
        <f>"ערן שלו"</f>
        <v>ערן שלו</v>
      </c>
    </row>
    <row r="2218" spans="1:56" x14ac:dyDescent="0.3">
      <c r="A2218" s="1">
        <v>44452</v>
      </c>
      <c r="B2218" t="str">
        <f>"CR217000033"</f>
        <v>CR217000033</v>
      </c>
      <c r="C2218" t="str">
        <f>"PR20000495"</f>
        <v>PR20000495</v>
      </c>
      <c r="E2218" t="str">
        <f>"Y"</f>
        <v>Y</v>
      </c>
      <c r="F2218" t="str">
        <f>"חשבוניות זיכוי"</f>
        <v>חשבוניות זיכוי</v>
      </c>
      <c r="G2218" t="str">
        <f>"700065"</f>
        <v>700065</v>
      </c>
      <c r="H2218" t="str">
        <f>"אלתא מערכות בע""מ"</f>
        <v>אלתא מערכות בע"מ</v>
      </c>
      <c r="I2218" t="str">
        <f>"10"</f>
        <v>10</v>
      </c>
      <c r="J2218" t="str">
        <f>"OP-AR01897"</f>
        <v>OP-AR01897</v>
      </c>
      <c r="K2218" t="str">
        <f>"1027L251-001 - CABLE ASSY WR001"</f>
        <v>1027L251-001 - CABLE ASSY WR001</v>
      </c>
      <c r="L2218">
        <v>1</v>
      </c>
      <c r="M2218" t="str">
        <f>"יח"</f>
        <v>יח</v>
      </c>
      <c r="N2218">
        <v>1</v>
      </c>
      <c r="O2218" t="str">
        <f>"יח"</f>
        <v>יח</v>
      </c>
      <c r="P2218">
        <v>146.34</v>
      </c>
      <c r="Q2218" t="str">
        <f>"$"</f>
        <v>$</v>
      </c>
      <c r="R2218" t="str">
        <f>"ידני"</f>
        <v>ידני</v>
      </c>
      <c r="S2218">
        <v>0</v>
      </c>
      <c r="T2218">
        <v>146.34</v>
      </c>
      <c r="U2218">
        <v>0</v>
      </c>
      <c r="V2218">
        <v>146.34</v>
      </c>
      <c r="W2218" t="str">
        <f>"$"</f>
        <v>$</v>
      </c>
      <c r="X2218">
        <v>0</v>
      </c>
      <c r="Y2218">
        <v>0</v>
      </c>
      <c r="Z2218">
        <v>0</v>
      </c>
      <c r="AA2218" t="str">
        <f>"Y"</f>
        <v>Y</v>
      </c>
      <c r="AC2218">
        <v>0</v>
      </c>
      <c r="AM2218" t="str">
        <f>"10"</f>
        <v>10</v>
      </c>
      <c r="AN2218" t="str">
        <f>"500000"</f>
        <v>500000</v>
      </c>
      <c r="AO2218" t="str">
        <f>"הכנסות  מלקוחות"</f>
        <v>הכנסות  מלקוחות</v>
      </c>
      <c r="AP2218" t="str">
        <f>"Y"</f>
        <v>Y</v>
      </c>
      <c r="AQ2218" t="str">
        <f>"034"</f>
        <v>034</v>
      </c>
      <c r="AR2218">
        <v>0</v>
      </c>
      <c r="AS2218">
        <v>0</v>
      </c>
      <c r="AT2218">
        <v>3.2309999999999999</v>
      </c>
      <c r="BD2218" t="str">
        <f>"ערן שלו"</f>
        <v>ערן שלו</v>
      </c>
    </row>
    <row r="2219" spans="1:56" x14ac:dyDescent="0.3">
      <c r="A2219" s="1">
        <v>44452</v>
      </c>
      <c r="B2219" t="str">
        <f>"CR217000032"</f>
        <v>CR217000032</v>
      </c>
      <c r="C2219" t="str">
        <f>"PR20000499"</f>
        <v>PR20000499</v>
      </c>
      <c r="E2219" t="str">
        <f>"Y"</f>
        <v>Y</v>
      </c>
      <c r="F2219" t="str">
        <f>"חשבוניות זיכוי"</f>
        <v>חשבוניות זיכוי</v>
      </c>
      <c r="G2219" t="str">
        <f>"700065"</f>
        <v>700065</v>
      </c>
      <c r="H2219" t="str">
        <f>"אלתא מערכות בע""מ"</f>
        <v>אלתא מערכות בע"מ</v>
      </c>
      <c r="I2219" t="str">
        <f>"10"</f>
        <v>10</v>
      </c>
      <c r="J2219" t="str">
        <f>"OP-AR01907"</f>
        <v>OP-AR01907</v>
      </c>
      <c r="K2219" t="str">
        <f>"1013P660-001/A CABLE ASSY 1W41"</f>
        <v>1013P660-001/A CABLE ASSY 1W41</v>
      </c>
      <c r="L2219">
        <v>1</v>
      </c>
      <c r="M2219" t="str">
        <f>"יח"</f>
        <v>יח</v>
      </c>
      <c r="N2219">
        <v>1</v>
      </c>
      <c r="O2219" t="str">
        <f>"יח"</f>
        <v>יח</v>
      </c>
      <c r="P2219">
        <v>31.65</v>
      </c>
      <c r="Q2219" t="str">
        <f>"$"</f>
        <v>$</v>
      </c>
      <c r="R2219" t="str">
        <f>"ידני"</f>
        <v>ידני</v>
      </c>
      <c r="S2219">
        <v>0</v>
      </c>
      <c r="T2219">
        <v>31.65</v>
      </c>
      <c r="U2219">
        <v>0</v>
      </c>
      <c r="V2219">
        <v>31.65</v>
      </c>
      <c r="W2219" t="str">
        <f>"$"</f>
        <v>$</v>
      </c>
      <c r="X2219">
        <v>0</v>
      </c>
      <c r="Y2219">
        <v>0</v>
      </c>
      <c r="Z2219">
        <v>0</v>
      </c>
      <c r="AA2219" t="str">
        <f>"Y"</f>
        <v>Y</v>
      </c>
      <c r="AC2219">
        <v>0</v>
      </c>
      <c r="AM2219" t="str">
        <f>"10"</f>
        <v>10</v>
      </c>
      <c r="AN2219" t="str">
        <f>"500000"</f>
        <v>500000</v>
      </c>
      <c r="AO2219" t="str">
        <f>"הכנסות  מלקוחות"</f>
        <v>הכנסות  מלקוחות</v>
      </c>
      <c r="AP2219" t="str">
        <f>"Y"</f>
        <v>Y</v>
      </c>
      <c r="AQ2219" t="str">
        <f>"034"</f>
        <v>034</v>
      </c>
      <c r="AR2219">
        <v>0</v>
      </c>
      <c r="AS2219">
        <v>0</v>
      </c>
      <c r="AT2219">
        <v>3.2309999999999999</v>
      </c>
      <c r="BD2219" t="str">
        <f>"ערן שלו"</f>
        <v>ערן שלו</v>
      </c>
    </row>
    <row r="2220" spans="1:56" x14ac:dyDescent="0.3">
      <c r="A2220" s="1">
        <v>44452</v>
      </c>
      <c r="B2220" t="str">
        <f>"CR217000032"</f>
        <v>CR217000032</v>
      </c>
      <c r="C2220" t="str">
        <f>"PR20000499"</f>
        <v>PR20000499</v>
      </c>
      <c r="E2220" t="str">
        <f>"Y"</f>
        <v>Y</v>
      </c>
      <c r="F2220" t="str">
        <f>"חשבוניות זיכוי"</f>
        <v>חשבוניות זיכוי</v>
      </c>
      <c r="G2220" t="str">
        <f>"700065"</f>
        <v>700065</v>
      </c>
      <c r="H2220" t="str">
        <f>"אלתא מערכות בע""מ"</f>
        <v>אלתא מערכות בע"מ</v>
      </c>
      <c r="I2220" t="str">
        <f>"10"</f>
        <v>10</v>
      </c>
      <c r="J2220" t="str">
        <f>"OP-AR01913"</f>
        <v>OP-AR01913</v>
      </c>
      <c r="K2220" t="str">
        <f>"1013P651-001/- CABLE ASSY 1W8"</f>
        <v>1013P651-001/- CABLE ASSY 1W8</v>
      </c>
      <c r="L2220">
        <v>1</v>
      </c>
      <c r="M2220" t="str">
        <f>"יח"</f>
        <v>יח</v>
      </c>
      <c r="N2220">
        <v>1</v>
      </c>
      <c r="O2220" t="str">
        <f>"יח"</f>
        <v>יח</v>
      </c>
      <c r="P2220">
        <v>25.18</v>
      </c>
      <c r="Q2220" t="str">
        <f>"$"</f>
        <v>$</v>
      </c>
      <c r="R2220" t="str">
        <f>"ידני"</f>
        <v>ידני</v>
      </c>
      <c r="S2220">
        <v>0</v>
      </c>
      <c r="T2220">
        <v>25.18</v>
      </c>
      <c r="U2220">
        <v>0</v>
      </c>
      <c r="V2220">
        <v>25.18</v>
      </c>
      <c r="W2220" t="str">
        <f>"$"</f>
        <v>$</v>
      </c>
      <c r="X2220">
        <v>0</v>
      </c>
      <c r="Y2220">
        <v>0</v>
      </c>
      <c r="Z2220">
        <v>0</v>
      </c>
      <c r="AA2220" t="str">
        <f>"Y"</f>
        <v>Y</v>
      </c>
      <c r="AC2220">
        <v>0</v>
      </c>
      <c r="AM2220" t="str">
        <f>"10"</f>
        <v>10</v>
      </c>
      <c r="AN2220" t="str">
        <f>"500000"</f>
        <v>500000</v>
      </c>
      <c r="AO2220" t="str">
        <f>"הכנסות  מלקוחות"</f>
        <v>הכנסות  מלקוחות</v>
      </c>
      <c r="AP2220" t="str">
        <f>"Y"</f>
        <v>Y</v>
      </c>
      <c r="AQ2220" t="str">
        <f>"034"</f>
        <v>034</v>
      </c>
      <c r="AR2220">
        <v>0</v>
      </c>
      <c r="AS2220">
        <v>0</v>
      </c>
      <c r="AT2220">
        <v>3.2309999999999999</v>
      </c>
      <c r="BD2220" t="str">
        <f>"ערן שלו"</f>
        <v>ערן שלו</v>
      </c>
    </row>
    <row r="2221" spans="1:56" x14ac:dyDescent="0.3">
      <c r="A2221" s="1">
        <v>44452</v>
      </c>
      <c r="B2221" t="str">
        <f>"CR217000031"</f>
        <v>CR217000031</v>
      </c>
      <c r="C2221" t="str">
        <f>"PR20000495"</f>
        <v>PR20000495</v>
      </c>
      <c r="E2221" t="str">
        <f>"Y"</f>
        <v>Y</v>
      </c>
      <c r="F2221" t="str">
        <f>"חשבוניות זיכוי"</f>
        <v>חשבוניות זיכוי</v>
      </c>
      <c r="G2221" t="str">
        <f>"700065"</f>
        <v>700065</v>
      </c>
      <c r="H2221" t="str">
        <f>"אלתא מערכות בע""מ"</f>
        <v>אלתא מערכות בע"מ</v>
      </c>
      <c r="I2221" t="str">
        <f>"10"</f>
        <v>10</v>
      </c>
      <c r="J2221" t="str">
        <f>"OP-AR01899"</f>
        <v>OP-AR01899</v>
      </c>
      <c r="K2221" t="str">
        <f>"1039V959-002 - CABLE ASSY WR109"</f>
        <v>1039V959-002 - CABLE ASSY WR109</v>
      </c>
      <c r="L2221">
        <v>1</v>
      </c>
      <c r="M2221" t="str">
        <f>"יח"</f>
        <v>יח</v>
      </c>
      <c r="N2221">
        <v>1</v>
      </c>
      <c r="O2221" t="str">
        <f>"יח"</f>
        <v>יח</v>
      </c>
      <c r="P2221">
        <v>67.739999999999995</v>
      </c>
      <c r="Q2221" t="str">
        <f>"$"</f>
        <v>$</v>
      </c>
      <c r="R2221" t="str">
        <f>"ידני"</f>
        <v>ידני</v>
      </c>
      <c r="S2221">
        <v>0</v>
      </c>
      <c r="T2221">
        <v>67.739999999999995</v>
      </c>
      <c r="U2221">
        <v>0</v>
      </c>
      <c r="V2221">
        <v>67.739999999999995</v>
      </c>
      <c r="W2221" t="str">
        <f>"$"</f>
        <v>$</v>
      </c>
      <c r="X2221">
        <v>0</v>
      </c>
      <c r="Y2221">
        <v>0</v>
      </c>
      <c r="Z2221">
        <v>0</v>
      </c>
      <c r="AA2221" t="str">
        <f>"Y"</f>
        <v>Y</v>
      </c>
      <c r="AC2221">
        <v>0</v>
      </c>
      <c r="AM2221" t="str">
        <f>"10"</f>
        <v>10</v>
      </c>
      <c r="AN2221" t="str">
        <f>"500000"</f>
        <v>500000</v>
      </c>
      <c r="AO2221" t="str">
        <f>"הכנסות  מלקוחות"</f>
        <v>הכנסות  מלקוחות</v>
      </c>
      <c r="AP2221" t="str">
        <f>"Y"</f>
        <v>Y</v>
      </c>
      <c r="AQ2221" t="str">
        <f>"034"</f>
        <v>034</v>
      </c>
      <c r="AR2221">
        <v>0</v>
      </c>
      <c r="AS2221">
        <v>0</v>
      </c>
      <c r="AT2221">
        <v>3.254</v>
      </c>
      <c r="BD2221" t="str">
        <f>"ערן שלו"</f>
        <v>ערן שלו</v>
      </c>
    </row>
    <row r="2222" spans="1:56" x14ac:dyDescent="0.3">
      <c r="A2222" s="1">
        <v>44452</v>
      </c>
      <c r="B2222" t="str">
        <f>"CR217000031"</f>
        <v>CR217000031</v>
      </c>
      <c r="C2222" t="str">
        <f>"PR20000495"</f>
        <v>PR20000495</v>
      </c>
      <c r="E2222" t="str">
        <f>"Y"</f>
        <v>Y</v>
      </c>
      <c r="F2222" t="str">
        <f>"חשבוניות זיכוי"</f>
        <v>חשבוניות זיכוי</v>
      </c>
      <c r="G2222" t="str">
        <f>"700065"</f>
        <v>700065</v>
      </c>
      <c r="H2222" t="str">
        <f>"אלתא מערכות בע""מ"</f>
        <v>אלתא מערכות בע"מ</v>
      </c>
      <c r="I2222" t="str">
        <f>"10"</f>
        <v>10</v>
      </c>
      <c r="J2222" t="str">
        <f>"OP-AR01900"</f>
        <v>OP-AR01900</v>
      </c>
      <c r="K2222" t="str">
        <f>"1039V963-001 - CABLE ASSY WR113"</f>
        <v>1039V963-001 - CABLE ASSY WR113</v>
      </c>
      <c r="L2222">
        <v>1</v>
      </c>
      <c r="M2222" t="str">
        <f>"יח"</f>
        <v>יח</v>
      </c>
      <c r="N2222">
        <v>1</v>
      </c>
      <c r="O2222" t="str">
        <f>"יח"</f>
        <v>יח</v>
      </c>
      <c r="P2222">
        <v>40.020000000000003</v>
      </c>
      <c r="Q2222" t="str">
        <f>"$"</f>
        <v>$</v>
      </c>
      <c r="R2222" t="str">
        <f>"ידני"</f>
        <v>ידני</v>
      </c>
      <c r="S2222">
        <v>0</v>
      </c>
      <c r="T2222">
        <v>40.020000000000003</v>
      </c>
      <c r="U2222">
        <v>0</v>
      </c>
      <c r="V2222">
        <v>40.020000000000003</v>
      </c>
      <c r="W2222" t="str">
        <f>"$"</f>
        <v>$</v>
      </c>
      <c r="X2222">
        <v>0</v>
      </c>
      <c r="Y2222">
        <v>0</v>
      </c>
      <c r="Z2222">
        <v>0</v>
      </c>
      <c r="AA2222" t="str">
        <f>"Y"</f>
        <v>Y</v>
      </c>
      <c r="AC2222">
        <v>0</v>
      </c>
      <c r="AM2222" t="str">
        <f>"10"</f>
        <v>10</v>
      </c>
      <c r="AN2222" t="str">
        <f>"500000"</f>
        <v>500000</v>
      </c>
      <c r="AO2222" t="str">
        <f>"הכנסות  מלקוחות"</f>
        <v>הכנסות  מלקוחות</v>
      </c>
      <c r="AP2222" t="str">
        <f>"Y"</f>
        <v>Y</v>
      </c>
      <c r="AQ2222" t="str">
        <f>"034"</f>
        <v>034</v>
      </c>
      <c r="AR2222">
        <v>0</v>
      </c>
      <c r="AS2222">
        <v>0</v>
      </c>
      <c r="AT2222">
        <v>3.254</v>
      </c>
      <c r="BD2222" t="str">
        <f>"ערן שלו"</f>
        <v>ערן שלו</v>
      </c>
    </row>
    <row r="2223" spans="1:56" x14ac:dyDescent="0.3">
      <c r="A2223" s="1">
        <v>44452</v>
      </c>
      <c r="B2223" t="str">
        <f>"CR217000031"</f>
        <v>CR217000031</v>
      </c>
      <c r="C2223" t="str">
        <f>"PR20000495"</f>
        <v>PR20000495</v>
      </c>
      <c r="E2223" t="str">
        <f>"Y"</f>
        <v>Y</v>
      </c>
      <c r="F2223" t="str">
        <f>"חשבוניות זיכוי"</f>
        <v>חשבוניות זיכוי</v>
      </c>
      <c r="G2223" t="str">
        <f>"700065"</f>
        <v>700065</v>
      </c>
      <c r="H2223" t="str">
        <f>"אלתא מערכות בע""מ"</f>
        <v>אלתא מערכות בע"מ</v>
      </c>
      <c r="I2223" t="str">
        <f>"10"</f>
        <v>10</v>
      </c>
      <c r="J2223" t="str">
        <f>"OP-AR01902"</f>
        <v>OP-AR01902</v>
      </c>
      <c r="K2223" t="str">
        <f>"1039V964-001 - CABLE ASSY WR114"</f>
        <v>1039V964-001 - CABLE ASSY WR114</v>
      </c>
      <c r="L2223">
        <v>1</v>
      </c>
      <c r="M2223" t="str">
        <f>"יח"</f>
        <v>יח</v>
      </c>
      <c r="N2223">
        <v>1</v>
      </c>
      <c r="O2223" t="str">
        <f>"יח"</f>
        <v>יח</v>
      </c>
      <c r="P2223">
        <v>361.73</v>
      </c>
      <c r="Q2223" t="str">
        <f>"$"</f>
        <v>$</v>
      </c>
      <c r="R2223" t="str">
        <f>"ידני"</f>
        <v>ידני</v>
      </c>
      <c r="S2223">
        <v>0</v>
      </c>
      <c r="T2223">
        <v>361.73</v>
      </c>
      <c r="U2223">
        <v>0</v>
      </c>
      <c r="V2223">
        <v>361.73</v>
      </c>
      <c r="W2223" t="str">
        <f>"$"</f>
        <v>$</v>
      </c>
      <c r="X2223">
        <v>0</v>
      </c>
      <c r="Y2223">
        <v>0</v>
      </c>
      <c r="Z2223">
        <v>0</v>
      </c>
      <c r="AA2223" t="str">
        <f>"Y"</f>
        <v>Y</v>
      </c>
      <c r="AC2223">
        <v>0</v>
      </c>
      <c r="AM2223" t="str">
        <f>"10"</f>
        <v>10</v>
      </c>
      <c r="AN2223" t="str">
        <f>"500000"</f>
        <v>500000</v>
      </c>
      <c r="AO2223" t="str">
        <f>"הכנסות  מלקוחות"</f>
        <v>הכנסות  מלקוחות</v>
      </c>
      <c r="AP2223" t="str">
        <f>"Y"</f>
        <v>Y</v>
      </c>
      <c r="AQ2223" t="str">
        <f>"034"</f>
        <v>034</v>
      </c>
      <c r="AR2223">
        <v>0</v>
      </c>
      <c r="AS2223">
        <v>0</v>
      </c>
      <c r="AT2223">
        <v>3.254</v>
      </c>
      <c r="BD2223" t="str">
        <f>"ערן שלו"</f>
        <v>ערן שלו</v>
      </c>
    </row>
    <row r="2224" spans="1:56" x14ac:dyDescent="0.3">
      <c r="A2224" s="1">
        <v>44452</v>
      </c>
      <c r="B2224" t="str">
        <f>"CR217000031"</f>
        <v>CR217000031</v>
      </c>
      <c r="C2224" t="str">
        <f>"PR20000495"</f>
        <v>PR20000495</v>
      </c>
      <c r="E2224" t="str">
        <f>"Y"</f>
        <v>Y</v>
      </c>
      <c r="F2224" t="str">
        <f>"חשבוניות זיכוי"</f>
        <v>חשבוניות זיכוי</v>
      </c>
      <c r="G2224" t="str">
        <f>"700065"</f>
        <v>700065</v>
      </c>
      <c r="H2224" t="str">
        <f>"אלתא מערכות בע""מ"</f>
        <v>אלתא מערכות בע"מ</v>
      </c>
      <c r="I2224" t="str">
        <f>"10"</f>
        <v>10</v>
      </c>
      <c r="J2224" t="str">
        <f>"OP-AR01903"</f>
        <v>OP-AR01903</v>
      </c>
      <c r="K2224" t="str">
        <f>"1039V966-001 - CABLE ASSY WR116"</f>
        <v>1039V966-001 - CABLE ASSY WR116</v>
      </c>
      <c r="L2224">
        <v>1</v>
      </c>
      <c r="M2224" t="str">
        <f>"יח"</f>
        <v>יח</v>
      </c>
      <c r="N2224">
        <v>1</v>
      </c>
      <c r="O2224" t="str">
        <f>"יח"</f>
        <v>יח</v>
      </c>
      <c r="P2224">
        <v>347.86</v>
      </c>
      <c r="Q2224" t="str">
        <f>"$"</f>
        <v>$</v>
      </c>
      <c r="R2224" t="str">
        <f>"ידני"</f>
        <v>ידני</v>
      </c>
      <c r="S2224">
        <v>0</v>
      </c>
      <c r="T2224">
        <v>347.86</v>
      </c>
      <c r="U2224">
        <v>0</v>
      </c>
      <c r="V2224">
        <v>347.86</v>
      </c>
      <c r="W2224" t="str">
        <f>"$"</f>
        <v>$</v>
      </c>
      <c r="X2224">
        <v>0</v>
      </c>
      <c r="Y2224">
        <v>0</v>
      </c>
      <c r="Z2224">
        <v>0</v>
      </c>
      <c r="AA2224" t="str">
        <f>"Y"</f>
        <v>Y</v>
      </c>
      <c r="AC2224">
        <v>0</v>
      </c>
      <c r="AM2224" t="str">
        <f>"10"</f>
        <v>10</v>
      </c>
      <c r="AN2224" t="str">
        <f>"500000"</f>
        <v>500000</v>
      </c>
      <c r="AO2224" t="str">
        <f>"הכנסות  מלקוחות"</f>
        <v>הכנסות  מלקוחות</v>
      </c>
      <c r="AP2224" t="str">
        <f>"Y"</f>
        <v>Y</v>
      </c>
      <c r="AQ2224" t="str">
        <f>"034"</f>
        <v>034</v>
      </c>
      <c r="AR2224">
        <v>0</v>
      </c>
      <c r="AS2224">
        <v>0</v>
      </c>
      <c r="AT2224">
        <v>3.254</v>
      </c>
      <c r="BD2224" t="str">
        <f>"ערן שלו"</f>
        <v>ערן שלו</v>
      </c>
    </row>
    <row r="2225" spans="1:56" x14ac:dyDescent="0.3">
      <c r="A2225" s="1">
        <v>44452</v>
      </c>
      <c r="B2225" t="str">
        <f>"CR217000030"</f>
        <v>CR217000030</v>
      </c>
      <c r="C2225" t="str">
        <f>"PR20000495"</f>
        <v>PR20000495</v>
      </c>
      <c r="E2225" t="str">
        <f>"Y"</f>
        <v>Y</v>
      </c>
      <c r="F2225" t="str">
        <f>"חשבוניות זיכוי"</f>
        <v>חשבוניות זיכוי</v>
      </c>
      <c r="G2225" t="str">
        <f>"700065"</f>
        <v>700065</v>
      </c>
      <c r="H2225" t="str">
        <f>"אלתא מערכות בע""מ"</f>
        <v>אלתא מערכות בע"מ</v>
      </c>
      <c r="I2225" t="str">
        <f>"10"</f>
        <v>10</v>
      </c>
      <c r="J2225" t="str">
        <f>"OP-AR01899"</f>
        <v>OP-AR01899</v>
      </c>
      <c r="K2225" t="str">
        <f>"1039V959-002 - CABLE ASSY WR109"</f>
        <v>1039V959-002 - CABLE ASSY WR109</v>
      </c>
      <c r="L2225">
        <v>1</v>
      </c>
      <c r="M2225" t="str">
        <f>"יח"</f>
        <v>יח</v>
      </c>
      <c r="N2225">
        <v>1</v>
      </c>
      <c r="O2225" t="str">
        <f>"יח"</f>
        <v>יח</v>
      </c>
      <c r="P2225">
        <v>193.56</v>
      </c>
      <c r="Q2225" t="str">
        <f>"$"</f>
        <v>$</v>
      </c>
      <c r="R2225" t="str">
        <f>"ידני"</f>
        <v>ידני</v>
      </c>
      <c r="S2225">
        <v>0</v>
      </c>
      <c r="T2225">
        <v>193.56</v>
      </c>
      <c r="U2225">
        <v>0</v>
      </c>
      <c r="V2225">
        <v>193.56</v>
      </c>
      <c r="W2225" t="str">
        <f>"$"</f>
        <v>$</v>
      </c>
      <c r="X2225">
        <v>0</v>
      </c>
      <c r="Y2225">
        <v>0</v>
      </c>
      <c r="Z2225">
        <v>0</v>
      </c>
      <c r="AA2225" t="str">
        <f>"Y"</f>
        <v>Y</v>
      </c>
      <c r="AC2225">
        <v>0</v>
      </c>
      <c r="AM2225" t="str">
        <f>"10"</f>
        <v>10</v>
      </c>
      <c r="AN2225" t="str">
        <f>"500000"</f>
        <v>500000</v>
      </c>
      <c r="AO2225" t="str">
        <f>"הכנסות  מלקוחות"</f>
        <v>הכנסות  מלקוחות</v>
      </c>
      <c r="AP2225" t="str">
        <f>"Y"</f>
        <v>Y</v>
      </c>
      <c r="AQ2225" t="str">
        <f>"034"</f>
        <v>034</v>
      </c>
      <c r="AR2225">
        <v>0</v>
      </c>
      <c r="AS2225">
        <v>0</v>
      </c>
      <c r="AT2225">
        <v>3.1869999999999998</v>
      </c>
      <c r="BD2225" t="str">
        <f>"ערן שלו"</f>
        <v>ערן שלו</v>
      </c>
    </row>
    <row r="2226" spans="1:56" x14ac:dyDescent="0.3">
      <c r="A2226" s="1">
        <v>44452</v>
      </c>
      <c r="B2226" t="str">
        <f>"CR217000029"</f>
        <v>CR217000029</v>
      </c>
      <c r="C2226" t="str">
        <f>"PR20000533"</f>
        <v>PR20000533</v>
      </c>
      <c r="E2226" t="str">
        <f>"Y"</f>
        <v>Y</v>
      </c>
      <c r="F2226" t="str">
        <f>"חשבוניות זיכוי"</f>
        <v>חשבוניות זיכוי</v>
      </c>
      <c r="G2226" t="str">
        <f>"700065"</f>
        <v>700065</v>
      </c>
      <c r="H2226" t="str">
        <f>"אלתא מערכות בע""מ"</f>
        <v>אלתא מערכות בע"מ</v>
      </c>
      <c r="I2226" t="str">
        <f>"10"</f>
        <v>10</v>
      </c>
      <c r="J2226" t="str">
        <f>"OP-AR01954"</f>
        <v>OP-AR01954</v>
      </c>
      <c r="K2226" t="str">
        <f>"1031B015-001/- - CABLE ASSY W015"</f>
        <v>1031B015-001/- - CABLE ASSY W015</v>
      </c>
      <c r="L2226">
        <v>1</v>
      </c>
      <c r="M2226" t="str">
        <f>"יח"</f>
        <v>יח</v>
      </c>
      <c r="N2226">
        <v>1</v>
      </c>
      <c r="O2226" t="str">
        <f>"יח"</f>
        <v>יח</v>
      </c>
      <c r="P2226">
        <v>65.12</v>
      </c>
      <c r="Q2226" t="str">
        <f>"$"</f>
        <v>$</v>
      </c>
      <c r="R2226" t="str">
        <f>"ידני"</f>
        <v>ידני</v>
      </c>
      <c r="S2226">
        <v>0</v>
      </c>
      <c r="T2226">
        <v>65.12</v>
      </c>
      <c r="U2226">
        <v>0</v>
      </c>
      <c r="V2226">
        <v>65.12</v>
      </c>
      <c r="W2226" t="str">
        <f>"$"</f>
        <v>$</v>
      </c>
      <c r="X2226">
        <v>0</v>
      </c>
      <c r="Y2226">
        <v>0</v>
      </c>
      <c r="Z2226">
        <v>0</v>
      </c>
      <c r="AA2226" t="str">
        <f>"Y"</f>
        <v>Y</v>
      </c>
      <c r="AC2226">
        <v>0</v>
      </c>
      <c r="AM2226" t="str">
        <f>"10"</f>
        <v>10</v>
      </c>
      <c r="AN2226" t="str">
        <f>"500000"</f>
        <v>500000</v>
      </c>
      <c r="AO2226" t="str">
        <f>"הכנסות  מלקוחות"</f>
        <v>הכנסות  מלקוחות</v>
      </c>
      <c r="AP2226" t="str">
        <f>"Y"</f>
        <v>Y</v>
      </c>
      <c r="AQ2226" t="str">
        <f>"034"</f>
        <v>034</v>
      </c>
      <c r="AR2226">
        <v>0</v>
      </c>
      <c r="AS2226">
        <v>0</v>
      </c>
      <c r="AT2226">
        <v>3.2650000000000001</v>
      </c>
      <c r="BD2226" t="str">
        <f>"ערן שלו"</f>
        <v>ערן שלו</v>
      </c>
    </row>
    <row r="2227" spans="1:56" x14ac:dyDescent="0.3">
      <c r="A2227" s="1">
        <v>44452</v>
      </c>
      <c r="B2227" t="str">
        <f>"CR217000028"</f>
        <v>CR217000028</v>
      </c>
      <c r="C2227" t="str">
        <f>"PR20000348"</f>
        <v>PR20000348</v>
      </c>
      <c r="E2227" t="str">
        <f>"Y"</f>
        <v>Y</v>
      </c>
      <c r="F2227" t="str">
        <f>"חשבוניות זיכוי"</f>
        <v>חשבוניות זיכוי</v>
      </c>
      <c r="G2227" t="str">
        <f>"700065"</f>
        <v>700065</v>
      </c>
      <c r="H2227" t="str">
        <f>"אלתא מערכות בע""מ"</f>
        <v>אלתא מערכות בע"מ</v>
      </c>
      <c r="I2227" t="str">
        <f>"10"</f>
        <v>10</v>
      </c>
      <c r="J2227" t="str">
        <f>"OP-AR01770"</f>
        <v>OP-AR01770</v>
      </c>
      <c r="K2227" t="str">
        <f>"1036U451-001 WP451 - POWER 400VAC PDB TO LRCU"</f>
        <v>1036U451-001 WP451 - POWER 400VAC PDB TO LRCU</v>
      </c>
      <c r="L2227">
        <v>1</v>
      </c>
      <c r="M2227" t="str">
        <f>"יח"</f>
        <v>יח</v>
      </c>
      <c r="N2227">
        <v>1</v>
      </c>
      <c r="O2227" t="str">
        <f>"יח"</f>
        <v>יח</v>
      </c>
      <c r="P2227">
        <v>71.87</v>
      </c>
      <c r="Q2227" t="str">
        <f>"$"</f>
        <v>$</v>
      </c>
      <c r="R2227" t="str">
        <f>"ידני"</f>
        <v>ידני</v>
      </c>
      <c r="S2227">
        <v>0</v>
      </c>
      <c r="T2227">
        <v>71.87</v>
      </c>
      <c r="U2227">
        <v>0</v>
      </c>
      <c r="V2227">
        <v>71.87</v>
      </c>
      <c r="W2227" t="str">
        <f>"$"</f>
        <v>$</v>
      </c>
      <c r="X2227">
        <v>0</v>
      </c>
      <c r="Y2227">
        <v>0</v>
      </c>
      <c r="Z2227">
        <v>0</v>
      </c>
      <c r="AA2227" t="str">
        <f>"Y"</f>
        <v>Y</v>
      </c>
      <c r="AC2227">
        <v>0</v>
      </c>
      <c r="AM2227" t="str">
        <f>"10"</f>
        <v>10</v>
      </c>
      <c r="AN2227" t="str">
        <f>"500000"</f>
        <v>500000</v>
      </c>
      <c r="AO2227" t="str">
        <f>"הכנסות  מלקוחות"</f>
        <v>הכנסות  מלקוחות</v>
      </c>
      <c r="AP2227" t="str">
        <f>"Y"</f>
        <v>Y</v>
      </c>
      <c r="AQ2227" t="str">
        <f>"034"</f>
        <v>034</v>
      </c>
      <c r="AR2227">
        <v>0</v>
      </c>
      <c r="AS2227">
        <v>0</v>
      </c>
      <c r="AT2227">
        <v>3.26</v>
      </c>
      <c r="BD2227" t="str">
        <f>"ערן שלו"</f>
        <v>ערן שלו</v>
      </c>
    </row>
    <row r="2228" spans="1:56" x14ac:dyDescent="0.3">
      <c r="A2228" s="1">
        <v>44452</v>
      </c>
      <c r="B2228" t="str">
        <f>"CR217000027"</f>
        <v>CR217000027</v>
      </c>
      <c r="C2228" t="str">
        <f>"PR20000499"</f>
        <v>PR20000499</v>
      </c>
      <c r="E2228" t="str">
        <f>"Y"</f>
        <v>Y</v>
      </c>
      <c r="F2228" t="str">
        <f>"חשבוניות זיכוי"</f>
        <v>חשבוניות זיכוי</v>
      </c>
      <c r="G2228" t="str">
        <f>"700065"</f>
        <v>700065</v>
      </c>
      <c r="H2228" t="str">
        <f>"אלתא מערכות בע""מ"</f>
        <v>אלתא מערכות בע"מ</v>
      </c>
      <c r="I2228" t="str">
        <f>"10"</f>
        <v>10</v>
      </c>
      <c r="J2228" t="str">
        <f>"OP-AR01919"</f>
        <v>OP-AR01919</v>
      </c>
      <c r="K2228" t="str">
        <f>"1013P130-003 CABLE ASSY 1W47"</f>
        <v>1013P130-003 CABLE ASSY 1W47</v>
      </c>
      <c r="L2228">
        <v>1</v>
      </c>
      <c r="M2228" t="str">
        <f>"יח"</f>
        <v>יח</v>
      </c>
      <c r="N2228">
        <v>1</v>
      </c>
      <c r="O2228" t="str">
        <f>"יח"</f>
        <v>יח</v>
      </c>
      <c r="P2228">
        <v>80.61</v>
      </c>
      <c r="Q2228" t="str">
        <f>"$"</f>
        <v>$</v>
      </c>
      <c r="R2228" t="str">
        <f>"ידני"</f>
        <v>ידני</v>
      </c>
      <c r="S2228">
        <v>0</v>
      </c>
      <c r="T2228">
        <v>80.61</v>
      </c>
      <c r="U2228">
        <v>0</v>
      </c>
      <c r="V2228">
        <v>80.61</v>
      </c>
      <c r="W2228" t="str">
        <f>"$"</f>
        <v>$</v>
      </c>
      <c r="X2228">
        <v>0</v>
      </c>
      <c r="Y2228">
        <v>0</v>
      </c>
      <c r="Z2228">
        <v>0</v>
      </c>
      <c r="AA2228" t="str">
        <f>"Y"</f>
        <v>Y</v>
      </c>
      <c r="AC2228">
        <v>0</v>
      </c>
      <c r="AM2228" t="str">
        <f>"10"</f>
        <v>10</v>
      </c>
      <c r="AN2228" t="str">
        <f>"500000"</f>
        <v>500000</v>
      </c>
      <c r="AO2228" t="str">
        <f>"הכנסות  מלקוחות"</f>
        <v>הכנסות  מלקוחות</v>
      </c>
      <c r="AP2228" t="str">
        <f>"Y"</f>
        <v>Y</v>
      </c>
      <c r="AQ2228" t="str">
        <f>"034"</f>
        <v>034</v>
      </c>
      <c r="AR2228">
        <v>0</v>
      </c>
      <c r="AS2228">
        <v>0</v>
      </c>
      <c r="AT2228">
        <v>3.2650000000000001</v>
      </c>
      <c r="BD2228" t="str">
        <f>"ערן שלו"</f>
        <v>ערן שלו</v>
      </c>
    </row>
    <row r="2229" spans="1:56" x14ac:dyDescent="0.3">
      <c r="A2229" s="1">
        <v>44452</v>
      </c>
      <c r="B2229" t="str">
        <f>"CR217000026"</f>
        <v>CR217000026</v>
      </c>
      <c r="C2229" t="str">
        <f>"PR20000851"</f>
        <v>PR20000851</v>
      </c>
      <c r="E2229" t="str">
        <f>"Y"</f>
        <v>Y</v>
      </c>
      <c r="F2229" t="str">
        <f>"חשבוניות זיכוי"</f>
        <v>חשבוניות זיכוי</v>
      </c>
      <c r="G2229" t="str">
        <f>"700065"</f>
        <v>700065</v>
      </c>
      <c r="H2229" t="str">
        <f>"אלתא מערכות בע""מ"</f>
        <v>אלתא מערכות בע"מ</v>
      </c>
      <c r="I2229" t="str">
        <f>"10"</f>
        <v>10</v>
      </c>
      <c r="J2229" t="str">
        <f>"OP-AR02169"</f>
        <v>OP-AR02169</v>
      </c>
      <c r="K2229" t="str">
        <f>"1039H825-001/-   HARNESS WY025 - PDU TO CU EXTER"</f>
        <v>1039H825-001/-   HARNESS WY025 - PDU TO CU EXTER</v>
      </c>
      <c r="L2229">
        <v>1</v>
      </c>
      <c r="M2229" t="str">
        <f>"יח"</f>
        <v>יח</v>
      </c>
      <c r="N2229">
        <v>1</v>
      </c>
      <c r="O2229" t="str">
        <f>"יח"</f>
        <v>יח</v>
      </c>
      <c r="P2229">
        <v>23.16</v>
      </c>
      <c r="Q2229" t="str">
        <f>"$"</f>
        <v>$</v>
      </c>
      <c r="R2229" t="str">
        <f>"ידני"</f>
        <v>ידני</v>
      </c>
      <c r="S2229">
        <v>0</v>
      </c>
      <c r="T2229">
        <v>23.16</v>
      </c>
      <c r="U2229">
        <v>0</v>
      </c>
      <c r="V2229">
        <v>23.16</v>
      </c>
      <c r="W2229" t="str">
        <f>"$"</f>
        <v>$</v>
      </c>
      <c r="X2229">
        <v>0</v>
      </c>
      <c r="Y2229">
        <v>0</v>
      </c>
      <c r="Z2229">
        <v>0</v>
      </c>
      <c r="AA2229" t="str">
        <f>"Y"</f>
        <v>Y</v>
      </c>
      <c r="AC2229">
        <v>0</v>
      </c>
      <c r="AM2229" t="str">
        <f>"10"</f>
        <v>10</v>
      </c>
      <c r="AN2229" t="str">
        <f>"500000"</f>
        <v>500000</v>
      </c>
      <c r="AO2229" t="str">
        <f>"הכנסות  מלקוחות"</f>
        <v>הכנסות  מלקוחות</v>
      </c>
      <c r="AP2229" t="str">
        <f>"Y"</f>
        <v>Y</v>
      </c>
      <c r="AQ2229" t="str">
        <f>"034"</f>
        <v>034</v>
      </c>
      <c r="AR2229">
        <v>0</v>
      </c>
      <c r="AS2229">
        <v>0</v>
      </c>
      <c r="AT2229">
        <v>3.2839999999999998</v>
      </c>
      <c r="BD2229" t="str">
        <f>"ערן שלו"</f>
        <v>ערן שלו</v>
      </c>
    </row>
    <row r="2230" spans="1:56" x14ac:dyDescent="0.3">
      <c r="A2230" s="1">
        <v>44452</v>
      </c>
      <c r="B2230" t="str">
        <f>"CR217000025"</f>
        <v>CR217000025</v>
      </c>
      <c r="C2230" t="str">
        <f>"PR20000851"</f>
        <v>PR20000851</v>
      </c>
      <c r="E2230" t="str">
        <f>"Y"</f>
        <v>Y</v>
      </c>
      <c r="F2230" t="str">
        <f>"חשבוניות זיכוי"</f>
        <v>חשבוניות זיכוי</v>
      </c>
      <c r="G2230" t="str">
        <f>"700065"</f>
        <v>700065</v>
      </c>
      <c r="H2230" t="str">
        <f>"אלתא מערכות בע""מ"</f>
        <v>אלתא מערכות בע"מ</v>
      </c>
      <c r="I2230" t="str">
        <f>"10"</f>
        <v>10</v>
      </c>
      <c r="J2230" t="str">
        <f>"OP-AR02153"</f>
        <v>OP-AR02153</v>
      </c>
      <c r="K2230" t="str">
        <f>"1039H801-001   HARNESS WY001 - PDU 1 POWER IN"</f>
        <v>1039H801-001   HARNESS WY001 - PDU 1 POWER IN</v>
      </c>
      <c r="L2230">
        <v>1</v>
      </c>
      <c r="M2230" t="str">
        <f>"יח"</f>
        <v>יח</v>
      </c>
      <c r="N2230">
        <v>1</v>
      </c>
      <c r="O2230" t="str">
        <f>"יח"</f>
        <v>יח</v>
      </c>
      <c r="P2230">
        <v>14.58</v>
      </c>
      <c r="Q2230" t="str">
        <f>"$"</f>
        <v>$</v>
      </c>
      <c r="R2230" t="str">
        <f>"ידני"</f>
        <v>ידני</v>
      </c>
      <c r="S2230">
        <v>0</v>
      </c>
      <c r="T2230">
        <v>14.58</v>
      </c>
      <c r="U2230">
        <v>0</v>
      </c>
      <c r="V2230">
        <v>14.58</v>
      </c>
      <c r="W2230" t="str">
        <f>"$"</f>
        <v>$</v>
      </c>
      <c r="X2230">
        <v>0</v>
      </c>
      <c r="Y2230">
        <v>0</v>
      </c>
      <c r="Z2230">
        <v>0</v>
      </c>
      <c r="AA2230" t="str">
        <f>"Y"</f>
        <v>Y</v>
      </c>
      <c r="AC2230">
        <v>0</v>
      </c>
      <c r="AM2230" t="str">
        <f>"10"</f>
        <v>10</v>
      </c>
      <c r="AN2230" t="str">
        <f>"500000"</f>
        <v>500000</v>
      </c>
      <c r="AO2230" t="str">
        <f>"הכנסות  מלקוחות"</f>
        <v>הכנסות  מלקוחות</v>
      </c>
      <c r="AP2230" t="str">
        <f>"Y"</f>
        <v>Y</v>
      </c>
      <c r="AQ2230" t="str">
        <f>"034"</f>
        <v>034</v>
      </c>
      <c r="AR2230">
        <v>0</v>
      </c>
      <c r="AS2230">
        <v>0</v>
      </c>
      <c r="AT2230">
        <v>3.3090000000000002</v>
      </c>
      <c r="BD2230" t="str">
        <f>"ערן שלו"</f>
        <v>ערן שלו</v>
      </c>
    </row>
    <row r="2231" spans="1:56" x14ac:dyDescent="0.3">
      <c r="A2231" s="1">
        <v>44452</v>
      </c>
      <c r="B2231" t="str">
        <f>"CR217000025"</f>
        <v>CR217000025</v>
      </c>
      <c r="C2231" t="str">
        <f>"PR20000851"</f>
        <v>PR20000851</v>
      </c>
      <c r="E2231" t="str">
        <f>"Y"</f>
        <v>Y</v>
      </c>
      <c r="F2231" t="str">
        <f>"חשבוניות זיכוי"</f>
        <v>חשבוניות זיכוי</v>
      </c>
      <c r="G2231" t="str">
        <f>"700065"</f>
        <v>700065</v>
      </c>
      <c r="H2231" t="str">
        <f>"אלתא מערכות בע""מ"</f>
        <v>אלתא מערכות בע"מ</v>
      </c>
      <c r="I2231" t="str">
        <f>"10"</f>
        <v>10</v>
      </c>
      <c r="J2231" t="str">
        <f>"OP-AR02154"</f>
        <v>OP-AR02154</v>
      </c>
      <c r="K2231" t="str">
        <f>"1039H802-001   HARNESS WY002 - PDU 2 POWER IN"</f>
        <v>1039H802-001   HARNESS WY002 - PDU 2 POWER IN</v>
      </c>
      <c r="L2231">
        <v>1</v>
      </c>
      <c r="M2231" t="str">
        <f>"יח"</f>
        <v>יח</v>
      </c>
      <c r="N2231">
        <v>1</v>
      </c>
      <c r="O2231" t="str">
        <f>"יח"</f>
        <v>יח</v>
      </c>
      <c r="P2231">
        <v>14.54</v>
      </c>
      <c r="Q2231" t="str">
        <f>"$"</f>
        <v>$</v>
      </c>
      <c r="R2231" t="str">
        <f>"ידני"</f>
        <v>ידני</v>
      </c>
      <c r="S2231">
        <v>0</v>
      </c>
      <c r="T2231">
        <v>14.54</v>
      </c>
      <c r="U2231">
        <v>0</v>
      </c>
      <c r="V2231">
        <v>14.54</v>
      </c>
      <c r="W2231" t="str">
        <f>"$"</f>
        <v>$</v>
      </c>
      <c r="X2231">
        <v>0</v>
      </c>
      <c r="Y2231">
        <v>0</v>
      </c>
      <c r="Z2231">
        <v>0</v>
      </c>
      <c r="AA2231" t="str">
        <f>"Y"</f>
        <v>Y</v>
      </c>
      <c r="AC2231">
        <v>0</v>
      </c>
      <c r="AM2231" t="str">
        <f>"10"</f>
        <v>10</v>
      </c>
      <c r="AN2231" t="str">
        <f>"500000"</f>
        <v>500000</v>
      </c>
      <c r="AO2231" t="str">
        <f>"הכנסות  מלקוחות"</f>
        <v>הכנסות  מלקוחות</v>
      </c>
      <c r="AP2231" t="str">
        <f>"Y"</f>
        <v>Y</v>
      </c>
      <c r="AQ2231" t="str">
        <f>"034"</f>
        <v>034</v>
      </c>
      <c r="AR2231">
        <v>0</v>
      </c>
      <c r="AS2231">
        <v>0</v>
      </c>
      <c r="AT2231">
        <v>3.3090000000000002</v>
      </c>
      <c r="BD2231" t="str">
        <f>"ערן שלו"</f>
        <v>ערן שלו</v>
      </c>
    </row>
    <row r="2232" spans="1:56" x14ac:dyDescent="0.3">
      <c r="A2232" s="1">
        <v>44452</v>
      </c>
      <c r="B2232" t="str">
        <f>"CR217000024"</f>
        <v>CR217000024</v>
      </c>
      <c r="C2232" t="str">
        <f>"PR20000851"</f>
        <v>PR20000851</v>
      </c>
      <c r="E2232" t="str">
        <f>"Y"</f>
        <v>Y</v>
      </c>
      <c r="F2232" t="str">
        <f>"חשבוניות זיכוי"</f>
        <v>חשבוניות זיכוי</v>
      </c>
      <c r="G2232" t="str">
        <f>"700065"</f>
        <v>700065</v>
      </c>
      <c r="H2232" t="str">
        <f>"אלתא מערכות בע""מ"</f>
        <v>אלתא מערכות בע"מ</v>
      </c>
      <c r="I2232" t="str">
        <f>"10"</f>
        <v>10</v>
      </c>
      <c r="J2232" t="str">
        <f>"OP-AR02153"</f>
        <v>OP-AR02153</v>
      </c>
      <c r="K2232" t="str">
        <f>"1039H801-001   HARNESS WY001 - PDU 1 POWER IN"</f>
        <v>1039H801-001   HARNESS WY001 - PDU 1 POWER IN</v>
      </c>
      <c r="L2232">
        <v>1</v>
      </c>
      <c r="M2232" t="str">
        <f>"יח"</f>
        <v>יח</v>
      </c>
      <c r="N2232">
        <v>1</v>
      </c>
      <c r="O2232" t="str">
        <f>"יח"</f>
        <v>יח</v>
      </c>
      <c r="P2232">
        <v>48.61</v>
      </c>
      <c r="Q2232" t="str">
        <f>"$"</f>
        <v>$</v>
      </c>
      <c r="R2232" t="str">
        <f>"ידני"</f>
        <v>ידני</v>
      </c>
      <c r="S2232">
        <v>0</v>
      </c>
      <c r="T2232">
        <v>48.61</v>
      </c>
      <c r="U2232">
        <v>0</v>
      </c>
      <c r="V2232">
        <v>48.61</v>
      </c>
      <c r="W2232" t="str">
        <f>"$"</f>
        <v>$</v>
      </c>
      <c r="X2232">
        <v>0</v>
      </c>
      <c r="Y2232">
        <v>0</v>
      </c>
      <c r="Z2232">
        <v>0</v>
      </c>
      <c r="AA2232" t="str">
        <f>"Y"</f>
        <v>Y</v>
      </c>
      <c r="AC2232">
        <v>0</v>
      </c>
      <c r="AM2232" t="str">
        <f>"10"</f>
        <v>10</v>
      </c>
      <c r="AN2232" t="str">
        <f>"500000"</f>
        <v>500000</v>
      </c>
      <c r="AO2232" t="str">
        <f>"הכנסות  מלקוחות"</f>
        <v>הכנסות  מלקוחות</v>
      </c>
      <c r="AP2232" t="str">
        <f>"Y"</f>
        <v>Y</v>
      </c>
      <c r="AQ2232" t="str">
        <f>"034"</f>
        <v>034</v>
      </c>
      <c r="AR2232">
        <v>0</v>
      </c>
      <c r="AS2232">
        <v>0</v>
      </c>
      <c r="AT2232">
        <v>3.262</v>
      </c>
      <c r="BD2232" t="str">
        <f>"ערן שלו"</f>
        <v>ערן שלו</v>
      </c>
    </row>
    <row r="2233" spans="1:56" x14ac:dyDescent="0.3">
      <c r="A2233" s="1">
        <v>44452</v>
      </c>
      <c r="B2233" t="str">
        <f>"CR217000024"</f>
        <v>CR217000024</v>
      </c>
      <c r="C2233" t="str">
        <f>"PR20000851"</f>
        <v>PR20000851</v>
      </c>
      <c r="E2233" t="str">
        <f>"Y"</f>
        <v>Y</v>
      </c>
      <c r="F2233" t="str">
        <f>"חשבוניות זיכוי"</f>
        <v>חשבוניות זיכוי</v>
      </c>
      <c r="G2233" t="str">
        <f>"700065"</f>
        <v>700065</v>
      </c>
      <c r="H2233" t="str">
        <f>"אלתא מערכות בע""מ"</f>
        <v>אלתא מערכות בע"מ</v>
      </c>
      <c r="I2233" t="str">
        <f>"10"</f>
        <v>10</v>
      </c>
      <c r="J2233" t="str">
        <f>"OP-AR02154"</f>
        <v>OP-AR02154</v>
      </c>
      <c r="K2233" t="str">
        <f>"1039H802-001   HARNESS WY002 - PDU 2 POWER IN"</f>
        <v>1039H802-001   HARNESS WY002 - PDU 2 POWER IN</v>
      </c>
      <c r="L2233">
        <v>1</v>
      </c>
      <c r="M2233" t="str">
        <f>"יח"</f>
        <v>יח</v>
      </c>
      <c r="N2233">
        <v>1</v>
      </c>
      <c r="O2233" t="str">
        <f>"יח"</f>
        <v>יח</v>
      </c>
      <c r="P2233">
        <v>96.97</v>
      </c>
      <c r="Q2233" t="str">
        <f>"$"</f>
        <v>$</v>
      </c>
      <c r="R2233" t="str">
        <f>"ידני"</f>
        <v>ידני</v>
      </c>
      <c r="S2233">
        <v>0</v>
      </c>
      <c r="T2233">
        <v>96.97</v>
      </c>
      <c r="U2233">
        <v>0</v>
      </c>
      <c r="V2233">
        <v>96.97</v>
      </c>
      <c r="W2233" t="str">
        <f>"$"</f>
        <v>$</v>
      </c>
      <c r="X2233">
        <v>0</v>
      </c>
      <c r="Y2233">
        <v>0</v>
      </c>
      <c r="Z2233">
        <v>0</v>
      </c>
      <c r="AA2233" t="str">
        <f>"Y"</f>
        <v>Y</v>
      </c>
      <c r="AC2233">
        <v>0</v>
      </c>
      <c r="AM2233" t="str">
        <f>"10"</f>
        <v>10</v>
      </c>
      <c r="AN2233" t="str">
        <f>"500000"</f>
        <v>500000</v>
      </c>
      <c r="AO2233" t="str">
        <f>"הכנסות  מלקוחות"</f>
        <v>הכנסות  מלקוחות</v>
      </c>
      <c r="AP2233" t="str">
        <f>"Y"</f>
        <v>Y</v>
      </c>
      <c r="AQ2233" t="str">
        <f>"034"</f>
        <v>034</v>
      </c>
      <c r="AR2233">
        <v>0</v>
      </c>
      <c r="AS2233">
        <v>0</v>
      </c>
      <c r="AT2233">
        <v>3.262</v>
      </c>
      <c r="BD2233" t="str">
        <f>"ערן שלו"</f>
        <v>ערן שלו</v>
      </c>
    </row>
    <row r="2234" spans="1:56" x14ac:dyDescent="0.3">
      <c r="A2234" s="1">
        <v>44452</v>
      </c>
      <c r="B2234" t="str">
        <f>"CR217000024"</f>
        <v>CR217000024</v>
      </c>
      <c r="C2234" t="str">
        <f>"PR20000851"</f>
        <v>PR20000851</v>
      </c>
      <c r="E2234" t="str">
        <f>"Y"</f>
        <v>Y</v>
      </c>
      <c r="F2234" t="str">
        <f>"חשבוניות זיכוי"</f>
        <v>חשבוניות זיכוי</v>
      </c>
      <c r="G2234" t="str">
        <f>"700065"</f>
        <v>700065</v>
      </c>
      <c r="H2234" t="str">
        <f>"אלתא מערכות בע""מ"</f>
        <v>אלתא מערכות בע"מ</v>
      </c>
      <c r="I2234" t="str">
        <f>"10"</f>
        <v>10</v>
      </c>
      <c r="J2234" t="str">
        <f>"OP-AR02178"</f>
        <v>OP-AR02178</v>
      </c>
      <c r="K2234" t="str">
        <f>"1039H838-001/-   HARNESS WY038 - PDU TO IFF EXTE"</f>
        <v>1039H838-001/-   HARNESS WY038 - PDU TO IFF EXTE</v>
      </c>
      <c r="L2234">
        <v>1</v>
      </c>
      <c r="M2234" t="str">
        <f>"יח"</f>
        <v>יח</v>
      </c>
      <c r="N2234">
        <v>1</v>
      </c>
      <c r="O2234" t="str">
        <f>"יח"</f>
        <v>יח</v>
      </c>
      <c r="P2234">
        <v>8.6300000000000008</v>
      </c>
      <c r="Q2234" t="str">
        <f>"$"</f>
        <v>$</v>
      </c>
      <c r="R2234" t="str">
        <f>"ידני"</f>
        <v>ידני</v>
      </c>
      <c r="S2234">
        <v>0</v>
      </c>
      <c r="T2234">
        <v>8.6300000000000008</v>
      </c>
      <c r="U2234">
        <v>0</v>
      </c>
      <c r="V2234">
        <v>8.6300000000000008</v>
      </c>
      <c r="W2234" t="str">
        <f>"$"</f>
        <v>$</v>
      </c>
      <c r="X2234">
        <v>0</v>
      </c>
      <c r="Y2234">
        <v>0</v>
      </c>
      <c r="Z2234">
        <v>0</v>
      </c>
      <c r="AA2234" t="str">
        <f>"Y"</f>
        <v>Y</v>
      </c>
      <c r="AC2234">
        <v>0</v>
      </c>
      <c r="AM2234" t="str">
        <f>"10"</f>
        <v>10</v>
      </c>
      <c r="AN2234" t="str">
        <f>"500000"</f>
        <v>500000</v>
      </c>
      <c r="AO2234" t="str">
        <f>"הכנסות  מלקוחות"</f>
        <v>הכנסות  מלקוחות</v>
      </c>
      <c r="AP2234" t="str">
        <f>"Y"</f>
        <v>Y</v>
      </c>
      <c r="AQ2234" t="str">
        <f>"034"</f>
        <v>034</v>
      </c>
      <c r="AR2234">
        <v>0</v>
      </c>
      <c r="AS2234">
        <v>0</v>
      </c>
      <c r="AT2234">
        <v>3.262</v>
      </c>
      <c r="BD2234" t="str">
        <f>"ערן שלו"</f>
        <v>ערן שלו</v>
      </c>
    </row>
    <row r="2235" spans="1:56" x14ac:dyDescent="0.3">
      <c r="A2235" s="1">
        <v>44452</v>
      </c>
      <c r="B2235" t="str">
        <f>"CR217000023"</f>
        <v>CR217000023</v>
      </c>
      <c r="C2235" t="str">
        <f>"PR20000210"</f>
        <v>PR20000210</v>
      </c>
      <c r="E2235" t="str">
        <f>"Y"</f>
        <v>Y</v>
      </c>
      <c r="F2235" t="str">
        <f>"חשבוניות זיכוי"</f>
        <v>חשבוניות זיכוי</v>
      </c>
      <c r="G2235" t="str">
        <f>"700065"</f>
        <v>700065</v>
      </c>
      <c r="H2235" t="str">
        <f>"אלתא מערכות בע""מ"</f>
        <v>אלתא מערכות בע"מ</v>
      </c>
      <c r="I2235" t="str">
        <f>"10"</f>
        <v>10</v>
      </c>
      <c r="J2235" t="str">
        <f>"OP-AR01707"</f>
        <v>OP-AR01707</v>
      </c>
      <c r="K2235" t="str">
        <f>"1022H886-001 W86-32CH VIDEO CABLE"</f>
        <v>1022H886-001 W86-32CH VIDEO CABLE</v>
      </c>
      <c r="L2235">
        <v>1</v>
      </c>
      <c r="M2235" t="str">
        <f>"יח"</f>
        <v>יח</v>
      </c>
      <c r="N2235">
        <v>1</v>
      </c>
      <c r="O2235" t="str">
        <f>"יח"</f>
        <v>יח</v>
      </c>
      <c r="P2235">
        <v>15.5</v>
      </c>
      <c r="Q2235" t="str">
        <f>"$"</f>
        <v>$</v>
      </c>
      <c r="R2235" t="str">
        <f>"ידני"</f>
        <v>ידני</v>
      </c>
      <c r="S2235">
        <v>0</v>
      </c>
      <c r="T2235">
        <v>15.5</v>
      </c>
      <c r="U2235">
        <v>0</v>
      </c>
      <c r="V2235">
        <v>15.5</v>
      </c>
      <c r="W2235" t="str">
        <f>"$"</f>
        <v>$</v>
      </c>
      <c r="X2235">
        <v>0</v>
      </c>
      <c r="Y2235">
        <v>0</v>
      </c>
      <c r="Z2235">
        <v>0</v>
      </c>
      <c r="AA2235" t="str">
        <f>"Y"</f>
        <v>Y</v>
      </c>
      <c r="AC2235">
        <v>0</v>
      </c>
      <c r="AM2235" t="str">
        <f>"10"</f>
        <v>10</v>
      </c>
      <c r="AN2235" t="str">
        <f>"500000"</f>
        <v>500000</v>
      </c>
      <c r="AO2235" t="str">
        <f>"הכנסות  מלקוחות"</f>
        <v>הכנסות  מלקוחות</v>
      </c>
      <c r="AP2235" t="str">
        <f>"Y"</f>
        <v>Y</v>
      </c>
      <c r="AQ2235" t="str">
        <f>"034"</f>
        <v>034</v>
      </c>
      <c r="AR2235">
        <v>0</v>
      </c>
      <c r="AS2235">
        <v>0</v>
      </c>
      <c r="AT2235">
        <v>3.262</v>
      </c>
      <c r="BD2235" t="str">
        <f>"ערן שלו"</f>
        <v>ערן שלו</v>
      </c>
    </row>
    <row r="2236" spans="1:56" x14ac:dyDescent="0.3">
      <c r="A2236" s="1">
        <v>44452</v>
      </c>
      <c r="B2236" t="str">
        <f>"CR217000022"</f>
        <v>CR217000022</v>
      </c>
      <c r="C2236" t="str">
        <f>"PR20000851"</f>
        <v>PR20000851</v>
      </c>
      <c r="E2236" t="str">
        <f>"Y"</f>
        <v>Y</v>
      </c>
      <c r="F2236" t="str">
        <f>"חשבוניות זיכוי"</f>
        <v>חשבוניות זיכוי</v>
      </c>
      <c r="G2236" t="str">
        <f>"700065"</f>
        <v>700065</v>
      </c>
      <c r="H2236" t="str">
        <f>"אלתא מערכות בע""מ"</f>
        <v>אלתא מערכות בע"מ</v>
      </c>
      <c r="I2236" t="str">
        <f>"10"</f>
        <v>10</v>
      </c>
      <c r="J2236" t="str">
        <f>"OP-AR02179"</f>
        <v>OP-AR02179</v>
      </c>
      <c r="K2236" t="str">
        <f>"1039H839-001/A   HARNESS WY039 - FAN"</f>
        <v>1039H839-001/A   HARNESS WY039 - FAN</v>
      </c>
      <c r="L2236">
        <v>1</v>
      </c>
      <c r="M2236" t="str">
        <f>"יח"</f>
        <v>יח</v>
      </c>
      <c r="N2236">
        <v>1</v>
      </c>
      <c r="O2236" t="str">
        <f>"יח"</f>
        <v>יח</v>
      </c>
      <c r="P2236">
        <v>39.799999999999997</v>
      </c>
      <c r="Q2236" t="str">
        <f>"$"</f>
        <v>$</v>
      </c>
      <c r="R2236" t="str">
        <f>"ידני"</f>
        <v>ידני</v>
      </c>
      <c r="S2236">
        <v>0</v>
      </c>
      <c r="T2236">
        <v>39.799999999999997</v>
      </c>
      <c r="U2236">
        <v>0</v>
      </c>
      <c r="V2236">
        <v>39.799999999999997</v>
      </c>
      <c r="W2236" t="str">
        <f>"$"</f>
        <v>$</v>
      </c>
      <c r="X2236">
        <v>0</v>
      </c>
      <c r="Y2236">
        <v>0</v>
      </c>
      <c r="Z2236">
        <v>0</v>
      </c>
      <c r="AA2236" t="str">
        <f>"Y"</f>
        <v>Y</v>
      </c>
      <c r="AC2236">
        <v>0</v>
      </c>
      <c r="AM2236" t="str">
        <f>"10"</f>
        <v>10</v>
      </c>
      <c r="AN2236" t="str">
        <f>"500000"</f>
        <v>500000</v>
      </c>
      <c r="AO2236" t="str">
        <f>"הכנסות  מלקוחות"</f>
        <v>הכנסות  מלקוחות</v>
      </c>
      <c r="AP2236" t="str">
        <f>"Y"</f>
        <v>Y</v>
      </c>
      <c r="AQ2236" t="str">
        <f>"034"</f>
        <v>034</v>
      </c>
      <c r="AR2236">
        <v>0</v>
      </c>
      <c r="AS2236">
        <v>0</v>
      </c>
      <c r="AT2236">
        <v>3.246</v>
      </c>
      <c r="BD2236" t="str">
        <f>"ערן שלו"</f>
        <v>ערן שלו</v>
      </c>
    </row>
    <row r="2237" spans="1:56" x14ac:dyDescent="0.3">
      <c r="A2237" s="1">
        <v>44452</v>
      </c>
      <c r="B2237" t="str">
        <f>"CR217000021"</f>
        <v>CR217000021</v>
      </c>
      <c r="C2237" t="str">
        <f>"PR20000788"</f>
        <v>PR20000788</v>
      </c>
      <c r="E2237" t="str">
        <f>"Y"</f>
        <v>Y</v>
      </c>
      <c r="F2237" t="str">
        <f>"חשבוניות זיכוי"</f>
        <v>חשבוניות זיכוי</v>
      </c>
      <c r="G2237" t="str">
        <f>"700065"</f>
        <v>700065</v>
      </c>
      <c r="H2237" t="str">
        <f>"אלתא מערכות בע""מ"</f>
        <v>אלתא מערכות בע"מ</v>
      </c>
      <c r="I2237" t="str">
        <f>"10"</f>
        <v>10</v>
      </c>
      <c r="J2237" t="str">
        <f>"OP-AR01946"</f>
        <v>OP-AR01946</v>
      </c>
      <c r="K2237" t="str">
        <f>"1031B110-001/- - CABLE ASSY W110"</f>
        <v>1031B110-001/- - CABLE ASSY W110</v>
      </c>
      <c r="L2237">
        <v>1</v>
      </c>
      <c r="M2237" t="str">
        <f>"יח"</f>
        <v>יח</v>
      </c>
      <c r="N2237">
        <v>1</v>
      </c>
      <c r="O2237" t="str">
        <f>"יח"</f>
        <v>יח</v>
      </c>
      <c r="P2237">
        <v>32.96</v>
      </c>
      <c r="Q2237" t="str">
        <f>"$"</f>
        <v>$</v>
      </c>
      <c r="R2237" t="str">
        <f>"ידני"</f>
        <v>ידני</v>
      </c>
      <c r="S2237">
        <v>0</v>
      </c>
      <c r="T2237">
        <v>32.96</v>
      </c>
      <c r="U2237">
        <v>0</v>
      </c>
      <c r="V2237">
        <v>32.96</v>
      </c>
      <c r="W2237" t="str">
        <f>"$"</f>
        <v>$</v>
      </c>
      <c r="X2237">
        <v>0</v>
      </c>
      <c r="Y2237">
        <v>0</v>
      </c>
      <c r="Z2237">
        <v>0</v>
      </c>
      <c r="AA2237" t="str">
        <f>"Y"</f>
        <v>Y</v>
      </c>
      <c r="AC2237">
        <v>0</v>
      </c>
      <c r="AM2237" t="str">
        <f>"10"</f>
        <v>10</v>
      </c>
      <c r="AN2237" t="str">
        <f>"500000"</f>
        <v>500000</v>
      </c>
      <c r="AO2237" t="str">
        <f>"הכנסות  מלקוחות"</f>
        <v>הכנסות  מלקוחות</v>
      </c>
      <c r="AP2237" t="str">
        <f>"Y"</f>
        <v>Y</v>
      </c>
      <c r="AQ2237" t="str">
        <f>"034"</f>
        <v>034</v>
      </c>
      <c r="AR2237">
        <v>0</v>
      </c>
      <c r="AS2237">
        <v>0</v>
      </c>
      <c r="AT2237">
        <v>3.262</v>
      </c>
      <c r="BD2237" t="str">
        <f>"ערן שלו"</f>
        <v>ערן שלו</v>
      </c>
    </row>
    <row r="2238" spans="1:56" x14ac:dyDescent="0.3">
      <c r="A2238" s="1">
        <v>44452</v>
      </c>
      <c r="B2238" t="str">
        <f>"CR217000020"</f>
        <v>CR217000020</v>
      </c>
      <c r="E2238" t="str">
        <f>"Y"</f>
        <v>Y</v>
      </c>
      <c r="F2238" t="str">
        <f>"חשבוניות זיכוי"</f>
        <v>חשבוניות זיכוי</v>
      </c>
      <c r="G2238" t="str">
        <f>"700065"</f>
        <v>700065</v>
      </c>
      <c r="H2238" t="str">
        <f>"אלתא מערכות בע""מ"</f>
        <v>אלתא מערכות בע"מ</v>
      </c>
      <c r="I2238" t="str">
        <f>"10"</f>
        <v>10</v>
      </c>
      <c r="J2238" t="str">
        <f>"OP-AR01955"</f>
        <v>OP-AR01955</v>
      </c>
      <c r="K2238" t="str">
        <f>"1031B109-001/- - CABLE ASSY W109"</f>
        <v>1031B109-001/- - CABLE ASSY W109</v>
      </c>
      <c r="L2238">
        <v>1</v>
      </c>
      <c r="M2238" t="str">
        <f>"יח"</f>
        <v>יח</v>
      </c>
      <c r="N2238">
        <v>1</v>
      </c>
      <c r="O2238" t="str">
        <f>"יח"</f>
        <v>יח</v>
      </c>
      <c r="P2238">
        <v>33.35</v>
      </c>
      <c r="Q2238" t="str">
        <f>"$"</f>
        <v>$</v>
      </c>
      <c r="R2238" t="str">
        <f>"ידני"</f>
        <v>ידני</v>
      </c>
      <c r="S2238">
        <v>0</v>
      </c>
      <c r="T2238">
        <v>33.35</v>
      </c>
      <c r="U2238">
        <v>0</v>
      </c>
      <c r="V2238">
        <v>33.35</v>
      </c>
      <c r="W2238" t="str">
        <f>"$"</f>
        <v>$</v>
      </c>
      <c r="X2238">
        <v>0</v>
      </c>
      <c r="Y2238">
        <v>0</v>
      </c>
      <c r="Z2238">
        <v>0</v>
      </c>
      <c r="AA2238" t="str">
        <f>"Y"</f>
        <v>Y</v>
      </c>
      <c r="AC2238">
        <v>0</v>
      </c>
      <c r="AM2238" t="str">
        <f>"10"</f>
        <v>10</v>
      </c>
      <c r="AN2238" t="str">
        <f>"500000"</f>
        <v>500000</v>
      </c>
      <c r="AO2238" t="str">
        <f>"הכנסות  מלקוחות"</f>
        <v>הכנסות  מלקוחות</v>
      </c>
      <c r="AP2238" t="str">
        <f>"Y"</f>
        <v>Y</v>
      </c>
      <c r="AQ2238" t="str">
        <f>"034"</f>
        <v>034</v>
      </c>
      <c r="AR2238">
        <v>0</v>
      </c>
      <c r="AS2238">
        <v>0</v>
      </c>
      <c r="AT2238">
        <v>3.262</v>
      </c>
      <c r="BD2238" t="str">
        <f>"ערן שלו"</f>
        <v>ערן שלו</v>
      </c>
    </row>
    <row r="2239" spans="1:56" x14ac:dyDescent="0.3">
      <c r="A2239" s="1">
        <v>44441</v>
      </c>
      <c r="B2239" t="str">
        <f>"SI216001223"</f>
        <v>SI216001223</v>
      </c>
      <c r="C2239" t="str">
        <f>"PR20000826"</f>
        <v>PR20000826</v>
      </c>
      <c r="E2239" t="str">
        <f>"Y"</f>
        <v>Y</v>
      </c>
      <c r="F2239" t="str">
        <f>"חשבוניות מרכזות"</f>
        <v>חשבוניות מרכזות</v>
      </c>
      <c r="G2239" t="str">
        <f>"700065"</f>
        <v>700065</v>
      </c>
      <c r="H2239" t="str">
        <f>"אלתא מערכות בע""מ"</f>
        <v>אלתא מערכות בע"מ</v>
      </c>
      <c r="I2239" t="str">
        <f>"10"</f>
        <v>10</v>
      </c>
      <c r="J2239" t="str">
        <f>"OP-ML00191"</f>
        <v>OP-ML00191</v>
      </c>
      <c r="K2239" t="str">
        <f>"מכולת כיול  - 1040U410-001"</f>
        <v>מכולת כיול  - 1040U410-001</v>
      </c>
      <c r="L2239">
        <v>-1</v>
      </c>
      <c r="M2239" t="str">
        <f>"יח"</f>
        <v>יח</v>
      </c>
      <c r="N2239">
        <v>-1</v>
      </c>
      <c r="O2239" t="str">
        <f>"יח"</f>
        <v>יח</v>
      </c>
      <c r="P2239" s="2">
        <v>144375</v>
      </c>
      <c r="Q2239" t="str">
        <f>"$"</f>
        <v>$</v>
      </c>
      <c r="R2239" t="str">
        <f>"הזמנה"</f>
        <v>הזמנה</v>
      </c>
      <c r="S2239">
        <v>0</v>
      </c>
      <c r="T2239" s="2">
        <v>-144375</v>
      </c>
      <c r="U2239">
        <v>0</v>
      </c>
      <c r="V2239" s="2">
        <v>-144375</v>
      </c>
      <c r="W2239" t="str">
        <f>"$"</f>
        <v>$</v>
      </c>
      <c r="X2239">
        <v>0</v>
      </c>
      <c r="Y2239">
        <v>0</v>
      </c>
      <c r="Z2239">
        <v>0</v>
      </c>
      <c r="AA2239" t="str">
        <f>"Y"</f>
        <v>Y</v>
      </c>
      <c r="AC2239">
        <v>0</v>
      </c>
      <c r="AM2239" t="str">
        <f>"10"</f>
        <v>10</v>
      </c>
      <c r="AN2239" t="str">
        <f>"500000"</f>
        <v>500000</v>
      </c>
      <c r="AO2239" t="str">
        <f>"הכנסות  מלקוחות"</f>
        <v>הכנסות  מלקוחות</v>
      </c>
      <c r="AQ2239" t="str">
        <f>"007"</f>
        <v>007</v>
      </c>
      <c r="AR2239">
        <v>0</v>
      </c>
      <c r="AS2239">
        <v>0</v>
      </c>
      <c r="AT2239">
        <v>3.2080000000000002</v>
      </c>
      <c r="BB2239" t="str">
        <f>"Y"</f>
        <v>Y</v>
      </c>
      <c r="BD2239" t="str">
        <f>"רוני דידי"</f>
        <v>רוני דידי</v>
      </c>
    </row>
    <row r="2240" spans="1:56" x14ac:dyDescent="0.3">
      <c r="A2240" s="1">
        <v>44441</v>
      </c>
      <c r="B2240" t="str">
        <f>"SI216001222"</f>
        <v>SI216001222</v>
      </c>
      <c r="C2240" t="str">
        <f>"PR20000826"</f>
        <v>PR20000826</v>
      </c>
      <c r="E2240" t="str">
        <f>"Y"</f>
        <v>Y</v>
      </c>
      <c r="F2240" t="str">
        <f>"חשבוניות מרכזות"</f>
        <v>חשבוניות מרכזות</v>
      </c>
      <c r="G2240" t="str">
        <f>"700065"</f>
        <v>700065</v>
      </c>
      <c r="H2240" t="str">
        <f>"אלתא מערכות בע""מ"</f>
        <v>אלתא מערכות בע"מ</v>
      </c>
      <c r="I2240" t="str">
        <f>"10"</f>
        <v>10</v>
      </c>
      <c r="J2240" t="str">
        <f>"OP-ML00191"</f>
        <v>OP-ML00191</v>
      </c>
      <c r="K2240" t="str">
        <f>"מכולת כיול  - 1040U410-001"</f>
        <v>מכולת כיול  - 1040U410-001</v>
      </c>
      <c r="L2240">
        <v>1</v>
      </c>
      <c r="M2240" t="str">
        <f>"יח"</f>
        <v>יח</v>
      </c>
      <c r="N2240">
        <v>1</v>
      </c>
      <c r="O2240" t="str">
        <f>"יח"</f>
        <v>יח</v>
      </c>
      <c r="P2240" s="2">
        <v>144375</v>
      </c>
      <c r="Q2240" t="str">
        <f>"$"</f>
        <v>$</v>
      </c>
      <c r="R2240" t="str">
        <f>"הזמנה"</f>
        <v>הזמנה</v>
      </c>
      <c r="S2240">
        <v>0</v>
      </c>
      <c r="T2240" s="2">
        <v>144375</v>
      </c>
      <c r="U2240">
        <v>0</v>
      </c>
      <c r="V2240" s="2">
        <v>144375</v>
      </c>
      <c r="W2240" t="str">
        <f>"$"</f>
        <v>$</v>
      </c>
      <c r="X2240">
        <v>0</v>
      </c>
      <c r="Y2240">
        <v>0</v>
      </c>
      <c r="Z2240">
        <v>0</v>
      </c>
      <c r="AA2240" t="str">
        <f>"Y"</f>
        <v>Y</v>
      </c>
      <c r="AC2240">
        <v>0</v>
      </c>
      <c r="AM2240" t="str">
        <f>"10"</f>
        <v>10</v>
      </c>
      <c r="AN2240" t="str">
        <f>"500000"</f>
        <v>500000</v>
      </c>
      <c r="AO2240" t="str">
        <f>"הכנסות  מלקוחות"</f>
        <v>הכנסות  מלקוחות</v>
      </c>
      <c r="AQ2240" t="str">
        <f>"007"</f>
        <v>007</v>
      </c>
      <c r="AR2240">
        <v>0</v>
      </c>
      <c r="AS2240">
        <v>0</v>
      </c>
      <c r="AT2240">
        <v>3.2080000000000002</v>
      </c>
      <c r="BB2240" t="str">
        <f>"Y"</f>
        <v>Y</v>
      </c>
      <c r="BD2240" t="str">
        <f>"רוני דידי"</f>
        <v>רוני דידי</v>
      </c>
    </row>
    <row r="2241" spans="1:56" x14ac:dyDescent="0.3">
      <c r="A2241" s="1">
        <v>44441</v>
      </c>
      <c r="B2241" t="str">
        <f>"SI216001221"</f>
        <v>SI216001221</v>
      </c>
      <c r="C2241" t="str">
        <f>"PR20000826"</f>
        <v>PR20000826</v>
      </c>
      <c r="E2241" t="str">
        <f>"Y"</f>
        <v>Y</v>
      </c>
      <c r="F2241" t="str">
        <f>"חשבוניות מרכזות"</f>
        <v>חשבוניות מרכזות</v>
      </c>
      <c r="G2241" t="str">
        <f>"700065"</f>
        <v>700065</v>
      </c>
      <c r="H2241" t="str">
        <f>"אלתא מערכות בע""מ"</f>
        <v>אלתא מערכות בע"מ</v>
      </c>
      <c r="I2241" t="str">
        <f>"10"</f>
        <v>10</v>
      </c>
      <c r="J2241" t="str">
        <f>"OP-ML00191"</f>
        <v>OP-ML00191</v>
      </c>
      <c r="K2241" t="str">
        <f>"מכולת כיול  - 1040U410-001"</f>
        <v>מכולת כיול  - 1040U410-001</v>
      </c>
      <c r="L2241">
        <v>-1</v>
      </c>
      <c r="M2241" t="str">
        <f>"יח"</f>
        <v>יח</v>
      </c>
      <c r="N2241">
        <v>-1</v>
      </c>
      <c r="O2241" t="str">
        <f>"יח"</f>
        <v>יח</v>
      </c>
      <c r="P2241" s="2">
        <v>144375</v>
      </c>
      <c r="Q2241" t="str">
        <f>"$"</f>
        <v>$</v>
      </c>
      <c r="R2241" t="str">
        <f>"הזמנה"</f>
        <v>הזמנה</v>
      </c>
      <c r="S2241">
        <v>0</v>
      </c>
      <c r="T2241" s="2">
        <v>-144375</v>
      </c>
      <c r="U2241">
        <v>0</v>
      </c>
      <c r="V2241" s="2">
        <v>-144375</v>
      </c>
      <c r="W2241" t="str">
        <f>"$"</f>
        <v>$</v>
      </c>
      <c r="X2241">
        <v>0</v>
      </c>
      <c r="Y2241">
        <v>0</v>
      </c>
      <c r="Z2241">
        <v>0</v>
      </c>
      <c r="AA2241" t="str">
        <f>"Y"</f>
        <v>Y</v>
      </c>
      <c r="AC2241">
        <v>0</v>
      </c>
      <c r="AM2241" t="str">
        <f>"10"</f>
        <v>10</v>
      </c>
      <c r="AN2241" t="str">
        <f>"500000"</f>
        <v>500000</v>
      </c>
      <c r="AO2241" t="str">
        <f>"הכנסות  מלקוחות"</f>
        <v>הכנסות  מלקוחות</v>
      </c>
      <c r="AQ2241" t="str">
        <f>"007"</f>
        <v>007</v>
      </c>
      <c r="AR2241">
        <v>0</v>
      </c>
      <c r="AS2241">
        <v>0</v>
      </c>
      <c r="AT2241">
        <v>3.2069999999999999</v>
      </c>
      <c r="BB2241" t="str">
        <f>"Y"</f>
        <v>Y</v>
      </c>
      <c r="BD2241" t="str">
        <f>"רוני דידי"</f>
        <v>רוני דידי</v>
      </c>
    </row>
    <row r="2242" spans="1:56" x14ac:dyDescent="0.3">
      <c r="A2242" s="1">
        <v>44441</v>
      </c>
      <c r="B2242" t="str">
        <f>"SI216001220"</f>
        <v>SI216001220</v>
      </c>
      <c r="C2242" t="str">
        <f>"PR20000826"</f>
        <v>PR20000826</v>
      </c>
      <c r="E2242" t="str">
        <f>"Y"</f>
        <v>Y</v>
      </c>
      <c r="F2242" t="str">
        <f>"חשבוניות מרכזות"</f>
        <v>חשבוניות מרכזות</v>
      </c>
      <c r="G2242" t="str">
        <f>"700065"</f>
        <v>700065</v>
      </c>
      <c r="H2242" t="str">
        <f>"אלתא מערכות בע""מ"</f>
        <v>אלתא מערכות בע"מ</v>
      </c>
      <c r="I2242" t="str">
        <f>"10"</f>
        <v>10</v>
      </c>
      <c r="J2242" t="str">
        <f>"OP-ML00191"</f>
        <v>OP-ML00191</v>
      </c>
      <c r="K2242" t="str">
        <f>"מכולת כיול  - 1040U410-001"</f>
        <v>מכולת כיול  - 1040U410-001</v>
      </c>
      <c r="L2242">
        <v>1</v>
      </c>
      <c r="M2242" t="str">
        <f>"יח"</f>
        <v>יח</v>
      </c>
      <c r="N2242">
        <v>1</v>
      </c>
      <c r="O2242" t="str">
        <f>"יח"</f>
        <v>יח</v>
      </c>
      <c r="P2242" s="2">
        <v>144375</v>
      </c>
      <c r="Q2242" t="str">
        <f>"$"</f>
        <v>$</v>
      </c>
      <c r="R2242" t="str">
        <f>"הזמנה"</f>
        <v>הזמנה</v>
      </c>
      <c r="S2242">
        <v>0</v>
      </c>
      <c r="T2242" s="2">
        <v>144375</v>
      </c>
      <c r="U2242">
        <v>0</v>
      </c>
      <c r="V2242" s="2">
        <v>144375</v>
      </c>
      <c r="W2242" t="str">
        <f>"$"</f>
        <v>$</v>
      </c>
      <c r="X2242">
        <v>0</v>
      </c>
      <c r="Y2242">
        <v>0</v>
      </c>
      <c r="Z2242">
        <v>0</v>
      </c>
      <c r="AA2242" t="str">
        <f>"Y"</f>
        <v>Y</v>
      </c>
      <c r="AC2242">
        <v>0</v>
      </c>
      <c r="AM2242" t="str">
        <f>"10"</f>
        <v>10</v>
      </c>
      <c r="AN2242" t="str">
        <f>"500000"</f>
        <v>500000</v>
      </c>
      <c r="AO2242" t="str">
        <f>"הכנסות  מלקוחות"</f>
        <v>הכנסות  מלקוחות</v>
      </c>
      <c r="AQ2242" t="str">
        <f>"007"</f>
        <v>007</v>
      </c>
      <c r="AR2242">
        <v>0</v>
      </c>
      <c r="AS2242">
        <v>0</v>
      </c>
      <c r="AT2242">
        <v>3.2069999999999999</v>
      </c>
      <c r="BB2242" t="str">
        <f>"Y"</f>
        <v>Y</v>
      </c>
      <c r="BD2242" t="str">
        <f>"רוני דידי"</f>
        <v>רוני דידי</v>
      </c>
    </row>
    <row r="2243" spans="1:56" x14ac:dyDescent="0.3">
      <c r="A2243" s="1">
        <v>44440</v>
      </c>
      <c r="B2243" t="str">
        <f>"SI216001379"</f>
        <v>SI216001379</v>
      </c>
      <c r="C2243" t="str">
        <f>"PR20000622"</f>
        <v>PR20000622</v>
      </c>
      <c r="E2243" t="str">
        <f>"Y"</f>
        <v>Y</v>
      </c>
      <c r="F2243" t="str">
        <f>"חשבוניות מרכזות"</f>
        <v>חשבוניות מרכזות</v>
      </c>
      <c r="G2243" t="str">
        <f>"700065"</f>
        <v>700065</v>
      </c>
      <c r="H2243" t="str">
        <f>"אלתא מערכות בע""מ"</f>
        <v>אלתא מערכות בע"מ</v>
      </c>
      <c r="I2243" t="str">
        <f>"10"</f>
        <v>10</v>
      </c>
      <c r="J2243" t="str">
        <f>"000"</f>
        <v>000</v>
      </c>
      <c r="K2243" t="str">
        <f>"NRE"</f>
        <v>NRE</v>
      </c>
      <c r="L2243">
        <v>-1</v>
      </c>
      <c r="M2243" t="str">
        <f>"יח"</f>
        <v>יח</v>
      </c>
      <c r="N2243">
        <v>-1</v>
      </c>
      <c r="O2243" t="str">
        <f>"יח"</f>
        <v>יח</v>
      </c>
      <c r="P2243">
        <v>430</v>
      </c>
      <c r="Q2243" t="str">
        <f>"$"</f>
        <v>$</v>
      </c>
      <c r="R2243" t="str">
        <f>"הזמנה"</f>
        <v>הזמנה</v>
      </c>
      <c r="S2243">
        <v>0</v>
      </c>
      <c r="T2243">
        <v>-430</v>
      </c>
      <c r="U2243">
        <v>0</v>
      </c>
      <c r="V2243">
        <v>-430</v>
      </c>
      <c r="W2243" t="str">
        <f>"$"</f>
        <v>$</v>
      </c>
      <c r="X2243">
        <v>0</v>
      </c>
      <c r="Y2243">
        <v>0</v>
      </c>
      <c r="Z2243">
        <v>0</v>
      </c>
      <c r="AA2243" t="str">
        <f>"Y"</f>
        <v>Y</v>
      </c>
      <c r="AC2243">
        <v>0</v>
      </c>
      <c r="AM2243" t="str">
        <f>"10"</f>
        <v>10</v>
      </c>
      <c r="AN2243" t="str">
        <f>"500000"</f>
        <v>500000</v>
      </c>
      <c r="AO2243" t="str">
        <f>"הכנסות  מלקוחות"</f>
        <v>הכנסות  מלקוחות</v>
      </c>
      <c r="AQ2243" t="str">
        <f>"034"</f>
        <v>034</v>
      </c>
      <c r="AR2243">
        <v>0</v>
      </c>
      <c r="AS2243">
        <v>0</v>
      </c>
      <c r="AT2243">
        <v>3.2639999999999998</v>
      </c>
      <c r="BB2243" t="str">
        <f>"Y"</f>
        <v>Y</v>
      </c>
      <c r="BD2243" t="str">
        <f>"ערן שלו"</f>
        <v>ערן שלו</v>
      </c>
    </row>
    <row r="2244" spans="1:56" x14ac:dyDescent="0.3">
      <c r="A2244" s="1">
        <v>44439</v>
      </c>
      <c r="B2244" t="str">
        <f>"SI216001225"</f>
        <v>SI216001225</v>
      </c>
      <c r="C2244" t="str">
        <f>"PR21000526"</f>
        <v>PR21000526</v>
      </c>
      <c r="E2244" t="str">
        <f>"Y"</f>
        <v>Y</v>
      </c>
      <c r="F2244" t="str">
        <f>"חשבוניות מרכזות"</f>
        <v>חשבוניות מרכזות</v>
      </c>
      <c r="G2244" t="str">
        <f>"700065"</f>
        <v>700065</v>
      </c>
      <c r="H2244" t="str">
        <f>"אלתא מערכות בע""מ"</f>
        <v>אלתא מערכות בע"מ</v>
      </c>
      <c r="I2244" t="str">
        <f>"10"</f>
        <v>10</v>
      </c>
      <c r="J2244" t="str">
        <f>"cust000843"</f>
        <v>cust000843</v>
      </c>
      <c r="K2244" t="str">
        <f>"1039H801-001 אלתא"</f>
        <v>1039H801-001 אלתא</v>
      </c>
      <c r="L2244">
        <v>2</v>
      </c>
      <c r="M2244" t="str">
        <f>"יח"</f>
        <v>יח</v>
      </c>
      <c r="N2244">
        <v>2</v>
      </c>
      <c r="O2244" t="str">
        <f>"יח"</f>
        <v>יח</v>
      </c>
      <c r="P2244">
        <v>141.22999999999999</v>
      </c>
      <c r="Q2244" t="str">
        <f>"$"</f>
        <v>$</v>
      </c>
      <c r="R2244" t="str">
        <f>"הזמנה"</f>
        <v>הזמנה</v>
      </c>
      <c r="S2244">
        <v>0</v>
      </c>
      <c r="T2244">
        <v>282.45999999999998</v>
      </c>
      <c r="U2244">
        <v>0</v>
      </c>
      <c r="V2244">
        <v>282.45999999999998</v>
      </c>
      <c r="W2244" t="str">
        <f>"$"</f>
        <v>$</v>
      </c>
      <c r="X2244">
        <v>0</v>
      </c>
      <c r="Y2244">
        <v>0</v>
      </c>
      <c r="Z2244">
        <v>0</v>
      </c>
      <c r="AA2244" t="str">
        <f>"Y"</f>
        <v>Y</v>
      </c>
      <c r="AB2244" t="str">
        <f>"SO21000346"</f>
        <v>SO21000346</v>
      </c>
      <c r="AC2244">
        <v>2</v>
      </c>
      <c r="AD2244" s="1">
        <v>44409</v>
      </c>
      <c r="AE2244" t="str">
        <f>"SH21001564"</f>
        <v>SH21001564</v>
      </c>
      <c r="AF2244" t="str">
        <f>"משלוחים ללקוח"</f>
        <v>משלוחים ללקוח</v>
      </c>
      <c r="AG2244" s="1">
        <v>44438</v>
      </c>
      <c r="AM2244" t="str">
        <f>"10"</f>
        <v>10</v>
      </c>
      <c r="AN2244" t="str">
        <f>"500000"</f>
        <v>500000</v>
      </c>
      <c r="AO2244" t="str">
        <f>"הכנסות  מלקוחות"</f>
        <v>הכנסות  מלקוחות</v>
      </c>
      <c r="AQ2244" t="str">
        <f>"040"</f>
        <v>040</v>
      </c>
      <c r="AR2244">
        <v>0</v>
      </c>
      <c r="AS2244">
        <v>0</v>
      </c>
      <c r="AT2244">
        <v>3.2069999999999999</v>
      </c>
      <c r="AX2244" t="str">
        <f>"E000339502"</f>
        <v>E000339502</v>
      </c>
      <c r="BD2244" t="str">
        <f>"רחמים זרוק"</f>
        <v>רחמים זרוק</v>
      </c>
    </row>
    <row r="2245" spans="1:56" x14ac:dyDescent="0.3">
      <c r="A2245" s="1">
        <v>44439</v>
      </c>
      <c r="B2245" t="str">
        <f>"SI216001225"</f>
        <v>SI216001225</v>
      </c>
      <c r="C2245" t="str">
        <f>"PR21000526"</f>
        <v>PR21000526</v>
      </c>
      <c r="E2245" t="str">
        <f>"Y"</f>
        <v>Y</v>
      </c>
      <c r="F2245" t="str">
        <f>"חשבוניות מרכזות"</f>
        <v>חשבוניות מרכזות</v>
      </c>
      <c r="G2245" t="str">
        <f>"700065"</f>
        <v>700065</v>
      </c>
      <c r="H2245" t="str">
        <f>"אלתא מערכות בע""מ"</f>
        <v>אלתא מערכות בע"מ</v>
      </c>
      <c r="I2245" t="str">
        <f>"10"</f>
        <v>10</v>
      </c>
      <c r="J2245" t="str">
        <f>"cust000844"</f>
        <v>cust000844</v>
      </c>
      <c r="K2245" t="str">
        <f>"1039H816-001 אלתא"</f>
        <v>1039H816-001 אלתא</v>
      </c>
      <c r="L2245">
        <v>4</v>
      </c>
      <c r="M2245" t="str">
        <f>"יח"</f>
        <v>יח</v>
      </c>
      <c r="N2245">
        <v>4</v>
      </c>
      <c r="O2245" t="str">
        <f>"יח"</f>
        <v>יח</v>
      </c>
      <c r="P2245">
        <v>297.68</v>
      </c>
      <c r="Q2245" t="str">
        <f>"$"</f>
        <v>$</v>
      </c>
      <c r="R2245" t="str">
        <f>"הזמנה"</f>
        <v>הזמנה</v>
      </c>
      <c r="S2245">
        <v>0</v>
      </c>
      <c r="T2245" s="2">
        <v>1190.72</v>
      </c>
      <c r="U2245">
        <v>0</v>
      </c>
      <c r="V2245" s="2">
        <v>1190.72</v>
      </c>
      <c r="W2245" t="str">
        <f>"$"</f>
        <v>$</v>
      </c>
      <c r="X2245">
        <v>0</v>
      </c>
      <c r="Y2245">
        <v>0</v>
      </c>
      <c r="Z2245">
        <v>0</v>
      </c>
      <c r="AA2245" t="str">
        <f>"Y"</f>
        <v>Y</v>
      </c>
      <c r="AB2245" t="str">
        <f>"SO21000346"</f>
        <v>SO21000346</v>
      </c>
      <c r="AC2245">
        <v>3</v>
      </c>
      <c r="AD2245" s="1">
        <v>44409</v>
      </c>
      <c r="AE2245" t="str">
        <f>"SH21001564"</f>
        <v>SH21001564</v>
      </c>
      <c r="AF2245" t="str">
        <f>"משלוחים ללקוח"</f>
        <v>משלוחים ללקוח</v>
      </c>
      <c r="AG2245" s="1">
        <v>44438</v>
      </c>
      <c r="AM2245" t="str">
        <f>"10"</f>
        <v>10</v>
      </c>
      <c r="AN2245" t="str">
        <f>"500000"</f>
        <v>500000</v>
      </c>
      <c r="AO2245" t="str">
        <f>"הכנסות  מלקוחות"</f>
        <v>הכנסות  מלקוחות</v>
      </c>
      <c r="AQ2245" t="str">
        <f>"040"</f>
        <v>040</v>
      </c>
      <c r="AR2245">
        <v>0</v>
      </c>
      <c r="AS2245">
        <v>0</v>
      </c>
      <c r="AT2245">
        <v>3.2069999999999999</v>
      </c>
      <c r="AX2245" t="str">
        <f>"E000339502"</f>
        <v>E000339502</v>
      </c>
      <c r="BD2245" t="str">
        <f>"רחמים זרוק"</f>
        <v>רחמים זרוק</v>
      </c>
    </row>
    <row r="2246" spans="1:56" x14ac:dyDescent="0.3">
      <c r="A2246" s="1">
        <v>44439</v>
      </c>
      <c r="B2246" t="str">
        <f>"SI216001224"</f>
        <v>SI216001224</v>
      </c>
      <c r="C2246" t="str">
        <f>"PR20000826"</f>
        <v>PR20000826</v>
      </c>
      <c r="D2246" t="str">
        <f>"PR20000826"</f>
        <v>PR20000826</v>
      </c>
      <c r="E2246" t="str">
        <f>"Y"</f>
        <v>Y</v>
      </c>
      <c r="F2246" t="str">
        <f>"חשבוניות מרכזות"</f>
        <v>חשבוניות מרכזות</v>
      </c>
      <c r="G2246" t="str">
        <f>"700065"</f>
        <v>700065</v>
      </c>
      <c r="H2246" t="str">
        <f>"אלתא מערכות בע""מ"</f>
        <v>אלתא מערכות בע"מ</v>
      </c>
      <c r="I2246" t="str">
        <f>"10"</f>
        <v>10</v>
      </c>
      <c r="J2246" t="str">
        <f>"OP-ML00191"</f>
        <v>OP-ML00191</v>
      </c>
      <c r="K2246" t="str">
        <f>"מכולת כיול  - 1040U410-001"</f>
        <v>מכולת כיול  - 1040U410-001</v>
      </c>
      <c r="L2246">
        <v>1</v>
      </c>
      <c r="M2246" t="str">
        <f>"יח"</f>
        <v>יח</v>
      </c>
      <c r="N2246">
        <v>1</v>
      </c>
      <c r="O2246" t="str">
        <f>"יח"</f>
        <v>יח</v>
      </c>
      <c r="P2246" s="2">
        <v>144375</v>
      </c>
      <c r="Q2246" t="str">
        <f>"$"</f>
        <v>$</v>
      </c>
      <c r="R2246" t="str">
        <f>"הזמנה"</f>
        <v>הזמנה</v>
      </c>
      <c r="S2246">
        <v>0</v>
      </c>
      <c r="T2246" s="2">
        <v>144375</v>
      </c>
      <c r="U2246">
        <v>0</v>
      </c>
      <c r="V2246" s="2">
        <v>144375</v>
      </c>
      <c r="W2246" t="str">
        <f>"$"</f>
        <v>$</v>
      </c>
      <c r="X2246">
        <v>0</v>
      </c>
      <c r="Y2246">
        <v>0</v>
      </c>
      <c r="Z2246">
        <v>0</v>
      </c>
      <c r="AA2246" t="str">
        <f>"Y"</f>
        <v>Y</v>
      </c>
      <c r="AB2246" t="str">
        <f>"SO20000545"</f>
        <v>SO20000545</v>
      </c>
      <c r="AC2246">
        <v>1</v>
      </c>
      <c r="AD2246" s="1">
        <v>44160</v>
      </c>
      <c r="AE2246" t="str">
        <f>"SH21001563"</f>
        <v>SH21001563</v>
      </c>
      <c r="AF2246" t="str">
        <f>"משלוחים ללקוח"</f>
        <v>משלוחים ללקוח</v>
      </c>
      <c r="AG2246" s="1">
        <v>44438</v>
      </c>
      <c r="AM2246" t="str">
        <f>"10"</f>
        <v>10</v>
      </c>
      <c r="AN2246" t="str">
        <f>"500000"</f>
        <v>500000</v>
      </c>
      <c r="AO2246" t="str">
        <f>"הכנסות  מלקוחות"</f>
        <v>הכנסות  מלקוחות</v>
      </c>
      <c r="AQ2246" t="str">
        <f>"007"</f>
        <v>007</v>
      </c>
      <c r="AR2246">
        <v>0</v>
      </c>
      <c r="AS2246">
        <v>0</v>
      </c>
      <c r="AT2246">
        <v>3.2069999999999999</v>
      </c>
      <c r="AX2246" t="str">
        <f>"E000326055"</f>
        <v>E000326055</v>
      </c>
      <c r="BD2246" t="str">
        <f>"רוני דידי"</f>
        <v>רוני דידי</v>
      </c>
    </row>
    <row r="2247" spans="1:56" x14ac:dyDescent="0.3">
      <c r="A2247" s="1">
        <v>44434</v>
      </c>
      <c r="B2247" t="str">
        <f>"SI216001199"</f>
        <v>SI216001199</v>
      </c>
      <c r="E2247" t="str">
        <f>"Y"</f>
        <v>Y</v>
      </c>
      <c r="F2247" t="str">
        <f>"חשבוניות מרכזות"</f>
        <v>חשבוניות מרכזות</v>
      </c>
      <c r="G2247" t="str">
        <f>"700065"</f>
        <v>700065</v>
      </c>
      <c r="H2247" t="str">
        <f>"אלתא מערכות בע""מ"</f>
        <v>אלתא מערכות בע"מ</v>
      </c>
      <c r="I2247" t="str">
        <f>"10"</f>
        <v>10</v>
      </c>
      <c r="J2247" t="str">
        <f>"000"</f>
        <v>000</v>
      </c>
      <c r="K2247" t="str">
        <f>"NRE FOR 1038C906-001"</f>
        <v>NRE FOR 1038C906-001</v>
      </c>
      <c r="L2247">
        <v>1</v>
      </c>
      <c r="M2247" t="str">
        <f>"יח"</f>
        <v>יח</v>
      </c>
      <c r="N2247">
        <v>1</v>
      </c>
      <c r="O2247" t="str">
        <f>"יח"</f>
        <v>יח</v>
      </c>
      <c r="P2247" s="2">
        <v>110000</v>
      </c>
      <c r="Q2247" t="str">
        <f>"$"</f>
        <v>$</v>
      </c>
      <c r="R2247" t="str">
        <f>"ידני"</f>
        <v>ידני</v>
      </c>
      <c r="S2247">
        <v>0</v>
      </c>
      <c r="T2247" s="2">
        <v>110000</v>
      </c>
      <c r="U2247">
        <v>0</v>
      </c>
      <c r="V2247" s="2">
        <v>110000</v>
      </c>
      <c r="W2247" t="str">
        <f>"$"</f>
        <v>$</v>
      </c>
      <c r="X2247">
        <v>0</v>
      </c>
      <c r="Y2247">
        <v>0</v>
      </c>
      <c r="Z2247">
        <v>0</v>
      </c>
      <c r="AA2247" t="str">
        <f>"Y"</f>
        <v>Y</v>
      </c>
      <c r="AC2247">
        <v>0</v>
      </c>
      <c r="AM2247" t="str">
        <f>"10"</f>
        <v>10</v>
      </c>
      <c r="AN2247" t="str">
        <f>"500000"</f>
        <v>500000</v>
      </c>
      <c r="AO2247" t="str">
        <f>"הכנסות  מלקוחות"</f>
        <v>הכנסות  מלקוחות</v>
      </c>
      <c r="AQ2247" t="str">
        <f>"034"</f>
        <v>034</v>
      </c>
      <c r="AR2247">
        <v>0</v>
      </c>
      <c r="AS2247">
        <v>0</v>
      </c>
      <c r="AT2247">
        <v>3.2269999999999999</v>
      </c>
      <c r="BB2247" t="str">
        <f>"Y"</f>
        <v>Y</v>
      </c>
      <c r="BD2247" t="str">
        <f>"ערן שלו"</f>
        <v>ערן שלו</v>
      </c>
    </row>
    <row r="2248" spans="1:56" x14ac:dyDescent="0.3">
      <c r="A2248" s="1">
        <v>44433</v>
      </c>
      <c r="B2248" t="str">
        <f>"SI216001210"</f>
        <v>SI216001210</v>
      </c>
      <c r="E2248" t="str">
        <f>"Y"</f>
        <v>Y</v>
      </c>
      <c r="F2248" t="str">
        <f>"חשבוניות מרכזות"</f>
        <v>חשבוניות מרכזות</v>
      </c>
      <c r="G2248" t="str">
        <f>"700065"</f>
        <v>700065</v>
      </c>
      <c r="H2248" t="str">
        <f>"אלתא מערכות בע""מ"</f>
        <v>אלתא מערכות בע"מ</v>
      </c>
      <c r="I2248" t="str">
        <f>"10"</f>
        <v>10</v>
      </c>
      <c r="J2248" t="str">
        <f>"PS0200013"</f>
        <v>PS0200013</v>
      </c>
      <c r="K2248" t="str">
        <f>"DPR6000B-48"</f>
        <v>DPR6000B-48</v>
      </c>
      <c r="L2248">
        <v>1</v>
      </c>
      <c r="M2248" t="str">
        <f>"יח"</f>
        <v>יח</v>
      </c>
      <c r="N2248">
        <v>1</v>
      </c>
      <c r="O2248" t="str">
        <f>"יח"</f>
        <v>יח</v>
      </c>
      <c r="P2248" s="2">
        <v>1640</v>
      </c>
      <c r="Q2248" t="str">
        <f>"$"</f>
        <v>$</v>
      </c>
      <c r="R2248" t="str">
        <f>"הזמנה"</f>
        <v>הזמנה</v>
      </c>
      <c r="S2248">
        <v>0</v>
      </c>
      <c r="T2248" s="2">
        <v>1640</v>
      </c>
      <c r="U2248">
        <v>0</v>
      </c>
      <c r="V2248" s="2">
        <v>1640</v>
      </c>
      <c r="W2248" t="str">
        <f>"$"</f>
        <v>$</v>
      </c>
      <c r="X2248">
        <v>0</v>
      </c>
      <c r="Y2248">
        <v>0</v>
      </c>
      <c r="Z2248">
        <v>0</v>
      </c>
      <c r="AA2248" t="str">
        <f>"Y"</f>
        <v>Y</v>
      </c>
      <c r="AB2248" t="str">
        <f>"SO21000306"</f>
        <v>SO21000306</v>
      </c>
      <c r="AC2248">
        <v>1</v>
      </c>
      <c r="AD2248" s="1">
        <v>44388</v>
      </c>
      <c r="AE2248" t="str">
        <f>"SH21001478"</f>
        <v>SH21001478</v>
      </c>
      <c r="AF2248" t="str">
        <f>"משלוחים ללקוח"</f>
        <v>משלוחים ללקוח</v>
      </c>
      <c r="AG2248" s="1">
        <v>44426</v>
      </c>
      <c r="AM2248" t="str">
        <f>"10"</f>
        <v>10</v>
      </c>
      <c r="AN2248" t="str">
        <f>"500000"</f>
        <v>500000</v>
      </c>
      <c r="AO2248" t="str">
        <f>"הכנסות  מלקוחות"</f>
        <v>הכנסות  מלקוחות</v>
      </c>
      <c r="AQ2248" t="str">
        <f>"034"</f>
        <v>034</v>
      </c>
      <c r="AR2248">
        <v>0</v>
      </c>
      <c r="AS2248">
        <v>0</v>
      </c>
      <c r="AT2248">
        <v>3.2269999999999999</v>
      </c>
      <c r="AX2248" t="str">
        <f>"E000341732"</f>
        <v>E000341732</v>
      </c>
      <c r="BD2248" t="str">
        <f>"ערן שלו"</f>
        <v>ערן שלו</v>
      </c>
    </row>
    <row r="2249" spans="1:56" x14ac:dyDescent="0.3">
      <c r="A2249" s="1">
        <v>44433</v>
      </c>
      <c r="B2249" t="str">
        <f>"SI216001210"</f>
        <v>SI216001210</v>
      </c>
      <c r="E2249" t="str">
        <f>"Y"</f>
        <v>Y</v>
      </c>
      <c r="F2249" t="str">
        <f>"חשבוניות מרכזות"</f>
        <v>חשבוניות מרכזות</v>
      </c>
      <c r="G2249" t="str">
        <f>"700065"</f>
        <v>700065</v>
      </c>
      <c r="H2249" t="str">
        <f>"אלתא מערכות בע""מ"</f>
        <v>אלתא מערכות בע"מ</v>
      </c>
      <c r="I2249" t="str">
        <f>"10"</f>
        <v>10</v>
      </c>
      <c r="J2249" t="str">
        <f>"PS0200013"</f>
        <v>PS0200013</v>
      </c>
      <c r="K2249" t="str">
        <f>"DPR6000B-48"</f>
        <v>DPR6000B-48</v>
      </c>
      <c r="L2249">
        <v>1</v>
      </c>
      <c r="M2249" t="str">
        <f>"יח"</f>
        <v>יח</v>
      </c>
      <c r="N2249">
        <v>1</v>
      </c>
      <c r="O2249" t="str">
        <f>"יח"</f>
        <v>יח</v>
      </c>
      <c r="P2249" s="2">
        <v>1640</v>
      </c>
      <c r="Q2249" t="str">
        <f>"$"</f>
        <v>$</v>
      </c>
      <c r="R2249" t="str">
        <f>"הזמנה"</f>
        <v>הזמנה</v>
      </c>
      <c r="S2249">
        <v>0</v>
      </c>
      <c r="T2249" s="2">
        <v>1640</v>
      </c>
      <c r="U2249">
        <v>0</v>
      </c>
      <c r="V2249" s="2">
        <v>1640</v>
      </c>
      <c r="W2249" t="str">
        <f>"$"</f>
        <v>$</v>
      </c>
      <c r="X2249">
        <v>0</v>
      </c>
      <c r="Y2249">
        <v>0</v>
      </c>
      <c r="Z2249">
        <v>0</v>
      </c>
      <c r="AA2249" t="str">
        <f>"Y"</f>
        <v>Y</v>
      </c>
      <c r="AB2249" t="str">
        <f>"SO21000306"</f>
        <v>SO21000306</v>
      </c>
      <c r="AC2249">
        <v>2</v>
      </c>
      <c r="AD2249" s="1">
        <v>44388</v>
      </c>
      <c r="AE2249" t="str">
        <f>"SH21001478"</f>
        <v>SH21001478</v>
      </c>
      <c r="AF2249" t="str">
        <f>"משלוחים ללקוח"</f>
        <v>משלוחים ללקוח</v>
      </c>
      <c r="AG2249" s="1">
        <v>44426</v>
      </c>
      <c r="AM2249" t="str">
        <f>"10"</f>
        <v>10</v>
      </c>
      <c r="AN2249" t="str">
        <f>"500000"</f>
        <v>500000</v>
      </c>
      <c r="AO2249" t="str">
        <f>"הכנסות  מלקוחות"</f>
        <v>הכנסות  מלקוחות</v>
      </c>
      <c r="AQ2249" t="str">
        <f>"034"</f>
        <v>034</v>
      </c>
      <c r="AR2249">
        <v>0</v>
      </c>
      <c r="AS2249">
        <v>0</v>
      </c>
      <c r="AT2249">
        <v>3.2269999999999999</v>
      </c>
      <c r="AX2249" t="str">
        <f>"E000341732"</f>
        <v>E000341732</v>
      </c>
      <c r="BD2249" t="str">
        <f>"ערן שלו"</f>
        <v>ערן שלו</v>
      </c>
    </row>
    <row r="2250" spans="1:56" x14ac:dyDescent="0.3">
      <c r="A2250" s="1">
        <v>44433</v>
      </c>
      <c r="B2250" t="str">
        <f>"SI216001209"</f>
        <v>SI216001209</v>
      </c>
      <c r="C2250" t="str">
        <f>"PR20000578"</f>
        <v>PR20000578</v>
      </c>
      <c r="E2250" t="str">
        <f>"Y"</f>
        <v>Y</v>
      </c>
      <c r="F2250" t="str">
        <f>"חשבוניות מרכזות"</f>
        <v>חשבוניות מרכזות</v>
      </c>
      <c r="G2250" t="str">
        <f>"700065"</f>
        <v>700065</v>
      </c>
      <c r="H2250" t="str">
        <f>"אלתא מערכות בע""מ"</f>
        <v>אלתא מערכות בע"מ</v>
      </c>
      <c r="I2250" t="str">
        <f>"10"</f>
        <v>10</v>
      </c>
      <c r="J2250" t="str">
        <f>"PS9900081"</f>
        <v>PS9900081</v>
      </c>
      <c r="K2250" t="str">
        <f>"מטען מצברים 1039V517-001 ירוק"</f>
        <v>מטען מצברים 1039V517-001 ירוק</v>
      </c>
      <c r="L2250">
        <v>5</v>
      </c>
      <c r="M2250" t="str">
        <f>"יח"</f>
        <v>יח</v>
      </c>
      <c r="N2250">
        <v>5</v>
      </c>
      <c r="O2250" t="str">
        <f>"יח"</f>
        <v>יח</v>
      </c>
      <c r="P2250" s="2">
        <v>5500</v>
      </c>
      <c r="Q2250" t="str">
        <f>"$"</f>
        <v>$</v>
      </c>
      <c r="R2250" t="str">
        <f>"הזמנה"</f>
        <v>הזמנה</v>
      </c>
      <c r="S2250">
        <v>0</v>
      </c>
      <c r="T2250" s="2">
        <v>27500</v>
      </c>
      <c r="U2250">
        <v>0</v>
      </c>
      <c r="V2250" s="2">
        <v>27500</v>
      </c>
      <c r="W2250" t="str">
        <f>"$"</f>
        <v>$</v>
      </c>
      <c r="X2250">
        <v>0</v>
      </c>
      <c r="Y2250">
        <v>0</v>
      </c>
      <c r="Z2250">
        <v>0</v>
      </c>
      <c r="AA2250" t="str">
        <f>"Y"</f>
        <v>Y</v>
      </c>
      <c r="AB2250" t="str">
        <f>"SO20000381"</f>
        <v>SO20000381</v>
      </c>
      <c r="AC2250">
        <v>5</v>
      </c>
      <c r="AD2250" s="1">
        <v>44073</v>
      </c>
      <c r="AE2250" t="str">
        <f>"SH21001505"</f>
        <v>SH21001505</v>
      </c>
      <c r="AF2250" t="str">
        <f>"משלוחים ללקוח"</f>
        <v>משלוחים ללקוח</v>
      </c>
      <c r="AG2250" s="1">
        <v>44431</v>
      </c>
      <c r="AM2250" t="str">
        <f>"10"</f>
        <v>10</v>
      </c>
      <c r="AN2250" t="str">
        <f>"500000"</f>
        <v>500000</v>
      </c>
      <c r="AO2250" t="str">
        <f>"הכנסות  מלקוחות"</f>
        <v>הכנסות  מלקוחות</v>
      </c>
      <c r="AQ2250" t="str">
        <f>"034"</f>
        <v>034</v>
      </c>
      <c r="AR2250">
        <v>0</v>
      </c>
      <c r="AS2250">
        <v>0</v>
      </c>
      <c r="AT2250">
        <v>3.2269999999999999</v>
      </c>
      <c r="AX2250" t="str">
        <f>"E000319715"</f>
        <v>E000319715</v>
      </c>
      <c r="BD2250" t="str">
        <f>"ערן שלו"</f>
        <v>ערן שלו</v>
      </c>
    </row>
    <row r="2251" spans="1:56" x14ac:dyDescent="0.3">
      <c r="A2251" s="1">
        <v>44430</v>
      </c>
      <c r="B2251" t="str">
        <f>"SI216001214"</f>
        <v>SI216001214</v>
      </c>
      <c r="C2251" t="str">
        <f>"PR21000250"</f>
        <v>PR21000250</v>
      </c>
      <c r="E2251" t="str">
        <f>"Y"</f>
        <v>Y</v>
      </c>
      <c r="F2251" t="str">
        <f>"חשבוניות מרכזות"</f>
        <v>חשבוניות מרכזות</v>
      </c>
      <c r="G2251" t="str">
        <f>"700065"</f>
        <v>700065</v>
      </c>
      <c r="H2251" t="str">
        <f>"אלתא מערכות בע""מ"</f>
        <v>אלתא מערכות בע"מ</v>
      </c>
      <c r="I2251" t="str">
        <f>"10"</f>
        <v>10</v>
      </c>
      <c r="J2251" t="str">
        <f>"OP-AR02245"</f>
        <v>OP-AR02245</v>
      </c>
      <c r="K2251" t="str">
        <f>"2211B248-001   SELFTEST CABLE"</f>
        <v>2211B248-001   SELFTEST CABLE</v>
      </c>
      <c r="L2251">
        <v>3</v>
      </c>
      <c r="M2251" t="str">
        <f>"יח"</f>
        <v>יח</v>
      </c>
      <c r="N2251">
        <v>3</v>
      </c>
      <c r="O2251" t="str">
        <f>"יח"</f>
        <v>יח</v>
      </c>
      <c r="P2251">
        <v>593.44000000000005</v>
      </c>
      <c r="Q2251" t="str">
        <f>"$"</f>
        <v>$</v>
      </c>
      <c r="R2251" t="str">
        <f>"הזמנה"</f>
        <v>הזמנה</v>
      </c>
      <c r="S2251">
        <v>0</v>
      </c>
      <c r="T2251" s="2">
        <v>1780.32</v>
      </c>
      <c r="U2251">
        <v>0</v>
      </c>
      <c r="V2251" s="2">
        <v>1780.32</v>
      </c>
      <c r="W2251" t="str">
        <f>"$"</f>
        <v>$</v>
      </c>
      <c r="X2251">
        <v>0</v>
      </c>
      <c r="Y2251">
        <v>0</v>
      </c>
      <c r="Z2251">
        <v>0</v>
      </c>
      <c r="AA2251" t="str">
        <f>"Y"</f>
        <v>Y</v>
      </c>
      <c r="AB2251" t="str">
        <f>"SO21000171"</f>
        <v>SO21000171</v>
      </c>
      <c r="AC2251">
        <v>4</v>
      </c>
      <c r="AD2251" s="1">
        <v>44304</v>
      </c>
      <c r="AE2251" t="str">
        <f>"SH21001489"</f>
        <v>SH21001489</v>
      </c>
      <c r="AF2251" t="str">
        <f>"משלוחים ללקוח"</f>
        <v>משלוחים ללקוח</v>
      </c>
      <c r="AG2251" s="1">
        <v>44430</v>
      </c>
      <c r="AM2251" t="str">
        <f>"10"</f>
        <v>10</v>
      </c>
      <c r="AN2251" t="str">
        <f>"500000"</f>
        <v>500000</v>
      </c>
      <c r="AO2251" t="str">
        <f>"הכנסות  מלקוחות"</f>
        <v>הכנסות  מלקוחות</v>
      </c>
      <c r="AQ2251" t="str">
        <f>"040"</f>
        <v>040</v>
      </c>
      <c r="AR2251">
        <v>0</v>
      </c>
      <c r="AS2251">
        <v>0</v>
      </c>
      <c r="AT2251">
        <v>3.2450000000000001</v>
      </c>
      <c r="AX2251" t="str">
        <f>"E000336785"</f>
        <v>E000336785</v>
      </c>
      <c r="BD2251" t="str">
        <f>"רחמים זרוק"</f>
        <v>רחמים זרוק</v>
      </c>
    </row>
    <row r="2252" spans="1:56" x14ac:dyDescent="0.3">
      <c r="A2252" s="1">
        <v>44430</v>
      </c>
      <c r="B2252" t="str">
        <f>"SI216001214"</f>
        <v>SI216001214</v>
      </c>
      <c r="C2252" t="str">
        <f>"PR21000250"</f>
        <v>PR21000250</v>
      </c>
      <c r="E2252" t="str">
        <f>"Y"</f>
        <v>Y</v>
      </c>
      <c r="F2252" t="str">
        <f>"חשבוניות מרכזות"</f>
        <v>חשבוניות מרכזות</v>
      </c>
      <c r="G2252" t="str">
        <f>"700065"</f>
        <v>700065</v>
      </c>
      <c r="H2252" t="str">
        <f>"אלתא מערכות בע""מ"</f>
        <v>אלתא מערכות בע"מ</v>
      </c>
      <c r="I2252" t="str">
        <f>"10"</f>
        <v>10</v>
      </c>
      <c r="J2252" t="str">
        <f>"OP-AR02350"</f>
        <v>OP-AR02350</v>
      </c>
      <c r="K2252" t="str">
        <f>"2202B032-001    TRW21 CABLE ASSY"</f>
        <v>2202B032-001    TRW21 CABLE ASSY</v>
      </c>
      <c r="L2252">
        <v>5</v>
      </c>
      <c r="M2252" t="str">
        <f>"יח"</f>
        <v>יח</v>
      </c>
      <c r="N2252">
        <v>5</v>
      </c>
      <c r="O2252" t="str">
        <f>"יח"</f>
        <v>יח</v>
      </c>
      <c r="P2252">
        <v>232.91</v>
      </c>
      <c r="Q2252" t="str">
        <f>"$"</f>
        <v>$</v>
      </c>
      <c r="R2252" t="str">
        <f>"הזמנה"</f>
        <v>הזמנה</v>
      </c>
      <c r="S2252">
        <v>0</v>
      </c>
      <c r="T2252" s="2">
        <v>1164.55</v>
      </c>
      <c r="U2252">
        <v>0</v>
      </c>
      <c r="V2252" s="2">
        <v>1164.55</v>
      </c>
      <c r="W2252" t="str">
        <f>"$"</f>
        <v>$</v>
      </c>
      <c r="X2252">
        <v>0</v>
      </c>
      <c r="Y2252">
        <v>0</v>
      </c>
      <c r="Z2252">
        <v>0</v>
      </c>
      <c r="AA2252" t="str">
        <f>"Y"</f>
        <v>Y</v>
      </c>
      <c r="AB2252" t="str">
        <f>"SO21000171"</f>
        <v>SO21000171</v>
      </c>
      <c r="AC2252">
        <v>5</v>
      </c>
      <c r="AD2252" s="1">
        <v>44304</v>
      </c>
      <c r="AE2252" t="str">
        <f>"SH21001489"</f>
        <v>SH21001489</v>
      </c>
      <c r="AF2252" t="str">
        <f>"משלוחים ללקוח"</f>
        <v>משלוחים ללקוח</v>
      </c>
      <c r="AG2252" s="1">
        <v>44430</v>
      </c>
      <c r="AM2252" t="str">
        <f>"10"</f>
        <v>10</v>
      </c>
      <c r="AN2252" t="str">
        <f>"500000"</f>
        <v>500000</v>
      </c>
      <c r="AO2252" t="str">
        <f>"הכנסות  מלקוחות"</f>
        <v>הכנסות  מלקוחות</v>
      </c>
      <c r="AQ2252" t="str">
        <f>"040"</f>
        <v>040</v>
      </c>
      <c r="AR2252">
        <v>0</v>
      </c>
      <c r="AS2252">
        <v>0</v>
      </c>
      <c r="AT2252">
        <v>3.2450000000000001</v>
      </c>
      <c r="AX2252" t="str">
        <f>"E000336785"</f>
        <v>E000336785</v>
      </c>
      <c r="BD2252" t="str">
        <f>"רחמים זרוק"</f>
        <v>רחמים זרוק</v>
      </c>
    </row>
    <row r="2253" spans="1:56" x14ac:dyDescent="0.3">
      <c r="A2253" s="1">
        <v>44430</v>
      </c>
      <c r="B2253" t="str">
        <f>"SI216001214"</f>
        <v>SI216001214</v>
      </c>
      <c r="C2253" t="str">
        <f>"PR21000250"</f>
        <v>PR21000250</v>
      </c>
      <c r="E2253" t="str">
        <f>"Y"</f>
        <v>Y</v>
      </c>
      <c r="F2253" t="str">
        <f>"חשבוניות מרכזות"</f>
        <v>חשבוניות מרכזות</v>
      </c>
      <c r="G2253" t="str">
        <f>"700065"</f>
        <v>700065</v>
      </c>
      <c r="H2253" t="str">
        <f>"אלתא מערכות בע""מ"</f>
        <v>אלתא מערכות בע"מ</v>
      </c>
      <c r="I2253" t="str">
        <f>"10"</f>
        <v>10</v>
      </c>
      <c r="J2253" t="str">
        <f>"OP-AR02244"</f>
        <v>OP-AR02244</v>
      </c>
      <c r="K2253" t="str">
        <f>"2211B157-001   CFW07 CU ADAPTER SELFTEST CABLE A"</f>
        <v>2211B157-001   CFW07 CU ADAPTER SELFTEST CABLE A</v>
      </c>
      <c r="L2253">
        <v>3</v>
      </c>
      <c r="M2253" t="str">
        <f>"יח"</f>
        <v>יח</v>
      </c>
      <c r="N2253">
        <v>3</v>
      </c>
      <c r="O2253" t="str">
        <f>"יח"</f>
        <v>יח</v>
      </c>
      <c r="P2253">
        <v>694.65</v>
      </c>
      <c r="Q2253" t="str">
        <f>"$"</f>
        <v>$</v>
      </c>
      <c r="R2253" t="str">
        <f>"הזמנה"</f>
        <v>הזמנה</v>
      </c>
      <c r="S2253">
        <v>0</v>
      </c>
      <c r="T2253" s="2">
        <v>2083.9499999999998</v>
      </c>
      <c r="U2253">
        <v>0</v>
      </c>
      <c r="V2253" s="2">
        <v>2083.9499999999998</v>
      </c>
      <c r="W2253" t="str">
        <f>"$"</f>
        <v>$</v>
      </c>
      <c r="X2253">
        <v>0</v>
      </c>
      <c r="Y2253">
        <v>0</v>
      </c>
      <c r="Z2253">
        <v>0</v>
      </c>
      <c r="AA2253" t="str">
        <f>"Y"</f>
        <v>Y</v>
      </c>
      <c r="AB2253" t="str">
        <f>"SO21000171"</f>
        <v>SO21000171</v>
      </c>
      <c r="AC2253">
        <v>8</v>
      </c>
      <c r="AD2253" s="1">
        <v>44304</v>
      </c>
      <c r="AE2253" t="str">
        <f>"SH21001489"</f>
        <v>SH21001489</v>
      </c>
      <c r="AF2253" t="str">
        <f>"משלוחים ללקוח"</f>
        <v>משלוחים ללקוח</v>
      </c>
      <c r="AG2253" s="1">
        <v>44430</v>
      </c>
      <c r="AM2253" t="str">
        <f>"10"</f>
        <v>10</v>
      </c>
      <c r="AN2253" t="str">
        <f>"500000"</f>
        <v>500000</v>
      </c>
      <c r="AO2253" t="str">
        <f>"הכנסות  מלקוחות"</f>
        <v>הכנסות  מלקוחות</v>
      </c>
      <c r="AQ2253" t="str">
        <f>"040"</f>
        <v>040</v>
      </c>
      <c r="AR2253">
        <v>0</v>
      </c>
      <c r="AS2253">
        <v>0</v>
      </c>
      <c r="AT2253">
        <v>3.2450000000000001</v>
      </c>
      <c r="AX2253" t="str">
        <f>"E000336785"</f>
        <v>E000336785</v>
      </c>
      <c r="BD2253" t="str">
        <f>"רחמים זרוק"</f>
        <v>רחמים זרוק</v>
      </c>
    </row>
    <row r="2254" spans="1:56" x14ac:dyDescent="0.3">
      <c r="A2254" s="1">
        <v>44430</v>
      </c>
      <c r="B2254" t="str">
        <f>"SI216001213"</f>
        <v>SI216001213</v>
      </c>
      <c r="C2254" t="str">
        <f>"PR21000342"</f>
        <v>PR21000342</v>
      </c>
      <c r="D2254" t="str">
        <f>"PR21000342"</f>
        <v>PR21000342</v>
      </c>
      <c r="E2254" t="str">
        <f>"Y"</f>
        <v>Y</v>
      </c>
      <c r="F2254" t="str">
        <f>"חשבוניות מרכזות"</f>
        <v>חשבוניות מרכזות</v>
      </c>
      <c r="G2254" t="str">
        <f>"700065"</f>
        <v>700065</v>
      </c>
      <c r="H2254" t="str">
        <f>"אלתא מערכות בע""מ"</f>
        <v>אלתא מערכות בע"מ</v>
      </c>
      <c r="I2254" t="str">
        <f>"10"</f>
        <v>10</v>
      </c>
      <c r="J2254" t="str">
        <f>"OP-AR02262"</f>
        <v>OP-AR02262</v>
      </c>
      <c r="K2254" t="str">
        <f>"1038C462-001   WG462 - P.S TO BUSBAR GROUN"</f>
        <v>1038C462-001   WG462 - P.S TO BUSBAR GROUN</v>
      </c>
      <c r="L2254">
        <v>12</v>
      </c>
      <c r="M2254" t="str">
        <f>"יח"</f>
        <v>יח</v>
      </c>
      <c r="N2254">
        <v>12</v>
      </c>
      <c r="O2254" t="str">
        <f>"יח"</f>
        <v>יח</v>
      </c>
      <c r="P2254">
        <v>55.27</v>
      </c>
      <c r="Q2254" t="str">
        <f>"$"</f>
        <v>$</v>
      </c>
      <c r="R2254" t="str">
        <f>"הזמנה"</f>
        <v>הזמנה</v>
      </c>
      <c r="S2254">
        <v>0</v>
      </c>
      <c r="T2254">
        <v>663.24</v>
      </c>
      <c r="U2254">
        <v>0</v>
      </c>
      <c r="V2254">
        <v>663.24</v>
      </c>
      <c r="W2254" t="str">
        <f>"$"</f>
        <v>$</v>
      </c>
      <c r="X2254">
        <v>0</v>
      </c>
      <c r="Y2254">
        <v>0</v>
      </c>
      <c r="Z2254">
        <v>0</v>
      </c>
      <c r="AA2254" t="str">
        <f>"Y"</f>
        <v>Y</v>
      </c>
      <c r="AB2254" t="str">
        <f>"SO21000236"</f>
        <v>SO21000236</v>
      </c>
      <c r="AC2254">
        <v>3</v>
      </c>
      <c r="AD2254" s="1">
        <v>44341</v>
      </c>
      <c r="AE2254" t="str">
        <f>"SH21001488"</f>
        <v>SH21001488</v>
      </c>
      <c r="AF2254" t="str">
        <f>"משלוחים ללקוח"</f>
        <v>משלוחים ללקוח</v>
      </c>
      <c r="AG2254" s="1">
        <v>44430</v>
      </c>
      <c r="AM2254" t="str">
        <f>"10"</f>
        <v>10</v>
      </c>
      <c r="AN2254" t="str">
        <f>"500000"</f>
        <v>500000</v>
      </c>
      <c r="AO2254" t="str">
        <f>"הכנסות  מלקוחות"</f>
        <v>הכנסות  מלקוחות</v>
      </c>
      <c r="AQ2254" t="str">
        <f>"040"</f>
        <v>040</v>
      </c>
      <c r="AR2254">
        <v>0</v>
      </c>
      <c r="AS2254">
        <v>0</v>
      </c>
      <c r="AT2254">
        <v>3.2450000000000001</v>
      </c>
      <c r="AX2254" t="str">
        <f>"E000337986"</f>
        <v>E000337986</v>
      </c>
      <c r="BD2254" t="str">
        <f>"רחמים זרוק"</f>
        <v>רחמים זרוק</v>
      </c>
    </row>
    <row r="2255" spans="1:56" x14ac:dyDescent="0.3">
      <c r="A2255" s="1">
        <v>44430</v>
      </c>
      <c r="B2255" t="str">
        <f>"SI216001212"</f>
        <v>SI216001212</v>
      </c>
      <c r="C2255" t="str">
        <f>"PR21000526"</f>
        <v>PR21000526</v>
      </c>
      <c r="E2255" t="str">
        <f>"Y"</f>
        <v>Y</v>
      </c>
      <c r="F2255" t="str">
        <f>"חשבוניות מרכזות"</f>
        <v>חשבוניות מרכזות</v>
      </c>
      <c r="G2255" t="str">
        <f>"700065"</f>
        <v>700065</v>
      </c>
      <c r="H2255" t="str">
        <f>"אלתא מערכות בע""מ"</f>
        <v>אלתא מערכות בע"מ</v>
      </c>
      <c r="I2255" t="str">
        <f>"10"</f>
        <v>10</v>
      </c>
      <c r="J2255" t="str">
        <f>"cust000842"</f>
        <v>cust000842</v>
      </c>
      <c r="K2255" t="str">
        <f>"1039H802-001 אלתא"</f>
        <v>1039H802-001 אלתא</v>
      </c>
      <c r="L2255">
        <v>4</v>
      </c>
      <c r="M2255" t="str">
        <f>"יח"</f>
        <v>יח</v>
      </c>
      <c r="N2255">
        <v>4</v>
      </c>
      <c r="O2255" t="str">
        <f>"יח"</f>
        <v>יח</v>
      </c>
      <c r="P2255">
        <v>141.22999999999999</v>
      </c>
      <c r="Q2255" t="str">
        <f>"$"</f>
        <v>$</v>
      </c>
      <c r="R2255" t="str">
        <f>"הזמנה"</f>
        <v>הזמנה</v>
      </c>
      <c r="S2255">
        <v>0</v>
      </c>
      <c r="T2255">
        <v>564.91999999999996</v>
      </c>
      <c r="U2255">
        <v>0</v>
      </c>
      <c r="V2255">
        <v>564.91999999999996</v>
      </c>
      <c r="W2255" t="str">
        <f>"$"</f>
        <v>$</v>
      </c>
      <c r="X2255">
        <v>0</v>
      </c>
      <c r="Y2255">
        <v>0</v>
      </c>
      <c r="Z2255">
        <v>0</v>
      </c>
      <c r="AA2255" t="str">
        <f>"Y"</f>
        <v>Y</v>
      </c>
      <c r="AB2255" t="str">
        <f>"SO21000346"</f>
        <v>SO21000346</v>
      </c>
      <c r="AC2255">
        <v>1</v>
      </c>
      <c r="AD2255" s="1">
        <v>44409</v>
      </c>
      <c r="AE2255" t="str">
        <f>"SH21001490"</f>
        <v>SH21001490</v>
      </c>
      <c r="AF2255" t="str">
        <f>"משלוחים ללקוח"</f>
        <v>משלוחים ללקוח</v>
      </c>
      <c r="AG2255" s="1">
        <v>44430</v>
      </c>
      <c r="AM2255" t="str">
        <f>"10"</f>
        <v>10</v>
      </c>
      <c r="AN2255" t="str">
        <f>"500000"</f>
        <v>500000</v>
      </c>
      <c r="AO2255" t="str">
        <f>"הכנסות  מלקוחות"</f>
        <v>הכנסות  מלקוחות</v>
      </c>
      <c r="AQ2255" t="str">
        <f>"040"</f>
        <v>040</v>
      </c>
      <c r="AR2255">
        <v>0</v>
      </c>
      <c r="AS2255">
        <v>0</v>
      </c>
      <c r="AT2255">
        <v>3.2450000000000001</v>
      </c>
      <c r="AX2255" t="str">
        <f>"E000339502"</f>
        <v>E000339502</v>
      </c>
      <c r="BD2255" t="str">
        <f>"רחמים זרוק"</f>
        <v>רחמים זרוק</v>
      </c>
    </row>
    <row r="2256" spans="1:56" x14ac:dyDescent="0.3">
      <c r="A2256" s="1">
        <v>44424</v>
      </c>
      <c r="B2256" t="str">
        <f>"SI216001195"</f>
        <v>SI216001195</v>
      </c>
      <c r="C2256" t="str">
        <f>"PR20000779"</f>
        <v>PR20000779</v>
      </c>
      <c r="D2256" t="str">
        <f>"PR20000779"</f>
        <v>PR20000779</v>
      </c>
      <c r="E2256" t="str">
        <f>"Y"</f>
        <v>Y</v>
      </c>
      <c r="F2256" t="str">
        <f>"חשבוניות מרכזות"</f>
        <v>חשבוניות מרכזות</v>
      </c>
      <c r="G2256" t="str">
        <f>"700065"</f>
        <v>700065</v>
      </c>
      <c r="H2256" t="str">
        <f>"אלתא מערכות בע""מ"</f>
        <v>אלתא מערכות בע"מ</v>
      </c>
      <c r="I2256" t="str">
        <f>"10"</f>
        <v>10</v>
      </c>
      <c r="J2256" t="str">
        <f>"OP-AR02063"</f>
        <v>OP-AR02063</v>
      </c>
      <c r="K2256" t="str">
        <f>"1020Y273-001   POWER CABLE ASSY W35"</f>
        <v>1020Y273-001   POWER CABLE ASSY W35</v>
      </c>
      <c r="L2256">
        <v>1</v>
      </c>
      <c r="M2256" t="str">
        <f>"יח"</f>
        <v>יח</v>
      </c>
      <c r="N2256">
        <v>1</v>
      </c>
      <c r="O2256" t="str">
        <f>"יח"</f>
        <v>יח</v>
      </c>
      <c r="P2256">
        <v>527.79</v>
      </c>
      <c r="Q2256" t="str">
        <f>"$"</f>
        <v>$</v>
      </c>
      <c r="R2256" t="str">
        <f>"הזמנה"</f>
        <v>הזמנה</v>
      </c>
      <c r="S2256">
        <v>0</v>
      </c>
      <c r="T2256">
        <v>527.79</v>
      </c>
      <c r="U2256">
        <v>0</v>
      </c>
      <c r="V2256">
        <v>527.79</v>
      </c>
      <c r="W2256" t="str">
        <f>"$"</f>
        <v>$</v>
      </c>
      <c r="X2256">
        <v>0</v>
      </c>
      <c r="Y2256">
        <v>0</v>
      </c>
      <c r="Z2256">
        <v>0</v>
      </c>
      <c r="AA2256" t="str">
        <f>"Y"</f>
        <v>Y</v>
      </c>
      <c r="AB2256" t="str">
        <f>"SO20000496"</f>
        <v>SO20000496</v>
      </c>
      <c r="AC2256">
        <v>4</v>
      </c>
      <c r="AD2256" s="1">
        <v>44138</v>
      </c>
      <c r="AE2256" t="str">
        <f>"SH21001457"</f>
        <v>SH21001457</v>
      </c>
      <c r="AF2256" t="str">
        <f>"משלוחים ללקוח"</f>
        <v>משלוחים ללקוח</v>
      </c>
      <c r="AG2256" s="1">
        <v>44423</v>
      </c>
      <c r="AM2256" t="str">
        <f>"10"</f>
        <v>10</v>
      </c>
      <c r="AN2256" t="str">
        <f>"500000"</f>
        <v>500000</v>
      </c>
      <c r="AO2256" t="str">
        <f>"הכנסות  מלקוחות"</f>
        <v>הכנסות  מלקוחות</v>
      </c>
      <c r="AQ2256" t="str">
        <f>"034"</f>
        <v>034</v>
      </c>
      <c r="AR2256">
        <v>0</v>
      </c>
      <c r="AS2256">
        <v>0</v>
      </c>
      <c r="AT2256">
        <v>3.2229999999999999</v>
      </c>
      <c r="AX2256" t="str">
        <f>"E000323819"</f>
        <v>E000323819</v>
      </c>
      <c r="BD2256" t="str">
        <f>"ערן שלו"</f>
        <v>ערן שלו</v>
      </c>
    </row>
    <row r="2257" spans="1:56" x14ac:dyDescent="0.3">
      <c r="A2257" s="1">
        <v>44424</v>
      </c>
      <c r="B2257" t="str">
        <f>"SI216001188"</f>
        <v>SI216001188</v>
      </c>
      <c r="C2257" t="str">
        <f>"PR19000750"</f>
        <v>PR19000750</v>
      </c>
      <c r="D2257" t="str">
        <f>"PR19000750"</f>
        <v>PR19000750</v>
      </c>
      <c r="E2257" t="str">
        <f>"Y"</f>
        <v>Y</v>
      </c>
      <c r="F2257" t="str">
        <f>"חשבוניות מרכזות"</f>
        <v>חשבוניות מרכזות</v>
      </c>
      <c r="G2257" t="str">
        <f>"700065"</f>
        <v>700065</v>
      </c>
      <c r="H2257" t="str">
        <f>"אלתא מערכות בע""מ"</f>
        <v>אלתא מערכות בע"מ</v>
      </c>
      <c r="I2257" t="str">
        <f>"10"</f>
        <v>10</v>
      </c>
      <c r="J2257" t="str">
        <f>"000"</f>
        <v>000</v>
      </c>
      <c r="K2257" t="str">
        <f>"תוספת קיט 1037C838-001"</f>
        <v>תוספת קיט 1037C838-001</v>
      </c>
      <c r="L2257">
        <v>1</v>
      </c>
      <c r="M2257" t="str">
        <f>"יח"</f>
        <v>יח</v>
      </c>
      <c r="N2257">
        <v>1</v>
      </c>
      <c r="O2257" t="str">
        <f>"יח"</f>
        <v>יח</v>
      </c>
      <c r="P2257" s="2">
        <v>10751.17</v>
      </c>
      <c r="Q2257" t="str">
        <f>"$"</f>
        <v>$</v>
      </c>
      <c r="R2257" t="str">
        <f>"הזמנה"</f>
        <v>הזמנה</v>
      </c>
      <c r="S2257">
        <v>0</v>
      </c>
      <c r="T2257" s="2">
        <v>10751.17</v>
      </c>
      <c r="U2257">
        <v>0</v>
      </c>
      <c r="V2257" s="2">
        <v>10751.17</v>
      </c>
      <c r="W2257" t="str">
        <f>"$"</f>
        <v>$</v>
      </c>
      <c r="X2257">
        <v>0</v>
      </c>
      <c r="Y2257">
        <v>0</v>
      </c>
      <c r="Z2257">
        <v>0</v>
      </c>
      <c r="AA2257" t="str">
        <f>"Y"</f>
        <v>Y</v>
      </c>
      <c r="AB2257" t="str">
        <f>"SO20000290"</f>
        <v>SO20000290</v>
      </c>
      <c r="AC2257">
        <v>3</v>
      </c>
      <c r="AD2257" s="1">
        <v>44020</v>
      </c>
      <c r="AM2257" t="str">
        <f>"10"</f>
        <v>10</v>
      </c>
      <c r="AN2257" t="str">
        <f>"500000"</f>
        <v>500000</v>
      </c>
      <c r="AO2257" t="str">
        <f>"הכנסות  מלקוחות"</f>
        <v>הכנסות  מלקוחות</v>
      </c>
      <c r="AQ2257" t="str">
        <f>"034"</f>
        <v>034</v>
      </c>
      <c r="AR2257">
        <v>0</v>
      </c>
      <c r="AS2257">
        <v>0</v>
      </c>
      <c r="AT2257">
        <v>3.2229999999999999</v>
      </c>
      <c r="AX2257" t="str">
        <f>"E000316490"</f>
        <v>E000316490</v>
      </c>
      <c r="BD2257" t="str">
        <f>"ערן שלו"</f>
        <v>ערן שלו</v>
      </c>
    </row>
    <row r="2258" spans="1:56" x14ac:dyDescent="0.3">
      <c r="A2258" s="1">
        <v>44424</v>
      </c>
      <c r="B2258" t="str">
        <f>"SI216001187"</f>
        <v>SI216001187</v>
      </c>
      <c r="C2258" t="str">
        <f>"PR19000750"</f>
        <v>PR19000750</v>
      </c>
      <c r="E2258" t="str">
        <f>"Y"</f>
        <v>Y</v>
      </c>
      <c r="F2258" t="str">
        <f>"חשבוניות מרכזות"</f>
        <v>חשבוניות מרכזות</v>
      </c>
      <c r="G2258" t="str">
        <f>"700065"</f>
        <v>700065</v>
      </c>
      <c r="H2258" t="str">
        <f>"אלתא מערכות בע""מ"</f>
        <v>אלתא מערכות בע"מ</v>
      </c>
      <c r="I2258" t="str">
        <f>"10"</f>
        <v>10</v>
      </c>
      <c r="J2258" t="str">
        <f>"000"</f>
        <v>000</v>
      </c>
      <c r="K2258" t="str">
        <f>"תוספת קיט 1037C838-001"</f>
        <v>תוספת קיט 1037C838-001</v>
      </c>
      <c r="L2258">
        <v>-1</v>
      </c>
      <c r="M2258" t="str">
        <f>"יח"</f>
        <v>יח</v>
      </c>
      <c r="N2258">
        <v>-1</v>
      </c>
      <c r="O2258" t="str">
        <f>"יח"</f>
        <v>יח</v>
      </c>
      <c r="P2258" s="2">
        <v>10751.17</v>
      </c>
      <c r="Q2258" t="str">
        <f>"$"</f>
        <v>$</v>
      </c>
      <c r="R2258" t="str">
        <f>"הזמנה"</f>
        <v>הזמנה</v>
      </c>
      <c r="S2258">
        <v>0</v>
      </c>
      <c r="T2258" s="2">
        <v>-10751.17</v>
      </c>
      <c r="U2258">
        <v>0</v>
      </c>
      <c r="V2258" s="2">
        <v>-10751.17</v>
      </c>
      <c r="W2258" t="str">
        <f>"$"</f>
        <v>$</v>
      </c>
      <c r="X2258">
        <v>0</v>
      </c>
      <c r="Y2258">
        <v>0</v>
      </c>
      <c r="Z2258">
        <v>0</v>
      </c>
      <c r="AA2258" t="str">
        <f>"Y"</f>
        <v>Y</v>
      </c>
      <c r="AC2258">
        <v>0</v>
      </c>
      <c r="AM2258" t="str">
        <f>"10"</f>
        <v>10</v>
      </c>
      <c r="AN2258" t="str">
        <f>"500000"</f>
        <v>500000</v>
      </c>
      <c r="AO2258" t="str">
        <f>"הכנסות  מלקוחות"</f>
        <v>הכנסות  מלקוחות</v>
      </c>
      <c r="AQ2258" t="str">
        <f>"034"</f>
        <v>034</v>
      </c>
      <c r="AR2258">
        <v>0</v>
      </c>
      <c r="AS2258">
        <v>0</v>
      </c>
      <c r="AT2258">
        <v>3.2229999999999999</v>
      </c>
      <c r="BB2258" t="str">
        <f>"Y"</f>
        <v>Y</v>
      </c>
      <c r="BD2258" t="str">
        <f>"ערן שלו"</f>
        <v>ערן שלו</v>
      </c>
    </row>
    <row r="2259" spans="1:56" x14ac:dyDescent="0.3">
      <c r="A2259" s="1">
        <v>44424</v>
      </c>
      <c r="B2259" t="str">
        <f>"SI216001186"</f>
        <v>SI216001186</v>
      </c>
      <c r="C2259" t="str">
        <f>"PR19000750"</f>
        <v>PR19000750</v>
      </c>
      <c r="E2259" t="str">
        <f>"Y"</f>
        <v>Y</v>
      </c>
      <c r="F2259" t="str">
        <f>"חשבוניות מרכזות"</f>
        <v>חשבוניות מרכזות</v>
      </c>
      <c r="G2259" t="str">
        <f>"700065"</f>
        <v>700065</v>
      </c>
      <c r="H2259" t="str">
        <f>"אלתא מערכות בע""מ"</f>
        <v>אלתא מערכות בע"מ</v>
      </c>
      <c r="I2259" t="str">
        <f>"10"</f>
        <v>10</v>
      </c>
      <c r="J2259" t="str">
        <f>"000"</f>
        <v>000</v>
      </c>
      <c r="K2259" t="str">
        <f>"תוספת קיט 1037C838-001"</f>
        <v>תוספת קיט 1037C838-001</v>
      </c>
      <c r="L2259">
        <v>1</v>
      </c>
      <c r="M2259" t="str">
        <f>"יח"</f>
        <v>יח</v>
      </c>
      <c r="N2259">
        <v>1</v>
      </c>
      <c r="O2259" t="str">
        <f>"יח"</f>
        <v>יח</v>
      </c>
      <c r="P2259" s="2">
        <v>10751.17</v>
      </c>
      <c r="Q2259" t="str">
        <f>"$"</f>
        <v>$</v>
      </c>
      <c r="R2259" t="str">
        <f>"הזמנה"</f>
        <v>הזמנה</v>
      </c>
      <c r="S2259">
        <v>0</v>
      </c>
      <c r="T2259" s="2">
        <v>10751.17</v>
      </c>
      <c r="U2259">
        <v>0</v>
      </c>
      <c r="V2259" s="2">
        <v>10751.17</v>
      </c>
      <c r="W2259" t="str">
        <f>"$"</f>
        <v>$</v>
      </c>
      <c r="X2259">
        <v>0</v>
      </c>
      <c r="Y2259">
        <v>0</v>
      </c>
      <c r="Z2259">
        <v>0</v>
      </c>
      <c r="AA2259" t="str">
        <f>"Y"</f>
        <v>Y</v>
      </c>
      <c r="AC2259">
        <v>0</v>
      </c>
      <c r="AM2259" t="str">
        <f>"10"</f>
        <v>10</v>
      </c>
      <c r="AN2259" t="str">
        <f>"500000"</f>
        <v>500000</v>
      </c>
      <c r="AO2259" t="str">
        <f>"הכנסות  מלקוחות"</f>
        <v>הכנסות  מלקוחות</v>
      </c>
      <c r="AQ2259" t="str">
        <f>"034"</f>
        <v>034</v>
      </c>
      <c r="AR2259">
        <v>0</v>
      </c>
      <c r="AS2259">
        <v>0</v>
      </c>
      <c r="AT2259">
        <v>3.2229999999999999</v>
      </c>
      <c r="BB2259" t="str">
        <f>"Y"</f>
        <v>Y</v>
      </c>
      <c r="BD2259" t="str">
        <f>"ערן שלו"</f>
        <v>ערן שלו</v>
      </c>
    </row>
    <row r="2260" spans="1:56" x14ac:dyDescent="0.3">
      <c r="A2260" s="1">
        <v>44423</v>
      </c>
      <c r="B2260" t="str">
        <f>"SI216001318"</f>
        <v>SI216001318</v>
      </c>
      <c r="E2260" t="str">
        <f>"Y"</f>
        <v>Y</v>
      </c>
      <c r="F2260" t="str">
        <f>"חשבוניות מרכזות"</f>
        <v>חשבוניות מרכזות</v>
      </c>
      <c r="G2260" t="str">
        <f>"700065"</f>
        <v>700065</v>
      </c>
      <c r="H2260" t="str">
        <f>"אלתא מערכות בע""מ"</f>
        <v>אלתא מערכות בע"מ</v>
      </c>
      <c r="I2260" t="str">
        <f>"10"</f>
        <v>10</v>
      </c>
      <c r="J2260" t="str">
        <f>"OP-ML00179"</f>
        <v>OP-ML00179</v>
      </c>
      <c r="K2260" t="str">
        <f>"1038C906-001 Radar Power Unit (RPU) Platform"</f>
        <v>1038C906-001 Radar Power Unit (RPU) Platform</v>
      </c>
      <c r="L2260">
        <v>-1</v>
      </c>
      <c r="M2260" t="str">
        <f>"יח"</f>
        <v>יח</v>
      </c>
      <c r="N2260">
        <v>-1</v>
      </c>
      <c r="O2260" t="str">
        <f>"יח"</f>
        <v>יח</v>
      </c>
      <c r="P2260" s="2">
        <v>284970</v>
      </c>
      <c r="Q2260" t="str">
        <f>"$"</f>
        <v>$</v>
      </c>
      <c r="R2260" t="str">
        <f>"הזמנה"</f>
        <v>הזמנה</v>
      </c>
      <c r="S2260">
        <v>0</v>
      </c>
      <c r="T2260" s="2">
        <v>-284970</v>
      </c>
      <c r="U2260">
        <v>0</v>
      </c>
      <c r="V2260" s="2">
        <v>-284970</v>
      </c>
      <c r="W2260" t="str">
        <f>"$"</f>
        <v>$</v>
      </c>
      <c r="X2260">
        <v>0</v>
      </c>
      <c r="Y2260">
        <v>0</v>
      </c>
      <c r="Z2260">
        <v>0</v>
      </c>
      <c r="AA2260" t="str">
        <f>"Y"</f>
        <v>Y</v>
      </c>
      <c r="AC2260">
        <v>0</v>
      </c>
      <c r="AM2260" t="str">
        <f>"10"</f>
        <v>10</v>
      </c>
      <c r="AN2260" t="str">
        <f>"500000"</f>
        <v>500000</v>
      </c>
      <c r="AO2260" t="str">
        <f>"הכנסות  מלקוחות"</f>
        <v>הכנסות  מלקוחות</v>
      </c>
      <c r="AQ2260" t="str">
        <f>"034"</f>
        <v>034</v>
      </c>
      <c r="AR2260">
        <v>0</v>
      </c>
      <c r="AS2260">
        <v>0</v>
      </c>
      <c r="AT2260">
        <v>3.2229999999999999</v>
      </c>
      <c r="BB2260" t="str">
        <f>"Y"</f>
        <v>Y</v>
      </c>
      <c r="BD2260" t="str">
        <f>"ערן שלו"</f>
        <v>ערן שלו</v>
      </c>
    </row>
    <row r="2261" spans="1:56" x14ac:dyDescent="0.3">
      <c r="A2261" s="1">
        <v>44423</v>
      </c>
      <c r="B2261" t="str">
        <f>"SI216001194"</f>
        <v>SI216001194</v>
      </c>
      <c r="C2261" t="str">
        <f>"PR20000779"</f>
        <v>PR20000779</v>
      </c>
      <c r="E2261" t="str">
        <f>"Y"</f>
        <v>Y</v>
      </c>
      <c r="F2261" t="str">
        <f>"חשבוניות מרכזות"</f>
        <v>חשבוניות מרכזות</v>
      </c>
      <c r="G2261" t="str">
        <f>"700065"</f>
        <v>700065</v>
      </c>
      <c r="H2261" t="str">
        <f>"אלתא מערכות בע""מ"</f>
        <v>אלתא מערכות בע"מ</v>
      </c>
      <c r="I2261" t="str">
        <f>"10"</f>
        <v>10</v>
      </c>
      <c r="J2261" t="str">
        <f>"OP-AR02063"</f>
        <v>OP-AR02063</v>
      </c>
      <c r="K2261" t="str">
        <f>"1020Y273-001   POWER CABLE ASSY W35"</f>
        <v>1020Y273-001   POWER CABLE ASSY W35</v>
      </c>
      <c r="L2261">
        <v>-1</v>
      </c>
      <c r="M2261" t="str">
        <f>"יח"</f>
        <v>יח</v>
      </c>
      <c r="N2261">
        <v>-1</v>
      </c>
      <c r="O2261" t="str">
        <f>"יח"</f>
        <v>יח</v>
      </c>
      <c r="P2261">
        <v>527.79</v>
      </c>
      <c r="Q2261" t="str">
        <f>"$"</f>
        <v>$</v>
      </c>
      <c r="R2261" t="str">
        <f>"הזמנה"</f>
        <v>הזמנה</v>
      </c>
      <c r="S2261">
        <v>0</v>
      </c>
      <c r="T2261">
        <v>-527.79</v>
      </c>
      <c r="U2261">
        <v>0</v>
      </c>
      <c r="V2261">
        <v>-527.79</v>
      </c>
      <c r="W2261" t="str">
        <f>"$"</f>
        <v>$</v>
      </c>
      <c r="X2261">
        <v>0</v>
      </c>
      <c r="Y2261">
        <v>0</v>
      </c>
      <c r="Z2261">
        <v>0</v>
      </c>
      <c r="AA2261" t="str">
        <f>"Y"</f>
        <v>Y</v>
      </c>
      <c r="AC2261">
        <v>0</v>
      </c>
      <c r="AM2261" t="str">
        <f>"10"</f>
        <v>10</v>
      </c>
      <c r="AN2261" t="str">
        <f>"500000"</f>
        <v>500000</v>
      </c>
      <c r="AO2261" t="str">
        <f>"הכנסות  מלקוחות"</f>
        <v>הכנסות  מלקוחות</v>
      </c>
      <c r="AQ2261" t="str">
        <f>"034"</f>
        <v>034</v>
      </c>
      <c r="AR2261">
        <v>0</v>
      </c>
      <c r="AS2261">
        <v>0</v>
      </c>
      <c r="AT2261">
        <v>3.2229999999999999</v>
      </c>
      <c r="BB2261" t="str">
        <f>"Y"</f>
        <v>Y</v>
      </c>
      <c r="BD2261" t="str">
        <f>"ערן שלו"</f>
        <v>ערן שלו</v>
      </c>
    </row>
    <row r="2262" spans="1:56" x14ac:dyDescent="0.3">
      <c r="A2262" s="1">
        <v>44423</v>
      </c>
      <c r="B2262" t="str">
        <f>"SI216001179"</f>
        <v>SI216001179</v>
      </c>
      <c r="C2262" t="str">
        <f>"PR20000834"</f>
        <v>PR20000834</v>
      </c>
      <c r="D2262" t="str">
        <f>"PR20000834"</f>
        <v>PR20000834</v>
      </c>
      <c r="E2262" t="str">
        <f>"Y"</f>
        <v>Y</v>
      </c>
      <c r="F2262" t="str">
        <f>"חשבוניות מרכזות"</f>
        <v>חשבוניות מרכזות</v>
      </c>
      <c r="G2262" t="str">
        <f>"700065"</f>
        <v>700065</v>
      </c>
      <c r="H2262" t="str">
        <f>"אלתא מערכות בע""מ"</f>
        <v>אלתא מערכות בע"מ</v>
      </c>
      <c r="I2262" t="str">
        <f>"10"</f>
        <v>10</v>
      </c>
      <c r="J2262" t="str">
        <f>"OP-AR02104"</f>
        <v>OP-AR02104</v>
      </c>
      <c r="K2262" t="str">
        <f>"1032F921-001/-   ETHERNET CABLE MFR-W921 - FILTE"</f>
        <v>1032F921-001/-   ETHERNET CABLE MFR-W921 - FILTE</v>
      </c>
      <c r="L2262">
        <v>3</v>
      </c>
      <c r="M2262" t="str">
        <f>"יח"</f>
        <v>יח</v>
      </c>
      <c r="N2262">
        <v>3</v>
      </c>
      <c r="O2262" t="str">
        <f>"יח"</f>
        <v>יח</v>
      </c>
      <c r="P2262">
        <v>174</v>
      </c>
      <c r="Q2262" t="str">
        <f>"$"</f>
        <v>$</v>
      </c>
      <c r="R2262" t="str">
        <f>"הזמנה"</f>
        <v>הזמנה</v>
      </c>
      <c r="S2262">
        <v>0</v>
      </c>
      <c r="T2262">
        <v>522</v>
      </c>
      <c r="U2262">
        <v>0</v>
      </c>
      <c r="V2262">
        <v>522</v>
      </c>
      <c r="W2262" t="str">
        <f>"$"</f>
        <v>$</v>
      </c>
      <c r="X2262">
        <v>0</v>
      </c>
      <c r="Y2262">
        <v>0</v>
      </c>
      <c r="Z2262">
        <v>0</v>
      </c>
      <c r="AA2262" t="str">
        <f>"Y"</f>
        <v>Y</v>
      </c>
      <c r="AB2262" t="str">
        <f>"SO20000532"</f>
        <v>SO20000532</v>
      </c>
      <c r="AC2262">
        <v>6</v>
      </c>
      <c r="AD2262" s="1">
        <v>44155</v>
      </c>
      <c r="AE2262" t="str">
        <f>"SH21001432"</f>
        <v>SH21001432</v>
      </c>
      <c r="AF2262" t="str">
        <f>"משלוחים ללקוח"</f>
        <v>משלוחים ללקוח</v>
      </c>
      <c r="AG2262" s="1">
        <v>44420</v>
      </c>
      <c r="AM2262" t="str">
        <f>"10"</f>
        <v>10</v>
      </c>
      <c r="AN2262" t="str">
        <f>"500000"</f>
        <v>500000</v>
      </c>
      <c r="AO2262" t="str">
        <f>"הכנסות  מלקוחות"</f>
        <v>הכנסות  מלקוחות</v>
      </c>
      <c r="AQ2262" t="str">
        <f>"034"</f>
        <v>034</v>
      </c>
      <c r="AR2262">
        <v>0</v>
      </c>
      <c r="AS2262">
        <v>0</v>
      </c>
      <c r="AT2262">
        <v>3.2229999999999999</v>
      </c>
      <c r="AX2262" t="str">
        <f>"E000321177"</f>
        <v>E000321177</v>
      </c>
      <c r="BD2262" t="str">
        <f>"ערן שלו"</f>
        <v>ערן שלו</v>
      </c>
    </row>
    <row r="2263" spans="1:56" x14ac:dyDescent="0.3">
      <c r="A2263" s="1">
        <v>44423</v>
      </c>
      <c r="B2263" t="str">
        <f>"SI216001179"</f>
        <v>SI216001179</v>
      </c>
      <c r="C2263" t="str">
        <f>"PR20000834"</f>
        <v>PR20000834</v>
      </c>
      <c r="D2263" t="str">
        <f>"PR20000834"</f>
        <v>PR20000834</v>
      </c>
      <c r="E2263" t="str">
        <f>"Y"</f>
        <v>Y</v>
      </c>
      <c r="F2263" t="str">
        <f>"חשבוניות מרכזות"</f>
        <v>חשבוניות מרכזות</v>
      </c>
      <c r="G2263" t="str">
        <f>"700065"</f>
        <v>700065</v>
      </c>
      <c r="H2263" t="str">
        <f>"אלתא מערכות בע""מ"</f>
        <v>אלתא מערכות בע"מ</v>
      </c>
      <c r="I2263" t="str">
        <f>"10"</f>
        <v>10</v>
      </c>
      <c r="J2263" t="str">
        <f>"OP-AR02104"</f>
        <v>OP-AR02104</v>
      </c>
      <c r="K2263" t="str">
        <f>"1032F921-001/-   ETHERNET CABLE MFR-W921 - FILTE"</f>
        <v>1032F921-001/-   ETHERNET CABLE MFR-W921 - FILTE</v>
      </c>
      <c r="L2263">
        <v>4</v>
      </c>
      <c r="M2263" t="str">
        <f>"יח"</f>
        <v>יח</v>
      </c>
      <c r="N2263">
        <v>4</v>
      </c>
      <c r="O2263" t="str">
        <f>"יח"</f>
        <v>יח</v>
      </c>
      <c r="P2263">
        <v>174</v>
      </c>
      <c r="Q2263" t="str">
        <f>"$"</f>
        <v>$</v>
      </c>
      <c r="R2263" t="str">
        <f>"הזמנה"</f>
        <v>הזמנה</v>
      </c>
      <c r="S2263">
        <v>0</v>
      </c>
      <c r="T2263">
        <v>696</v>
      </c>
      <c r="U2263">
        <v>0</v>
      </c>
      <c r="V2263">
        <v>696</v>
      </c>
      <c r="W2263" t="str">
        <f>"$"</f>
        <v>$</v>
      </c>
      <c r="X2263">
        <v>0</v>
      </c>
      <c r="Y2263">
        <v>0</v>
      </c>
      <c r="Z2263">
        <v>0</v>
      </c>
      <c r="AA2263" t="str">
        <f>"Y"</f>
        <v>Y</v>
      </c>
      <c r="AB2263" t="str">
        <f>"SO20000532"</f>
        <v>SO20000532</v>
      </c>
      <c r="AC2263">
        <v>7</v>
      </c>
      <c r="AD2263" s="1">
        <v>44155</v>
      </c>
      <c r="AE2263" t="str">
        <f>"SH21001432"</f>
        <v>SH21001432</v>
      </c>
      <c r="AF2263" t="str">
        <f>"משלוחים ללקוח"</f>
        <v>משלוחים ללקוח</v>
      </c>
      <c r="AG2263" s="1">
        <v>44420</v>
      </c>
      <c r="AM2263" t="str">
        <f>"10"</f>
        <v>10</v>
      </c>
      <c r="AN2263" t="str">
        <f>"500000"</f>
        <v>500000</v>
      </c>
      <c r="AO2263" t="str">
        <f>"הכנסות  מלקוחות"</f>
        <v>הכנסות  מלקוחות</v>
      </c>
      <c r="AQ2263" t="str">
        <f>"034"</f>
        <v>034</v>
      </c>
      <c r="AR2263">
        <v>0</v>
      </c>
      <c r="AS2263">
        <v>0</v>
      </c>
      <c r="AT2263">
        <v>3.2229999999999999</v>
      </c>
      <c r="AX2263" t="str">
        <f>"E000321177"</f>
        <v>E000321177</v>
      </c>
      <c r="BD2263" t="str">
        <f>"ערן שלו"</f>
        <v>ערן שלו</v>
      </c>
    </row>
    <row r="2264" spans="1:56" x14ac:dyDescent="0.3">
      <c r="A2264" s="1">
        <v>44423</v>
      </c>
      <c r="B2264" t="str">
        <f>"SI216001179"</f>
        <v>SI216001179</v>
      </c>
      <c r="C2264" t="str">
        <f>"PR20000834"</f>
        <v>PR20000834</v>
      </c>
      <c r="D2264" t="str">
        <f>"PR20000834"</f>
        <v>PR20000834</v>
      </c>
      <c r="E2264" t="str">
        <f>"Y"</f>
        <v>Y</v>
      </c>
      <c r="F2264" t="str">
        <f>"חשבוניות מרכזות"</f>
        <v>חשבוניות מרכזות</v>
      </c>
      <c r="G2264" t="str">
        <f>"700065"</f>
        <v>700065</v>
      </c>
      <c r="H2264" t="str">
        <f>"אלתא מערכות בע""מ"</f>
        <v>אלתא מערכות בע"מ</v>
      </c>
      <c r="I2264" t="str">
        <f>"10"</f>
        <v>10</v>
      </c>
      <c r="J2264" t="str">
        <f>"OP-AR02105"</f>
        <v>OP-AR02105</v>
      </c>
      <c r="K2264" t="str">
        <f>"1032F922-001/-   ETHERNET CABLE MFR-W922 - FILTE"</f>
        <v>1032F922-001/-   ETHERNET CABLE MFR-W922 - FILTE</v>
      </c>
      <c r="L2264">
        <v>4</v>
      </c>
      <c r="M2264" t="str">
        <f>"יח"</f>
        <v>יח</v>
      </c>
      <c r="N2264">
        <v>4</v>
      </c>
      <c r="O2264" t="str">
        <f>"יח"</f>
        <v>יח</v>
      </c>
      <c r="P2264">
        <v>174</v>
      </c>
      <c r="Q2264" t="str">
        <f>"$"</f>
        <v>$</v>
      </c>
      <c r="R2264" t="str">
        <f>"הזמנה"</f>
        <v>הזמנה</v>
      </c>
      <c r="S2264">
        <v>0</v>
      </c>
      <c r="T2264">
        <v>696</v>
      </c>
      <c r="U2264">
        <v>0</v>
      </c>
      <c r="V2264">
        <v>696</v>
      </c>
      <c r="W2264" t="str">
        <f>"$"</f>
        <v>$</v>
      </c>
      <c r="X2264">
        <v>0</v>
      </c>
      <c r="Y2264">
        <v>0</v>
      </c>
      <c r="Z2264">
        <v>0</v>
      </c>
      <c r="AA2264" t="str">
        <f>"Y"</f>
        <v>Y</v>
      </c>
      <c r="AB2264" t="str">
        <f>"SO20000532"</f>
        <v>SO20000532</v>
      </c>
      <c r="AC2264">
        <v>12</v>
      </c>
      <c r="AD2264" s="1">
        <v>44155</v>
      </c>
      <c r="AE2264" t="str">
        <f>"SH21001432"</f>
        <v>SH21001432</v>
      </c>
      <c r="AF2264" t="str">
        <f>"משלוחים ללקוח"</f>
        <v>משלוחים ללקוח</v>
      </c>
      <c r="AG2264" s="1">
        <v>44420</v>
      </c>
      <c r="AM2264" t="str">
        <f>"10"</f>
        <v>10</v>
      </c>
      <c r="AN2264" t="str">
        <f>"500000"</f>
        <v>500000</v>
      </c>
      <c r="AO2264" t="str">
        <f>"הכנסות  מלקוחות"</f>
        <v>הכנסות  מלקוחות</v>
      </c>
      <c r="AQ2264" t="str">
        <f>"034"</f>
        <v>034</v>
      </c>
      <c r="AR2264">
        <v>0</v>
      </c>
      <c r="AS2264">
        <v>0</v>
      </c>
      <c r="AT2264">
        <v>3.2229999999999999</v>
      </c>
      <c r="AX2264" t="str">
        <f>"E000321177"</f>
        <v>E000321177</v>
      </c>
      <c r="BD2264" t="str">
        <f>"ערן שלו"</f>
        <v>ערן שלו</v>
      </c>
    </row>
    <row r="2265" spans="1:56" x14ac:dyDescent="0.3">
      <c r="A2265" s="1">
        <v>44423</v>
      </c>
      <c r="B2265" t="str">
        <f>"SI216001179"</f>
        <v>SI216001179</v>
      </c>
      <c r="C2265" t="str">
        <f>"PR20000834"</f>
        <v>PR20000834</v>
      </c>
      <c r="D2265" t="str">
        <f>"PR20000834"</f>
        <v>PR20000834</v>
      </c>
      <c r="E2265" t="str">
        <f>"Y"</f>
        <v>Y</v>
      </c>
      <c r="F2265" t="str">
        <f>"חשבוניות מרכזות"</f>
        <v>חשבוניות מרכזות</v>
      </c>
      <c r="G2265" t="str">
        <f>"700065"</f>
        <v>700065</v>
      </c>
      <c r="H2265" t="str">
        <f>"אלתא מערכות בע""מ"</f>
        <v>אלתא מערכות בע"מ</v>
      </c>
      <c r="I2265" t="str">
        <f>"10"</f>
        <v>10</v>
      </c>
      <c r="J2265" t="str">
        <f>"OP-AR02105"</f>
        <v>OP-AR02105</v>
      </c>
      <c r="K2265" t="str">
        <f>"1032F922-001/-   ETHERNET CABLE MFR-W922 - FILTE"</f>
        <v>1032F922-001/-   ETHERNET CABLE MFR-W922 - FILTE</v>
      </c>
      <c r="L2265">
        <v>4</v>
      </c>
      <c r="M2265" t="str">
        <f>"יח"</f>
        <v>יח</v>
      </c>
      <c r="N2265">
        <v>4</v>
      </c>
      <c r="O2265" t="str">
        <f>"יח"</f>
        <v>יח</v>
      </c>
      <c r="P2265">
        <v>174</v>
      </c>
      <c r="Q2265" t="str">
        <f>"$"</f>
        <v>$</v>
      </c>
      <c r="R2265" t="str">
        <f>"הזמנה"</f>
        <v>הזמנה</v>
      </c>
      <c r="S2265">
        <v>0</v>
      </c>
      <c r="T2265">
        <v>696</v>
      </c>
      <c r="U2265">
        <v>0</v>
      </c>
      <c r="V2265">
        <v>696</v>
      </c>
      <c r="W2265" t="str">
        <f>"$"</f>
        <v>$</v>
      </c>
      <c r="X2265">
        <v>0</v>
      </c>
      <c r="Y2265">
        <v>0</v>
      </c>
      <c r="Z2265">
        <v>0</v>
      </c>
      <c r="AA2265" t="str">
        <f>"Y"</f>
        <v>Y</v>
      </c>
      <c r="AB2265" t="str">
        <f>"SO20000532"</f>
        <v>SO20000532</v>
      </c>
      <c r="AC2265">
        <v>13</v>
      </c>
      <c r="AD2265" s="1">
        <v>44155</v>
      </c>
      <c r="AE2265" t="str">
        <f>"SH21001432"</f>
        <v>SH21001432</v>
      </c>
      <c r="AF2265" t="str">
        <f>"משלוחים ללקוח"</f>
        <v>משלוחים ללקוח</v>
      </c>
      <c r="AG2265" s="1">
        <v>44420</v>
      </c>
      <c r="AM2265" t="str">
        <f>"10"</f>
        <v>10</v>
      </c>
      <c r="AN2265" t="str">
        <f>"500000"</f>
        <v>500000</v>
      </c>
      <c r="AO2265" t="str">
        <f>"הכנסות  מלקוחות"</f>
        <v>הכנסות  מלקוחות</v>
      </c>
      <c r="AQ2265" t="str">
        <f>"034"</f>
        <v>034</v>
      </c>
      <c r="AR2265">
        <v>0</v>
      </c>
      <c r="AS2265">
        <v>0</v>
      </c>
      <c r="AT2265">
        <v>3.2229999999999999</v>
      </c>
      <c r="AX2265" t="str">
        <f>"E000321177"</f>
        <v>E000321177</v>
      </c>
      <c r="BD2265" t="str">
        <f>"ערן שלו"</f>
        <v>ערן שלו</v>
      </c>
    </row>
    <row r="2266" spans="1:56" x14ac:dyDescent="0.3">
      <c r="A2266" s="1">
        <v>44423</v>
      </c>
      <c r="B2266" t="str">
        <f>"SI216001179"</f>
        <v>SI216001179</v>
      </c>
      <c r="C2266" t="str">
        <f>"PR20000834"</f>
        <v>PR20000834</v>
      </c>
      <c r="D2266" t="str">
        <f>"PR20000834"</f>
        <v>PR20000834</v>
      </c>
      <c r="E2266" t="str">
        <f>"Y"</f>
        <v>Y</v>
      </c>
      <c r="F2266" t="str">
        <f>"חשבוניות מרכזות"</f>
        <v>חשבוניות מרכזות</v>
      </c>
      <c r="G2266" t="str">
        <f>"700065"</f>
        <v>700065</v>
      </c>
      <c r="H2266" t="str">
        <f>"אלתא מערכות בע""מ"</f>
        <v>אלתא מערכות בע"מ</v>
      </c>
      <c r="I2266" t="str">
        <f>"10"</f>
        <v>10</v>
      </c>
      <c r="J2266" t="str">
        <f>"OP-AR02106"</f>
        <v>OP-AR02106</v>
      </c>
      <c r="K2266" t="str">
        <f>"1032F923-001/-   ETHERNET CABLE MFR-W923 - FILTE"</f>
        <v>1032F923-001/-   ETHERNET CABLE MFR-W923 - FILTE</v>
      </c>
      <c r="L2266">
        <v>4</v>
      </c>
      <c r="M2266" t="str">
        <f>"יח"</f>
        <v>יח</v>
      </c>
      <c r="N2266">
        <v>4</v>
      </c>
      <c r="O2266" t="str">
        <f>"יח"</f>
        <v>יח</v>
      </c>
      <c r="P2266">
        <v>174</v>
      </c>
      <c r="Q2266" t="str">
        <f>"$"</f>
        <v>$</v>
      </c>
      <c r="R2266" t="str">
        <f>"הזמנה"</f>
        <v>הזמנה</v>
      </c>
      <c r="S2266">
        <v>0</v>
      </c>
      <c r="T2266">
        <v>696</v>
      </c>
      <c r="U2266">
        <v>0</v>
      </c>
      <c r="V2266">
        <v>696</v>
      </c>
      <c r="W2266" t="str">
        <f>"$"</f>
        <v>$</v>
      </c>
      <c r="X2266">
        <v>0</v>
      </c>
      <c r="Y2266">
        <v>0</v>
      </c>
      <c r="Z2266">
        <v>0</v>
      </c>
      <c r="AA2266" t="str">
        <f>"Y"</f>
        <v>Y</v>
      </c>
      <c r="AB2266" t="str">
        <f>"SO20000532"</f>
        <v>SO20000532</v>
      </c>
      <c r="AC2266">
        <v>18</v>
      </c>
      <c r="AD2266" s="1">
        <v>44155</v>
      </c>
      <c r="AE2266" t="str">
        <f>"SH21001432"</f>
        <v>SH21001432</v>
      </c>
      <c r="AF2266" t="str">
        <f>"משלוחים ללקוח"</f>
        <v>משלוחים ללקוח</v>
      </c>
      <c r="AG2266" s="1">
        <v>44420</v>
      </c>
      <c r="AM2266" t="str">
        <f>"10"</f>
        <v>10</v>
      </c>
      <c r="AN2266" t="str">
        <f>"500000"</f>
        <v>500000</v>
      </c>
      <c r="AO2266" t="str">
        <f>"הכנסות  מלקוחות"</f>
        <v>הכנסות  מלקוחות</v>
      </c>
      <c r="AQ2266" t="str">
        <f>"034"</f>
        <v>034</v>
      </c>
      <c r="AR2266">
        <v>0</v>
      </c>
      <c r="AS2266">
        <v>0</v>
      </c>
      <c r="AT2266">
        <v>3.2229999999999999</v>
      </c>
      <c r="AX2266" t="str">
        <f>"E000321177"</f>
        <v>E000321177</v>
      </c>
      <c r="BD2266" t="str">
        <f>"ערן שלו"</f>
        <v>ערן שלו</v>
      </c>
    </row>
    <row r="2267" spans="1:56" x14ac:dyDescent="0.3">
      <c r="A2267" s="1">
        <v>44423</v>
      </c>
      <c r="B2267" t="str">
        <f>"SI216001179"</f>
        <v>SI216001179</v>
      </c>
      <c r="C2267" t="str">
        <f>"PR20000834"</f>
        <v>PR20000834</v>
      </c>
      <c r="D2267" t="str">
        <f>"PR20000834"</f>
        <v>PR20000834</v>
      </c>
      <c r="E2267" t="str">
        <f>"Y"</f>
        <v>Y</v>
      </c>
      <c r="F2267" t="str">
        <f>"חשבוניות מרכזות"</f>
        <v>חשבוניות מרכזות</v>
      </c>
      <c r="G2267" t="str">
        <f>"700065"</f>
        <v>700065</v>
      </c>
      <c r="H2267" t="str">
        <f>"אלתא מערכות בע""מ"</f>
        <v>אלתא מערכות בע"מ</v>
      </c>
      <c r="I2267" t="str">
        <f>"10"</f>
        <v>10</v>
      </c>
      <c r="J2267" t="str">
        <f>"OP-AR02106"</f>
        <v>OP-AR02106</v>
      </c>
      <c r="K2267" t="str">
        <f>"1032F923-001/-   ETHERNET CABLE MFR-W923 - FILTE"</f>
        <v>1032F923-001/-   ETHERNET CABLE MFR-W923 - FILTE</v>
      </c>
      <c r="L2267">
        <v>4</v>
      </c>
      <c r="M2267" t="str">
        <f>"יח"</f>
        <v>יח</v>
      </c>
      <c r="N2267">
        <v>4</v>
      </c>
      <c r="O2267" t="str">
        <f>"יח"</f>
        <v>יח</v>
      </c>
      <c r="P2267">
        <v>174</v>
      </c>
      <c r="Q2267" t="str">
        <f>"$"</f>
        <v>$</v>
      </c>
      <c r="R2267" t="str">
        <f>"הזמנה"</f>
        <v>הזמנה</v>
      </c>
      <c r="S2267">
        <v>0</v>
      </c>
      <c r="T2267">
        <v>696</v>
      </c>
      <c r="U2267">
        <v>0</v>
      </c>
      <c r="V2267">
        <v>696</v>
      </c>
      <c r="W2267" t="str">
        <f>"$"</f>
        <v>$</v>
      </c>
      <c r="X2267">
        <v>0</v>
      </c>
      <c r="Y2267">
        <v>0</v>
      </c>
      <c r="Z2267">
        <v>0</v>
      </c>
      <c r="AA2267" t="str">
        <f>"Y"</f>
        <v>Y</v>
      </c>
      <c r="AB2267" t="str">
        <f>"SO20000532"</f>
        <v>SO20000532</v>
      </c>
      <c r="AC2267">
        <v>19</v>
      </c>
      <c r="AD2267" s="1">
        <v>44155</v>
      </c>
      <c r="AE2267" t="str">
        <f>"SH21001432"</f>
        <v>SH21001432</v>
      </c>
      <c r="AF2267" t="str">
        <f>"משלוחים ללקוח"</f>
        <v>משלוחים ללקוח</v>
      </c>
      <c r="AG2267" s="1">
        <v>44420</v>
      </c>
      <c r="AM2267" t="str">
        <f>"10"</f>
        <v>10</v>
      </c>
      <c r="AN2267" t="str">
        <f>"500000"</f>
        <v>500000</v>
      </c>
      <c r="AO2267" t="str">
        <f>"הכנסות  מלקוחות"</f>
        <v>הכנסות  מלקוחות</v>
      </c>
      <c r="AQ2267" t="str">
        <f>"034"</f>
        <v>034</v>
      </c>
      <c r="AR2267">
        <v>0</v>
      </c>
      <c r="AS2267">
        <v>0</v>
      </c>
      <c r="AT2267">
        <v>3.2229999999999999</v>
      </c>
      <c r="AX2267" t="str">
        <f>"E000321177"</f>
        <v>E000321177</v>
      </c>
      <c r="BD2267" t="str">
        <f>"ערן שלו"</f>
        <v>ערן שלו</v>
      </c>
    </row>
    <row r="2268" spans="1:56" x14ac:dyDescent="0.3">
      <c r="A2268" s="1">
        <v>44423</v>
      </c>
      <c r="B2268" t="str">
        <f>"SI216001179"</f>
        <v>SI216001179</v>
      </c>
      <c r="C2268" t="str">
        <f>"PR20000834"</f>
        <v>PR20000834</v>
      </c>
      <c r="D2268" t="str">
        <f>"PR20000834"</f>
        <v>PR20000834</v>
      </c>
      <c r="E2268" t="str">
        <f>"Y"</f>
        <v>Y</v>
      </c>
      <c r="F2268" t="str">
        <f>"חשבוניות מרכזות"</f>
        <v>חשבוניות מרכזות</v>
      </c>
      <c r="G2268" t="str">
        <f>"700065"</f>
        <v>700065</v>
      </c>
      <c r="H2268" t="str">
        <f>"אלתא מערכות בע""מ"</f>
        <v>אלתא מערכות בע"מ</v>
      </c>
      <c r="I2268" t="str">
        <f>"10"</f>
        <v>10</v>
      </c>
      <c r="J2268" t="str">
        <f>"OP-AR02107"</f>
        <v>OP-AR02107</v>
      </c>
      <c r="K2268" t="str">
        <f>"1032F924-001/-   ETHERNET CABLE MFR-W924 - FILTE"</f>
        <v>1032F924-001/-   ETHERNET CABLE MFR-W924 - FILTE</v>
      </c>
      <c r="L2268">
        <v>4</v>
      </c>
      <c r="M2268" t="str">
        <f>"יח"</f>
        <v>יח</v>
      </c>
      <c r="N2268">
        <v>4</v>
      </c>
      <c r="O2268" t="str">
        <f>"יח"</f>
        <v>יח</v>
      </c>
      <c r="P2268">
        <v>174</v>
      </c>
      <c r="Q2268" t="str">
        <f>"$"</f>
        <v>$</v>
      </c>
      <c r="R2268" t="str">
        <f>"הזמנה"</f>
        <v>הזמנה</v>
      </c>
      <c r="S2268">
        <v>0</v>
      </c>
      <c r="T2268">
        <v>696</v>
      </c>
      <c r="U2268">
        <v>0</v>
      </c>
      <c r="V2268">
        <v>696</v>
      </c>
      <c r="W2268" t="str">
        <f>"$"</f>
        <v>$</v>
      </c>
      <c r="X2268">
        <v>0</v>
      </c>
      <c r="Y2268">
        <v>0</v>
      </c>
      <c r="Z2268">
        <v>0</v>
      </c>
      <c r="AA2268" t="str">
        <f>"Y"</f>
        <v>Y</v>
      </c>
      <c r="AB2268" t="str">
        <f>"SO20000532"</f>
        <v>SO20000532</v>
      </c>
      <c r="AC2268">
        <v>24</v>
      </c>
      <c r="AD2268" s="1">
        <v>44155</v>
      </c>
      <c r="AE2268" t="str">
        <f>"SH21001432"</f>
        <v>SH21001432</v>
      </c>
      <c r="AF2268" t="str">
        <f>"משלוחים ללקוח"</f>
        <v>משלוחים ללקוח</v>
      </c>
      <c r="AG2268" s="1">
        <v>44420</v>
      </c>
      <c r="AM2268" t="str">
        <f>"10"</f>
        <v>10</v>
      </c>
      <c r="AN2268" t="str">
        <f>"500000"</f>
        <v>500000</v>
      </c>
      <c r="AO2268" t="str">
        <f>"הכנסות  מלקוחות"</f>
        <v>הכנסות  מלקוחות</v>
      </c>
      <c r="AQ2268" t="str">
        <f>"034"</f>
        <v>034</v>
      </c>
      <c r="AR2268">
        <v>0</v>
      </c>
      <c r="AS2268">
        <v>0</v>
      </c>
      <c r="AT2268">
        <v>3.2229999999999999</v>
      </c>
      <c r="AX2268" t="str">
        <f>"E000321177"</f>
        <v>E000321177</v>
      </c>
      <c r="BD2268" t="str">
        <f>"ערן שלו"</f>
        <v>ערן שלו</v>
      </c>
    </row>
    <row r="2269" spans="1:56" x14ac:dyDescent="0.3">
      <c r="A2269" s="1">
        <v>44423</v>
      </c>
      <c r="B2269" t="str">
        <f>"SI216001179"</f>
        <v>SI216001179</v>
      </c>
      <c r="C2269" t="str">
        <f>"PR20000834"</f>
        <v>PR20000834</v>
      </c>
      <c r="D2269" t="str">
        <f>"PR20000834"</f>
        <v>PR20000834</v>
      </c>
      <c r="E2269" t="str">
        <f>"Y"</f>
        <v>Y</v>
      </c>
      <c r="F2269" t="str">
        <f>"חשבוניות מרכזות"</f>
        <v>חשבוניות מרכזות</v>
      </c>
      <c r="G2269" t="str">
        <f>"700065"</f>
        <v>700065</v>
      </c>
      <c r="H2269" t="str">
        <f>"אלתא מערכות בע""מ"</f>
        <v>אלתא מערכות בע"מ</v>
      </c>
      <c r="I2269" t="str">
        <f>"10"</f>
        <v>10</v>
      </c>
      <c r="J2269" t="str">
        <f>"OP-AR02107"</f>
        <v>OP-AR02107</v>
      </c>
      <c r="K2269" t="str">
        <f>"1032F924-001/-   ETHERNET CABLE MFR-W924 - FILTE"</f>
        <v>1032F924-001/-   ETHERNET CABLE MFR-W924 - FILTE</v>
      </c>
      <c r="L2269">
        <v>4</v>
      </c>
      <c r="M2269" t="str">
        <f>"יח"</f>
        <v>יח</v>
      </c>
      <c r="N2269">
        <v>4</v>
      </c>
      <c r="O2269" t="str">
        <f>"יח"</f>
        <v>יח</v>
      </c>
      <c r="P2269">
        <v>174</v>
      </c>
      <c r="Q2269" t="str">
        <f>"$"</f>
        <v>$</v>
      </c>
      <c r="R2269" t="str">
        <f>"הזמנה"</f>
        <v>הזמנה</v>
      </c>
      <c r="S2269">
        <v>0</v>
      </c>
      <c r="T2269">
        <v>696</v>
      </c>
      <c r="U2269">
        <v>0</v>
      </c>
      <c r="V2269">
        <v>696</v>
      </c>
      <c r="W2269" t="str">
        <f>"$"</f>
        <v>$</v>
      </c>
      <c r="X2269">
        <v>0</v>
      </c>
      <c r="Y2269">
        <v>0</v>
      </c>
      <c r="Z2269">
        <v>0</v>
      </c>
      <c r="AA2269" t="str">
        <f>"Y"</f>
        <v>Y</v>
      </c>
      <c r="AB2269" t="str">
        <f>"SO20000532"</f>
        <v>SO20000532</v>
      </c>
      <c r="AC2269">
        <v>25</v>
      </c>
      <c r="AD2269" s="1">
        <v>44155</v>
      </c>
      <c r="AE2269" t="str">
        <f>"SH21001432"</f>
        <v>SH21001432</v>
      </c>
      <c r="AF2269" t="str">
        <f>"משלוחים ללקוח"</f>
        <v>משלוחים ללקוח</v>
      </c>
      <c r="AG2269" s="1">
        <v>44420</v>
      </c>
      <c r="AM2269" t="str">
        <f>"10"</f>
        <v>10</v>
      </c>
      <c r="AN2269" t="str">
        <f>"500000"</f>
        <v>500000</v>
      </c>
      <c r="AO2269" t="str">
        <f>"הכנסות  מלקוחות"</f>
        <v>הכנסות  מלקוחות</v>
      </c>
      <c r="AQ2269" t="str">
        <f>"034"</f>
        <v>034</v>
      </c>
      <c r="AR2269">
        <v>0</v>
      </c>
      <c r="AS2269">
        <v>0</v>
      </c>
      <c r="AT2269">
        <v>3.2229999999999999</v>
      </c>
      <c r="AX2269" t="str">
        <f>"E000321177"</f>
        <v>E000321177</v>
      </c>
      <c r="BD2269" t="str">
        <f>"ערן שלו"</f>
        <v>ערן שלו</v>
      </c>
    </row>
    <row r="2270" spans="1:56" x14ac:dyDescent="0.3">
      <c r="A2270" s="1">
        <v>44423</v>
      </c>
      <c r="B2270" t="str">
        <f>"SI216001179"</f>
        <v>SI216001179</v>
      </c>
      <c r="C2270" t="str">
        <f>"PR20000834"</f>
        <v>PR20000834</v>
      </c>
      <c r="D2270" t="str">
        <f>"PR20000834"</f>
        <v>PR20000834</v>
      </c>
      <c r="E2270" t="str">
        <f>"Y"</f>
        <v>Y</v>
      </c>
      <c r="F2270" t="str">
        <f>"חשבוניות מרכזות"</f>
        <v>חשבוניות מרכזות</v>
      </c>
      <c r="G2270" t="str">
        <f>"700065"</f>
        <v>700065</v>
      </c>
      <c r="H2270" t="str">
        <f>"אלתא מערכות בע""מ"</f>
        <v>אלתא מערכות בע"מ</v>
      </c>
      <c r="I2270" t="str">
        <f>"10"</f>
        <v>10</v>
      </c>
      <c r="J2270" t="str">
        <f>"OP-AR02108"</f>
        <v>OP-AR02108</v>
      </c>
      <c r="K2270" t="str">
        <f>"1032F925-001/-   ETHERNET CABLE MFR-W925 - FILTE"</f>
        <v>1032F925-001/-   ETHERNET CABLE MFR-W925 - FILTE</v>
      </c>
      <c r="L2270">
        <v>4</v>
      </c>
      <c r="M2270" t="str">
        <f>"יח"</f>
        <v>יח</v>
      </c>
      <c r="N2270">
        <v>4</v>
      </c>
      <c r="O2270" t="str">
        <f>"יח"</f>
        <v>יח</v>
      </c>
      <c r="P2270">
        <v>174</v>
      </c>
      <c r="Q2270" t="str">
        <f>"$"</f>
        <v>$</v>
      </c>
      <c r="R2270" t="str">
        <f>"הזמנה"</f>
        <v>הזמנה</v>
      </c>
      <c r="S2270">
        <v>0</v>
      </c>
      <c r="T2270">
        <v>696</v>
      </c>
      <c r="U2270">
        <v>0</v>
      </c>
      <c r="V2270">
        <v>696</v>
      </c>
      <c r="W2270" t="str">
        <f>"$"</f>
        <v>$</v>
      </c>
      <c r="X2270">
        <v>0</v>
      </c>
      <c r="Y2270">
        <v>0</v>
      </c>
      <c r="Z2270">
        <v>0</v>
      </c>
      <c r="AA2270" t="str">
        <f>"Y"</f>
        <v>Y</v>
      </c>
      <c r="AB2270" t="str">
        <f>"SO20000532"</f>
        <v>SO20000532</v>
      </c>
      <c r="AC2270">
        <v>30</v>
      </c>
      <c r="AD2270" s="1">
        <v>44155</v>
      </c>
      <c r="AE2270" t="str">
        <f>"SH21001432"</f>
        <v>SH21001432</v>
      </c>
      <c r="AF2270" t="str">
        <f>"משלוחים ללקוח"</f>
        <v>משלוחים ללקוח</v>
      </c>
      <c r="AG2270" s="1">
        <v>44420</v>
      </c>
      <c r="AM2270" t="str">
        <f>"10"</f>
        <v>10</v>
      </c>
      <c r="AN2270" t="str">
        <f>"500000"</f>
        <v>500000</v>
      </c>
      <c r="AO2270" t="str">
        <f>"הכנסות  מלקוחות"</f>
        <v>הכנסות  מלקוחות</v>
      </c>
      <c r="AQ2270" t="str">
        <f>"034"</f>
        <v>034</v>
      </c>
      <c r="AR2270">
        <v>0</v>
      </c>
      <c r="AS2270">
        <v>0</v>
      </c>
      <c r="AT2270">
        <v>3.2229999999999999</v>
      </c>
      <c r="AX2270" t="str">
        <f>"E000321177"</f>
        <v>E000321177</v>
      </c>
      <c r="BD2270" t="str">
        <f>"ערן שלו"</f>
        <v>ערן שלו</v>
      </c>
    </row>
    <row r="2271" spans="1:56" x14ac:dyDescent="0.3">
      <c r="A2271" s="1">
        <v>44423</v>
      </c>
      <c r="B2271" t="str">
        <f>"SI216001179"</f>
        <v>SI216001179</v>
      </c>
      <c r="C2271" t="str">
        <f>"PR20000834"</f>
        <v>PR20000834</v>
      </c>
      <c r="D2271" t="str">
        <f>"PR20000834"</f>
        <v>PR20000834</v>
      </c>
      <c r="E2271" t="str">
        <f>"Y"</f>
        <v>Y</v>
      </c>
      <c r="F2271" t="str">
        <f>"חשבוניות מרכזות"</f>
        <v>חשבוניות מרכזות</v>
      </c>
      <c r="G2271" t="str">
        <f>"700065"</f>
        <v>700065</v>
      </c>
      <c r="H2271" t="str">
        <f>"אלתא מערכות בע""מ"</f>
        <v>אלתא מערכות בע"מ</v>
      </c>
      <c r="I2271" t="str">
        <f>"10"</f>
        <v>10</v>
      </c>
      <c r="J2271" t="str">
        <f>"OP-AR02108"</f>
        <v>OP-AR02108</v>
      </c>
      <c r="K2271" t="str">
        <f>"1032F925-001/-   ETHERNET CABLE MFR-W925 - FILTE"</f>
        <v>1032F925-001/-   ETHERNET CABLE MFR-W925 - FILTE</v>
      </c>
      <c r="L2271">
        <v>4</v>
      </c>
      <c r="M2271" t="str">
        <f>"יח"</f>
        <v>יח</v>
      </c>
      <c r="N2271">
        <v>4</v>
      </c>
      <c r="O2271" t="str">
        <f>"יח"</f>
        <v>יח</v>
      </c>
      <c r="P2271">
        <v>174</v>
      </c>
      <c r="Q2271" t="str">
        <f>"$"</f>
        <v>$</v>
      </c>
      <c r="R2271" t="str">
        <f>"הזמנה"</f>
        <v>הזמנה</v>
      </c>
      <c r="S2271">
        <v>0</v>
      </c>
      <c r="T2271">
        <v>696</v>
      </c>
      <c r="U2271">
        <v>0</v>
      </c>
      <c r="V2271">
        <v>696</v>
      </c>
      <c r="W2271" t="str">
        <f>"$"</f>
        <v>$</v>
      </c>
      <c r="X2271">
        <v>0</v>
      </c>
      <c r="Y2271">
        <v>0</v>
      </c>
      <c r="Z2271">
        <v>0</v>
      </c>
      <c r="AA2271" t="str">
        <f>"Y"</f>
        <v>Y</v>
      </c>
      <c r="AB2271" t="str">
        <f>"SO20000532"</f>
        <v>SO20000532</v>
      </c>
      <c r="AC2271">
        <v>31</v>
      </c>
      <c r="AD2271" s="1">
        <v>44155</v>
      </c>
      <c r="AE2271" t="str">
        <f>"SH21001432"</f>
        <v>SH21001432</v>
      </c>
      <c r="AF2271" t="str">
        <f>"משלוחים ללקוח"</f>
        <v>משלוחים ללקוח</v>
      </c>
      <c r="AG2271" s="1">
        <v>44420</v>
      </c>
      <c r="AM2271" t="str">
        <f>"10"</f>
        <v>10</v>
      </c>
      <c r="AN2271" t="str">
        <f>"500000"</f>
        <v>500000</v>
      </c>
      <c r="AO2271" t="str">
        <f>"הכנסות  מלקוחות"</f>
        <v>הכנסות  מלקוחות</v>
      </c>
      <c r="AQ2271" t="str">
        <f>"034"</f>
        <v>034</v>
      </c>
      <c r="AR2271">
        <v>0</v>
      </c>
      <c r="AS2271">
        <v>0</v>
      </c>
      <c r="AT2271">
        <v>3.2229999999999999</v>
      </c>
      <c r="AX2271" t="str">
        <f>"E000321177"</f>
        <v>E000321177</v>
      </c>
      <c r="BD2271" t="str">
        <f>"ערן שלו"</f>
        <v>ערן שלו</v>
      </c>
    </row>
    <row r="2272" spans="1:56" x14ac:dyDescent="0.3">
      <c r="A2272" s="1">
        <v>44423</v>
      </c>
      <c r="B2272" t="str">
        <f>"SI216001179"</f>
        <v>SI216001179</v>
      </c>
      <c r="C2272" t="str">
        <f>"PR20000834"</f>
        <v>PR20000834</v>
      </c>
      <c r="D2272" t="str">
        <f>"PR20000834"</f>
        <v>PR20000834</v>
      </c>
      <c r="E2272" t="str">
        <f>"Y"</f>
        <v>Y</v>
      </c>
      <c r="F2272" t="str">
        <f>"חשבוניות מרכזות"</f>
        <v>חשבוניות מרכזות</v>
      </c>
      <c r="G2272" t="str">
        <f>"700065"</f>
        <v>700065</v>
      </c>
      <c r="H2272" t="str">
        <f>"אלתא מערכות בע""מ"</f>
        <v>אלתא מערכות בע"מ</v>
      </c>
      <c r="I2272" t="str">
        <f>"10"</f>
        <v>10</v>
      </c>
      <c r="J2272" t="str">
        <f>"OP-AR02109"</f>
        <v>OP-AR02109</v>
      </c>
      <c r="K2272" t="str">
        <f>"1032F926-001/-   ETHERNET CABLE MFR-W926 - FILTE"</f>
        <v>1032F926-001/-   ETHERNET CABLE MFR-W926 - FILTE</v>
      </c>
      <c r="L2272">
        <v>4</v>
      </c>
      <c r="M2272" t="str">
        <f>"יח"</f>
        <v>יח</v>
      </c>
      <c r="N2272">
        <v>4</v>
      </c>
      <c r="O2272" t="str">
        <f>"יח"</f>
        <v>יח</v>
      </c>
      <c r="P2272">
        <v>174</v>
      </c>
      <c r="Q2272" t="str">
        <f>"$"</f>
        <v>$</v>
      </c>
      <c r="R2272" t="str">
        <f>"הזמנה"</f>
        <v>הזמנה</v>
      </c>
      <c r="S2272">
        <v>0</v>
      </c>
      <c r="T2272">
        <v>696</v>
      </c>
      <c r="U2272">
        <v>0</v>
      </c>
      <c r="V2272">
        <v>696</v>
      </c>
      <c r="W2272" t="str">
        <f>"$"</f>
        <v>$</v>
      </c>
      <c r="X2272">
        <v>0</v>
      </c>
      <c r="Y2272">
        <v>0</v>
      </c>
      <c r="Z2272">
        <v>0</v>
      </c>
      <c r="AA2272" t="str">
        <f>"Y"</f>
        <v>Y</v>
      </c>
      <c r="AB2272" t="str">
        <f>"SO20000532"</f>
        <v>SO20000532</v>
      </c>
      <c r="AC2272">
        <v>36</v>
      </c>
      <c r="AD2272" s="1">
        <v>44155</v>
      </c>
      <c r="AE2272" t="str">
        <f>"SH21001432"</f>
        <v>SH21001432</v>
      </c>
      <c r="AF2272" t="str">
        <f>"משלוחים ללקוח"</f>
        <v>משלוחים ללקוח</v>
      </c>
      <c r="AG2272" s="1">
        <v>44420</v>
      </c>
      <c r="AM2272" t="str">
        <f>"10"</f>
        <v>10</v>
      </c>
      <c r="AN2272" t="str">
        <f>"500000"</f>
        <v>500000</v>
      </c>
      <c r="AO2272" t="str">
        <f>"הכנסות  מלקוחות"</f>
        <v>הכנסות  מלקוחות</v>
      </c>
      <c r="AQ2272" t="str">
        <f>"034"</f>
        <v>034</v>
      </c>
      <c r="AR2272">
        <v>0</v>
      </c>
      <c r="AS2272">
        <v>0</v>
      </c>
      <c r="AT2272">
        <v>3.2229999999999999</v>
      </c>
      <c r="AX2272" t="str">
        <f>"E000321177"</f>
        <v>E000321177</v>
      </c>
      <c r="BD2272" t="str">
        <f>"ערן שלו"</f>
        <v>ערן שלו</v>
      </c>
    </row>
    <row r="2273" spans="1:56" x14ac:dyDescent="0.3">
      <c r="A2273" s="1">
        <v>44423</v>
      </c>
      <c r="B2273" t="str">
        <f>"SI216001179"</f>
        <v>SI216001179</v>
      </c>
      <c r="C2273" t="str">
        <f>"PR20000834"</f>
        <v>PR20000834</v>
      </c>
      <c r="D2273" t="str">
        <f>"PR20000834"</f>
        <v>PR20000834</v>
      </c>
      <c r="E2273" t="str">
        <f>"Y"</f>
        <v>Y</v>
      </c>
      <c r="F2273" t="str">
        <f>"חשבוניות מרכזות"</f>
        <v>חשבוניות מרכזות</v>
      </c>
      <c r="G2273" t="str">
        <f>"700065"</f>
        <v>700065</v>
      </c>
      <c r="H2273" t="str">
        <f>"אלתא מערכות בע""מ"</f>
        <v>אלתא מערכות בע"מ</v>
      </c>
      <c r="I2273" t="str">
        <f>"10"</f>
        <v>10</v>
      </c>
      <c r="J2273" t="str">
        <f>"OP-AR02109"</f>
        <v>OP-AR02109</v>
      </c>
      <c r="K2273" t="str">
        <f>"1032F926-001/-   ETHERNET CABLE MFR-W926 - FILTE"</f>
        <v>1032F926-001/-   ETHERNET CABLE MFR-W926 - FILTE</v>
      </c>
      <c r="L2273">
        <v>4</v>
      </c>
      <c r="M2273" t="str">
        <f>"יח"</f>
        <v>יח</v>
      </c>
      <c r="N2273">
        <v>4</v>
      </c>
      <c r="O2273" t="str">
        <f>"יח"</f>
        <v>יח</v>
      </c>
      <c r="P2273">
        <v>174</v>
      </c>
      <c r="Q2273" t="str">
        <f>"$"</f>
        <v>$</v>
      </c>
      <c r="R2273" t="str">
        <f>"הזמנה"</f>
        <v>הזמנה</v>
      </c>
      <c r="S2273">
        <v>0</v>
      </c>
      <c r="T2273">
        <v>696</v>
      </c>
      <c r="U2273">
        <v>0</v>
      </c>
      <c r="V2273">
        <v>696</v>
      </c>
      <c r="W2273" t="str">
        <f>"$"</f>
        <v>$</v>
      </c>
      <c r="X2273">
        <v>0</v>
      </c>
      <c r="Y2273">
        <v>0</v>
      </c>
      <c r="Z2273">
        <v>0</v>
      </c>
      <c r="AA2273" t="str">
        <f>"Y"</f>
        <v>Y</v>
      </c>
      <c r="AB2273" t="str">
        <f>"SO20000532"</f>
        <v>SO20000532</v>
      </c>
      <c r="AC2273">
        <v>37</v>
      </c>
      <c r="AD2273" s="1">
        <v>44155</v>
      </c>
      <c r="AE2273" t="str">
        <f>"SH21001432"</f>
        <v>SH21001432</v>
      </c>
      <c r="AF2273" t="str">
        <f>"משלוחים ללקוח"</f>
        <v>משלוחים ללקוח</v>
      </c>
      <c r="AG2273" s="1">
        <v>44420</v>
      </c>
      <c r="AM2273" t="str">
        <f>"10"</f>
        <v>10</v>
      </c>
      <c r="AN2273" t="str">
        <f>"500000"</f>
        <v>500000</v>
      </c>
      <c r="AO2273" t="str">
        <f>"הכנסות  מלקוחות"</f>
        <v>הכנסות  מלקוחות</v>
      </c>
      <c r="AQ2273" t="str">
        <f>"034"</f>
        <v>034</v>
      </c>
      <c r="AR2273">
        <v>0</v>
      </c>
      <c r="AS2273">
        <v>0</v>
      </c>
      <c r="AT2273">
        <v>3.2229999999999999</v>
      </c>
      <c r="AX2273" t="str">
        <f>"E000321177"</f>
        <v>E000321177</v>
      </c>
      <c r="BD2273" t="str">
        <f>"ערן שלו"</f>
        <v>ערן שלו</v>
      </c>
    </row>
    <row r="2274" spans="1:56" x14ac:dyDescent="0.3">
      <c r="A2274" s="1">
        <v>44423</v>
      </c>
      <c r="B2274" t="str">
        <f>"SI216001179"</f>
        <v>SI216001179</v>
      </c>
      <c r="C2274" t="str">
        <f>"PR20000834"</f>
        <v>PR20000834</v>
      </c>
      <c r="D2274" t="str">
        <f>"PR20000834"</f>
        <v>PR20000834</v>
      </c>
      <c r="E2274" t="str">
        <f>"Y"</f>
        <v>Y</v>
      </c>
      <c r="F2274" t="str">
        <f>"חשבוניות מרכזות"</f>
        <v>חשבוניות מרכזות</v>
      </c>
      <c r="G2274" t="str">
        <f>"700065"</f>
        <v>700065</v>
      </c>
      <c r="H2274" t="str">
        <f>"אלתא מערכות בע""מ"</f>
        <v>אלתא מערכות בע"מ</v>
      </c>
      <c r="I2274" t="str">
        <f>"10"</f>
        <v>10</v>
      </c>
      <c r="J2274" t="str">
        <f>"OP-AR02110"</f>
        <v>OP-AR02110</v>
      </c>
      <c r="K2274" t="str">
        <f>"1032F927-001/-   ETHERNET CABLE MFR-W927 - FILTE"</f>
        <v>1032F927-001/-   ETHERNET CABLE MFR-W927 - FILTE</v>
      </c>
      <c r="L2274">
        <v>4</v>
      </c>
      <c r="M2274" t="str">
        <f>"יח"</f>
        <v>יח</v>
      </c>
      <c r="N2274">
        <v>4</v>
      </c>
      <c r="O2274" t="str">
        <f>"יח"</f>
        <v>יח</v>
      </c>
      <c r="P2274">
        <v>174</v>
      </c>
      <c r="Q2274" t="str">
        <f>"$"</f>
        <v>$</v>
      </c>
      <c r="R2274" t="str">
        <f>"הזמנה"</f>
        <v>הזמנה</v>
      </c>
      <c r="S2274">
        <v>0</v>
      </c>
      <c r="T2274">
        <v>696</v>
      </c>
      <c r="U2274">
        <v>0</v>
      </c>
      <c r="V2274">
        <v>696</v>
      </c>
      <c r="W2274" t="str">
        <f>"$"</f>
        <v>$</v>
      </c>
      <c r="X2274">
        <v>0</v>
      </c>
      <c r="Y2274">
        <v>0</v>
      </c>
      <c r="Z2274">
        <v>0</v>
      </c>
      <c r="AA2274" t="str">
        <f>"Y"</f>
        <v>Y</v>
      </c>
      <c r="AB2274" t="str">
        <f>"SO20000532"</f>
        <v>SO20000532</v>
      </c>
      <c r="AC2274">
        <v>42</v>
      </c>
      <c r="AD2274" s="1">
        <v>44155</v>
      </c>
      <c r="AE2274" t="str">
        <f>"SH21001432"</f>
        <v>SH21001432</v>
      </c>
      <c r="AF2274" t="str">
        <f>"משלוחים ללקוח"</f>
        <v>משלוחים ללקוח</v>
      </c>
      <c r="AG2274" s="1">
        <v>44420</v>
      </c>
      <c r="AM2274" t="str">
        <f>"10"</f>
        <v>10</v>
      </c>
      <c r="AN2274" t="str">
        <f>"500000"</f>
        <v>500000</v>
      </c>
      <c r="AO2274" t="str">
        <f>"הכנסות  מלקוחות"</f>
        <v>הכנסות  מלקוחות</v>
      </c>
      <c r="AQ2274" t="str">
        <f>"034"</f>
        <v>034</v>
      </c>
      <c r="AR2274">
        <v>0</v>
      </c>
      <c r="AS2274">
        <v>0</v>
      </c>
      <c r="AT2274">
        <v>3.2229999999999999</v>
      </c>
      <c r="AX2274" t="str">
        <f>"E000321177"</f>
        <v>E000321177</v>
      </c>
      <c r="BD2274" t="str">
        <f>"ערן שלו"</f>
        <v>ערן שלו</v>
      </c>
    </row>
    <row r="2275" spans="1:56" x14ac:dyDescent="0.3">
      <c r="A2275" s="1">
        <v>44423</v>
      </c>
      <c r="B2275" t="str">
        <f>"SI216001179"</f>
        <v>SI216001179</v>
      </c>
      <c r="C2275" t="str">
        <f>"PR20000834"</f>
        <v>PR20000834</v>
      </c>
      <c r="D2275" t="str">
        <f>"PR20000834"</f>
        <v>PR20000834</v>
      </c>
      <c r="E2275" t="str">
        <f>"Y"</f>
        <v>Y</v>
      </c>
      <c r="F2275" t="str">
        <f>"חשבוניות מרכזות"</f>
        <v>חשבוניות מרכזות</v>
      </c>
      <c r="G2275" t="str">
        <f>"700065"</f>
        <v>700065</v>
      </c>
      <c r="H2275" t="str">
        <f>"אלתא מערכות בע""מ"</f>
        <v>אלתא מערכות בע"מ</v>
      </c>
      <c r="I2275" t="str">
        <f>"10"</f>
        <v>10</v>
      </c>
      <c r="J2275" t="str">
        <f>"OP-AR02110"</f>
        <v>OP-AR02110</v>
      </c>
      <c r="K2275" t="str">
        <f>"1032F927-001/-   ETHERNET CABLE MFR-W927 - FILTE"</f>
        <v>1032F927-001/-   ETHERNET CABLE MFR-W927 - FILTE</v>
      </c>
      <c r="L2275">
        <v>4</v>
      </c>
      <c r="M2275" t="str">
        <f>"יח"</f>
        <v>יח</v>
      </c>
      <c r="N2275">
        <v>4</v>
      </c>
      <c r="O2275" t="str">
        <f>"יח"</f>
        <v>יח</v>
      </c>
      <c r="P2275">
        <v>174</v>
      </c>
      <c r="Q2275" t="str">
        <f>"$"</f>
        <v>$</v>
      </c>
      <c r="R2275" t="str">
        <f>"הזמנה"</f>
        <v>הזמנה</v>
      </c>
      <c r="S2275">
        <v>0</v>
      </c>
      <c r="T2275">
        <v>696</v>
      </c>
      <c r="U2275">
        <v>0</v>
      </c>
      <c r="V2275">
        <v>696</v>
      </c>
      <c r="W2275" t="str">
        <f>"$"</f>
        <v>$</v>
      </c>
      <c r="X2275">
        <v>0</v>
      </c>
      <c r="Y2275">
        <v>0</v>
      </c>
      <c r="Z2275">
        <v>0</v>
      </c>
      <c r="AA2275" t="str">
        <f>"Y"</f>
        <v>Y</v>
      </c>
      <c r="AB2275" t="str">
        <f>"SO20000532"</f>
        <v>SO20000532</v>
      </c>
      <c r="AC2275">
        <v>43</v>
      </c>
      <c r="AD2275" s="1">
        <v>44155</v>
      </c>
      <c r="AE2275" t="str">
        <f>"SH21001432"</f>
        <v>SH21001432</v>
      </c>
      <c r="AF2275" t="str">
        <f>"משלוחים ללקוח"</f>
        <v>משלוחים ללקוח</v>
      </c>
      <c r="AG2275" s="1">
        <v>44420</v>
      </c>
      <c r="AM2275" t="str">
        <f>"10"</f>
        <v>10</v>
      </c>
      <c r="AN2275" t="str">
        <f>"500000"</f>
        <v>500000</v>
      </c>
      <c r="AO2275" t="str">
        <f>"הכנסות  מלקוחות"</f>
        <v>הכנסות  מלקוחות</v>
      </c>
      <c r="AQ2275" t="str">
        <f>"034"</f>
        <v>034</v>
      </c>
      <c r="AR2275">
        <v>0</v>
      </c>
      <c r="AS2275">
        <v>0</v>
      </c>
      <c r="AT2275">
        <v>3.2229999999999999</v>
      </c>
      <c r="AX2275" t="str">
        <f>"E000321177"</f>
        <v>E000321177</v>
      </c>
      <c r="BD2275" t="str">
        <f>"ערן שלו"</f>
        <v>ערן שלו</v>
      </c>
    </row>
    <row r="2276" spans="1:56" x14ac:dyDescent="0.3">
      <c r="A2276" s="1">
        <v>44423</v>
      </c>
      <c r="B2276" t="str">
        <f>"SI216001179"</f>
        <v>SI216001179</v>
      </c>
      <c r="C2276" t="str">
        <f>"PR20000834"</f>
        <v>PR20000834</v>
      </c>
      <c r="D2276" t="str">
        <f>"PR20000834"</f>
        <v>PR20000834</v>
      </c>
      <c r="E2276" t="str">
        <f>"Y"</f>
        <v>Y</v>
      </c>
      <c r="F2276" t="str">
        <f>"חשבוניות מרכזות"</f>
        <v>חשבוניות מרכזות</v>
      </c>
      <c r="G2276" t="str">
        <f>"700065"</f>
        <v>700065</v>
      </c>
      <c r="H2276" t="str">
        <f>"אלתא מערכות בע""מ"</f>
        <v>אלתא מערכות בע"מ</v>
      </c>
      <c r="I2276" t="str">
        <f>"10"</f>
        <v>10</v>
      </c>
      <c r="J2276" t="str">
        <f>"OP-AR02111"</f>
        <v>OP-AR02111</v>
      </c>
      <c r="K2276" t="str">
        <f>"1032F928-001/-   ETHERNET CABLE MFR-W928 - FILTE"</f>
        <v>1032F928-001/-   ETHERNET CABLE MFR-W928 - FILTE</v>
      </c>
      <c r="L2276">
        <v>4</v>
      </c>
      <c r="M2276" t="str">
        <f>"יח"</f>
        <v>יח</v>
      </c>
      <c r="N2276">
        <v>4</v>
      </c>
      <c r="O2276" t="str">
        <f>"יח"</f>
        <v>יח</v>
      </c>
      <c r="P2276">
        <v>174</v>
      </c>
      <c r="Q2276" t="str">
        <f>"$"</f>
        <v>$</v>
      </c>
      <c r="R2276" t="str">
        <f>"הזמנה"</f>
        <v>הזמנה</v>
      </c>
      <c r="S2276">
        <v>0</v>
      </c>
      <c r="T2276">
        <v>696</v>
      </c>
      <c r="U2276">
        <v>0</v>
      </c>
      <c r="V2276">
        <v>696</v>
      </c>
      <c r="W2276" t="str">
        <f>"$"</f>
        <v>$</v>
      </c>
      <c r="X2276">
        <v>0</v>
      </c>
      <c r="Y2276">
        <v>0</v>
      </c>
      <c r="Z2276">
        <v>0</v>
      </c>
      <c r="AA2276" t="str">
        <f>"Y"</f>
        <v>Y</v>
      </c>
      <c r="AB2276" t="str">
        <f>"SO20000532"</f>
        <v>SO20000532</v>
      </c>
      <c r="AC2276">
        <v>48</v>
      </c>
      <c r="AD2276" s="1">
        <v>44155</v>
      </c>
      <c r="AE2276" t="str">
        <f>"SH21001432"</f>
        <v>SH21001432</v>
      </c>
      <c r="AF2276" t="str">
        <f>"משלוחים ללקוח"</f>
        <v>משלוחים ללקוח</v>
      </c>
      <c r="AG2276" s="1">
        <v>44420</v>
      </c>
      <c r="AM2276" t="str">
        <f>"10"</f>
        <v>10</v>
      </c>
      <c r="AN2276" t="str">
        <f>"500000"</f>
        <v>500000</v>
      </c>
      <c r="AO2276" t="str">
        <f>"הכנסות  מלקוחות"</f>
        <v>הכנסות  מלקוחות</v>
      </c>
      <c r="AQ2276" t="str">
        <f>"034"</f>
        <v>034</v>
      </c>
      <c r="AR2276">
        <v>0</v>
      </c>
      <c r="AS2276">
        <v>0</v>
      </c>
      <c r="AT2276">
        <v>3.2229999999999999</v>
      </c>
      <c r="AX2276" t="str">
        <f>"E000321177"</f>
        <v>E000321177</v>
      </c>
      <c r="BD2276" t="str">
        <f>"ערן שלו"</f>
        <v>ערן שלו</v>
      </c>
    </row>
    <row r="2277" spans="1:56" x14ac:dyDescent="0.3">
      <c r="A2277" s="1">
        <v>44423</v>
      </c>
      <c r="B2277" t="str">
        <f>"SI216001179"</f>
        <v>SI216001179</v>
      </c>
      <c r="C2277" t="str">
        <f>"PR20000834"</f>
        <v>PR20000834</v>
      </c>
      <c r="D2277" t="str">
        <f>"PR20000834"</f>
        <v>PR20000834</v>
      </c>
      <c r="E2277" t="str">
        <f>"Y"</f>
        <v>Y</v>
      </c>
      <c r="F2277" t="str">
        <f>"חשבוניות מרכזות"</f>
        <v>חשבוניות מרכזות</v>
      </c>
      <c r="G2277" t="str">
        <f>"700065"</f>
        <v>700065</v>
      </c>
      <c r="H2277" t="str">
        <f>"אלתא מערכות בע""מ"</f>
        <v>אלתא מערכות בע"מ</v>
      </c>
      <c r="I2277" t="str">
        <f>"10"</f>
        <v>10</v>
      </c>
      <c r="J2277" t="str">
        <f>"OP-AR02111"</f>
        <v>OP-AR02111</v>
      </c>
      <c r="K2277" t="str">
        <f>"1032F928-001/-   ETHERNET CABLE MFR-W928 - FILTE"</f>
        <v>1032F928-001/-   ETHERNET CABLE MFR-W928 - FILTE</v>
      </c>
      <c r="L2277">
        <v>4</v>
      </c>
      <c r="M2277" t="str">
        <f>"יח"</f>
        <v>יח</v>
      </c>
      <c r="N2277">
        <v>4</v>
      </c>
      <c r="O2277" t="str">
        <f>"יח"</f>
        <v>יח</v>
      </c>
      <c r="P2277">
        <v>174</v>
      </c>
      <c r="Q2277" t="str">
        <f>"$"</f>
        <v>$</v>
      </c>
      <c r="R2277" t="str">
        <f>"הזמנה"</f>
        <v>הזמנה</v>
      </c>
      <c r="S2277">
        <v>0</v>
      </c>
      <c r="T2277">
        <v>696</v>
      </c>
      <c r="U2277">
        <v>0</v>
      </c>
      <c r="V2277">
        <v>696</v>
      </c>
      <c r="W2277" t="str">
        <f>"$"</f>
        <v>$</v>
      </c>
      <c r="X2277">
        <v>0</v>
      </c>
      <c r="Y2277">
        <v>0</v>
      </c>
      <c r="Z2277">
        <v>0</v>
      </c>
      <c r="AA2277" t="str">
        <f>"Y"</f>
        <v>Y</v>
      </c>
      <c r="AB2277" t="str">
        <f>"SO20000532"</f>
        <v>SO20000532</v>
      </c>
      <c r="AC2277">
        <v>49</v>
      </c>
      <c r="AD2277" s="1">
        <v>44155</v>
      </c>
      <c r="AE2277" t="str">
        <f>"SH21001432"</f>
        <v>SH21001432</v>
      </c>
      <c r="AF2277" t="str">
        <f>"משלוחים ללקוח"</f>
        <v>משלוחים ללקוח</v>
      </c>
      <c r="AG2277" s="1">
        <v>44420</v>
      </c>
      <c r="AM2277" t="str">
        <f>"10"</f>
        <v>10</v>
      </c>
      <c r="AN2277" t="str">
        <f>"500000"</f>
        <v>500000</v>
      </c>
      <c r="AO2277" t="str">
        <f>"הכנסות  מלקוחות"</f>
        <v>הכנסות  מלקוחות</v>
      </c>
      <c r="AQ2277" t="str">
        <f>"034"</f>
        <v>034</v>
      </c>
      <c r="AR2277">
        <v>0</v>
      </c>
      <c r="AS2277">
        <v>0</v>
      </c>
      <c r="AT2277">
        <v>3.2229999999999999</v>
      </c>
      <c r="AX2277" t="str">
        <f>"E000321177"</f>
        <v>E000321177</v>
      </c>
      <c r="BD2277" t="str">
        <f>"ערן שלו"</f>
        <v>ערן שלו</v>
      </c>
    </row>
    <row r="2278" spans="1:56" x14ac:dyDescent="0.3">
      <c r="A2278" s="1">
        <v>44423</v>
      </c>
      <c r="B2278" t="str">
        <f>"SI216001179"</f>
        <v>SI216001179</v>
      </c>
      <c r="C2278" t="str">
        <f>"PR20000834"</f>
        <v>PR20000834</v>
      </c>
      <c r="D2278" t="str">
        <f>"PR20000834"</f>
        <v>PR20000834</v>
      </c>
      <c r="E2278" t="str">
        <f>"Y"</f>
        <v>Y</v>
      </c>
      <c r="F2278" t="str">
        <f>"חשבוניות מרכזות"</f>
        <v>חשבוניות מרכזות</v>
      </c>
      <c r="G2278" t="str">
        <f>"700065"</f>
        <v>700065</v>
      </c>
      <c r="H2278" t="str">
        <f>"אלתא מערכות בע""מ"</f>
        <v>אלתא מערכות בע"מ</v>
      </c>
      <c r="I2278" t="str">
        <f>"10"</f>
        <v>10</v>
      </c>
      <c r="J2278" t="str">
        <f>"OP-AR02112"</f>
        <v>OP-AR02112</v>
      </c>
      <c r="K2278" t="str">
        <f>"1032F929-001/-   ETHERNET CABLE MFR-W929 - FILTE"</f>
        <v>1032F929-001/-   ETHERNET CABLE MFR-W929 - FILTE</v>
      </c>
      <c r="L2278">
        <v>4</v>
      </c>
      <c r="M2278" t="str">
        <f>"יח"</f>
        <v>יח</v>
      </c>
      <c r="N2278">
        <v>4</v>
      </c>
      <c r="O2278" t="str">
        <f>"יח"</f>
        <v>יח</v>
      </c>
      <c r="P2278">
        <v>176.77</v>
      </c>
      <c r="Q2278" t="str">
        <f>"$"</f>
        <v>$</v>
      </c>
      <c r="R2278" t="str">
        <f>"הזמנה"</f>
        <v>הזמנה</v>
      </c>
      <c r="S2278">
        <v>0</v>
      </c>
      <c r="T2278">
        <v>707.08</v>
      </c>
      <c r="U2278">
        <v>0</v>
      </c>
      <c r="V2278">
        <v>707.08</v>
      </c>
      <c r="W2278" t="str">
        <f>"$"</f>
        <v>$</v>
      </c>
      <c r="X2278">
        <v>0</v>
      </c>
      <c r="Y2278">
        <v>0</v>
      </c>
      <c r="Z2278">
        <v>0</v>
      </c>
      <c r="AA2278" t="str">
        <f>"Y"</f>
        <v>Y</v>
      </c>
      <c r="AB2278" t="str">
        <f>"SO20000532"</f>
        <v>SO20000532</v>
      </c>
      <c r="AC2278">
        <v>54</v>
      </c>
      <c r="AD2278" s="1">
        <v>44155</v>
      </c>
      <c r="AE2278" t="str">
        <f>"SH21001432"</f>
        <v>SH21001432</v>
      </c>
      <c r="AF2278" t="str">
        <f>"משלוחים ללקוח"</f>
        <v>משלוחים ללקוח</v>
      </c>
      <c r="AG2278" s="1">
        <v>44420</v>
      </c>
      <c r="AM2278" t="str">
        <f>"10"</f>
        <v>10</v>
      </c>
      <c r="AN2278" t="str">
        <f>"500000"</f>
        <v>500000</v>
      </c>
      <c r="AO2278" t="str">
        <f>"הכנסות  מלקוחות"</f>
        <v>הכנסות  מלקוחות</v>
      </c>
      <c r="AQ2278" t="str">
        <f>"034"</f>
        <v>034</v>
      </c>
      <c r="AR2278">
        <v>0</v>
      </c>
      <c r="AS2278">
        <v>0</v>
      </c>
      <c r="AT2278">
        <v>3.2229999999999999</v>
      </c>
      <c r="AX2278" t="str">
        <f>"E000321177"</f>
        <v>E000321177</v>
      </c>
      <c r="BD2278" t="str">
        <f>"ערן שלו"</f>
        <v>ערן שלו</v>
      </c>
    </row>
    <row r="2279" spans="1:56" x14ac:dyDescent="0.3">
      <c r="A2279" s="1">
        <v>44423</v>
      </c>
      <c r="B2279" t="str">
        <f>"SI216001179"</f>
        <v>SI216001179</v>
      </c>
      <c r="C2279" t="str">
        <f>"PR20000834"</f>
        <v>PR20000834</v>
      </c>
      <c r="D2279" t="str">
        <f>"PR20000834"</f>
        <v>PR20000834</v>
      </c>
      <c r="E2279" t="str">
        <f>"Y"</f>
        <v>Y</v>
      </c>
      <c r="F2279" t="str">
        <f>"חשבוניות מרכזות"</f>
        <v>חשבוניות מרכזות</v>
      </c>
      <c r="G2279" t="str">
        <f>"700065"</f>
        <v>700065</v>
      </c>
      <c r="H2279" t="str">
        <f>"אלתא מערכות בע""מ"</f>
        <v>אלתא מערכות בע"מ</v>
      </c>
      <c r="I2279" t="str">
        <f>"10"</f>
        <v>10</v>
      </c>
      <c r="J2279" t="str">
        <f>"OP-AR02112"</f>
        <v>OP-AR02112</v>
      </c>
      <c r="K2279" t="str">
        <f>"1032F929-001/-   ETHERNET CABLE MFR-W929 - FILTE"</f>
        <v>1032F929-001/-   ETHERNET CABLE MFR-W929 - FILTE</v>
      </c>
      <c r="L2279">
        <v>4</v>
      </c>
      <c r="M2279" t="str">
        <f>"יח"</f>
        <v>יח</v>
      </c>
      <c r="N2279">
        <v>4</v>
      </c>
      <c r="O2279" t="str">
        <f>"יח"</f>
        <v>יח</v>
      </c>
      <c r="P2279">
        <v>176.77</v>
      </c>
      <c r="Q2279" t="str">
        <f>"$"</f>
        <v>$</v>
      </c>
      <c r="R2279" t="str">
        <f>"הזמנה"</f>
        <v>הזמנה</v>
      </c>
      <c r="S2279">
        <v>0</v>
      </c>
      <c r="T2279">
        <v>707.08</v>
      </c>
      <c r="U2279">
        <v>0</v>
      </c>
      <c r="V2279">
        <v>707.08</v>
      </c>
      <c r="W2279" t="str">
        <f>"$"</f>
        <v>$</v>
      </c>
      <c r="X2279">
        <v>0</v>
      </c>
      <c r="Y2279">
        <v>0</v>
      </c>
      <c r="Z2279">
        <v>0</v>
      </c>
      <c r="AA2279" t="str">
        <f>"Y"</f>
        <v>Y</v>
      </c>
      <c r="AB2279" t="str">
        <f>"SO20000532"</f>
        <v>SO20000532</v>
      </c>
      <c r="AC2279">
        <v>55</v>
      </c>
      <c r="AD2279" s="1">
        <v>44155</v>
      </c>
      <c r="AE2279" t="str">
        <f>"SH21001432"</f>
        <v>SH21001432</v>
      </c>
      <c r="AF2279" t="str">
        <f>"משלוחים ללקוח"</f>
        <v>משלוחים ללקוח</v>
      </c>
      <c r="AG2279" s="1">
        <v>44420</v>
      </c>
      <c r="AM2279" t="str">
        <f>"10"</f>
        <v>10</v>
      </c>
      <c r="AN2279" t="str">
        <f>"500000"</f>
        <v>500000</v>
      </c>
      <c r="AO2279" t="str">
        <f>"הכנסות  מלקוחות"</f>
        <v>הכנסות  מלקוחות</v>
      </c>
      <c r="AQ2279" t="str">
        <f>"034"</f>
        <v>034</v>
      </c>
      <c r="AR2279">
        <v>0</v>
      </c>
      <c r="AS2279">
        <v>0</v>
      </c>
      <c r="AT2279">
        <v>3.2229999999999999</v>
      </c>
      <c r="AX2279" t="str">
        <f>"E000321177"</f>
        <v>E000321177</v>
      </c>
      <c r="BD2279" t="str">
        <f>"ערן שלו"</f>
        <v>ערן שלו</v>
      </c>
    </row>
    <row r="2280" spans="1:56" x14ac:dyDescent="0.3">
      <c r="A2280" s="1">
        <v>44423</v>
      </c>
      <c r="B2280" t="str">
        <f>"SI216001179"</f>
        <v>SI216001179</v>
      </c>
      <c r="C2280" t="str">
        <f>"PR20000834"</f>
        <v>PR20000834</v>
      </c>
      <c r="D2280" t="str">
        <f>"PR20000834"</f>
        <v>PR20000834</v>
      </c>
      <c r="E2280" t="str">
        <f>"Y"</f>
        <v>Y</v>
      </c>
      <c r="F2280" t="str">
        <f>"חשבוניות מרכזות"</f>
        <v>חשבוניות מרכזות</v>
      </c>
      <c r="G2280" t="str">
        <f>"700065"</f>
        <v>700065</v>
      </c>
      <c r="H2280" t="str">
        <f>"אלתא מערכות בע""מ"</f>
        <v>אלתא מערכות בע"מ</v>
      </c>
      <c r="I2280" t="str">
        <f>"10"</f>
        <v>10</v>
      </c>
      <c r="J2280" t="str">
        <f>"OP-AR02113"</f>
        <v>OP-AR02113</v>
      </c>
      <c r="K2280" t="str">
        <f>"1032F930-001/-   ETHERNET CABLE MFR-W930 - FILTE"</f>
        <v>1032F930-001/-   ETHERNET CABLE MFR-W930 - FILTE</v>
      </c>
      <c r="L2280">
        <v>4</v>
      </c>
      <c r="M2280" t="str">
        <f>"יח"</f>
        <v>יח</v>
      </c>
      <c r="N2280">
        <v>4</v>
      </c>
      <c r="O2280" t="str">
        <f>"יח"</f>
        <v>יח</v>
      </c>
      <c r="P2280">
        <v>174</v>
      </c>
      <c r="Q2280" t="str">
        <f>"$"</f>
        <v>$</v>
      </c>
      <c r="R2280" t="str">
        <f>"הזמנה"</f>
        <v>הזמנה</v>
      </c>
      <c r="S2280">
        <v>0</v>
      </c>
      <c r="T2280">
        <v>696</v>
      </c>
      <c r="U2280">
        <v>0</v>
      </c>
      <c r="V2280">
        <v>696</v>
      </c>
      <c r="W2280" t="str">
        <f>"$"</f>
        <v>$</v>
      </c>
      <c r="X2280">
        <v>0</v>
      </c>
      <c r="Y2280">
        <v>0</v>
      </c>
      <c r="Z2280">
        <v>0</v>
      </c>
      <c r="AA2280" t="str">
        <f>"Y"</f>
        <v>Y</v>
      </c>
      <c r="AB2280" t="str">
        <f>"SO20000532"</f>
        <v>SO20000532</v>
      </c>
      <c r="AC2280">
        <v>60</v>
      </c>
      <c r="AD2280" s="1">
        <v>44155</v>
      </c>
      <c r="AE2280" t="str">
        <f>"SH21001432"</f>
        <v>SH21001432</v>
      </c>
      <c r="AF2280" t="str">
        <f>"משלוחים ללקוח"</f>
        <v>משלוחים ללקוח</v>
      </c>
      <c r="AG2280" s="1">
        <v>44420</v>
      </c>
      <c r="AM2280" t="str">
        <f>"10"</f>
        <v>10</v>
      </c>
      <c r="AN2280" t="str">
        <f>"500000"</f>
        <v>500000</v>
      </c>
      <c r="AO2280" t="str">
        <f>"הכנסות  מלקוחות"</f>
        <v>הכנסות  מלקוחות</v>
      </c>
      <c r="AQ2280" t="str">
        <f>"034"</f>
        <v>034</v>
      </c>
      <c r="AR2280">
        <v>0</v>
      </c>
      <c r="AS2280">
        <v>0</v>
      </c>
      <c r="AT2280">
        <v>3.2229999999999999</v>
      </c>
      <c r="AX2280" t="str">
        <f>"E000321177"</f>
        <v>E000321177</v>
      </c>
      <c r="BD2280" t="str">
        <f>"ערן שלו"</f>
        <v>ערן שלו</v>
      </c>
    </row>
    <row r="2281" spans="1:56" x14ac:dyDescent="0.3">
      <c r="A2281" s="1">
        <v>44423</v>
      </c>
      <c r="B2281" t="str">
        <f>"SI216001179"</f>
        <v>SI216001179</v>
      </c>
      <c r="C2281" t="str">
        <f>"PR20000834"</f>
        <v>PR20000834</v>
      </c>
      <c r="D2281" t="str">
        <f>"PR20000834"</f>
        <v>PR20000834</v>
      </c>
      <c r="E2281" t="str">
        <f>"Y"</f>
        <v>Y</v>
      </c>
      <c r="F2281" t="str">
        <f>"חשבוניות מרכזות"</f>
        <v>חשבוניות מרכזות</v>
      </c>
      <c r="G2281" t="str">
        <f>"700065"</f>
        <v>700065</v>
      </c>
      <c r="H2281" t="str">
        <f>"אלתא מערכות בע""מ"</f>
        <v>אלתא מערכות בע"מ</v>
      </c>
      <c r="I2281" t="str">
        <f>"10"</f>
        <v>10</v>
      </c>
      <c r="J2281" t="str">
        <f>"OP-AR02113"</f>
        <v>OP-AR02113</v>
      </c>
      <c r="K2281" t="str">
        <f>"1032F930-001/-   ETHERNET CABLE MFR-W930 - FILTE"</f>
        <v>1032F930-001/-   ETHERNET CABLE MFR-W930 - FILTE</v>
      </c>
      <c r="L2281">
        <v>4</v>
      </c>
      <c r="M2281" t="str">
        <f>"יח"</f>
        <v>יח</v>
      </c>
      <c r="N2281">
        <v>4</v>
      </c>
      <c r="O2281" t="str">
        <f>"יח"</f>
        <v>יח</v>
      </c>
      <c r="P2281">
        <v>174</v>
      </c>
      <c r="Q2281" t="str">
        <f>"$"</f>
        <v>$</v>
      </c>
      <c r="R2281" t="str">
        <f>"הזמנה"</f>
        <v>הזמנה</v>
      </c>
      <c r="S2281">
        <v>0</v>
      </c>
      <c r="T2281">
        <v>696</v>
      </c>
      <c r="U2281">
        <v>0</v>
      </c>
      <c r="V2281">
        <v>696</v>
      </c>
      <c r="W2281" t="str">
        <f>"$"</f>
        <v>$</v>
      </c>
      <c r="X2281">
        <v>0</v>
      </c>
      <c r="Y2281">
        <v>0</v>
      </c>
      <c r="Z2281">
        <v>0</v>
      </c>
      <c r="AA2281" t="str">
        <f>"Y"</f>
        <v>Y</v>
      </c>
      <c r="AB2281" t="str">
        <f>"SO20000532"</f>
        <v>SO20000532</v>
      </c>
      <c r="AC2281">
        <v>61</v>
      </c>
      <c r="AD2281" s="1">
        <v>44155</v>
      </c>
      <c r="AE2281" t="str">
        <f>"SH21001432"</f>
        <v>SH21001432</v>
      </c>
      <c r="AF2281" t="str">
        <f>"משלוחים ללקוח"</f>
        <v>משלוחים ללקוח</v>
      </c>
      <c r="AG2281" s="1">
        <v>44420</v>
      </c>
      <c r="AM2281" t="str">
        <f>"10"</f>
        <v>10</v>
      </c>
      <c r="AN2281" t="str">
        <f>"500000"</f>
        <v>500000</v>
      </c>
      <c r="AO2281" t="str">
        <f>"הכנסות  מלקוחות"</f>
        <v>הכנסות  מלקוחות</v>
      </c>
      <c r="AQ2281" t="str">
        <f>"034"</f>
        <v>034</v>
      </c>
      <c r="AR2281">
        <v>0</v>
      </c>
      <c r="AS2281">
        <v>0</v>
      </c>
      <c r="AT2281">
        <v>3.2229999999999999</v>
      </c>
      <c r="AX2281" t="str">
        <f>"E000321177"</f>
        <v>E000321177</v>
      </c>
      <c r="BD2281" t="str">
        <f>"ערן שלו"</f>
        <v>ערן שלו</v>
      </c>
    </row>
    <row r="2282" spans="1:56" x14ac:dyDescent="0.3">
      <c r="A2282" s="1">
        <v>44423</v>
      </c>
      <c r="B2282" t="str">
        <f>"SI216001179"</f>
        <v>SI216001179</v>
      </c>
      <c r="C2282" t="str">
        <f>"PR20000834"</f>
        <v>PR20000834</v>
      </c>
      <c r="D2282" t="str">
        <f>"PR20000834"</f>
        <v>PR20000834</v>
      </c>
      <c r="E2282" t="str">
        <f>"Y"</f>
        <v>Y</v>
      </c>
      <c r="F2282" t="str">
        <f>"חשבוניות מרכזות"</f>
        <v>חשבוניות מרכזות</v>
      </c>
      <c r="G2282" t="str">
        <f>"700065"</f>
        <v>700065</v>
      </c>
      <c r="H2282" t="str">
        <f>"אלתא מערכות בע""מ"</f>
        <v>אלתא מערכות בע"מ</v>
      </c>
      <c r="I2282" t="str">
        <f>"10"</f>
        <v>10</v>
      </c>
      <c r="J2282" t="str">
        <f>"OP-AR02114"</f>
        <v>OP-AR02114</v>
      </c>
      <c r="K2282" t="str">
        <f>"1032F931-001/-   ETHERNET CABLE MFR-W931 - FILTE"</f>
        <v>1032F931-001/-   ETHERNET CABLE MFR-W931 - FILTE</v>
      </c>
      <c r="L2282">
        <v>4</v>
      </c>
      <c r="M2282" t="str">
        <f>"יח"</f>
        <v>יח</v>
      </c>
      <c r="N2282">
        <v>4</v>
      </c>
      <c r="O2282" t="str">
        <f>"יח"</f>
        <v>יח</v>
      </c>
      <c r="P2282">
        <v>176.77</v>
      </c>
      <c r="Q2282" t="str">
        <f>"$"</f>
        <v>$</v>
      </c>
      <c r="R2282" t="str">
        <f>"הזמנה"</f>
        <v>הזמנה</v>
      </c>
      <c r="S2282">
        <v>0</v>
      </c>
      <c r="T2282">
        <v>707.08</v>
      </c>
      <c r="U2282">
        <v>0</v>
      </c>
      <c r="V2282">
        <v>707.08</v>
      </c>
      <c r="W2282" t="str">
        <f>"$"</f>
        <v>$</v>
      </c>
      <c r="X2282">
        <v>0</v>
      </c>
      <c r="Y2282">
        <v>0</v>
      </c>
      <c r="Z2282">
        <v>0</v>
      </c>
      <c r="AA2282" t="str">
        <f>"Y"</f>
        <v>Y</v>
      </c>
      <c r="AB2282" t="str">
        <f>"SO20000532"</f>
        <v>SO20000532</v>
      </c>
      <c r="AC2282">
        <v>66</v>
      </c>
      <c r="AD2282" s="1">
        <v>44155</v>
      </c>
      <c r="AE2282" t="str">
        <f>"SH21001432"</f>
        <v>SH21001432</v>
      </c>
      <c r="AF2282" t="str">
        <f>"משלוחים ללקוח"</f>
        <v>משלוחים ללקוח</v>
      </c>
      <c r="AG2282" s="1">
        <v>44420</v>
      </c>
      <c r="AM2282" t="str">
        <f>"10"</f>
        <v>10</v>
      </c>
      <c r="AN2282" t="str">
        <f>"500000"</f>
        <v>500000</v>
      </c>
      <c r="AO2282" t="str">
        <f>"הכנסות  מלקוחות"</f>
        <v>הכנסות  מלקוחות</v>
      </c>
      <c r="AQ2282" t="str">
        <f>"034"</f>
        <v>034</v>
      </c>
      <c r="AR2282">
        <v>0</v>
      </c>
      <c r="AS2282">
        <v>0</v>
      </c>
      <c r="AT2282">
        <v>3.2229999999999999</v>
      </c>
      <c r="AX2282" t="str">
        <f>"E000321177"</f>
        <v>E000321177</v>
      </c>
      <c r="BD2282" t="str">
        <f>"ערן שלו"</f>
        <v>ערן שלו</v>
      </c>
    </row>
    <row r="2283" spans="1:56" x14ac:dyDescent="0.3">
      <c r="A2283" s="1">
        <v>44423</v>
      </c>
      <c r="B2283" t="str">
        <f>"SI216001179"</f>
        <v>SI216001179</v>
      </c>
      <c r="C2283" t="str">
        <f>"PR20000834"</f>
        <v>PR20000834</v>
      </c>
      <c r="D2283" t="str">
        <f>"PR20000834"</f>
        <v>PR20000834</v>
      </c>
      <c r="E2283" t="str">
        <f>"Y"</f>
        <v>Y</v>
      </c>
      <c r="F2283" t="str">
        <f>"חשבוניות מרכזות"</f>
        <v>חשבוניות מרכזות</v>
      </c>
      <c r="G2283" t="str">
        <f>"700065"</f>
        <v>700065</v>
      </c>
      <c r="H2283" t="str">
        <f>"אלתא מערכות בע""מ"</f>
        <v>אלתא מערכות בע"מ</v>
      </c>
      <c r="I2283" t="str">
        <f>"10"</f>
        <v>10</v>
      </c>
      <c r="J2283" t="str">
        <f>"OP-AR02114"</f>
        <v>OP-AR02114</v>
      </c>
      <c r="K2283" t="str">
        <f>"1032F931-001/-   ETHERNET CABLE MFR-W931 - FILTE"</f>
        <v>1032F931-001/-   ETHERNET CABLE MFR-W931 - FILTE</v>
      </c>
      <c r="L2283">
        <v>4</v>
      </c>
      <c r="M2283" t="str">
        <f>"יח"</f>
        <v>יח</v>
      </c>
      <c r="N2283">
        <v>4</v>
      </c>
      <c r="O2283" t="str">
        <f>"יח"</f>
        <v>יח</v>
      </c>
      <c r="P2283">
        <v>176.77</v>
      </c>
      <c r="Q2283" t="str">
        <f>"$"</f>
        <v>$</v>
      </c>
      <c r="R2283" t="str">
        <f>"הזמנה"</f>
        <v>הזמנה</v>
      </c>
      <c r="S2283">
        <v>0</v>
      </c>
      <c r="T2283">
        <v>707.08</v>
      </c>
      <c r="U2283">
        <v>0</v>
      </c>
      <c r="V2283">
        <v>707.08</v>
      </c>
      <c r="W2283" t="str">
        <f>"$"</f>
        <v>$</v>
      </c>
      <c r="X2283">
        <v>0</v>
      </c>
      <c r="Y2283">
        <v>0</v>
      </c>
      <c r="Z2283">
        <v>0</v>
      </c>
      <c r="AA2283" t="str">
        <f>"Y"</f>
        <v>Y</v>
      </c>
      <c r="AB2283" t="str">
        <f>"SO20000532"</f>
        <v>SO20000532</v>
      </c>
      <c r="AC2283">
        <v>67</v>
      </c>
      <c r="AD2283" s="1">
        <v>44155</v>
      </c>
      <c r="AE2283" t="str">
        <f>"SH21001432"</f>
        <v>SH21001432</v>
      </c>
      <c r="AF2283" t="str">
        <f>"משלוחים ללקוח"</f>
        <v>משלוחים ללקוח</v>
      </c>
      <c r="AG2283" s="1">
        <v>44420</v>
      </c>
      <c r="AM2283" t="str">
        <f>"10"</f>
        <v>10</v>
      </c>
      <c r="AN2283" t="str">
        <f>"500000"</f>
        <v>500000</v>
      </c>
      <c r="AO2283" t="str">
        <f>"הכנסות  מלקוחות"</f>
        <v>הכנסות  מלקוחות</v>
      </c>
      <c r="AQ2283" t="str">
        <f>"034"</f>
        <v>034</v>
      </c>
      <c r="AR2283">
        <v>0</v>
      </c>
      <c r="AS2283">
        <v>0</v>
      </c>
      <c r="AT2283">
        <v>3.2229999999999999</v>
      </c>
      <c r="AX2283" t="str">
        <f>"E000321177"</f>
        <v>E000321177</v>
      </c>
      <c r="BD2283" t="str">
        <f>"ערן שלו"</f>
        <v>ערן שלו</v>
      </c>
    </row>
    <row r="2284" spans="1:56" x14ac:dyDescent="0.3">
      <c r="A2284" s="1">
        <v>44423</v>
      </c>
      <c r="B2284" t="str">
        <f>"SI216001179"</f>
        <v>SI216001179</v>
      </c>
      <c r="C2284" t="str">
        <f>"PR20000834"</f>
        <v>PR20000834</v>
      </c>
      <c r="D2284" t="str">
        <f>"PR20000834"</f>
        <v>PR20000834</v>
      </c>
      <c r="E2284" t="str">
        <f>"Y"</f>
        <v>Y</v>
      </c>
      <c r="F2284" t="str">
        <f>"חשבוניות מרכזות"</f>
        <v>חשבוניות מרכזות</v>
      </c>
      <c r="G2284" t="str">
        <f>"700065"</f>
        <v>700065</v>
      </c>
      <c r="H2284" t="str">
        <f>"אלתא מערכות בע""מ"</f>
        <v>אלתא מערכות בע"מ</v>
      </c>
      <c r="I2284" t="str">
        <f>"10"</f>
        <v>10</v>
      </c>
      <c r="J2284" t="str">
        <f>"OP-AR02115"</f>
        <v>OP-AR02115</v>
      </c>
      <c r="K2284" t="str">
        <f>"1032F932-001/-   ETHERNET CABLE MFR-W932 - FILTE"</f>
        <v>1032F932-001/-   ETHERNET CABLE MFR-W932 - FILTE</v>
      </c>
      <c r="L2284">
        <v>4</v>
      </c>
      <c r="M2284" t="str">
        <f>"יח"</f>
        <v>יח</v>
      </c>
      <c r="N2284">
        <v>4</v>
      </c>
      <c r="O2284" t="str">
        <f>"יח"</f>
        <v>יח</v>
      </c>
      <c r="P2284">
        <v>176.77</v>
      </c>
      <c r="Q2284" t="str">
        <f>"$"</f>
        <v>$</v>
      </c>
      <c r="R2284" t="str">
        <f>"הזמנה"</f>
        <v>הזמנה</v>
      </c>
      <c r="S2284">
        <v>0</v>
      </c>
      <c r="T2284">
        <v>707.08</v>
      </c>
      <c r="U2284">
        <v>0</v>
      </c>
      <c r="V2284">
        <v>707.08</v>
      </c>
      <c r="W2284" t="str">
        <f>"$"</f>
        <v>$</v>
      </c>
      <c r="X2284">
        <v>0</v>
      </c>
      <c r="Y2284">
        <v>0</v>
      </c>
      <c r="Z2284">
        <v>0</v>
      </c>
      <c r="AA2284" t="str">
        <f>"Y"</f>
        <v>Y</v>
      </c>
      <c r="AB2284" t="str">
        <f>"SO20000532"</f>
        <v>SO20000532</v>
      </c>
      <c r="AC2284">
        <v>72</v>
      </c>
      <c r="AD2284" s="1">
        <v>44155</v>
      </c>
      <c r="AE2284" t="str">
        <f>"SH21001432"</f>
        <v>SH21001432</v>
      </c>
      <c r="AF2284" t="str">
        <f>"משלוחים ללקוח"</f>
        <v>משלוחים ללקוח</v>
      </c>
      <c r="AG2284" s="1">
        <v>44420</v>
      </c>
      <c r="AM2284" t="str">
        <f>"10"</f>
        <v>10</v>
      </c>
      <c r="AN2284" t="str">
        <f>"500000"</f>
        <v>500000</v>
      </c>
      <c r="AO2284" t="str">
        <f>"הכנסות  מלקוחות"</f>
        <v>הכנסות  מלקוחות</v>
      </c>
      <c r="AQ2284" t="str">
        <f>"034"</f>
        <v>034</v>
      </c>
      <c r="AR2284">
        <v>0</v>
      </c>
      <c r="AS2284">
        <v>0</v>
      </c>
      <c r="AT2284">
        <v>3.2229999999999999</v>
      </c>
      <c r="AX2284" t="str">
        <f>"E000321177"</f>
        <v>E000321177</v>
      </c>
      <c r="BD2284" t="str">
        <f>"ערן שלו"</f>
        <v>ערן שלו</v>
      </c>
    </row>
    <row r="2285" spans="1:56" x14ac:dyDescent="0.3">
      <c r="A2285" s="1">
        <v>44423</v>
      </c>
      <c r="B2285" t="str">
        <f>"SI216001179"</f>
        <v>SI216001179</v>
      </c>
      <c r="C2285" t="str">
        <f>"PR20000834"</f>
        <v>PR20000834</v>
      </c>
      <c r="D2285" t="str">
        <f>"PR20000834"</f>
        <v>PR20000834</v>
      </c>
      <c r="E2285" t="str">
        <f>"Y"</f>
        <v>Y</v>
      </c>
      <c r="F2285" t="str">
        <f>"חשבוניות מרכזות"</f>
        <v>חשבוניות מרכזות</v>
      </c>
      <c r="G2285" t="str">
        <f>"700065"</f>
        <v>700065</v>
      </c>
      <c r="H2285" t="str">
        <f>"אלתא מערכות בע""מ"</f>
        <v>אלתא מערכות בע"מ</v>
      </c>
      <c r="I2285" t="str">
        <f>"10"</f>
        <v>10</v>
      </c>
      <c r="J2285" t="str">
        <f>"OP-AR02115"</f>
        <v>OP-AR02115</v>
      </c>
      <c r="K2285" t="str">
        <f>"1032F932-001/-   ETHERNET CABLE MFR-W932 - FILTE"</f>
        <v>1032F932-001/-   ETHERNET CABLE MFR-W932 - FILTE</v>
      </c>
      <c r="L2285">
        <v>4</v>
      </c>
      <c r="M2285" t="str">
        <f>"יח"</f>
        <v>יח</v>
      </c>
      <c r="N2285">
        <v>4</v>
      </c>
      <c r="O2285" t="str">
        <f>"יח"</f>
        <v>יח</v>
      </c>
      <c r="P2285">
        <v>176.77</v>
      </c>
      <c r="Q2285" t="str">
        <f>"$"</f>
        <v>$</v>
      </c>
      <c r="R2285" t="str">
        <f>"הזמנה"</f>
        <v>הזמנה</v>
      </c>
      <c r="S2285">
        <v>0</v>
      </c>
      <c r="T2285">
        <v>707.08</v>
      </c>
      <c r="U2285">
        <v>0</v>
      </c>
      <c r="V2285">
        <v>707.08</v>
      </c>
      <c r="W2285" t="str">
        <f>"$"</f>
        <v>$</v>
      </c>
      <c r="X2285">
        <v>0</v>
      </c>
      <c r="Y2285">
        <v>0</v>
      </c>
      <c r="Z2285">
        <v>0</v>
      </c>
      <c r="AA2285" t="str">
        <f>"Y"</f>
        <v>Y</v>
      </c>
      <c r="AB2285" t="str">
        <f>"SO20000532"</f>
        <v>SO20000532</v>
      </c>
      <c r="AC2285">
        <v>73</v>
      </c>
      <c r="AD2285" s="1">
        <v>44155</v>
      </c>
      <c r="AE2285" t="str">
        <f>"SH21001432"</f>
        <v>SH21001432</v>
      </c>
      <c r="AF2285" t="str">
        <f>"משלוחים ללקוח"</f>
        <v>משלוחים ללקוח</v>
      </c>
      <c r="AG2285" s="1">
        <v>44420</v>
      </c>
      <c r="AM2285" t="str">
        <f>"10"</f>
        <v>10</v>
      </c>
      <c r="AN2285" t="str">
        <f>"500000"</f>
        <v>500000</v>
      </c>
      <c r="AO2285" t="str">
        <f>"הכנסות  מלקוחות"</f>
        <v>הכנסות  מלקוחות</v>
      </c>
      <c r="AQ2285" t="str">
        <f>"034"</f>
        <v>034</v>
      </c>
      <c r="AR2285">
        <v>0</v>
      </c>
      <c r="AS2285">
        <v>0</v>
      </c>
      <c r="AT2285">
        <v>3.2229999999999999</v>
      </c>
      <c r="AX2285" t="str">
        <f>"E000321177"</f>
        <v>E000321177</v>
      </c>
      <c r="BD2285" t="str">
        <f>"ערן שלו"</f>
        <v>ערן שלו</v>
      </c>
    </row>
    <row r="2286" spans="1:56" x14ac:dyDescent="0.3">
      <c r="A2286" s="1">
        <v>44423</v>
      </c>
      <c r="B2286" t="str">
        <f>"SI216001179"</f>
        <v>SI216001179</v>
      </c>
      <c r="C2286" t="str">
        <f>"PR20000834"</f>
        <v>PR20000834</v>
      </c>
      <c r="D2286" t="str">
        <f>"PR20000834"</f>
        <v>PR20000834</v>
      </c>
      <c r="E2286" t="str">
        <f>"Y"</f>
        <v>Y</v>
      </c>
      <c r="F2286" t="str">
        <f>"חשבוניות מרכזות"</f>
        <v>חשבוניות מרכזות</v>
      </c>
      <c r="G2286" t="str">
        <f>"700065"</f>
        <v>700065</v>
      </c>
      <c r="H2286" t="str">
        <f>"אלתא מערכות בע""מ"</f>
        <v>אלתא מערכות בע"מ</v>
      </c>
      <c r="I2286" t="str">
        <f>"10"</f>
        <v>10</v>
      </c>
      <c r="J2286" t="str">
        <f>"OP-AR02117"</f>
        <v>OP-AR02117</v>
      </c>
      <c r="K2286" t="str">
        <f>"1032F933-001/-   ETHERNET CABLE MFR-W933 - FILTE"</f>
        <v>1032F933-001/-   ETHERNET CABLE MFR-W933 - FILTE</v>
      </c>
      <c r="L2286">
        <v>4</v>
      </c>
      <c r="M2286" t="str">
        <f>"יח"</f>
        <v>יח</v>
      </c>
      <c r="N2286">
        <v>4</v>
      </c>
      <c r="O2286" t="str">
        <f>"יח"</f>
        <v>יח</v>
      </c>
      <c r="P2286">
        <v>176.77</v>
      </c>
      <c r="Q2286" t="str">
        <f>"$"</f>
        <v>$</v>
      </c>
      <c r="R2286" t="str">
        <f>"הזמנה"</f>
        <v>הזמנה</v>
      </c>
      <c r="S2286">
        <v>0</v>
      </c>
      <c r="T2286">
        <v>707.08</v>
      </c>
      <c r="U2286">
        <v>0</v>
      </c>
      <c r="V2286">
        <v>707.08</v>
      </c>
      <c r="W2286" t="str">
        <f>"$"</f>
        <v>$</v>
      </c>
      <c r="X2286">
        <v>0</v>
      </c>
      <c r="Y2286">
        <v>0</v>
      </c>
      <c r="Z2286">
        <v>0</v>
      </c>
      <c r="AA2286" t="str">
        <f>"Y"</f>
        <v>Y</v>
      </c>
      <c r="AB2286" t="str">
        <f>"SO20000532"</f>
        <v>SO20000532</v>
      </c>
      <c r="AC2286">
        <v>78</v>
      </c>
      <c r="AD2286" s="1">
        <v>44155</v>
      </c>
      <c r="AE2286" t="str">
        <f>"SH21001432"</f>
        <v>SH21001432</v>
      </c>
      <c r="AF2286" t="str">
        <f>"משלוחים ללקוח"</f>
        <v>משלוחים ללקוח</v>
      </c>
      <c r="AG2286" s="1">
        <v>44420</v>
      </c>
      <c r="AM2286" t="str">
        <f>"10"</f>
        <v>10</v>
      </c>
      <c r="AN2286" t="str">
        <f>"500000"</f>
        <v>500000</v>
      </c>
      <c r="AO2286" t="str">
        <f>"הכנסות  מלקוחות"</f>
        <v>הכנסות  מלקוחות</v>
      </c>
      <c r="AQ2286" t="str">
        <f>"034"</f>
        <v>034</v>
      </c>
      <c r="AR2286">
        <v>0</v>
      </c>
      <c r="AS2286">
        <v>0</v>
      </c>
      <c r="AT2286">
        <v>3.2229999999999999</v>
      </c>
      <c r="AX2286" t="str">
        <f>"E000321177"</f>
        <v>E000321177</v>
      </c>
      <c r="BD2286" t="str">
        <f>"ערן שלו"</f>
        <v>ערן שלו</v>
      </c>
    </row>
    <row r="2287" spans="1:56" x14ac:dyDescent="0.3">
      <c r="A2287" s="1">
        <v>44423</v>
      </c>
      <c r="B2287" t="str">
        <f>"SI216001179"</f>
        <v>SI216001179</v>
      </c>
      <c r="C2287" t="str">
        <f>"PR20000834"</f>
        <v>PR20000834</v>
      </c>
      <c r="D2287" t="str">
        <f>"PR20000834"</f>
        <v>PR20000834</v>
      </c>
      <c r="E2287" t="str">
        <f>"Y"</f>
        <v>Y</v>
      </c>
      <c r="F2287" t="str">
        <f>"חשבוניות מרכזות"</f>
        <v>חשבוניות מרכזות</v>
      </c>
      <c r="G2287" t="str">
        <f>"700065"</f>
        <v>700065</v>
      </c>
      <c r="H2287" t="str">
        <f>"אלתא מערכות בע""מ"</f>
        <v>אלתא מערכות בע"מ</v>
      </c>
      <c r="I2287" t="str">
        <f>"10"</f>
        <v>10</v>
      </c>
      <c r="J2287" t="str">
        <f>"OP-AR02117"</f>
        <v>OP-AR02117</v>
      </c>
      <c r="K2287" t="str">
        <f>"1032F933-001/-   ETHERNET CABLE MFR-W933 - FILTE"</f>
        <v>1032F933-001/-   ETHERNET CABLE MFR-W933 - FILTE</v>
      </c>
      <c r="L2287">
        <v>4</v>
      </c>
      <c r="M2287" t="str">
        <f>"יח"</f>
        <v>יח</v>
      </c>
      <c r="N2287">
        <v>4</v>
      </c>
      <c r="O2287" t="str">
        <f>"יח"</f>
        <v>יח</v>
      </c>
      <c r="P2287">
        <v>176.77</v>
      </c>
      <c r="Q2287" t="str">
        <f>"$"</f>
        <v>$</v>
      </c>
      <c r="R2287" t="str">
        <f>"הזמנה"</f>
        <v>הזמנה</v>
      </c>
      <c r="S2287">
        <v>0</v>
      </c>
      <c r="T2287">
        <v>707.08</v>
      </c>
      <c r="U2287">
        <v>0</v>
      </c>
      <c r="V2287">
        <v>707.08</v>
      </c>
      <c r="W2287" t="str">
        <f>"$"</f>
        <v>$</v>
      </c>
      <c r="X2287">
        <v>0</v>
      </c>
      <c r="Y2287">
        <v>0</v>
      </c>
      <c r="Z2287">
        <v>0</v>
      </c>
      <c r="AA2287" t="str">
        <f>"Y"</f>
        <v>Y</v>
      </c>
      <c r="AB2287" t="str">
        <f>"SO20000532"</f>
        <v>SO20000532</v>
      </c>
      <c r="AC2287">
        <v>79</v>
      </c>
      <c r="AD2287" s="1">
        <v>44155</v>
      </c>
      <c r="AE2287" t="str">
        <f>"SH21001432"</f>
        <v>SH21001432</v>
      </c>
      <c r="AF2287" t="str">
        <f>"משלוחים ללקוח"</f>
        <v>משלוחים ללקוח</v>
      </c>
      <c r="AG2287" s="1">
        <v>44420</v>
      </c>
      <c r="AM2287" t="str">
        <f>"10"</f>
        <v>10</v>
      </c>
      <c r="AN2287" t="str">
        <f>"500000"</f>
        <v>500000</v>
      </c>
      <c r="AO2287" t="str">
        <f>"הכנסות  מלקוחות"</f>
        <v>הכנסות  מלקוחות</v>
      </c>
      <c r="AQ2287" t="str">
        <f>"034"</f>
        <v>034</v>
      </c>
      <c r="AR2287">
        <v>0</v>
      </c>
      <c r="AS2287">
        <v>0</v>
      </c>
      <c r="AT2287">
        <v>3.2229999999999999</v>
      </c>
      <c r="AX2287" t="str">
        <f>"E000321177"</f>
        <v>E000321177</v>
      </c>
      <c r="BD2287" t="str">
        <f>"ערן שלו"</f>
        <v>ערן שלו</v>
      </c>
    </row>
    <row r="2288" spans="1:56" x14ac:dyDescent="0.3">
      <c r="A2288" s="1">
        <v>44423</v>
      </c>
      <c r="B2288" t="str">
        <f>"SI216001179"</f>
        <v>SI216001179</v>
      </c>
      <c r="C2288" t="str">
        <f>"PR20000834"</f>
        <v>PR20000834</v>
      </c>
      <c r="D2288" t="str">
        <f>"PR20000834"</f>
        <v>PR20000834</v>
      </c>
      <c r="E2288" t="str">
        <f>"Y"</f>
        <v>Y</v>
      </c>
      <c r="F2288" t="str">
        <f>"חשבוניות מרכזות"</f>
        <v>חשבוניות מרכזות</v>
      </c>
      <c r="G2288" t="str">
        <f>"700065"</f>
        <v>700065</v>
      </c>
      <c r="H2288" t="str">
        <f>"אלתא מערכות בע""מ"</f>
        <v>אלתא מערכות בע"מ</v>
      </c>
      <c r="I2288" t="str">
        <f>"10"</f>
        <v>10</v>
      </c>
      <c r="J2288" t="str">
        <f>"OP-AR02118"</f>
        <v>OP-AR02118</v>
      </c>
      <c r="K2288" t="str">
        <f>"1032F934-001/-   ETHERNET CABLE MFR-W934 - FILTE"</f>
        <v>1032F934-001/-   ETHERNET CABLE MFR-W934 - FILTE</v>
      </c>
      <c r="L2288">
        <v>4</v>
      </c>
      <c r="M2288" t="str">
        <f>"יח"</f>
        <v>יח</v>
      </c>
      <c r="N2288">
        <v>4</v>
      </c>
      <c r="O2288" t="str">
        <f>"יח"</f>
        <v>יח</v>
      </c>
      <c r="P2288">
        <v>176.77</v>
      </c>
      <c r="Q2288" t="str">
        <f>"$"</f>
        <v>$</v>
      </c>
      <c r="R2288" t="str">
        <f>"הזמנה"</f>
        <v>הזמנה</v>
      </c>
      <c r="S2288">
        <v>0</v>
      </c>
      <c r="T2288">
        <v>707.08</v>
      </c>
      <c r="U2288">
        <v>0</v>
      </c>
      <c r="V2288">
        <v>707.08</v>
      </c>
      <c r="W2288" t="str">
        <f>"$"</f>
        <v>$</v>
      </c>
      <c r="X2288">
        <v>0</v>
      </c>
      <c r="Y2288">
        <v>0</v>
      </c>
      <c r="Z2288">
        <v>0</v>
      </c>
      <c r="AA2288" t="str">
        <f>"Y"</f>
        <v>Y</v>
      </c>
      <c r="AB2288" t="str">
        <f>"SO20000532"</f>
        <v>SO20000532</v>
      </c>
      <c r="AC2288">
        <v>84</v>
      </c>
      <c r="AD2288" s="1">
        <v>44155</v>
      </c>
      <c r="AE2288" t="str">
        <f>"SH21001432"</f>
        <v>SH21001432</v>
      </c>
      <c r="AF2288" t="str">
        <f>"משלוחים ללקוח"</f>
        <v>משלוחים ללקוח</v>
      </c>
      <c r="AG2288" s="1">
        <v>44420</v>
      </c>
      <c r="AM2288" t="str">
        <f>"10"</f>
        <v>10</v>
      </c>
      <c r="AN2288" t="str">
        <f>"500000"</f>
        <v>500000</v>
      </c>
      <c r="AO2288" t="str">
        <f>"הכנסות  מלקוחות"</f>
        <v>הכנסות  מלקוחות</v>
      </c>
      <c r="AQ2288" t="str">
        <f>"034"</f>
        <v>034</v>
      </c>
      <c r="AR2288">
        <v>0</v>
      </c>
      <c r="AS2288">
        <v>0</v>
      </c>
      <c r="AT2288">
        <v>3.2229999999999999</v>
      </c>
      <c r="AX2288" t="str">
        <f>"E000321177"</f>
        <v>E000321177</v>
      </c>
      <c r="BD2288" t="str">
        <f>"ערן שלו"</f>
        <v>ערן שלו</v>
      </c>
    </row>
    <row r="2289" spans="1:56" x14ac:dyDescent="0.3">
      <c r="A2289" s="1">
        <v>44423</v>
      </c>
      <c r="B2289" t="str">
        <f>"SI216001179"</f>
        <v>SI216001179</v>
      </c>
      <c r="C2289" t="str">
        <f>"PR20000834"</f>
        <v>PR20000834</v>
      </c>
      <c r="D2289" t="str">
        <f>"PR20000834"</f>
        <v>PR20000834</v>
      </c>
      <c r="E2289" t="str">
        <f>"Y"</f>
        <v>Y</v>
      </c>
      <c r="F2289" t="str">
        <f>"חשבוניות מרכזות"</f>
        <v>חשבוניות מרכזות</v>
      </c>
      <c r="G2289" t="str">
        <f>"700065"</f>
        <v>700065</v>
      </c>
      <c r="H2289" t="str">
        <f>"אלתא מערכות בע""מ"</f>
        <v>אלתא מערכות בע"מ</v>
      </c>
      <c r="I2289" t="str">
        <f>"10"</f>
        <v>10</v>
      </c>
      <c r="J2289" t="str">
        <f>"OP-AR02118"</f>
        <v>OP-AR02118</v>
      </c>
      <c r="K2289" t="str">
        <f>"1032F934-001/-   ETHERNET CABLE MFR-W934 - FILTE"</f>
        <v>1032F934-001/-   ETHERNET CABLE MFR-W934 - FILTE</v>
      </c>
      <c r="L2289">
        <v>4</v>
      </c>
      <c r="M2289" t="str">
        <f>"יח"</f>
        <v>יח</v>
      </c>
      <c r="N2289">
        <v>4</v>
      </c>
      <c r="O2289" t="str">
        <f>"יח"</f>
        <v>יח</v>
      </c>
      <c r="P2289">
        <v>176.77</v>
      </c>
      <c r="Q2289" t="str">
        <f>"$"</f>
        <v>$</v>
      </c>
      <c r="R2289" t="str">
        <f>"הזמנה"</f>
        <v>הזמנה</v>
      </c>
      <c r="S2289">
        <v>0</v>
      </c>
      <c r="T2289">
        <v>707.08</v>
      </c>
      <c r="U2289">
        <v>0</v>
      </c>
      <c r="V2289">
        <v>707.08</v>
      </c>
      <c r="W2289" t="str">
        <f>"$"</f>
        <v>$</v>
      </c>
      <c r="X2289">
        <v>0</v>
      </c>
      <c r="Y2289">
        <v>0</v>
      </c>
      <c r="Z2289">
        <v>0</v>
      </c>
      <c r="AA2289" t="str">
        <f>"Y"</f>
        <v>Y</v>
      </c>
      <c r="AB2289" t="str">
        <f>"SO20000532"</f>
        <v>SO20000532</v>
      </c>
      <c r="AC2289">
        <v>85</v>
      </c>
      <c r="AD2289" s="1">
        <v>44155</v>
      </c>
      <c r="AE2289" t="str">
        <f>"SH21001432"</f>
        <v>SH21001432</v>
      </c>
      <c r="AF2289" t="str">
        <f>"משלוחים ללקוח"</f>
        <v>משלוחים ללקוח</v>
      </c>
      <c r="AG2289" s="1">
        <v>44420</v>
      </c>
      <c r="AM2289" t="str">
        <f>"10"</f>
        <v>10</v>
      </c>
      <c r="AN2289" t="str">
        <f>"500000"</f>
        <v>500000</v>
      </c>
      <c r="AO2289" t="str">
        <f>"הכנסות  מלקוחות"</f>
        <v>הכנסות  מלקוחות</v>
      </c>
      <c r="AQ2289" t="str">
        <f>"034"</f>
        <v>034</v>
      </c>
      <c r="AR2289">
        <v>0</v>
      </c>
      <c r="AS2289">
        <v>0</v>
      </c>
      <c r="AT2289">
        <v>3.2229999999999999</v>
      </c>
      <c r="AX2289" t="str">
        <f>"E000321177"</f>
        <v>E000321177</v>
      </c>
      <c r="BD2289" t="str">
        <f>"ערן שלו"</f>
        <v>ערן שלו</v>
      </c>
    </row>
    <row r="2290" spans="1:56" x14ac:dyDescent="0.3">
      <c r="A2290" s="1">
        <v>44423</v>
      </c>
      <c r="B2290" t="str">
        <f>"SI216001179"</f>
        <v>SI216001179</v>
      </c>
      <c r="C2290" t="str">
        <f>"PR20000834"</f>
        <v>PR20000834</v>
      </c>
      <c r="D2290" t="str">
        <f>"PR20000834"</f>
        <v>PR20000834</v>
      </c>
      <c r="E2290" t="str">
        <f>"Y"</f>
        <v>Y</v>
      </c>
      <c r="F2290" t="str">
        <f>"חשבוניות מרכזות"</f>
        <v>חשבוניות מרכזות</v>
      </c>
      <c r="G2290" t="str">
        <f>"700065"</f>
        <v>700065</v>
      </c>
      <c r="H2290" t="str">
        <f>"אלתא מערכות בע""מ"</f>
        <v>אלתא מערכות בע"מ</v>
      </c>
      <c r="I2290" t="str">
        <f>"10"</f>
        <v>10</v>
      </c>
      <c r="J2290" t="str">
        <f>"OP-AR02119"</f>
        <v>OP-AR02119</v>
      </c>
      <c r="K2290" t="str">
        <f>"1032F935-001/-   ETHERNET CABLE MFR-W935 - FILTE"</f>
        <v>1032F935-001/-   ETHERNET CABLE MFR-W935 - FILTE</v>
      </c>
      <c r="L2290">
        <v>4</v>
      </c>
      <c r="M2290" t="str">
        <f>"יח"</f>
        <v>יח</v>
      </c>
      <c r="N2290">
        <v>4</v>
      </c>
      <c r="O2290" t="str">
        <f>"יח"</f>
        <v>יח</v>
      </c>
      <c r="P2290">
        <v>174</v>
      </c>
      <c r="Q2290" t="str">
        <f>"$"</f>
        <v>$</v>
      </c>
      <c r="R2290" t="str">
        <f>"הזמנה"</f>
        <v>הזמנה</v>
      </c>
      <c r="S2290">
        <v>0</v>
      </c>
      <c r="T2290">
        <v>696</v>
      </c>
      <c r="U2290">
        <v>0</v>
      </c>
      <c r="V2290">
        <v>696</v>
      </c>
      <c r="W2290" t="str">
        <f>"$"</f>
        <v>$</v>
      </c>
      <c r="X2290">
        <v>0</v>
      </c>
      <c r="Y2290">
        <v>0</v>
      </c>
      <c r="Z2290">
        <v>0</v>
      </c>
      <c r="AA2290" t="str">
        <f>"Y"</f>
        <v>Y</v>
      </c>
      <c r="AB2290" t="str">
        <f>"SO20000532"</f>
        <v>SO20000532</v>
      </c>
      <c r="AC2290">
        <v>90</v>
      </c>
      <c r="AD2290" s="1">
        <v>44155</v>
      </c>
      <c r="AE2290" t="str">
        <f>"SH21001432"</f>
        <v>SH21001432</v>
      </c>
      <c r="AF2290" t="str">
        <f>"משלוחים ללקוח"</f>
        <v>משלוחים ללקוח</v>
      </c>
      <c r="AG2290" s="1">
        <v>44420</v>
      </c>
      <c r="AM2290" t="str">
        <f>"10"</f>
        <v>10</v>
      </c>
      <c r="AN2290" t="str">
        <f>"500000"</f>
        <v>500000</v>
      </c>
      <c r="AO2290" t="str">
        <f>"הכנסות  מלקוחות"</f>
        <v>הכנסות  מלקוחות</v>
      </c>
      <c r="AQ2290" t="str">
        <f>"034"</f>
        <v>034</v>
      </c>
      <c r="AR2290">
        <v>0</v>
      </c>
      <c r="AS2290">
        <v>0</v>
      </c>
      <c r="AT2290">
        <v>3.2229999999999999</v>
      </c>
      <c r="AX2290" t="str">
        <f>"E000321177"</f>
        <v>E000321177</v>
      </c>
      <c r="BD2290" t="str">
        <f>"ערן שלו"</f>
        <v>ערן שלו</v>
      </c>
    </row>
    <row r="2291" spans="1:56" x14ac:dyDescent="0.3">
      <c r="A2291" s="1">
        <v>44423</v>
      </c>
      <c r="B2291" t="str">
        <f>"SI216001179"</f>
        <v>SI216001179</v>
      </c>
      <c r="C2291" t="str">
        <f>"PR20000834"</f>
        <v>PR20000834</v>
      </c>
      <c r="D2291" t="str">
        <f>"PR20000834"</f>
        <v>PR20000834</v>
      </c>
      <c r="E2291" t="str">
        <f>"Y"</f>
        <v>Y</v>
      </c>
      <c r="F2291" t="str">
        <f>"חשבוניות מרכזות"</f>
        <v>חשבוניות מרכזות</v>
      </c>
      <c r="G2291" t="str">
        <f>"700065"</f>
        <v>700065</v>
      </c>
      <c r="H2291" t="str">
        <f>"אלתא מערכות בע""מ"</f>
        <v>אלתא מערכות בע"מ</v>
      </c>
      <c r="I2291" t="str">
        <f>"10"</f>
        <v>10</v>
      </c>
      <c r="J2291" t="str">
        <f>"OP-AR02119"</f>
        <v>OP-AR02119</v>
      </c>
      <c r="K2291" t="str">
        <f>"1032F935-001/-   ETHERNET CABLE MFR-W935 - FILTE"</f>
        <v>1032F935-001/-   ETHERNET CABLE MFR-W935 - FILTE</v>
      </c>
      <c r="L2291">
        <v>4</v>
      </c>
      <c r="M2291" t="str">
        <f>"יח"</f>
        <v>יח</v>
      </c>
      <c r="N2291">
        <v>4</v>
      </c>
      <c r="O2291" t="str">
        <f>"יח"</f>
        <v>יח</v>
      </c>
      <c r="P2291">
        <v>174</v>
      </c>
      <c r="Q2291" t="str">
        <f>"$"</f>
        <v>$</v>
      </c>
      <c r="R2291" t="str">
        <f>"הזמנה"</f>
        <v>הזמנה</v>
      </c>
      <c r="S2291">
        <v>0</v>
      </c>
      <c r="T2291">
        <v>696</v>
      </c>
      <c r="U2291">
        <v>0</v>
      </c>
      <c r="V2291">
        <v>696</v>
      </c>
      <c r="W2291" t="str">
        <f>"$"</f>
        <v>$</v>
      </c>
      <c r="X2291">
        <v>0</v>
      </c>
      <c r="Y2291">
        <v>0</v>
      </c>
      <c r="Z2291">
        <v>0</v>
      </c>
      <c r="AA2291" t="str">
        <f>"Y"</f>
        <v>Y</v>
      </c>
      <c r="AB2291" t="str">
        <f>"SO20000532"</f>
        <v>SO20000532</v>
      </c>
      <c r="AC2291">
        <v>91</v>
      </c>
      <c r="AD2291" s="1">
        <v>44155</v>
      </c>
      <c r="AE2291" t="str">
        <f>"SH21001432"</f>
        <v>SH21001432</v>
      </c>
      <c r="AF2291" t="str">
        <f>"משלוחים ללקוח"</f>
        <v>משלוחים ללקוח</v>
      </c>
      <c r="AG2291" s="1">
        <v>44420</v>
      </c>
      <c r="AM2291" t="str">
        <f>"10"</f>
        <v>10</v>
      </c>
      <c r="AN2291" t="str">
        <f>"500000"</f>
        <v>500000</v>
      </c>
      <c r="AO2291" t="str">
        <f>"הכנסות  מלקוחות"</f>
        <v>הכנסות  מלקוחות</v>
      </c>
      <c r="AQ2291" t="str">
        <f>"034"</f>
        <v>034</v>
      </c>
      <c r="AR2291">
        <v>0</v>
      </c>
      <c r="AS2291">
        <v>0</v>
      </c>
      <c r="AT2291">
        <v>3.2229999999999999</v>
      </c>
      <c r="AX2291" t="str">
        <f>"E000321177"</f>
        <v>E000321177</v>
      </c>
      <c r="BD2291" t="str">
        <f>"ערן שלו"</f>
        <v>ערן שלו</v>
      </c>
    </row>
    <row r="2292" spans="1:56" x14ac:dyDescent="0.3">
      <c r="A2292" s="1">
        <v>44423</v>
      </c>
      <c r="B2292" t="str">
        <f>"SI216001179"</f>
        <v>SI216001179</v>
      </c>
      <c r="C2292" t="str">
        <f>"PR20000834"</f>
        <v>PR20000834</v>
      </c>
      <c r="D2292" t="str">
        <f>"PR20000834"</f>
        <v>PR20000834</v>
      </c>
      <c r="E2292" t="str">
        <f>"Y"</f>
        <v>Y</v>
      </c>
      <c r="F2292" t="str">
        <f>"חשבוניות מרכזות"</f>
        <v>חשבוניות מרכזות</v>
      </c>
      <c r="G2292" t="str">
        <f>"700065"</f>
        <v>700065</v>
      </c>
      <c r="H2292" t="str">
        <f>"אלתא מערכות בע""מ"</f>
        <v>אלתא מערכות בע"מ</v>
      </c>
      <c r="I2292" t="str">
        <f>"10"</f>
        <v>10</v>
      </c>
      <c r="J2292" t="str">
        <f>"OP-AR02120"</f>
        <v>OP-AR02120</v>
      </c>
      <c r="K2292" t="str">
        <f>"1032F936-001/-   ETHERNET CABLE MFR-W936 - FILTE"</f>
        <v>1032F936-001/-   ETHERNET CABLE MFR-W936 - FILTE</v>
      </c>
      <c r="L2292">
        <v>4</v>
      </c>
      <c r="M2292" t="str">
        <f>"יח"</f>
        <v>יח</v>
      </c>
      <c r="N2292">
        <v>4</v>
      </c>
      <c r="O2292" t="str">
        <f>"יח"</f>
        <v>יח</v>
      </c>
      <c r="P2292">
        <v>176.77</v>
      </c>
      <c r="Q2292" t="str">
        <f>"$"</f>
        <v>$</v>
      </c>
      <c r="R2292" t="str">
        <f>"הזמנה"</f>
        <v>הזמנה</v>
      </c>
      <c r="S2292">
        <v>0</v>
      </c>
      <c r="T2292">
        <v>707.08</v>
      </c>
      <c r="U2292">
        <v>0</v>
      </c>
      <c r="V2292">
        <v>707.08</v>
      </c>
      <c r="W2292" t="str">
        <f>"$"</f>
        <v>$</v>
      </c>
      <c r="X2292">
        <v>0</v>
      </c>
      <c r="Y2292">
        <v>0</v>
      </c>
      <c r="Z2292">
        <v>0</v>
      </c>
      <c r="AA2292" t="str">
        <f>"Y"</f>
        <v>Y</v>
      </c>
      <c r="AB2292" t="str">
        <f>"SO20000532"</f>
        <v>SO20000532</v>
      </c>
      <c r="AC2292">
        <v>96</v>
      </c>
      <c r="AD2292" s="1">
        <v>44155</v>
      </c>
      <c r="AE2292" t="str">
        <f>"SH21001432"</f>
        <v>SH21001432</v>
      </c>
      <c r="AF2292" t="str">
        <f>"משלוחים ללקוח"</f>
        <v>משלוחים ללקוח</v>
      </c>
      <c r="AG2292" s="1">
        <v>44420</v>
      </c>
      <c r="AM2292" t="str">
        <f>"10"</f>
        <v>10</v>
      </c>
      <c r="AN2292" t="str">
        <f>"500000"</f>
        <v>500000</v>
      </c>
      <c r="AO2292" t="str">
        <f>"הכנסות  מלקוחות"</f>
        <v>הכנסות  מלקוחות</v>
      </c>
      <c r="AQ2292" t="str">
        <f>"034"</f>
        <v>034</v>
      </c>
      <c r="AR2292">
        <v>0</v>
      </c>
      <c r="AS2292">
        <v>0</v>
      </c>
      <c r="AT2292">
        <v>3.2229999999999999</v>
      </c>
      <c r="AX2292" t="str">
        <f>"E000321177"</f>
        <v>E000321177</v>
      </c>
      <c r="BD2292" t="str">
        <f>"ערן שלו"</f>
        <v>ערן שלו</v>
      </c>
    </row>
    <row r="2293" spans="1:56" x14ac:dyDescent="0.3">
      <c r="A2293" s="1">
        <v>44423</v>
      </c>
      <c r="B2293" t="str">
        <f>"SI216001179"</f>
        <v>SI216001179</v>
      </c>
      <c r="C2293" t="str">
        <f>"PR20000834"</f>
        <v>PR20000834</v>
      </c>
      <c r="D2293" t="str">
        <f>"PR20000834"</f>
        <v>PR20000834</v>
      </c>
      <c r="E2293" t="str">
        <f>"Y"</f>
        <v>Y</v>
      </c>
      <c r="F2293" t="str">
        <f>"חשבוניות מרכזות"</f>
        <v>חשבוניות מרכזות</v>
      </c>
      <c r="G2293" t="str">
        <f>"700065"</f>
        <v>700065</v>
      </c>
      <c r="H2293" t="str">
        <f>"אלתא מערכות בע""מ"</f>
        <v>אלתא מערכות בע"מ</v>
      </c>
      <c r="I2293" t="str">
        <f>"10"</f>
        <v>10</v>
      </c>
      <c r="J2293" t="str">
        <f>"OP-AR02120"</f>
        <v>OP-AR02120</v>
      </c>
      <c r="K2293" t="str">
        <f>"1032F936-001/-   ETHERNET CABLE MFR-W936 - FILTE"</f>
        <v>1032F936-001/-   ETHERNET CABLE MFR-W936 - FILTE</v>
      </c>
      <c r="L2293">
        <v>4</v>
      </c>
      <c r="M2293" t="str">
        <f>"יח"</f>
        <v>יח</v>
      </c>
      <c r="N2293">
        <v>4</v>
      </c>
      <c r="O2293" t="str">
        <f>"יח"</f>
        <v>יח</v>
      </c>
      <c r="P2293">
        <v>176.77</v>
      </c>
      <c r="Q2293" t="str">
        <f>"$"</f>
        <v>$</v>
      </c>
      <c r="R2293" t="str">
        <f>"הזמנה"</f>
        <v>הזמנה</v>
      </c>
      <c r="S2293">
        <v>0</v>
      </c>
      <c r="T2293">
        <v>707.08</v>
      </c>
      <c r="U2293">
        <v>0</v>
      </c>
      <c r="V2293">
        <v>707.08</v>
      </c>
      <c r="W2293" t="str">
        <f>"$"</f>
        <v>$</v>
      </c>
      <c r="X2293">
        <v>0</v>
      </c>
      <c r="Y2293">
        <v>0</v>
      </c>
      <c r="Z2293">
        <v>0</v>
      </c>
      <c r="AA2293" t="str">
        <f>"Y"</f>
        <v>Y</v>
      </c>
      <c r="AB2293" t="str">
        <f>"SO20000532"</f>
        <v>SO20000532</v>
      </c>
      <c r="AC2293">
        <v>97</v>
      </c>
      <c r="AD2293" s="1">
        <v>44155</v>
      </c>
      <c r="AE2293" t="str">
        <f>"SH21001432"</f>
        <v>SH21001432</v>
      </c>
      <c r="AF2293" t="str">
        <f>"משלוחים ללקוח"</f>
        <v>משלוחים ללקוח</v>
      </c>
      <c r="AG2293" s="1">
        <v>44420</v>
      </c>
      <c r="AM2293" t="str">
        <f>"10"</f>
        <v>10</v>
      </c>
      <c r="AN2293" t="str">
        <f>"500000"</f>
        <v>500000</v>
      </c>
      <c r="AO2293" t="str">
        <f>"הכנסות  מלקוחות"</f>
        <v>הכנסות  מלקוחות</v>
      </c>
      <c r="AQ2293" t="str">
        <f>"034"</f>
        <v>034</v>
      </c>
      <c r="AR2293">
        <v>0</v>
      </c>
      <c r="AS2293">
        <v>0</v>
      </c>
      <c r="AT2293">
        <v>3.2229999999999999</v>
      </c>
      <c r="AX2293" t="str">
        <f>"E000321177"</f>
        <v>E000321177</v>
      </c>
      <c r="BD2293" t="str">
        <f>"ערן שלו"</f>
        <v>ערן שלו</v>
      </c>
    </row>
    <row r="2294" spans="1:56" x14ac:dyDescent="0.3">
      <c r="A2294" s="1">
        <v>44423</v>
      </c>
      <c r="B2294" t="str">
        <f>"SI216001179"</f>
        <v>SI216001179</v>
      </c>
      <c r="C2294" t="str">
        <f>"PR20000834"</f>
        <v>PR20000834</v>
      </c>
      <c r="D2294" t="str">
        <f>"PR20000834"</f>
        <v>PR20000834</v>
      </c>
      <c r="E2294" t="str">
        <f>"Y"</f>
        <v>Y</v>
      </c>
      <c r="F2294" t="str">
        <f>"חשבוניות מרכזות"</f>
        <v>חשבוניות מרכזות</v>
      </c>
      <c r="G2294" t="str">
        <f>"700065"</f>
        <v>700065</v>
      </c>
      <c r="H2294" t="str">
        <f>"אלתא מערכות בע""מ"</f>
        <v>אלתא מערכות בע"מ</v>
      </c>
      <c r="I2294" t="str">
        <f>"10"</f>
        <v>10</v>
      </c>
      <c r="J2294" t="str">
        <f>"OP-AR02121"</f>
        <v>OP-AR02121</v>
      </c>
      <c r="K2294" t="str">
        <f>"1032F937-001/-   ETHERNET CABLE MFR-W937 - FILTE"</f>
        <v>1032F937-001/-   ETHERNET CABLE MFR-W937 - FILTE</v>
      </c>
      <c r="L2294">
        <v>4</v>
      </c>
      <c r="M2294" t="str">
        <f>"יח"</f>
        <v>יח</v>
      </c>
      <c r="N2294">
        <v>4</v>
      </c>
      <c r="O2294" t="str">
        <f>"יח"</f>
        <v>יח</v>
      </c>
      <c r="P2294">
        <v>174</v>
      </c>
      <c r="Q2294" t="str">
        <f>"$"</f>
        <v>$</v>
      </c>
      <c r="R2294" t="str">
        <f>"הזמנה"</f>
        <v>הזמנה</v>
      </c>
      <c r="S2294">
        <v>0</v>
      </c>
      <c r="T2294">
        <v>696</v>
      </c>
      <c r="U2294">
        <v>0</v>
      </c>
      <c r="V2294">
        <v>696</v>
      </c>
      <c r="W2294" t="str">
        <f>"$"</f>
        <v>$</v>
      </c>
      <c r="X2294">
        <v>0</v>
      </c>
      <c r="Y2294">
        <v>0</v>
      </c>
      <c r="Z2294">
        <v>0</v>
      </c>
      <c r="AA2294" t="str">
        <f>"Y"</f>
        <v>Y</v>
      </c>
      <c r="AB2294" t="str">
        <f>"SO20000532"</f>
        <v>SO20000532</v>
      </c>
      <c r="AC2294">
        <v>102</v>
      </c>
      <c r="AD2294" s="1">
        <v>44155</v>
      </c>
      <c r="AE2294" t="str">
        <f>"SH21001432"</f>
        <v>SH21001432</v>
      </c>
      <c r="AF2294" t="str">
        <f>"משלוחים ללקוח"</f>
        <v>משלוחים ללקוח</v>
      </c>
      <c r="AG2294" s="1">
        <v>44420</v>
      </c>
      <c r="AM2294" t="str">
        <f>"10"</f>
        <v>10</v>
      </c>
      <c r="AN2294" t="str">
        <f>"500000"</f>
        <v>500000</v>
      </c>
      <c r="AO2294" t="str">
        <f>"הכנסות  מלקוחות"</f>
        <v>הכנסות  מלקוחות</v>
      </c>
      <c r="AQ2294" t="str">
        <f>"034"</f>
        <v>034</v>
      </c>
      <c r="AR2294">
        <v>0</v>
      </c>
      <c r="AS2294">
        <v>0</v>
      </c>
      <c r="AT2294">
        <v>3.2229999999999999</v>
      </c>
      <c r="AX2294" t="str">
        <f>"E000321177"</f>
        <v>E000321177</v>
      </c>
      <c r="BD2294" t="str">
        <f>"ערן שלו"</f>
        <v>ערן שלו</v>
      </c>
    </row>
    <row r="2295" spans="1:56" x14ac:dyDescent="0.3">
      <c r="A2295" s="1">
        <v>44423</v>
      </c>
      <c r="B2295" t="str">
        <f>"SI216001179"</f>
        <v>SI216001179</v>
      </c>
      <c r="C2295" t="str">
        <f>"PR20000834"</f>
        <v>PR20000834</v>
      </c>
      <c r="D2295" t="str">
        <f>"PR20000834"</f>
        <v>PR20000834</v>
      </c>
      <c r="E2295" t="str">
        <f>"Y"</f>
        <v>Y</v>
      </c>
      <c r="F2295" t="str">
        <f>"חשבוניות מרכזות"</f>
        <v>חשבוניות מרכזות</v>
      </c>
      <c r="G2295" t="str">
        <f>"700065"</f>
        <v>700065</v>
      </c>
      <c r="H2295" t="str">
        <f>"אלתא מערכות בע""מ"</f>
        <v>אלתא מערכות בע"מ</v>
      </c>
      <c r="I2295" t="str">
        <f>"10"</f>
        <v>10</v>
      </c>
      <c r="J2295" t="str">
        <f>"OP-AR02121"</f>
        <v>OP-AR02121</v>
      </c>
      <c r="K2295" t="str">
        <f>"1032F937-001/-   ETHERNET CABLE MFR-W937 - FILTE"</f>
        <v>1032F937-001/-   ETHERNET CABLE MFR-W937 - FILTE</v>
      </c>
      <c r="L2295">
        <v>4</v>
      </c>
      <c r="M2295" t="str">
        <f>"יח"</f>
        <v>יח</v>
      </c>
      <c r="N2295">
        <v>4</v>
      </c>
      <c r="O2295" t="str">
        <f>"יח"</f>
        <v>יח</v>
      </c>
      <c r="P2295">
        <v>174</v>
      </c>
      <c r="Q2295" t="str">
        <f>"$"</f>
        <v>$</v>
      </c>
      <c r="R2295" t="str">
        <f>"הזמנה"</f>
        <v>הזמנה</v>
      </c>
      <c r="S2295">
        <v>0</v>
      </c>
      <c r="T2295">
        <v>696</v>
      </c>
      <c r="U2295">
        <v>0</v>
      </c>
      <c r="V2295">
        <v>696</v>
      </c>
      <c r="W2295" t="str">
        <f>"$"</f>
        <v>$</v>
      </c>
      <c r="X2295">
        <v>0</v>
      </c>
      <c r="Y2295">
        <v>0</v>
      </c>
      <c r="Z2295">
        <v>0</v>
      </c>
      <c r="AA2295" t="str">
        <f>"Y"</f>
        <v>Y</v>
      </c>
      <c r="AB2295" t="str">
        <f>"SO20000532"</f>
        <v>SO20000532</v>
      </c>
      <c r="AC2295">
        <v>103</v>
      </c>
      <c r="AD2295" s="1">
        <v>44155</v>
      </c>
      <c r="AE2295" t="str">
        <f>"SH21001432"</f>
        <v>SH21001432</v>
      </c>
      <c r="AF2295" t="str">
        <f>"משלוחים ללקוח"</f>
        <v>משלוחים ללקוח</v>
      </c>
      <c r="AG2295" s="1">
        <v>44420</v>
      </c>
      <c r="AM2295" t="str">
        <f>"10"</f>
        <v>10</v>
      </c>
      <c r="AN2295" t="str">
        <f>"500000"</f>
        <v>500000</v>
      </c>
      <c r="AO2295" t="str">
        <f>"הכנסות  מלקוחות"</f>
        <v>הכנסות  מלקוחות</v>
      </c>
      <c r="AQ2295" t="str">
        <f>"034"</f>
        <v>034</v>
      </c>
      <c r="AR2295">
        <v>0</v>
      </c>
      <c r="AS2295">
        <v>0</v>
      </c>
      <c r="AT2295">
        <v>3.2229999999999999</v>
      </c>
      <c r="AX2295" t="str">
        <f>"E000321177"</f>
        <v>E000321177</v>
      </c>
      <c r="BD2295" t="str">
        <f>"ערן שלו"</f>
        <v>ערן שלו</v>
      </c>
    </row>
    <row r="2296" spans="1:56" x14ac:dyDescent="0.3">
      <c r="A2296" s="1">
        <v>44423</v>
      </c>
      <c r="B2296" t="str">
        <f>"SI216001179"</f>
        <v>SI216001179</v>
      </c>
      <c r="C2296" t="str">
        <f>"PR20000834"</f>
        <v>PR20000834</v>
      </c>
      <c r="D2296" t="str">
        <f>"PR20000834"</f>
        <v>PR20000834</v>
      </c>
      <c r="E2296" t="str">
        <f>"Y"</f>
        <v>Y</v>
      </c>
      <c r="F2296" t="str">
        <f>"חשבוניות מרכזות"</f>
        <v>חשבוניות מרכזות</v>
      </c>
      <c r="G2296" t="str">
        <f>"700065"</f>
        <v>700065</v>
      </c>
      <c r="H2296" t="str">
        <f>"אלתא מערכות בע""מ"</f>
        <v>אלתא מערכות בע"מ</v>
      </c>
      <c r="I2296" t="str">
        <f>"10"</f>
        <v>10</v>
      </c>
      <c r="J2296" t="str">
        <f>"OP-AR02122"</f>
        <v>OP-AR02122</v>
      </c>
      <c r="K2296" t="str">
        <f>"1032F938-001/-   ETHERNET CABLE MFR-W938 - FILTE"</f>
        <v>1032F938-001/-   ETHERNET CABLE MFR-W938 - FILTE</v>
      </c>
      <c r="L2296">
        <v>4</v>
      </c>
      <c r="M2296" t="str">
        <f>"יח"</f>
        <v>יח</v>
      </c>
      <c r="N2296">
        <v>4</v>
      </c>
      <c r="O2296" t="str">
        <f>"יח"</f>
        <v>יח</v>
      </c>
      <c r="P2296">
        <v>174</v>
      </c>
      <c r="Q2296" t="str">
        <f>"$"</f>
        <v>$</v>
      </c>
      <c r="R2296" t="str">
        <f>"הזמנה"</f>
        <v>הזמנה</v>
      </c>
      <c r="S2296">
        <v>0</v>
      </c>
      <c r="T2296">
        <v>696</v>
      </c>
      <c r="U2296">
        <v>0</v>
      </c>
      <c r="V2296">
        <v>696</v>
      </c>
      <c r="W2296" t="str">
        <f>"$"</f>
        <v>$</v>
      </c>
      <c r="X2296">
        <v>0</v>
      </c>
      <c r="Y2296">
        <v>0</v>
      </c>
      <c r="Z2296">
        <v>0</v>
      </c>
      <c r="AA2296" t="str">
        <f>"Y"</f>
        <v>Y</v>
      </c>
      <c r="AB2296" t="str">
        <f>"SO20000532"</f>
        <v>SO20000532</v>
      </c>
      <c r="AC2296">
        <v>108</v>
      </c>
      <c r="AD2296" s="1">
        <v>44155</v>
      </c>
      <c r="AE2296" t="str">
        <f>"SH21001432"</f>
        <v>SH21001432</v>
      </c>
      <c r="AF2296" t="str">
        <f>"משלוחים ללקוח"</f>
        <v>משלוחים ללקוח</v>
      </c>
      <c r="AG2296" s="1">
        <v>44420</v>
      </c>
      <c r="AM2296" t="str">
        <f>"10"</f>
        <v>10</v>
      </c>
      <c r="AN2296" t="str">
        <f>"500000"</f>
        <v>500000</v>
      </c>
      <c r="AO2296" t="str">
        <f>"הכנסות  מלקוחות"</f>
        <v>הכנסות  מלקוחות</v>
      </c>
      <c r="AQ2296" t="str">
        <f>"034"</f>
        <v>034</v>
      </c>
      <c r="AR2296">
        <v>0</v>
      </c>
      <c r="AS2296">
        <v>0</v>
      </c>
      <c r="AT2296">
        <v>3.2229999999999999</v>
      </c>
      <c r="AX2296" t="str">
        <f>"E000321177"</f>
        <v>E000321177</v>
      </c>
      <c r="BD2296" t="str">
        <f>"ערן שלו"</f>
        <v>ערן שלו</v>
      </c>
    </row>
    <row r="2297" spans="1:56" x14ac:dyDescent="0.3">
      <c r="A2297" s="1">
        <v>44423</v>
      </c>
      <c r="B2297" t="str">
        <f>"SI216001179"</f>
        <v>SI216001179</v>
      </c>
      <c r="C2297" t="str">
        <f>"PR20000834"</f>
        <v>PR20000834</v>
      </c>
      <c r="D2297" t="str">
        <f>"PR20000834"</f>
        <v>PR20000834</v>
      </c>
      <c r="E2297" t="str">
        <f>"Y"</f>
        <v>Y</v>
      </c>
      <c r="F2297" t="str">
        <f>"חשבוניות מרכזות"</f>
        <v>חשבוניות מרכזות</v>
      </c>
      <c r="G2297" t="str">
        <f>"700065"</f>
        <v>700065</v>
      </c>
      <c r="H2297" t="str">
        <f>"אלתא מערכות בע""מ"</f>
        <v>אלתא מערכות בע"מ</v>
      </c>
      <c r="I2297" t="str">
        <f>"10"</f>
        <v>10</v>
      </c>
      <c r="J2297" t="str">
        <f>"OP-AR02122"</f>
        <v>OP-AR02122</v>
      </c>
      <c r="K2297" t="str">
        <f>"1032F938-001/-   ETHERNET CABLE MFR-W938 - FILTE"</f>
        <v>1032F938-001/-   ETHERNET CABLE MFR-W938 - FILTE</v>
      </c>
      <c r="L2297">
        <v>4</v>
      </c>
      <c r="M2297" t="str">
        <f>"יח"</f>
        <v>יח</v>
      </c>
      <c r="N2297">
        <v>4</v>
      </c>
      <c r="O2297" t="str">
        <f>"יח"</f>
        <v>יח</v>
      </c>
      <c r="P2297">
        <v>174</v>
      </c>
      <c r="Q2297" t="str">
        <f>"$"</f>
        <v>$</v>
      </c>
      <c r="R2297" t="str">
        <f>"הזמנה"</f>
        <v>הזמנה</v>
      </c>
      <c r="S2297">
        <v>0</v>
      </c>
      <c r="T2297">
        <v>696</v>
      </c>
      <c r="U2297">
        <v>0</v>
      </c>
      <c r="V2297">
        <v>696</v>
      </c>
      <c r="W2297" t="str">
        <f>"$"</f>
        <v>$</v>
      </c>
      <c r="X2297">
        <v>0</v>
      </c>
      <c r="Y2297">
        <v>0</v>
      </c>
      <c r="Z2297">
        <v>0</v>
      </c>
      <c r="AA2297" t="str">
        <f>"Y"</f>
        <v>Y</v>
      </c>
      <c r="AB2297" t="str">
        <f>"SO20000532"</f>
        <v>SO20000532</v>
      </c>
      <c r="AC2297">
        <v>109</v>
      </c>
      <c r="AD2297" s="1">
        <v>44155</v>
      </c>
      <c r="AE2297" t="str">
        <f>"SH21001432"</f>
        <v>SH21001432</v>
      </c>
      <c r="AF2297" t="str">
        <f>"משלוחים ללקוח"</f>
        <v>משלוחים ללקוח</v>
      </c>
      <c r="AG2297" s="1">
        <v>44420</v>
      </c>
      <c r="AM2297" t="str">
        <f>"10"</f>
        <v>10</v>
      </c>
      <c r="AN2297" t="str">
        <f>"500000"</f>
        <v>500000</v>
      </c>
      <c r="AO2297" t="str">
        <f>"הכנסות  מלקוחות"</f>
        <v>הכנסות  מלקוחות</v>
      </c>
      <c r="AQ2297" t="str">
        <f>"034"</f>
        <v>034</v>
      </c>
      <c r="AR2297">
        <v>0</v>
      </c>
      <c r="AS2297">
        <v>0</v>
      </c>
      <c r="AT2297">
        <v>3.2229999999999999</v>
      </c>
      <c r="AX2297" t="str">
        <f>"E000321177"</f>
        <v>E000321177</v>
      </c>
      <c r="BD2297" t="str">
        <f>"ערן שלו"</f>
        <v>ערן שלו</v>
      </c>
    </row>
    <row r="2298" spans="1:56" x14ac:dyDescent="0.3">
      <c r="A2298" s="1">
        <v>44423</v>
      </c>
      <c r="B2298" t="str">
        <f>"SI216001179"</f>
        <v>SI216001179</v>
      </c>
      <c r="C2298" t="str">
        <f>"PR20000834"</f>
        <v>PR20000834</v>
      </c>
      <c r="D2298" t="str">
        <f>"PR20000834"</f>
        <v>PR20000834</v>
      </c>
      <c r="E2298" t="str">
        <f>"Y"</f>
        <v>Y</v>
      </c>
      <c r="F2298" t="str">
        <f>"חשבוניות מרכזות"</f>
        <v>חשבוניות מרכזות</v>
      </c>
      <c r="G2298" t="str">
        <f>"700065"</f>
        <v>700065</v>
      </c>
      <c r="H2298" t="str">
        <f>"אלתא מערכות בע""מ"</f>
        <v>אלתא מערכות בע"מ</v>
      </c>
      <c r="I2298" t="str">
        <f>"10"</f>
        <v>10</v>
      </c>
      <c r="J2298" t="str">
        <f>"OP-AR02123"</f>
        <v>OP-AR02123</v>
      </c>
      <c r="K2298" t="str">
        <f>"1032F939-001/-   ETHERNET CABLE MFR-W939 - FILTE"</f>
        <v>1032F939-001/-   ETHERNET CABLE MFR-W939 - FILTE</v>
      </c>
      <c r="L2298">
        <v>4</v>
      </c>
      <c r="M2298" t="str">
        <f>"יח"</f>
        <v>יח</v>
      </c>
      <c r="N2298">
        <v>4</v>
      </c>
      <c r="O2298" t="str">
        <f>"יח"</f>
        <v>יח</v>
      </c>
      <c r="P2298">
        <v>174</v>
      </c>
      <c r="Q2298" t="str">
        <f>"$"</f>
        <v>$</v>
      </c>
      <c r="R2298" t="str">
        <f>"הזמנה"</f>
        <v>הזמנה</v>
      </c>
      <c r="S2298">
        <v>0</v>
      </c>
      <c r="T2298">
        <v>696</v>
      </c>
      <c r="U2298">
        <v>0</v>
      </c>
      <c r="V2298">
        <v>696</v>
      </c>
      <c r="W2298" t="str">
        <f>"$"</f>
        <v>$</v>
      </c>
      <c r="X2298">
        <v>0</v>
      </c>
      <c r="Y2298">
        <v>0</v>
      </c>
      <c r="Z2298">
        <v>0</v>
      </c>
      <c r="AA2298" t="str">
        <f>"Y"</f>
        <v>Y</v>
      </c>
      <c r="AB2298" t="str">
        <f>"SO20000532"</f>
        <v>SO20000532</v>
      </c>
      <c r="AC2298">
        <v>114</v>
      </c>
      <c r="AD2298" s="1">
        <v>44155</v>
      </c>
      <c r="AE2298" t="str">
        <f>"SH21001432"</f>
        <v>SH21001432</v>
      </c>
      <c r="AF2298" t="str">
        <f>"משלוחים ללקוח"</f>
        <v>משלוחים ללקוח</v>
      </c>
      <c r="AG2298" s="1">
        <v>44420</v>
      </c>
      <c r="AM2298" t="str">
        <f>"10"</f>
        <v>10</v>
      </c>
      <c r="AN2298" t="str">
        <f>"500000"</f>
        <v>500000</v>
      </c>
      <c r="AO2298" t="str">
        <f>"הכנסות  מלקוחות"</f>
        <v>הכנסות  מלקוחות</v>
      </c>
      <c r="AQ2298" t="str">
        <f>"034"</f>
        <v>034</v>
      </c>
      <c r="AR2298">
        <v>0</v>
      </c>
      <c r="AS2298">
        <v>0</v>
      </c>
      <c r="AT2298">
        <v>3.2229999999999999</v>
      </c>
      <c r="AX2298" t="str">
        <f>"E000321177"</f>
        <v>E000321177</v>
      </c>
      <c r="BD2298" t="str">
        <f>"ערן שלו"</f>
        <v>ערן שלו</v>
      </c>
    </row>
    <row r="2299" spans="1:56" x14ac:dyDescent="0.3">
      <c r="A2299" s="1">
        <v>44423</v>
      </c>
      <c r="B2299" t="str">
        <f>"SI216001179"</f>
        <v>SI216001179</v>
      </c>
      <c r="C2299" t="str">
        <f>"PR20000834"</f>
        <v>PR20000834</v>
      </c>
      <c r="D2299" t="str">
        <f>"PR20000834"</f>
        <v>PR20000834</v>
      </c>
      <c r="E2299" t="str">
        <f>"Y"</f>
        <v>Y</v>
      </c>
      <c r="F2299" t="str">
        <f>"חשבוניות מרכזות"</f>
        <v>חשבוניות מרכזות</v>
      </c>
      <c r="G2299" t="str">
        <f>"700065"</f>
        <v>700065</v>
      </c>
      <c r="H2299" t="str">
        <f>"אלתא מערכות בע""מ"</f>
        <v>אלתא מערכות בע"מ</v>
      </c>
      <c r="I2299" t="str">
        <f>"10"</f>
        <v>10</v>
      </c>
      <c r="J2299" t="str">
        <f>"OP-AR02123"</f>
        <v>OP-AR02123</v>
      </c>
      <c r="K2299" t="str">
        <f>"1032F939-001/-   ETHERNET CABLE MFR-W939 - FILTE"</f>
        <v>1032F939-001/-   ETHERNET CABLE MFR-W939 - FILTE</v>
      </c>
      <c r="L2299">
        <v>4</v>
      </c>
      <c r="M2299" t="str">
        <f>"יח"</f>
        <v>יח</v>
      </c>
      <c r="N2299">
        <v>4</v>
      </c>
      <c r="O2299" t="str">
        <f>"יח"</f>
        <v>יח</v>
      </c>
      <c r="P2299">
        <v>174</v>
      </c>
      <c r="Q2299" t="str">
        <f>"$"</f>
        <v>$</v>
      </c>
      <c r="R2299" t="str">
        <f>"הזמנה"</f>
        <v>הזמנה</v>
      </c>
      <c r="S2299">
        <v>0</v>
      </c>
      <c r="T2299">
        <v>696</v>
      </c>
      <c r="U2299">
        <v>0</v>
      </c>
      <c r="V2299">
        <v>696</v>
      </c>
      <c r="W2299" t="str">
        <f>"$"</f>
        <v>$</v>
      </c>
      <c r="X2299">
        <v>0</v>
      </c>
      <c r="Y2299">
        <v>0</v>
      </c>
      <c r="Z2299">
        <v>0</v>
      </c>
      <c r="AA2299" t="str">
        <f>"Y"</f>
        <v>Y</v>
      </c>
      <c r="AB2299" t="str">
        <f>"SO20000532"</f>
        <v>SO20000532</v>
      </c>
      <c r="AC2299">
        <v>115</v>
      </c>
      <c r="AD2299" s="1">
        <v>44155</v>
      </c>
      <c r="AE2299" t="str">
        <f>"SH21001432"</f>
        <v>SH21001432</v>
      </c>
      <c r="AF2299" t="str">
        <f>"משלוחים ללקוח"</f>
        <v>משלוחים ללקוח</v>
      </c>
      <c r="AG2299" s="1">
        <v>44420</v>
      </c>
      <c r="AM2299" t="str">
        <f>"10"</f>
        <v>10</v>
      </c>
      <c r="AN2299" t="str">
        <f>"500000"</f>
        <v>500000</v>
      </c>
      <c r="AO2299" t="str">
        <f>"הכנסות  מלקוחות"</f>
        <v>הכנסות  מלקוחות</v>
      </c>
      <c r="AQ2299" t="str">
        <f>"034"</f>
        <v>034</v>
      </c>
      <c r="AR2299">
        <v>0</v>
      </c>
      <c r="AS2299">
        <v>0</v>
      </c>
      <c r="AT2299">
        <v>3.2229999999999999</v>
      </c>
      <c r="AX2299" t="str">
        <f>"E000321177"</f>
        <v>E000321177</v>
      </c>
      <c r="BD2299" t="str">
        <f>"ערן שלו"</f>
        <v>ערן שלו</v>
      </c>
    </row>
    <row r="2300" spans="1:56" x14ac:dyDescent="0.3">
      <c r="A2300" s="1">
        <v>44423</v>
      </c>
      <c r="B2300" t="str">
        <f>"SI216001179"</f>
        <v>SI216001179</v>
      </c>
      <c r="C2300" t="str">
        <f>"PR20000834"</f>
        <v>PR20000834</v>
      </c>
      <c r="D2300" t="str">
        <f>"PR20000834"</f>
        <v>PR20000834</v>
      </c>
      <c r="E2300" t="str">
        <f>"Y"</f>
        <v>Y</v>
      </c>
      <c r="F2300" t="str">
        <f>"חשבוניות מרכזות"</f>
        <v>חשבוניות מרכזות</v>
      </c>
      <c r="G2300" t="str">
        <f>"700065"</f>
        <v>700065</v>
      </c>
      <c r="H2300" t="str">
        <f>"אלתא מערכות בע""מ"</f>
        <v>אלתא מערכות בע"מ</v>
      </c>
      <c r="I2300" t="str">
        <f>"10"</f>
        <v>10</v>
      </c>
      <c r="J2300" t="str">
        <f>"OP-AR02124"</f>
        <v>OP-AR02124</v>
      </c>
      <c r="K2300" t="str">
        <f>"1032F940-001/-   ETHERNET CABLE MFR-W940 - FILTE"</f>
        <v>1032F940-001/-   ETHERNET CABLE MFR-W940 - FILTE</v>
      </c>
      <c r="L2300">
        <v>4</v>
      </c>
      <c r="M2300" t="str">
        <f>"יח"</f>
        <v>יח</v>
      </c>
      <c r="N2300">
        <v>4</v>
      </c>
      <c r="O2300" t="str">
        <f>"יח"</f>
        <v>יח</v>
      </c>
      <c r="P2300">
        <v>174</v>
      </c>
      <c r="Q2300" t="str">
        <f>"$"</f>
        <v>$</v>
      </c>
      <c r="R2300" t="str">
        <f>"הזמנה"</f>
        <v>הזמנה</v>
      </c>
      <c r="S2300">
        <v>0</v>
      </c>
      <c r="T2300">
        <v>696</v>
      </c>
      <c r="U2300">
        <v>0</v>
      </c>
      <c r="V2300">
        <v>696</v>
      </c>
      <c r="W2300" t="str">
        <f>"$"</f>
        <v>$</v>
      </c>
      <c r="X2300">
        <v>0</v>
      </c>
      <c r="Y2300">
        <v>0</v>
      </c>
      <c r="Z2300">
        <v>0</v>
      </c>
      <c r="AA2300" t="str">
        <f>"Y"</f>
        <v>Y</v>
      </c>
      <c r="AB2300" t="str">
        <f>"SO20000532"</f>
        <v>SO20000532</v>
      </c>
      <c r="AC2300">
        <v>120</v>
      </c>
      <c r="AD2300" s="1">
        <v>44155</v>
      </c>
      <c r="AE2300" t="str">
        <f>"SH21001432"</f>
        <v>SH21001432</v>
      </c>
      <c r="AF2300" t="str">
        <f>"משלוחים ללקוח"</f>
        <v>משלוחים ללקוח</v>
      </c>
      <c r="AG2300" s="1">
        <v>44420</v>
      </c>
      <c r="AM2300" t="str">
        <f>"10"</f>
        <v>10</v>
      </c>
      <c r="AN2300" t="str">
        <f>"500000"</f>
        <v>500000</v>
      </c>
      <c r="AO2300" t="str">
        <f>"הכנסות  מלקוחות"</f>
        <v>הכנסות  מלקוחות</v>
      </c>
      <c r="AQ2300" t="str">
        <f>"034"</f>
        <v>034</v>
      </c>
      <c r="AR2300">
        <v>0</v>
      </c>
      <c r="AS2300">
        <v>0</v>
      </c>
      <c r="AT2300">
        <v>3.2229999999999999</v>
      </c>
      <c r="AX2300" t="str">
        <f>"E000321177"</f>
        <v>E000321177</v>
      </c>
      <c r="BD2300" t="str">
        <f>"ערן שלו"</f>
        <v>ערן שלו</v>
      </c>
    </row>
    <row r="2301" spans="1:56" x14ac:dyDescent="0.3">
      <c r="A2301" s="1">
        <v>44423</v>
      </c>
      <c r="B2301" t="str">
        <f>"SI216001179"</f>
        <v>SI216001179</v>
      </c>
      <c r="C2301" t="str">
        <f>"PR20000834"</f>
        <v>PR20000834</v>
      </c>
      <c r="D2301" t="str">
        <f>"PR20000834"</f>
        <v>PR20000834</v>
      </c>
      <c r="E2301" t="str">
        <f>"Y"</f>
        <v>Y</v>
      </c>
      <c r="F2301" t="str">
        <f>"חשבוניות מרכזות"</f>
        <v>חשבוניות מרכזות</v>
      </c>
      <c r="G2301" t="str">
        <f>"700065"</f>
        <v>700065</v>
      </c>
      <c r="H2301" t="str">
        <f>"אלתא מערכות בע""מ"</f>
        <v>אלתא מערכות בע"מ</v>
      </c>
      <c r="I2301" t="str">
        <f>"10"</f>
        <v>10</v>
      </c>
      <c r="J2301" t="str">
        <f>"OP-AR02124"</f>
        <v>OP-AR02124</v>
      </c>
      <c r="K2301" t="str">
        <f>"1032F940-001/-   ETHERNET CABLE MFR-W940 - FILTE"</f>
        <v>1032F940-001/-   ETHERNET CABLE MFR-W940 - FILTE</v>
      </c>
      <c r="L2301">
        <v>4</v>
      </c>
      <c r="M2301" t="str">
        <f>"יח"</f>
        <v>יח</v>
      </c>
      <c r="N2301">
        <v>4</v>
      </c>
      <c r="O2301" t="str">
        <f>"יח"</f>
        <v>יח</v>
      </c>
      <c r="P2301">
        <v>174</v>
      </c>
      <c r="Q2301" t="str">
        <f>"$"</f>
        <v>$</v>
      </c>
      <c r="R2301" t="str">
        <f>"הזמנה"</f>
        <v>הזמנה</v>
      </c>
      <c r="S2301">
        <v>0</v>
      </c>
      <c r="T2301">
        <v>696</v>
      </c>
      <c r="U2301">
        <v>0</v>
      </c>
      <c r="V2301">
        <v>696</v>
      </c>
      <c r="W2301" t="str">
        <f>"$"</f>
        <v>$</v>
      </c>
      <c r="X2301">
        <v>0</v>
      </c>
      <c r="Y2301">
        <v>0</v>
      </c>
      <c r="Z2301">
        <v>0</v>
      </c>
      <c r="AA2301" t="str">
        <f>"Y"</f>
        <v>Y</v>
      </c>
      <c r="AB2301" t="str">
        <f>"SO20000532"</f>
        <v>SO20000532</v>
      </c>
      <c r="AC2301">
        <v>121</v>
      </c>
      <c r="AD2301" s="1">
        <v>44155</v>
      </c>
      <c r="AE2301" t="str">
        <f>"SH21001432"</f>
        <v>SH21001432</v>
      </c>
      <c r="AF2301" t="str">
        <f>"משלוחים ללקוח"</f>
        <v>משלוחים ללקוח</v>
      </c>
      <c r="AG2301" s="1">
        <v>44420</v>
      </c>
      <c r="AM2301" t="str">
        <f>"10"</f>
        <v>10</v>
      </c>
      <c r="AN2301" t="str">
        <f>"500000"</f>
        <v>500000</v>
      </c>
      <c r="AO2301" t="str">
        <f>"הכנסות  מלקוחות"</f>
        <v>הכנסות  מלקוחות</v>
      </c>
      <c r="AQ2301" t="str">
        <f>"034"</f>
        <v>034</v>
      </c>
      <c r="AR2301">
        <v>0</v>
      </c>
      <c r="AS2301">
        <v>0</v>
      </c>
      <c r="AT2301">
        <v>3.2229999999999999</v>
      </c>
      <c r="AX2301" t="str">
        <f>"E000321177"</f>
        <v>E000321177</v>
      </c>
      <c r="BD2301" t="str">
        <f>"ערן שלו"</f>
        <v>ערן שלו</v>
      </c>
    </row>
    <row r="2302" spans="1:56" x14ac:dyDescent="0.3">
      <c r="A2302" s="1">
        <v>44423</v>
      </c>
      <c r="B2302" t="str">
        <f>"SI216001179"</f>
        <v>SI216001179</v>
      </c>
      <c r="C2302" t="str">
        <f>"PR20000834"</f>
        <v>PR20000834</v>
      </c>
      <c r="D2302" t="str">
        <f>"PR20000834"</f>
        <v>PR20000834</v>
      </c>
      <c r="E2302" t="str">
        <f>"Y"</f>
        <v>Y</v>
      </c>
      <c r="F2302" t="str">
        <f>"חשבוניות מרכזות"</f>
        <v>חשבוניות מרכזות</v>
      </c>
      <c r="G2302" t="str">
        <f>"700065"</f>
        <v>700065</v>
      </c>
      <c r="H2302" t="str">
        <f>"אלתא מערכות בע""מ"</f>
        <v>אלתא מערכות בע"מ</v>
      </c>
      <c r="I2302" t="str">
        <f>"10"</f>
        <v>10</v>
      </c>
      <c r="J2302" t="str">
        <f>"OP-AR02125"</f>
        <v>OP-AR02125</v>
      </c>
      <c r="K2302" t="str">
        <f>"1032F941-001/-   ETHERNET CABLE MFR-W941 - FILTE"</f>
        <v>1032F941-001/-   ETHERNET CABLE MFR-W941 - FILTE</v>
      </c>
      <c r="L2302">
        <v>4</v>
      </c>
      <c r="M2302" t="str">
        <f>"יח"</f>
        <v>יח</v>
      </c>
      <c r="N2302">
        <v>4</v>
      </c>
      <c r="O2302" t="str">
        <f>"יח"</f>
        <v>יח</v>
      </c>
      <c r="P2302">
        <v>174</v>
      </c>
      <c r="Q2302" t="str">
        <f>"$"</f>
        <v>$</v>
      </c>
      <c r="R2302" t="str">
        <f>"הזמנה"</f>
        <v>הזמנה</v>
      </c>
      <c r="S2302">
        <v>0</v>
      </c>
      <c r="T2302">
        <v>696</v>
      </c>
      <c r="U2302">
        <v>0</v>
      </c>
      <c r="V2302">
        <v>696</v>
      </c>
      <c r="W2302" t="str">
        <f>"$"</f>
        <v>$</v>
      </c>
      <c r="X2302">
        <v>0</v>
      </c>
      <c r="Y2302">
        <v>0</v>
      </c>
      <c r="Z2302">
        <v>0</v>
      </c>
      <c r="AA2302" t="str">
        <f>"Y"</f>
        <v>Y</v>
      </c>
      <c r="AB2302" t="str">
        <f>"SO20000532"</f>
        <v>SO20000532</v>
      </c>
      <c r="AC2302">
        <v>126</v>
      </c>
      <c r="AD2302" s="1">
        <v>44155</v>
      </c>
      <c r="AE2302" t="str">
        <f>"SH21001432"</f>
        <v>SH21001432</v>
      </c>
      <c r="AF2302" t="str">
        <f>"משלוחים ללקוח"</f>
        <v>משלוחים ללקוח</v>
      </c>
      <c r="AG2302" s="1">
        <v>44420</v>
      </c>
      <c r="AM2302" t="str">
        <f>"10"</f>
        <v>10</v>
      </c>
      <c r="AN2302" t="str">
        <f>"500000"</f>
        <v>500000</v>
      </c>
      <c r="AO2302" t="str">
        <f>"הכנסות  מלקוחות"</f>
        <v>הכנסות  מלקוחות</v>
      </c>
      <c r="AQ2302" t="str">
        <f>"034"</f>
        <v>034</v>
      </c>
      <c r="AR2302">
        <v>0</v>
      </c>
      <c r="AS2302">
        <v>0</v>
      </c>
      <c r="AT2302">
        <v>3.2229999999999999</v>
      </c>
      <c r="AX2302" t="str">
        <f>"E000321177"</f>
        <v>E000321177</v>
      </c>
      <c r="BD2302" t="str">
        <f>"ערן שלו"</f>
        <v>ערן שלו</v>
      </c>
    </row>
    <row r="2303" spans="1:56" x14ac:dyDescent="0.3">
      <c r="A2303" s="1">
        <v>44423</v>
      </c>
      <c r="B2303" t="str">
        <f>"SI216001179"</f>
        <v>SI216001179</v>
      </c>
      <c r="C2303" t="str">
        <f>"PR20000834"</f>
        <v>PR20000834</v>
      </c>
      <c r="D2303" t="str">
        <f>"PR20000834"</f>
        <v>PR20000834</v>
      </c>
      <c r="E2303" t="str">
        <f>"Y"</f>
        <v>Y</v>
      </c>
      <c r="F2303" t="str">
        <f>"חשבוניות מרכזות"</f>
        <v>חשבוניות מרכזות</v>
      </c>
      <c r="G2303" t="str">
        <f>"700065"</f>
        <v>700065</v>
      </c>
      <c r="H2303" t="str">
        <f>"אלתא מערכות בע""מ"</f>
        <v>אלתא מערכות בע"מ</v>
      </c>
      <c r="I2303" t="str">
        <f>"10"</f>
        <v>10</v>
      </c>
      <c r="J2303" t="str">
        <f>"OP-AR02125"</f>
        <v>OP-AR02125</v>
      </c>
      <c r="K2303" t="str">
        <f>"1032F941-001/-   ETHERNET CABLE MFR-W941 - FILTE"</f>
        <v>1032F941-001/-   ETHERNET CABLE MFR-W941 - FILTE</v>
      </c>
      <c r="L2303">
        <v>4</v>
      </c>
      <c r="M2303" t="str">
        <f>"יח"</f>
        <v>יח</v>
      </c>
      <c r="N2303">
        <v>4</v>
      </c>
      <c r="O2303" t="str">
        <f>"יח"</f>
        <v>יח</v>
      </c>
      <c r="P2303">
        <v>174</v>
      </c>
      <c r="Q2303" t="str">
        <f>"$"</f>
        <v>$</v>
      </c>
      <c r="R2303" t="str">
        <f>"הזמנה"</f>
        <v>הזמנה</v>
      </c>
      <c r="S2303">
        <v>0</v>
      </c>
      <c r="T2303">
        <v>696</v>
      </c>
      <c r="U2303">
        <v>0</v>
      </c>
      <c r="V2303">
        <v>696</v>
      </c>
      <c r="W2303" t="str">
        <f>"$"</f>
        <v>$</v>
      </c>
      <c r="X2303">
        <v>0</v>
      </c>
      <c r="Y2303">
        <v>0</v>
      </c>
      <c r="Z2303">
        <v>0</v>
      </c>
      <c r="AA2303" t="str">
        <f>"Y"</f>
        <v>Y</v>
      </c>
      <c r="AB2303" t="str">
        <f>"SO20000532"</f>
        <v>SO20000532</v>
      </c>
      <c r="AC2303">
        <v>127</v>
      </c>
      <c r="AD2303" s="1">
        <v>44155</v>
      </c>
      <c r="AE2303" t="str">
        <f>"SH21001432"</f>
        <v>SH21001432</v>
      </c>
      <c r="AF2303" t="str">
        <f>"משלוחים ללקוח"</f>
        <v>משלוחים ללקוח</v>
      </c>
      <c r="AG2303" s="1">
        <v>44420</v>
      </c>
      <c r="AM2303" t="str">
        <f>"10"</f>
        <v>10</v>
      </c>
      <c r="AN2303" t="str">
        <f>"500000"</f>
        <v>500000</v>
      </c>
      <c r="AO2303" t="str">
        <f>"הכנסות  מלקוחות"</f>
        <v>הכנסות  מלקוחות</v>
      </c>
      <c r="AQ2303" t="str">
        <f>"034"</f>
        <v>034</v>
      </c>
      <c r="AR2303">
        <v>0</v>
      </c>
      <c r="AS2303">
        <v>0</v>
      </c>
      <c r="AT2303">
        <v>3.2229999999999999</v>
      </c>
      <c r="AX2303" t="str">
        <f>"E000321177"</f>
        <v>E000321177</v>
      </c>
      <c r="BD2303" t="str">
        <f>"ערן שלו"</f>
        <v>ערן שלו</v>
      </c>
    </row>
    <row r="2304" spans="1:56" x14ac:dyDescent="0.3">
      <c r="A2304" s="1">
        <v>44423</v>
      </c>
      <c r="B2304" t="str">
        <f>"SI216001179"</f>
        <v>SI216001179</v>
      </c>
      <c r="C2304" t="str">
        <f>"PR20000834"</f>
        <v>PR20000834</v>
      </c>
      <c r="D2304" t="str">
        <f>"PR20000834"</f>
        <v>PR20000834</v>
      </c>
      <c r="E2304" t="str">
        <f>"Y"</f>
        <v>Y</v>
      </c>
      <c r="F2304" t="str">
        <f>"חשבוניות מרכזות"</f>
        <v>חשבוניות מרכזות</v>
      </c>
      <c r="G2304" t="str">
        <f>"700065"</f>
        <v>700065</v>
      </c>
      <c r="H2304" t="str">
        <f>"אלתא מערכות בע""מ"</f>
        <v>אלתא מערכות בע"מ</v>
      </c>
      <c r="I2304" t="str">
        <f>"10"</f>
        <v>10</v>
      </c>
      <c r="J2304" t="str">
        <f>"OP-AR02126"</f>
        <v>OP-AR02126</v>
      </c>
      <c r="K2304" t="str">
        <f>"1032F942-001/-   ETHERNET CABLE MFR-W942 - FILTE"</f>
        <v>1032F942-001/-   ETHERNET CABLE MFR-W942 - FILTE</v>
      </c>
      <c r="L2304">
        <v>4</v>
      </c>
      <c r="M2304" t="str">
        <f>"יח"</f>
        <v>יח</v>
      </c>
      <c r="N2304">
        <v>4</v>
      </c>
      <c r="O2304" t="str">
        <f>"יח"</f>
        <v>יח</v>
      </c>
      <c r="P2304">
        <v>174</v>
      </c>
      <c r="Q2304" t="str">
        <f>"$"</f>
        <v>$</v>
      </c>
      <c r="R2304" t="str">
        <f>"הזמנה"</f>
        <v>הזמנה</v>
      </c>
      <c r="S2304">
        <v>0</v>
      </c>
      <c r="T2304">
        <v>696</v>
      </c>
      <c r="U2304">
        <v>0</v>
      </c>
      <c r="V2304">
        <v>696</v>
      </c>
      <c r="W2304" t="str">
        <f>"$"</f>
        <v>$</v>
      </c>
      <c r="X2304">
        <v>0</v>
      </c>
      <c r="Y2304">
        <v>0</v>
      </c>
      <c r="Z2304">
        <v>0</v>
      </c>
      <c r="AA2304" t="str">
        <f>"Y"</f>
        <v>Y</v>
      </c>
      <c r="AB2304" t="str">
        <f>"SO20000532"</f>
        <v>SO20000532</v>
      </c>
      <c r="AC2304">
        <v>132</v>
      </c>
      <c r="AD2304" s="1">
        <v>44155</v>
      </c>
      <c r="AE2304" t="str">
        <f>"SH21001432"</f>
        <v>SH21001432</v>
      </c>
      <c r="AF2304" t="str">
        <f>"משלוחים ללקוח"</f>
        <v>משלוחים ללקוח</v>
      </c>
      <c r="AG2304" s="1">
        <v>44420</v>
      </c>
      <c r="AM2304" t="str">
        <f>"10"</f>
        <v>10</v>
      </c>
      <c r="AN2304" t="str">
        <f>"500000"</f>
        <v>500000</v>
      </c>
      <c r="AO2304" t="str">
        <f>"הכנסות  מלקוחות"</f>
        <v>הכנסות  מלקוחות</v>
      </c>
      <c r="AQ2304" t="str">
        <f>"034"</f>
        <v>034</v>
      </c>
      <c r="AR2304">
        <v>0</v>
      </c>
      <c r="AS2304">
        <v>0</v>
      </c>
      <c r="AT2304">
        <v>3.2229999999999999</v>
      </c>
      <c r="AX2304" t="str">
        <f>"E000321177"</f>
        <v>E000321177</v>
      </c>
      <c r="BD2304" t="str">
        <f>"ערן שלו"</f>
        <v>ערן שלו</v>
      </c>
    </row>
    <row r="2305" spans="1:56" x14ac:dyDescent="0.3">
      <c r="A2305" s="1">
        <v>44423</v>
      </c>
      <c r="B2305" t="str">
        <f>"SI216001179"</f>
        <v>SI216001179</v>
      </c>
      <c r="C2305" t="str">
        <f>"PR20000834"</f>
        <v>PR20000834</v>
      </c>
      <c r="D2305" t="str">
        <f>"PR20000834"</f>
        <v>PR20000834</v>
      </c>
      <c r="E2305" t="str">
        <f>"Y"</f>
        <v>Y</v>
      </c>
      <c r="F2305" t="str">
        <f>"חשבוניות מרכזות"</f>
        <v>חשבוניות מרכזות</v>
      </c>
      <c r="G2305" t="str">
        <f>"700065"</f>
        <v>700065</v>
      </c>
      <c r="H2305" t="str">
        <f>"אלתא מערכות בע""מ"</f>
        <v>אלתא מערכות בע"מ</v>
      </c>
      <c r="I2305" t="str">
        <f>"10"</f>
        <v>10</v>
      </c>
      <c r="J2305" t="str">
        <f>"OP-AR02126"</f>
        <v>OP-AR02126</v>
      </c>
      <c r="K2305" t="str">
        <f>"1032F942-001/-   ETHERNET CABLE MFR-W942 - FILTE"</f>
        <v>1032F942-001/-   ETHERNET CABLE MFR-W942 - FILTE</v>
      </c>
      <c r="L2305">
        <v>4</v>
      </c>
      <c r="M2305" t="str">
        <f>"יח"</f>
        <v>יח</v>
      </c>
      <c r="N2305">
        <v>4</v>
      </c>
      <c r="O2305" t="str">
        <f>"יח"</f>
        <v>יח</v>
      </c>
      <c r="P2305">
        <v>174</v>
      </c>
      <c r="Q2305" t="str">
        <f>"$"</f>
        <v>$</v>
      </c>
      <c r="R2305" t="str">
        <f>"הזמנה"</f>
        <v>הזמנה</v>
      </c>
      <c r="S2305">
        <v>0</v>
      </c>
      <c r="T2305">
        <v>696</v>
      </c>
      <c r="U2305">
        <v>0</v>
      </c>
      <c r="V2305">
        <v>696</v>
      </c>
      <c r="W2305" t="str">
        <f>"$"</f>
        <v>$</v>
      </c>
      <c r="X2305">
        <v>0</v>
      </c>
      <c r="Y2305">
        <v>0</v>
      </c>
      <c r="Z2305">
        <v>0</v>
      </c>
      <c r="AA2305" t="str">
        <f>"Y"</f>
        <v>Y</v>
      </c>
      <c r="AB2305" t="str">
        <f>"SO20000532"</f>
        <v>SO20000532</v>
      </c>
      <c r="AC2305">
        <v>133</v>
      </c>
      <c r="AD2305" s="1">
        <v>44155</v>
      </c>
      <c r="AE2305" t="str">
        <f>"SH21001432"</f>
        <v>SH21001432</v>
      </c>
      <c r="AF2305" t="str">
        <f>"משלוחים ללקוח"</f>
        <v>משלוחים ללקוח</v>
      </c>
      <c r="AG2305" s="1">
        <v>44420</v>
      </c>
      <c r="AM2305" t="str">
        <f>"10"</f>
        <v>10</v>
      </c>
      <c r="AN2305" t="str">
        <f>"500000"</f>
        <v>500000</v>
      </c>
      <c r="AO2305" t="str">
        <f>"הכנסות  מלקוחות"</f>
        <v>הכנסות  מלקוחות</v>
      </c>
      <c r="AQ2305" t="str">
        <f>"034"</f>
        <v>034</v>
      </c>
      <c r="AR2305">
        <v>0</v>
      </c>
      <c r="AS2305">
        <v>0</v>
      </c>
      <c r="AT2305">
        <v>3.2229999999999999</v>
      </c>
      <c r="AX2305" t="str">
        <f>"E000321177"</f>
        <v>E000321177</v>
      </c>
      <c r="BD2305" t="str">
        <f>"ערן שלו"</f>
        <v>ערן שלו</v>
      </c>
    </row>
    <row r="2306" spans="1:56" x14ac:dyDescent="0.3">
      <c r="A2306" s="1">
        <v>44423</v>
      </c>
      <c r="B2306" t="str">
        <f>"SI216001179"</f>
        <v>SI216001179</v>
      </c>
      <c r="C2306" t="str">
        <f>"PR20000834"</f>
        <v>PR20000834</v>
      </c>
      <c r="D2306" t="str">
        <f>"PR20000834"</f>
        <v>PR20000834</v>
      </c>
      <c r="E2306" t="str">
        <f>"Y"</f>
        <v>Y</v>
      </c>
      <c r="F2306" t="str">
        <f>"חשבוניות מרכזות"</f>
        <v>חשבוניות מרכזות</v>
      </c>
      <c r="G2306" t="str">
        <f>"700065"</f>
        <v>700065</v>
      </c>
      <c r="H2306" t="str">
        <f>"אלתא מערכות בע""מ"</f>
        <v>אלתא מערכות בע"מ</v>
      </c>
      <c r="I2306" t="str">
        <f>"10"</f>
        <v>10</v>
      </c>
      <c r="J2306" t="str">
        <f>"OP-AR02127"</f>
        <v>OP-AR02127</v>
      </c>
      <c r="K2306" t="str">
        <f>"1032F943-001/-   ETHERNET CABLE MFR-W943 - FILTE"</f>
        <v>1032F943-001/-   ETHERNET CABLE MFR-W943 - FILTE</v>
      </c>
      <c r="L2306">
        <v>4</v>
      </c>
      <c r="M2306" t="str">
        <f>"יח"</f>
        <v>יח</v>
      </c>
      <c r="N2306">
        <v>4</v>
      </c>
      <c r="O2306" t="str">
        <f>"יח"</f>
        <v>יח</v>
      </c>
      <c r="P2306">
        <v>174</v>
      </c>
      <c r="Q2306" t="str">
        <f>"$"</f>
        <v>$</v>
      </c>
      <c r="R2306" t="str">
        <f>"הזמנה"</f>
        <v>הזמנה</v>
      </c>
      <c r="S2306">
        <v>0</v>
      </c>
      <c r="T2306">
        <v>696</v>
      </c>
      <c r="U2306">
        <v>0</v>
      </c>
      <c r="V2306">
        <v>696</v>
      </c>
      <c r="W2306" t="str">
        <f>"$"</f>
        <v>$</v>
      </c>
      <c r="X2306">
        <v>0</v>
      </c>
      <c r="Y2306">
        <v>0</v>
      </c>
      <c r="Z2306">
        <v>0</v>
      </c>
      <c r="AA2306" t="str">
        <f>"Y"</f>
        <v>Y</v>
      </c>
      <c r="AB2306" t="str">
        <f>"SO20000532"</f>
        <v>SO20000532</v>
      </c>
      <c r="AC2306">
        <v>138</v>
      </c>
      <c r="AD2306" s="1">
        <v>44155</v>
      </c>
      <c r="AE2306" t="str">
        <f>"SH21001432"</f>
        <v>SH21001432</v>
      </c>
      <c r="AF2306" t="str">
        <f>"משלוחים ללקוח"</f>
        <v>משלוחים ללקוח</v>
      </c>
      <c r="AG2306" s="1">
        <v>44420</v>
      </c>
      <c r="AM2306" t="str">
        <f>"10"</f>
        <v>10</v>
      </c>
      <c r="AN2306" t="str">
        <f>"500000"</f>
        <v>500000</v>
      </c>
      <c r="AO2306" t="str">
        <f>"הכנסות  מלקוחות"</f>
        <v>הכנסות  מלקוחות</v>
      </c>
      <c r="AQ2306" t="str">
        <f>"034"</f>
        <v>034</v>
      </c>
      <c r="AR2306">
        <v>0</v>
      </c>
      <c r="AS2306">
        <v>0</v>
      </c>
      <c r="AT2306">
        <v>3.2229999999999999</v>
      </c>
      <c r="AX2306" t="str">
        <f>"E000321177"</f>
        <v>E000321177</v>
      </c>
      <c r="BD2306" t="str">
        <f>"ערן שלו"</f>
        <v>ערן שלו</v>
      </c>
    </row>
    <row r="2307" spans="1:56" x14ac:dyDescent="0.3">
      <c r="A2307" s="1">
        <v>44423</v>
      </c>
      <c r="B2307" t="str">
        <f>"SI216001179"</f>
        <v>SI216001179</v>
      </c>
      <c r="C2307" t="str">
        <f>"PR20000834"</f>
        <v>PR20000834</v>
      </c>
      <c r="D2307" t="str">
        <f>"PR20000834"</f>
        <v>PR20000834</v>
      </c>
      <c r="E2307" t="str">
        <f>"Y"</f>
        <v>Y</v>
      </c>
      <c r="F2307" t="str">
        <f>"חשבוניות מרכזות"</f>
        <v>חשבוניות מרכזות</v>
      </c>
      <c r="G2307" t="str">
        <f>"700065"</f>
        <v>700065</v>
      </c>
      <c r="H2307" t="str">
        <f>"אלתא מערכות בע""מ"</f>
        <v>אלתא מערכות בע"מ</v>
      </c>
      <c r="I2307" t="str">
        <f>"10"</f>
        <v>10</v>
      </c>
      <c r="J2307" t="str">
        <f>"OP-AR02127"</f>
        <v>OP-AR02127</v>
      </c>
      <c r="K2307" t="str">
        <f>"1032F943-001/-   ETHERNET CABLE MFR-W943 - FILTE"</f>
        <v>1032F943-001/-   ETHERNET CABLE MFR-W943 - FILTE</v>
      </c>
      <c r="L2307">
        <v>4</v>
      </c>
      <c r="M2307" t="str">
        <f>"יח"</f>
        <v>יח</v>
      </c>
      <c r="N2307">
        <v>4</v>
      </c>
      <c r="O2307" t="str">
        <f>"יח"</f>
        <v>יח</v>
      </c>
      <c r="P2307">
        <v>174</v>
      </c>
      <c r="Q2307" t="str">
        <f>"$"</f>
        <v>$</v>
      </c>
      <c r="R2307" t="str">
        <f>"הזמנה"</f>
        <v>הזמנה</v>
      </c>
      <c r="S2307">
        <v>0</v>
      </c>
      <c r="T2307">
        <v>696</v>
      </c>
      <c r="U2307">
        <v>0</v>
      </c>
      <c r="V2307">
        <v>696</v>
      </c>
      <c r="W2307" t="str">
        <f>"$"</f>
        <v>$</v>
      </c>
      <c r="X2307">
        <v>0</v>
      </c>
      <c r="Y2307">
        <v>0</v>
      </c>
      <c r="Z2307">
        <v>0</v>
      </c>
      <c r="AA2307" t="str">
        <f>"Y"</f>
        <v>Y</v>
      </c>
      <c r="AB2307" t="str">
        <f>"SO20000532"</f>
        <v>SO20000532</v>
      </c>
      <c r="AC2307">
        <v>139</v>
      </c>
      <c r="AD2307" s="1">
        <v>44155</v>
      </c>
      <c r="AE2307" t="str">
        <f>"SH21001432"</f>
        <v>SH21001432</v>
      </c>
      <c r="AF2307" t="str">
        <f>"משלוחים ללקוח"</f>
        <v>משלוחים ללקוח</v>
      </c>
      <c r="AG2307" s="1">
        <v>44420</v>
      </c>
      <c r="AM2307" t="str">
        <f>"10"</f>
        <v>10</v>
      </c>
      <c r="AN2307" t="str">
        <f>"500000"</f>
        <v>500000</v>
      </c>
      <c r="AO2307" t="str">
        <f>"הכנסות  מלקוחות"</f>
        <v>הכנסות  מלקוחות</v>
      </c>
      <c r="AQ2307" t="str">
        <f>"034"</f>
        <v>034</v>
      </c>
      <c r="AR2307">
        <v>0</v>
      </c>
      <c r="AS2307">
        <v>0</v>
      </c>
      <c r="AT2307">
        <v>3.2229999999999999</v>
      </c>
      <c r="AX2307" t="str">
        <f>"E000321177"</f>
        <v>E000321177</v>
      </c>
      <c r="BD2307" t="str">
        <f>"ערן שלו"</f>
        <v>ערן שלו</v>
      </c>
    </row>
    <row r="2308" spans="1:56" x14ac:dyDescent="0.3">
      <c r="A2308" s="1">
        <v>44423</v>
      </c>
      <c r="B2308" t="str">
        <f>"SI216001179"</f>
        <v>SI216001179</v>
      </c>
      <c r="C2308" t="str">
        <f>"PR20000834"</f>
        <v>PR20000834</v>
      </c>
      <c r="D2308" t="str">
        <f>"PR20000834"</f>
        <v>PR20000834</v>
      </c>
      <c r="E2308" t="str">
        <f>"Y"</f>
        <v>Y</v>
      </c>
      <c r="F2308" t="str">
        <f>"חשבוניות מרכזות"</f>
        <v>חשבוניות מרכזות</v>
      </c>
      <c r="G2308" t="str">
        <f>"700065"</f>
        <v>700065</v>
      </c>
      <c r="H2308" t="str">
        <f>"אלתא מערכות בע""מ"</f>
        <v>אלתא מערכות בע"מ</v>
      </c>
      <c r="I2308" t="str">
        <f>"10"</f>
        <v>10</v>
      </c>
      <c r="J2308" t="str">
        <f>"OP-AR02128"</f>
        <v>OP-AR02128</v>
      </c>
      <c r="K2308" t="str">
        <f>"1032F944-001/-   ETHERNET CABLE MFR-W944 - FILTE"</f>
        <v>1032F944-001/-   ETHERNET CABLE MFR-W944 - FILTE</v>
      </c>
      <c r="L2308">
        <v>4</v>
      </c>
      <c r="M2308" t="str">
        <f>"יח"</f>
        <v>יח</v>
      </c>
      <c r="N2308">
        <v>4</v>
      </c>
      <c r="O2308" t="str">
        <f>"יח"</f>
        <v>יח</v>
      </c>
      <c r="P2308">
        <v>174</v>
      </c>
      <c r="Q2308" t="str">
        <f>"$"</f>
        <v>$</v>
      </c>
      <c r="R2308" t="str">
        <f>"הזמנה"</f>
        <v>הזמנה</v>
      </c>
      <c r="S2308">
        <v>0</v>
      </c>
      <c r="T2308">
        <v>696</v>
      </c>
      <c r="U2308">
        <v>0</v>
      </c>
      <c r="V2308">
        <v>696</v>
      </c>
      <c r="W2308" t="str">
        <f>"$"</f>
        <v>$</v>
      </c>
      <c r="X2308">
        <v>0</v>
      </c>
      <c r="Y2308">
        <v>0</v>
      </c>
      <c r="Z2308">
        <v>0</v>
      </c>
      <c r="AA2308" t="str">
        <f>"Y"</f>
        <v>Y</v>
      </c>
      <c r="AB2308" t="str">
        <f>"SO20000532"</f>
        <v>SO20000532</v>
      </c>
      <c r="AC2308">
        <v>144</v>
      </c>
      <c r="AD2308" s="1">
        <v>44155</v>
      </c>
      <c r="AE2308" t="str">
        <f>"SH21001432"</f>
        <v>SH21001432</v>
      </c>
      <c r="AF2308" t="str">
        <f>"משלוחים ללקוח"</f>
        <v>משלוחים ללקוח</v>
      </c>
      <c r="AG2308" s="1">
        <v>44420</v>
      </c>
      <c r="AM2308" t="str">
        <f>"10"</f>
        <v>10</v>
      </c>
      <c r="AN2308" t="str">
        <f>"500000"</f>
        <v>500000</v>
      </c>
      <c r="AO2308" t="str">
        <f>"הכנסות  מלקוחות"</f>
        <v>הכנסות  מלקוחות</v>
      </c>
      <c r="AQ2308" t="str">
        <f>"034"</f>
        <v>034</v>
      </c>
      <c r="AR2308">
        <v>0</v>
      </c>
      <c r="AS2308">
        <v>0</v>
      </c>
      <c r="AT2308">
        <v>3.2229999999999999</v>
      </c>
      <c r="AX2308" t="str">
        <f>"E000321177"</f>
        <v>E000321177</v>
      </c>
      <c r="BD2308" t="str">
        <f>"ערן שלו"</f>
        <v>ערן שלו</v>
      </c>
    </row>
    <row r="2309" spans="1:56" x14ac:dyDescent="0.3">
      <c r="A2309" s="1">
        <v>44423</v>
      </c>
      <c r="B2309" t="str">
        <f>"SI216001179"</f>
        <v>SI216001179</v>
      </c>
      <c r="C2309" t="str">
        <f>"PR20000834"</f>
        <v>PR20000834</v>
      </c>
      <c r="D2309" t="str">
        <f>"PR20000834"</f>
        <v>PR20000834</v>
      </c>
      <c r="E2309" t="str">
        <f>"Y"</f>
        <v>Y</v>
      </c>
      <c r="F2309" t="str">
        <f>"חשבוניות מרכזות"</f>
        <v>חשבוניות מרכזות</v>
      </c>
      <c r="G2309" t="str">
        <f>"700065"</f>
        <v>700065</v>
      </c>
      <c r="H2309" t="str">
        <f>"אלתא מערכות בע""מ"</f>
        <v>אלתא מערכות בע"מ</v>
      </c>
      <c r="I2309" t="str">
        <f>"10"</f>
        <v>10</v>
      </c>
      <c r="J2309" t="str">
        <f>"OP-AR02128"</f>
        <v>OP-AR02128</v>
      </c>
      <c r="K2309" t="str">
        <f>"1032F944-001/-   ETHERNET CABLE MFR-W944 - FILTE"</f>
        <v>1032F944-001/-   ETHERNET CABLE MFR-W944 - FILTE</v>
      </c>
      <c r="L2309">
        <v>4</v>
      </c>
      <c r="M2309" t="str">
        <f>"יח"</f>
        <v>יח</v>
      </c>
      <c r="N2309">
        <v>4</v>
      </c>
      <c r="O2309" t="str">
        <f>"יח"</f>
        <v>יח</v>
      </c>
      <c r="P2309">
        <v>174</v>
      </c>
      <c r="Q2309" t="str">
        <f>"$"</f>
        <v>$</v>
      </c>
      <c r="R2309" t="str">
        <f>"הזמנה"</f>
        <v>הזמנה</v>
      </c>
      <c r="S2309">
        <v>0</v>
      </c>
      <c r="T2309">
        <v>696</v>
      </c>
      <c r="U2309">
        <v>0</v>
      </c>
      <c r="V2309">
        <v>696</v>
      </c>
      <c r="W2309" t="str">
        <f>"$"</f>
        <v>$</v>
      </c>
      <c r="X2309">
        <v>0</v>
      </c>
      <c r="Y2309">
        <v>0</v>
      </c>
      <c r="Z2309">
        <v>0</v>
      </c>
      <c r="AA2309" t="str">
        <f>"Y"</f>
        <v>Y</v>
      </c>
      <c r="AB2309" t="str">
        <f>"SO20000532"</f>
        <v>SO20000532</v>
      </c>
      <c r="AC2309">
        <v>145</v>
      </c>
      <c r="AD2309" s="1">
        <v>44155</v>
      </c>
      <c r="AE2309" t="str">
        <f>"SH21001432"</f>
        <v>SH21001432</v>
      </c>
      <c r="AF2309" t="str">
        <f>"משלוחים ללקוח"</f>
        <v>משלוחים ללקוח</v>
      </c>
      <c r="AG2309" s="1">
        <v>44420</v>
      </c>
      <c r="AM2309" t="str">
        <f>"10"</f>
        <v>10</v>
      </c>
      <c r="AN2309" t="str">
        <f>"500000"</f>
        <v>500000</v>
      </c>
      <c r="AO2309" t="str">
        <f>"הכנסות  מלקוחות"</f>
        <v>הכנסות  מלקוחות</v>
      </c>
      <c r="AQ2309" t="str">
        <f>"034"</f>
        <v>034</v>
      </c>
      <c r="AR2309">
        <v>0</v>
      </c>
      <c r="AS2309">
        <v>0</v>
      </c>
      <c r="AT2309">
        <v>3.2229999999999999</v>
      </c>
      <c r="AX2309" t="str">
        <f>"E000321177"</f>
        <v>E000321177</v>
      </c>
      <c r="BD2309" t="str">
        <f>"ערן שלו"</f>
        <v>ערן שלו</v>
      </c>
    </row>
    <row r="2310" spans="1:56" x14ac:dyDescent="0.3">
      <c r="A2310" s="1">
        <v>44423</v>
      </c>
      <c r="B2310" t="str">
        <f>"SI216001179"</f>
        <v>SI216001179</v>
      </c>
      <c r="C2310" t="str">
        <f>"PR20000834"</f>
        <v>PR20000834</v>
      </c>
      <c r="D2310" t="str">
        <f>"PR20000834"</f>
        <v>PR20000834</v>
      </c>
      <c r="E2310" t="str">
        <f>"Y"</f>
        <v>Y</v>
      </c>
      <c r="F2310" t="str">
        <f>"חשבוניות מרכזות"</f>
        <v>חשבוניות מרכזות</v>
      </c>
      <c r="G2310" t="str">
        <f>"700065"</f>
        <v>700065</v>
      </c>
      <c r="H2310" t="str">
        <f>"אלתא מערכות בע""מ"</f>
        <v>אלתא מערכות בע"מ</v>
      </c>
      <c r="I2310" t="str">
        <f>"10"</f>
        <v>10</v>
      </c>
      <c r="J2310" t="str">
        <f>"OP-AR02129"</f>
        <v>OP-AR02129</v>
      </c>
      <c r="K2310" t="str">
        <f>"1032F945-001/-   ETHERNET CABLE MFR-W945 - FILTE"</f>
        <v>1032F945-001/-   ETHERNET CABLE MFR-W945 - FILTE</v>
      </c>
      <c r="L2310">
        <v>4</v>
      </c>
      <c r="M2310" t="str">
        <f>"יח"</f>
        <v>יח</v>
      </c>
      <c r="N2310">
        <v>4</v>
      </c>
      <c r="O2310" t="str">
        <f>"יח"</f>
        <v>יח</v>
      </c>
      <c r="P2310">
        <v>176.77</v>
      </c>
      <c r="Q2310" t="str">
        <f>"$"</f>
        <v>$</v>
      </c>
      <c r="R2310" t="str">
        <f>"הזמנה"</f>
        <v>הזמנה</v>
      </c>
      <c r="S2310">
        <v>0</v>
      </c>
      <c r="T2310">
        <v>707.08</v>
      </c>
      <c r="U2310">
        <v>0</v>
      </c>
      <c r="V2310">
        <v>707.08</v>
      </c>
      <c r="W2310" t="str">
        <f>"$"</f>
        <v>$</v>
      </c>
      <c r="X2310">
        <v>0</v>
      </c>
      <c r="Y2310">
        <v>0</v>
      </c>
      <c r="Z2310">
        <v>0</v>
      </c>
      <c r="AA2310" t="str">
        <f>"Y"</f>
        <v>Y</v>
      </c>
      <c r="AB2310" t="str">
        <f>"SO20000532"</f>
        <v>SO20000532</v>
      </c>
      <c r="AC2310">
        <v>150</v>
      </c>
      <c r="AD2310" s="1">
        <v>44155</v>
      </c>
      <c r="AE2310" t="str">
        <f>"SH21001432"</f>
        <v>SH21001432</v>
      </c>
      <c r="AF2310" t="str">
        <f>"משלוחים ללקוח"</f>
        <v>משלוחים ללקוח</v>
      </c>
      <c r="AG2310" s="1">
        <v>44420</v>
      </c>
      <c r="AM2310" t="str">
        <f>"10"</f>
        <v>10</v>
      </c>
      <c r="AN2310" t="str">
        <f>"500000"</f>
        <v>500000</v>
      </c>
      <c r="AO2310" t="str">
        <f>"הכנסות  מלקוחות"</f>
        <v>הכנסות  מלקוחות</v>
      </c>
      <c r="AQ2310" t="str">
        <f>"034"</f>
        <v>034</v>
      </c>
      <c r="AR2310">
        <v>0</v>
      </c>
      <c r="AS2310">
        <v>0</v>
      </c>
      <c r="AT2310">
        <v>3.2229999999999999</v>
      </c>
      <c r="AX2310" t="str">
        <f>"E000321177"</f>
        <v>E000321177</v>
      </c>
      <c r="BD2310" t="str">
        <f>"ערן שלו"</f>
        <v>ערן שלו</v>
      </c>
    </row>
    <row r="2311" spans="1:56" x14ac:dyDescent="0.3">
      <c r="A2311" s="1">
        <v>44423</v>
      </c>
      <c r="B2311" t="str">
        <f>"SI216001179"</f>
        <v>SI216001179</v>
      </c>
      <c r="C2311" t="str">
        <f>"PR20000834"</f>
        <v>PR20000834</v>
      </c>
      <c r="D2311" t="str">
        <f>"PR20000834"</f>
        <v>PR20000834</v>
      </c>
      <c r="E2311" t="str">
        <f>"Y"</f>
        <v>Y</v>
      </c>
      <c r="F2311" t="str">
        <f>"חשבוניות מרכזות"</f>
        <v>חשבוניות מרכזות</v>
      </c>
      <c r="G2311" t="str">
        <f>"700065"</f>
        <v>700065</v>
      </c>
      <c r="H2311" t="str">
        <f>"אלתא מערכות בע""מ"</f>
        <v>אלתא מערכות בע"מ</v>
      </c>
      <c r="I2311" t="str">
        <f>"10"</f>
        <v>10</v>
      </c>
      <c r="J2311" t="str">
        <f>"OP-AR02129"</f>
        <v>OP-AR02129</v>
      </c>
      <c r="K2311" t="str">
        <f>"1032F945-001/-   ETHERNET CABLE MFR-W945 - FILTE"</f>
        <v>1032F945-001/-   ETHERNET CABLE MFR-W945 - FILTE</v>
      </c>
      <c r="L2311">
        <v>4</v>
      </c>
      <c r="M2311" t="str">
        <f>"יח"</f>
        <v>יח</v>
      </c>
      <c r="N2311">
        <v>4</v>
      </c>
      <c r="O2311" t="str">
        <f>"יח"</f>
        <v>יח</v>
      </c>
      <c r="P2311">
        <v>176.77</v>
      </c>
      <c r="Q2311" t="str">
        <f>"$"</f>
        <v>$</v>
      </c>
      <c r="R2311" t="str">
        <f>"הזמנה"</f>
        <v>הזמנה</v>
      </c>
      <c r="S2311">
        <v>0</v>
      </c>
      <c r="T2311">
        <v>707.08</v>
      </c>
      <c r="U2311">
        <v>0</v>
      </c>
      <c r="V2311">
        <v>707.08</v>
      </c>
      <c r="W2311" t="str">
        <f>"$"</f>
        <v>$</v>
      </c>
      <c r="X2311">
        <v>0</v>
      </c>
      <c r="Y2311">
        <v>0</v>
      </c>
      <c r="Z2311">
        <v>0</v>
      </c>
      <c r="AA2311" t="str">
        <f>"Y"</f>
        <v>Y</v>
      </c>
      <c r="AB2311" t="str">
        <f>"SO20000532"</f>
        <v>SO20000532</v>
      </c>
      <c r="AC2311">
        <v>151</v>
      </c>
      <c r="AD2311" s="1">
        <v>44155</v>
      </c>
      <c r="AE2311" t="str">
        <f>"SH21001432"</f>
        <v>SH21001432</v>
      </c>
      <c r="AF2311" t="str">
        <f>"משלוחים ללקוח"</f>
        <v>משלוחים ללקוח</v>
      </c>
      <c r="AG2311" s="1">
        <v>44420</v>
      </c>
      <c r="AM2311" t="str">
        <f>"10"</f>
        <v>10</v>
      </c>
      <c r="AN2311" t="str">
        <f>"500000"</f>
        <v>500000</v>
      </c>
      <c r="AO2311" t="str">
        <f>"הכנסות  מלקוחות"</f>
        <v>הכנסות  מלקוחות</v>
      </c>
      <c r="AQ2311" t="str">
        <f>"034"</f>
        <v>034</v>
      </c>
      <c r="AR2311">
        <v>0</v>
      </c>
      <c r="AS2311">
        <v>0</v>
      </c>
      <c r="AT2311">
        <v>3.2229999999999999</v>
      </c>
      <c r="AX2311" t="str">
        <f>"E000321177"</f>
        <v>E000321177</v>
      </c>
      <c r="BD2311" t="str">
        <f>"ערן שלו"</f>
        <v>ערן שלו</v>
      </c>
    </row>
    <row r="2312" spans="1:56" x14ac:dyDescent="0.3">
      <c r="A2312" s="1">
        <v>44423</v>
      </c>
      <c r="B2312" t="str">
        <f>"SI216001179"</f>
        <v>SI216001179</v>
      </c>
      <c r="C2312" t="str">
        <f>"PR20000834"</f>
        <v>PR20000834</v>
      </c>
      <c r="D2312" t="str">
        <f>"PR20000834"</f>
        <v>PR20000834</v>
      </c>
      <c r="E2312" t="str">
        <f>"Y"</f>
        <v>Y</v>
      </c>
      <c r="F2312" t="str">
        <f>"חשבוניות מרכזות"</f>
        <v>חשבוניות מרכזות</v>
      </c>
      <c r="G2312" t="str">
        <f>"700065"</f>
        <v>700065</v>
      </c>
      <c r="H2312" t="str">
        <f>"אלתא מערכות בע""מ"</f>
        <v>אלתא מערכות בע"מ</v>
      </c>
      <c r="I2312" t="str">
        <f>"10"</f>
        <v>10</v>
      </c>
      <c r="J2312" t="str">
        <f>"OP-AR02130"</f>
        <v>OP-AR02130</v>
      </c>
      <c r="K2312" t="str">
        <f>"1032F946-001/-   HARNESS MFR-W946 - TBU1 TO SENS"</f>
        <v>1032F946-001/-   HARNESS MFR-W946 - TBU1 TO SENS</v>
      </c>
      <c r="L2312">
        <v>1</v>
      </c>
      <c r="M2312" t="str">
        <f>"יח"</f>
        <v>יח</v>
      </c>
      <c r="N2312">
        <v>1</v>
      </c>
      <c r="O2312" t="str">
        <f>"יח"</f>
        <v>יח</v>
      </c>
      <c r="P2312" s="2">
        <v>1452.1</v>
      </c>
      <c r="Q2312" t="str">
        <f>"$"</f>
        <v>$</v>
      </c>
      <c r="R2312" t="str">
        <f>"הזמנה"</f>
        <v>הזמנה</v>
      </c>
      <c r="S2312">
        <v>0</v>
      </c>
      <c r="T2312" s="2">
        <v>1452.1</v>
      </c>
      <c r="U2312">
        <v>0</v>
      </c>
      <c r="V2312" s="2">
        <v>1452.1</v>
      </c>
      <c r="W2312" t="str">
        <f>"$"</f>
        <v>$</v>
      </c>
      <c r="X2312">
        <v>0</v>
      </c>
      <c r="Y2312">
        <v>0</v>
      </c>
      <c r="Z2312">
        <v>0</v>
      </c>
      <c r="AA2312" t="str">
        <f>"Y"</f>
        <v>Y</v>
      </c>
      <c r="AB2312" t="str">
        <f>"SO20000532"</f>
        <v>SO20000532</v>
      </c>
      <c r="AC2312">
        <v>156</v>
      </c>
      <c r="AD2312" s="1">
        <v>44155</v>
      </c>
      <c r="AE2312" t="str">
        <f>"SH21001432"</f>
        <v>SH21001432</v>
      </c>
      <c r="AF2312" t="str">
        <f>"משלוחים ללקוח"</f>
        <v>משלוחים ללקוח</v>
      </c>
      <c r="AG2312" s="1">
        <v>44420</v>
      </c>
      <c r="AM2312" t="str">
        <f>"10"</f>
        <v>10</v>
      </c>
      <c r="AN2312" t="str">
        <f>"500000"</f>
        <v>500000</v>
      </c>
      <c r="AO2312" t="str">
        <f>"הכנסות  מלקוחות"</f>
        <v>הכנסות  מלקוחות</v>
      </c>
      <c r="AQ2312" t="str">
        <f>"034"</f>
        <v>034</v>
      </c>
      <c r="AR2312">
        <v>0</v>
      </c>
      <c r="AS2312">
        <v>0</v>
      </c>
      <c r="AT2312">
        <v>3.2229999999999999</v>
      </c>
      <c r="AX2312" t="str">
        <f>"E000321177"</f>
        <v>E000321177</v>
      </c>
      <c r="BD2312" t="str">
        <f>"ערן שלו"</f>
        <v>ערן שלו</v>
      </c>
    </row>
    <row r="2313" spans="1:56" x14ac:dyDescent="0.3">
      <c r="A2313" s="1">
        <v>44423</v>
      </c>
      <c r="B2313" t="str">
        <f>"SI216001179"</f>
        <v>SI216001179</v>
      </c>
      <c r="C2313" t="str">
        <f>"PR20000834"</f>
        <v>PR20000834</v>
      </c>
      <c r="D2313" t="str">
        <f>"PR20000834"</f>
        <v>PR20000834</v>
      </c>
      <c r="E2313" t="str">
        <f>"Y"</f>
        <v>Y</v>
      </c>
      <c r="F2313" t="str">
        <f>"חשבוניות מרכזות"</f>
        <v>חשבוניות מרכזות</v>
      </c>
      <c r="G2313" t="str">
        <f>"700065"</f>
        <v>700065</v>
      </c>
      <c r="H2313" t="str">
        <f>"אלתא מערכות בע""מ"</f>
        <v>אלתא מערכות בע"מ</v>
      </c>
      <c r="I2313" t="str">
        <f>"10"</f>
        <v>10</v>
      </c>
      <c r="J2313" t="str">
        <f>"OP-AR02130"</f>
        <v>OP-AR02130</v>
      </c>
      <c r="K2313" t="str">
        <f>"1032F946-001/-   HARNESS MFR-W946 - TBU1 TO SENS"</f>
        <v>1032F946-001/-   HARNESS MFR-W946 - TBU1 TO SENS</v>
      </c>
      <c r="L2313">
        <v>2</v>
      </c>
      <c r="M2313" t="str">
        <f>"יח"</f>
        <v>יח</v>
      </c>
      <c r="N2313">
        <v>2</v>
      </c>
      <c r="O2313" t="str">
        <f>"יח"</f>
        <v>יח</v>
      </c>
      <c r="P2313" s="2">
        <v>1452.1</v>
      </c>
      <c r="Q2313" t="str">
        <f>"$"</f>
        <v>$</v>
      </c>
      <c r="R2313" t="str">
        <f>"הזמנה"</f>
        <v>הזמנה</v>
      </c>
      <c r="S2313">
        <v>0</v>
      </c>
      <c r="T2313" s="2">
        <v>2904.2</v>
      </c>
      <c r="U2313">
        <v>0</v>
      </c>
      <c r="V2313" s="2">
        <v>2904.2</v>
      </c>
      <c r="W2313" t="str">
        <f>"$"</f>
        <v>$</v>
      </c>
      <c r="X2313">
        <v>0</v>
      </c>
      <c r="Y2313">
        <v>0</v>
      </c>
      <c r="Z2313">
        <v>0</v>
      </c>
      <c r="AA2313" t="str">
        <f>"Y"</f>
        <v>Y</v>
      </c>
      <c r="AB2313" t="str">
        <f>"SO20000532"</f>
        <v>SO20000532</v>
      </c>
      <c r="AC2313">
        <v>157</v>
      </c>
      <c r="AD2313" s="1">
        <v>44155</v>
      </c>
      <c r="AE2313" t="str">
        <f>"SH21001432"</f>
        <v>SH21001432</v>
      </c>
      <c r="AF2313" t="str">
        <f>"משלוחים ללקוח"</f>
        <v>משלוחים ללקוח</v>
      </c>
      <c r="AG2313" s="1">
        <v>44420</v>
      </c>
      <c r="AM2313" t="str">
        <f>"10"</f>
        <v>10</v>
      </c>
      <c r="AN2313" t="str">
        <f>"500000"</f>
        <v>500000</v>
      </c>
      <c r="AO2313" t="str">
        <f>"הכנסות  מלקוחות"</f>
        <v>הכנסות  מלקוחות</v>
      </c>
      <c r="AQ2313" t="str">
        <f>"034"</f>
        <v>034</v>
      </c>
      <c r="AR2313">
        <v>0</v>
      </c>
      <c r="AS2313">
        <v>0</v>
      </c>
      <c r="AT2313">
        <v>3.2229999999999999</v>
      </c>
      <c r="AX2313" t="str">
        <f>"E000321177"</f>
        <v>E000321177</v>
      </c>
      <c r="BD2313" t="str">
        <f>"ערן שלו"</f>
        <v>ערן שלו</v>
      </c>
    </row>
    <row r="2314" spans="1:56" x14ac:dyDescent="0.3">
      <c r="A2314" s="1">
        <v>44423</v>
      </c>
      <c r="B2314" t="str">
        <f>"SI216001179"</f>
        <v>SI216001179</v>
      </c>
      <c r="C2314" t="str">
        <f>"PR20000834"</f>
        <v>PR20000834</v>
      </c>
      <c r="D2314" t="str">
        <f>"PR20000834"</f>
        <v>PR20000834</v>
      </c>
      <c r="E2314" t="str">
        <f>"Y"</f>
        <v>Y</v>
      </c>
      <c r="F2314" t="str">
        <f>"חשבוניות מרכזות"</f>
        <v>חשבוניות מרכזות</v>
      </c>
      <c r="G2314" t="str">
        <f>"700065"</f>
        <v>700065</v>
      </c>
      <c r="H2314" t="str">
        <f>"אלתא מערכות בע""מ"</f>
        <v>אלתא מערכות בע"מ</v>
      </c>
      <c r="I2314" t="str">
        <f>"10"</f>
        <v>10</v>
      </c>
      <c r="J2314" t="str">
        <f>"OP-AR02130"</f>
        <v>OP-AR02130</v>
      </c>
      <c r="K2314" t="str">
        <f>"1032F946-001/-   HARNESS MFR-W946 - TBU1 TO SENS"</f>
        <v>1032F946-001/-   HARNESS MFR-W946 - TBU1 TO SENS</v>
      </c>
      <c r="L2314">
        <v>1</v>
      </c>
      <c r="M2314" t="str">
        <f>"יח"</f>
        <v>יח</v>
      </c>
      <c r="N2314">
        <v>1</v>
      </c>
      <c r="O2314" t="str">
        <f>"יח"</f>
        <v>יח</v>
      </c>
      <c r="P2314" s="2">
        <v>1452.1</v>
      </c>
      <c r="Q2314" t="str">
        <f>"$"</f>
        <v>$</v>
      </c>
      <c r="R2314" t="str">
        <f>"הזמנה"</f>
        <v>הזמנה</v>
      </c>
      <c r="S2314">
        <v>0</v>
      </c>
      <c r="T2314" s="2">
        <v>1452.1</v>
      </c>
      <c r="U2314">
        <v>0</v>
      </c>
      <c r="V2314" s="2">
        <v>1452.1</v>
      </c>
      <c r="W2314" t="str">
        <f>"$"</f>
        <v>$</v>
      </c>
      <c r="X2314">
        <v>0</v>
      </c>
      <c r="Y2314">
        <v>0</v>
      </c>
      <c r="Z2314">
        <v>0</v>
      </c>
      <c r="AA2314" t="str">
        <f>"Y"</f>
        <v>Y</v>
      </c>
      <c r="AB2314" t="str">
        <f>"SO20000532"</f>
        <v>SO20000532</v>
      </c>
      <c r="AC2314">
        <v>158</v>
      </c>
      <c r="AD2314" s="1">
        <v>44155</v>
      </c>
      <c r="AE2314" t="str">
        <f>"SH21001432"</f>
        <v>SH21001432</v>
      </c>
      <c r="AF2314" t="str">
        <f>"משלוחים ללקוח"</f>
        <v>משלוחים ללקוח</v>
      </c>
      <c r="AG2314" s="1">
        <v>44420</v>
      </c>
      <c r="AM2314" t="str">
        <f>"10"</f>
        <v>10</v>
      </c>
      <c r="AN2314" t="str">
        <f>"500000"</f>
        <v>500000</v>
      </c>
      <c r="AO2314" t="str">
        <f>"הכנסות  מלקוחות"</f>
        <v>הכנסות  מלקוחות</v>
      </c>
      <c r="AQ2314" t="str">
        <f>"034"</f>
        <v>034</v>
      </c>
      <c r="AR2314">
        <v>0</v>
      </c>
      <c r="AS2314">
        <v>0</v>
      </c>
      <c r="AT2314">
        <v>3.2229999999999999</v>
      </c>
      <c r="AX2314" t="str">
        <f>"E000321177"</f>
        <v>E000321177</v>
      </c>
      <c r="BD2314" t="str">
        <f>"ערן שלו"</f>
        <v>ערן שלו</v>
      </c>
    </row>
    <row r="2315" spans="1:56" x14ac:dyDescent="0.3">
      <c r="A2315" s="1">
        <v>44423</v>
      </c>
      <c r="B2315" t="str">
        <f>"SI216001179"</f>
        <v>SI216001179</v>
      </c>
      <c r="C2315" t="str">
        <f>"PR20000834"</f>
        <v>PR20000834</v>
      </c>
      <c r="D2315" t="str">
        <f>"PR20000834"</f>
        <v>PR20000834</v>
      </c>
      <c r="E2315" t="str">
        <f>"Y"</f>
        <v>Y</v>
      </c>
      <c r="F2315" t="str">
        <f>"חשבוניות מרכזות"</f>
        <v>חשבוניות מרכזות</v>
      </c>
      <c r="G2315" t="str">
        <f>"700065"</f>
        <v>700065</v>
      </c>
      <c r="H2315" t="str">
        <f>"אלתא מערכות בע""מ"</f>
        <v>אלתא מערכות בע"מ</v>
      </c>
      <c r="I2315" t="str">
        <f>"10"</f>
        <v>10</v>
      </c>
      <c r="J2315" t="str">
        <f>"OP-AR02104"</f>
        <v>OP-AR02104</v>
      </c>
      <c r="K2315" t="str">
        <f>"1032F921-001/-   ETHERNET CABLE MFR-W921 - FILTE"</f>
        <v>1032F921-001/-   ETHERNET CABLE MFR-W921 - FILTE</v>
      </c>
      <c r="L2315">
        <v>1</v>
      </c>
      <c r="M2315" t="str">
        <f>"יח"</f>
        <v>יח</v>
      </c>
      <c r="N2315">
        <v>1</v>
      </c>
      <c r="O2315" t="str">
        <f>"יח"</f>
        <v>יח</v>
      </c>
      <c r="P2315">
        <v>174</v>
      </c>
      <c r="Q2315" t="str">
        <f>"$"</f>
        <v>$</v>
      </c>
      <c r="R2315" t="str">
        <f>"הזמנה"</f>
        <v>הזמנה</v>
      </c>
      <c r="S2315">
        <v>0</v>
      </c>
      <c r="T2315">
        <v>174</v>
      </c>
      <c r="U2315">
        <v>0</v>
      </c>
      <c r="V2315">
        <v>174</v>
      </c>
      <c r="W2315" t="str">
        <f>"$"</f>
        <v>$</v>
      </c>
      <c r="X2315">
        <v>0</v>
      </c>
      <c r="Y2315">
        <v>0</v>
      </c>
      <c r="Z2315">
        <v>0</v>
      </c>
      <c r="AA2315" t="str">
        <f>"Y"</f>
        <v>Y</v>
      </c>
      <c r="AB2315" t="str">
        <f>"SO20000532"</f>
        <v>SO20000532</v>
      </c>
      <c r="AC2315">
        <v>172</v>
      </c>
      <c r="AD2315" s="1">
        <v>44155</v>
      </c>
      <c r="AE2315" t="str">
        <f>"SH21001432"</f>
        <v>SH21001432</v>
      </c>
      <c r="AF2315" t="str">
        <f>"משלוחים ללקוח"</f>
        <v>משלוחים ללקוח</v>
      </c>
      <c r="AG2315" s="1">
        <v>44420</v>
      </c>
      <c r="AM2315" t="str">
        <f>"10"</f>
        <v>10</v>
      </c>
      <c r="AN2315" t="str">
        <f>"500000"</f>
        <v>500000</v>
      </c>
      <c r="AO2315" t="str">
        <f>"הכנסות  מלקוחות"</f>
        <v>הכנסות  מלקוחות</v>
      </c>
      <c r="AQ2315" t="str">
        <f>"034"</f>
        <v>034</v>
      </c>
      <c r="AR2315">
        <v>0</v>
      </c>
      <c r="AS2315">
        <v>0</v>
      </c>
      <c r="AT2315">
        <v>3.2229999999999999</v>
      </c>
      <c r="AX2315" t="str">
        <f>"E000321177"</f>
        <v>E000321177</v>
      </c>
      <c r="BD2315" t="str">
        <f>"ערן שלו"</f>
        <v>ערן שלו</v>
      </c>
    </row>
    <row r="2316" spans="1:56" x14ac:dyDescent="0.3">
      <c r="A2316" s="1">
        <v>44423</v>
      </c>
      <c r="B2316" t="str">
        <f>"SI216001178"</f>
        <v>SI216001178</v>
      </c>
      <c r="C2316" t="str">
        <f>"PR20000851"</f>
        <v>PR20000851</v>
      </c>
      <c r="D2316" t="str">
        <f>"PR20000851"</f>
        <v>PR20000851</v>
      </c>
      <c r="E2316" t="str">
        <f>"Y"</f>
        <v>Y</v>
      </c>
      <c r="F2316" t="str">
        <f>"חשבוניות מרכזות"</f>
        <v>חשבוניות מרכזות</v>
      </c>
      <c r="G2316" t="str">
        <f>"700065"</f>
        <v>700065</v>
      </c>
      <c r="H2316" t="str">
        <f>"אלתא מערכות בע""מ"</f>
        <v>אלתא מערכות בע"מ</v>
      </c>
      <c r="I2316" t="str">
        <f>"10"</f>
        <v>10</v>
      </c>
      <c r="J2316" t="str">
        <f>"OP-AR02158"</f>
        <v>OP-AR02158</v>
      </c>
      <c r="K2316" t="str">
        <f>"1039H813-001   HARNESS WY013 - PDU TO TRA3 SHE"</f>
        <v>1039H813-001   HARNESS WY013 - PDU TO TRA3 SHE</v>
      </c>
      <c r="L2316">
        <v>2</v>
      </c>
      <c r="M2316" t="str">
        <f>"יח"</f>
        <v>יח</v>
      </c>
      <c r="N2316">
        <v>2</v>
      </c>
      <c r="O2316" t="str">
        <f>"יח"</f>
        <v>יח</v>
      </c>
      <c r="P2316">
        <v>432.4</v>
      </c>
      <c r="Q2316" t="str">
        <f>"$"</f>
        <v>$</v>
      </c>
      <c r="R2316" t="str">
        <f>"הזמנה"</f>
        <v>הזמנה</v>
      </c>
      <c r="S2316">
        <v>0</v>
      </c>
      <c r="T2316">
        <v>864.8</v>
      </c>
      <c r="U2316">
        <v>0</v>
      </c>
      <c r="V2316">
        <v>864.8</v>
      </c>
      <c r="W2316" t="str">
        <f>"$"</f>
        <v>$</v>
      </c>
      <c r="X2316">
        <v>0</v>
      </c>
      <c r="Y2316">
        <v>0</v>
      </c>
      <c r="Z2316">
        <v>0</v>
      </c>
      <c r="AA2316" t="str">
        <f>"Y"</f>
        <v>Y</v>
      </c>
      <c r="AB2316" t="str">
        <f>"SO20000555"</f>
        <v>SO20000555</v>
      </c>
      <c r="AC2316">
        <v>6</v>
      </c>
      <c r="AD2316" s="1">
        <v>44166</v>
      </c>
      <c r="AE2316" t="str">
        <f>"SH21001434"</f>
        <v>SH21001434</v>
      </c>
      <c r="AF2316" t="str">
        <f>"משלוחים ללקוח"</f>
        <v>משלוחים ללקוח</v>
      </c>
      <c r="AG2316" s="1">
        <v>44420</v>
      </c>
      <c r="AM2316" t="str">
        <f>"10"</f>
        <v>10</v>
      </c>
      <c r="AN2316" t="str">
        <f>"500000"</f>
        <v>500000</v>
      </c>
      <c r="AO2316" t="str">
        <f>"הכנסות  מלקוחות"</f>
        <v>הכנסות  מלקוחות</v>
      </c>
      <c r="AQ2316" t="str">
        <f>"034"</f>
        <v>034</v>
      </c>
      <c r="AR2316">
        <v>0</v>
      </c>
      <c r="AS2316">
        <v>0</v>
      </c>
      <c r="AT2316">
        <v>3.2229999999999999</v>
      </c>
      <c r="AX2316" t="str">
        <f>"E000326481"</f>
        <v>E000326481</v>
      </c>
      <c r="BD2316" t="str">
        <f>"ערן שלו"</f>
        <v>ערן שלו</v>
      </c>
    </row>
    <row r="2317" spans="1:56" x14ac:dyDescent="0.3">
      <c r="A2317" s="1">
        <v>44423</v>
      </c>
      <c r="B2317" t="str">
        <f>"SI216001178"</f>
        <v>SI216001178</v>
      </c>
      <c r="C2317" t="str">
        <f>"PR20000851"</f>
        <v>PR20000851</v>
      </c>
      <c r="D2317" t="str">
        <f>"PR20000851"</f>
        <v>PR20000851</v>
      </c>
      <c r="E2317" t="str">
        <f>"Y"</f>
        <v>Y</v>
      </c>
      <c r="F2317" t="str">
        <f>"חשבוניות מרכזות"</f>
        <v>חשבוניות מרכזות</v>
      </c>
      <c r="G2317" t="str">
        <f>"700065"</f>
        <v>700065</v>
      </c>
      <c r="H2317" t="str">
        <f>"אלתא מערכות בע""מ"</f>
        <v>אלתא מערכות בע"מ</v>
      </c>
      <c r="I2317" t="str">
        <f>"10"</f>
        <v>10</v>
      </c>
      <c r="J2317" t="str">
        <f>"OP-AR02167"</f>
        <v>OP-AR02167</v>
      </c>
      <c r="K2317" t="str">
        <f>"1039H823-001/-   HARNESS WY023 - PDU TO TRA3 EXT"</f>
        <v>1039H823-001/-   HARNESS WY023 - PDU TO TRA3 EXT</v>
      </c>
      <c r="L2317">
        <v>2</v>
      </c>
      <c r="M2317" t="str">
        <f>"יח"</f>
        <v>יח</v>
      </c>
      <c r="N2317">
        <v>2</v>
      </c>
      <c r="O2317" t="str">
        <f>"יח"</f>
        <v>יח</v>
      </c>
      <c r="P2317">
        <v>828.98</v>
      </c>
      <c r="Q2317" t="str">
        <f>"$"</f>
        <v>$</v>
      </c>
      <c r="R2317" t="str">
        <f>"הזמנה"</f>
        <v>הזמנה</v>
      </c>
      <c r="S2317">
        <v>0</v>
      </c>
      <c r="T2317" s="2">
        <v>1657.96</v>
      </c>
      <c r="U2317">
        <v>0</v>
      </c>
      <c r="V2317" s="2">
        <v>1657.96</v>
      </c>
      <c r="W2317" t="str">
        <f>"$"</f>
        <v>$</v>
      </c>
      <c r="X2317">
        <v>0</v>
      </c>
      <c r="Y2317">
        <v>0</v>
      </c>
      <c r="Z2317">
        <v>0</v>
      </c>
      <c r="AA2317" t="str">
        <f>"Y"</f>
        <v>Y</v>
      </c>
      <c r="AB2317" t="str">
        <f>"SO20000555"</f>
        <v>SO20000555</v>
      </c>
      <c r="AC2317">
        <v>14</v>
      </c>
      <c r="AD2317" s="1">
        <v>44166</v>
      </c>
      <c r="AE2317" t="str">
        <f>"SH21001434"</f>
        <v>SH21001434</v>
      </c>
      <c r="AF2317" t="str">
        <f>"משלוחים ללקוח"</f>
        <v>משלוחים ללקוח</v>
      </c>
      <c r="AG2317" s="1">
        <v>44420</v>
      </c>
      <c r="AM2317" t="str">
        <f>"10"</f>
        <v>10</v>
      </c>
      <c r="AN2317" t="str">
        <f>"500000"</f>
        <v>500000</v>
      </c>
      <c r="AO2317" t="str">
        <f>"הכנסות  מלקוחות"</f>
        <v>הכנסות  מלקוחות</v>
      </c>
      <c r="AQ2317" t="str">
        <f>"034"</f>
        <v>034</v>
      </c>
      <c r="AR2317">
        <v>0</v>
      </c>
      <c r="AS2317">
        <v>0</v>
      </c>
      <c r="AT2317">
        <v>3.2229999999999999</v>
      </c>
      <c r="AX2317" t="str">
        <f>"E000326481"</f>
        <v>E000326481</v>
      </c>
      <c r="BD2317" t="str">
        <f>"ערן שלו"</f>
        <v>ערן שלו</v>
      </c>
    </row>
    <row r="2318" spans="1:56" x14ac:dyDescent="0.3">
      <c r="A2318" s="1">
        <v>44423</v>
      </c>
      <c r="B2318" t="str">
        <f>"SI216001178"</f>
        <v>SI216001178</v>
      </c>
      <c r="C2318" t="str">
        <f>"PR20000851"</f>
        <v>PR20000851</v>
      </c>
      <c r="D2318" t="str">
        <f>"PR20000851"</f>
        <v>PR20000851</v>
      </c>
      <c r="E2318" t="str">
        <f>"Y"</f>
        <v>Y</v>
      </c>
      <c r="F2318" t="str">
        <f>"חשבוניות מרכזות"</f>
        <v>חשבוניות מרכזות</v>
      </c>
      <c r="G2318" t="str">
        <f>"700065"</f>
        <v>700065</v>
      </c>
      <c r="H2318" t="str">
        <f>"אלתא מערכות בע""מ"</f>
        <v>אלתא מערכות בע"מ</v>
      </c>
      <c r="I2318" t="str">
        <f>"10"</f>
        <v>10</v>
      </c>
      <c r="J2318" t="str">
        <f>"OP-AR02168"</f>
        <v>OP-AR02168</v>
      </c>
      <c r="K2318" t="str">
        <f>"1039H824-001/-   HARNESS WY024 - PDU TO TRA4 EXT"</f>
        <v>1039H824-001/-   HARNESS WY024 - PDU TO TRA4 EXT</v>
      </c>
      <c r="L2318">
        <v>1</v>
      </c>
      <c r="M2318" t="str">
        <f>"יח"</f>
        <v>יח</v>
      </c>
      <c r="N2318">
        <v>1</v>
      </c>
      <c r="O2318" t="str">
        <f>"יח"</f>
        <v>יח</v>
      </c>
      <c r="P2318">
        <v>822.5</v>
      </c>
      <c r="Q2318" t="str">
        <f>"$"</f>
        <v>$</v>
      </c>
      <c r="R2318" t="str">
        <f>"הזמנה"</f>
        <v>הזמנה</v>
      </c>
      <c r="S2318">
        <v>0</v>
      </c>
      <c r="T2318">
        <v>822.5</v>
      </c>
      <c r="U2318">
        <v>0</v>
      </c>
      <c r="V2318">
        <v>822.5</v>
      </c>
      <c r="W2318" t="str">
        <f>"$"</f>
        <v>$</v>
      </c>
      <c r="X2318">
        <v>0</v>
      </c>
      <c r="Y2318">
        <v>0</v>
      </c>
      <c r="Z2318">
        <v>0</v>
      </c>
      <c r="AA2318" t="str">
        <f>"Y"</f>
        <v>Y</v>
      </c>
      <c r="AB2318" t="str">
        <f>"SO20000555"</f>
        <v>SO20000555</v>
      </c>
      <c r="AC2318">
        <v>15</v>
      </c>
      <c r="AD2318" s="1">
        <v>44166</v>
      </c>
      <c r="AE2318" t="str">
        <f>"SH21001434"</f>
        <v>SH21001434</v>
      </c>
      <c r="AF2318" t="str">
        <f>"משלוחים ללקוח"</f>
        <v>משלוחים ללקוח</v>
      </c>
      <c r="AG2318" s="1">
        <v>44420</v>
      </c>
      <c r="AM2318" t="str">
        <f>"10"</f>
        <v>10</v>
      </c>
      <c r="AN2318" t="str">
        <f>"500000"</f>
        <v>500000</v>
      </c>
      <c r="AO2318" t="str">
        <f>"הכנסות  מלקוחות"</f>
        <v>הכנסות  מלקוחות</v>
      </c>
      <c r="AQ2318" t="str">
        <f>"034"</f>
        <v>034</v>
      </c>
      <c r="AR2318">
        <v>0</v>
      </c>
      <c r="AS2318">
        <v>0</v>
      </c>
      <c r="AT2318">
        <v>3.2229999999999999</v>
      </c>
      <c r="AX2318" t="str">
        <f>"E000326481"</f>
        <v>E000326481</v>
      </c>
      <c r="BD2318" t="str">
        <f>"ערן שלו"</f>
        <v>ערן שלו</v>
      </c>
    </row>
    <row r="2319" spans="1:56" x14ac:dyDescent="0.3">
      <c r="A2319" s="1">
        <v>44423</v>
      </c>
      <c r="B2319" t="str">
        <f>"SI216001178"</f>
        <v>SI216001178</v>
      </c>
      <c r="C2319" t="str">
        <f>"PR20000851"</f>
        <v>PR20000851</v>
      </c>
      <c r="D2319" t="str">
        <f>"PR20000851"</f>
        <v>PR20000851</v>
      </c>
      <c r="E2319" t="str">
        <f>"Y"</f>
        <v>Y</v>
      </c>
      <c r="F2319" t="str">
        <f>"חשבוניות מרכזות"</f>
        <v>חשבוניות מרכזות</v>
      </c>
      <c r="G2319" t="str">
        <f>"700065"</f>
        <v>700065</v>
      </c>
      <c r="H2319" t="str">
        <f>"אלתא מערכות בע""מ"</f>
        <v>אלתא מערכות בע"מ</v>
      </c>
      <c r="I2319" t="str">
        <f>"10"</f>
        <v>10</v>
      </c>
      <c r="J2319" t="str">
        <f>"OP-AR02177"</f>
        <v>OP-AR02177</v>
      </c>
      <c r="K2319" t="str">
        <f>"1039H837-001/-   HARNESS WY037 - PDU TO FANS EXT"</f>
        <v>1039H837-001/-   HARNESS WY037 - PDU TO FANS EXT</v>
      </c>
      <c r="L2319">
        <v>4</v>
      </c>
      <c r="M2319" t="str">
        <f>"יח"</f>
        <v>יח</v>
      </c>
      <c r="N2319">
        <v>4</v>
      </c>
      <c r="O2319" t="str">
        <f>"יח"</f>
        <v>יח</v>
      </c>
      <c r="P2319">
        <v>758.41</v>
      </c>
      <c r="Q2319" t="str">
        <f>"$"</f>
        <v>$</v>
      </c>
      <c r="R2319" t="str">
        <f>"הזמנה"</f>
        <v>הזמנה</v>
      </c>
      <c r="S2319">
        <v>0</v>
      </c>
      <c r="T2319" s="2">
        <v>3033.64</v>
      </c>
      <c r="U2319">
        <v>0</v>
      </c>
      <c r="V2319" s="2">
        <v>3033.64</v>
      </c>
      <c r="W2319" t="str">
        <f>"$"</f>
        <v>$</v>
      </c>
      <c r="X2319">
        <v>0</v>
      </c>
      <c r="Y2319">
        <v>0</v>
      </c>
      <c r="Z2319">
        <v>0</v>
      </c>
      <c r="AA2319" t="str">
        <f>"Y"</f>
        <v>Y</v>
      </c>
      <c r="AB2319" t="str">
        <f>"SO20000555"</f>
        <v>SO20000555</v>
      </c>
      <c r="AC2319">
        <v>24</v>
      </c>
      <c r="AD2319" s="1">
        <v>44166</v>
      </c>
      <c r="AE2319" t="str">
        <f>"SH21001434"</f>
        <v>SH21001434</v>
      </c>
      <c r="AF2319" t="str">
        <f>"משלוחים ללקוח"</f>
        <v>משלוחים ללקוח</v>
      </c>
      <c r="AG2319" s="1">
        <v>44420</v>
      </c>
      <c r="AM2319" t="str">
        <f>"10"</f>
        <v>10</v>
      </c>
      <c r="AN2319" t="str">
        <f>"500000"</f>
        <v>500000</v>
      </c>
      <c r="AO2319" t="str">
        <f>"הכנסות  מלקוחות"</f>
        <v>הכנסות  מלקוחות</v>
      </c>
      <c r="AQ2319" t="str">
        <f>"034"</f>
        <v>034</v>
      </c>
      <c r="AR2319">
        <v>0</v>
      </c>
      <c r="AS2319">
        <v>0</v>
      </c>
      <c r="AT2319">
        <v>3.2229999999999999</v>
      </c>
      <c r="AX2319" t="str">
        <f>"E000326481"</f>
        <v>E000326481</v>
      </c>
      <c r="BD2319" t="str">
        <f>"ערן שלו"</f>
        <v>ערן שלו</v>
      </c>
    </row>
    <row r="2320" spans="1:56" x14ac:dyDescent="0.3">
      <c r="A2320" s="1">
        <v>44423</v>
      </c>
      <c r="B2320" t="str">
        <f>"SI216001178"</f>
        <v>SI216001178</v>
      </c>
      <c r="C2320" t="str">
        <f>"PR20000851"</f>
        <v>PR20000851</v>
      </c>
      <c r="D2320" t="str">
        <f>"PR20000851"</f>
        <v>PR20000851</v>
      </c>
      <c r="E2320" t="str">
        <f>"Y"</f>
        <v>Y</v>
      </c>
      <c r="F2320" t="str">
        <f>"חשבוניות מרכזות"</f>
        <v>חשבוניות מרכזות</v>
      </c>
      <c r="G2320" t="str">
        <f>"700065"</f>
        <v>700065</v>
      </c>
      <c r="H2320" t="str">
        <f>"אלתא מערכות בע""מ"</f>
        <v>אלתא מערכות בע"מ</v>
      </c>
      <c r="I2320" t="str">
        <f>"10"</f>
        <v>10</v>
      </c>
      <c r="J2320" t="str">
        <f>"OP-AR02183"</f>
        <v>OP-AR02183</v>
      </c>
      <c r="K2320" t="str">
        <f>"1039H844-001   HARNESS WY044 - LAN SW TO SHELT"</f>
        <v>1039H844-001   HARNESS WY044 - LAN SW TO SHELT</v>
      </c>
      <c r="L2320">
        <v>4</v>
      </c>
      <c r="M2320" t="str">
        <f>"יח"</f>
        <v>יח</v>
      </c>
      <c r="N2320">
        <v>4</v>
      </c>
      <c r="O2320" t="str">
        <f>"יח"</f>
        <v>יח</v>
      </c>
      <c r="P2320">
        <v>176.7</v>
      </c>
      <c r="Q2320" t="str">
        <f>"$"</f>
        <v>$</v>
      </c>
      <c r="R2320" t="str">
        <f>"הזמנה"</f>
        <v>הזמנה</v>
      </c>
      <c r="S2320">
        <v>0</v>
      </c>
      <c r="T2320">
        <v>706.8</v>
      </c>
      <c r="U2320">
        <v>0</v>
      </c>
      <c r="V2320">
        <v>706.8</v>
      </c>
      <c r="W2320" t="str">
        <f>"$"</f>
        <v>$</v>
      </c>
      <c r="X2320">
        <v>0</v>
      </c>
      <c r="Y2320">
        <v>0</v>
      </c>
      <c r="Z2320">
        <v>0</v>
      </c>
      <c r="AA2320" t="str">
        <f>"Y"</f>
        <v>Y</v>
      </c>
      <c r="AB2320" t="str">
        <f>"SO20000555"</f>
        <v>SO20000555</v>
      </c>
      <c r="AC2320">
        <v>30</v>
      </c>
      <c r="AD2320" s="1">
        <v>44166</v>
      </c>
      <c r="AE2320" t="str">
        <f>"SH21001434"</f>
        <v>SH21001434</v>
      </c>
      <c r="AF2320" t="str">
        <f>"משלוחים ללקוח"</f>
        <v>משלוחים ללקוח</v>
      </c>
      <c r="AG2320" s="1">
        <v>44420</v>
      </c>
      <c r="AM2320" t="str">
        <f>"10"</f>
        <v>10</v>
      </c>
      <c r="AN2320" t="str">
        <f>"500000"</f>
        <v>500000</v>
      </c>
      <c r="AO2320" t="str">
        <f>"הכנסות  מלקוחות"</f>
        <v>הכנסות  מלקוחות</v>
      </c>
      <c r="AQ2320" t="str">
        <f>"034"</f>
        <v>034</v>
      </c>
      <c r="AR2320">
        <v>0</v>
      </c>
      <c r="AS2320">
        <v>0</v>
      </c>
      <c r="AT2320">
        <v>3.2229999999999999</v>
      </c>
      <c r="AX2320" t="str">
        <f>"E000326481"</f>
        <v>E000326481</v>
      </c>
      <c r="BD2320" t="str">
        <f>"ערן שלו"</f>
        <v>ערן שלו</v>
      </c>
    </row>
    <row r="2321" spans="1:56" x14ac:dyDescent="0.3">
      <c r="A2321" s="1">
        <v>44423</v>
      </c>
      <c r="B2321" t="str">
        <f>"SI216001178"</f>
        <v>SI216001178</v>
      </c>
      <c r="C2321" t="str">
        <f>"PR20000851"</f>
        <v>PR20000851</v>
      </c>
      <c r="D2321" t="str">
        <f>"PR20000851"</f>
        <v>PR20000851</v>
      </c>
      <c r="E2321" t="str">
        <f>"Y"</f>
        <v>Y</v>
      </c>
      <c r="F2321" t="str">
        <f>"חשבוניות מרכזות"</f>
        <v>חשבוניות מרכזות</v>
      </c>
      <c r="G2321" t="str">
        <f>"700065"</f>
        <v>700065</v>
      </c>
      <c r="H2321" t="str">
        <f>"אלתא מערכות בע""מ"</f>
        <v>אלתא מערכות בע"מ</v>
      </c>
      <c r="I2321" t="str">
        <f>"10"</f>
        <v>10</v>
      </c>
      <c r="J2321" t="str">
        <f>"OP-AR02190"</f>
        <v>OP-AR02190</v>
      </c>
      <c r="K2321" t="str">
        <f>"1039H864-001/-   HARNESS WY064 - CU TO TRA4 AND"</f>
        <v>1039H864-001/-   HARNESS WY064 - CU TO TRA4 AND</v>
      </c>
      <c r="L2321">
        <v>4</v>
      </c>
      <c r="M2321" t="str">
        <f>"יח"</f>
        <v>יח</v>
      </c>
      <c r="N2321">
        <v>4</v>
      </c>
      <c r="O2321" t="str">
        <f>"יח"</f>
        <v>יח</v>
      </c>
      <c r="P2321" s="2">
        <v>1131.71</v>
      </c>
      <c r="Q2321" t="str">
        <f>"$"</f>
        <v>$</v>
      </c>
      <c r="R2321" t="str">
        <f>"הזמנה"</f>
        <v>הזמנה</v>
      </c>
      <c r="S2321">
        <v>0</v>
      </c>
      <c r="T2321" s="2">
        <v>4526.84</v>
      </c>
      <c r="U2321">
        <v>0</v>
      </c>
      <c r="V2321" s="2">
        <v>4526.84</v>
      </c>
      <c r="W2321" t="str">
        <f>"$"</f>
        <v>$</v>
      </c>
      <c r="X2321">
        <v>0</v>
      </c>
      <c r="Y2321">
        <v>0</v>
      </c>
      <c r="Z2321">
        <v>0</v>
      </c>
      <c r="AA2321" t="str">
        <f>"Y"</f>
        <v>Y</v>
      </c>
      <c r="AB2321" t="str">
        <f>"SO20000555"</f>
        <v>SO20000555</v>
      </c>
      <c r="AC2321">
        <v>37</v>
      </c>
      <c r="AD2321" s="1">
        <v>44166</v>
      </c>
      <c r="AE2321" t="str">
        <f>"SH21001434"</f>
        <v>SH21001434</v>
      </c>
      <c r="AF2321" t="str">
        <f>"משלוחים ללקוח"</f>
        <v>משלוחים ללקוח</v>
      </c>
      <c r="AG2321" s="1">
        <v>44420</v>
      </c>
      <c r="AM2321" t="str">
        <f>"10"</f>
        <v>10</v>
      </c>
      <c r="AN2321" t="str">
        <f>"500000"</f>
        <v>500000</v>
      </c>
      <c r="AO2321" t="str">
        <f>"הכנסות  מלקוחות"</f>
        <v>הכנסות  מלקוחות</v>
      </c>
      <c r="AQ2321" t="str">
        <f>"034"</f>
        <v>034</v>
      </c>
      <c r="AR2321">
        <v>0</v>
      </c>
      <c r="AS2321">
        <v>0</v>
      </c>
      <c r="AT2321">
        <v>3.2229999999999999</v>
      </c>
      <c r="AX2321" t="str">
        <f>"E000326481"</f>
        <v>E000326481</v>
      </c>
      <c r="BD2321" t="str">
        <f>"ערן שלו"</f>
        <v>ערן שלו</v>
      </c>
    </row>
    <row r="2322" spans="1:56" x14ac:dyDescent="0.3">
      <c r="A2322" s="1">
        <v>44423</v>
      </c>
      <c r="B2322" t="str">
        <f>"SI216001177"</f>
        <v>SI216001177</v>
      </c>
      <c r="C2322" t="str">
        <f>"PR20000622"</f>
        <v>PR20000622</v>
      </c>
      <c r="D2322" t="str">
        <f>"PR20000622"</f>
        <v>PR20000622</v>
      </c>
      <c r="E2322" t="str">
        <f>"Y"</f>
        <v>Y</v>
      </c>
      <c r="F2322" t="str">
        <f>"חשבוניות מרכזות"</f>
        <v>חשבוניות מרכזות</v>
      </c>
      <c r="G2322" t="str">
        <f>"700065"</f>
        <v>700065</v>
      </c>
      <c r="H2322" t="str">
        <f>"אלתא מערכות בע""מ"</f>
        <v>אלתא מערכות בע"מ</v>
      </c>
      <c r="I2322" t="str">
        <f>"10"</f>
        <v>10</v>
      </c>
      <c r="J2322" t="str">
        <f>"OP-AR02016"</f>
        <v>OP-AR02016</v>
      </c>
      <c r="K2322" t="str">
        <f>"1096B462-001  DC HARNESS"</f>
        <v>1096B462-001  DC HARNESS</v>
      </c>
      <c r="L2322">
        <v>1</v>
      </c>
      <c r="M2322" t="str">
        <f>"יח"</f>
        <v>יח</v>
      </c>
      <c r="N2322">
        <v>1</v>
      </c>
      <c r="O2322" t="str">
        <f>"יח"</f>
        <v>יח</v>
      </c>
      <c r="P2322" s="2">
        <v>1175.45</v>
      </c>
      <c r="Q2322" t="str">
        <f>"$"</f>
        <v>$</v>
      </c>
      <c r="R2322" t="str">
        <f>"הזמנה"</f>
        <v>הזמנה</v>
      </c>
      <c r="S2322">
        <v>0</v>
      </c>
      <c r="T2322" s="2">
        <v>1175.45</v>
      </c>
      <c r="U2322">
        <v>0</v>
      </c>
      <c r="V2322" s="2">
        <v>1175.45</v>
      </c>
      <c r="W2322" t="str">
        <f>"$"</f>
        <v>$</v>
      </c>
      <c r="X2322">
        <v>0</v>
      </c>
      <c r="Y2322">
        <v>0</v>
      </c>
      <c r="Z2322">
        <v>0</v>
      </c>
      <c r="AA2322" t="str">
        <f>"Y"</f>
        <v>Y</v>
      </c>
      <c r="AB2322" t="str">
        <f>"SO20000414"</f>
        <v>SO20000414</v>
      </c>
      <c r="AC2322">
        <v>2</v>
      </c>
      <c r="AD2322" s="1">
        <v>44082</v>
      </c>
      <c r="AE2322" t="str">
        <f>"SH21001435"</f>
        <v>SH21001435</v>
      </c>
      <c r="AF2322" t="str">
        <f>"משלוחים ללקוח"</f>
        <v>משלוחים ללקוח</v>
      </c>
      <c r="AG2322" s="1">
        <v>44420</v>
      </c>
      <c r="AM2322" t="str">
        <f>"10"</f>
        <v>10</v>
      </c>
      <c r="AN2322" t="str">
        <f>"500000"</f>
        <v>500000</v>
      </c>
      <c r="AO2322" t="str">
        <f>"הכנסות  מלקוחות"</f>
        <v>הכנסות  מלקוחות</v>
      </c>
      <c r="AQ2322" t="str">
        <f>"034"</f>
        <v>034</v>
      </c>
      <c r="AR2322">
        <v>0</v>
      </c>
      <c r="AS2322">
        <v>0</v>
      </c>
      <c r="AT2322">
        <v>3.2229999999999999</v>
      </c>
      <c r="AX2322" t="str">
        <f>"E000319937"</f>
        <v>E000319937</v>
      </c>
      <c r="BD2322" t="str">
        <f>"ערן שלו"</f>
        <v>ערן שלו</v>
      </c>
    </row>
    <row r="2323" spans="1:56" x14ac:dyDescent="0.3">
      <c r="A2323" s="1">
        <v>44423</v>
      </c>
      <c r="B2323" t="str">
        <f>"SI216001176"</f>
        <v>SI216001176</v>
      </c>
      <c r="C2323" t="str">
        <f>"PR21000250"</f>
        <v>PR21000250</v>
      </c>
      <c r="E2323" t="str">
        <f>"Y"</f>
        <v>Y</v>
      </c>
      <c r="F2323" t="str">
        <f>"חשבוניות מרכזות"</f>
        <v>חשבוניות מרכזות</v>
      </c>
      <c r="G2323" t="str">
        <f>"700065"</f>
        <v>700065</v>
      </c>
      <c r="H2323" t="str">
        <f>"אלתא מערכות בע""מ"</f>
        <v>אלתא מערכות בע"מ</v>
      </c>
      <c r="I2323" t="str">
        <f>"10"</f>
        <v>10</v>
      </c>
      <c r="J2323" t="str">
        <f>"OP-AR02353"</f>
        <v>OP-AR02353</v>
      </c>
      <c r="K2323" t="str">
        <f>"2203B026-001    FIO CABLE ASSY"</f>
        <v>2203B026-001    FIO CABLE ASSY</v>
      </c>
      <c r="L2323">
        <v>4</v>
      </c>
      <c r="M2323" t="str">
        <f>"יח"</f>
        <v>יח</v>
      </c>
      <c r="N2323">
        <v>4</v>
      </c>
      <c r="O2323" t="str">
        <f>"יח"</f>
        <v>יח</v>
      </c>
      <c r="P2323">
        <v>466.36</v>
      </c>
      <c r="Q2323" t="str">
        <f>"$"</f>
        <v>$</v>
      </c>
      <c r="R2323" t="str">
        <f>"הזמנה"</f>
        <v>הזמנה</v>
      </c>
      <c r="S2323">
        <v>0</v>
      </c>
      <c r="T2323" s="2">
        <v>1865.44</v>
      </c>
      <c r="U2323">
        <v>0</v>
      </c>
      <c r="V2323" s="2">
        <v>1865.44</v>
      </c>
      <c r="W2323" t="str">
        <f>"$"</f>
        <v>$</v>
      </c>
      <c r="X2323">
        <v>0</v>
      </c>
      <c r="Y2323">
        <v>0</v>
      </c>
      <c r="Z2323">
        <v>0</v>
      </c>
      <c r="AA2323" t="str">
        <f>"Y"</f>
        <v>Y</v>
      </c>
      <c r="AB2323" t="str">
        <f>"SO21000171"</f>
        <v>SO21000171</v>
      </c>
      <c r="AC2323">
        <v>3</v>
      </c>
      <c r="AD2323" s="1">
        <v>44304</v>
      </c>
      <c r="AE2323" t="str">
        <f>"SH21001438"</f>
        <v>SH21001438</v>
      </c>
      <c r="AF2323" t="str">
        <f>"משלוחים ללקוח"</f>
        <v>משלוחים ללקוח</v>
      </c>
      <c r="AG2323" s="1">
        <v>44420</v>
      </c>
      <c r="AM2323" t="str">
        <f>"10"</f>
        <v>10</v>
      </c>
      <c r="AN2323" t="str">
        <f>"500000"</f>
        <v>500000</v>
      </c>
      <c r="AO2323" t="str">
        <f>"הכנסות  מלקוחות"</f>
        <v>הכנסות  מלקוחות</v>
      </c>
      <c r="AQ2323" t="str">
        <f>"040"</f>
        <v>040</v>
      </c>
      <c r="AR2323">
        <v>0</v>
      </c>
      <c r="AS2323">
        <v>0</v>
      </c>
      <c r="AT2323">
        <v>3.2229999999999999</v>
      </c>
      <c r="AX2323" t="str">
        <f>"E000336785"</f>
        <v>E000336785</v>
      </c>
      <c r="BD2323" t="str">
        <f>"רחמים זרוק"</f>
        <v>רחמים זרוק</v>
      </c>
    </row>
    <row r="2324" spans="1:56" x14ac:dyDescent="0.3">
      <c r="A2324" s="1">
        <v>44423</v>
      </c>
      <c r="B2324" t="str">
        <f>"SI216001176"</f>
        <v>SI216001176</v>
      </c>
      <c r="C2324" t="str">
        <f>"PR21000250"</f>
        <v>PR21000250</v>
      </c>
      <c r="E2324" t="str">
        <f>"Y"</f>
        <v>Y</v>
      </c>
      <c r="F2324" t="str">
        <f>"חשבוניות מרכזות"</f>
        <v>חשבוניות מרכזות</v>
      </c>
      <c r="G2324" t="str">
        <f>"700065"</f>
        <v>700065</v>
      </c>
      <c r="H2324" t="str">
        <f>"אלתא מערכות בע""מ"</f>
        <v>אלתא מערכות בע"מ</v>
      </c>
      <c r="I2324" t="str">
        <f>"10"</f>
        <v>10</v>
      </c>
      <c r="J2324" t="str">
        <f>"OP-AR02351"</f>
        <v>OP-AR02351</v>
      </c>
      <c r="K2324" t="str">
        <f>"2202B034-001    TRW22 CABLE ASSY"</f>
        <v>2202B034-001    TRW22 CABLE ASSY</v>
      </c>
      <c r="L2324">
        <v>5</v>
      </c>
      <c r="M2324" t="str">
        <f>"יח"</f>
        <v>יח</v>
      </c>
      <c r="N2324">
        <v>5</v>
      </c>
      <c r="O2324" t="str">
        <f>"יח"</f>
        <v>יח</v>
      </c>
      <c r="P2324">
        <v>191.95</v>
      </c>
      <c r="Q2324" t="str">
        <f>"$"</f>
        <v>$</v>
      </c>
      <c r="R2324" t="str">
        <f>"הזמנה"</f>
        <v>הזמנה</v>
      </c>
      <c r="S2324">
        <v>0</v>
      </c>
      <c r="T2324">
        <v>959.75</v>
      </c>
      <c r="U2324">
        <v>0</v>
      </c>
      <c r="V2324">
        <v>959.75</v>
      </c>
      <c r="W2324" t="str">
        <f>"$"</f>
        <v>$</v>
      </c>
      <c r="X2324">
        <v>0</v>
      </c>
      <c r="Y2324">
        <v>0</v>
      </c>
      <c r="Z2324">
        <v>0</v>
      </c>
      <c r="AA2324" t="str">
        <f>"Y"</f>
        <v>Y</v>
      </c>
      <c r="AB2324" t="str">
        <f>"SO21000171"</f>
        <v>SO21000171</v>
      </c>
      <c r="AC2324">
        <v>6</v>
      </c>
      <c r="AD2324" s="1">
        <v>44304</v>
      </c>
      <c r="AE2324" t="str">
        <f>"SH21001438"</f>
        <v>SH21001438</v>
      </c>
      <c r="AF2324" t="str">
        <f>"משלוחים ללקוח"</f>
        <v>משלוחים ללקוח</v>
      </c>
      <c r="AG2324" s="1">
        <v>44420</v>
      </c>
      <c r="AM2324" t="str">
        <f>"10"</f>
        <v>10</v>
      </c>
      <c r="AN2324" t="str">
        <f>"500000"</f>
        <v>500000</v>
      </c>
      <c r="AO2324" t="str">
        <f>"הכנסות  מלקוחות"</f>
        <v>הכנסות  מלקוחות</v>
      </c>
      <c r="AQ2324" t="str">
        <f>"040"</f>
        <v>040</v>
      </c>
      <c r="AR2324">
        <v>0</v>
      </c>
      <c r="AS2324">
        <v>0</v>
      </c>
      <c r="AT2324">
        <v>3.2229999999999999</v>
      </c>
      <c r="AX2324" t="str">
        <f>"E000336785"</f>
        <v>E000336785</v>
      </c>
      <c r="BD2324" t="str">
        <f>"רחמים זרוק"</f>
        <v>רחמים זרוק</v>
      </c>
    </row>
    <row r="2325" spans="1:56" x14ac:dyDescent="0.3">
      <c r="A2325" s="1">
        <v>44423</v>
      </c>
      <c r="B2325" t="str">
        <f>"SI216001175"</f>
        <v>SI216001175</v>
      </c>
      <c r="C2325" t="str">
        <f>"PR21000276"</f>
        <v>PR21000276</v>
      </c>
      <c r="D2325" t="str">
        <f>"PR21000276"</f>
        <v>PR21000276</v>
      </c>
      <c r="E2325" t="str">
        <f>"Y"</f>
        <v>Y</v>
      </c>
      <c r="F2325" t="str">
        <f>"חשבוניות מרכזות"</f>
        <v>חשבוניות מרכזות</v>
      </c>
      <c r="G2325" t="str">
        <f>"700065"</f>
        <v>700065</v>
      </c>
      <c r="H2325" t="str">
        <f>"אלתא מערכות בע""מ"</f>
        <v>אלתא מערכות בע"מ</v>
      </c>
      <c r="I2325" t="str">
        <f>"10"</f>
        <v>10</v>
      </c>
      <c r="J2325" t="str">
        <f>"OP-AR02386"</f>
        <v>OP-AR02386</v>
      </c>
      <c r="K2325" t="str">
        <f>"1039P210-001   WE044L LAB ETH CABLE"</f>
        <v>1039P210-001   WE044L LAB ETH CABLE</v>
      </c>
      <c r="L2325">
        <v>1</v>
      </c>
      <c r="M2325" t="str">
        <f>"יח"</f>
        <v>יח</v>
      </c>
      <c r="N2325">
        <v>1</v>
      </c>
      <c r="O2325" t="str">
        <f>"יח"</f>
        <v>יח</v>
      </c>
      <c r="P2325">
        <v>335.3</v>
      </c>
      <c r="Q2325" t="str">
        <f>"$"</f>
        <v>$</v>
      </c>
      <c r="R2325" t="str">
        <f>"הזמנה"</f>
        <v>הזמנה</v>
      </c>
      <c r="S2325">
        <v>0</v>
      </c>
      <c r="T2325">
        <v>335.3</v>
      </c>
      <c r="U2325">
        <v>0</v>
      </c>
      <c r="V2325">
        <v>335.3</v>
      </c>
      <c r="W2325" t="str">
        <f>"$"</f>
        <v>$</v>
      </c>
      <c r="X2325">
        <v>0</v>
      </c>
      <c r="Y2325">
        <v>0</v>
      </c>
      <c r="Z2325">
        <v>0</v>
      </c>
      <c r="AA2325" t="str">
        <f>"Y"</f>
        <v>Y</v>
      </c>
      <c r="AB2325" t="str">
        <f>"SO21000195"</f>
        <v>SO21000195</v>
      </c>
      <c r="AC2325">
        <v>7</v>
      </c>
      <c r="AD2325" s="1">
        <v>44313</v>
      </c>
      <c r="AE2325" t="str">
        <f>"SH21001439"</f>
        <v>SH21001439</v>
      </c>
      <c r="AF2325" t="str">
        <f>"משלוחים ללקוח"</f>
        <v>משלוחים ללקוח</v>
      </c>
      <c r="AG2325" s="1">
        <v>44420</v>
      </c>
      <c r="AM2325" t="str">
        <f>"10"</f>
        <v>10</v>
      </c>
      <c r="AN2325" t="str">
        <f>"500000"</f>
        <v>500000</v>
      </c>
      <c r="AO2325" t="str">
        <f>"הכנסות  מלקוחות"</f>
        <v>הכנסות  מלקוחות</v>
      </c>
      <c r="AQ2325" t="str">
        <f>"034"</f>
        <v>034</v>
      </c>
      <c r="AR2325">
        <v>0</v>
      </c>
      <c r="AS2325">
        <v>0</v>
      </c>
      <c r="AT2325">
        <v>3.2229999999999999</v>
      </c>
      <c r="AX2325" t="str">
        <f>"E000336131"</f>
        <v>E000336131</v>
      </c>
      <c r="BD2325" t="str">
        <f>"ערן שלו"</f>
        <v>ערן שלו</v>
      </c>
    </row>
    <row r="2326" spans="1:56" x14ac:dyDescent="0.3">
      <c r="A2326" s="1">
        <v>44423</v>
      </c>
      <c r="B2326" t="str">
        <f>"SI216001174"</f>
        <v>SI216001174</v>
      </c>
      <c r="C2326" t="str">
        <f>"PR21000342"</f>
        <v>PR21000342</v>
      </c>
      <c r="D2326" t="str">
        <f>"PR21000342"</f>
        <v>PR21000342</v>
      </c>
      <c r="E2326" t="str">
        <f>"Y"</f>
        <v>Y</v>
      </c>
      <c r="F2326" t="str">
        <f>"חשבוניות מרכזות"</f>
        <v>חשבוניות מרכזות</v>
      </c>
      <c r="G2326" t="str">
        <f>"700065"</f>
        <v>700065</v>
      </c>
      <c r="H2326" t="str">
        <f>"אלתא מערכות בע""מ"</f>
        <v>אלתא מערכות בע"מ</v>
      </c>
      <c r="I2326" t="str">
        <f>"10"</f>
        <v>10</v>
      </c>
      <c r="J2326" t="str">
        <f>"OP-AR02584"</f>
        <v>OP-AR02584</v>
      </c>
      <c r="K2326" t="str">
        <f>"1038C399-001   HARNESS WV399 - PDB1 TO RECTIFIER (BENDE"</f>
        <v>1038C399-001   HARNESS WV399 - PDB1 TO RECTIFIER (BENDE</v>
      </c>
      <c r="L2326">
        <v>6</v>
      </c>
      <c r="M2326" t="str">
        <f>"יח"</f>
        <v>יח</v>
      </c>
      <c r="N2326">
        <v>6</v>
      </c>
      <c r="O2326" t="str">
        <f>"יח"</f>
        <v>יח</v>
      </c>
      <c r="P2326">
        <v>334.69</v>
      </c>
      <c r="Q2326" t="str">
        <f>"$"</f>
        <v>$</v>
      </c>
      <c r="R2326" t="str">
        <f>"הזמנה"</f>
        <v>הזמנה</v>
      </c>
      <c r="S2326">
        <v>0</v>
      </c>
      <c r="T2326" s="2">
        <v>2008.14</v>
      </c>
      <c r="U2326">
        <v>0</v>
      </c>
      <c r="V2326" s="2">
        <v>2008.14</v>
      </c>
      <c r="W2326" t="str">
        <f>"$"</f>
        <v>$</v>
      </c>
      <c r="X2326">
        <v>0</v>
      </c>
      <c r="Y2326">
        <v>0</v>
      </c>
      <c r="Z2326">
        <v>0</v>
      </c>
      <c r="AA2326" t="str">
        <f>"Y"</f>
        <v>Y</v>
      </c>
      <c r="AB2326" t="str">
        <f>"SO21000236"</f>
        <v>SO21000236</v>
      </c>
      <c r="AC2326">
        <v>2</v>
      </c>
      <c r="AD2326" s="1">
        <v>44341</v>
      </c>
      <c r="AE2326" t="str">
        <f>"SH21001440"</f>
        <v>SH21001440</v>
      </c>
      <c r="AF2326" t="str">
        <f>"משלוחים ללקוח"</f>
        <v>משלוחים ללקוח</v>
      </c>
      <c r="AG2326" s="1">
        <v>44420</v>
      </c>
      <c r="AM2326" t="str">
        <f>"10"</f>
        <v>10</v>
      </c>
      <c r="AN2326" t="str">
        <f>"500000"</f>
        <v>500000</v>
      </c>
      <c r="AO2326" t="str">
        <f>"הכנסות  מלקוחות"</f>
        <v>הכנסות  מלקוחות</v>
      </c>
      <c r="AQ2326" t="str">
        <f>"040"</f>
        <v>040</v>
      </c>
      <c r="AR2326">
        <v>0</v>
      </c>
      <c r="AS2326">
        <v>0</v>
      </c>
      <c r="AT2326">
        <v>3.2229999999999999</v>
      </c>
      <c r="AX2326" t="str">
        <f>"E000337986"</f>
        <v>E000337986</v>
      </c>
      <c r="BD2326" t="str">
        <f>"רחמים זרוק"</f>
        <v>רחמים זרוק</v>
      </c>
    </row>
    <row r="2327" spans="1:56" x14ac:dyDescent="0.3">
      <c r="A2327" s="1">
        <v>44423</v>
      </c>
      <c r="B2327" t="str">
        <f>"SI216001173"</f>
        <v>SI216001173</v>
      </c>
      <c r="C2327" t="str">
        <f>"PR21000080"</f>
        <v>PR21000080</v>
      </c>
      <c r="E2327" t="str">
        <f>"Y"</f>
        <v>Y</v>
      </c>
      <c r="F2327" t="str">
        <f>"חשבוניות מרכזות"</f>
        <v>חשבוניות מרכזות</v>
      </c>
      <c r="G2327" t="str">
        <f>"700065"</f>
        <v>700065</v>
      </c>
      <c r="H2327" t="str">
        <f>"אלתא מערכות בע""מ"</f>
        <v>אלתא מערכות בע"מ</v>
      </c>
      <c r="I2327" t="str">
        <f>"10"</f>
        <v>10</v>
      </c>
      <c r="J2327" t="str">
        <f>"OP-AR02238"</f>
        <v>OP-AR02238</v>
      </c>
      <c r="K2327" t="str">
        <f>"1041G105-001  HARNESS W105 - GROUND - ANTENNA PA"</f>
        <v>1041G105-001  HARNESS W105 - GROUND - ANTENNA PA</v>
      </c>
      <c r="L2327">
        <v>2</v>
      </c>
      <c r="M2327" t="str">
        <f>"יח"</f>
        <v>יח</v>
      </c>
      <c r="N2327">
        <v>2</v>
      </c>
      <c r="O2327" t="str">
        <f>"יח"</f>
        <v>יח</v>
      </c>
      <c r="P2327">
        <v>132.34</v>
      </c>
      <c r="Q2327" t="str">
        <f>"$"</f>
        <v>$</v>
      </c>
      <c r="R2327" t="str">
        <f>"הזמנה"</f>
        <v>הזמנה</v>
      </c>
      <c r="S2327">
        <v>0</v>
      </c>
      <c r="T2327">
        <v>264.68</v>
      </c>
      <c r="U2327">
        <v>0</v>
      </c>
      <c r="V2327">
        <v>264.68</v>
      </c>
      <c r="W2327" t="str">
        <f>"$"</f>
        <v>$</v>
      </c>
      <c r="X2327">
        <v>0</v>
      </c>
      <c r="Y2327">
        <v>0</v>
      </c>
      <c r="Z2327">
        <v>0</v>
      </c>
      <c r="AA2327" t="str">
        <f>"Y"</f>
        <v>Y</v>
      </c>
      <c r="AB2327" t="str">
        <f>"SO21000025"</f>
        <v>SO21000025</v>
      </c>
      <c r="AC2327">
        <v>3</v>
      </c>
      <c r="AD2327" s="1">
        <v>44215</v>
      </c>
      <c r="AE2327" t="str">
        <f>"SH21001441"</f>
        <v>SH21001441</v>
      </c>
      <c r="AF2327" t="str">
        <f>"משלוחים ללקוח"</f>
        <v>משלוחים ללקוח</v>
      </c>
      <c r="AG2327" s="1">
        <v>44420</v>
      </c>
      <c r="AM2327" t="str">
        <f>"10"</f>
        <v>10</v>
      </c>
      <c r="AN2327" t="str">
        <f>"500000"</f>
        <v>500000</v>
      </c>
      <c r="AO2327" t="str">
        <f>"הכנסות  מלקוחות"</f>
        <v>הכנסות  מלקוחות</v>
      </c>
      <c r="AQ2327" t="str">
        <f>"034"</f>
        <v>034</v>
      </c>
      <c r="AR2327">
        <v>0</v>
      </c>
      <c r="AS2327">
        <v>0</v>
      </c>
      <c r="AT2327">
        <v>3.2229999999999999</v>
      </c>
      <c r="AX2327" t="str">
        <f>"E000327150"</f>
        <v>E000327150</v>
      </c>
      <c r="BD2327" t="str">
        <f>"ערן שלו"</f>
        <v>ערן שלו</v>
      </c>
    </row>
    <row r="2328" spans="1:56" x14ac:dyDescent="0.3">
      <c r="A2328" s="1">
        <v>44423</v>
      </c>
      <c r="B2328" t="str">
        <f>"SI216001173"</f>
        <v>SI216001173</v>
      </c>
      <c r="C2328" t="str">
        <f>"PR21000080"</f>
        <v>PR21000080</v>
      </c>
      <c r="E2328" t="str">
        <f>"Y"</f>
        <v>Y</v>
      </c>
      <c r="F2328" t="str">
        <f>"חשבוניות מרכזות"</f>
        <v>חשבוניות מרכזות</v>
      </c>
      <c r="G2328" t="str">
        <f>"700065"</f>
        <v>700065</v>
      </c>
      <c r="H2328" t="str">
        <f>"אלתא מערכות בע""מ"</f>
        <v>אלתא מערכות בע"מ</v>
      </c>
      <c r="I2328" t="str">
        <f>"10"</f>
        <v>10</v>
      </c>
      <c r="J2328" t="str">
        <f>"PA1001801"</f>
        <v>PA1001801</v>
      </c>
      <c r="K2328" t="str">
        <f>"RAYBLOCK-105KIT0105-A"</f>
        <v>RAYBLOCK-105KIT0105-A</v>
      </c>
      <c r="L2328">
        <v>900</v>
      </c>
      <c r="M2328" t="str">
        <f>"יח"</f>
        <v>יח</v>
      </c>
      <c r="N2328">
        <v>900</v>
      </c>
      <c r="O2328" t="str">
        <f>"יח"</f>
        <v>יח</v>
      </c>
      <c r="P2328">
        <v>0.43</v>
      </c>
      <c r="Q2328" t="str">
        <f>"$"</f>
        <v>$</v>
      </c>
      <c r="R2328" t="str">
        <f>"הזמנה"</f>
        <v>הזמנה</v>
      </c>
      <c r="S2328">
        <v>0</v>
      </c>
      <c r="T2328">
        <v>387</v>
      </c>
      <c r="U2328">
        <v>0</v>
      </c>
      <c r="V2328">
        <v>387</v>
      </c>
      <c r="W2328" t="str">
        <f>"$"</f>
        <v>$</v>
      </c>
      <c r="X2328">
        <v>0</v>
      </c>
      <c r="Y2328">
        <v>0</v>
      </c>
      <c r="Z2328">
        <v>0</v>
      </c>
      <c r="AA2328" t="str">
        <f>"Y"</f>
        <v>Y</v>
      </c>
      <c r="AB2328" t="str">
        <f>"SO21000025"</f>
        <v>SO21000025</v>
      </c>
      <c r="AC2328">
        <v>4</v>
      </c>
      <c r="AD2328" s="1">
        <v>44215</v>
      </c>
      <c r="AE2328" t="str">
        <f>"SH21001441"</f>
        <v>SH21001441</v>
      </c>
      <c r="AF2328" t="str">
        <f>"משלוחים ללקוח"</f>
        <v>משלוחים ללקוח</v>
      </c>
      <c r="AG2328" s="1">
        <v>44420</v>
      </c>
      <c r="AM2328" t="str">
        <f>"10"</f>
        <v>10</v>
      </c>
      <c r="AN2328" t="str">
        <f>"500000"</f>
        <v>500000</v>
      </c>
      <c r="AO2328" t="str">
        <f>"הכנסות  מלקוחות"</f>
        <v>הכנסות  מלקוחות</v>
      </c>
      <c r="AQ2328" t="str">
        <f>"034"</f>
        <v>034</v>
      </c>
      <c r="AR2328">
        <v>0</v>
      </c>
      <c r="AS2328">
        <v>0</v>
      </c>
      <c r="AT2328">
        <v>3.2229999999999999</v>
      </c>
      <c r="AX2328" t="str">
        <f>"E000327150"</f>
        <v>E000327150</v>
      </c>
      <c r="BD2328" t="str">
        <f>"ערן שלו"</f>
        <v>ערן שלו</v>
      </c>
    </row>
    <row r="2329" spans="1:56" x14ac:dyDescent="0.3">
      <c r="A2329" s="1">
        <v>44423</v>
      </c>
      <c r="B2329" t="str">
        <f>"SI216001172"</f>
        <v>SI216001172</v>
      </c>
      <c r="C2329" t="str">
        <f>"PR19000750"</f>
        <v>PR19000750</v>
      </c>
      <c r="D2329" t="str">
        <f>"PR19000750"</f>
        <v>PR19000750</v>
      </c>
      <c r="E2329" t="str">
        <f>"Y"</f>
        <v>Y</v>
      </c>
      <c r="F2329" t="str">
        <f>"חשבוניות מרכזות"</f>
        <v>חשבוניות מרכזות</v>
      </c>
      <c r="G2329" t="str">
        <f>"700065"</f>
        <v>700065</v>
      </c>
      <c r="H2329" t="str">
        <f>"אלתא מערכות בע""מ"</f>
        <v>אלתא מערכות בע"מ</v>
      </c>
      <c r="I2329" t="str">
        <f>"11"</f>
        <v>11</v>
      </c>
      <c r="J2329" t="str">
        <f>"OP-KT00116"</f>
        <v>OP-KT00116</v>
      </c>
      <c r="K2329" t="str">
        <f>"1037C838-001 PDB SPARES O LEVEL"</f>
        <v>1037C838-001 PDB SPARES O LEVEL</v>
      </c>
      <c r="L2329">
        <v>1</v>
      </c>
      <c r="M2329" t="str">
        <f>"יח"</f>
        <v>יח</v>
      </c>
      <c r="N2329">
        <v>1</v>
      </c>
      <c r="O2329" t="str">
        <f>"יח"</f>
        <v>יח</v>
      </c>
      <c r="P2329" s="2">
        <v>6574</v>
      </c>
      <c r="Q2329" t="str">
        <f>"$"</f>
        <v>$</v>
      </c>
      <c r="R2329" t="str">
        <f>"הזמנה"</f>
        <v>הזמנה</v>
      </c>
      <c r="S2329">
        <v>0</v>
      </c>
      <c r="T2329" s="2">
        <v>6574</v>
      </c>
      <c r="U2329">
        <v>0</v>
      </c>
      <c r="V2329" s="2">
        <v>6574</v>
      </c>
      <c r="W2329" t="str">
        <f>"$"</f>
        <v>$</v>
      </c>
      <c r="X2329">
        <v>0</v>
      </c>
      <c r="Y2329">
        <v>0</v>
      </c>
      <c r="Z2329">
        <v>0</v>
      </c>
      <c r="AA2329" t="str">
        <f>"Y"</f>
        <v>Y</v>
      </c>
      <c r="AB2329" t="str">
        <f>"SO19000535"</f>
        <v>SO19000535</v>
      </c>
      <c r="AC2329">
        <v>25</v>
      </c>
      <c r="AD2329" s="1">
        <v>43823</v>
      </c>
      <c r="AE2329" t="str">
        <f>"SH21001444"</f>
        <v>SH21001444</v>
      </c>
      <c r="AF2329" t="str">
        <f>"משלוחים ללקוח"</f>
        <v>משלוחים ללקוח</v>
      </c>
      <c r="AG2329" s="1">
        <v>44420</v>
      </c>
      <c r="AM2329" t="str">
        <f>"10"</f>
        <v>10</v>
      </c>
      <c r="AN2329" t="str">
        <f>"500000"</f>
        <v>500000</v>
      </c>
      <c r="AO2329" t="str">
        <f>"הכנסות  מלקוחות"</f>
        <v>הכנסות  מלקוחות</v>
      </c>
      <c r="AQ2329" t="str">
        <f>"034"</f>
        <v>034</v>
      </c>
      <c r="AR2329">
        <v>0</v>
      </c>
      <c r="AS2329">
        <v>0</v>
      </c>
      <c r="AT2329">
        <v>3.2229999999999999</v>
      </c>
      <c r="AX2329" t="str">
        <f>"E000303378"</f>
        <v>E000303378</v>
      </c>
      <c r="BD2329" t="str">
        <f>"ערן שלו"</f>
        <v>ערן שלו</v>
      </c>
    </row>
    <row r="2330" spans="1:56" x14ac:dyDescent="0.3">
      <c r="A2330" s="1">
        <v>44423</v>
      </c>
      <c r="B2330" t="str">
        <f>"SI216001171"</f>
        <v>SI216001171</v>
      </c>
      <c r="C2330" t="str">
        <f>"PR20000150"</f>
        <v>PR20000150</v>
      </c>
      <c r="E2330" t="str">
        <f>"Y"</f>
        <v>Y</v>
      </c>
      <c r="F2330" t="str">
        <f>"חשבוניות מרכזות"</f>
        <v>חשבוניות מרכזות</v>
      </c>
      <c r="G2330" t="str">
        <f>"700065"</f>
        <v>700065</v>
      </c>
      <c r="H2330" t="str">
        <f>"אלתא מערכות בע""מ"</f>
        <v>אלתא מערכות בע"מ</v>
      </c>
      <c r="I2330" t="str">
        <f>"10"</f>
        <v>10</v>
      </c>
      <c r="J2330" t="str">
        <f>"OP-AR09107-1"</f>
        <v>OP-AR09107-1</v>
      </c>
      <c r="K2330" t="str">
        <f>"לוח AUX BOX מק""ט לקוח 1036V320 001"</f>
        <v>לוח AUX BOX מק"ט לקוח 1036V320 001</v>
      </c>
      <c r="L2330">
        <v>1</v>
      </c>
      <c r="M2330" t="str">
        <f>"יח"</f>
        <v>יח</v>
      </c>
      <c r="N2330">
        <v>1</v>
      </c>
      <c r="O2330" t="str">
        <f>"יח"</f>
        <v>יח</v>
      </c>
      <c r="P2330" s="2">
        <v>26958</v>
      </c>
      <c r="Q2330" t="str">
        <f>"$"</f>
        <v>$</v>
      </c>
      <c r="R2330" t="str">
        <f>"הזמנה"</f>
        <v>הזמנה</v>
      </c>
      <c r="S2330">
        <v>0</v>
      </c>
      <c r="T2330" s="2">
        <v>26958</v>
      </c>
      <c r="U2330">
        <v>0</v>
      </c>
      <c r="V2330" s="2">
        <v>26958</v>
      </c>
      <c r="W2330" t="str">
        <f>"$"</f>
        <v>$</v>
      </c>
      <c r="X2330">
        <v>0</v>
      </c>
      <c r="Y2330">
        <v>0</v>
      </c>
      <c r="Z2330">
        <v>0</v>
      </c>
      <c r="AA2330" t="str">
        <f>"Y"</f>
        <v>Y</v>
      </c>
      <c r="AB2330" t="str">
        <f>"SO20000381"</f>
        <v>SO20000381</v>
      </c>
      <c r="AC2330">
        <v>18</v>
      </c>
      <c r="AD2330" s="1">
        <v>44073</v>
      </c>
      <c r="AE2330" t="str">
        <f>"SH21001445"</f>
        <v>SH21001445</v>
      </c>
      <c r="AF2330" t="str">
        <f>"משלוחים ללקוח"</f>
        <v>משלוחים ללקוח</v>
      </c>
      <c r="AG2330" s="1">
        <v>44420</v>
      </c>
      <c r="AM2330" t="str">
        <f>"10"</f>
        <v>10</v>
      </c>
      <c r="AN2330" t="str">
        <f>"500000"</f>
        <v>500000</v>
      </c>
      <c r="AO2330" t="str">
        <f>"הכנסות  מלקוחות"</f>
        <v>הכנסות  מלקוחות</v>
      </c>
      <c r="AQ2330" t="str">
        <f>"034"</f>
        <v>034</v>
      </c>
      <c r="AR2330">
        <v>0</v>
      </c>
      <c r="AS2330">
        <v>0</v>
      </c>
      <c r="AT2330">
        <v>3.2229999999999999</v>
      </c>
      <c r="AX2330" t="str">
        <f>"E000319715"</f>
        <v>E000319715</v>
      </c>
      <c r="BD2330" t="str">
        <f>"ערן שלו"</f>
        <v>ערן שלו</v>
      </c>
    </row>
    <row r="2331" spans="1:56" x14ac:dyDescent="0.3">
      <c r="A2331" s="1">
        <v>44423</v>
      </c>
      <c r="B2331" t="str">
        <f>"SI216001170"</f>
        <v>SI216001170</v>
      </c>
      <c r="C2331" t="str">
        <f>"PR20000779"</f>
        <v>PR20000779</v>
      </c>
      <c r="E2331" t="str">
        <f>"Y"</f>
        <v>Y</v>
      </c>
      <c r="F2331" t="str">
        <f>"חשבוניות מרכזות"</f>
        <v>חשבוניות מרכזות</v>
      </c>
      <c r="G2331" t="str">
        <f>"700065"</f>
        <v>700065</v>
      </c>
      <c r="H2331" t="str">
        <f>"אלתא מערכות בע""מ"</f>
        <v>אלתא מערכות בע"מ</v>
      </c>
      <c r="I2331" t="str">
        <f>"10"</f>
        <v>10</v>
      </c>
      <c r="J2331" t="str">
        <f>"OP-AR02063"</f>
        <v>OP-AR02063</v>
      </c>
      <c r="K2331" t="str">
        <f>"1020Y273-001   POWER CABLE ASSY W35"</f>
        <v>1020Y273-001   POWER CABLE ASSY W35</v>
      </c>
      <c r="L2331">
        <v>1</v>
      </c>
      <c r="M2331" t="str">
        <f>"יח"</f>
        <v>יח</v>
      </c>
      <c r="N2331">
        <v>1</v>
      </c>
      <c r="O2331" t="str">
        <f>"יח"</f>
        <v>יח</v>
      </c>
      <c r="P2331">
        <v>527.79</v>
      </c>
      <c r="Q2331" t="str">
        <f>"$"</f>
        <v>$</v>
      </c>
      <c r="R2331" t="str">
        <f>"הזמנה"</f>
        <v>הזמנה</v>
      </c>
      <c r="S2331">
        <v>0</v>
      </c>
      <c r="T2331">
        <v>527.79</v>
      </c>
      <c r="U2331">
        <v>0</v>
      </c>
      <c r="V2331">
        <v>527.79</v>
      </c>
      <c r="W2331" t="str">
        <f>"$"</f>
        <v>$</v>
      </c>
      <c r="X2331">
        <v>0</v>
      </c>
      <c r="Y2331">
        <v>0</v>
      </c>
      <c r="Z2331">
        <v>0</v>
      </c>
      <c r="AA2331" t="str">
        <f>"Y"</f>
        <v>Y</v>
      </c>
      <c r="AC2331">
        <v>0</v>
      </c>
      <c r="AM2331" t="str">
        <f>"10"</f>
        <v>10</v>
      </c>
      <c r="AN2331" t="str">
        <f>"500000"</f>
        <v>500000</v>
      </c>
      <c r="AO2331" t="str">
        <f>"הכנסות  מלקוחות"</f>
        <v>הכנסות  מלקוחות</v>
      </c>
      <c r="AQ2331" t="str">
        <f>"034"</f>
        <v>034</v>
      </c>
      <c r="AR2331">
        <v>0</v>
      </c>
      <c r="AS2331">
        <v>0</v>
      </c>
      <c r="AT2331">
        <v>3.2229999999999999</v>
      </c>
      <c r="BB2331" t="str">
        <f>"Y"</f>
        <v>Y</v>
      </c>
      <c r="BD2331" t="str">
        <f>"ערן שלו"</f>
        <v>ערן שלו</v>
      </c>
    </row>
    <row r="2332" spans="1:56" x14ac:dyDescent="0.3">
      <c r="A2332" s="1">
        <v>44423</v>
      </c>
      <c r="B2332" t="str">
        <f>"SI216001169"</f>
        <v>SI216001169</v>
      </c>
      <c r="C2332" t="str">
        <f>"PR20000142"</f>
        <v>PR20000142</v>
      </c>
      <c r="E2332" t="str">
        <f>"Y"</f>
        <v>Y</v>
      </c>
      <c r="F2332" t="str">
        <f>"חשבוניות מרכזות"</f>
        <v>חשבוניות מרכזות</v>
      </c>
      <c r="G2332" t="str">
        <f>"700065"</f>
        <v>700065</v>
      </c>
      <c r="H2332" t="str">
        <f>"אלתא מערכות בע""מ"</f>
        <v>אלתא מערכות בע"מ</v>
      </c>
      <c r="I2332" t="str">
        <f>"10"</f>
        <v>10</v>
      </c>
      <c r="J2332" t="str">
        <f>"OP-AR09105-1"</f>
        <v>OP-AR09105-1</v>
      </c>
      <c r="K2332" t="str">
        <f>"לוח ARMY מק""ט לקוח 1036V310-001"</f>
        <v>לוח ARMY מק"ט לקוח 1036V310-001</v>
      </c>
      <c r="L2332">
        <v>1</v>
      </c>
      <c r="M2332" t="str">
        <f>"יח"</f>
        <v>יח</v>
      </c>
      <c r="N2332">
        <v>1</v>
      </c>
      <c r="O2332" t="str">
        <f>"יח"</f>
        <v>יח</v>
      </c>
      <c r="P2332" s="2">
        <v>38749</v>
      </c>
      <c r="Q2332" t="str">
        <f>"$"</f>
        <v>$</v>
      </c>
      <c r="R2332" t="str">
        <f>"הזמנה"</f>
        <v>הזמנה</v>
      </c>
      <c r="S2332">
        <v>0</v>
      </c>
      <c r="T2332" s="2">
        <v>38749</v>
      </c>
      <c r="U2332">
        <v>0</v>
      </c>
      <c r="V2332" s="2">
        <v>38749</v>
      </c>
      <c r="W2332" t="str">
        <f>"$"</f>
        <v>$</v>
      </c>
      <c r="X2332">
        <v>0</v>
      </c>
      <c r="Y2332">
        <v>0</v>
      </c>
      <c r="Z2332">
        <v>0</v>
      </c>
      <c r="AA2332" t="str">
        <f>"Y"</f>
        <v>Y</v>
      </c>
      <c r="AB2332" t="str">
        <f>"SO20000381"</f>
        <v>SO20000381</v>
      </c>
      <c r="AC2332">
        <v>8</v>
      </c>
      <c r="AD2332" s="1">
        <v>44073</v>
      </c>
      <c r="AE2332" t="str">
        <f>"SH21001448"</f>
        <v>SH21001448</v>
      </c>
      <c r="AF2332" t="str">
        <f>"משלוחים ללקוח"</f>
        <v>משלוחים ללקוח</v>
      </c>
      <c r="AG2332" s="1">
        <v>44420</v>
      </c>
      <c r="AM2332" t="str">
        <f>"10"</f>
        <v>10</v>
      </c>
      <c r="AN2332" t="str">
        <f>"500000"</f>
        <v>500000</v>
      </c>
      <c r="AO2332" t="str">
        <f>"הכנסות  מלקוחות"</f>
        <v>הכנסות  מלקוחות</v>
      </c>
      <c r="AQ2332" t="str">
        <f>"034"</f>
        <v>034</v>
      </c>
      <c r="AR2332">
        <v>0</v>
      </c>
      <c r="AS2332">
        <v>0</v>
      </c>
      <c r="AT2332">
        <v>3.2229999999999999</v>
      </c>
      <c r="AX2332" t="str">
        <f>"E000319715"</f>
        <v>E000319715</v>
      </c>
      <c r="BD2332" t="str">
        <f>"ערן שלו"</f>
        <v>ערן שלו</v>
      </c>
    </row>
    <row r="2333" spans="1:56" x14ac:dyDescent="0.3">
      <c r="A2333" s="1">
        <v>44423</v>
      </c>
      <c r="B2333" t="str">
        <f>"SI216001168"</f>
        <v>SI216001168</v>
      </c>
      <c r="C2333" t="str">
        <f>"PR21000172"</f>
        <v>PR21000172</v>
      </c>
      <c r="E2333" t="str">
        <f>"Y"</f>
        <v>Y</v>
      </c>
      <c r="F2333" t="str">
        <f>"חשבוניות מרכזות"</f>
        <v>חשבוניות מרכזות</v>
      </c>
      <c r="G2333" t="str">
        <f>"700065"</f>
        <v>700065</v>
      </c>
      <c r="H2333" t="str">
        <f>"אלתא מערכות בע""מ"</f>
        <v>אלתא מערכות בע"מ</v>
      </c>
      <c r="I2333" t="str">
        <f>"10"</f>
        <v>10</v>
      </c>
      <c r="J2333" t="str">
        <f>"OP-AR00467"</f>
        <v>OP-AR00467</v>
      </c>
      <c r="K2333" t="str">
        <f>"AC PCU CONTROL BOX"</f>
        <v>AC PCU CONTROL BOX</v>
      </c>
      <c r="L2333">
        <v>1</v>
      </c>
      <c r="M2333" t="str">
        <f>"יח"</f>
        <v>יח</v>
      </c>
      <c r="N2333">
        <v>1</v>
      </c>
      <c r="O2333" t="str">
        <f>"יח"</f>
        <v>יח</v>
      </c>
      <c r="P2333" s="2">
        <v>4250</v>
      </c>
      <c r="Q2333" t="str">
        <f>"$"</f>
        <v>$</v>
      </c>
      <c r="R2333" t="str">
        <f>"הזמנה"</f>
        <v>הזמנה</v>
      </c>
      <c r="S2333">
        <v>0</v>
      </c>
      <c r="T2333" s="2">
        <v>4250</v>
      </c>
      <c r="U2333">
        <v>0</v>
      </c>
      <c r="V2333" s="2">
        <v>4250</v>
      </c>
      <c r="W2333" t="str">
        <f>"$"</f>
        <v>$</v>
      </c>
      <c r="X2333">
        <v>0</v>
      </c>
      <c r="Y2333">
        <v>0</v>
      </c>
      <c r="Z2333">
        <v>0</v>
      </c>
      <c r="AA2333" t="str">
        <f>"Y"</f>
        <v>Y</v>
      </c>
      <c r="AB2333" t="str">
        <f>"SO21000111"</f>
        <v>SO21000111</v>
      </c>
      <c r="AC2333">
        <v>1</v>
      </c>
      <c r="AD2333" s="1">
        <v>44264</v>
      </c>
      <c r="AE2333" t="str">
        <f>"SH21001449"</f>
        <v>SH21001449</v>
      </c>
      <c r="AF2333" t="str">
        <f>"משלוחים ללקוח"</f>
        <v>משלוחים ללקוח</v>
      </c>
      <c r="AG2333" s="1">
        <v>44420</v>
      </c>
      <c r="AM2333" t="str">
        <f>"10"</f>
        <v>10</v>
      </c>
      <c r="AN2333" t="str">
        <f>"500000"</f>
        <v>500000</v>
      </c>
      <c r="AO2333" t="str">
        <f>"הכנסות  מלקוחות"</f>
        <v>הכנסות  מלקוחות</v>
      </c>
      <c r="AQ2333" t="str">
        <f>"034"</f>
        <v>034</v>
      </c>
      <c r="AR2333">
        <v>0</v>
      </c>
      <c r="AS2333">
        <v>0</v>
      </c>
      <c r="AT2333">
        <v>3.2229999999999999</v>
      </c>
      <c r="AX2333" t="str">
        <f>"E000334263"</f>
        <v>E000334263</v>
      </c>
      <c r="BD2333" t="str">
        <f>"ערן שלו"</f>
        <v>ערן שלו</v>
      </c>
    </row>
    <row r="2334" spans="1:56" x14ac:dyDescent="0.3">
      <c r="A2334" s="1">
        <v>44423</v>
      </c>
      <c r="B2334" t="str">
        <f>"SI216001167"</f>
        <v>SI216001167</v>
      </c>
      <c r="E2334" t="str">
        <f>"Y"</f>
        <v>Y</v>
      </c>
      <c r="F2334" t="str">
        <f>"חשבוניות מרכזות"</f>
        <v>חשבוניות מרכזות</v>
      </c>
      <c r="G2334" t="str">
        <f>"700065"</f>
        <v>700065</v>
      </c>
      <c r="H2334" t="str">
        <f>"אלתא מערכות בע""מ"</f>
        <v>אלתא מערכות בע"מ</v>
      </c>
      <c r="I2334" t="str">
        <f>"10"</f>
        <v>10</v>
      </c>
      <c r="J2334" t="str">
        <f>"OP-ML00179"</f>
        <v>OP-ML00179</v>
      </c>
      <c r="K2334" t="str">
        <f>"1038C906-001 Radar Power Unit (RPU) Platform"</f>
        <v>1038C906-001 Radar Power Unit (RPU) Platform</v>
      </c>
      <c r="L2334">
        <v>1</v>
      </c>
      <c r="M2334" t="str">
        <f>"יח"</f>
        <v>יח</v>
      </c>
      <c r="N2334">
        <v>1</v>
      </c>
      <c r="O2334" t="str">
        <f>"יח"</f>
        <v>יח</v>
      </c>
      <c r="P2334" s="2">
        <v>284970</v>
      </c>
      <c r="Q2334" t="str">
        <f>"$"</f>
        <v>$</v>
      </c>
      <c r="R2334" t="str">
        <f>"הזמנה"</f>
        <v>הזמנה</v>
      </c>
      <c r="S2334">
        <v>0</v>
      </c>
      <c r="T2334" s="2">
        <v>284970</v>
      </c>
      <c r="U2334">
        <v>0</v>
      </c>
      <c r="V2334" s="2">
        <v>284970</v>
      </c>
      <c r="W2334" t="str">
        <f>"$"</f>
        <v>$</v>
      </c>
      <c r="X2334">
        <v>0</v>
      </c>
      <c r="Y2334">
        <v>0</v>
      </c>
      <c r="Z2334">
        <v>0</v>
      </c>
      <c r="AA2334" t="str">
        <f>"Y"</f>
        <v>Y</v>
      </c>
      <c r="AC2334">
        <v>0</v>
      </c>
      <c r="AM2334" t="str">
        <f>"10"</f>
        <v>10</v>
      </c>
      <c r="AN2334" t="str">
        <f>"500000"</f>
        <v>500000</v>
      </c>
      <c r="AO2334" t="str">
        <f>"הכנסות  מלקוחות"</f>
        <v>הכנסות  מלקוחות</v>
      </c>
      <c r="AQ2334" t="str">
        <f>"034"</f>
        <v>034</v>
      </c>
      <c r="AR2334">
        <v>0</v>
      </c>
      <c r="AS2334">
        <v>0</v>
      </c>
      <c r="AT2334">
        <v>3.2229999999999999</v>
      </c>
      <c r="BB2334" t="str">
        <f>"Y"</f>
        <v>Y</v>
      </c>
      <c r="BD2334" t="str">
        <f>"ערן שלו"</f>
        <v>ערן שלו</v>
      </c>
    </row>
    <row r="2335" spans="1:56" x14ac:dyDescent="0.3">
      <c r="A2335" s="1">
        <v>44413</v>
      </c>
      <c r="B2335" t="str">
        <f>"SI216001191"</f>
        <v>SI216001191</v>
      </c>
      <c r="C2335" t="str">
        <f>"PR21000188"</f>
        <v>PR21000188</v>
      </c>
      <c r="E2335" t="str">
        <f>"Y"</f>
        <v>Y</v>
      </c>
      <c r="F2335" t="str">
        <f>"חשבוניות מרכזות"</f>
        <v>חשבוניות מרכזות</v>
      </c>
      <c r="G2335" t="str">
        <f>"700065"</f>
        <v>700065</v>
      </c>
      <c r="H2335" t="str">
        <f>"אלתא מערכות בע""מ"</f>
        <v>אלתא מערכות בע"מ</v>
      </c>
      <c r="I2335" t="str">
        <f>"10"</f>
        <v>10</v>
      </c>
      <c r="J2335" t="str">
        <f>"OP-AR01919"</f>
        <v>OP-AR01919</v>
      </c>
      <c r="K2335" t="str">
        <f>"1013P130-003 CABLE ASSY 1W47"</f>
        <v>1013P130-003 CABLE ASSY 1W47</v>
      </c>
      <c r="L2335">
        <v>1</v>
      </c>
      <c r="M2335" t="str">
        <f>"יח"</f>
        <v>יח</v>
      </c>
      <c r="N2335">
        <v>1</v>
      </c>
      <c r="O2335" t="str">
        <f>"יח"</f>
        <v>יח</v>
      </c>
      <c r="P2335" s="2">
        <v>2303.2800000000002</v>
      </c>
      <c r="Q2335" t="str">
        <f>"$"</f>
        <v>$</v>
      </c>
      <c r="R2335" t="str">
        <f>"הזמנה"</f>
        <v>הזמנה</v>
      </c>
      <c r="S2335">
        <v>0</v>
      </c>
      <c r="T2335" s="2">
        <v>2303.2800000000002</v>
      </c>
      <c r="U2335">
        <v>0</v>
      </c>
      <c r="V2335" s="2">
        <v>2303.2800000000002</v>
      </c>
      <c r="W2335" t="str">
        <f>"$"</f>
        <v>$</v>
      </c>
      <c r="X2335">
        <v>0</v>
      </c>
      <c r="Y2335">
        <v>0</v>
      </c>
      <c r="Z2335">
        <v>0</v>
      </c>
      <c r="AA2335" t="str">
        <f>"Y"</f>
        <v>Y</v>
      </c>
      <c r="AB2335" t="str">
        <f>"SO21000112"</f>
        <v>SO21000112</v>
      </c>
      <c r="AC2335">
        <v>1</v>
      </c>
      <c r="AD2335" s="1">
        <v>44265</v>
      </c>
      <c r="AE2335" t="str">
        <f>"SH21001388"</f>
        <v>SH21001388</v>
      </c>
      <c r="AF2335" t="str">
        <f>"משלוחים ללקוח"</f>
        <v>משלוחים ללקוח</v>
      </c>
      <c r="AG2335" s="1">
        <v>44413</v>
      </c>
      <c r="AM2335" t="str">
        <f>"10"</f>
        <v>10</v>
      </c>
      <c r="AN2335" t="str">
        <f>"500000"</f>
        <v>500000</v>
      </c>
      <c r="AO2335" t="str">
        <f>"הכנסות  מלקוחות"</f>
        <v>הכנסות  מלקוחות</v>
      </c>
      <c r="AQ2335" t="str">
        <f>"040"</f>
        <v>040</v>
      </c>
      <c r="AR2335">
        <v>0</v>
      </c>
      <c r="AS2335">
        <v>0</v>
      </c>
      <c r="AT2335">
        <v>3.214</v>
      </c>
      <c r="AX2335" t="str">
        <f>"E000334761"</f>
        <v>E000334761</v>
      </c>
      <c r="BD2335" t="str">
        <f>"רחמים זרוק"</f>
        <v>רחמים זרוק</v>
      </c>
    </row>
    <row r="2336" spans="1:56" x14ac:dyDescent="0.3">
      <c r="A2336" s="1">
        <v>44413</v>
      </c>
      <c r="B2336" t="str">
        <f>"SI216001190"</f>
        <v>SI216001190</v>
      </c>
      <c r="C2336" t="str">
        <f>"PR21000188"</f>
        <v>PR21000188</v>
      </c>
      <c r="E2336" t="str">
        <f>"Y"</f>
        <v>Y</v>
      </c>
      <c r="F2336" t="str">
        <f>"חשבוניות מרכזות"</f>
        <v>חשבוניות מרכזות</v>
      </c>
      <c r="G2336" t="str">
        <f>"700065"</f>
        <v>700065</v>
      </c>
      <c r="H2336" t="str">
        <f>"אלתא מערכות בע""מ"</f>
        <v>אלתא מערכות בע"מ</v>
      </c>
      <c r="I2336" t="str">
        <f>"10"</f>
        <v>10</v>
      </c>
      <c r="J2336" t="str">
        <f>"OP-AR01919"</f>
        <v>OP-AR01919</v>
      </c>
      <c r="K2336" t="str">
        <f>"1013P130-003 CABLE ASSY 1W47"</f>
        <v>1013P130-003 CABLE ASSY 1W47</v>
      </c>
      <c r="L2336">
        <v>-1</v>
      </c>
      <c r="M2336" t="str">
        <f>"יח"</f>
        <v>יח</v>
      </c>
      <c r="N2336">
        <v>-1</v>
      </c>
      <c r="O2336" t="str">
        <f>"יח"</f>
        <v>יח</v>
      </c>
      <c r="P2336" s="2">
        <v>2303.2800000000002</v>
      </c>
      <c r="Q2336" t="str">
        <f>"$"</f>
        <v>$</v>
      </c>
      <c r="R2336" t="str">
        <f>"הזמנה"</f>
        <v>הזמנה</v>
      </c>
      <c r="S2336">
        <v>0</v>
      </c>
      <c r="T2336" s="2">
        <v>-2303.2800000000002</v>
      </c>
      <c r="U2336">
        <v>0</v>
      </c>
      <c r="V2336" s="2">
        <v>-2303.2800000000002</v>
      </c>
      <c r="W2336" t="str">
        <f>"$"</f>
        <v>$</v>
      </c>
      <c r="X2336">
        <v>0</v>
      </c>
      <c r="Y2336">
        <v>0</v>
      </c>
      <c r="Z2336">
        <v>0</v>
      </c>
      <c r="AA2336" t="str">
        <f>"Y"</f>
        <v>Y</v>
      </c>
      <c r="AC2336">
        <v>0</v>
      </c>
      <c r="AM2336" t="str">
        <f>"10"</f>
        <v>10</v>
      </c>
      <c r="AN2336" t="str">
        <f>"500000"</f>
        <v>500000</v>
      </c>
      <c r="AO2336" t="str">
        <f>"הכנסות  מלקוחות"</f>
        <v>הכנסות  מלקוחות</v>
      </c>
      <c r="AQ2336" t="str">
        <f>"040"</f>
        <v>040</v>
      </c>
      <c r="AR2336">
        <v>0</v>
      </c>
      <c r="AS2336">
        <v>0</v>
      </c>
      <c r="AT2336">
        <v>3.254</v>
      </c>
      <c r="BB2336" t="str">
        <f>"Y"</f>
        <v>Y</v>
      </c>
      <c r="BD2336" t="str">
        <f>"רחמים זרוק"</f>
        <v>רחמים זרוק</v>
      </c>
    </row>
    <row r="2337" spans="1:56" x14ac:dyDescent="0.3">
      <c r="A2337" s="1">
        <v>44413</v>
      </c>
      <c r="B2337" t="str">
        <f>"SI216001184"</f>
        <v>SI216001184</v>
      </c>
      <c r="C2337" t="str">
        <f>"PR21000080"</f>
        <v>PR21000080</v>
      </c>
      <c r="E2337" t="str">
        <f>"Y"</f>
        <v>Y</v>
      </c>
      <c r="F2337" t="str">
        <f>"חשבוניות מרכזות"</f>
        <v>חשבוניות מרכזות</v>
      </c>
      <c r="G2337" t="str">
        <f>"700065"</f>
        <v>700065</v>
      </c>
      <c r="H2337" t="str">
        <f>"אלתא מערכות בע""מ"</f>
        <v>אלתא מערכות בע"מ</v>
      </c>
      <c r="I2337" t="str">
        <f>"10"</f>
        <v>10</v>
      </c>
      <c r="J2337" t="str">
        <f>"OP-AR01616"</f>
        <v>OP-AR01616</v>
      </c>
      <c r="K2337" t="str">
        <f>"1041G103-001 W103 - PWR 220 ANT FRAME TO PS1"</f>
        <v>1041G103-001 W103 - PWR 220 ANT FRAME TO PS1</v>
      </c>
      <c r="L2337">
        <v>1</v>
      </c>
      <c r="M2337" t="str">
        <f>"יח"</f>
        <v>יח</v>
      </c>
      <c r="N2337">
        <v>1</v>
      </c>
      <c r="O2337" t="str">
        <f>"יח"</f>
        <v>יח</v>
      </c>
      <c r="P2337">
        <v>544.41</v>
      </c>
      <c r="Q2337" t="str">
        <f>"$"</f>
        <v>$</v>
      </c>
      <c r="R2337" t="str">
        <f>"הזמנה"</f>
        <v>הזמנה</v>
      </c>
      <c r="S2337">
        <v>0</v>
      </c>
      <c r="T2337">
        <v>544.41</v>
      </c>
      <c r="U2337">
        <v>0</v>
      </c>
      <c r="V2337">
        <v>544.41</v>
      </c>
      <c r="W2337" t="str">
        <f>"$"</f>
        <v>$</v>
      </c>
      <c r="X2337">
        <v>0</v>
      </c>
      <c r="Y2337">
        <v>0</v>
      </c>
      <c r="Z2337">
        <v>0</v>
      </c>
      <c r="AA2337" t="str">
        <f>"Y"</f>
        <v>Y</v>
      </c>
      <c r="AB2337" t="str">
        <f>"SO21000025"</f>
        <v>SO21000025</v>
      </c>
      <c r="AC2337">
        <v>1</v>
      </c>
      <c r="AD2337" s="1">
        <v>44215</v>
      </c>
      <c r="AE2337" t="str">
        <f>"SH21001380"</f>
        <v>SH21001380</v>
      </c>
      <c r="AF2337" t="str">
        <f>"משלוחים ללקוח"</f>
        <v>משלוחים ללקוח</v>
      </c>
      <c r="AG2337" s="1">
        <v>44413</v>
      </c>
      <c r="AM2337" t="str">
        <f>"10"</f>
        <v>10</v>
      </c>
      <c r="AN2337" t="str">
        <f>"500000"</f>
        <v>500000</v>
      </c>
      <c r="AO2337" t="str">
        <f>"הכנסות  מלקוחות"</f>
        <v>הכנסות  מלקוחות</v>
      </c>
      <c r="AQ2337" t="str">
        <f>"034"</f>
        <v>034</v>
      </c>
      <c r="AR2337">
        <v>0</v>
      </c>
      <c r="AS2337">
        <v>0</v>
      </c>
      <c r="AT2337">
        <v>3.214</v>
      </c>
      <c r="AX2337" t="str">
        <f>"E000327150"</f>
        <v>E000327150</v>
      </c>
      <c r="BD2337" t="str">
        <f>"ערן שלו"</f>
        <v>ערן שלו</v>
      </c>
    </row>
    <row r="2338" spans="1:56" x14ac:dyDescent="0.3">
      <c r="A2338" s="1">
        <v>44413</v>
      </c>
      <c r="B2338" t="str">
        <f>"SI216001184"</f>
        <v>SI216001184</v>
      </c>
      <c r="C2338" t="str">
        <f>"PR21000080"</f>
        <v>PR21000080</v>
      </c>
      <c r="E2338" t="str">
        <f>"Y"</f>
        <v>Y</v>
      </c>
      <c r="F2338" t="str">
        <f>"חשבוניות מרכזות"</f>
        <v>חשבוניות מרכזות</v>
      </c>
      <c r="G2338" t="str">
        <f>"700065"</f>
        <v>700065</v>
      </c>
      <c r="H2338" t="str">
        <f>"אלתא מערכות בע""מ"</f>
        <v>אלתא מערכות בע"מ</v>
      </c>
      <c r="I2338" t="str">
        <f>"10"</f>
        <v>10</v>
      </c>
      <c r="J2338" t="str">
        <f>"OP-AR01617"</f>
        <v>OP-AR01617</v>
      </c>
      <c r="K2338" t="str">
        <f>"1041G104-001 W104 - PWR 220 ANT FRAME TO PS2"</f>
        <v>1041G104-001 W104 - PWR 220 ANT FRAME TO PS2</v>
      </c>
      <c r="L2338">
        <v>1</v>
      </c>
      <c r="M2338" t="str">
        <f>"יח"</f>
        <v>יח</v>
      </c>
      <c r="N2338">
        <v>1</v>
      </c>
      <c r="O2338" t="str">
        <f>"יח"</f>
        <v>יח</v>
      </c>
      <c r="P2338">
        <v>544.41</v>
      </c>
      <c r="Q2338" t="str">
        <f>"$"</f>
        <v>$</v>
      </c>
      <c r="R2338" t="str">
        <f>"הזמנה"</f>
        <v>הזמנה</v>
      </c>
      <c r="S2338">
        <v>0</v>
      </c>
      <c r="T2338">
        <v>544.41</v>
      </c>
      <c r="U2338">
        <v>0</v>
      </c>
      <c r="V2338">
        <v>544.41</v>
      </c>
      <c r="W2338" t="str">
        <f>"$"</f>
        <v>$</v>
      </c>
      <c r="X2338">
        <v>0</v>
      </c>
      <c r="Y2338">
        <v>0</v>
      </c>
      <c r="Z2338">
        <v>0</v>
      </c>
      <c r="AA2338" t="str">
        <f>"Y"</f>
        <v>Y</v>
      </c>
      <c r="AB2338" t="str">
        <f>"SO21000025"</f>
        <v>SO21000025</v>
      </c>
      <c r="AC2338">
        <v>2</v>
      </c>
      <c r="AD2338" s="1">
        <v>44215</v>
      </c>
      <c r="AE2338" t="str">
        <f>"SH21001380"</f>
        <v>SH21001380</v>
      </c>
      <c r="AF2338" t="str">
        <f>"משלוחים ללקוח"</f>
        <v>משלוחים ללקוח</v>
      </c>
      <c r="AG2338" s="1">
        <v>44413</v>
      </c>
      <c r="AM2338" t="str">
        <f>"10"</f>
        <v>10</v>
      </c>
      <c r="AN2338" t="str">
        <f>"500000"</f>
        <v>500000</v>
      </c>
      <c r="AO2338" t="str">
        <f>"הכנסות  מלקוחות"</f>
        <v>הכנסות  מלקוחות</v>
      </c>
      <c r="AQ2338" t="str">
        <f>"034"</f>
        <v>034</v>
      </c>
      <c r="AR2338">
        <v>0</v>
      </c>
      <c r="AS2338">
        <v>0</v>
      </c>
      <c r="AT2338">
        <v>3.214</v>
      </c>
      <c r="AX2338" t="str">
        <f>"E000327150"</f>
        <v>E000327150</v>
      </c>
      <c r="BD2338" t="str">
        <f>"ערן שלו"</f>
        <v>ערן שלו</v>
      </c>
    </row>
    <row r="2339" spans="1:56" x14ac:dyDescent="0.3">
      <c r="A2339" s="1">
        <v>44413</v>
      </c>
      <c r="B2339" t="str">
        <f>"SI216001183"</f>
        <v>SI216001183</v>
      </c>
      <c r="C2339" t="str">
        <f>"PR21000276"</f>
        <v>PR21000276</v>
      </c>
      <c r="D2339" t="str">
        <f>"PR21000276"</f>
        <v>PR21000276</v>
      </c>
      <c r="E2339" t="str">
        <f>"Y"</f>
        <v>Y</v>
      </c>
      <c r="F2339" t="str">
        <f>"חשבוניות מרכזות"</f>
        <v>חשבוניות מרכזות</v>
      </c>
      <c r="G2339" t="str">
        <f>"700065"</f>
        <v>700065</v>
      </c>
      <c r="H2339" t="str">
        <f>"אלתא מערכות בע""מ"</f>
        <v>אלתא מערכות בע"מ</v>
      </c>
      <c r="I2339" t="str">
        <f>"10"</f>
        <v>10</v>
      </c>
      <c r="J2339" t="str">
        <f>"OP-AR02380"</f>
        <v>OP-AR02380</v>
      </c>
      <c r="K2339" t="str">
        <f>"1039P201-001   WC002L LAB CABLE"</f>
        <v>1039P201-001   WC002L LAB CABLE</v>
      </c>
      <c r="L2339">
        <v>1</v>
      </c>
      <c r="M2339" t="str">
        <f>"יח"</f>
        <v>יח</v>
      </c>
      <c r="N2339">
        <v>1</v>
      </c>
      <c r="O2339" t="str">
        <f>"יח"</f>
        <v>יח</v>
      </c>
      <c r="P2339">
        <v>929.19</v>
      </c>
      <c r="Q2339" t="str">
        <f>"$"</f>
        <v>$</v>
      </c>
      <c r="R2339" t="str">
        <f>"הזמנה"</f>
        <v>הזמנה</v>
      </c>
      <c r="S2339">
        <v>0</v>
      </c>
      <c r="T2339">
        <v>929.19</v>
      </c>
      <c r="U2339">
        <v>0</v>
      </c>
      <c r="V2339">
        <v>929.19</v>
      </c>
      <c r="W2339" t="str">
        <f>"$"</f>
        <v>$</v>
      </c>
      <c r="X2339">
        <v>0</v>
      </c>
      <c r="Y2339">
        <v>0</v>
      </c>
      <c r="Z2339">
        <v>0</v>
      </c>
      <c r="AA2339" t="str">
        <f>"Y"</f>
        <v>Y</v>
      </c>
      <c r="AB2339" t="str">
        <f>"SO21000195"</f>
        <v>SO21000195</v>
      </c>
      <c r="AC2339">
        <v>1</v>
      </c>
      <c r="AD2339" s="1">
        <v>44313</v>
      </c>
      <c r="AE2339" t="str">
        <f>"SH21001384"</f>
        <v>SH21001384</v>
      </c>
      <c r="AF2339" t="str">
        <f>"משלוחים ללקוח"</f>
        <v>משלוחים ללקוח</v>
      </c>
      <c r="AG2339" s="1">
        <v>44413</v>
      </c>
      <c r="AM2339" t="str">
        <f>"10"</f>
        <v>10</v>
      </c>
      <c r="AN2339" t="str">
        <f>"500000"</f>
        <v>500000</v>
      </c>
      <c r="AO2339" t="str">
        <f>"הכנסות  מלקוחות"</f>
        <v>הכנסות  מלקוחות</v>
      </c>
      <c r="AQ2339" t="str">
        <f>"034"</f>
        <v>034</v>
      </c>
      <c r="AR2339">
        <v>0</v>
      </c>
      <c r="AS2339">
        <v>0</v>
      </c>
      <c r="AT2339">
        <v>3.214</v>
      </c>
      <c r="AX2339" t="str">
        <f>"E000336131"</f>
        <v>E000336131</v>
      </c>
      <c r="BD2339" t="str">
        <f>"ערן שלו"</f>
        <v>ערן שלו</v>
      </c>
    </row>
    <row r="2340" spans="1:56" x14ac:dyDescent="0.3">
      <c r="A2340" s="1">
        <v>44413</v>
      </c>
      <c r="B2340" t="str">
        <f>"SI216001182"</f>
        <v>SI216001182</v>
      </c>
      <c r="C2340" t="str">
        <f>"PR21000188"</f>
        <v>PR21000188</v>
      </c>
      <c r="E2340" t="str">
        <f>"Y"</f>
        <v>Y</v>
      </c>
      <c r="F2340" t="str">
        <f>"חשבוניות מרכזות"</f>
        <v>חשבוניות מרכזות</v>
      </c>
      <c r="G2340" t="str">
        <f>"700065"</f>
        <v>700065</v>
      </c>
      <c r="H2340" t="str">
        <f>"אלתא מערכות בע""מ"</f>
        <v>אלתא מערכות בע"מ</v>
      </c>
      <c r="I2340" t="str">
        <f>"10"</f>
        <v>10</v>
      </c>
      <c r="J2340" t="str">
        <f>"OP-AR01919"</f>
        <v>OP-AR01919</v>
      </c>
      <c r="K2340" t="str">
        <f>"1013P130-003 CABLE ASSY 1W47"</f>
        <v>1013P130-003 CABLE ASSY 1W47</v>
      </c>
      <c r="L2340">
        <v>1</v>
      </c>
      <c r="M2340" t="str">
        <f>"יח"</f>
        <v>יח</v>
      </c>
      <c r="N2340">
        <v>1</v>
      </c>
      <c r="O2340" t="str">
        <f>"יח"</f>
        <v>יח</v>
      </c>
      <c r="P2340" s="2">
        <v>2303.2800000000002</v>
      </c>
      <c r="Q2340" t="str">
        <f>"$"</f>
        <v>$</v>
      </c>
      <c r="R2340" t="str">
        <f>"הזמנה"</f>
        <v>הזמנה</v>
      </c>
      <c r="S2340">
        <v>0</v>
      </c>
      <c r="T2340" s="2">
        <v>2303.2800000000002</v>
      </c>
      <c r="U2340">
        <v>0</v>
      </c>
      <c r="V2340" s="2">
        <v>2303.2800000000002</v>
      </c>
      <c r="W2340" t="str">
        <f>"$"</f>
        <v>$</v>
      </c>
      <c r="X2340">
        <v>0</v>
      </c>
      <c r="Y2340">
        <v>0</v>
      </c>
      <c r="Z2340">
        <v>0</v>
      </c>
      <c r="AA2340" t="str">
        <f>"Y"</f>
        <v>Y</v>
      </c>
      <c r="AC2340">
        <v>0</v>
      </c>
      <c r="AM2340" t="str">
        <f>"10"</f>
        <v>10</v>
      </c>
      <c r="AN2340" t="str">
        <f>"500000"</f>
        <v>500000</v>
      </c>
      <c r="AO2340" t="str">
        <f>"הכנסות  מלקוחות"</f>
        <v>הכנסות  מלקוחות</v>
      </c>
      <c r="AQ2340" t="str">
        <f>"040"</f>
        <v>040</v>
      </c>
      <c r="AR2340">
        <v>0</v>
      </c>
      <c r="AS2340">
        <v>0</v>
      </c>
      <c r="AT2340">
        <v>3.254</v>
      </c>
      <c r="BB2340" t="str">
        <f>"Y"</f>
        <v>Y</v>
      </c>
      <c r="BD2340" t="str">
        <f>"רחמים זרוק"</f>
        <v>רחמים זרוק</v>
      </c>
    </row>
    <row r="2341" spans="1:56" x14ac:dyDescent="0.3">
      <c r="A2341" s="1">
        <v>44413</v>
      </c>
      <c r="B2341" t="str">
        <f>"SI216001181"</f>
        <v>SI216001181</v>
      </c>
      <c r="C2341" t="str">
        <f>"PR21000401"</f>
        <v>PR21000401</v>
      </c>
      <c r="E2341" t="str">
        <f>"Y"</f>
        <v>Y</v>
      </c>
      <c r="F2341" t="str">
        <f>"חשבוניות מרכזות"</f>
        <v>חשבוניות מרכזות</v>
      </c>
      <c r="G2341" t="str">
        <f>"700065"</f>
        <v>700065</v>
      </c>
      <c r="H2341" t="str">
        <f>"אלתא מערכות בע""מ"</f>
        <v>אלתא מערכות בע"מ</v>
      </c>
      <c r="I2341" t="str">
        <f>"10"</f>
        <v>10</v>
      </c>
      <c r="J2341" t="str">
        <f>"cust00767"</f>
        <v>cust00767</v>
      </c>
      <c r="K2341" t="str">
        <f>"PDU 380V/50HZ/3 PH AC POWER BOX אלתא"</f>
        <v>PDU 380V/50HZ/3 PH AC POWER BOX אלתא</v>
      </c>
      <c r="L2341">
        <v>1</v>
      </c>
      <c r="M2341" t="str">
        <f>"יח"</f>
        <v>יח</v>
      </c>
      <c r="N2341">
        <v>1</v>
      </c>
      <c r="O2341" t="str">
        <f>"יח"</f>
        <v>יח</v>
      </c>
      <c r="P2341">
        <v>255</v>
      </c>
      <c r="Q2341" t="str">
        <f>"$"</f>
        <v>$</v>
      </c>
      <c r="R2341" t="str">
        <f>"הזמנה"</f>
        <v>הזמנה</v>
      </c>
      <c r="S2341">
        <v>0</v>
      </c>
      <c r="T2341">
        <v>255</v>
      </c>
      <c r="U2341">
        <v>0</v>
      </c>
      <c r="V2341">
        <v>255</v>
      </c>
      <c r="W2341" t="str">
        <f>"$"</f>
        <v>$</v>
      </c>
      <c r="X2341">
        <v>0</v>
      </c>
      <c r="Y2341">
        <v>0</v>
      </c>
      <c r="Z2341">
        <v>0</v>
      </c>
      <c r="AA2341" t="str">
        <f>"Y"</f>
        <v>Y</v>
      </c>
      <c r="AB2341" t="str">
        <f>"SO21000276"</f>
        <v>SO21000276</v>
      </c>
      <c r="AC2341">
        <v>1</v>
      </c>
      <c r="AD2341" s="1">
        <v>44360</v>
      </c>
      <c r="AE2341" t="str">
        <f>"SH21001391"</f>
        <v>SH21001391</v>
      </c>
      <c r="AF2341" t="str">
        <f>"משלוחים ללקוח"</f>
        <v>משלוחים ללקוח</v>
      </c>
      <c r="AG2341" s="1">
        <v>44413</v>
      </c>
      <c r="AM2341" t="str">
        <f>"10"</f>
        <v>10</v>
      </c>
      <c r="AN2341" t="str">
        <f>"500000"</f>
        <v>500000</v>
      </c>
      <c r="AO2341" t="str">
        <f>"הכנסות  מלקוחות"</f>
        <v>הכנסות  מלקוחות</v>
      </c>
      <c r="AQ2341" t="str">
        <f>"034"</f>
        <v>034</v>
      </c>
      <c r="AR2341">
        <v>0</v>
      </c>
      <c r="AS2341">
        <v>0</v>
      </c>
      <c r="AT2341">
        <v>3.214</v>
      </c>
      <c r="AX2341" t="str">
        <f>"E000339511"</f>
        <v>E000339511</v>
      </c>
      <c r="BD2341" t="str">
        <f>"ערן שלו"</f>
        <v>ערן שלו</v>
      </c>
    </row>
    <row r="2342" spans="1:56" x14ac:dyDescent="0.3">
      <c r="A2342" s="1">
        <v>44413</v>
      </c>
      <c r="B2342" t="str">
        <f>"SI216001180"</f>
        <v>SI216001180</v>
      </c>
      <c r="C2342" t="str">
        <f>"PR21000250"</f>
        <v>PR21000250</v>
      </c>
      <c r="E2342" t="str">
        <f>"Y"</f>
        <v>Y</v>
      </c>
      <c r="F2342" t="str">
        <f>"חשבוניות מרכזות"</f>
        <v>חשבוניות מרכזות</v>
      </c>
      <c r="G2342" t="str">
        <f>"700065"</f>
        <v>700065</v>
      </c>
      <c r="H2342" t="str">
        <f>"אלתא מערכות בע""מ"</f>
        <v>אלתא מערכות בע"מ</v>
      </c>
      <c r="I2342" t="str">
        <f>"10"</f>
        <v>10</v>
      </c>
      <c r="J2342" t="str">
        <f>"OP-AR02349"</f>
        <v>OP-AR02349</v>
      </c>
      <c r="K2342" t="str">
        <f>"2202B030-001     TRW20 CABLE ASSY"</f>
        <v>2202B030-001     TRW20 CABLE ASSY</v>
      </c>
      <c r="L2342">
        <v>3</v>
      </c>
      <c r="M2342" t="str">
        <f>"יח"</f>
        <v>יח</v>
      </c>
      <c r="N2342">
        <v>3</v>
      </c>
      <c r="O2342" t="str">
        <f>"יח"</f>
        <v>יח</v>
      </c>
      <c r="P2342">
        <v>246.58</v>
      </c>
      <c r="Q2342" t="str">
        <f>"$"</f>
        <v>$</v>
      </c>
      <c r="R2342" t="str">
        <f>"הזמנה"</f>
        <v>הזמנה</v>
      </c>
      <c r="S2342">
        <v>0</v>
      </c>
      <c r="T2342">
        <v>739.74</v>
      </c>
      <c r="U2342">
        <v>0</v>
      </c>
      <c r="V2342">
        <v>739.74</v>
      </c>
      <c r="W2342" t="str">
        <f>"$"</f>
        <v>$</v>
      </c>
      <c r="X2342">
        <v>0</v>
      </c>
      <c r="Y2342">
        <v>0</v>
      </c>
      <c r="Z2342">
        <v>0</v>
      </c>
      <c r="AA2342" t="str">
        <f>"Y"</f>
        <v>Y</v>
      </c>
      <c r="AB2342" t="str">
        <f>"SO21000171"</f>
        <v>SO21000171</v>
      </c>
      <c r="AC2342">
        <v>1</v>
      </c>
      <c r="AD2342" s="1">
        <v>44304</v>
      </c>
      <c r="AE2342" t="str">
        <f>"SH21001399"</f>
        <v>SH21001399</v>
      </c>
      <c r="AF2342" t="str">
        <f>"משלוחים ללקוח"</f>
        <v>משלוחים ללקוח</v>
      </c>
      <c r="AG2342" s="1">
        <v>44413</v>
      </c>
      <c r="AM2342" t="str">
        <f>"10"</f>
        <v>10</v>
      </c>
      <c r="AN2342" t="str">
        <f>"500000"</f>
        <v>500000</v>
      </c>
      <c r="AO2342" t="str">
        <f>"הכנסות  מלקוחות"</f>
        <v>הכנסות  מלקוחות</v>
      </c>
      <c r="AQ2342" t="str">
        <f>"040"</f>
        <v>040</v>
      </c>
      <c r="AR2342">
        <v>0</v>
      </c>
      <c r="AS2342">
        <v>0</v>
      </c>
      <c r="AT2342">
        <v>3.214</v>
      </c>
      <c r="AX2342" t="str">
        <f>"E000336785"</f>
        <v>E000336785</v>
      </c>
      <c r="BD2342" t="str">
        <f>"רחמים זרוק"</f>
        <v>רחמים זרוק</v>
      </c>
    </row>
    <row r="2343" spans="1:56" x14ac:dyDescent="0.3">
      <c r="A2343" s="1">
        <v>44413</v>
      </c>
      <c r="B2343" t="str">
        <f>"SI216001180"</f>
        <v>SI216001180</v>
      </c>
      <c r="C2343" t="str">
        <f>"PR21000250"</f>
        <v>PR21000250</v>
      </c>
      <c r="E2343" t="str">
        <f>"Y"</f>
        <v>Y</v>
      </c>
      <c r="F2343" t="str">
        <f>"חשבוניות מרכזות"</f>
        <v>חשבוניות מרכזות</v>
      </c>
      <c r="G2343" t="str">
        <f>"700065"</f>
        <v>700065</v>
      </c>
      <c r="H2343" t="str">
        <f>"אלתא מערכות בע""מ"</f>
        <v>אלתא מערכות בע"מ</v>
      </c>
      <c r="I2343" t="str">
        <f>"10"</f>
        <v>10</v>
      </c>
      <c r="J2343" t="str">
        <f>"OP-AR02352"</f>
        <v>OP-AR02352</v>
      </c>
      <c r="K2343" t="str">
        <f>"2202B036-001    TRW23 CABLE ASSY"</f>
        <v>2202B036-001    TRW23 CABLE ASSY</v>
      </c>
      <c r="L2343">
        <v>5</v>
      </c>
      <c r="M2343" t="str">
        <f>"יח"</f>
        <v>יח</v>
      </c>
      <c r="N2343">
        <v>5</v>
      </c>
      <c r="O2343" t="str">
        <f>"יח"</f>
        <v>יח</v>
      </c>
      <c r="P2343">
        <v>149.52000000000001</v>
      </c>
      <c r="Q2343" t="str">
        <f>"$"</f>
        <v>$</v>
      </c>
      <c r="R2343" t="str">
        <f>"הזמנה"</f>
        <v>הזמנה</v>
      </c>
      <c r="S2343">
        <v>0</v>
      </c>
      <c r="T2343">
        <v>747.6</v>
      </c>
      <c r="U2343">
        <v>0</v>
      </c>
      <c r="V2343">
        <v>747.6</v>
      </c>
      <c r="W2343" t="str">
        <f>"$"</f>
        <v>$</v>
      </c>
      <c r="X2343">
        <v>0</v>
      </c>
      <c r="Y2343">
        <v>0</v>
      </c>
      <c r="Z2343">
        <v>0</v>
      </c>
      <c r="AA2343" t="str">
        <f>"Y"</f>
        <v>Y</v>
      </c>
      <c r="AB2343" t="str">
        <f>"SO21000171"</f>
        <v>SO21000171</v>
      </c>
      <c r="AC2343">
        <v>2</v>
      </c>
      <c r="AD2343" s="1">
        <v>44304</v>
      </c>
      <c r="AE2343" t="str">
        <f>"SH21001399"</f>
        <v>SH21001399</v>
      </c>
      <c r="AF2343" t="str">
        <f>"משלוחים ללקוח"</f>
        <v>משלוחים ללקוח</v>
      </c>
      <c r="AG2343" s="1">
        <v>44413</v>
      </c>
      <c r="AM2343" t="str">
        <f>"10"</f>
        <v>10</v>
      </c>
      <c r="AN2343" t="str">
        <f>"500000"</f>
        <v>500000</v>
      </c>
      <c r="AO2343" t="str">
        <f>"הכנסות  מלקוחות"</f>
        <v>הכנסות  מלקוחות</v>
      </c>
      <c r="AQ2343" t="str">
        <f>"040"</f>
        <v>040</v>
      </c>
      <c r="AR2343">
        <v>0</v>
      </c>
      <c r="AS2343">
        <v>0</v>
      </c>
      <c r="AT2343">
        <v>3.214</v>
      </c>
      <c r="AX2343" t="str">
        <f>"E000336785"</f>
        <v>E000336785</v>
      </c>
      <c r="BD2343" t="str">
        <f>"רחמים זרוק"</f>
        <v>רחמים זרוק</v>
      </c>
    </row>
    <row r="2344" spans="1:56" x14ac:dyDescent="0.3">
      <c r="A2344" s="1">
        <v>44413</v>
      </c>
      <c r="B2344" t="str">
        <f>"SI216001180"</f>
        <v>SI216001180</v>
      </c>
      <c r="C2344" t="str">
        <f>"PR21000250"</f>
        <v>PR21000250</v>
      </c>
      <c r="E2344" t="str">
        <f>"Y"</f>
        <v>Y</v>
      </c>
      <c r="F2344" t="str">
        <f>"חשבוניות מרכזות"</f>
        <v>חשבוניות מרכזות</v>
      </c>
      <c r="G2344" t="str">
        <f>"700065"</f>
        <v>700065</v>
      </c>
      <c r="H2344" t="str">
        <f>"אלתא מערכות בע""מ"</f>
        <v>אלתא מערכות בע"מ</v>
      </c>
      <c r="I2344" t="str">
        <f>"10"</f>
        <v>10</v>
      </c>
      <c r="J2344" t="str">
        <f>"OP-AR02243"</f>
        <v>OP-AR02243</v>
      </c>
      <c r="K2344" t="str">
        <f>"2211B044-001   WSTRU CABLE ASSY"</f>
        <v>2211B044-001   WSTRU CABLE ASSY</v>
      </c>
      <c r="L2344">
        <v>3</v>
      </c>
      <c r="M2344" t="str">
        <f>"יח"</f>
        <v>יח</v>
      </c>
      <c r="N2344">
        <v>3</v>
      </c>
      <c r="O2344" t="str">
        <f>"יח"</f>
        <v>יח</v>
      </c>
      <c r="P2344">
        <v>324.72000000000003</v>
      </c>
      <c r="Q2344" t="str">
        <f>"$"</f>
        <v>$</v>
      </c>
      <c r="R2344" t="str">
        <f>"הזמנה"</f>
        <v>הזמנה</v>
      </c>
      <c r="S2344">
        <v>0</v>
      </c>
      <c r="T2344">
        <v>974.16</v>
      </c>
      <c r="U2344">
        <v>0</v>
      </c>
      <c r="V2344">
        <v>974.16</v>
      </c>
      <c r="W2344" t="str">
        <f>"$"</f>
        <v>$</v>
      </c>
      <c r="X2344">
        <v>0</v>
      </c>
      <c r="Y2344">
        <v>0</v>
      </c>
      <c r="Z2344">
        <v>0</v>
      </c>
      <c r="AA2344" t="str">
        <f>"Y"</f>
        <v>Y</v>
      </c>
      <c r="AB2344" t="str">
        <f>"SO21000171"</f>
        <v>SO21000171</v>
      </c>
      <c r="AC2344">
        <v>7</v>
      </c>
      <c r="AD2344" s="1">
        <v>44304</v>
      </c>
      <c r="AE2344" t="str">
        <f>"SH21001399"</f>
        <v>SH21001399</v>
      </c>
      <c r="AF2344" t="str">
        <f>"משלוחים ללקוח"</f>
        <v>משלוחים ללקוח</v>
      </c>
      <c r="AG2344" s="1">
        <v>44413</v>
      </c>
      <c r="AM2344" t="str">
        <f>"10"</f>
        <v>10</v>
      </c>
      <c r="AN2344" t="str">
        <f>"500000"</f>
        <v>500000</v>
      </c>
      <c r="AO2344" t="str">
        <f>"הכנסות  מלקוחות"</f>
        <v>הכנסות  מלקוחות</v>
      </c>
      <c r="AQ2344" t="str">
        <f>"040"</f>
        <v>040</v>
      </c>
      <c r="AR2344">
        <v>0</v>
      </c>
      <c r="AS2344">
        <v>0</v>
      </c>
      <c r="AT2344">
        <v>3.214</v>
      </c>
      <c r="AX2344" t="str">
        <f>"E000336785"</f>
        <v>E000336785</v>
      </c>
      <c r="BD2344" t="str">
        <f>"רחמים זרוק"</f>
        <v>רחמים זרוק</v>
      </c>
    </row>
    <row r="2345" spans="1:56" x14ac:dyDescent="0.3">
      <c r="A2345" s="1">
        <v>44409</v>
      </c>
      <c r="B2345" t="str">
        <f>"SI216001283"</f>
        <v>SI216001283</v>
      </c>
      <c r="C2345" t="str">
        <f>"PR21000451"</f>
        <v>PR21000451</v>
      </c>
      <c r="D2345" t="str">
        <f>"PR21000451"</f>
        <v>PR21000451</v>
      </c>
      <c r="E2345" t="str">
        <f>"Y"</f>
        <v>Y</v>
      </c>
      <c r="F2345" t="str">
        <f>"חשבוניות מרכזות"</f>
        <v>חשבוניות מרכזות</v>
      </c>
      <c r="G2345" t="str">
        <f>"700065"</f>
        <v>700065</v>
      </c>
      <c r="H2345" t="str">
        <f>"אלתא מערכות בע""מ"</f>
        <v>אלתא מערכות בע"מ</v>
      </c>
      <c r="I2345" t="str">
        <f>"10"</f>
        <v>10</v>
      </c>
      <c r="J2345" t="str">
        <f>"OP-AR02673"</f>
        <v>OP-AR02673</v>
      </c>
      <c r="K2345" t="str">
        <f>"CABLE"</f>
        <v>CABLE</v>
      </c>
      <c r="L2345">
        <v>1</v>
      </c>
      <c r="M2345" t="str">
        <f>"יח"</f>
        <v>יח</v>
      </c>
      <c r="N2345">
        <v>1</v>
      </c>
      <c r="O2345" t="str">
        <f>"יח"</f>
        <v>יח</v>
      </c>
      <c r="P2345" s="2">
        <v>1950</v>
      </c>
      <c r="Q2345" t="str">
        <f>"$"</f>
        <v>$</v>
      </c>
      <c r="R2345" t="str">
        <f>"הזמנה"</f>
        <v>הזמנה</v>
      </c>
      <c r="S2345">
        <v>0</v>
      </c>
      <c r="T2345" s="2">
        <v>1950</v>
      </c>
      <c r="U2345">
        <v>0</v>
      </c>
      <c r="V2345" s="2">
        <v>1950</v>
      </c>
      <c r="W2345" t="str">
        <f>"$"</f>
        <v>$</v>
      </c>
      <c r="X2345">
        <v>0</v>
      </c>
      <c r="Y2345">
        <v>0</v>
      </c>
      <c r="Z2345">
        <v>0</v>
      </c>
      <c r="AA2345" t="str">
        <f>"Y"</f>
        <v>Y</v>
      </c>
      <c r="AB2345" t="str">
        <f>"SO21000300"</f>
        <v>SO21000300</v>
      </c>
      <c r="AC2345">
        <v>1</v>
      </c>
      <c r="AD2345" s="1">
        <v>44378</v>
      </c>
      <c r="AE2345" t="str">
        <f>"SH21001140"</f>
        <v>SH21001140</v>
      </c>
      <c r="AF2345" t="str">
        <f>"משלוחים ללקוח"</f>
        <v>משלוחים ללקוח</v>
      </c>
      <c r="AG2345" s="1">
        <v>44382</v>
      </c>
      <c r="AM2345" t="str">
        <f>"10"</f>
        <v>10</v>
      </c>
      <c r="AN2345" t="str">
        <f>"500000"</f>
        <v>500000</v>
      </c>
      <c r="AO2345" t="str">
        <f>"הכנסות  מלקוחות"</f>
        <v>הכנסות  מלקוחות</v>
      </c>
      <c r="AQ2345" t="str">
        <f>"007"</f>
        <v>007</v>
      </c>
      <c r="AR2345">
        <v>0</v>
      </c>
      <c r="AS2345">
        <v>0</v>
      </c>
      <c r="AT2345">
        <v>3.2330000000000001</v>
      </c>
      <c r="AX2345" t="str">
        <f>"E000342890"</f>
        <v>E000342890</v>
      </c>
      <c r="BD2345" t="str">
        <f>"רוני דידי"</f>
        <v>רוני דידי</v>
      </c>
    </row>
    <row r="2346" spans="1:56" x14ac:dyDescent="0.3">
      <c r="A2346" s="1">
        <v>44409</v>
      </c>
      <c r="B2346" t="str">
        <f>"SI216001265"</f>
        <v>SI216001265</v>
      </c>
      <c r="C2346" t="str">
        <f>"PR20000796"</f>
        <v>PR20000796</v>
      </c>
      <c r="E2346" t="str">
        <f>"Y"</f>
        <v>Y</v>
      </c>
      <c r="F2346" t="str">
        <f>"חשבוניות מרכזות"</f>
        <v>חשבוניות מרכזות</v>
      </c>
      <c r="G2346" t="str">
        <f>"700065"</f>
        <v>700065</v>
      </c>
      <c r="H2346" t="str">
        <f>"אלתא מערכות בע""מ"</f>
        <v>אלתא מערכות בע"מ</v>
      </c>
      <c r="I2346" t="str">
        <f>"10"</f>
        <v>10</v>
      </c>
      <c r="J2346" t="str">
        <f>"OP-AR02076"</f>
        <v>OP-AR02076</v>
      </c>
      <c r="K2346" t="str">
        <f>"1027H563-001/-  HARNESS WH003 - DATA AND CONTROL"</f>
        <v>1027H563-001/-  HARNESS WH003 - DATA AND CONTROL</v>
      </c>
      <c r="L2346">
        <v>-1</v>
      </c>
      <c r="M2346" t="str">
        <f>"יח"</f>
        <v>יח</v>
      </c>
      <c r="N2346">
        <v>-1</v>
      </c>
      <c r="O2346" t="str">
        <f>"יח"</f>
        <v>יח</v>
      </c>
      <c r="P2346">
        <v>614</v>
      </c>
      <c r="Q2346" t="str">
        <f>"$"</f>
        <v>$</v>
      </c>
      <c r="R2346" t="str">
        <f>"הזמנה"</f>
        <v>הזמנה</v>
      </c>
      <c r="S2346">
        <v>0</v>
      </c>
      <c r="T2346">
        <v>-614</v>
      </c>
      <c r="U2346">
        <v>0</v>
      </c>
      <c r="V2346">
        <v>-614</v>
      </c>
      <c r="W2346" t="str">
        <f>"$"</f>
        <v>$</v>
      </c>
      <c r="X2346">
        <v>0</v>
      </c>
      <c r="Y2346">
        <v>0</v>
      </c>
      <c r="Z2346">
        <v>0</v>
      </c>
      <c r="AA2346" t="str">
        <f>"Y"</f>
        <v>Y</v>
      </c>
      <c r="AC2346">
        <v>0</v>
      </c>
      <c r="AM2346" t="str">
        <f>"10"</f>
        <v>10</v>
      </c>
      <c r="AN2346" t="str">
        <f>"500000"</f>
        <v>500000</v>
      </c>
      <c r="AO2346" t="str">
        <f>"הכנסות  מלקוחות"</f>
        <v>הכנסות  מלקוחות</v>
      </c>
      <c r="AQ2346" t="str">
        <f>"034"</f>
        <v>034</v>
      </c>
      <c r="AR2346">
        <v>0</v>
      </c>
      <c r="AS2346">
        <v>0</v>
      </c>
      <c r="AT2346">
        <v>3.3319999999999999</v>
      </c>
      <c r="BB2346" t="str">
        <f>"Y"</f>
        <v>Y</v>
      </c>
      <c r="BD2346" t="str">
        <f>"ערן שלו"</f>
        <v>ערן שלו</v>
      </c>
    </row>
    <row r="2347" spans="1:56" x14ac:dyDescent="0.3">
      <c r="A2347" s="1">
        <v>44409</v>
      </c>
      <c r="B2347" t="str">
        <f>"SI216001265"</f>
        <v>SI216001265</v>
      </c>
      <c r="C2347" t="str">
        <f>"PR20000796"</f>
        <v>PR20000796</v>
      </c>
      <c r="E2347" t="str">
        <f>"Y"</f>
        <v>Y</v>
      </c>
      <c r="F2347" t="str">
        <f>"חשבוניות מרכזות"</f>
        <v>חשבוניות מרכזות</v>
      </c>
      <c r="G2347" t="str">
        <f>"700065"</f>
        <v>700065</v>
      </c>
      <c r="H2347" t="str">
        <f>"אלתא מערכות בע""מ"</f>
        <v>אלתא מערכות בע"מ</v>
      </c>
      <c r="I2347" t="str">
        <f>"10"</f>
        <v>10</v>
      </c>
      <c r="J2347" t="str">
        <f>"OP-AR02078"</f>
        <v>OP-AR02078</v>
      </c>
      <c r="K2347" t="str">
        <f>"1027H565-001/-  HARNESS WH005 - ACP/ARP TO IFF/E"</f>
        <v>1027H565-001/-  HARNESS WH005 - ACP/ARP TO IFF/E</v>
      </c>
      <c r="L2347">
        <v>-1</v>
      </c>
      <c r="M2347" t="str">
        <f>"יח"</f>
        <v>יח</v>
      </c>
      <c r="N2347">
        <v>-1</v>
      </c>
      <c r="O2347" t="str">
        <f>"יח"</f>
        <v>יח</v>
      </c>
      <c r="P2347" s="2">
        <v>1845</v>
      </c>
      <c r="Q2347" t="str">
        <f>"$"</f>
        <v>$</v>
      </c>
      <c r="R2347" t="str">
        <f>"הזמנה"</f>
        <v>הזמנה</v>
      </c>
      <c r="S2347">
        <v>0</v>
      </c>
      <c r="T2347" s="2">
        <v>-1845</v>
      </c>
      <c r="U2347">
        <v>0</v>
      </c>
      <c r="V2347" s="2">
        <v>-1845</v>
      </c>
      <c r="W2347" t="str">
        <f>"$"</f>
        <v>$</v>
      </c>
      <c r="X2347">
        <v>0</v>
      </c>
      <c r="Y2347">
        <v>0</v>
      </c>
      <c r="Z2347">
        <v>0</v>
      </c>
      <c r="AA2347" t="str">
        <f>"Y"</f>
        <v>Y</v>
      </c>
      <c r="AC2347">
        <v>0</v>
      </c>
      <c r="AM2347" t="str">
        <f>"10"</f>
        <v>10</v>
      </c>
      <c r="AN2347" t="str">
        <f>"500000"</f>
        <v>500000</v>
      </c>
      <c r="AO2347" t="str">
        <f>"הכנסות  מלקוחות"</f>
        <v>הכנסות  מלקוחות</v>
      </c>
      <c r="AQ2347" t="str">
        <f>"034"</f>
        <v>034</v>
      </c>
      <c r="AR2347">
        <v>0</v>
      </c>
      <c r="AS2347">
        <v>0</v>
      </c>
      <c r="AT2347">
        <v>3.3319999999999999</v>
      </c>
      <c r="BB2347" t="str">
        <f>"Y"</f>
        <v>Y</v>
      </c>
      <c r="BD2347" t="str">
        <f>"ערן שלו"</f>
        <v>ערן שלו</v>
      </c>
    </row>
    <row r="2348" spans="1:56" x14ac:dyDescent="0.3">
      <c r="A2348" s="1">
        <v>44409</v>
      </c>
      <c r="B2348" t="str">
        <f>"SI216001265"</f>
        <v>SI216001265</v>
      </c>
      <c r="C2348" t="str">
        <f>"PR20000796"</f>
        <v>PR20000796</v>
      </c>
      <c r="E2348" t="str">
        <f>"Y"</f>
        <v>Y</v>
      </c>
      <c r="F2348" t="str">
        <f>"חשבוניות מרכזות"</f>
        <v>חשבוניות מרכזות</v>
      </c>
      <c r="G2348" t="str">
        <f>"700065"</f>
        <v>700065</v>
      </c>
      <c r="H2348" t="str">
        <f>"אלתא מערכות בע""מ"</f>
        <v>אלתא מערכות בע"מ</v>
      </c>
      <c r="I2348" t="str">
        <f>"10"</f>
        <v>10</v>
      </c>
      <c r="J2348" t="str">
        <f>"OP-AR02079"</f>
        <v>OP-AR02079</v>
      </c>
      <c r="K2348" t="str">
        <f>"1027H566-001/-  HARNESS WH006 - PCU ETH TO SHELT"</f>
        <v>1027H566-001/-  HARNESS WH006 - PCU ETH TO SHELT</v>
      </c>
      <c r="L2348">
        <v>-1</v>
      </c>
      <c r="M2348" t="str">
        <f>"יח"</f>
        <v>יח</v>
      </c>
      <c r="N2348">
        <v>-1</v>
      </c>
      <c r="O2348" t="str">
        <f>"יח"</f>
        <v>יח</v>
      </c>
      <c r="P2348" s="2">
        <v>2079.6799999999998</v>
      </c>
      <c r="Q2348" t="str">
        <f>"$"</f>
        <v>$</v>
      </c>
      <c r="R2348" t="str">
        <f>"הזמנה"</f>
        <v>הזמנה</v>
      </c>
      <c r="S2348">
        <v>0</v>
      </c>
      <c r="T2348" s="2">
        <v>-2079.6799999999998</v>
      </c>
      <c r="U2348">
        <v>0</v>
      </c>
      <c r="V2348" s="2">
        <v>-2079.6799999999998</v>
      </c>
      <c r="W2348" t="str">
        <f>"$"</f>
        <v>$</v>
      </c>
      <c r="X2348">
        <v>0</v>
      </c>
      <c r="Y2348">
        <v>0</v>
      </c>
      <c r="Z2348">
        <v>0</v>
      </c>
      <c r="AA2348" t="str">
        <f>"Y"</f>
        <v>Y</v>
      </c>
      <c r="AC2348">
        <v>0</v>
      </c>
      <c r="AM2348" t="str">
        <f>"10"</f>
        <v>10</v>
      </c>
      <c r="AN2348" t="str">
        <f>"500000"</f>
        <v>500000</v>
      </c>
      <c r="AO2348" t="str">
        <f>"הכנסות  מלקוחות"</f>
        <v>הכנסות  מלקוחות</v>
      </c>
      <c r="AQ2348" t="str">
        <f>"034"</f>
        <v>034</v>
      </c>
      <c r="AR2348">
        <v>0</v>
      </c>
      <c r="AS2348">
        <v>0</v>
      </c>
      <c r="AT2348">
        <v>3.3319999999999999</v>
      </c>
      <c r="BB2348" t="str">
        <f>"Y"</f>
        <v>Y</v>
      </c>
      <c r="BD2348" t="str">
        <f>"ערן שלו"</f>
        <v>ערן שלו</v>
      </c>
    </row>
    <row r="2349" spans="1:56" x14ac:dyDescent="0.3">
      <c r="A2349" s="1">
        <v>44409</v>
      </c>
      <c r="B2349" t="str">
        <f>"SI216001265"</f>
        <v>SI216001265</v>
      </c>
      <c r="C2349" t="str">
        <f>"PR20000796"</f>
        <v>PR20000796</v>
      </c>
      <c r="E2349" t="str">
        <f>"Y"</f>
        <v>Y</v>
      </c>
      <c r="F2349" t="str">
        <f>"חשבוניות מרכזות"</f>
        <v>חשבוניות מרכזות</v>
      </c>
      <c r="G2349" t="str">
        <f>"700065"</f>
        <v>700065</v>
      </c>
      <c r="H2349" t="str">
        <f>"אלתא מערכות בע""מ"</f>
        <v>אלתא מערכות בע"מ</v>
      </c>
      <c r="I2349" t="str">
        <f>"10"</f>
        <v>10</v>
      </c>
      <c r="J2349" t="str">
        <f>"OP-AR02080"</f>
        <v>OP-AR02080</v>
      </c>
      <c r="K2349" t="str">
        <f>"1027H568-001/-  HARNESS WH008 - IFF INTEREGRATOR"</f>
        <v>1027H568-001/-  HARNESS WH008 - IFF INTEREGRATOR</v>
      </c>
      <c r="L2349">
        <v>-1</v>
      </c>
      <c r="M2349" t="str">
        <f>"יח"</f>
        <v>יח</v>
      </c>
      <c r="N2349">
        <v>-1</v>
      </c>
      <c r="O2349" t="str">
        <f>"יח"</f>
        <v>יח</v>
      </c>
      <c r="P2349">
        <v>543</v>
      </c>
      <c r="Q2349" t="str">
        <f>"$"</f>
        <v>$</v>
      </c>
      <c r="R2349" t="str">
        <f>"הזמנה"</f>
        <v>הזמנה</v>
      </c>
      <c r="S2349">
        <v>0</v>
      </c>
      <c r="T2349">
        <v>-543</v>
      </c>
      <c r="U2349">
        <v>0</v>
      </c>
      <c r="V2349">
        <v>-543</v>
      </c>
      <c r="W2349" t="str">
        <f>"$"</f>
        <v>$</v>
      </c>
      <c r="X2349">
        <v>0</v>
      </c>
      <c r="Y2349">
        <v>0</v>
      </c>
      <c r="Z2349">
        <v>0</v>
      </c>
      <c r="AA2349" t="str">
        <f>"Y"</f>
        <v>Y</v>
      </c>
      <c r="AC2349">
        <v>0</v>
      </c>
      <c r="AM2349" t="str">
        <f>"10"</f>
        <v>10</v>
      </c>
      <c r="AN2349" t="str">
        <f>"500000"</f>
        <v>500000</v>
      </c>
      <c r="AO2349" t="str">
        <f>"הכנסות  מלקוחות"</f>
        <v>הכנסות  מלקוחות</v>
      </c>
      <c r="AQ2349" t="str">
        <f>"034"</f>
        <v>034</v>
      </c>
      <c r="AR2349">
        <v>0</v>
      </c>
      <c r="AS2349">
        <v>0</v>
      </c>
      <c r="AT2349">
        <v>3.3319999999999999</v>
      </c>
      <c r="BB2349" t="str">
        <f>"Y"</f>
        <v>Y</v>
      </c>
      <c r="BD2349" t="str">
        <f>"ערן שלו"</f>
        <v>ערן שלו</v>
      </c>
    </row>
    <row r="2350" spans="1:56" x14ac:dyDescent="0.3">
      <c r="A2350" s="1">
        <v>44409</v>
      </c>
      <c r="B2350" t="str">
        <f>"SI216001265"</f>
        <v>SI216001265</v>
      </c>
      <c r="C2350" t="str">
        <f>"PR20000796"</f>
        <v>PR20000796</v>
      </c>
      <c r="E2350" t="str">
        <f>"Y"</f>
        <v>Y</v>
      </c>
      <c r="F2350" t="str">
        <f>"חשבוניות מרכזות"</f>
        <v>חשבוניות מרכזות</v>
      </c>
      <c r="G2350" t="str">
        <f>"700065"</f>
        <v>700065</v>
      </c>
      <c r="H2350" t="str">
        <f>"אלתא מערכות בע""מ"</f>
        <v>אלתא מערכות בע"מ</v>
      </c>
      <c r="I2350" t="str">
        <f>"10"</f>
        <v>10</v>
      </c>
      <c r="J2350" t="str">
        <f>"OP-AR02082"</f>
        <v>OP-AR02082</v>
      </c>
      <c r="K2350" t="str">
        <f>"1027H570-001/-  HARNESS WH010 - IFF POWER"</f>
        <v>1027H570-001/-  HARNESS WH010 - IFF POWER</v>
      </c>
      <c r="L2350">
        <v>-1</v>
      </c>
      <c r="M2350" t="str">
        <f>"יח"</f>
        <v>יח</v>
      </c>
      <c r="N2350">
        <v>-1</v>
      </c>
      <c r="O2350" t="str">
        <f>"יח"</f>
        <v>יח</v>
      </c>
      <c r="P2350">
        <v>245.33</v>
      </c>
      <c r="Q2350" t="str">
        <f>"$"</f>
        <v>$</v>
      </c>
      <c r="R2350" t="str">
        <f>"הזמנה"</f>
        <v>הזמנה</v>
      </c>
      <c r="S2350">
        <v>0</v>
      </c>
      <c r="T2350">
        <v>-245.33</v>
      </c>
      <c r="U2350">
        <v>0</v>
      </c>
      <c r="V2350">
        <v>-245.33</v>
      </c>
      <c r="W2350" t="str">
        <f>"$"</f>
        <v>$</v>
      </c>
      <c r="X2350">
        <v>0</v>
      </c>
      <c r="Y2350">
        <v>0</v>
      </c>
      <c r="Z2350">
        <v>0</v>
      </c>
      <c r="AA2350" t="str">
        <f>"Y"</f>
        <v>Y</v>
      </c>
      <c r="AC2350">
        <v>0</v>
      </c>
      <c r="AM2350" t="str">
        <f>"10"</f>
        <v>10</v>
      </c>
      <c r="AN2350" t="str">
        <f>"500000"</f>
        <v>500000</v>
      </c>
      <c r="AO2350" t="str">
        <f>"הכנסות  מלקוחות"</f>
        <v>הכנסות  מלקוחות</v>
      </c>
      <c r="AQ2350" t="str">
        <f>"034"</f>
        <v>034</v>
      </c>
      <c r="AR2350">
        <v>0</v>
      </c>
      <c r="AS2350">
        <v>0</v>
      </c>
      <c r="AT2350">
        <v>3.3319999999999999</v>
      </c>
      <c r="BB2350" t="str">
        <f>"Y"</f>
        <v>Y</v>
      </c>
      <c r="BD2350" t="str">
        <f>"ערן שלו"</f>
        <v>ערן שלו</v>
      </c>
    </row>
    <row r="2351" spans="1:56" x14ac:dyDescent="0.3">
      <c r="A2351" s="1">
        <v>44409</v>
      </c>
      <c r="B2351" t="str">
        <f>"SI216001265"</f>
        <v>SI216001265</v>
      </c>
      <c r="C2351" t="str">
        <f>"PR20000796"</f>
        <v>PR20000796</v>
      </c>
      <c r="E2351" t="str">
        <f>"Y"</f>
        <v>Y</v>
      </c>
      <c r="F2351" t="str">
        <f>"חשבוניות מרכזות"</f>
        <v>חשבוניות מרכזות</v>
      </c>
      <c r="G2351" t="str">
        <f>"700065"</f>
        <v>700065</v>
      </c>
      <c r="H2351" t="str">
        <f>"אלתא מערכות בע""מ"</f>
        <v>אלתא מערכות בע"מ</v>
      </c>
      <c r="I2351" t="str">
        <f>"10"</f>
        <v>10</v>
      </c>
      <c r="J2351" t="str">
        <f>"OP-AR02084"</f>
        <v>OP-AR02084</v>
      </c>
      <c r="K2351" t="str">
        <f>"1027H572-001/-  HARNESS WH012 - IFF CONTROL"</f>
        <v>1027H572-001/-  HARNESS WH012 - IFF CONTROL</v>
      </c>
      <c r="L2351">
        <v>-1</v>
      </c>
      <c r="M2351" t="str">
        <f>"יח"</f>
        <v>יח</v>
      </c>
      <c r="N2351">
        <v>-1</v>
      </c>
      <c r="O2351" t="str">
        <f>"יח"</f>
        <v>יח</v>
      </c>
      <c r="P2351">
        <v>794.68</v>
      </c>
      <c r="Q2351" t="str">
        <f>"$"</f>
        <v>$</v>
      </c>
      <c r="R2351" t="str">
        <f>"הזמנה"</f>
        <v>הזמנה</v>
      </c>
      <c r="S2351">
        <v>0</v>
      </c>
      <c r="T2351">
        <v>-794.68</v>
      </c>
      <c r="U2351">
        <v>0</v>
      </c>
      <c r="V2351">
        <v>-794.68</v>
      </c>
      <c r="W2351" t="str">
        <f>"$"</f>
        <v>$</v>
      </c>
      <c r="X2351">
        <v>0</v>
      </c>
      <c r="Y2351">
        <v>0</v>
      </c>
      <c r="Z2351">
        <v>0</v>
      </c>
      <c r="AA2351" t="str">
        <f>"Y"</f>
        <v>Y</v>
      </c>
      <c r="AC2351">
        <v>0</v>
      </c>
      <c r="AM2351" t="str">
        <f>"10"</f>
        <v>10</v>
      </c>
      <c r="AN2351" t="str">
        <f>"500000"</f>
        <v>500000</v>
      </c>
      <c r="AO2351" t="str">
        <f>"הכנסות  מלקוחות"</f>
        <v>הכנסות  מלקוחות</v>
      </c>
      <c r="AQ2351" t="str">
        <f>"034"</f>
        <v>034</v>
      </c>
      <c r="AR2351">
        <v>0</v>
      </c>
      <c r="AS2351">
        <v>0</v>
      </c>
      <c r="AT2351">
        <v>3.3319999999999999</v>
      </c>
      <c r="BB2351" t="str">
        <f>"Y"</f>
        <v>Y</v>
      </c>
      <c r="BD2351" t="str">
        <f>"ערן שלו"</f>
        <v>ערן שלו</v>
      </c>
    </row>
    <row r="2352" spans="1:56" x14ac:dyDescent="0.3">
      <c r="A2352" s="1">
        <v>44405</v>
      </c>
      <c r="B2352" t="str">
        <f>"SI216001120"</f>
        <v>SI216001120</v>
      </c>
      <c r="C2352" t="str">
        <f>"PR20000530"</f>
        <v>PR20000530</v>
      </c>
      <c r="D2352" t="str">
        <f>"PR20000530"</f>
        <v>PR20000530</v>
      </c>
      <c r="E2352" t="str">
        <f>"Y"</f>
        <v>Y</v>
      </c>
      <c r="F2352" t="str">
        <f>"חשבוניות מרכזות"</f>
        <v>חשבוניות מרכזות</v>
      </c>
      <c r="G2352" t="str">
        <f>"700065"</f>
        <v>700065</v>
      </c>
      <c r="H2352" t="str">
        <f>"אלתא מערכות בע""מ"</f>
        <v>אלתא מערכות בע"מ</v>
      </c>
      <c r="I2352" t="str">
        <f>"10"</f>
        <v>10</v>
      </c>
      <c r="J2352" t="str">
        <f>"OP-AR01965"</f>
        <v>OP-AR01965</v>
      </c>
      <c r="K2352" t="str">
        <f>"1031Y637-001/A - CABLE ASSY WC101"</f>
        <v>1031Y637-001/A - CABLE ASSY WC101</v>
      </c>
      <c r="L2352">
        <v>2</v>
      </c>
      <c r="M2352" t="str">
        <f>"יח"</f>
        <v>יח</v>
      </c>
      <c r="N2352">
        <v>2</v>
      </c>
      <c r="O2352" t="str">
        <f>"יח"</f>
        <v>יח</v>
      </c>
      <c r="P2352" s="2">
        <v>3852.22</v>
      </c>
      <c r="Q2352" t="str">
        <f>"$"</f>
        <v>$</v>
      </c>
      <c r="R2352" t="str">
        <f>"הזמנה"</f>
        <v>הזמנה</v>
      </c>
      <c r="S2352">
        <v>0</v>
      </c>
      <c r="T2352" s="2">
        <v>7704.44</v>
      </c>
      <c r="U2352">
        <v>0</v>
      </c>
      <c r="V2352" s="2">
        <v>7704.44</v>
      </c>
      <c r="W2352" t="str">
        <f>"$"</f>
        <v>$</v>
      </c>
      <c r="X2352">
        <v>0</v>
      </c>
      <c r="Y2352">
        <v>0</v>
      </c>
      <c r="Z2352">
        <v>0</v>
      </c>
      <c r="AA2352" t="str">
        <f>"Y"</f>
        <v>Y</v>
      </c>
      <c r="AB2352" t="str">
        <f>"SO20000337"</f>
        <v>SO20000337</v>
      </c>
      <c r="AC2352">
        <v>3</v>
      </c>
      <c r="AD2352" s="1">
        <v>44045</v>
      </c>
      <c r="AE2352" t="str">
        <f>"SH21000295"</f>
        <v>SH21000295</v>
      </c>
      <c r="AF2352" t="str">
        <f>"משלוחים ללקוח"</f>
        <v>משלוחים ללקוח</v>
      </c>
      <c r="AG2352" s="1">
        <v>44244</v>
      </c>
      <c r="AM2352" t="str">
        <f>"10"</f>
        <v>10</v>
      </c>
      <c r="AN2352" t="str">
        <f>"500000"</f>
        <v>500000</v>
      </c>
      <c r="AO2352" t="str">
        <f>"הכנסות  מלקוחות"</f>
        <v>הכנסות  מלקוחות</v>
      </c>
      <c r="AQ2352" t="str">
        <f>"034"</f>
        <v>034</v>
      </c>
      <c r="AR2352">
        <v>0</v>
      </c>
      <c r="AS2352">
        <v>0</v>
      </c>
      <c r="AT2352">
        <v>3.254</v>
      </c>
      <c r="AX2352" t="str">
        <f>"E000317142"</f>
        <v>E000317142</v>
      </c>
      <c r="BD2352" t="str">
        <f>"ערן שלו"</f>
        <v>ערן שלו</v>
      </c>
    </row>
    <row r="2353" spans="1:56" x14ac:dyDescent="0.3">
      <c r="A2353" s="1">
        <v>44405</v>
      </c>
      <c r="B2353" t="str">
        <f>"SI216001088"</f>
        <v>SI216001088</v>
      </c>
      <c r="C2353" t="str">
        <f>"PR20000779"</f>
        <v>PR20000779</v>
      </c>
      <c r="D2353" t="str">
        <f>"PR20000779"</f>
        <v>PR20000779</v>
      </c>
      <c r="E2353" t="str">
        <f>"Y"</f>
        <v>Y</v>
      </c>
      <c r="F2353" t="str">
        <f>"חשבוניות מרכזות"</f>
        <v>חשבוניות מרכזות</v>
      </c>
      <c r="G2353" t="str">
        <f>"700065"</f>
        <v>700065</v>
      </c>
      <c r="H2353" t="str">
        <f>"אלתא מערכות בע""מ"</f>
        <v>אלתא מערכות בע"מ</v>
      </c>
      <c r="I2353" t="str">
        <f>"10"</f>
        <v>10</v>
      </c>
      <c r="J2353" t="str">
        <f>"OP-AR02061"</f>
        <v>OP-AR02061</v>
      </c>
      <c r="K2353" t="str">
        <f>"4043K510-001  SATCOM COMMUNICATION CABLE"</f>
        <v>4043K510-001  SATCOM COMMUNICATION CABLE</v>
      </c>
      <c r="L2353">
        <v>3</v>
      </c>
      <c r="M2353" t="str">
        <f>"יח"</f>
        <v>יח</v>
      </c>
      <c r="N2353">
        <v>3</v>
      </c>
      <c r="O2353" t="str">
        <f>"יח"</f>
        <v>יח</v>
      </c>
      <c r="P2353" s="2">
        <v>2234.91</v>
      </c>
      <c r="Q2353" t="str">
        <f>"$"</f>
        <v>$</v>
      </c>
      <c r="R2353" t="str">
        <f>"הזמנה"</f>
        <v>הזמנה</v>
      </c>
      <c r="S2353">
        <v>0</v>
      </c>
      <c r="T2353" s="2">
        <v>6704.73</v>
      </c>
      <c r="U2353">
        <v>0</v>
      </c>
      <c r="V2353" s="2">
        <v>6704.73</v>
      </c>
      <c r="W2353" t="str">
        <f>"$"</f>
        <v>$</v>
      </c>
      <c r="X2353">
        <v>0</v>
      </c>
      <c r="Y2353">
        <v>0</v>
      </c>
      <c r="Z2353">
        <v>0</v>
      </c>
      <c r="AA2353" t="str">
        <f>"Y"</f>
        <v>Y</v>
      </c>
      <c r="AB2353" t="str">
        <f>"SO20000496"</f>
        <v>SO20000496</v>
      </c>
      <c r="AC2353">
        <v>2</v>
      </c>
      <c r="AD2353" s="1">
        <v>44138</v>
      </c>
      <c r="AE2353" t="str">
        <f>"SH21001328"</f>
        <v>SH21001328</v>
      </c>
      <c r="AF2353" t="str">
        <f>"משלוחים ללקוח"</f>
        <v>משלוחים ללקוח</v>
      </c>
      <c r="AG2353" s="1">
        <v>44405</v>
      </c>
      <c r="AM2353" t="str">
        <f>"10"</f>
        <v>10</v>
      </c>
      <c r="AN2353" t="str">
        <f>"500000"</f>
        <v>500000</v>
      </c>
      <c r="AO2353" t="str">
        <f>"הכנסות  מלקוחות"</f>
        <v>הכנסות  מלקוחות</v>
      </c>
      <c r="AQ2353" t="str">
        <f>"034"</f>
        <v>034</v>
      </c>
      <c r="AR2353">
        <v>0</v>
      </c>
      <c r="AS2353">
        <v>0</v>
      </c>
      <c r="AT2353">
        <v>3.254</v>
      </c>
      <c r="AX2353" t="str">
        <f>"E000323819"</f>
        <v>E000323819</v>
      </c>
      <c r="BD2353" t="str">
        <f>"ערן שלו"</f>
        <v>ערן שלו</v>
      </c>
    </row>
    <row r="2354" spans="1:56" x14ac:dyDescent="0.3">
      <c r="A2354" s="1">
        <v>44405</v>
      </c>
      <c r="B2354" t="str">
        <f>"SI216001087"</f>
        <v>SI216001087</v>
      </c>
      <c r="C2354" t="str">
        <f>"PR20000834"</f>
        <v>PR20000834</v>
      </c>
      <c r="D2354" t="str">
        <f>"PR20000834"</f>
        <v>PR20000834</v>
      </c>
      <c r="E2354" t="str">
        <f>"Y"</f>
        <v>Y</v>
      </c>
      <c r="F2354" t="str">
        <f>"חשבוניות מרכזות"</f>
        <v>חשבוניות מרכזות</v>
      </c>
      <c r="G2354" t="str">
        <f>"700065"</f>
        <v>700065</v>
      </c>
      <c r="H2354" t="str">
        <f>"אלתא מערכות בע""מ"</f>
        <v>אלתא מערכות בע"מ</v>
      </c>
      <c r="I2354" t="str">
        <f>"10"</f>
        <v>10</v>
      </c>
      <c r="J2354" t="str">
        <f>"OP-AR02102"</f>
        <v>OP-AR02102</v>
      </c>
      <c r="K2354" t="str">
        <f>"1032F920-001/-   ETHERNET CABLE MFR-W920 - FILTE"</f>
        <v>1032F920-001/-   ETHERNET CABLE MFR-W920 - FILTE</v>
      </c>
      <c r="L2354">
        <v>4</v>
      </c>
      <c r="M2354" t="str">
        <f>"יח"</f>
        <v>יח</v>
      </c>
      <c r="N2354">
        <v>4</v>
      </c>
      <c r="O2354" t="str">
        <f>"יח"</f>
        <v>יח</v>
      </c>
      <c r="P2354">
        <v>174</v>
      </c>
      <c r="Q2354" t="str">
        <f>"$"</f>
        <v>$</v>
      </c>
      <c r="R2354" t="str">
        <f>"הזמנה"</f>
        <v>הזמנה</v>
      </c>
      <c r="S2354">
        <v>0</v>
      </c>
      <c r="T2354">
        <v>696</v>
      </c>
      <c r="U2354">
        <v>0</v>
      </c>
      <c r="V2354">
        <v>696</v>
      </c>
      <c r="W2354" t="str">
        <f>"$"</f>
        <v>$</v>
      </c>
      <c r="X2354">
        <v>0</v>
      </c>
      <c r="Y2354">
        <v>0</v>
      </c>
      <c r="Z2354">
        <v>0</v>
      </c>
      <c r="AA2354" t="str">
        <f>"Y"</f>
        <v>Y</v>
      </c>
      <c r="AB2354" t="str">
        <f>"SO20000532"</f>
        <v>SO20000532</v>
      </c>
      <c r="AC2354">
        <v>3</v>
      </c>
      <c r="AD2354" s="1">
        <v>44155</v>
      </c>
      <c r="AE2354" t="str">
        <f>"SH21001327"</f>
        <v>SH21001327</v>
      </c>
      <c r="AF2354" t="str">
        <f>"משלוחים ללקוח"</f>
        <v>משלוחים ללקוח</v>
      </c>
      <c r="AG2354" s="1">
        <v>44405</v>
      </c>
      <c r="AM2354" t="str">
        <f>"10"</f>
        <v>10</v>
      </c>
      <c r="AN2354" t="str">
        <f>"500000"</f>
        <v>500000</v>
      </c>
      <c r="AO2354" t="str">
        <f>"הכנסות  מלקוחות"</f>
        <v>הכנסות  מלקוחות</v>
      </c>
      <c r="AQ2354" t="str">
        <f>"034"</f>
        <v>034</v>
      </c>
      <c r="AR2354">
        <v>0</v>
      </c>
      <c r="AS2354">
        <v>0</v>
      </c>
      <c r="AT2354">
        <v>3.254</v>
      </c>
      <c r="AX2354" t="str">
        <f>"E000321177"</f>
        <v>E000321177</v>
      </c>
      <c r="BD2354" t="str">
        <f>"ערן שלו"</f>
        <v>ערן שלו</v>
      </c>
    </row>
    <row r="2355" spans="1:56" x14ac:dyDescent="0.3">
      <c r="A2355" s="1">
        <v>44405</v>
      </c>
      <c r="B2355" t="str">
        <f>"SI216001087"</f>
        <v>SI216001087</v>
      </c>
      <c r="C2355" t="str">
        <f>"PR20000834"</f>
        <v>PR20000834</v>
      </c>
      <c r="D2355" t="str">
        <f>"PR20000834"</f>
        <v>PR20000834</v>
      </c>
      <c r="E2355" t="str">
        <f>"Y"</f>
        <v>Y</v>
      </c>
      <c r="F2355" t="str">
        <f>"חשבוניות מרכזות"</f>
        <v>חשבוניות מרכזות</v>
      </c>
      <c r="G2355" t="str">
        <f>"700065"</f>
        <v>700065</v>
      </c>
      <c r="H2355" t="str">
        <f>"אלתא מערכות בע""מ"</f>
        <v>אלתא מערכות בע"מ</v>
      </c>
      <c r="I2355" t="str">
        <f>"10"</f>
        <v>10</v>
      </c>
      <c r="J2355" t="str">
        <f>"OP-AR02102"</f>
        <v>OP-AR02102</v>
      </c>
      <c r="K2355" t="str">
        <f>"1032F920-001/-   ETHERNET CABLE MFR-W920 - FILTE"</f>
        <v>1032F920-001/-   ETHERNET CABLE MFR-W920 - FILTE</v>
      </c>
      <c r="L2355">
        <v>4</v>
      </c>
      <c r="M2355" t="str">
        <f>"יח"</f>
        <v>יח</v>
      </c>
      <c r="N2355">
        <v>4</v>
      </c>
      <c r="O2355" t="str">
        <f>"יח"</f>
        <v>יח</v>
      </c>
      <c r="P2355">
        <v>174</v>
      </c>
      <c r="Q2355" t="str">
        <f>"$"</f>
        <v>$</v>
      </c>
      <c r="R2355" t="str">
        <f>"הזמנה"</f>
        <v>הזמנה</v>
      </c>
      <c r="S2355">
        <v>0</v>
      </c>
      <c r="T2355">
        <v>696</v>
      </c>
      <c r="U2355">
        <v>0</v>
      </c>
      <c r="V2355">
        <v>696</v>
      </c>
      <c r="W2355" t="str">
        <f>"$"</f>
        <v>$</v>
      </c>
      <c r="X2355">
        <v>0</v>
      </c>
      <c r="Y2355">
        <v>0</v>
      </c>
      <c r="Z2355">
        <v>0</v>
      </c>
      <c r="AA2355" t="str">
        <f>"Y"</f>
        <v>Y</v>
      </c>
      <c r="AB2355" t="str">
        <f>"SO20000532"</f>
        <v>SO20000532</v>
      </c>
      <c r="AC2355">
        <v>4</v>
      </c>
      <c r="AD2355" s="1">
        <v>44155</v>
      </c>
      <c r="AE2355" t="str">
        <f>"SH21001327"</f>
        <v>SH21001327</v>
      </c>
      <c r="AF2355" t="str">
        <f>"משלוחים ללקוח"</f>
        <v>משלוחים ללקוח</v>
      </c>
      <c r="AG2355" s="1">
        <v>44405</v>
      </c>
      <c r="AM2355" t="str">
        <f>"10"</f>
        <v>10</v>
      </c>
      <c r="AN2355" t="str">
        <f>"500000"</f>
        <v>500000</v>
      </c>
      <c r="AO2355" t="str">
        <f>"הכנסות  מלקוחות"</f>
        <v>הכנסות  מלקוחות</v>
      </c>
      <c r="AQ2355" t="str">
        <f>"034"</f>
        <v>034</v>
      </c>
      <c r="AR2355">
        <v>0</v>
      </c>
      <c r="AS2355">
        <v>0</v>
      </c>
      <c r="AT2355">
        <v>3.254</v>
      </c>
      <c r="AX2355" t="str">
        <f>"E000321177"</f>
        <v>E000321177</v>
      </c>
      <c r="BD2355" t="str">
        <f>"ערן שלו"</f>
        <v>ערן שלו</v>
      </c>
    </row>
    <row r="2356" spans="1:56" x14ac:dyDescent="0.3">
      <c r="A2356" s="1">
        <v>44405</v>
      </c>
      <c r="B2356" t="str">
        <f>"SI216001087"</f>
        <v>SI216001087</v>
      </c>
      <c r="C2356" t="str">
        <f>"PR20000834"</f>
        <v>PR20000834</v>
      </c>
      <c r="D2356" t="str">
        <f>"PR20000834"</f>
        <v>PR20000834</v>
      </c>
      <c r="E2356" t="str">
        <f>"Y"</f>
        <v>Y</v>
      </c>
      <c r="F2356" t="str">
        <f>"חשבוניות מרכזות"</f>
        <v>חשבוניות מרכזות</v>
      </c>
      <c r="G2356" t="str">
        <f>"700065"</f>
        <v>700065</v>
      </c>
      <c r="H2356" t="str">
        <f>"אלתא מערכות בע""מ"</f>
        <v>אלתא מערכות בע"מ</v>
      </c>
      <c r="I2356" t="str">
        <f>"10"</f>
        <v>10</v>
      </c>
      <c r="J2356" t="str">
        <f>"OP-AR02130"</f>
        <v>OP-AR02130</v>
      </c>
      <c r="K2356" t="str">
        <f>"1032F946-001/-   HARNESS MFR-W946 - TBU1 TO SENS"</f>
        <v>1032F946-001/-   HARNESS MFR-W946 - TBU1 TO SENS</v>
      </c>
      <c r="L2356">
        <v>2</v>
      </c>
      <c r="M2356" t="str">
        <f>"יח"</f>
        <v>יח</v>
      </c>
      <c r="N2356">
        <v>2</v>
      </c>
      <c r="O2356" t="str">
        <f>"יח"</f>
        <v>יח</v>
      </c>
      <c r="P2356" s="2">
        <v>1452.1</v>
      </c>
      <c r="Q2356" t="str">
        <f>"$"</f>
        <v>$</v>
      </c>
      <c r="R2356" t="str">
        <f>"הזמנה"</f>
        <v>הזמנה</v>
      </c>
      <c r="S2356">
        <v>0</v>
      </c>
      <c r="T2356" s="2">
        <v>2904.2</v>
      </c>
      <c r="U2356">
        <v>0</v>
      </c>
      <c r="V2356" s="2">
        <v>2904.2</v>
      </c>
      <c r="W2356" t="str">
        <f>"$"</f>
        <v>$</v>
      </c>
      <c r="X2356">
        <v>0</v>
      </c>
      <c r="Y2356">
        <v>0</v>
      </c>
      <c r="Z2356">
        <v>0</v>
      </c>
      <c r="AA2356" t="str">
        <f>"Y"</f>
        <v>Y</v>
      </c>
      <c r="AB2356" t="str">
        <f>"SO20000532"</f>
        <v>SO20000532</v>
      </c>
      <c r="AC2356">
        <v>155</v>
      </c>
      <c r="AD2356" s="1">
        <v>44155</v>
      </c>
      <c r="AE2356" t="str">
        <f>"SH21001327"</f>
        <v>SH21001327</v>
      </c>
      <c r="AF2356" t="str">
        <f>"משלוחים ללקוח"</f>
        <v>משלוחים ללקוח</v>
      </c>
      <c r="AG2356" s="1">
        <v>44405</v>
      </c>
      <c r="AM2356" t="str">
        <f>"10"</f>
        <v>10</v>
      </c>
      <c r="AN2356" t="str">
        <f>"500000"</f>
        <v>500000</v>
      </c>
      <c r="AO2356" t="str">
        <f>"הכנסות  מלקוחות"</f>
        <v>הכנסות  מלקוחות</v>
      </c>
      <c r="AQ2356" t="str">
        <f>"034"</f>
        <v>034</v>
      </c>
      <c r="AR2356">
        <v>0</v>
      </c>
      <c r="AS2356">
        <v>0</v>
      </c>
      <c r="AT2356">
        <v>3.254</v>
      </c>
      <c r="AX2356" t="str">
        <f>"E000321177"</f>
        <v>E000321177</v>
      </c>
      <c r="BD2356" t="str">
        <f>"ערן שלו"</f>
        <v>ערן שלו</v>
      </c>
    </row>
    <row r="2357" spans="1:56" x14ac:dyDescent="0.3">
      <c r="A2357" s="1">
        <v>44405</v>
      </c>
      <c r="B2357" t="str">
        <f>"SI216001087"</f>
        <v>SI216001087</v>
      </c>
      <c r="C2357" t="str">
        <f>"PR20000834"</f>
        <v>PR20000834</v>
      </c>
      <c r="D2357" t="str">
        <f>"PR20000834"</f>
        <v>PR20000834</v>
      </c>
      <c r="E2357" t="str">
        <f>"Y"</f>
        <v>Y</v>
      </c>
      <c r="F2357" t="str">
        <f>"חשבוניות מרכזות"</f>
        <v>חשבוניות מרכזות</v>
      </c>
      <c r="G2357" t="str">
        <f>"700065"</f>
        <v>700065</v>
      </c>
      <c r="H2357" t="str">
        <f>"אלתא מערכות בע""מ"</f>
        <v>אלתא מערכות בע"מ</v>
      </c>
      <c r="I2357" t="str">
        <f>"10"</f>
        <v>10</v>
      </c>
      <c r="J2357" t="str">
        <f>"OP-AR02130"</f>
        <v>OP-AR02130</v>
      </c>
      <c r="K2357" t="str">
        <f>"1032F946-001/-   HARNESS MFR-W946 - TBU1 TO SENS"</f>
        <v>1032F946-001/-   HARNESS MFR-W946 - TBU1 TO SENS</v>
      </c>
      <c r="L2357">
        <v>1</v>
      </c>
      <c r="M2357" t="str">
        <f>"יח"</f>
        <v>יח</v>
      </c>
      <c r="N2357">
        <v>1</v>
      </c>
      <c r="O2357" t="str">
        <f>"יח"</f>
        <v>יח</v>
      </c>
      <c r="P2357" s="2">
        <v>1452.1</v>
      </c>
      <c r="Q2357" t="str">
        <f>"$"</f>
        <v>$</v>
      </c>
      <c r="R2357" t="str">
        <f>"הזמנה"</f>
        <v>הזמנה</v>
      </c>
      <c r="S2357">
        <v>0</v>
      </c>
      <c r="T2357" s="2">
        <v>1452.1</v>
      </c>
      <c r="U2357">
        <v>0</v>
      </c>
      <c r="V2357" s="2">
        <v>1452.1</v>
      </c>
      <c r="W2357" t="str">
        <f>"$"</f>
        <v>$</v>
      </c>
      <c r="X2357">
        <v>0</v>
      </c>
      <c r="Y2357">
        <v>0</v>
      </c>
      <c r="Z2357">
        <v>0</v>
      </c>
      <c r="AA2357" t="str">
        <f>"Y"</f>
        <v>Y</v>
      </c>
      <c r="AB2357" t="str">
        <f>"SO20000532"</f>
        <v>SO20000532</v>
      </c>
      <c r="AC2357">
        <v>156</v>
      </c>
      <c r="AD2357" s="1">
        <v>44155</v>
      </c>
      <c r="AE2357" t="str">
        <f>"SH21001327"</f>
        <v>SH21001327</v>
      </c>
      <c r="AF2357" t="str">
        <f>"משלוחים ללקוח"</f>
        <v>משלוחים ללקוח</v>
      </c>
      <c r="AG2357" s="1">
        <v>44405</v>
      </c>
      <c r="AM2357" t="str">
        <f>"10"</f>
        <v>10</v>
      </c>
      <c r="AN2357" t="str">
        <f>"500000"</f>
        <v>500000</v>
      </c>
      <c r="AO2357" t="str">
        <f>"הכנסות  מלקוחות"</f>
        <v>הכנסות  מלקוחות</v>
      </c>
      <c r="AQ2357" t="str">
        <f>"034"</f>
        <v>034</v>
      </c>
      <c r="AR2357">
        <v>0</v>
      </c>
      <c r="AS2357">
        <v>0</v>
      </c>
      <c r="AT2357">
        <v>3.254</v>
      </c>
      <c r="AX2357" t="str">
        <f>"E000321177"</f>
        <v>E000321177</v>
      </c>
      <c r="BD2357" t="str">
        <f>"ערן שלו"</f>
        <v>ערן שלו</v>
      </c>
    </row>
    <row r="2358" spans="1:56" x14ac:dyDescent="0.3">
      <c r="A2358" s="1">
        <v>44405</v>
      </c>
      <c r="B2358" t="str">
        <f>"SI216001087"</f>
        <v>SI216001087</v>
      </c>
      <c r="C2358" t="str">
        <f>"PR20000834"</f>
        <v>PR20000834</v>
      </c>
      <c r="D2358" t="str">
        <f>"PR20000834"</f>
        <v>PR20000834</v>
      </c>
      <c r="E2358" t="str">
        <f>"Y"</f>
        <v>Y</v>
      </c>
      <c r="F2358" t="str">
        <f>"חשבוניות מרכזות"</f>
        <v>חשבוניות מרכזות</v>
      </c>
      <c r="G2358" t="str">
        <f>"700065"</f>
        <v>700065</v>
      </c>
      <c r="H2358" t="str">
        <f>"אלתא מערכות בע""מ"</f>
        <v>אלתא מערכות בע"מ</v>
      </c>
      <c r="I2358" t="str">
        <f>"10"</f>
        <v>10</v>
      </c>
      <c r="J2358" t="str">
        <f>"OP-AR02132"</f>
        <v>OP-AR02132</v>
      </c>
      <c r="K2358" t="str">
        <f>"1032F948-001/-   HARNESS MFR-W948 - TBU2 TO SENS"</f>
        <v>1032F948-001/-   HARNESS MFR-W948 - TBU2 TO SENS</v>
      </c>
      <c r="L2358">
        <v>2</v>
      </c>
      <c r="M2358" t="str">
        <f>"יח"</f>
        <v>יח</v>
      </c>
      <c r="N2358">
        <v>2</v>
      </c>
      <c r="O2358" t="str">
        <f>"יח"</f>
        <v>יח</v>
      </c>
      <c r="P2358" s="2">
        <v>1452.1</v>
      </c>
      <c r="Q2358" t="str">
        <f>"$"</f>
        <v>$</v>
      </c>
      <c r="R2358" t="str">
        <f>"הזמנה"</f>
        <v>הזמנה</v>
      </c>
      <c r="S2358">
        <v>0</v>
      </c>
      <c r="T2358" s="2">
        <v>2904.2</v>
      </c>
      <c r="U2358">
        <v>0</v>
      </c>
      <c r="V2358" s="2">
        <v>2904.2</v>
      </c>
      <c r="W2358" t="str">
        <f>"$"</f>
        <v>$</v>
      </c>
      <c r="X2358">
        <v>0</v>
      </c>
      <c r="Y2358">
        <v>0</v>
      </c>
      <c r="Z2358">
        <v>0</v>
      </c>
      <c r="AA2358" t="str">
        <f>"Y"</f>
        <v>Y</v>
      </c>
      <c r="AB2358" t="str">
        <f>"SO20000532"</f>
        <v>SO20000532</v>
      </c>
      <c r="AC2358">
        <v>163</v>
      </c>
      <c r="AD2358" s="1">
        <v>44155</v>
      </c>
      <c r="AE2358" t="str">
        <f>"SH21001327"</f>
        <v>SH21001327</v>
      </c>
      <c r="AF2358" t="str">
        <f>"משלוחים ללקוח"</f>
        <v>משלוחים ללקוח</v>
      </c>
      <c r="AG2358" s="1">
        <v>44405</v>
      </c>
      <c r="AM2358" t="str">
        <f>"10"</f>
        <v>10</v>
      </c>
      <c r="AN2358" t="str">
        <f>"500000"</f>
        <v>500000</v>
      </c>
      <c r="AO2358" t="str">
        <f>"הכנסות  מלקוחות"</f>
        <v>הכנסות  מלקוחות</v>
      </c>
      <c r="AQ2358" t="str">
        <f>"034"</f>
        <v>034</v>
      </c>
      <c r="AR2358">
        <v>0</v>
      </c>
      <c r="AS2358">
        <v>0</v>
      </c>
      <c r="AT2358">
        <v>3.254</v>
      </c>
      <c r="AX2358" t="str">
        <f>"E000321177"</f>
        <v>E000321177</v>
      </c>
      <c r="BD2358" t="str">
        <f>"ערן שלו"</f>
        <v>ערן שלו</v>
      </c>
    </row>
    <row r="2359" spans="1:56" x14ac:dyDescent="0.3">
      <c r="A2359" s="1">
        <v>44405</v>
      </c>
      <c r="B2359" t="str">
        <f>"SI216001087"</f>
        <v>SI216001087</v>
      </c>
      <c r="C2359" t="str">
        <f>"PR20000834"</f>
        <v>PR20000834</v>
      </c>
      <c r="D2359" t="str">
        <f>"PR20000834"</f>
        <v>PR20000834</v>
      </c>
      <c r="E2359" t="str">
        <f>"Y"</f>
        <v>Y</v>
      </c>
      <c r="F2359" t="str">
        <f>"חשבוניות מרכזות"</f>
        <v>חשבוניות מרכזות</v>
      </c>
      <c r="G2359" t="str">
        <f>"700065"</f>
        <v>700065</v>
      </c>
      <c r="H2359" t="str">
        <f>"אלתא מערכות בע""מ"</f>
        <v>אלתא מערכות בע"מ</v>
      </c>
      <c r="I2359" t="str">
        <f>"10"</f>
        <v>10</v>
      </c>
      <c r="J2359" t="str">
        <f>"OP-AR02133"</f>
        <v>OP-AR02133</v>
      </c>
      <c r="K2359" t="str">
        <f>"1032F949-001/A   HARNESS MFR-W949 - TBU2 TO SENS"</f>
        <v>1032F949-001/A   HARNESS MFR-W949 - TBU2 TO SENS</v>
      </c>
      <c r="L2359">
        <v>2</v>
      </c>
      <c r="M2359" t="str">
        <f>"יח"</f>
        <v>יח</v>
      </c>
      <c r="N2359">
        <v>2</v>
      </c>
      <c r="O2359" t="str">
        <f>"יח"</f>
        <v>יח</v>
      </c>
      <c r="P2359">
        <v>282.2</v>
      </c>
      <c r="Q2359" t="str">
        <f>"$"</f>
        <v>$</v>
      </c>
      <c r="R2359" t="str">
        <f>"הזמנה"</f>
        <v>הזמנה</v>
      </c>
      <c r="S2359">
        <v>0</v>
      </c>
      <c r="T2359">
        <v>564.4</v>
      </c>
      <c r="U2359">
        <v>0</v>
      </c>
      <c r="V2359">
        <v>564.4</v>
      </c>
      <c r="W2359" t="str">
        <f>"$"</f>
        <v>$</v>
      </c>
      <c r="X2359">
        <v>0</v>
      </c>
      <c r="Y2359">
        <v>0</v>
      </c>
      <c r="Z2359">
        <v>0</v>
      </c>
      <c r="AA2359" t="str">
        <f>"Y"</f>
        <v>Y</v>
      </c>
      <c r="AB2359" t="str">
        <f>"SO20000532"</f>
        <v>SO20000532</v>
      </c>
      <c r="AC2359">
        <v>167</v>
      </c>
      <c r="AD2359" s="1">
        <v>44155</v>
      </c>
      <c r="AE2359" t="str">
        <f>"SH21001327"</f>
        <v>SH21001327</v>
      </c>
      <c r="AF2359" t="str">
        <f>"משלוחים ללקוח"</f>
        <v>משלוחים ללקוח</v>
      </c>
      <c r="AG2359" s="1">
        <v>44405</v>
      </c>
      <c r="AM2359" t="str">
        <f>"10"</f>
        <v>10</v>
      </c>
      <c r="AN2359" t="str">
        <f>"500000"</f>
        <v>500000</v>
      </c>
      <c r="AO2359" t="str">
        <f>"הכנסות  מלקוחות"</f>
        <v>הכנסות  מלקוחות</v>
      </c>
      <c r="AQ2359" t="str">
        <f>"034"</f>
        <v>034</v>
      </c>
      <c r="AR2359">
        <v>0</v>
      </c>
      <c r="AS2359">
        <v>0</v>
      </c>
      <c r="AT2359">
        <v>3.254</v>
      </c>
      <c r="AX2359" t="str">
        <f>"E000321177"</f>
        <v>E000321177</v>
      </c>
      <c r="BD2359" t="str">
        <f>"ערן שלו"</f>
        <v>ערן שלו</v>
      </c>
    </row>
    <row r="2360" spans="1:56" x14ac:dyDescent="0.3">
      <c r="A2360" s="1">
        <v>44405</v>
      </c>
      <c r="B2360" t="str">
        <f>"SI216001087"</f>
        <v>SI216001087</v>
      </c>
      <c r="C2360" t="str">
        <f>"PR20000834"</f>
        <v>PR20000834</v>
      </c>
      <c r="D2360" t="str">
        <f>"PR20000834"</f>
        <v>PR20000834</v>
      </c>
      <c r="E2360" t="str">
        <f>"Y"</f>
        <v>Y</v>
      </c>
      <c r="F2360" t="str">
        <f>"חשבוניות מרכזות"</f>
        <v>חשבוניות מרכזות</v>
      </c>
      <c r="G2360" t="str">
        <f>"700065"</f>
        <v>700065</v>
      </c>
      <c r="H2360" t="str">
        <f>"אלתא מערכות בע""מ"</f>
        <v>אלתא מערכות בע"מ</v>
      </c>
      <c r="I2360" t="str">
        <f>"10"</f>
        <v>10</v>
      </c>
      <c r="J2360" t="str">
        <f>"OP-AR02133"</f>
        <v>OP-AR02133</v>
      </c>
      <c r="K2360" t="str">
        <f>"1032F949-001/A   HARNESS MFR-W949 - TBU2 TO SENS"</f>
        <v>1032F949-001/A   HARNESS MFR-W949 - TBU2 TO SENS</v>
      </c>
      <c r="L2360">
        <v>1</v>
      </c>
      <c r="M2360" t="str">
        <f>"יח"</f>
        <v>יח</v>
      </c>
      <c r="N2360">
        <v>1</v>
      </c>
      <c r="O2360" t="str">
        <f>"יח"</f>
        <v>יח</v>
      </c>
      <c r="P2360">
        <v>282.2</v>
      </c>
      <c r="Q2360" t="str">
        <f>"$"</f>
        <v>$</v>
      </c>
      <c r="R2360" t="str">
        <f>"הזמנה"</f>
        <v>הזמנה</v>
      </c>
      <c r="S2360">
        <v>0</v>
      </c>
      <c r="T2360">
        <v>282.2</v>
      </c>
      <c r="U2360">
        <v>0</v>
      </c>
      <c r="V2360">
        <v>282.2</v>
      </c>
      <c r="W2360" t="str">
        <f>"$"</f>
        <v>$</v>
      </c>
      <c r="X2360">
        <v>0</v>
      </c>
      <c r="Y2360">
        <v>0</v>
      </c>
      <c r="Z2360">
        <v>0</v>
      </c>
      <c r="AA2360" t="str">
        <f>"Y"</f>
        <v>Y</v>
      </c>
      <c r="AB2360" t="str">
        <f>"SO20000532"</f>
        <v>SO20000532</v>
      </c>
      <c r="AC2360">
        <v>168</v>
      </c>
      <c r="AD2360" s="1">
        <v>44155</v>
      </c>
      <c r="AE2360" t="str">
        <f>"SH21001327"</f>
        <v>SH21001327</v>
      </c>
      <c r="AF2360" t="str">
        <f>"משלוחים ללקוח"</f>
        <v>משלוחים ללקוח</v>
      </c>
      <c r="AG2360" s="1">
        <v>44405</v>
      </c>
      <c r="AM2360" t="str">
        <f>"10"</f>
        <v>10</v>
      </c>
      <c r="AN2360" t="str">
        <f>"500000"</f>
        <v>500000</v>
      </c>
      <c r="AO2360" t="str">
        <f>"הכנסות  מלקוחות"</f>
        <v>הכנסות  מלקוחות</v>
      </c>
      <c r="AQ2360" t="str">
        <f>"034"</f>
        <v>034</v>
      </c>
      <c r="AR2360">
        <v>0</v>
      </c>
      <c r="AS2360">
        <v>0</v>
      </c>
      <c r="AT2360">
        <v>3.254</v>
      </c>
      <c r="AX2360" t="str">
        <f>"E000321177"</f>
        <v>E000321177</v>
      </c>
      <c r="BD2360" t="str">
        <f>"ערן שלו"</f>
        <v>ערן שלו</v>
      </c>
    </row>
    <row r="2361" spans="1:56" x14ac:dyDescent="0.3">
      <c r="A2361" s="1">
        <v>44405</v>
      </c>
      <c r="B2361" t="str">
        <f>"SI216001087"</f>
        <v>SI216001087</v>
      </c>
      <c r="C2361" t="str">
        <f>"PR20000834"</f>
        <v>PR20000834</v>
      </c>
      <c r="D2361" t="str">
        <f>"PR20000834"</f>
        <v>PR20000834</v>
      </c>
      <c r="E2361" t="str">
        <f>"Y"</f>
        <v>Y</v>
      </c>
      <c r="F2361" t="str">
        <f>"חשבוניות מרכזות"</f>
        <v>חשבוניות מרכזות</v>
      </c>
      <c r="G2361" t="str">
        <f>"700065"</f>
        <v>700065</v>
      </c>
      <c r="H2361" t="str">
        <f>"אלתא מערכות בע""מ"</f>
        <v>אלתא מערכות בע"מ</v>
      </c>
      <c r="I2361" t="str">
        <f>"10"</f>
        <v>10</v>
      </c>
      <c r="J2361" t="str">
        <f>"OP-AR02133"</f>
        <v>OP-AR02133</v>
      </c>
      <c r="K2361" t="str">
        <f>"1032F949-001/A   HARNESS MFR-W949 - TBU2 TO SENS"</f>
        <v>1032F949-001/A   HARNESS MFR-W949 - TBU2 TO SENS</v>
      </c>
      <c r="L2361">
        <v>2</v>
      </c>
      <c r="M2361" t="str">
        <f>"יח"</f>
        <v>יח</v>
      </c>
      <c r="N2361">
        <v>2</v>
      </c>
      <c r="O2361" t="str">
        <f>"יח"</f>
        <v>יח</v>
      </c>
      <c r="P2361">
        <v>282.2</v>
      </c>
      <c r="Q2361" t="str">
        <f>"$"</f>
        <v>$</v>
      </c>
      <c r="R2361" t="str">
        <f>"הזמנה"</f>
        <v>הזמנה</v>
      </c>
      <c r="S2361">
        <v>0</v>
      </c>
      <c r="T2361">
        <v>564.4</v>
      </c>
      <c r="U2361">
        <v>0</v>
      </c>
      <c r="V2361">
        <v>564.4</v>
      </c>
      <c r="W2361" t="str">
        <f>"$"</f>
        <v>$</v>
      </c>
      <c r="X2361">
        <v>0</v>
      </c>
      <c r="Y2361">
        <v>0</v>
      </c>
      <c r="Z2361">
        <v>0</v>
      </c>
      <c r="AA2361" t="str">
        <f>"Y"</f>
        <v>Y</v>
      </c>
      <c r="AB2361" t="str">
        <f>"SO20000532"</f>
        <v>SO20000532</v>
      </c>
      <c r="AC2361">
        <v>169</v>
      </c>
      <c r="AD2361" s="1">
        <v>44155</v>
      </c>
      <c r="AE2361" t="str">
        <f>"SH21001327"</f>
        <v>SH21001327</v>
      </c>
      <c r="AF2361" t="str">
        <f>"משלוחים ללקוח"</f>
        <v>משלוחים ללקוח</v>
      </c>
      <c r="AG2361" s="1">
        <v>44405</v>
      </c>
      <c r="AM2361" t="str">
        <f>"10"</f>
        <v>10</v>
      </c>
      <c r="AN2361" t="str">
        <f>"500000"</f>
        <v>500000</v>
      </c>
      <c r="AO2361" t="str">
        <f>"הכנסות  מלקוחות"</f>
        <v>הכנסות  מלקוחות</v>
      </c>
      <c r="AQ2361" t="str">
        <f>"034"</f>
        <v>034</v>
      </c>
      <c r="AR2361">
        <v>0</v>
      </c>
      <c r="AS2361">
        <v>0</v>
      </c>
      <c r="AT2361">
        <v>3.254</v>
      </c>
      <c r="AX2361" t="str">
        <f>"E000321177"</f>
        <v>E000321177</v>
      </c>
      <c r="BD2361" t="str">
        <f>"ערן שלו"</f>
        <v>ערן שלו</v>
      </c>
    </row>
    <row r="2362" spans="1:56" x14ac:dyDescent="0.3">
      <c r="A2362" s="1">
        <v>44405</v>
      </c>
      <c r="B2362" t="str">
        <f>"SI216001087"</f>
        <v>SI216001087</v>
      </c>
      <c r="C2362" t="str">
        <f>"PR20000834"</f>
        <v>PR20000834</v>
      </c>
      <c r="D2362" t="str">
        <f>"PR20000834"</f>
        <v>PR20000834</v>
      </c>
      <c r="E2362" t="str">
        <f>"Y"</f>
        <v>Y</v>
      </c>
      <c r="F2362" t="str">
        <f>"חשבוניות מרכזות"</f>
        <v>חשבוניות מרכזות</v>
      </c>
      <c r="G2362" t="str">
        <f>"700065"</f>
        <v>700065</v>
      </c>
      <c r="H2362" t="str">
        <f>"אלתא מערכות בע""מ"</f>
        <v>אלתא מערכות בע"מ</v>
      </c>
      <c r="I2362" t="str">
        <f>"10"</f>
        <v>10</v>
      </c>
      <c r="J2362" t="str">
        <f>"OP-AR02133"</f>
        <v>OP-AR02133</v>
      </c>
      <c r="K2362" t="str">
        <f>"1032F949-001/A   HARNESS MFR-W949 - TBU2 TO SENS"</f>
        <v>1032F949-001/A   HARNESS MFR-W949 - TBU2 TO SENS</v>
      </c>
      <c r="L2362">
        <v>2</v>
      </c>
      <c r="M2362" t="str">
        <f>"יח"</f>
        <v>יח</v>
      </c>
      <c r="N2362">
        <v>2</v>
      </c>
      <c r="O2362" t="str">
        <f>"יח"</f>
        <v>יח</v>
      </c>
      <c r="P2362">
        <v>282.2</v>
      </c>
      <c r="Q2362" t="str">
        <f>"$"</f>
        <v>$</v>
      </c>
      <c r="R2362" t="str">
        <f>"הזמנה"</f>
        <v>הזמנה</v>
      </c>
      <c r="S2362">
        <v>0</v>
      </c>
      <c r="T2362">
        <v>564.4</v>
      </c>
      <c r="U2362">
        <v>0</v>
      </c>
      <c r="V2362">
        <v>564.4</v>
      </c>
      <c r="W2362" t="str">
        <f>"$"</f>
        <v>$</v>
      </c>
      <c r="X2362">
        <v>0</v>
      </c>
      <c r="Y2362">
        <v>0</v>
      </c>
      <c r="Z2362">
        <v>0</v>
      </c>
      <c r="AA2362" t="str">
        <f>"Y"</f>
        <v>Y</v>
      </c>
      <c r="AB2362" t="str">
        <f>"SO20000532"</f>
        <v>SO20000532</v>
      </c>
      <c r="AC2362">
        <v>170</v>
      </c>
      <c r="AD2362" s="1">
        <v>44155</v>
      </c>
      <c r="AE2362" t="str">
        <f>"SH21001327"</f>
        <v>SH21001327</v>
      </c>
      <c r="AF2362" t="str">
        <f>"משלוחים ללקוח"</f>
        <v>משלוחים ללקוח</v>
      </c>
      <c r="AG2362" s="1">
        <v>44405</v>
      </c>
      <c r="AM2362" t="str">
        <f>"10"</f>
        <v>10</v>
      </c>
      <c r="AN2362" t="str">
        <f>"500000"</f>
        <v>500000</v>
      </c>
      <c r="AO2362" t="str">
        <f>"הכנסות  מלקוחות"</f>
        <v>הכנסות  מלקוחות</v>
      </c>
      <c r="AQ2362" t="str">
        <f>"034"</f>
        <v>034</v>
      </c>
      <c r="AR2362">
        <v>0</v>
      </c>
      <c r="AS2362">
        <v>0</v>
      </c>
      <c r="AT2362">
        <v>3.254</v>
      </c>
      <c r="AX2362" t="str">
        <f>"E000321177"</f>
        <v>E000321177</v>
      </c>
      <c r="BD2362" t="str">
        <f>"ערן שלו"</f>
        <v>ערן שלו</v>
      </c>
    </row>
    <row r="2363" spans="1:56" x14ac:dyDescent="0.3">
      <c r="A2363" s="1">
        <v>44405</v>
      </c>
      <c r="B2363" t="str">
        <f>"SI216001086"</f>
        <v>SI216001086</v>
      </c>
      <c r="C2363" t="str">
        <f>"PR20000655"</f>
        <v>PR20000655</v>
      </c>
      <c r="E2363" t="str">
        <f>"Y"</f>
        <v>Y</v>
      </c>
      <c r="F2363" t="str">
        <f>"חשבוניות מרכזות"</f>
        <v>חשבוניות מרכזות</v>
      </c>
      <c r="G2363" t="str">
        <f>"700065"</f>
        <v>700065</v>
      </c>
      <c r="H2363" t="str">
        <f>"אלתא מערכות בע""מ"</f>
        <v>אלתא מערכות בע"מ</v>
      </c>
      <c r="I2363" t="str">
        <f>"10"</f>
        <v>10</v>
      </c>
      <c r="J2363" t="str">
        <f>"OP-AR02042"</f>
        <v>OP-AR02042</v>
      </c>
      <c r="K2363" t="str">
        <f>"PDB2  1038C870-001"</f>
        <v>PDB2  1038C870-001</v>
      </c>
      <c r="L2363">
        <v>1</v>
      </c>
      <c r="M2363" t="str">
        <f>"יח"</f>
        <v>יח</v>
      </c>
      <c r="N2363">
        <v>1</v>
      </c>
      <c r="O2363" t="str">
        <f>"יח"</f>
        <v>יח</v>
      </c>
      <c r="P2363" s="2">
        <v>26985</v>
      </c>
      <c r="Q2363" t="str">
        <f>"$"</f>
        <v>$</v>
      </c>
      <c r="R2363" t="str">
        <f>"הזמנה"</f>
        <v>הזמנה</v>
      </c>
      <c r="S2363">
        <v>0</v>
      </c>
      <c r="T2363" s="2">
        <v>26985</v>
      </c>
      <c r="U2363">
        <v>0</v>
      </c>
      <c r="V2363" s="2">
        <v>26985</v>
      </c>
      <c r="W2363" t="str">
        <f>"$"</f>
        <v>$</v>
      </c>
      <c r="X2363">
        <v>0</v>
      </c>
      <c r="Y2363">
        <v>0</v>
      </c>
      <c r="Z2363">
        <v>0</v>
      </c>
      <c r="AA2363" t="str">
        <f>"Y"</f>
        <v>Y</v>
      </c>
      <c r="AB2363" t="str">
        <f>"SO20000418"</f>
        <v>SO20000418</v>
      </c>
      <c r="AC2363">
        <v>28</v>
      </c>
      <c r="AD2363" s="1">
        <v>44083</v>
      </c>
      <c r="AE2363" t="str">
        <f>"SH21001326"</f>
        <v>SH21001326</v>
      </c>
      <c r="AF2363" t="str">
        <f>"משלוחים ללקוח"</f>
        <v>משלוחים ללקוח</v>
      </c>
      <c r="AG2363" s="1">
        <v>44405</v>
      </c>
      <c r="AM2363" t="str">
        <f>"10"</f>
        <v>10</v>
      </c>
      <c r="AN2363" t="str">
        <f>"500000"</f>
        <v>500000</v>
      </c>
      <c r="AO2363" t="str">
        <f>"הכנסות  מלקוחות"</f>
        <v>הכנסות  מלקוחות</v>
      </c>
      <c r="AQ2363" t="str">
        <f>"034"</f>
        <v>034</v>
      </c>
      <c r="AR2363">
        <v>0</v>
      </c>
      <c r="AS2363">
        <v>0</v>
      </c>
      <c r="AT2363">
        <v>3.254</v>
      </c>
      <c r="AX2363" t="str">
        <f>"E000320964"</f>
        <v>E000320964</v>
      </c>
      <c r="BD2363" t="str">
        <f>"ערן שלו"</f>
        <v>ערן שלו</v>
      </c>
    </row>
    <row r="2364" spans="1:56" x14ac:dyDescent="0.3">
      <c r="A2364" s="1">
        <v>44405</v>
      </c>
      <c r="B2364" t="str">
        <f>"SI216001085"</f>
        <v>SI216001085</v>
      </c>
      <c r="C2364" t="str">
        <f>"PR20000647"</f>
        <v>PR20000647</v>
      </c>
      <c r="E2364" t="str">
        <f>"Y"</f>
        <v>Y</v>
      </c>
      <c r="F2364" t="str">
        <f>"חשבוניות מרכזות"</f>
        <v>חשבוניות מרכזות</v>
      </c>
      <c r="G2364" t="str">
        <f>"700065"</f>
        <v>700065</v>
      </c>
      <c r="H2364" t="str">
        <f>"אלתא מערכות בע""מ"</f>
        <v>אלתא מערכות בע"מ</v>
      </c>
      <c r="I2364" t="str">
        <f>"10"</f>
        <v>10</v>
      </c>
      <c r="J2364" t="str">
        <f>"OP-AR02041"</f>
        <v>OP-AR02041</v>
      </c>
      <c r="K2364" t="str">
        <f>"PDB1 1038C860-001"</f>
        <v>PDB1 1038C860-001</v>
      </c>
      <c r="L2364">
        <v>1</v>
      </c>
      <c r="M2364" t="str">
        <f>"יח"</f>
        <v>יח</v>
      </c>
      <c r="N2364">
        <v>1</v>
      </c>
      <c r="O2364" t="str">
        <f>"יח"</f>
        <v>יח</v>
      </c>
      <c r="P2364" s="2">
        <v>38545</v>
      </c>
      <c r="Q2364" t="str">
        <f>"$"</f>
        <v>$</v>
      </c>
      <c r="R2364" t="str">
        <f>"הזמנה"</f>
        <v>הזמנה</v>
      </c>
      <c r="S2364">
        <v>0</v>
      </c>
      <c r="T2364" s="2">
        <v>38545</v>
      </c>
      <c r="U2364">
        <v>0</v>
      </c>
      <c r="V2364" s="2">
        <v>38545</v>
      </c>
      <c r="W2364" t="str">
        <f>"$"</f>
        <v>$</v>
      </c>
      <c r="X2364">
        <v>0</v>
      </c>
      <c r="Y2364">
        <v>0</v>
      </c>
      <c r="Z2364">
        <v>0</v>
      </c>
      <c r="AA2364" t="str">
        <f>"Y"</f>
        <v>Y</v>
      </c>
      <c r="AB2364" t="str">
        <f>"SO20000418"</f>
        <v>SO20000418</v>
      </c>
      <c r="AC2364">
        <v>19</v>
      </c>
      <c r="AD2364" s="1">
        <v>44083</v>
      </c>
      <c r="AE2364" t="str">
        <f>"SH21001325"</f>
        <v>SH21001325</v>
      </c>
      <c r="AF2364" t="str">
        <f>"משלוחים ללקוח"</f>
        <v>משלוחים ללקוח</v>
      </c>
      <c r="AG2364" s="1">
        <v>44405</v>
      </c>
      <c r="AM2364" t="str">
        <f>"10"</f>
        <v>10</v>
      </c>
      <c r="AN2364" t="str">
        <f>"500000"</f>
        <v>500000</v>
      </c>
      <c r="AO2364" t="str">
        <f>"הכנסות  מלקוחות"</f>
        <v>הכנסות  מלקוחות</v>
      </c>
      <c r="AQ2364" t="str">
        <f>"034"</f>
        <v>034</v>
      </c>
      <c r="AR2364">
        <v>0</v>
      </c>
      <c r="AS2364">
        <v>0</v>
      </c>
      <c r="AT2364">
        <v>3.254</v>
      </c>
      <c r="AX2364" t="str">
        <f>"E000320964"</f>
        <v>E000320964</v>
      </c>
      <c r="BD2364" t="str">
        <f>"ערן שלו"</f>
        <v>ערן שלו</v>
      </c>
    </row>
    <row r="2365" spans="1:56" x14ac:dyDescent="0.3">
      <c r="A2365" s="1">
        <v>44405</v>
      </c>
      <c r="B2365" t="str">
        <f>"SI216001084"</f>
        <v>SI216001084</v>
      </c>
      <c r="C2365" t="str">
        <f>"PR21000276"</f>
        <v>PR21000276</v>
      </c>
      <c r="D2365" t="str">
        <f>"PR21000276"</f>
        <v>PR21000276</v>
      </c>
      <c r="E2365" t="str">
        <f>"Y"</f>
        <v>Y</v>
      </c>
      <c r="F2365" t="str">
        <f>"חשבוניות מרכזות"</f>
        <v>חשבוניות מרכזות</v>
      </c>
      <c r="G2365" t="str">
        <f>"700065"</f>
        <v>700065</v>
      </c>
      <c r="H2365" t="str">
        <f>"אלתא מערכות בע""מ"</f>
        <v>אלתא מערכות בע"מ</v>
      </c>
      <c r="I2365" t="str">
        <f>"10"</f>
        <v>10</v>
      </c>
      <c r="J2365" t="str">
        <f>"OP-AR02383"</f>
        <v>OP-AR02383</v>
      </c>
      <c r="K2365" t="str">
        <f>"1039P207-001   WP010L LAB POWER CABLE"</f>
        <v>1039P207-001   WP010L LAB POWER CABLE</v>
      </c>
      <c r="L2365">
        <v>1</v>
      </c>
      <c r="M2365" t="str">
        <f>"יח"</f>
        <v>יח</v>
      </c>
      <c r="N2365">
        <v>1</v>
      </c>
      <c r="O2365" t="str">
        <f>"יח"</f>
        <v>יח</v>
      </c>
      <c r="P2365">
        <v>206.35</v>
      </c>
      <c r="Q2365" t="str">
        <f>"$"</f>
        <v>$</v>
      </c>
      <c r="R2365" t="str">
        <f>"הזמנה"</f>
        <v>הזמנה</v>
      </c>
      <c r="S2365">
        <v>0</v>
      </c>
      <c r="T2365">
        <v>206.35</v>
      </c>
      <c r="U2365">
        <v>0</v>
      </c>
      <c r="V2365">
        <v>206.35</v>
      </c>
      <c r="W2365" t="str">
        <f>"$"</f>
        <v>$</v>
      </c>
      <c r="X2365">
        <v>0</v>
      </c>
      <c r="Y2365">
        <v>0</v>
      </c>
      <c r="Z2365">
        <v>0</v>
      </c>
      <c r="AA2365" t="str">
        <f>"Y"</f>
        <v>Y</v>
      </c>
      <c r="AB2365" t="str">
        <f>"SO21000195"</f>
        <v>SO21000195</v>
      </c>
      <c r="AC2365">
        <v>4</v>
      </c>
      <c r="AD2365" s="1">
        <v>44313</v>
      </c>
      <c r="AE2365" t="str">
        <f>"SH21001322"</f>
        <v>SH21001322</v>
      </c>
      <c r="AF2365" t="str">
        <f>"משלוחים ללקוח"</f>
        <v>משלוחים ללקוח</v>
      </c>
      <c r="AG2365" s="1">
        <v>44404</v>
      </c>
      <c r="AM2365" t="str">
        <f>"10"</f>
        <v>10</v>
      </c>
      <c r="AN2365" t="str">
        <f>"500000"</f>
        <v>500000</v>
      </c>
      <c r="AO2365" t="str">
        <f>"הכנסות  מלקוחות"</f>
        <v>הכנסות  מלקוחות</v>
      </c>
      <c r="AQ2365" t="str">
        <f>"034"</f>
        <v>034</v>
      </c>
      <c r="AR2365">
        <v>0</v>
      </c>
      <c r="AS2365">
        <v>0</v>
      </c>
      <c r="AT2365">
        <v>3.254</v>
      </c>
      <c r="AX2365" t="str">
        <f>"E000336131"</f>
        <v>E000336131</v>
      </c>
      <c r="BD2365" t="str">
        <f>"ערן שלו"</f>
        <v>ערן שלו</v>
      </c>
    </row>
    <row r="2366" spans="1:56" x14ac:dyDescent="0.3">
      <c r="A2366" s="1">
        <v>44405</v>
      </c>
      <c r="B2366" t="str">
        <f>"SI216001084"</f>
        <v>SI216001084</v>
      </c>
      <c r="C2366" t="str">
        <f>"PR21000276"</f>
        <v>PR21000276</v>
      </c>
      <c r="D2366" t="str">
        <f>"PR21000276"</f>
        <v>PR21000276</v>
      </c>
      <c r="E2366" t="str">
        <f>"Y"</f>
        <v>Y</v>
      </c>
      <c r="F2366" t="str">
        <f>"חשבוניות מרכזות"</f>
        <v>חשבוניות מרכזות</v>
      </c>
      <c r="G2366" t="str">
        <f>"700065"</f>
        <v>700065</v>
      </c>
      <c r="H2366" t="str">
        <f>"אלתא מערכות בע""מ"</f>
        <v>אלתא מערכות בע"מ</v>
      </c>
      <c r="I2366" t="str">
        <f>"10"</f>
        <v>10</v>
      </c>
      <c r="J2366" t="str">
        <f>"OP-AR02384"</f>
        <v>OP-AR02384</v>
      </c>
      <c r="K2366" t="str">
        <f>"1039P208-001   WP007L LAB POWER CABLE"</f>
        <v>1039P208-001   WP007L LAB POWER CABLE</v>
      </c>
      <c r="L2366">
        <v>1</v>
      </c>
      <c r="M2366" t="str">
        <f>"יח"</f>
        <v>יח</v>
      </c>
      <c r="N2366">
        <v>1</v>
      </c>
      <c r="O2366" t="str">
        <f>"יח"</f>
        <v>יח</v>
      </c>
      <c r="P2366">
        <v>212.4</v>
      </c>
      <c r="Q2366" t="str">
        <f>"$"</f>
        <v>$</v>
      </c>
      <c r="R2366" t="str">
        <f>"הזמנה"</f>
        <v>הזמנה</v>
      </c>
      <c r="S2366">
        <v>0</v>
      </c>
      <c r="T2366">
        <v>212.4</v>
      </c>
      <c r="U2366">
        <v>0</v>
      </c>
      <c r="V2366">
        <v>212.4</v>
      </c>
      <c r="W2366" t="str">
        <f>"$"</f>
        <v>$</v>
      </c>
      <c r="X2366">
        <v>0</v>
      </c>
      <c r="Y2366">
        <v>0</v>
      </c>
      <c r="Z2366">
        <v>0</v>
      </c>
      <c r="AA2366" t="str">
        <f>"Y"</f>
        <v>Y</v>
      </c>
      <c r="AB2366" t="str">
        <f>"SO21000195"</f>
        <v>SO21000195</v>
      </c>
      <c r="AC2366">
        <v>5</v>
      </c>
      <c r="AD2366" s="1">
        <v>44313</v>
      </c>
      <c r="AE2366" t="str">
        <f>"SH21001322"</f>
        <v>SH21001322</v>
      </c>
      <c r="AF2366" t="str">
        <f>"משלוחים ללקוח"</f>
        <v>משלוחים ללקוח</v>
      </c>
      <c r="AG2366" s="1">
        <v>44404</v>
      </c>
      <c r="AM2366" t="str">
        <f>"10"</f>
        <v>10</v>
      </c>
      <c r="AN2366" t="str">
        <f>"500000"</f>
        <v>500000</v>
      </c>
      <c r="AO2366" t="str">
        <f>"הכנסות  מלקוחות"</f>
        <v>הכנסות  מלקוחות</v>
      </c>
      <c r="AQ2366" t="str">
        <f>"034"</f>
        <v>034</v>
      </c>
      <c r="AR2366">
        <v>0</v>
      </c>
      <c r="AS2366">
        <v>0</v>
      </c>
      <c r="AT2366">
        <v>3.254</v>
      </c>
      <c r="AX2366" t="str">
        <f>"E000336131"</f>
        <v>E000336131</v>
      </c>
      <c r="BD2366" t="str">
        <f>"ערן שלו"</f>
        <v>ערן שלו</v>
      </c>
    </row>
    <row r="2367" spans="1:56" x14ac:dyDescent="0.3">
      <c r="A2367" s="1">
        <v>44405</v>
      </c>
      <c r="B2367" t="str">
        <f>"SI216001084"</f>
        <v>SI216001084</v>
      </c>
      <c r="C2367" t="str">
        <f>"PR21000276"</f>
        <v>PR21000276</v>
      </c>
      <c r="D2367" t="str">
        <f>"PR21000276"</f>
        <v>PR21000276</v>
      </c>
      <c r="E2367" t="str">
        <f>"Y"</f>
        <v>Y</v>
      </c>
      <c r="F2367" t="str">
        <f>"חשבוניות מרכזות"</f>
        <v>חשבוניות מרכזות</v>
      </c>
      <c r="G2367" t="str">
        <f>"700065"</f>
        <v>700065</v>
      </c>
      <c r="H2367" t="str">
        <f>"אלתא מערכות בע""מ"</f>
        <v>אלתא מערכות בע"מ</v>
      </c>
      <c r="I2367" t="str">
        <f>"10"</f>
        <v>10</v>
      </c>
      <c r="J2367" t="str">
        <f>"OP-AR02385"</f>
        <v>OP-AR02385</v>
      </c>
      <c r="K2367" t="str">
        <f>"1039P209-001   WP005L LAB POWER CABLE"</f>
        <v>1039P209-001   WP005L LAB POWER CABLE</v>
      </c>
      <c r="L2367">
        <v>1</v>
      </c>
      <c r="M2367" t="str">
        <f>"יח"</f>
        <v>יח</v>
      </c>
      <c r="N2367">
        <v>1</v>
      </c>
      <c r="O2367" t="str">
        <f>"יח"</f>
        <v>יח</v>
      </c>
      <c r="P2367">
        <v>274.82</v>
      </c>
      <c r="Q2367" t="str">
        <f>"$"</f>
        <v>$</v>
      </c>
      <c r="R2367" t="str">
        <f>"הזמנה"</f>
        <v>הזמנה</v>
      </c>
      <c r="S2367">
        <v>0</v>
      </c>
      <c r="T2367">
        <v>274.82</v>
      </c>
      <c r="U2367">
        <v>0</v>
      </c>
      <c r="V2367">
        <v>274.82</v>
      </c>
      <c r="W2367" t="str">
        <f>"$"</f>
        <v>$</v>
      </c>
      <c r="X2367">
        <v>0</v>
      </c>
      <c r="Y2367">
        <v>0</v>
      </c>
      <c r="Z2367">
        <v>0</v>
      </c>
      <c r="AA2367" t="str">
        <f>"Y"</f>
        <v>Y</v>
      </c>
      <c r="AB2367" t="str">
        <f>"SO21000195"</f>
        <v>SO21000195</v>
      </c>
      <c r="AC2367">
        <v>6</v>
      </c>
      <c r="AD2367" s="1">
        <v>44313</v>
      </c>
      <c r="AE2367" t="str">
        <f>"SH21001322"</f>
        <v>SH21001322</v>
      </c>
      <c r="AF2367" t="str">
        <f>"משלוחים ללקוח"</f>
        <v>משלוחים ללקוח</v>
      </c>
      <c r="AG2367" s="1">
        <v>44404</v>
      </c>
      <c r="AM2367" t="str">
        <f>"10"</f>
        <v>10</v>
      </c>
      <c r="AN2367" t="str">
        <f>"500000"</f>
        <v>500000</v>
      </c>
      <c r="AO2367" t="str">
        <f>"הכנסות  מלקוחות"</f>
        <v>הכנסות  מלקוחות</v>
      </c>
      <c r="AQ2367" t="str">
        <f>"034"</f>
        <v>034</v>
      </c>
      <c r="AR2367">
        <v>0</v>
      </c>
      <c r="AS2367">
        <v>0</v>
      </c>
      <c r="AT2367">
        <v>3.254</v>
      </c>
      <c r="AX2367" t="str">
        <f>"E000336131"</f>
        <v>E000336131</v>
      </c>
      <c r="BD2367" t="str">
        <f>"ערן שלו"</f>
        <v>ערן שלו</v>
      </c>
    </row>
    <row r="2368" spans="1:56" x14ac:dyDescent="0.3">
      <c r="A2368" s="1">
        <v>44405</v>
      </c>
      <c r="B2368" t="str">
        <f>"SI216001084"</f>
        <v>SI216001084</v>
      </c>
      <c r="C2368" t="str">
        <f>"PR21000276"</f>
        <v>PR21000276</v>
      </c>
      <c r="D2368" t="str">
        <f>"PR21000276"</f>
        <v>PR21000276</v>
      </c>
      <c r="E2368" t="str">
        <f>"Y"</f>
        <v>Y</v>
      </c>
      <c r="F2368" t="str">
        <f>"חשבוניות מרכזות"</f>
        <v>חשבוניות מרכזות</v>
      </c>
      <c r="G2368" t="str">
        <f>"700065"</f>
        <v>700065</v>
      </c>
      <c r="H2368" t="str">
        <f>"אלתא מערכות בע""מ"</f>
        <v>אלתא מערכות בע"מ</v>
      </c>
      <c r="I2368" t="str">
        <f>"10"</f>
        <v>10</v>
      </c>
      <c r="J2368" t="str">
        <f>"OP-AR02387"</f>
        <v>OP-AR02387</v>
      </c>
      <c r="K2368" t="str">
        <f>"1039P212-001   WP009L LAB POWER CABLE"</f>
        <v>1039P212-001   WP009L LAB POWER CABLE</v>
      </c>
      <c r="L2368">
        <v>1</v>
      </c>
      <c r="M2368" t="str">
        <f>"יח"</f>
        <v>יח</v>
      </c>
      <c r="N2368">
        <v>1</v>
      </c>
      <c r="O2368" t="str">
        <f>"יח"</f>
        <v>יח</v>
      </c>
      <c r="P2368">
        <v>251.38</v>
      </c>
      <c r="Q2368" t="str">
        <f>"$"</f>
        <v>$</v>
      </c>
      <c r="R2368" t="str">
        <f>"הזמנה"</f>
        <v>הזמנה</v>
      </c>
      <c r="S2368">
        <v>0</v>
      </c>
      <c r="T2368">
        <v>251.38</v>
      </c>
      <c r="U2368">
        <v>0</v>
      </c>
      <c r="V2368">
        <v>251.38</v>
      </c>
      <c r="W2368" t="str">
        <f>"$"</f>
        <v>$</v>
      </c>
      <c r="X2368">
        <v>0</v>
      </c>
      <c r="Y2368">
        <v>0</v>
      </c>
      <c r="Z2368">
        <v>0</v>
      </c>
      <c r="AA2368" t="str">
        <f>"Y"</f>
        <v>Y</v>
      </c>
      <c r="AB2368" t="str">
        <f>"SO21000195"</f>
        <v>SO21000195</v>
      </c>
      <c r="AC2368">
        <v>8</v>
      </c>
      <c r="AD2368" s="1">
        <v>44313</v>
      </c>
      <c r="AE2368" t="str">
        <f>"SH21001322"</f>
        <v>SH21001322</v>
      </c>
      <c r="AF2368" t="str">
        <f>"משלוחים ללקוח"</f>
        <v>משלוחים ללקוח</v>
      </c>
      <c r="AG2368" s="1">
        <v>44404</v>
      </c>
      <c r="AM2368" t="str">
        <f>"10"</f>
        <v>10</v>
      </c>
      <c r="AN2368" t="str">
        <f>"500000"</f>
        <v>500000</v>
      </c>
      <c r="AO2368" t="str">
        <f>"הכנסות  מלקוחות"</f>
        <v>הכנסות  מלקוחות</v>
      </c>
      <c r="AQ2368" t="str">
        <f>"034"</f>
        <v>034</v>
      </c>
      <c r="AR2368">
        <v>0</v>
      </c>
      <c r="AS2368">
        <v>0</v>
      </c>
      <c r="AT2368">
        <v>3.254</v>
      </c>
      <c r="AX2368" t="str">
        <f>"E000336131"</f>
        <v>E000336131</v>
      </c>
      <c r="BD2368" t="str">
        <f>"ערן שלו"</f>
        <v>ערן שלו</v>
      </c>
    </row>
    <row r="2369" spans="1:56" x14ac:dyDescent="0.3">
      <c r="A2369" s="1">
        <v>44405</v>
      </c>
      <c r="B2369" t="str">
        <f>"SI216001083"</f>
        <v>SI216001083</v>
      </c>
      <c r="C2369" t="str">
        <f>"PR21000083"</f>
        <v>PR21000083</v>
      </c>
      <c r="E2369" t="str">
        <f>"Y"</f>
        <v>Y</v>
      </c>
      <c r="F2369" t="str">
        <f>"חשבוניות מרכזות"</f>
        <v>חשבוניות מרכזות</v>
      </c>
      <c r="G2369" t="str">
        <f>"700065"</f>
        <v>700065</v>
      </c>
      <c r="H2369" t="str">
        <f>"אלתא מערכות בע""מ"</f>
        <v>אלתא מערכות בע"מ</v>
      </c>
      <c r="I2369" t="str">
        <f>"10"</f>
        <v>10</v>
      </c>
      <c r="J2369" t="str">
        <f>"OP-AR02242"</f>
        <v>OP-AR02242</v>
      </c>
      <c r="K2369" t="str">
        <f>"1094F817-001   CABLE W7"</f>
        <v>1094F817-001   CABLE W7</v>
      </c>
      <c r="L2369">
        <v>3</v>
      </c>
      <c r="M2369" t="str">
        <f>"יח"</f>
        <v>יח</v>
      </c>
      <c r="N2369">
        <v>3</v>
      </c>
      <c r="O2369" t="str">
        <f>"יח"</f>
        <v>יח</v>
      </c>
      <c r="P2369">
        <v>791.52</v>
      </c>
      <c r="Q2369" t="str">
        <f>"$"</f>
        <v>$</v>
      </c>
      <c r="R2369" t="str">
        <f>"הזמנה"</f>
        <v>הזמנה</v>
      </c>
      <c r="S2369">
        <v>0</v>
      </c>
      <c r="T2369" s="2">
        <v>2374.56</v>
      </c>
      <c r="U2369">
        <v>0</v>
      </c>
      <c r="V2369" s="2">
        <v>2374.56</v>
      </c>
      <c r="W2369" t="str">
        <f>"$"</f>
        <v>$</v>
      </c>
      <c r="X2369">
        <v>0</v>
      </c>
      <c r="Y2369">
        <v>0</v>
      </c>
      <c r="Z2369">
        <v>0</v>
      </c>
      <c r="AA2369" t="str">
        <f>"Y"</f>
        <v>Y</v>
      </c>
      <c r="AB2369" t="str">
        <f>"SO21000038"</f>
        <v>SO21000038</v>
      </c>
      <c r="AC2369">
        <v>2</v>
      </c>
      <c r="AD2369" s="1">
        <v>44217</v>
      </c>
      <c r="AE2369" t="str">
        <f>"SH21001321"</f>
        <v>SH21001321</v>
      </c>
      <c r="AF2369" t="str">
        <f>"משלוחים ללקוח"</f>
        <v>משלוחים ללקוח</v>
      </c>
      <c r="AG2369" s="1">
        <v>44404</v>
      </c>
      <c r="AM2369" t="str">
        <f>"10"</f>
        <v>10</v>
      </c>
      <c r="AN2369" t="str">
        <f>"500000"</f>
        <v>500000</v>
      </c>
      <c r="AO2369" t="str">
        <f>"הכנסות  מלקוחות"</f>
        <v>הכנסות  מלקוחות</v>
      </c>
      <c r="AQ2369" t="str">
        <f>"034"</f>
        <v>034</v>
      </c>
      <c r="AR2369">
        <v>0</v>
      </c>
      <c r="AS2369">
        <v>0</v>
      </c>
      <c r="AT2369">
        <v>3.254</v>
      </c>
      <c r="AX2369" t="str">
        <f>"E000331155"</f>
        <v>E000331155</v>
      </c>
      <c r="BD2369" t="str">
        <f>"ערן שלו"</f>
        <v>ערן שלו</v>
      </c>
    </row>
    <row r="2370" spans="1:56" x14ac:dyDescent="0.3">
      <c r="A2370" s="1">
        <v>44405</v>
      </c>
      <c r="B2370" t="str">
        <f>"SI216001082"</f>
        <v>SI216001082</v>
      </c>
      <c r="C2370" t="str">
        <f>"PR21000144"</f>
        <v>PR21000144</v>
      </c>
      <c r="E2370" t="str">
        <f>"Y"</f>
        <v>Y</v>
      </c>
      <c r="F2370" t="str">
        <f>"חשבוניות מרכזות"</f>
        <v>חשבוניות מרכזות</v>
      </c>
      <c r="G2370" t="str">
        <f>"700065"</f>
        <v>700065</v>
      </c>
      <c r="H2370" t="str">
        <f>"אלתא מערכות בע""מ"</f>
        <v>אלתא מערכות בע"מ</v>
      </c>
      <c r="I2370" t="str">
        <f>"10"</f>
        <v>10</v>
      </c>
      <c r="J2370" t="str">
        <f>"OP-AR02311"</f>
        <v>OP-AR02311</v>
      </c>
      <c r="K2370" t="str">
        <f>"1033A436-001   DC PWR SUPLLY FOR INT F/O BOX"</f>
        <v>1033A436-001   DC PWR SUPLLY FOR INT F/O BOX</v>
      </c>
      <c r="L2370">
        <v>1</v>
      </c>
      <c r="M2370" t="str">
        <f>"יח"</f>
        <v>יח</v>
      </c>
      <c r="N2370">
        <v>1</v>
      </c>
      <c r="O2370" t="str">
        <f>"יח"</f>
        <v>יח</v>
      </c>
      <c r="P2370">
        <v>445.84</v>
      </c>
      <c r="Q2370" t="str">
        <f>"$"</f>
        <v>$</v>
      </c>
      <c r="R2370" t="str">
        <f>"הזמנה"</f>
        <v>הזמנה</v>
      </c>
      <c r="S2370">
        <v>0</v>
      </c>
      <c r="T2370">
        <v>445.84</v>
      </c>
      <c r="U2370">
        <v>0</v>
      </c>
      <c r="V2370">
        <v>445.84</v>
      </c>
      <c r="W2370" t="str">
        <f>"$"</f>
        <v>$</v>
      </c>
      <c r="X2370">
        <v>0</v>
      </c>
      <c r="Y2370">
        <v>0</v>
      </c>
      <c r="Z2370">
        <v>0</v>
      </c>
      <c r="AA2370" t="str">
        <f>"Y"</f>
        <v>Y</v>
      </c>
      <c r="AB2370" t="str">
        <f>"SO21000086"</f>
        <v>SO21000086</v>
      </c>
      <c r="AC2370">
        <v>6</v>
      </c>
      <c r="AD2370" s="1">
        <v>44248</v>
      </c>
      <c r="AE2370" t="str">
        <f>"SH21001319"</f>
        <v>SH21001319</v>
      </c>
      <c r="AF2370" t="str">
        <f>"משלוחים ללקוח"</f>
        <v>משלוחים ללקוח</v>
      </c>
      <c r="AG2370" s="1">
        <v>44404</v>
      </c>
      <c r="AM2370" t="str">
        <f>"10"</f>
        <v>10</v>
      </c>
      <c r="AN2370" t="str">
        <f>"500000"</f>
        <v>500000</v>
      </c>
      <c r="AO2370" t="str">
        <f>"הכנסות  מלקוחות"</f>
        <v>הכנסות  מלקוחות</v>
      </c>
      <c r="AQ2370" t="str">
        <f>"040"</f>
        <v>040</v>
      </c>
      <c r="AR2370">
        <v>0</v>
      </c>
      <c r="AS2370">
        <v>0</v>
      </c>
      <c r="AT2370">
        <v>3.254</v>
      </c>
      <c r="AX2370" t="str">
        <f>"E000332301"</f>
        <v>E000332301</v>
      </c>
      <c r="BD2370" t="str">
        <f>"רחמים זרוק"</f>
        <v>רחמים זרוק</v>
      </c>
    </row>
    <row r="2371" spans="1:56" x14ac:dyDescent="0.3">
      <c r="A2371" s="1">
        <v>44405</v>
      </c>
      <c r="B2371" t="str">
        <f>"SI216001081"</f>
        <v>SI216001081</v>
      </c>
      <c r="C2371" t="str">
        <f>"PR20000505"</f>
        <v>PR20000505</v>
      </c>
      <c r="D2371" t="str">
        <f>"PR20000505"</f>
        <v>PR20000505</v>
      </c>
      <c r="E2371" t="str">
        <f>"Y"</f>
        <v>Y</v>
      </c>
      <c r="F2371" t="str">
        <f>"חשבוניות מרכזות"</f>
        <v>חשבוניות מרכזות</v>
      </c>
      <c r="G2371" t="str">
        <f>"700065"</f>
        <v>700065</v>
      </c>
      <c r="H2371" t="str">
        <f>"אלתא מערכות בע""מ"</f>
        <v>אלתא מערכות בע"מ</v>
      </c>
      <c r="I2371" t="str">
        <f>"10"</f>
        <v>10</v>
      </c>
      <c r="J2371" t="str">
        <f>"OP-AR01932"</f>
        <v>OP-AR01932</v>
      </c>
      <c r="K2371" t="str">
        <f>"1038H743-001/-  WF1 FIO EL. CABLE"</f>
        <v>1038H743-001/-  WF1 FIO EL. CABLE</v>
      </c>
      <c r="L2371">
        <v>2</v>
      </c>
      <c r="M2371" t="str">
        <f>"יח"</f>
        <v>יח</v>
      </c>
      <c r="N2371">
        <v>2</v>
      </c>
      <c r="O2371" t="str">
        <f>"יח"</f>
        <v>יח</v>
      </c>
      <c r="P2371" s="2">
        <v>2516.92</v>
      </c>
      <c r="Q2371" t="str">
        <f>"$"</f>
        <v>$</v>
      </c>
      <c r="R2371" t="str">
        <f>"הזמנה"</f>
        <v>הזמנה</v>
      </c>
      <c r="S2371">
        <v>0</v>
      </c>
      <c r="T2371" s="2">
        <v>5033.84</v>
      </c>
      <c r="U2371">
        <v>0</v>
      </c>
      <c r="V2371" s="2">
        <v>5033.84</v>
      </c>
      <c r="W2371" t="str">
        <f>"$"</f>
        <v>$</v>
      </c>
      <c r="X2371">
        <v>0</v>
      </c>
      <c r="Y2371">
        <v>0</v>
      </c>
      <c r="Z2371">
        <v>0</v>
      </c>
      <c r="AA2371" t="str">
        <f>"Y"</f>
        <v>Y</v>
      </c>
      <c r="AB2371" t="str">
        <f>"SO20000311"</f>
        <v>SO20000311</v>
      </c>
      <c r="AC2371">
        <v>2</v>
      </c>
      <c r="AD2371" s="1">
        <v>44032</v>
      </c>
      <c r="AE2371" t="str">
        <f>"SH21001318"</f>
        <v>SH21001318</v>
      </c>
      <c r="AF2371" t="str">
        <f>"משלוחים ללקוח"</f>
        <v>משלוחים ללקוח</v>
      </c>
      <c r="AG2371" s="1">
        <v>44404</v>
      </c>
      <c r="AM2371" t="str">
        <f>"10"</f>
        <v>10</v>
      </c>
      <c r="AN2371" t="str">
        <f>"500000"</f>
        <v>500000</v>
      </c>
      <c r="AO2371" t="str">
        <f>"הכנסות  מלקוחות"</f>
        <v>הכנסות  מלקוחות</v>
      </c>
      <c r="AQ2371" t="str">
        <f>"034"</f>
        <v>034</v>
      </c>
      <c r="AR2371">
        <v>0</v>
      </c>
      <c r="AS2371">
        <v>0</v>
      </c>
      <c r="AT2371">
        <v>3.254</v>
      </c>
      <c r="AX2371" t="str">
        <f>"E000316388"</f>
        <v>E000316388</v>
      </c>
      <c r="BD2371" t="str">
        <f>"ערן שלו"</f>
        <v>ערן שלו</v>
      </c>
    </row>
    <row r="2372" spans="1:56" x14ac:dyDescent="0.3">
      <c r="A2372" s="1">
        <v>44405</v>
      </c>
      <c r="B2372" t="str">
        <f>"SI216001080"</f>
        <v>SI216001080</v>
      </c>
      <c r="C2372" t="str">
        <f>"PR20000780"</f>
        <v>PR20000780</v>
      </c>
      <c r="D2372" t="str">
        <f>"PR20000780"</f>
        <v>PR20000780</v>
      </c>
      <c r="E2372" t="str">
        <f>"Y"</f>
        <v>Y</v>
      </c>
      <c r="F2372" t="str">
        <f>"חשבוניות מרכזות"</f>
        <v>חשבוניות מרכזות</v>
      </c>
      <c r="G2372" t="str">
        <f>"700065"</f>
        <v>700065</v>
      </c>
      <c r="H2372" t="str">
        <f>"אלתא מערכות בע""מ"</f>
        <v>אלתא מערכות בע"מ</v>
      </c>
      <c r="I2372" t="str">
        <f>"10"</f>
        <v>10</v>
      </c>
      <c r="J2372" t="str">
        <f>"OP-AR02065"</f>
        <v>OP-AR02065</v>
      </c>
      <c r="K2372" t="str">
        <f>"1033C606-001/-   HARNESS W1606"</f>
        <v>1033C606-001/-   HARNESS W1606</v>
      </c>
      <c r="L2372">
        <v>1</v>
      </c>
      <c r="M2372" t="str">
        <f>"יח"</f>
        <v>יח</v>
      </c>
      <c r="N2372">
        <v>1</v>
      </c>
      <c r="O2372" t="str">
        <f>"יח"</f>
        <v>יח</v>
      </c>
      <c r="P2372">
        <v>507.1</v>
      </c>
      <c r="Q2372" t="str">
        <f>"$"</f>
        <v>$</v>
      </c>
      <c r="R2372" t="str">
        <f>"הזמנה"</f>
        <v>הזמנה</v>
      </c>
      <c r="S2372">
        <v>0</v>
      </c>
      <c r="T2372">
        <v>507.1</v>
      </c>
      <c r="U2372">
        <v>0</v>
      </c>
      <c r="V2372">
        <v>507.1</v>
      </c>
      <c r="W2372" t="str">
        <f>"$"</f>
        <v>$</v>
      </c>
      <c r="X2372">
        <v>0</v>
      </c>
      <c r="Y2372">
        <v>0</v>
      </c>
      <c r="Z2372">
        <v>0</v>
      </c>
      <c r="AA2372" t="str">
        <f>"Y"</f>
        <v>Y</v>
      </c>
      <c r="AB2372" t="str">
        <f>"SO20000516"</f>
        <v>SO20000516</v>
      </c>
      <c r="AC2372">
        <v>2</v>
      </c>
      <c r="AD2372" s="1">
        <v>44144</v>
      </c>
      <c r="AE2372" t="str">
        <f>"SH21001317"</f>
        <v>SH21001317</v>
      </c>
      <c r="AF2372" t="str">
        <f>"משלוחים ללקוח"</f>
        <v>משלוחים ללקוח</v>
      </c>
      <c r="AG2372" s="1">
        <v>44404</v>
      </c>
      <c r="AM2372" t="str">
        <f>"10"</f>
        <v>10</v>
      </c>
      <c r="AN2372" t="str">
        <f>"500000"</f>
        <v>500000</v>
      </c>
      <c r="AO2372" t="str">
        <f>"הכנסות  מלקוחות"</f>
        <v>הכנסות  מלקוחות</v>
      </c>
      <c r="AQ2372" t="str">
        <f>"034"</f>
        <v>034</v>
      </c>
      <c r="AR2372">
        <v>0</v>
      </c>
      <c r="AS2372">
        <v>0</v>
      </c>
      <c r="AT2372">
        <v>3.254</v>
      </c>
      <c r="AX2372" t="str">
        <f>"E000322953"</f>
        <v>E000322953</v>
      </c>
      <c r="BD2372" t="str">
        <f>"ערן שלו"</f>
        <v>ערן שלו</v>
      </c>
    </row>
    <row r="2373" spans="1:56" x14ac:dyDescent="0.3">
      <c r="A2373" s="1">
        <v>44405</v>
      </c>
      <c r="B2373" t="str">
        <f>"SI216001079"</f>
        <v>SI216001079</v>
      </c>
      <c r="C2373" t="str">
        <f>"PR21000020"</f>
        <v>PR21000020</v>
      </c>
      <c r="E2373" t="str">
        <f>"Y"</f>
        <v>Y</v>
      </c>
      <c r="F2373" t="str">
        <f>"חשבוניות מרכזות"</f>
        <v>חשבוניות מרכזות</v>
      </c>
      <c r="G2373" t="str">
        <f>"700065"</f>
        <v>700065</v>
      </c>
      <c r="H2373" t="str">
        <f>"אלתא מערכות בע""מ"</f>
        <v>אלתא מערכות בע"מ</v>
      </c>
      <c r="I2373" t="str">
        <f>"10"</f>
        <v>10</v>
      </c>
      <c r="J2373" t="str">
        <f>"OP-AR02235"</f>
        <v>OP-AR02235</v>
      </c>
      <c r="K2373" t="str">
        <f>"1036C426-001   HARNESS W426 - EPU - PDU1 CONTROL"</f>
        <v>1036C426-001   HARNESS W426 - EPU - PDU1 CONTROL</v>
      </c>
      <c r="L2373">
        <v>4</v>
      </c>
      <c r="M2373" t="str">
        <f>"יח"</f>
        <v>יח</v>
      </c>
      <c r="N2373">
        <v>4</v>
      </c>
      <c r="O2373" t="str">
        <f>"יח"</f>
        <v>יח</v>
      </c>
      <c r="P2373" s="2">
        <v>3307.94</v>
      </c>
      <c r="Q2373" t="str">
        <f>"$"</f>
        <v>$</v>
      </c>
      <c r="R2373" t="str">
        <f>"הזמנה"</f>
        <v>הזמנה</v>
      </c>
      <c r="S2373">
        <v>0</v>
      </c>
      <c r="T2373" s="2">
        <v>13231.76</v>
      </c>
      <c r="U2373">
        <v>3.7</v>
      </c>
      <c r="V2373" s="2">
        <v>12742.18</v>
      </c>
      <c r="W2373" t="str">
        <f>"$"</f>
        <v>$</v>
      </c>
      <c r="X2373">
        <v>0</v>
      </c>
      <c r="Y2373">
        <v>0</v>
      </c>
      <c r="Z2373">
        <v>0</v>
      </c>
      <c r="AA2373" t="str">
        <f>"Y"</f>
        <v>Y</v>
      </c>
      <c r="AB2373" t="str">
        <f>"SO20000583"</f>
        <v>SO20000583</v>
      </c>
      <c r="AC2373">
        <v>3</v>
      </c>
      <c r="AD2373" s="1">
        <v>44175</v>
      </c>
      <c r="AE2373" t="str">
        <f>"SH21001315"</f>
        <v>SH21001315</v>
      </c>
      <c r="AF2373" t="str">
        <f>"משלוחים ללקוח"</f>
        <v>משלוחים ללקוח</v>
      </c>
      <c r="AG2373" s="1">
        <v>44404</v>
      </c>
      <c r="AM2373" t="str">
        <f>"10"</f>
        <v>10</v>
      </c>
      <c r="AN2373" t="str">
        <f>"500000"</f>
        <v>500000</v>
      </c>
      <c r="AO2373" t="str">
        <f>"הכנסות  מלקוחות"</f>
        <v>הכנסות  מלקוחות</v>
      </c>
      <c r="AQ2373" t="str">
        <f>"034"</f>
        <v>034</v>
      </c>
      <c r="AR2373">
        <v>0</v>
      </c>
      <c r="AS2373">
        <v>0</v>
      </c>
      <c r="AT2373">
        <v>3.254</v>
      </c>
      <c r="AX2373" t="str">
        <f>"E000327655"</f>
        <v>E000327655</v>
      </c>
      <c r="BD2373" t="str">
        <f>"ערן שלו"</f>
        <v>ערן שלו</v>
      </c>
    </row>
    <row r="2374" spans="1:56" x14ac:dyDescent="0.3">
      <c r="A2374" s="1">
        <v>44405</v>
      </c>
      <c r="B2374" t="str">
        <f>"SI216001078"</f>
        <v>SI216001078</v>
      </c>
      <c r="C2374" t="str">
        <f>"PR21000411"</f>
        <v>PR21000411</v>
      </c>
      <c r="E2374" t="str">
        <f>"Y"</f>
        <v>Y</v>
      </c>
      <c r="F2374" t="str">
        <f>"חשבוניות מרכזות"</f>
        <v>חשבוניות מרכזות</v>
      </c>
      <c r="G2374" t="str">
        <f>"700065"</f>
        <v>700065</v>
      </c>
      <c r="H2374" t="str">
        <f>"אלתא מערכות בע""מ"</f>
        <v>אלתא מערכות בע"מ</v>
      </c>
      <c r="I2374" t="str">
        <f>"10"</f>
        <v>10</v>
      </c>
      <c r="J2374" t="str">
        <f>"PS0300006"</f>
        <v>PS0300006</v>
      </c>
      <c r="K2374" t="str">
        <f>"TSI-EPC - 380Vac-Module BRAVO"</f>
        <v>TSI-EPC - 380Vac-Module BRAVO</v>
      </c>
      <c r="L2374">
        <v>1</v>
      </c>
      <c r="M2374" t="str">
        <f>"יח"</f>
        <v>יח</v>
      </c>
      <c r="N2374">
        <v>1</v>
      </c>
      <c r="O2374" t="str">
        <f>"יח"</f>
        <v>יח</v>
      </c>
      <c r="P2374" s="2">
        <v>1833</v>
      </c>
      <c r="Q2374" t="str">
        <f>"$"</f>
        <v>$</v>
      </c>
      <c r="R2374" t="str">
        <f>"הזמנה"</f>
        <v>הזמנה</v>
      </c>
      <c r="S2374">
        <v>0</v>
      </c>
      <c r="T2374" s="2">
        <v>1833</v>
      </c>
      <c r="U2374">
        <v>0</v>
      </c>
      <c r="V2374" s="2">
        <v>1833</v>
      </c>
      <c r="W2374" t="str">
        <f>"$"</f>
        <v>$</v>
      </c>
      <c r="X2374">
        <v>0</v>
      </c>
      <c r="Y2374">
        <v>0</v>
      </c>
      <c r="Z2374">
        <v>0</v>
      </c>
      <c r="AA2374" t="str">
        <f>"Y"</f>
        <v>Y</v>
      </c>
      <c r="AB2374" t="str">
        <f>"SO21000191"</f>
        <v>SO21000191</v>
      </c>
      <c r="AC2374">
        <v>1</v>
      </c>
      <c r="AD2374" s="1">
        <v>44311</v>
      </c>
      <c r="AE2374" t="str">
        <f>"SH21001276"</f>
        <v>SH21001276</v>
      </c>
      <c r="AF2374" t="str">
        <f>"משלוחים ללקוח"</f>
        <v>משלוחים ללקוח</v>
      </c>
      <c r="AG2374" s="1">
        <v>44402</v>
      </c>
      <c r="AM2374" t="str">
        <f>"10"</f>
        <v>10</v>
      </c>
      <c r="AN2374" t="str">
        <f>"500000"</f>
        <v>500000</v>
      </c>
      <c r="AO2374" t="str">
        <f>"הכנסות  מלקוחות"</f>
        <v>הכנסות  מלקוחות</v>
      </c>
      <c r="AQ2374" t="str">
        <f>"034"</f>
        <v>034</v>
      </c>
      <c r="AR2374">
        <v>0</v>
      </c>
      <c r="AS2374">
        <v>0</v>
      </c>
      <c r="AT2374">
        <v>3.254</v>
      </c>
      <c r="AX2374" t="str">
        <f>"E000335450"</f>
        <v>E000335450</v>
      </c>
      <c r="BD2374" t="str">
        <f>"ערן שלו"</f>
        <v>ערן שלו</v>
      </c>
    </row>
    <row r="2375" spans="1:56" x14ac:dyDescent="0.3">
      <c r="A2375" s="1">
        <v>44405</v>
      </c>
      <c r="B2375" t="str">
        <f>"SI216001077"</f>
        <v>SI216001077</v>
      </c>
      <c r="C2375" t="str">
        <f>"PR20000851"</f>
        <v>PR20000851</v>
      </c>
      <c r="D2375" t="str">
        <f>"PR20000851"</f>
        <v>PR20000851</v>
      </c>
      <c r="E2375" t="str">
        <f>"Y"</f>
        <v>Y</v>
      </c>
      <c r="F2375" t="str">
        <f>"חשבוניות מרכזות"</f>
        <v>חשבוניות מרכזות</v>
      </c>
      <c r="G2375" t="str">
        <f>"700065"</f>
        <v>700065</v>
      </c>
      <c r="H2375" t="str">
        <f>"אלתא מערכות בע""מ"</f>
        <v>אלתא מערכות בע"מ</v>
      </c>
      <c r="I2375" t="str">
        <f>"10"</f>
        <v>10</v>
      </c>
      <c r="J2375" t="str">
        <f>"OP-AR02156"</f>
        <v>OP-AR02156</v>
      </c>
      <c r="K2375" t="str">
        <f>"1039H811-001   HARNESS WY011 - PDU TO TRA1 SHE"</f>
        <v>1039H811-001   HARNESS WY011 - PDU TO TRA1 SHE</v>
      </c>
      <c r="L2375">
        <v>2</v>
      </c>
      <c r="M2375" t="str">
        <f>"יח"</f>
        <v>יח</v>
      </c>
      <c r="N2375">
        <v>2</v>
      </c>
      <c r="O2375" t="str">
        <f>"יח"</f>
        <v>יח</v>
      </c>
      <c r="P2375">
        <v>434.16</v>
      </c>
      <c r="Q2375" t="str">
        <f>"$"</f>
        <v>$</v>
      </c>
      <c r="R2375" t="str">
        <f>"הזמנה"</f>
        <v>הזמנה</v>
      </c>
      <c r="S2375">
        <v>0</v>
      </c>
      <c r="T2375">
        <v>868.32</v>
      </c>
      <c r="U2375">
        <v>0</v>
      </c>
      <c r="V2375">
        <v>868.32</v>
      </c>
      <c r="W2375" t="str">
        <f>"$"</f>
        <v>$</v>
      </c>
      <c r="X2375">
        <v>0</v>
      </c>
      <c r="Y2375">
        <v>0</v>
      </c>
      <c r="Z2375">
        <v>0</v>
      </c>
      <c r="AA2375" t="str">
        <f>"Y"</f>
        <v>Y</v>
      </c>
      <c r="AB2375" t="str">
        <f>"SO20000555"</f>
        <v>SO20000555</v>
      </c>
      <c r="AC2375">
        <v>4</v>
      </c>
      <c r="AD2375" s="1">
        <v>44166</v>
      </c>
      <c r="AE2375" t="str">
        <f>"SH21001314"</f>
        <v>SH21001314</v>
      </c>
      <c r="AF2375" t="str">
        <f>"משלוחים ללקוח"</f>
        <v>משלוחים ללקוח</v>
      </c>
      <c r="AG2375" s="1">
        <v>44404</v>
      </c>
      <c r="AM2375" t="str">
        <f>"10"</f>
        <v>10</v>
      </c>
      <c r="AN2375" t="str">
        <f>"500000"</f>
        <v>500000</v>
      </c>
      <c r="AO2375" t="str">
        <f>"הכנסות  מלקוחות"</f>
        <v>הכנסות  מלקוחות</v>
      </c>
      <c r="AQ2375" t="str">
        <f>"034"</f>
        <v>034</v>
      </c>
      <c r="AR2375">
        <v>0</v>
      </c>
      <c r="AS2375">
        <v>0</v>
      </c>
      <c r="AT2375">
        <v>3.254</v>
      </c>
      <c r="AX2375" t="str">
        <f>"E000326481"</f>
        <v>E000326481</v>
      </c>
      <c r="BD2375" t="str">
        <f>"ערן שלו"</f>
        <v>ערן שלו</v>
      </c>
    </row>
    <row r="2376" spans="1:56" x14ac:dyDescent="0.3">
      <c r="A2376" s="1">
        <v>44405</v>
      </c>
      <c r="B2376" t="str">
        <f>"SI216001077"</f>
        <v>SI216001077</v>
      </c>
      <c r="C2376" t="str">
        <f>"PR20000851"</f>
        <v>PR20000851</v>
      </c>
      <c r="D2376" t="str">
        <f>"PR20000851"</f>
        <v>PR20000851</v>
      </c>
      <c r="E2376" t="str">
        <f>"Y"</f>
        <v>Y</v>
      </c>
      <c r="F2376" t="str">
        <f>"חשבוניות מרכזות"</f>
        <v>חשבוניות מרכזות</v>
      </c>
      <c r="G2376" t="str">
        <f>"700065"</f>
        <v>700065</v>
      </c>
      <c r="H2376" t="str">
        <f>"אלתא מערכות בע""מ"</f>
        <v>אלתא מערכות בע"מ</v>
      </c>
      <c r="I2376" t="str">
        <f>"10"</f>
        <v>10</v>
      </c>
      <c r="J2376" t="str">
        <f>"OP-AR02166"</f>
        <v>OP-AR02166</v>
      </c>
      <c r="K2376" t="str">
        <f>"1039H822-001/-   HARNESS WY022 - PDU TO TRA2 EXT"</f>
        <v>1039H822-001/-   HARNESS WY022 - PDU TO TRA2 EXT</v>
      </c>
      <c r="L2376">
        <v>2</v>
      </c>
      <c r="M2376" t="str">
        <f>"יח"</f>
        <v>יח</v>
      </c>
      <c r="N2376">
        <v>2</v>
      </c>
      <c r="O2376" t="str">
        <f>"יח"</f>
        <v>יח</v>
      </c>
      <c r="P2376">
        <v>828.98</v>
      </c>
      <c r="Q2376" t="str">
        <f>"$"</f>
        <v>$</v>
      </c>
      <c r="R2376" t="str">
        <f>"הזמנה"</f>
        <v>הזמנה</v>
      </c>
      <c r="S2376">
        <v>0</v>
      </c>
      <c r="T2376" s="2">
        <v>1657.96</v>
      </c>
      <c r="U2376">
        <v>0</v>
      </c>
      <c r="V2376" s="2">
        <v>1657.96</v>
      </c>
      <c r="W2376" t="str">
        <f>"$"</f>
        <v>$</v>
      </c>
      <c r="X2376">
        <v>0</v>
      </c>
      <c r="Y2376">
        <v>0</v>
      </c>
      <c r="Z2376">
        <v>0</v>
      </c>
      <c r="AA2376" t="str">
        <f>"Y"</f>
        <v>Y</v>
      </c>
      <c r="AB2376" t="str">
        <f>"SO20000555"</f>
        <v>SO20000555</v>
      </c>
      <c r="AC2376">
        <v>13</v>
      </c>
      <c r="AD2376" s="1">
        <v>44166</v>
      </c>
      <c r="AE2376" t="str">
        <f>"SH21001314"</f>
        <v>SH21001314</v>
      </c>
      <c r="AF2376" t="str">
        <f>"משלוחים ללקוח"</f>
        <v>משלוחים ללקוח</v>
      </c>
      <c r="AG2376" s="1">
        <v>44404</v>
      </c>
      <c r="AM2376" t="str">
        <f>"10"</f>
        <v>10</v>
      </c>
      <c r="AN2376" t="str">
        <f>"500000"</f>
        <v>500000</v>
      </c>
      <c r="AO2376" t="str">
        <f>"הכנסות  מלקוחות"</f>
        <v>הכנסות  מלקוחות</v>
      </c>
      <c r="AQ2376" t="str">
        <f>"034"</f>
        <v>034</v>
      </c>
      <c r="AR2376">
        <v>0</v>
      </c>
      <c r="AS2376">
        <v>0</v>
      </c>
      <c r="AT2376">
        <v>3.254</v>
      </c>
      <c r="AX2376" t="str">
        <f>"E000326481"</f>
        <v>E000326481</v>
      </c>
      <c r="BD2376" t="str">
        <f>"ערן שלו"</f>
        <v>ערן שלו</v>
      </c>
    </row>
    <row r="2377" spans="1:56" x14ac:dyDescent="0.3">
      <c r="A2377" s="1">
        <v>44405</v>
      </c>
      <c r="B2377" t="str">
        <f>"SI216001077"</f>
        <v>SI216001077</v>
      </c>
      <c r="C2377" t="str">
        <f>"PR20000851"</f>
        <v>PR20000851</v>
      </c>
      <c r="D2377" t="str">
        <f>"PR20000851"</f>
        <v>PR20000851</v>
      </c>
      <c r="E2377" t="str">
        <f>"Y"</f>
        <v>Y</v>
      </c>
      <c r="F2377" t="str">
        <f>"חשבוניות מרכזות"</f>
        <v>חשבוניות מרכזות</v>
      </c>
      <c r="G2377" t="str">
        <f>"700065"</f>
        <v>700065</v>
      </c>
      <c r="H2377" t="str">
        <f>"אלתא מערכות בע""מ"</f>
        <v>אלתא מערכות בע"מ</v>
      </c>
      <c r="I2377" t="str">
        <f>"10"</f>
        <v>10</v>
      </c>
      <c r="J2377" t="str">
        <f>"OP-AR02168"</f>
        <v>OP-AR02168</v>
      </c>
      <c r="K2377" t="str">
        <f>"1039H824-001/-   HARNESS WY024 - PDU TO TRA4 EXT"</f>
        <v>1039H824-001/-   HARNESS WY024 - PDU TO TRA4 EXT</v>
      </c>
      <c r="L2377">
        <v>3</v>
      </c>
      <c r="M2377" t="str">
        <f>"יח"</f>
        <v>יח</v>
      </c>
      <c r="N2377">
        <v>3</v>
      </c>
      <c r="O2377" t="str">
        <f>"יח"</f>
        <v>יח</v>
      </c>
      <c r="P2377">
        <v>822.5</v>
      </c>
      <c r="Q2377" t="str">
        <f>"$"</f>
        <v>$</v>
      </c>
      <c r="R2377" t="str">
        <f>"הזמנה"</f>
        <v>הזמנה</v>
      </c>
      <c r="S2377">
        <v>0</v>
      </c>
      <c r="T2377" s="2">
        <v>2467.5</v>
      </c>
      <c r="U2377">
        <v>0</v>
      </c>
      <c r="V2377" s="2">
        <v>2467.5</v>
      </c>
      <c r="W2377" t="str">
        <f>"$"</f>
        <v>$</v>
      </c>
      <c r="X2377">
        <v>0</v>
      </c>
      <c r="Y2377">
        <v>0</v>
      </c>
      <c r="Z2377">
        <v>0</v>
      </c>
      <c r="AA2377" t="str">
        <f>"Y"</f>
        <v>Y</v>
      </c>
      <c r="AB2377" t="str">
        <f>"SO20000555"</f>
        <v>SO20000555</v>
      </c>
      <c r="AC2377">
        <v>15</v>
      </c>
      <c r="AD2377" s="1">
        <v>44166</v>
      </c>
      <c r="AE2377" t="str">
        <f>"SH21001314"</f>
        <v>SH21001314</v>
      </c>
      <c r="AF2377" t="str">
        <f>"משלוחים ללקוח"</f>
        <v>משלוחים ללקוח</v>
      </c>
      <c r="AG2377" s="1">
        <v>44404</v>
      </c>
      <c r="AM2377" t="str">
        <f>"10"</f>
        <v>10</v>
      </c>
      <c r="AN2377" t="str">
        <f>"500000"</f>
        <v>500000</v>
      </c>
      <c r="AO2377" t="str">
        <f>"הכנסות  מלקוחות"</f>
        <v>הכנסות  מלקוחות</v>
      </c>
      <c r="AQ2377" t="str">
        <f>"034"</f>
        <v>034</v>
      </c>
      <c r="AR2377">
        <v>0</v>
      </c>
      <c r="AS2377">
        <v>0</v>
      </c>
      <c r="AT2377">
        <v>3.254</v>
      </c>
      <c r="AX2377" t="str">
        <f>"E000326481"</f>
        <v>E000326481</v>
      </c>
      <c r="BD2377" t="str">
        <f>"ערן שלו"</f>
        <v>ערן שלו</v>
      </c>
    </row>
    <row r="2378" spans="1:56" x14ac:dyDescent="0.3">
      <c r="A2378" s="1">
        <v>44405</v>
      </c>
      <c r="B2378" t="str">
        <f>"SI216001077"</f>
        <v>SI216001077</v>
      </c>
      <c r="C2378" t="str">
        <f>"PR20000851"</f>
        <v>PR20000851</v>
      </c>
      <c r="D2378" t="str">
        <f>"PR20000851"</f>
        <v>PR20000851</v>
      </c>
      <c r="E2378" t="str">
        <f>"Y"</f>
        <v>Y</v>
      </c>
      <c r="F2378" t="str">
        <f>"חשבוניות מרכזות"</f>
        <v>חשבוניות מרכזות</v>
      </c>
      <c r="G2378" t="str">
        <f>"700065"</f>
        <v>700065</v>
      </c>
      <c r="H2378" t="str">
        <f>"אלתא מערכות בע""מ"</f>
        <v>אלתא מערכות בע"מ</v>
      </c>
      <c r="I2378" t="str">
        <f>"10"</f>
        <v>10</v>
      </c>
      <c r="J2378" t="str">
        <f>"OP-AR02172"</f>
        <v>OP-AR02172</v>
      </c>
      <c r="K2378" t="str">
        <f>"1039H828-001/-   HARNESS WY028 - PDU TO IFF EXTE"</f>
        <v>1039H828-001/-   HARNESS WY028 - PDU TO IFF EXTE</v>
      </c>
      <c r="L2378">
        <v>4</v>
      </c>
      <c r="M2378" t="str">
        <f>"יח"</f>
        <v>יח</v>
      </c>
      <c r="N2378">
        <v>4</v>
      </c>
      <c r="O2378" t="str">
        <f>"יח"</f>
        <v>יח</v>
      </c>
      <c r="P2378">
        <v>593.54999999999995</v>
      </c>
      <c r="Q2378" t="str">
        <f>"$"</f>
        <v>$</v>
      </c>
      <c r="R2378" t="str">
        <f>"הזמנה"</f>
        <v>הזמנה</v>
      </c>
      <c r="S2378">
        <v>0</v>
      </c>
      <c r="T2378" s="2">
        <v>2374.1999999999998</v>
      </c>
      <c r="U2378">
        <v>0</v>
      </c>
      <c r="V2378" s="2">
        <v>2374.1999999999998</v>
      </c>
      <c r="W2378" t="str">
        <f>"$"</f>
        <v>$</v>
      </c>
      <c r="X2378">
        <v>0</v>
      </c>
      <c r="Y2378">
        <v>0</v>
      </c>
      <c r="Z2378">
        <v>0</v>
      </c>
      <c r="AA2378" t="str">
        <f>"Y"</f>
        <v>Y</v>
      </c>
      <c r="AB2378" t="str">
        <f>"SO20000555"</f>
        <v>SO20000555</v>
      </c>
      <c r="AC2378">
        <v>19</v>
      </c>
      <c r="AD2378" s="1">
        <v>44166</v>
      </c>
      <c r="AE2378" t="str">
        <f>"SH21001314"</f>
        <v>SH21001314</v>
      </c>
      <c r="AF2378" t="str">
        <f>"משלוחים ללקוח"</f>
        <v>משלוחים ללקוח</v>
      </c>
      <c r="AG2378" s="1">
        <v>44404</v>
      </c>
      <c r="AM2378" t="str">
        <f>"10"</f>
        <v>10</v>
      </c>
      <c r="AN2378" t="str">
        <f>"500000"</f>
        <v>500000</v>
      </c>
      <c r="AO2378" t="str">
        <f>"הכנסות  מלקוחות"</f>
        <v>הכנסות  מלקוחות</v>
      </c>
      <c r="AQ2378" t="str">
        <f>"034"</f>
        <v>034</v>
      </c>
      <c r="AR2378">
        <v>0</v>
      </c>
      <c r="AS2378">
        <v>0</v>
      </c>
      <c r="AT2378">
        <v>3.254</v>
      </c>
      <c r="AX2378" t="str">
        <f>"E000326481"</f>
        <v>E000326481</v>
      </c>
      <c r="BD2378" t="str">
        <f>"ערן שלו"</f>
        <v>ערן שלו</v>
      </c>
    </row>
    <row r="2379" spans="1:56" x14ac:dyDescent="0.3">
      <c r="A2379" s="1">
        <v>44405</v>
      </c>
      <c r="B2379" t="str">
        <f>"SI216001077"</f>
        <v>SI216001077</v>
      </c>
      <c r="C2379" t="str">
        <f>"PR20000851"</f>
        <v>PR20000851</v>
      </c>
      <c r="D2379" t="str">
        <f>"PR20000851"</f>
        <v>PR20000851</v>
      </c>
      <c r="E2379" t="str">
        <f>"Y"</f>
        <v>Y</v>
      </c>
      <c r="F2379" t="str">
        <f>"חשבוניות מרכזות"</f>
        <v>חשבוניות מרכזות</v>
      </c>
      <c r="G2379" t="str">
        <f>"700065"</f>
        <v>700065</v>
      </c>
      <c r="H2379" t="str">
        <f>"אלתא מערכות בע""מ"</f>
        <v>אלתא מערכות בע"מ</v>
      </c>
      <c r="I2379" t="str">
        <f>"10"</f>
        <v>10</v>
      </c>
      <c r="J2379" t="str">
        <f>"OP-AR02174"</f>
        <v>OP-AR02174</v>
      </c>
      <c r="K2379" t="str">
        <f>"1039H832-001/-   HARNESS WY032 - PDU TO TRA2 EXT"</f>
        <v>1039H832-001/-   HARNESS WY032 - PDU TO TRA2 EXT</v>
      </c>
      <c r="L2379">
        <v>4</v>
      </c>
      <c r="M2379" t="str">
        <f>"יח"</f>
        <v>יח</v>
      </c>
      <c r="N2379">
        <v>4</v>
      </c>
      <c r="O2379" t="str">
        <f>"יח"</f>
        <v>יח</v>
      </c>
      <c r="P2379" s="2">
        <v>1328.07</v>
      </c>
      <c r="Q2379" t="str">
        <f>"$"</f>
        <v>$</v>
      </c>
      <c r="R2379" t="str">
        <f>"הזמנה"</f>
        <v>הזמנה</v>
      </c>
      <c r="S2379">
        <v>0</v>
      </c>
      <c r="T2379" s="2">
        <v>5312.28</v>
      </c>
      <c r="U2379">
        <v>0</v>
      </c>
      <c r="V2379" s="2">
        <v>5312.28</v>
      </c>
      <c r="W2379" t="str">
        <f>"$"</f>
        <v>$</v>
      </c>
      <c r="X2379">
        <v>0</v>
      </c>
      <c r="Y2379">
        <v>0</v>
      </c>
      <c r="Z2379">
        <v>0</v>
      </c>
      <c r="AA2379" t="str">
        <f>"Y"</f>
        <v>Y</v>
      </c>
      <c r="AB2379" t="str">
        <f>"SO20000555"</f>
        <v>SO20000555</v>
      </c>
      <c r="AC2379">
        <v>21</v>
      </c>
      <c r="AD2379" s="1">
        <v>44166</v>
      </c>
      <c r="AE2379" t="str">
        <f>"SH21001314"</f>
        <v>SH21001314</v>
      </c>
      <c r="AF2379" t="str">
        <f>"משלוחים ללקוח"</f>
        <v>משלוחים ללקוח</v>
      </c>
      <c r="AG2379" s="1">
        <v>44404</v>
      </c>
      <c r="AM2379" t="str">
        <f>"10"</f>
        <v>10</v>
      </c>
      <c r="AN2379" t="str">
        <f>"500000"</f>
        <v>500000</v>
      </c>
      <c r="AO2379" t="str">
        <f>"הכנסות  מלקוחות"</f>
        <v>הכנסות  מלקוחות</v>
      </c>
      <c r="AQ2379" t="str">
        <f>"034"</f>
        <v>034</v>
      </c>
      <c r="AR2379">
        <v>0</v>
      </c>
      <c r="AS2379">
        <v>0</v>
      </c>
      <c r="AT2379">
        <v>3.254</v>
      </c>
      <c r="AX2379" t="str">
        <f>"E000326481"</f>
        <v>E000326481</v>
      </c>
      <c r="BD2379" t="str">
        <f>"ערן שלו"</f>
        <v>ערן שלו</v>
      </c>
    </row>
    <row r="2380" spans="1:56" x14ac:dyDescent="0.3">
      <c r="A2380" s="1">
        <v>44405</v>
      </c>
      <c r="B2380" t="str">
        <f>"SI216001077"</f>
        <v>SI216001077</v>
      </c>
      <c r="C2380" t="str">
        <f>"PR20000851"</f>
        <v>PR20000851</v>
      </c>
      <c r="D2380" t="str">
        <f>"PR20000851"</f>
        <v>PR20000851</v>
      </c>
      <c r="E2380" t="str">
        <f>"Y"</f>
        <v>Y</v>
      </c>
      <c r="F2380" t="str">
        <f>"חשבוניות מרכזות"</f>
        <v>חשבוניות מרכזות</v>
      </c>
      <c r="G2380" t="str">
        <f>"700065"</f>
        <v>700065</v>
      </c>
      <c r="H2380" t="str">
        <f>"אלתא מערכות בע""מ"</f>
        <v>אלתא מערכות בע"מ</v>
      </c>
      <c r="I2380" t="str">
        <f>"10"</f>
        <v>10</v>
      </c>
      <c r="J2380" t="str">
        <f>"OP-AR02188"</f>
        <v>OP-AR02188</v>
      </c>
      <c r="K2380" t="str">
        <f>"1039H862-001/-   HARNESS WY062 - CU TO TRA2 AND"</f>
        <v>1039H862-001/-   HARNESS WY062 - CU TO TRA2 AND</v>
      </c>
      <c r="L2380">
        <v>1</v>
      </c>
      <c r="M2380" t="str">
        <f>"יח"</f>
        <v>יח</v>
      </c>
      <c r="N2380">
        <v>1</v>
      </c>
      <c r="O2380" t="str">
        <f>"יח"</f>
        <v>יח</v>
      </c>
      <c r="P2380" s="2">
        <v>1110.94</v>
      </c>
      <c r="Q2380" t="str">
        <f>"$"</f>
        <v>$</v>
      </c>
      <c r="R2380" t="str">
        <f>"הזמנה"</f>
        <v>הזמנה</v>
      </c>
      <c r="S2380">
        <v>0</v>
      </c>
      <c r="T2380" s="2">
        <v>1110.94</v>
      </c>
      <c r="U2380">
        <v>0</v>
      </c>
      <c r="V2380" s="2">
        <v>1110.94</v>
      </c>
      <c r="W2380" t="str">
        <f>"$"</f>
        <v>$</v>
      </c>
      <c r="X2380">
        <v>0</v>
      </c>
      <c r="Y2380">
        <v>0</v>
      </c>
      <c r="Z2380">
        <v>0</v>
      </c>
      <c r="AA2380" t="str">
        <f>"Y"</f>
        <v>Y</v>
      </c>
      <c r="AB2380" t="str">
        <f>"SO20000555"</f>
        <v>SO20000555</v>
      </c>
      <c r="AC2380">
        <v>35</v>
      </c>
      <c r="AD2380" s="1">
        <v>44166</v>
      </c>
      <c r="AE2380" t="str">
        <f>"SH21001314"</f>
        <v>SH21001314</v>
      </c>
      <c r="AF2380" t="str">
        <f>"משלוחים ללקוח"</f>
        <v>משלוחים ללקוח</v>
      </c>
      <c r="AG2380" s="1">
        <v>44404</v>
      </c>
      <c r="AM2380" t="str">
        <f>"10"</f>
        <v>10</v>
      </c>
      <c r="AN2380" t="str">
        <f>"500000"</f>
        <v>500000</v>
      </c>
      <c r="AO2380" t="str">
        <f>"הכנסות  מלקוחות"</f>
        <v>הכנסות  מלקוחות</v>
      </c>
      <c r="AQ2380" t="str">
        <f>"034"</f>
        <v>034</v>
      </c>
      <c r="AR2380">
        <v>0</v>
      </c>
      <c r="AS2380">
        <v>0</v>
      </c>
      <c r="AT2380">
        <v>3.254</v>
      </c>
      <c r="AX2380" t="str">
        <f>"E000326481"</f>
        <v>E000326481</v>
      </c>
      <c r="BD2380" t="str">
        <f>"ערן שלו"</f>
        <v>ערן שלו</v>
      </c>
    </row>
    <row r="2381" spans="1:56" x14ac:dyDescent="0.3">
      <c r="A2381" s="1">
        <v>44404</v>
      </c>
      <c r="B2381" t="str">
        <f>"SI216001073"</f>
        <v>SI216001073</v>
      </c>
      <c r="C2381" t="str">
        <f>"PR19000750"</f>
        <v>PR19000750</v>
      </c>
      <c r="E2381" t="str">
        <f>"Y"</f>
        <v>Y</v>
      </c>
      <c r="F2381" t="str">
        <f>"חשבוניות מרכזות"</f>
        <v>חשבוניות מרכזות</v>
      </c>
      <c r="G2381" t="str">
        <f>"700065"</f>
        <v>700065</v>
      </c>
      <c r="H2381" t="str">
        <f>"אלתא מערכות בע""מ"</f>
        <v>אלתא מערכות בע"מ</v>
      </c>
      <c r="I2381" t="str">
        <f>"10"</f>
        <v>10</v>
      </c>
      <c r="J2381" t="str">
        <f>"OP-PD02883"</f>
        <v>OP-PD02883</v>
      </c>
      <c r="K2381" t="str">
        <f>"ISOLATION TRANSFORMER UNIT 70KVA"</f>
        <v>ISOLATION TRANSFORMER UNIT 70KVA</v>
      </c>
      <c r="L2381">
        <v>1</v>
      </c>
      <c r="M2381" t="str">
        <f>"יח"</f>
        <v>יח</v>
      </c>
      <c r="N2381">
        <v>1</v>
      </c>
      <c r="O2381" t="str">
        <f>"יח"</f>
        <v>יח</v>
      </c>
      <c r="P2381" s="2">
        <v>17670</v>
      </c>
      <c r="Q2381" t="str">
        <f>"$"</f>
        <v>$</v>
      </c>
      <c r="R2381" t="str">
        <f>"ידני"</f>
        <v>ידני</v>
      </c>
      <c r="S2381">
        <v>0</v>
      </c>
      <c r="T2381" s="2">
        <v>17670</v>
      </c>
      <c r="U2381">
        <v>0</v>
      </c>
      <c r="V2381" s="2">
        <v>17670</v>
      </c>
      <c r="W2381" t="str">
        <f>"$"</f>
        <v>$</v>
      </c>
      <c r="X2381">
        <v>0</v>
      </c>
      <c r="Y2381">
        <v>0</v>
      </c>
      <c r="Z2381">
        <v>0</v>
      </c>
      <c r="AA2381" t="str">
        <f>"Y"</f>
        <v>Y</v>
      </c>
      <c r="AC2381">
        <v>0</v>
      </c>
      <c r="AM2381" t="str">
        <f>"10"</f>
        <v>10</v>
      </c>
      <c r="AN2381" t="str">
        <f>"500000"</f>
        <v>500000</v>
      </c>
      <c r="AO2381" t="str">
        <f>"הכנסות  מלקוחות"</f>
        <v>הכנסות  מלקוחות</v>
      </c>
      <c r="AQ2381" t="str">
        <f>"034"</f>
        <v>034</v>
      </c>
      <c r="AR2381">
        <v>0</v>
      </c>
      <c r="AS2381">
        <v>0</v>
      </c>
      <c r="AT2381">
        <v>3.2639999999999998</v>
      </c>
      <c r="BB2381" t="str">
        <f>"Y"</f>
        <v>Y</v>
      </c>
      <c r="BD2381" t="str">
        <f>"ערן שלו"</f>
        <v>ערן שלו</v>
      </c>
    </row>
    <row r="2382" spans="1:56" x14ac:dyDescent="0.3">
      <c r="A2382" s="1">
        <v>44404</v>
      </c>
      <c r="B2382" t="str">
        <f>"SI216001073"</f>
        <v>SI216001073</v>
      </c>
      <c r="C2382" t="str">
        <f>"PR19000750"</f>
        <v>PR19000750</v>
      </c>
      <c r="E2382" t="str">
        <f>"Y"</f>
        <v>Y</v>
      </c>
      <c r="F2382" t="str">
        <f>"חשבוניות מרכזות"</f>
        <v>חשבוניות מרכזות</v>
      </c>
      <c r="G2382" t="str">
        <f>"700065"</f>
        <v>700065</v>
      </c>
      <c r="H2382" t="str">
        <f>"אלתא מערכות בע""מ"</f>
        <v>אלתא מערכות בע"מ</v>
      </c>
      <c r="I2382" t="str">
        <f>"10"</f>
        <v>10</v>
      </c>
      <c r="J2382" t="str">
        <f>"OP-PD02882"</f>
        <v>OP-PD02882</v>
      </c>
      <c r="K2382" t="str">
        <f>"ISOLATION TRANSFORMER UNIT 200KVA"</f>
        <v>ISOLATION TRANSFORMER UNIT 200KVA</v>
      </c>
      <c r="L2382">
        <v>1</v>
      </c>
      <c r="M2382" t="str">
        <f>"יח"</f>
        <v>יח</v>
      </c>
      <c r="N2382">
        <v>1</v>
      </c>
      <c r="O2382" t="str">
        <f>"יח"</f>
        <v>יח</v>
      </c>
      <c r="P2382" s="2">
        <v>35340</v>
      </c>
      <c r="Q2382" t="str">
        <f>"$"</f>
        <v>$</v>
      </c>
      <c r="R2382" t="str">
        <f>"ידני"</f>
        <v>ידני</v>
      </c>
      <c r="S2382">
        <v>0</v>
      </c>
      <c r="T2382" s="2">
        <v>35340</v>
      </c>
      <c r="U2382">
        <v>0</v>
      </c>
      <c r="V2382" s="2">
        <v>35340</v>
      </c>
      <c r="W2382" t="str">
        <f>"$"</f>
        <v>$</v>
      </c>
      <c r="X2382">
        <v>0</v>
      </c>
      <c r="Y2382">
        <v>0</v>
      </c>
      <c r="Z2382">
        <v>0</v>
      </c>
      <c r="AA2382" t="str">
        <f>"Y"</f>
        <v>Y</v>
      </c>
      <c r="AC2382">
        <v>0</v>
      </c>
      <c r="AM2382" t="str">
        <f>"10"</f>
        <v>10</v>
      </c>
      <c r="AN2382" t="str">
        <f>"500000"</f>
        <v>500000</v>
      </c>
      <c r="AO2382" t="str">
        <f>"הכנסות  מלקוחות"</f>
        <v>הכנסות  מלקוחות</v>
      </c>
      <c r="AQ2382" t="str">
        <f>"034"</f>
        <v>034</v>
      </c>
      <c r="AR2382">
        <v>0</v>
      </c>
      <c r="AS2382">
        <v>0</v>
      </c>
      <c r="AT2382">
        <v>3.2639999999999998</v>
      </c>
      <c r="BB2382" t="str">
        <f>"Y"</f>
        <v>Y</v>
      </c>
      <c r="BD2382" t="str">
        <f>"ערן שלו"</f>
        <v>ערן שלו</v>
      </c>
    </row>
    <row r="2383" spans="1:56" x14ac:dyDescent="0.3">
      <c r="A2383" s="1">
        <v>44404</v>
      </c>
      <c r="B2383" t="str">
        <f>"SI216001072"</f>
        <v>SI216001072</v>
      </c>
      <c r="C2383" t="str">
        <f>"PR19000400"</f>
        <v>PR19000400</v>
      </c>
      <c r="E2383" t="str">
        <f>"Y"</f>
        <v>Y</v>
      </c>
      <c r="F2383" t="str">
        <f>"חשבוניות מרכזות"</f>
        <v>חשבוניות מרכזות</v>
      </c>
      <c r="G2383" t="str">
        <f>"700065"</f>
        <v>700065</v>
      </c>
      <c r="H2383" t="str">
        <f>"אלתא מערכות בע""מ"</f>
        <v>אלתא מערכות בע"מ</v>
      </c>
      <c r="I2383" t="str">
        <f>"10"</f>
        <v>10</v>
      </c>
      <c r="J2383" t="str">
        <f>"OP-PD02882"</f>
        <v>OP-PD02882</v>
      </c>
      <c r="K2383" t="str">
        <f>"ISOLATION TRANSFORMER UNIT 200KVA"</f>
        <v>ISOLATION TRANSFORMER UNIT 200KVA</v>
      </c>
      <c r="L2383">
        <v>1</v>
      </c>
      <c r="M2383" t="str">
        <f>"יח"</f>
        <v>יח</v>
      </c>
      <c r="N2383">
        <v>1</v>
      </c>
      <c r="O2383" t="str">
        <f>"יח"</f>
        <v>יח</v>
      </c>
      <c r="P2383" s="2">
        <v>35340</v>
      </c>
      <c r="Q2383" t="str">
        <f>"$"</f>
        <v>$</v>
      </c>
      <c r="R2383" t="str">
        <f>"הזמנה"</f>
        <v>הזמנה</v>
      </c>
      <c r="S2383">
        <v>0</v>
      </c>
      <c r="T2383" s="2">
        <v>35340</v>
      </c>
      <c r="U2383">
        <v>0</v>
      </c>
      <c r="V2383" s="2">
        <v>35340</v>
      </c>
      <c r="W2383" t="str">
        <f>"$"</f>
        <v>$</v>
      </c>
      <c r="X2383">
        <v>0</v>
      </c>
      <c r="Y2383">
        <v>0</v>
      </c>
      <c r="Z2383">
        <v>0</v>
      </c>
      <c r="AA2383" t="str">
        <f>"Y"</f>
        <v>Y</v>
      </c>
      <c r="AB2383" t="str">
        <f>"SO20000012"</f>
        <v>SO20000012</v>
      </c>
      <c r="AC2383">
        <v>25</v>
      </c>
      <c r="AD2383" s="1">
        <v>43837</v>
      </c>
      <c r="AE2383" t="str">
        <f>"SH21001279"</f>
        <v>SH21001279</v>
      </c>
      <c r="AF2383" t="str">
        <f>"משלוחים ללקוח"</f>
        <v>משלוחים ללקוח</v>
      </c>
      <c r="AG2383" s="1">
        <v>44402</v>
      </c>
      <c r="AM2383" t="str">
        <f>"10"</f>
        <v>10</v>
      </c>
      <c r="AN2383" t="str">
        <f>"500000"</f>
        <v>500000</v>
      </c>
      <c r="AO2383" t="str">
        <f>"הכנסות  מלקוחות"</f>
        <v>הכנסות  מלקוחות</v>
      </c>
      <c r="AQ2383" t="str">
        <f>"034"</f>
        <v>034</v>
      </c>
      <c r="AR2383">
        <v>0</v>
      </c>
      <c r="AS2383">
        <v>0</v>
      </c>
      <c r="AT2383">
        <v>3.2639999999999998</v>
      </c>
      <c r="AX2383" t="str">
        <f>"E000301089"</f>
        <v>E000301089</v>
      </c>
      <c r="BD2383" t="str">
        <f>"ערן שלו"</f>
        <v>ערן שלו</v>
      </c>
    </row>
    <row r="2384" spans="1:56" x14ac:dyDescent="0.3">
      <c r="A2384" s="1">
        <v>44404</v>
      </c>
      <c r="B2384" t="str">
        <f>"SI216001072"</f>
        <v>SI216001072</v>
      </c>
      <c r="C2384" t="str">
        <f>"PR19000400"</f>
        <v>PR19000400</v>
      </c>
      <c r="E2384" t="str">
        <f>"Y"</f>
        <v>Y</v>
      </c>
      <c r="F2384" t="str">
        <f>"חשבוניות מרכזות"</f>
        <v>חשבוניות מרכזות</v>
      </c>
      <c r="G2384" t="str">
        <f>"700065"</f>
        <v>700065</v>
      </c>
      <c r="H2384" t="str">
        <f>"אלתא מערכות בע""מ"</f>
        <v>אלתא מערכות בע"מ</v>
      </c>
      <c r="I2384" t="str">
        <f>"10"</f>
        <v>10</v>
      </c>
      <c r="J2384" t="str">
        <f>"OP-PD02883"</f>
        <v>OP-PD02883</v>
      </c>
      <c r="K2384" t="str">
        <f>"ISOLATION TRANSFORMER UNIT 70KVA"</f>
        <v>ISOLATION TRANSFORMER UNIT 70KVA</v>
      </c>
      <c r="L2384">
        <v>1</v>
      </c>
      <c r="M2384" t="str">
        <f>"יח"</f>
        <v>יח</v>
      </c>
      <c r="N2384">
        <v>1</v>
      </c>
      <c r="O2384" t="str">
        <f>"יח"</f>
        <v>יח</v>
      </c>
      <c r="P2384" s="2">
        <v>17670</v>
      </c>
      <c r="Q2384" t="str">
        <f>"$"</f>
        <v>$</v>
      </c>
      <c r="R2384" t="str">
        <f>"הזמנה"</f>
        <v>הזמנה</v>
      </c>
      <c r="S2384">
        <v>0</v>
      </c>
      <c r="T2384" s="2">
        <v>17670</v>
      </c>
      <c r="U2384">
        <v>0</v>
      </c>
      <c r="V2384" s="2">
        <v>17670</v>
      </c>
      <c r="W2384" t="str">
        <f>"$"</f>
        <v>$</v>
      </c>
      <c r="X2384">
        <v>0</v>
      </c>
      <c r="Y2384">
        <v>0</v>
      </c>
      <c r="Z2384">
        <v>0</v>
      </c>
      <c r="AA2384" t="str">
        <f>"Y"</f>
        <v>Y</v>
      </c>
      <c r="AB2384" t="str">
        <f>"SO20000012"</f>
        <v>SO20000012</v>
      </c>
      <c r="AC2384">
        <v>26</v>
      </c>
      <c r="AD2384" s="1">
        <v>43837</v>
      </c>
      <c r="AE2384" t="str">
        <f>"SH21001279"</f>
        <v>SH21001279</v>
      </c>
      <c r="AF2384" t="str">
        <f>"משלוחים ללקוח"</f>
        <v>משלוחים ללקוח</v>
      </c>
      <c r="AG2384" s="1">
        <v>44402</v>
      </c>
      <c r="AM2384" t="str">
        <f>"10"</f>
        <v>10</v>
      </c>
      <c r="AN2384" t="str">
        <f>"500000"</f>
        <v>500000</v>
      </c>
      <c r="AO2384" t="str">
        <f>"הכנסות  מלקוחות"</f>
        <v>הכנסות  מלקוחות</v>
      </c>
      <c r="AQ2384" t="str">
        <f>"034"</f>
        <v>034</v>
      </c>
      <c r="AR2384">
        <v>0</v>
      </c>
      <c r="AS2384">
        <v>0</v>
      </c>
      <c r="AT2384">
        <v>3.2639999999999998</v>
      </c>
      <c r="AX2384" t="str">
        <f>"E000301089"</f>
        <v>E000301089</v>
      </c>
      <c r="BD2384" t="str">
        <f>"ערן שלו"</f>
        <v>ערן שלו</v>
      </c>
    </row>
    <row r="2385" spans="1:56" x14ac:dyDescent="0.3">
      <c r="A2385" s="1">
        <v>44404</v>
      </c>
      <c r="B2385" t="str">
        <f>"SI216001071"</f>
        <v>SI216001071</v>
      </c>
      <c r="C2385" t="str">
        <f>"PR21000153"</f>
        <v>PR21000153</v>
      </c>
      <c r="E2385" t="str">
        <f>"Y"</f>
        <v>Y</v>
      </c>
      <c r="F2385" t="str">
        <f>"חשבוניות מרכזות"</f>
        <v>חשבוניות מרכזות</v>
      </c>
      <c r="G2385" t="str">
        <f>"700065"</f>
        <v>700065</v>
      </c>
      <c r="H2385" t="str">
        <f>"אלתא מערכות בע""מ"</f>
        <v>אלתא מערכות בע"מ</v>
      </c>
      <c r="I2385" t="str">
        <f>"10"</f>
        <v>10</v>
      </c>
      <c r="J2385" t="str">
        <f>"OP-AR01088"</f>
        <v>OP-AR01088</v>
      </c>
      <c r="K2385" t="str">
        <f>"1038H185-001 SRASR POWER DISTRIUTION UNIT"</f>
        <v>1038H185-001 SRASR POWER DISTRIUTION UNIT</v>
      </c>
      <c r="L2385">
        <v>2</v>
      </c>
      <c r="M2385" t="str">
        <f>"יח"</f>
        <v>יח</v>
      </c>
      <c r="N2385">
        <v>2</v>
      </c>
      <c r="O2385" t="str">
        <f>"יח"</f>
        <v>יח</v>
      </c>
      <c r="P2385" s="2">
        <v>13555.55</v>
      </c>
      <c r="Q2385" t="str">
        <f>"$"</f>
        <v>$</v>
      </c>
      <c r="R2385" t="str">
        <f>"הזמנה"</f>
        <v>הזמנה</v>
      </c>
      <c r="S2385">
        <v>0</v>
      </c>
      <c r="T2385" s="2">
        <v>27111.1</v>
      </c>
      <c r="U2385">
        <v>0</v>
      </c>
      <c r="V2385" s="2">
        <v>27111.1</v>
      </c>
      <c r="W2385" t="str">
        <f>"$"</f>
        <v>$</v>
      </c>
      <c r="X2385">
        <v>0</v>
      </c>
      <c r="Y2385">
        <v>0</v>
      </c>
      <c r="Z2385">
        <v>0</v>
      </c>
      <c r="AA2385" t="str">
        <f>"Y"</f>
        <v>Y</v>
      </c>
      <c r="AB2385" t="str">
        <f>"SO21000085"</f>
        <v>SO21000085</v>
      </c>
      <c r="AC2385">
        <v>1</v>
      </c>
      <c r="AD2385" s="1">
        <v>44245</v>
      </c>
      <c r="AE2385" t="str">
        <f>"SH21001281"</f>
        <v>SH21001281</v>
      </c>
      <c r="AF2385" t="str">
        <f>"משלוחים ללקוח"</f>
        <v>משלוחים ללקוח</v>
      </c>
      <c r="AG2385" s="1">
        <v>44402</v>
      </c>
      <c r="AM2385" t="str">
        <f>"10"</f>
        <v>10</v>
      </c>
      <c r="AN2385" t="str">
        <f>"500000"</f>
        <v>500000</v>
      </c>
      <c r="AO2385" t="str">
        <f>"הכנסות  מלקוחות"</f>
        <v>הכנסות  מלקוחות</v>
      </c>
      <c r="AQ2385" t="str">
        <f>"034"</f>
        <v>034</v>
      </c>
      <c r="AR2385">
        <v>0</v>
      </c>
      <c r="AS2385">
        <v>0</v>
      </c>
      <c r="AT2385">
        <v>3.2639999999999998</v>
      </c>
      <c r="AX2385" t="str">
        <f>"E000333347"</f>
        <v>E000333347</v>
      </c>
      <c r="BD2385" t="str">
        <f>"ערן שלו"</f>
        <v>ערן שלו</v>
      </c>
    </row>
    <row r="2386" spans="1:56" x14ac:dyDescent="0.3">
      <c r="A2386" s="1">
        <v>44404</v>
      </c>
      <c r="B2386" t="str">
        <f>"SI216001070"</f>
        <v>SI216001070</v>
      </c>
      <c r="C2386" t="str">
        <f>"PR20000157"</f>
        <v>PR20000157</v>
      </c>
      <c r="E2386" t="str">
        <f>"Y"</f>
        <v>Y</v>
      </c>
      <c r="F2386" t="str">
        <f>"חשבוניות מרכזות"</f>
        <v>חשבוניות מרכזות</v>
      </c>
      <c r="G2386" t="str">
        <f>"700065"</f>
        <v>700065</v>
      </c>
      <c r="H2386" t="str">
        <f>"אלתא מערכות בע""מ"</f>
        <v>אלתא מערכות בע"מ</v>
      </c>
      <c r="I2386" t="str">
        <f>"10"</f>
        <v>10</v>
      </c>
      <c r="J2386" t="str">
        <f>"OP-AR01025-01"</f>
        <v>OP-AR01025-01</v>
      </c>
      <c r="K2386" t="str">
        <f>"BATTERY BOX 1029P520-001אפור"</f>
        <v>BATTERY BOX 1029P520-001אפור</v>
      </c>
      <c r="L2386">
        <v>1</v>
      </c>
      <c r="M2386" t="str">
        <f>"יח"</f>
        <v>יח</v>
      </c>
      <c r="N2386">
        <v>1</v>
      </c>
      <c r="O2386" t="str">
        <f>"יח"</f>
        <v>יח</v>
      </c>
      <c r="P2386" s="2">
        <v>5750</v>
      </c>
      <c r="Q2386" t="str">
        <f>"$"</f>
        <v>$</v>
      </c>
      <c r="R2386" t="str">
        <f>"הזמנה"</f>
        <v>הזמנה</v>
      </c>
      <c r="S2386">
        <v>0</v>
      </c>
      <c r="T2386" s="2">
        <v>5750</v>
      </c>
      <c r="U2386">
        <v>0</v>
      </c>
      <c r="V2386" s="2">
        <v>5750</v>
      </c>
      <c r="W2386" t="str">
        <f>"$"</f>
        <v>$</v>
      </c>
      <c r="X2386">
        <v>0</v>
      </c>
      <c r="Y2386">
        <v>0</v>
      </c>
      <c r="Z2386">
        <v>0</v>
      </c>
      <c r="AA2386" t="str">
        <f>"Y"</f>
        <v>Y</v>
      </c>
      <c r="AB2386" t="str">
        <f>"SO21000009"</f>
        <v>SO21000009</v>
      </c>
      <c r="AC2386">
        <v>8</v>
      </c>
      <c r="AD2386" s="1">
        <v>44200</v>
      </c>
      <c r="AE2386" t="str">
        <f>"SH21001309"</f>
        <v>SH21001309</v>
      </c>
      <c r="AF2386" t="str">
        <f>"משלוחים ללקוח"</f>
        <v>משלוחים ללקוח</v>
      </c>
      <c r="AG2386" s="1">
        <v>44404</v>
      </c>
      <c r="AM2386" t="str">
        <f>"10"</f>
        <v>10</v>
      </c>
      <c r="AN2386" t="str">
        <f>"500000"</f>
        <v>500000</v>
      </c>
      <c r="AO2386" t="str">
        <f>"הכנסות  מלקוחות"</f>
        <v>הכנסות  מלקוחות</v>
      </c>
      <c r="AQ2386" t="str">
        <f>"034"</f>
        <v>034</v>
      </c>
      <c r="AR2386">
        <v>0</v>
      </c>
      <c r="AS2386">
        <v>0</v>
      </c>
      <c r="AT2386">
        <v>3.2639999999999998</v>
      </c>
      <c r="AX2386" t="str">
        <f>"E000329195"</f>
        <v>E000329195</v>
      </c>
      <c r="BD2386" t="str">
        <f>"ערן שלו"</f>
        <v>ערן שלו</v>
      </c>
    </row>
    <row r="2387" spans="1:56" x14ac:dyDescent="0.3">
      <c r="A2387" s="1">
        <v>44404</v>
      </c>
      <c r="B2387" t="str">
        <f>"SI216001069"</f>
        <v>SI216001069</v>
      </c>
      <c r="C2387" t="str">
        <f>"PR20000141"</f>
        <v>PR20000141</v>
      </c>
      <c r="E2387" t="str">
        <f>"Y"</f>
        <v>Y</v>
      </c>
      <c r="F2387" t="str">
        <f>"חשבוניות מרכזות"</f>
        <v>חשבוניות מרכזות</v>
      </c>
      <c r="G2387" t="str">
        <f>"700065"</f>
        <v>700065</v>
      </c>
      <c r="H2387" t="str">
        <f>"אלתא מערכות בע""מ"</f>
        <v>אלתא מערכות בע"מ</v>
      </c>
      <c r="I2387" t="str">
        <f>"10"</f>
        <v>10</v>
      </c>
      <c r="J2387" t="str">
        <f>"OP-AR09105-1"</f>
        <v>OP-AR09105-1</v>
      </c>
      <c r="K2387" t="str">
        <f>"לוח ARMY מק""ט לקוח 1036V310-001"</f>
        <v>לוח ARMY מק"ט לקוח 1036V310-001</v>
      </c>
      <c r="L2387">
        <v>1</v>
      </c>
      <c r="M2387" t="str">
        <f>"יח"</f>
        <v>יח</v>
      </c>
      <c r="N2387">
        <v>1</v>
      </c>
      <c r="O2387" t="str">
        <f>"יח"</f>
        <v>יח</v>
      </c>
      <c r="P2387" s="2">
        <v>38749</v>
      </c>
      <c r="Q2387" t="str">
        <f>"$"</f>
        <v>$</v>
      </c>
      <c r="R2387" t="str">
        <f>"הזמנה"</f>
        <v>הזמנה</v>
      </c>
      <c r="S2387">
        <v>0</v>
      </c>
      <c r="T2387" s="2">
        <v>38749</v>
      </c>
      <c r="U2387">
        <v>0</v>
      </c>
      <c r="V2387" s="2">
        <v>38749</v>
      </c>
      <c r="W2387" t="str">
        <f>"$"</f>
        <v>$</v>
      </c>
      <c r="X2387">
        <v>0</v>
      </c>
      <c r="Y2387">
        <v>0</v>
      </c>
      <c r="Z2387">
        <v>0</v>
      </c>
      <c r="AA2387" t="str">
        <f>"Y"</f>
        <v>Y</v>
      </c>
      <c r="AB2387" t="str">
        <f>"SO20000381"</f>
        <v>SO20000381</v>
      </c>
      <c r="AC2387">
        <v>7</v>
      </c>
      <c r="AD2387" s="1">
        <v>44073</v>
      </c>
      <c r="AE2387" t="str">
        <f>"SH21001283"</f>
        <v>SH21001283</v>
      </c>
      <c r="AF2387" t="str">
        <f>"משלוחים ללקוח"</f>
        <v>משלוחים ללקוח</v>
      </c>
      <c r="AG2387" s="1">
        <v>44402</v>
      </c>
      <c r="AM2387" t="str">
        <f>"10"</f>
        <v>10</v>
      </c>
      <c r="AN2387" t="str">
        <f>"500000"</f>
        <v>500000</v>
      </c>
      <c r="AO2387" t="str">
        <f>"הכנסות  מלקוחות"</f>
        <v>הכנסות  מלקוחות</v>
      </c>
      <c r="AQ2387" t="str">
        <f>"034"</f>
        <v>034</v>
      </c>
      <c r="AR2387">
        <v>0</v>
      </c>
      <c r="AS2387">
        <v>0</v>
      </c>
      <c r="AT2387">
        <v>3.2639999999999998</v>
      </c>
      <c r="AX2387" t="str">
        <f>"E000319715"</f>
        <v>E000319715</v>
      </c>
      <c r="BD2387" t="str">
        <f>"ערן שלו"</f>
        <v>ערן שלו</v>
      </c>
    </row>
    <row r="2388" spans="1:56" x14ac:dyDescent="0.3">
      <c r="A2388" s="1">
        <v>44404</v>
      </c>
      <c r="B2388" t="str">
        <f>"SI216001068"</f>
        <v>SI216001068</v>
      </c>
      <c r="C2388" t="str">
        <f>"PR20000157"</f>
        <v>PR20000157</v>
      </c>
      <c r="E2388" t="str">
        <f>"Y"</f>
        <v>Y</v>
      </c>
      <c r="F2388" t="str">
        <f>"חשבוניות מרכזות"</f>
        <v>חשבוניות מרכזות</v>
      </c>
      <c r="G2388" t="str">
        <f>"700065"</f>
        <v>700065</v>
      </c>
      <c r="H2388" t="str">
        <f>"אלתא מערכות בע""מ"</f>
        <v>אלתא מערכות בע"מ</v>
      </c>
      <c r="I2388" t="str">
        <f>"10"</f>
        <v>10</v>
      </c>
      <c r="J2388" t="str">
        <f>"OP-AR01025"</f>
        <v>OP-AR01025</v>
      </c>
      <c r="K2388" t="str">
        <f>"BATTERY BOX 1039V520-001"</f>
        <v>BATTERY BOX 1039V520-001</v>
      </c>
      <c r="L2388">
        <v>1</v>
      </c>
      <c r="M2388" t="str">
        <f>"יח"</f>
        <v>יח</v>
      </c>
      <c r="N2388">
        <v>1</v>
      </c>
      <c r="O2388" t="str">
        <f>"יח"</f>
        <v>יח</v>
      </c>
      <c r="P2388" s="2">
        <v>5577</v>
      </c>
      <c r="Q2388" t="str">
        <f>"$"</f>
        <v>$</v>
      </c>
      <c r="R2388" t="str">
        <f>"הזמנה"</f>
        <v>הזמנה</v>
      </c>
      <c r="S2388">
        <v>0</v>
      </c>
      <c r="T2388" s="2">
        <v>5577</v>
      </c>
      <c r="U2388">
        <v>0</v>
      </c>
      <c r="V2388" s="2">
        <v>5577</v>
      </c>
      <c r="W2388" t="str">
        <f>"$"</f>
        <v>$</v>
      </c>
      <c r="X2388">
        <v>0</v>
      </c>
      <c r="Y2388">
        <v>0</v>
      </c>
      <c r="Z2388">
        <v>0</v>
      </c>
      <c r="AA2388" t="str">
        <f>"Y"</f>
        <v>Y</v>
      </c>
      <c r="AB2388" t="str">
        <f>"SO20000381"</f>
        <v>SO20000381</v>
      </c>
      <c r="AC2388">
        <v>12</v>
      </c>
      <c r="AD2388" s="1">
        <v>44073</v>
      </c>
      <c r="AE2388" t="str">
        <f>"SH21001284"</f>
        <v>SH21001284</v>
      </c>
      <c r="AF2388" t="str">
        <f>"משלוחים ללקוח"</f>
        <v>משלוחים ללקוח</v>
      </c>
      <c r="AG2388" s="1">
        <v>44402</v>
      </c>
      <c r="AM2388" t="str">
        <f>"10"</f>
        <v>10</v>
      </c>
      <c r="AN2388" t="str">
        <f>"500000"</f>
        <v>500000</v>
      </c>
      <c r="AO2388" t="str">
        <f>"הכנסות  מלקוחות"</f>
        <v>הכנסות  מלקוחות</v>
      </c>
      <c r="AQ2388" t="str">
        <f>"034"</f>
        <v>034</v>
      </c>
      <c r="AR2388">
        <v>0</v>
      </c>
      <c r="AS2388">
        <v>0</v>
      </c>
      <c r="AT2388">
        <v>3.2639999999999998</v>
      </c>
      <c r="AX2388" t="str">
        <f>"E000319715"</f>
        <v>E000319715</v>
      </c>
      <c r="BD2388" t="str">
        <f>"ערן שלו"</f>
        <v>ערן שלו</v>
      </c>
    </row>
    <row r="2389" spans="1:56" x14ac:dyDescent="0.3">
      <c r="A2389" s="1">
        <v>44404</v>
      </c>
      <c r="B2389" t="str">
        <f>"SI216001068"</f>
        <v>SI216001068</v>
      </c>
      <c r="C2389" t="str">
        <f>"PR20000157"</f>
        <v>PR20000157</v>
      </c>
      <c r="E2389" t="str">
        <f>"Y"</f>
        <v>Y</v>
      </c>
      <c r="F2389" t="str">
        <f>"חשבוניות מרכזות"</f>
        <v>חשבוניות מרכזות</v>
      </c>
      <c r="G2389" t="str">
        <f>"700065"</f>
        <v>700065</v>
      </c>
      <c r="H2389" t="str">
        <f>"אלתא מערכות בע""מ"</f>
        <v>אלתא מערכות בע"מ</v>
      </c>
      <c r="I2389" t="str">
        <f>"10"</f>
        <v>10</v>
      </c>
      <c r="J2389" t="str">
        <f>"OP-AR01025"</f>
        <v>OP-AR01025</v>
      </c>
      <c r="K2389" t="str">
        <f>"BATTERY BOX 1039V520-001"</f>
        <v>BATTERY BOX 1039V520-001</v>
      </c>
      <c r="L2389">
        <v>1</v>
      </c>
      <c r="M2389" t="str">
        <f>"יח"</f>
        <v>יח</v>
      </c>
      <c r="N2389">
        <v>1</v>
      </c>
      <c r="O2389" t="str">
        <f>"יח"</f>
        <v>יח</v>
      </c>
      <c r="P2389" s="2">
        <v>5577</v>
      </c>
      <c r="Q2389" t="str">
        <f>"$"</f>
        <v>$</v>
      </c>
      <c r="R2389" t="str">
        <f>"הזמנה"</f>
        <v>הזמנה</v>
      </c>
      <c r="S2389">
        <v>0</v>
      </c>
      <c r="T2389" s="2">
        <v>5577</v>
      </c>
      <c r="U2389">
        <v>0</v>
      </c>
      <c r="V2389" s="2">
        <v>5577</v>
      </c>
      <c r="W2389" t="str">
        <f>"$"</f>
        <v>$</v>
      </c>
      <c r="X2389">
        <v>0</v>
      </c>
      <c r="Y2389">
        <v>0</v>
      </c>
      <c r="Z2389">
        <v>0</v>
      </c>
      <c r="AA2389" t="str">
        <f>"Y"</f>
        <v>Y</v>
      </c>
      <c r="AB2389" t="str">
        <f>"SO20000381"</f>
        <v>SO20000381</v>
      </c>
      <c r="AC2389">
        <v>13</v>
      </c>
      <c r="AD2389" s="1">
        <v>44073</v>
      </c>
      <c r="AE2389" t="str">
        <f>"SH21001284"</f>
        <v>SH21001284</v>
      </c>
      <c r="AF2389" t="str">
        <f>"משלוחים ללקוח"</f>
        <v>משלוחים ללקוח</v>
      </c>
      <c r="AG2389" s="1">
        <v>44402</v>
      </c>
      <c r="AM2389" t="str">
        <f>"10"</f>
        <v>10</v>
      </c>
      <c r="AN2389" t="str">
        <f>"500000"</f>
        <v>500000</v>
      </c>
      <c r="AO2389" t="str">
        <f>"הכנסות  מלקוחות"</f>
        <v>הכנסות  מלקוחות</v>
      </c>
      <c r="AQ2389" t="str">
        <f>"034"</f>
        <v>034</v>
      </c>
      <c r="AR2389">
        <v>0</v>
      </c>
      <c r="AS2389">
        <v>0</v>
      </c>
      <c r="AT2389">
        <v>3.2639999999999998</v>
      </c>
      <c r="AX2389" t="str">
        <f>"E000319715"</f>
        <v>E000319715</v>
      </c>
      <c r="BD2389" t="str">
        <f>"ערן שלו"</f>
        <v>ערן שלו</v>
      </c>
    </row>
    <row r="2390" spans="1:56" x14ac:dyDescent="0.3">
      <c r="A2390" s="1">
        <v>44403</v>
      </c>
      <c r="B2390" t="str">
        <f>"SI216001067"</f>
        <v>SI216001067</v>
      </c>
      <c r="C2390" t="str">
        <f>"PR20000878"</f>
        <v>PR20000878</v>
      </c>
      <c r="E2390" t="str">
        <f>"Y"</f>
        <v>Y</v>
      </c>
      <c r="F2390" t="str">
        <f>"חשבוניות מרכזות"</f>
        <v>חשבוניות מרכזות</v>
      </c>
      <c r="G2390" t="str">
        <f>"700065"</f>
        <v>700065</v>
      </c>
      <c r="H2390" t="str">
        <f>"אלתא מערכות בע""מ"</f>
        <v>אלתא מערכות בע"מ</v>
      </c>
      <c r="I2390" t="str">
        <f>"10"</f>
        <v>10</v>
      </c>
      <c r="J2390" t="str">
        <f>"PS0400063"</f>
        <v>PS0400063</v>
      </c>
      <c r="K2390" t="str">
        <f>"TSI-EPC-48V-230Vac-Module MEDIA ( Stainless)"</f>
        <v>TSI-EPC-48V-230Vac-Module MEDIA ( Stainless)</v>
      </c>
      <c r="L2390">
        <v>1</v>
      </c>
      <c r="M2390" t="str">
        <f>"יח"</f>
        <v>יח</v>
      </c>
      <c r="N2390">
        <v>1</v>
      </c>
      <c r="O2390" t="str">
        <f>"יח"</f>
        <v>יח</v>
      </c>
      <c r="P2390" s="2">
        <v>3350</v>
      </c>
      <c r="Q2390" t="str">
        <f>"$"</f>
        <v>$</v>
      </c>
      <c r="R2390" t="str">
        <f>"הזמנה"</f>
        <v>הזמנה</v>
      </c>
      <c r="S2390">
        <v>0</v>
      </c>
      <c r="T2390" s="2">
        <v>3350</v>
      </c>
      <c r="U2390">
        <v>0</v>
      </c>
      <c r="V2390" s="2">
        <v>3350</v>
      </c>
      <c r="W2390" t="str">
        <f>"$"</f>
        <v>$</v>
      </c>
      <c r="X2390">
        <v>0</v>
      </c>
      <c r="Y2390">
        <v>0</v>
      </c>
      <c r="Z2390">
        <v>0</v>
      </c>
      <c r="AA2390" t="str">
        <f>"Y"</f>
        <v>Y</v>
      </c>
      <c r="AB2390" t="str">
        <f>"SO21000183"</f>
        <v>SO21000183</v>
      </c>
      <c r="AC2390">
        <v>1</v>
      </c>
      <c r="AD2390" s="1">
        <v>44307</v>
      </c>
      <c r="AE2390" t="str">
        <f>"SH21001275"</f>
        <v>SH21001275</v>
      </c>
      <c r="AF2390" t="str">
        <f>"משלוחים ללקוח"</f>
        <v>משלוחים ללקוח</v>
      </c>
      <c r="AG2390" s="1">
        <v>44402</v>
      </c>
      <c r="AM2390" t="str">
        <f>"10"</f>
        <v>10</v>
      </c>
      <c r="AN2390" t="str">
        <f>"500000"</f>
        <v>500000</v>
      </c>
      <c r="AO2390" t="str">
        <f>"הכנסות  מלקוחות"</f>
        <v>הכנסות  מלקוחות</v>
      </c>
      <c r="AQ2390" t="str">
        <f>"034"</f>
        <v>034</v>
      </c>
      <c r="AR2390">
        <v>0</v>
      </c>
      <c r="AS2390">
        <v>0</v>
      </c>
      <c r="AT2390">
        <v>3.2639999999999998</v>
      </c>
      <c r="AX2390" t="str">
        <f>"E000336844"</f>
        <v>E000336844</v>
      </c>
      <c r="BD2390" t="str">
        <f>"ערן שלו"</f>
        <v>ערן שלו</v>
      </c>
    </row>
    <row r="2391" spans="1:56" x14ac:dyDescent="0.3">
      <c r="A2391" s="1">
        <v>44403</v>
      </c>
      <c r="B2391" t="str">
        <f>"SI216001067"</f>
        <v>SI216001067</v>
      </c>
      <c r="C2391" t="str">
        <f>"PR20000878"</f>
        <v>PR20000878</v>
      </c>
      <c r="E2391" t="str">
        <f>"Y"</f>
        <v>Y</v>
      </c>
      <c r="F2391" t="str">
        <f>"חשבוניות מרכזות"</f>
        <v>חשבוניות מרכזות</v>
      </c>
      <c r="G2391" t="str">
        <f>"700065"</f>
        <v>700065</v>
      </c>
      <c r="H2391" t="str">
        <f>"אלתא מערכות בע""מ"</f>
        <v>אלתא מערכות בע"מ</v>
      </c>
      <c r="I2391" t="str">
        <f>"10"</f>
        <v>10</v>
      </c>
      <c r="J2391" t="str">
        <f>"PS0400063"</f>
        <v>PS0400063</v>
      </c>
      <c r="K2391" t="str">
        <f>"TSI-EPC-48V-230Vac-Module MEDIA ( Stainless)"</f>
        <v>TSI-EPC-48V-230Vac-Module MEDIA ( Stainless)</v>
      </c>
      <c r="L2391">
        <v>1</v>
      </c>
      <c r="M2391" t="str">
        <f>"יח"</f>
        <v>יח</v>
      </c>
      <c r="N2391">
        <v>1</v>
      </c>
      <c r="O2391" t="str">
        <f>"יח"</f>
        <v>יח</v>
      </c>
      <c r="P2391" s="2">
        <v>3350</v>
      </c>
      <c r="Q2391" t="str">
        <f>"$"</f>
        <v>$</v>
      </c>
      <c r="R2391" t="str">
        <f>"הזמנה"</f>
        <v>הזמנה</v>
      </c>
      <c r="S2391">
        <v>0</v>
      </c>
      <c r="T2391" s="2">
        <v>3350</v>
      </c>
      <c r="U2391">
        <v>0</v>
      </c>
      <c r="V2391" s="2">
        <v>3350</v>
      </c>
      <c r="W2391" t="str">
        <f>"$"</f>
        <v>$</v>
      </c>
      <c r="X2391">
        <v>0</v>
      </c>
      <c r="Y2391">
        <v>0</v>
      </c>
      <c r="Z2391">
        <v>0</v>
      </c>
      <c r="AA2391" t="str">
        <f>"Y"</f>
        <v>Y</v>
      </c>
      <c r="AB2391" t="str">
        <f>"SO21000183"</f>
        <v>SO21000183</v>
      </c>
      <c r="AC2391">
        <v>2</v>
      </c>
      <c r="AD2391" s="1">
        <v>44307</v>
      </c>
      <c r="AE2391" t="str">
        <f>"SH21001275"</f>
        <v>SH21001275</v>
      </c>
      <c r="AF2391" t="str">
        <f>"משלוחים ללקוח"</f>
        <v>משלוחים ללקוח</v>
      </c>
      <c r="AG2391" s="1">
        <v>44402</v>
      </c>
      <c r="AM2391" t="str">
        <f>"10"</f>
        <v>10</v>
      </c>
      <c r="AN2391" t="str">
        <f>"500000"</f>
        <v>500000</v>
      </c>
      <c r="AO2391" t="str">
        <f>"הכנסות  מלקוחות"</f>
        <v>הכנסות  מלקוחות</v>
      </c>
      <c r="AQ2391" t="str">
        <f>"034"</f>
        <v>034</v>
      </c>
      <c r="AR2391">
        <v>0</v>
      </c>
      <c r="AS2391">
        <v>0</v>
      </c>
      <c r="AT2391">
        <v>3.2639999999999998</v>
      </c>
      <c r="AX2391" t="str">
        <f>"E000336844"</f>
        <v>E000336844</v>
      </c>
      <c r="BD2391" t="str">
        <f>"ערן שלו"</f>
        <v>ערן שלו</v>
      </c>
    </row>
    <row r="2392" spans="1:56" x14ac:dyDescent="0.3">
      <c r="A2392" s="1">
        <v>44403</v>
      </c>
      <c r="B2392" t="str">
        <f>"SI216001067"</f>
        <v>SI216001067</v>
      </c>
      <c r="C2392" t="str">
        <f>"PR20000878"</f>
        <v>PR20000878</v>
      </c>
      <c r="E2392" t="str">
        <f>"Y"</f>
        <v>Y</v>
      </c>
      <c r="F2392" t="str">
        <f>"חשבוניות מרכזות"</f>
        <v>חשבוניות מרכזות</v>
      </c>
      <c r="G2392" t="str">
        <f>"700065"</f>
        <v>700065</v>
      </c>
      <c r="H2392" t="str">
        <f>"אלתא מערכות בע""מ"</f>
        <v>אלתא מערכות בע"מ</v>
      </c>
      <c r="I2392" t="str">
        <f>"10"</f>
        <v>10</v>
      </c>
      <c r="J2392" t="str">
        <f>"PS0400063"</f>
        <v>PS0400063</v>
      </c>
      <c r="K2392" t="str">
        <f>"TSI-EPC-48V-230Vac-Module MEDIA ( Stainless)"</f>
        <v>TSI-EPC-48V-230Vac-Module MEDIA ( Stainless)</v>
      </c>
      <c r="L2392">
        <v>1</v>
      </c>
      <c r="M2392" t="str">
        <f>"יח"</f>
        <v>יח</v>
      </c>
      <c r="N2392">
        <v>1</v>
      </c>
      <c r="O2392" t="str">
        <f>"יח"</f>
        <v>יח</v>
      </c>
      <c r="P2392" s="2">
        <v>3350</v>
      </c>
      <c r="Q2392" t="str">
        <f>"$"</f>
        <v>$</v>
      </c>
      <c r="R2392" t="str">
        <f>"הזמנה"</f>
        <v>הזמנה</v>
      </c>
      <c r="S2392">
        <v>0</v>
      </c>
      <c r="T2392" s="2">
        <v>3350</v>
      </c>
      <c r="U2392">
        <v>0</v>
      </c>
      <c r="V2392" s="2">
        <v>3350</v>
      </c>
      <c r="W2392" t="str">
        <f>"$"</f>
        <v>$</v>
      </c>
      <c r="X2392">
        <v>0</v>
      </c>
      <c r="Y2392">
        <v>0</v>
      </c>
      <c r="Z2392">
        <v>0</v>
      </c>
      <c r="AA2392" t="str">
        <f>"Y"</f>
        <v>Y</v>
      </c>
      <c r="AB2392" t="str">
        <f>"SO21000183"</f>
        <v>SO21000183</v>
      </c>
      <c r="AC2392">
        <v>3</v>
      </c>
      <c r="AD2392" s="1">
        <v>44307</v>
      </c>
      <c r="AE2392" t="str">
        <f>"SH21001275"</f>
        <v>SH21001275</v>
      </c>
      <c r="AF2392" t="str">
        <f>"משלוחים ללקוח"</f>
        <v>משלוחים ללקוח</v>
      </c>
      <c r="AG2392" s="1">
        <v>44402</v>
      </c>
      <c r="AM2392" t="str">
        <f>"10"</f>
        <v>10</v>
      </c>
      <c r="AN2392" t="str">
        <f>"500000"</f>
        <v>500000</v>
      </c>
      <c r="AO2392" t="str">
        <f>"הכנסות  מלקוחות"</f>
        <v>הכנסות  מלקוחות</v>
      </c>
      <c r="AQ2392" t="str">
        <f>"034"</f>
        <v>034</v>
      </c>
      <c r="AR2392">
        <v>0</v>
      </c>
      <c r="AS2392">
        <v>0</v>
      </c>
      <c r="AT2392">
        <v>3.2639999999999998</v>
      </c>
      <c r="AX2392" t="str">
        <f>"E000336844"</f>
        <v>E000336844</v>
      </c>
      <c r="BD2392" t="str">
        <f>"ערן שלו"</f>
        <v>ערן שלו</v>
      </c>
    </row>
    <row r="2393" spans="1:56" x14ac:dyDescent="0.3">
      <c r="A2393" s="1">
        <v>44395</v>
      </c>
      <c r="B2393" t="str">
        <f>"SI216001038"</f>
        <v>SI216001038</v>
      </c>
      <c r="C2393" t="str">
        <f>"PR20000754"</f>
        <v>PR20000754</v>
      </c>
      <c r="E2393" t="str">
        <f>"Y"</f>
        <v>Y</v>
      </c>
      <c r="F2393" t="str">
        <f>"חשבוניות מרכזות"</f>
        <v>חשבוניות מרכזות</v>
      </c>
      <c r="G2393" t="str">
        <f>"700065"</f>
        <v>700065</v>
      </c>
      <c r="H2393" t="str">
        <f>"אלתא מערכות בע""מ"</f>
        <v>אלתא מערכות בע"מ</v>
      </c>
      <c r="I2393" t="str">
        <f>"10"</f>
        <v>10</v>
      </c>
      <c r="J2393" t="str">
        <f>"cust000616"</f>
        <v>cust000616</v>
      </c>
      <c r="K2393" t="str">
        <f>"רתמה REV;A 1036N631-001 אלתא"</f>
        <v>רתמה REV;A 1036N631-001 אלתא</v>
      </c>
      <c r="L2393">
        <v>1</v>
      </c>
      <c r="M2393" t="str">
        <f>"יח"</f>
        <v>יח</v>
      </c>
      <c r="N2393">
        <v>1</v>
      </c>
      <c r="O2393" t="str">
        <f>"יח"</f>
        <v>יח</v>
      </c>
      <c r="P2393">
        <v>655</v>
      </c>
      <c r="Q2393" t="str">
        <f>"$"</f>
        <v>$</v>
      </c>
      <c r="R2393" t="str">
        <f>"הזמנה"</f>
        <v>הזמנה</v>
      </c>
      <c r="S2393">
        <v>0</v>
      </c>
      <c r="T2393">
        <v>655</v>
      </c>
      <c r="U2393">
        <v>0</v>
      </c>
      <c r="V2393">
        <v>655</v>
      </c>
      <c r="W2393" t="str">
        <f>"$"</f>
        <v>$</v>
      </c>
      <c r="X2393">
        <v>0</v>
      </c>
      <c r="Y2393">
        <v>0</v>
      </c>
      <c r="Z2393">
        <v>0</v>
      </c>
      <c r="AA2393" t="str">
        <f>"Y"</f>
        <v>Y</v>
      </c>
      <c r="AB2393" t="str">
        <f>"SO20000483"</f>
        <v>SO20000483</v>
      </c>
      <c r="AC2393">
        <v>1</v>
      </c>
      <c r="AD2393" s="1">
        <v>44130</v>
      </c>
      <c r="AE2393" t="str">
        <f>"SH21001237"</f>
        <v>SH21001237</v>
      </c>
      <c r="AF2393" t="str">
        <f>"משלוחים ללקוח"</f>
        <v>משלוחים ללקוח</v>
      </c>
      <c r="AG2393" s="1">
        <v>44395</v>
      </c>
      <c r="AM2393" t="str">
        <f>"10"</f>
        <v>10</v>
      </c>
      <c r="AN2393" t="str">
        <f>"500000"</f>
        <v>500000</v>
      </c>
      <c r="AO2393" t="str">
        <f>"הכנסות  מלקוחות"</f>
        <v>הכנסות  מלקוחות</v>
      </c>
      <c r="AQ2393" t="str">
        <f>"034"</f>
        <v>034</v>
      </c>
      <c r="AR2393">
        <v>0</v>
      </c>
      <c r="AS2393">
        <v>0</v>
      </c>
      <c r="AT2393">
        <v>3.2810000000000001</v>
      </c>
      <c r="AX2393" t="str">
        <f>"E000324361"</f>
        <v>E000324361</v>
      </c>
      <c r="BD2393" t="str">
        <f>"ערן שלו"</f>
        <v>ערן שלו</v>
      </c>
    </row>
    <row r="2394" spans="1:56" x14ac:dyDescent="0.3">
      <c r="A2394" s="1">
        <v>44392</v>
      </c>
      <c r="B2394" t="str">
        <f>"SI216001042"</f>
        <v>SI216001042</v>
      </c>
      <c r="C2394" t="str">
        <f>"PR21000124"</f>
        <v>PR21000124</v>
      </c>
      <c r="E2394" t="str">
        <f>"Y"</f>
        <v>Y</v>
      </c>
      <c r="F2394" t="str">
        <f>"חשבוניות מרכזות"</f>
        <v>חשבוניות מרכזות</v>
      </c>
      <c r="G2394" t="str">
        <f>"700065"</f>
        <v>700065</v>
      </c>
      <c r="H2394" t="str">
        <f>"אלתא מערכות בע""מ"</f>
        <v>אלתא מערכות בע"מ</v>
      </c>
      <c r="I2394" t="str">
        <f>"10"</f>
        <v>10</v>
      </c>
      <c r="J2394" t="str">
        <f>"OP-AR02258"</f>
        <v>OP-AR02258</v>
      </c>
      <c r="K2394" t="str">
        <f>"1038H392-001   TEST LAB CABLE"</f>
        <v>1038H392-001   TEST LAB CABLE</v>
      </c>
      <c r="L2394">
        <v>1</v>
      </c>
      <c r="M2394" t="str">
        <f>"יח"</f>
        <v>יח</v>
      </c>
      <c r="N2394">
        <v>1</v>
      </c>
      <c r="O2394" t="str">
        <f>"יח"</f>
        <v>יח</v>
      </c>
      <c r="P2394">
        <v>902.2</v>
      </c>
      <c r="Q2394" t="str">
        <f>"$"</f>
        <v>$</v>
      </c>
      <c r="R2394" t="str">
        <f>"הזמנה"</f>
        <v>הזמנה</v>
      </c>
      <c r="S2394">
        <v>0</v>
      </c>
      <c r="T2394">
        <v>902.2</v>
      </c>
      <c r="U2394">
        <v>0</v>
      </c>
      <c r="V2394">
        <v>902.2</v>
      </c>
      <c r="W2394" t="str">
        <f>"$"</f>
        <v>$</v>
      </c>
      <c r="X2394">
        <v>0</v>
      </c>
      <c r="Y2394">
        <v>0</v>
      </c>
      <c r="Z2394">
        <v>0</v>
      </c>
      <c r="AA2394" t="str">
        <f>"Y"</f>
        <v>Y</v>
      </c>
      <c r="AB2394" t="str">
        <f>"SO21000069"</f>
        <v>SO21000069</v>
      </c>
      <c r="AC2394">
        <v>1</v>
      </c>
      <c r="AD2394" s="1">
        <v>44236</v>
      </c>
      <c r="AE2394" t="str">
        <f>"SH21001221"</f>
        <v>SH21001221</v>
      </c>
      <c r="AF2394" t="str">
        <f>"משלוחים ללקוח"</f>
        <v>משלוחים ללקוח</v>
      </c>
      <c r="AG2394" s="1">
        <v>44391</v>
      </c>
      <c r="AM2394" t="str">
        <f>"10"</f>
        <v>10</v>
      </c>
      <c r="AN2394" t="str">
        <f>"500000"</f>
        <v>500000</v>
      </c>
      <c r="AO2394" t="str">
        <f>"הכנסות  מלקוחות"</f>
        <v>הכנסות  מלקוחות</v>
      </c>
      <c r="AQ2394" t="str">
        <f>"034"</f>
        <v>034</v>
      </c>
      <c r="AR2394">
        <v>0</v>
      </c>
      <c r="AS2394">
        <v>0</v>
      </c>
      <c r="AT2394">
        <v>3.278</v>
      </c>
      <c r="AX2394" t="str">
        <f>"E000331632"</f>
        <v>E000331632</v>
      </c>
      <c r="BD2394" t="str">
        <f>"ערן שלו"</f>
        <v>ערן שלו</v>
      </c>
    </row>
    <row r="2395" spans="1:56" x14ac:dyDescent="0.3">
      <c r="A2395" s="1">
        <v>44392</v>
      </c>
      <c r="B2395" t="str">
        <f>"SI216001041"</f>
        <v>SI216001041</v>
      </c>
      <c r="C2395" t="str">
        <f>"PR20000851"</f>
        <v>PR20000851</v>
      </c>
      <c r="D2395" t="str">
        <f>"PR20000851"</f>
        <v>PR20000851</v>
      </c>
      <c r="E2395" t="str">
        <f>"Y"</f>
        <v>Y</v>
      </c>
      <c r="F2395" t="str">
        <f>"חשבוניות מרכזות"</f>
        <v>חשבוניות מרכזות</v>
      </c>
      <c r="G2395" t="str">
        <f>"700065"</f>
        <v>700065</v>
      </c>
      <c r="H2395" t="str">
        <f>"אלתא מערכות בע""מ"</f>
        <v>אלתא מערכות בע"מ</v>
      </c>
      <c r="I2395" t="str">
        <f>"10"</f>
        <v>10</v>
      </c>
      <c r="J2395" t="str">
        <f>"OP-AR02170"</f>
        <v>OP-AR02170</v>
      </c>
      <c r="K2395" t="str">
        <f>"1039H826-001/-   HARNESS WY026 - PDU TO MAST EXT"</f>
        <v>1039H826-001/-   HARNESS WY026 - PDU TO MAST EXT</v>
      </c>
      <c r="L2395">
        <v>4</v>
      </c>
      <c r="M2395" t="str">
        <f>"יח"</f>
        <v>יח</v>
      </c>
      <c r="N2395">
        <v>4</v>
      </c>
      <c r="O2395" t="str">
        <f>"יח"</f>
        <v>יח</v>
      </c>
      <c r="P2395">
        <v>391.28</v>
      </c>
      <c r="Q2395" t="str">
        <f>"$"</f>
        <v>$</v>
      </c>
      <c r="R2395" t="str">
        <f>"הזמנה"</f>
        <v>הזמנה</v>
      </c>
      <c r="S2395">
        <v>0</v>
      </c>
      <c r="T2395" s="2">
        <v>1565.12</v>
      </c>
      <c r="U2395">
        <v>0</v>
      </c>
      <c r="V2395" s="2">
        <v>1565.12</v>
      </c>
      <c r="W2395" t="str">
        <f>"$"</f>
        <v>$</v>
      </c>
      <c r="X2395">
        <v>0</v>
      </c>
      <c r="Y2395">
        <v>0</v>
      </c>
      <c r="Z2395">
        <v>0</v>
      </c>
      <c r="AA2395" t="str">
        <f>"Y"</f>
        <v>Y</v>
      </c>
      <c r="AB2395" t="str">
        <f>"SO20000555"</f>
        <v>SO20000555</v>
      </c>
      <c r="AC2395">
        <v>17</v>
      </c>
      <c r="AD2395" s="1">
        <v>44166</v>
      </c>
      <c r="AE2395" t="str">
        <f>"SH21001226"</f>
        <v>SH21001226</v>
      </c>
      <c r="AF2395" t="str">
        <f>"משלוחים ללקוח"</f>
        <v>משלוחים ללקוח</v>
      </c>
      <c r="AG2395" s="1">
        <v>44392</v>
      </c>
      <c r="AM2395" t="str">
        <f>"10"</f>
        <v>10</v>
      </c>
      <c r="AN2395" t="str">
        <f>"500000"</f>
        <v>500000</v>
      </c>
      <c r="AO2395" t="str">
        <f>"הכנסות  מלקוחות"</f>
        <v>הכנסות  מלקוחות</v>
      </c>
      <c r="AQ2395" t="str">
        <f>"034"</f>
        <v>034</v>
      </c>
      <c r="AR2395">
        <v>0</v>
      </c>
      <c r="AS2395">
        <v>0</v>
      </c>
      <c r="AT2395">
        <v>3.278</v>
      </c>
      <c r="AX2395" t="str">
        <f>"E000326481"</f>
        <v>E000326481</v>
      </c>
      <c r="BD2395" t="str">
        <f>"ערן שלו"</f>
        <v>ערן שלו</v>
      </c>
    </row>
    <row r="2396" spans="1:56" x14ac:dyDescent="0.3">
      <c r="A2396" s="1">
        <v>44392</v>
      </c>
      <c r="B2396" t="str">
        <f>"SI216001040"</f>
        <v>SI216001040</v>
      </c>
      <c r="C2396" t="str">
        <f>"PR20000622"</f>
        <v>PR20000622</v>
      </c>
      <c r="D2396" t="str">
        <f>"PR20000622"</f>
        <v>PR20000622</v>
      </c>
      <c r="E2396" t="str">
        <f>"Y"</f>
        <v>Y</v>
      </c>
      <c r="F2396" t="str">
        <f>"חשבוניות מרכזות"</f>
        <v>חשבוניות מרכזות</v>
      </c>
      <c r="G2396" t="str">
        <f>"700065"</f>
        <v>700065</v>
      </c>
      <c r="H2396" t="str">
        <f>"אלתא מערכות בע""מ"</f>
        <v>אלתא מערכות בע"מ</v>
      </c>
      <c r="I2396" t="str">
        <f>"10"</f>
        <v>10</v>
      </c>
      <c r="J2396" t="str">
        <f>"OP-AR02016"</f>
        <v>OP-AR02016</v>
      </c>
      <c r="K2396" t="str">
        <f>"1096B462-001  DC HARNESS"</f>
        <v>1096B462-001  DC HARNESS</v>
      </c>
      <c r="L2396">
        <v>6</v>
      </c>
      <c r="M2396" t="str">
        <f>"יח"</f>
        <v>יח</v>
      </c>
      <c r="N2396">
        <v>6</v>
      </c>
      <c r="O2396" t="str">
        <f>"יח"</f>
        <v>יח</v>
      </c>
      <c r="P2396" s="2">
        <v>1175.45</v>
      </c>
      <c r="Q2396" t="str">
        <f>"$"</f>
        <v>$</v>
      </c>
      <c r="R2396" t="str">
        <f>"הזמנה"</f>
        <v>הזמנה</v>
      </c>
      <c r="S2396">
        <v>0</v>
      </c>
      <c r="T2396" s="2">
        <v>7052.7</v>
      </c>
      <c r="U2396">
        <v>0</v>
      </c>
      <c r="V2396" s="2">
        <v>7052.7</v>
      </c>
      <c r="W2396" t="str">
        <f>"$"</f>
        <v>$</v>
      </c>
      <c r="X2396">
        <v>0</v>
      </c>
      <c r="Y2396">
        <v>0</v>
      </c>
      <c r="Z2396">
        <v>0</v>
      </c>
      <c r="AA2396" t="str">
        <f>"Y"</f>
        <v>Y</v>
      </c>
      <c r="AB2396" t="str">
        <f>"SO20000414"</f>
        <v>SO20000414</v>
      </c>
      <c r="AC2396">
        <v>2</v>
      </c>
      <c r="AD2396" s="1">
        <v>44082</v>
      </c>
      <c r="AE2396" t="str">
        <f>"SH21001222"</f>
        <v>SH21001222</v>
      </c>
      <c r="AF2396" t="str">
        <f>"משלוחים ללקוח"</f>
        <v>משלוחים ללקוח</v>
      </c>
      <c r="AG2396" s="1">
        <v>44391</v>
      </c>
      <c r="AM2396" t="str">
        <f>"10"</f>
        <v>10</v>
      </c>
      <c r="AN2396" t="str">
        <f>"500000"</f>
        <v>500000</v>
      </c>
      <c r="AO2396" t="str">
        <f>"הכנסות  מלקוחות"</f>
        <v>הכנסות  מלקוחות</v>
      </c>
      <c r="AQ2396" t="str">
        <f>"034"</f>
        <v>034</v>
      </c>
      <c r="AR2396">
        <v>0</v>
      </c>
      <c r="AS2396">
        <v>0</v>
      </c>
      <c r="AT2396">
        <v>3.278</v>
      </c>
      <c r="AX2396" t="str">
        <f>"E000319937"</f>
        <v>E000319937</v>
      </c>
      <c r="BD2396" t="str">
        <f>"ערן שלו"</f>
        <v>ערן שלו</v>
      </c>
    </row>
    <row r="2397" spans="1:56" x14ac:dyDescent="0.3">
      <c r="A2397" s="1">
        <v>44392</v>
      </c>
      <c r="B2397" t="str">
        <f>"SI216001039"</f>
        <v>SI216001039</v>
      </c>
      <c r="C2397" t="str">
        <f>"PR20000851"</f>
        <v>PR20000851</v>
      </c>
      <c r="D2397" t="str">
        <f>"PR20000851"</f>
        <v>PR20000851</v>
      </c>
      <c r="E2397" t="str">
        <f>"Y"</f>
        <v>Y</v>
      </c>
      <c r="F2397" t="str">
        <f>"חשבוניות מרכזות"</f>
        <v>חשבוניות מרכזות</v>
      </c>
      <c r="G2397" t="str">
        <f>"700065"</f>
        <v>700065</v>
      </c>
      <c r="H2397" t="str">
        <f>"אלתא מערכות בע""מ"</f>
        <v>אלתא מערכות בע"מ</v>
      </c>
      <c r="I2397" t="str">
        <f>"10"</f>
        <v>10</v>
      </c>
      <c r="J2397" t="str">
        <f>"OP-AR02173"</f>
        <v>OP-AR02173</v>
      </c>
      <c r="K2397" t="str">
        <f>"1039H831-001/-   HARNESS WY031 - PDU TO TRA1 EXT"</f>
        <v>1039H831-001/-   HARNESS WY031 - PDU TO TRA1 EXT</v>
      </c>
      <c r="L2397">
        <v>4</v>
      </c>
      <c r="M2397" t="str">
        <f>"יח"</f>
        <v>יח</v>
      </c>
      <c r="N2397">
        <v>4</v>
      </c>
      <c r="O2397" t="str">
        <f>"יח"</f>
        <v>יח</v>
      </c>
      <c r="P2397" s="2">
        <v>1350.76</v>
      </c>
      <c r="Q2397" t="str">
        <f>"$"</f>
        <v>$</v>
      </c>
      <c r="R2397" t="str">
        <f>"הזמנה"</f>
        <v>הזמנה</v>
      </c>
      <c r="S2397">
        <v>0</v>
      </c>
      <c r="T2397" s="2">
        <v>5403.04</v>
      </c>
      <c r="U2397">
        <v>0</v>
      </c>
      <c r="V2397" s="2">
        <v>5403.04</v>
      </c>
      <c r="W2397" t="str">
        <f>"$"</f>
        <v>$</v>
      </c>
      <c r="X2397">
        <v>0</v>
      </c>
      <c r="Y2397">
        <v>0</v>
      </c>
      <c r="Z2397">
        <v>0</v>
      </c>
      <c r="AA2397" t="str">
        <f>"Y"</f>
        <v>Y</v>
      </c>
      <c r="AB2397" t="str">
        <f>"SO20000555"</f>
        <v>SO20000555</v>
      </c>
      <c r="AC2397">
        <v>20</v>
      </c>
      <c r="AD2397" s="1">
        <v>44166</v>
      </c>
      <c r="AE2397" t="str">
        <f>"SH21001220"</f>
        <v>SH21001220</v>
      </c>
      <c r="AF2397" t="str">
        <f>"משלוחים ללקוח"</f>
        <v>משלוחים ללקוח</v>
      </c>
      <c r="AG2397" s="1">
        <v>44391</v>
      </c>
      <c r="AM2397" t="str">
        <f>"10"</f>
        <v>10</v>
      </c>
      <c r="AN2397" t="str">
        <f>"500000"</f>
        <v>500000</v>
      </c>
      <c r="AO2397" t="str">
        <f>"הכנסות  מלקוחות"</f>
        <v>הכנסות  מלקוחות</v>
      </c>
      <c r="AQ2397" t="str">
        <f>"034"</f>
        <v>034</v>
      </c>
      <c r="AR2397">
        <v>0</v>
      </c>
      <c r="AS2397">
        <v>0</v>
      </c>
      <c r="AT2397">
        <v>3.278</v>
      </c>
      <c r="AX2397" t="str">
        <f>"E000326481"</f>
        <v>E000326481</v>
      </c>
      <c r="BD2397" t="str">
        <f>"ערן שלו"</f>
        <v>ערן שלו</v>
      </c>
    </row>
    <row r="2398" spans="1:56" x14ac:dyDescent="0.3">
      <c r="A2398" s="1">
        <v>44392</v>
      </c>
      <c r="B2398" t="str">
        <f>"SI216001039"</f>
        <v>SI216001039</v>
      </c>
      <c r="C2398" t="str">
        <f>"PR20000851"</f>
        <v>PR20000851</v>
      </c>
      <c r="D2398" t="str">
        <f>"PR20000851"</f>
        <v>PR20000851</v>
      </c>
      <c r="E2398" t="str">
        <f>"Y"</f>
        <v>Y</v>
      </c>
      <c r="F2398" t="str">
        <f>"חשבוניות מרכזות"</f>
        <v>חשבוניות מרכזות</v>
      </c>
      <c r="G2398" t="str">
        <f>"700065"</f>
        <v>700065</v>
      </c>
      <c r="H2398" t="str">
        <f>"אלתא מערכות בע""מ"</f>
        <v>אלתא מערכות בע"מ</v>
      </c>
      <c r="I2398" t="str">
        <f>"10"</f>
        <v>10</v>
      </c>
      <c r="J2398" t="str">
        <f>"OP-AR02188"</f>
        <v>OP-AR02188</v>
      </c>
      <c r="K2398" t="str">
        <f>"1039H862-001/-   HARNESS WY062 - CU TO TRA2 AND"</f>
        <v>1039H862-001/-   HARNESS WY062 - CU TO TRA2 AND</v>
      </c>
      <c r="L2398">
        <v>3</v>
      </c>
      <c r="M2398" t="str">
        <f>"יח"</f>
        <v>יח</v>
      </c>
      <c r="N2398">
        <v>3</v>
      </c>
      <c r="O2398" t="str">
        <f>"יח"</f>
        <v>יח</v>
      </c>
      <c r="P2398" s="2">
        <v>1110.94</v>
      </c>
      <c r="Q2398" t="str">
        <f>"$"</f>
        <v>$</v>
      </c>
      <c r="R2398" t="str">
        <f>"הזמנה"</f>
        <v>הזמנה</v>
      </c>
      <c r="S2398">
        <v>0</v>
      </c>
      <c r="T2398" s="2">
        <v>3332.82</v>
      </c>
      <c r="U2398">
        <v>0</v>
      </c>
      <c r="V2398" s="2">
        <v>3332.82</v>
      </c>
      <c r="W2398" t="str">
        <f>"$"</f>
        <v>$</v>
      </c>
      <c r="X2398">
        <v>0</v>
      </c>
      <c r="Y2398">
        <v>0</v>
      </c>
      <c r="Z2398">
        <v>0</v>
      </c>
      <c r="AA2398" t="str">
        <f>"Y"</f>
        <v>Y</v>
      </c>
      <c r="AB2398" t="str">
        <f>"SO20000555"</f>
        <v>SO20000555</v>
      </c>
      <c r="AC2398">
        <v>35</v>
      </c>
      <c r="AD2398" s="1">
        <v>44166</v>
      </c>
      <c r="AE2398" t="str">
        <f>"SH21001220"</f>
        <v>SH21001220</v>
      </c>
      <c r="AF2398" t="str">
        <f>"משלוחים ללקוח"</f>
        <v>משלוחים ללקוח</v>
      </c>
      <c r="AG2398" s="1">
        <v>44391</v>
      </c>
      <c r="AM2398" t="str">
        <f>"10"</f>
        <v>10</v>
      </c>
      <c r="AN2398" t="str">
        <f>"500000"</f>
        <v>500000</v>
      </c>
      <c r="AO2398" t="str">
        <f>"הכנסות  מלקוחות"</f>
        <v>הכנסות  מלקוחות</v>
      </c>
      <c r="AQ2398" t="str">
        <f>"034"</f>
        <v>034</v>
      </c>
      <c r="AR2398">
        <v>0</v>
      </c>
      <c r="AS2398">
        <v>0</v>
      </c>
      <c r="AT2398">
        <v>3.278</v>
      </c>
      <c r="AX2398" t="str">
        <f>"E000326481"</f>
        <v>E000326481</v>
      </c>
      <c r="BD2398" t="str">
        <f>"ערן שלו"</f>
        <v>ערן שלו</v>
      </c>
    </row>
    <row r="2399" spans="1:56" x14ac:dyDescent="0.3">
      <c r="A2399" s="1">
        <v>44389</v>
      </c>
      <c r="B2399" t="str">
        <f>"SI216001000"</f>
        <v>SI216001000</v>
      </c>
      <c r="C2399" t="str">
        <f>"PR19000753"</f>
        <v>PR19000753</v>
      </c>
      <c r="D2399" t="str">
        <f>"PR19000753"</f>
        <v>PR19000753</v>
      </c>
      <c r="E2399" t="str">
        <f>"Y"</f>
        <v>Y</v>
      </c>
      <c r="F2399" t="str">
        <f>"חשבוניות מרכזות"</f>
        <v>חשבוניות מרכזות</v>
      </c>
      <c r="G2399" t="str">
        <f>"700065"</f>
        <v>700065</v>
      </c>
      <c r="H2399" t="str">
        <f>"אלתא מערכות בע""מ"</f>
        <v>אלתא מערכות בע"מ</v>
      </c>
      <c r="I2399" t="str">
        <f>"10"</f>
        <v>10</v>
      </c>
      <c r="J2399" t="str">
        <f>"000"</f>
        <v>000</v>
      </c>
      <c r="K2399" t="str">
        <f>"פיקוח מהנדס על ביצוע התקנות באתר הלקוח"</f>
        <v>פיקוח מהנדס על ביצוע התקנות באתר הלקוח</v>
      </c>
      <c r="L2399">
        <v>1</v>
      </c>
      <c r="M2399" t="str">
        <f>"יח"</f>
        <v>יח</v>
      </c>
      <c r="N2399">
        <v>1</v>
      </c>
      <c r="O2399" t="str">
        <f>"יח"</f>
        <v>יח</v>
      </c>
      <c r="P2399" s="2">
        <v>11200</v>
      </c>
      <c r="Q2399" t="str">
        <f>"$"</f>
        <v>$</v>
      </c>
      <c r="R2399" t="str">
        <f>"הזמנה"</f>
        <v>הזמנה</v>
      </c>
      <c r="S2399">
        <v>0</v>
      </c>
      <c r="T2399" s="2">
        <v>11200</v>
      </c>
      <c r="U2399">
        <v>0</v>
      </c>
      <c r="V2399" s="2">
        <v>11200</v>
      </c>
      <c r="W2399" t="str">
        <f>"$"</f>
        <v>$</v>
      </c>
      <c r="X2399">
        <v>0</v>
      </c>
      <c r="Y2399">
        <v>0</v>
      </c>
      <c r="Z2399">
        <v>0</v>
      </c>
      <c r="AA2399" t="str">
        <f>"Y"</f>
        <v>Y</v>
      </c>
      <c r="AB2399" t="str">
        <f>"SO19000458"</f>
        <v>SO19000458</v>
      </c>
      <c r="AC2399">
        <v>7</v>
      </c>
      <c r="AD2399" s="1">
        <v>43767</v>
      </c>
      <c r="AM2399" t="str">
        <f>"10"</f>
        <v>10</v>
      </c>
      <c r="AN2399" t="str">
        <f>"500000"</f>
        <v>500000</v>
      </c>
      <c r="AO2399" t="str">
        <f>"הכנסות  מלקוחות"</f>
        <v>הכנסות  מלקוחות</v>
      </c>
      <c r="AQ2399" t="str">
        <f>"034"</f>
        <v>034</v>
      </c>
      <c r="AR2399">
        <v>0</v>
      </c>
      <c r="AS2399">
        <v>0</v>
      </c>
      <c r="AT2399">
        <v>3.278</v>
      </c>
      <c r="AX2399" t="str">
        <f>"E000297273"</f>
        <v>E000297273</v>
      </c>
      <c r="BD2399" t="str">
        <f>"ערן שלו"</f>
        <v>ערן שלו</v>
      </c>
    </row>
    <row r="2400" spans="1:56" x14ac:dyDescent="0.3">
      <c r="A2400" s="1">
        <v>44388</v>
      </c>
      <c r="B2400" t="str">
        <f>"SI216001001"</f>
        <v>SI216001001</v>
      </c>
      <c r="C2400" t="str">
        <f>"PR21000188"</f>
        <v>PR21000188</v>
      </c>
      <c r="E2400" t="str">
        <f>"Y"</f>
        <v>Y</v>
      </c>
      <c r="F2400" t="str">
        <f>"חשבוניות מרכזות"</f>
        <v>חשבוניות מרכזות</v>
      </c>
      <c r="G2400" t="str">
        <f>"700065"</f>
        <v>700065</v>
      </c>
      <c r="H2400" t="str">
        <f>"אלתא מערכות בע""מ"</f>
        <v>אלתא מערכות בע"מ</v>
      </c>
      <c r="I2400" t="str">
        <f>"10"</f>
        <v>10</v>
      </c>
      <c r="J2400" t="str">
        <f>"OP-AR01919"</f>
        <v>OP-AR01919</v>
      </c>
      <c r="K2400" t="str">
        <f>"1013P130-003 CABLE ASSY 1W47"</f>
        <v>1013P130-003 CABLE ASSY 1W47</v>
      </c>
      <c r="L2400">
        <v>4</v>
      </c>
      <c r="M2400" t="str">
        <f>"יח"</f>
        <v>יח</v>
      </c>
      <c r="N2400">
        <v>4</v>
      </c>
      <c r="O2400" t="str">
        <f>"יח"</f>
        <v>יח</v>
      </c>
      <c r="P2400" s="2">
        <v>2303.2800000000002</v>
      </c>
      <c r="Q2400" t="str">
        <f>"$"</f>
        <v>$</v>
      </c>
      <c r="R2400" t="str">
        <f>"הזמנה"</f>
        <v>הזמנה</v>
      </c>
      <c r="S2400">
        <v>0</v>
      </c>
      <c r="T2400" s="2">
        <v>9213.1200000000008</v>
      </c>
      <c r="U2400">
        <v>0</v>
      </c>
      <c r="V2400" s="2">
        <v>9213.1200000000008</v>
      </c>
      <c r="W2400" t="str">
        <f>"$"</f>
        <v>$</v>
      </c>
      <c r="X2400">
        <v>0</v>
      </c>
      <c r="Y2400">
        <v>0</v>
      </c>
      <c r="Z2400">
        <v>0</v>
      </c>
      <c r="AA2400" t="str">
        <f>"Y"</f>
        <v>Y</v>
      </c>
      <c r="AB2400" t="str">
        <f>"SO21000112"</f>
        <v>SO21000112</v>
      </c>
      <c r="AC2400">
        <v>1</v>
      </c>
      <c r="AD2400" s="1">
        <v>44265</v>
      </c>
      <c r="AE2400" t="str">
        <f>"SH21001184"</f>
        <v>SH21001184</v>
      </c>
      <c r="AF2400" t="str">
        <f>"משלוחים ללקוח"</f>
        <v>משלוחים ללקוח</v>
      </c>
      <c r="AG2400" s="1">
        <v>44388</v>
      </c>
      <c r="AM2400" t="str">
        <f>"10"</f>
        <v>10</v>
      </c>
      <c r="AN2400" t="str">
        <f>"500000"</f>
        <v>500000</v>
      </c>
      <c r="AO2400" t="str">
        <f>"הכנסות  מלקוחות"</f>
        <v>הכנסות  מלקוחות</v>
      </c>
      <c r="AQ2400" t="str">
        <f>"040"</f>
        <v>040</v>
      </c>
      <c r="AR2400">
        <v>0</v>
      </c>
      <c r="AS2400">
        <v>0</v>
      </c>
      <c r="AT2400">
        <v>3.278</v>
      </c>
      <c r="AX2400" t="str">
        <f>"E000334761"</f>
        <v>E000334761</v>
      </c>
      <c r="BD2400" t="str">
        <f>"רחמים זרוק"</f>
        <v>רחמים זרוק</v>
      </c>
    </row>
    <row r="2401" spans="1:56" x14ac:dyDescent="0.3">
      <c r="A2401" s="1">
        <v>44384</v>
      </c>
      <c r="B2401" t="str">
        <f>"SI216000988"</f>
        <v>SI216000988</v>
      </c>
      <c r="E2401" t="str">
        <f>"Y"</f>
        <v>Y</v>
      </c>
      <c r="F2401" t="str">
        <f>"חשבוניות מרכזות"</f>
        <v>חשבוניות מרכזות</v>
      </c>
      <c r="G2401" t="str">
        <f>"700065"</f>
        <v>700065</v>
      </c>
      <c r="H2401" t="str">
        <f>"אלתא מערכות בע""מ"</f>
        <v>אלתא מערכות בע"מ</v>
      </c>
      <c r="I2401" t="str">
        <f>"10"</f>
        <v>10</v>
      </c>
      <c r="J2401" t="str">
        <f>"000"</f>
        <v>000</v>
      </c>
      <c r="K2401" t="str">
        <f>"ניסוי חשמל"</f>
        <v>ניסוי חשמל</v>
      </c>
      <c r="L2401">
        <v>1</v>
      </c>
      <c r="M2401" t="str">
        <f>"יח"</f>
        <v>יח</v>
      </c>
      <c r="N2401">
        <v>1</v>
      </c>
      <c r="O2401" t="str">
        <f>"יח"</f>
        <v>יח</v>
      </c>
      <c r="P2401" s="2">
        <v>2300</v>
      </c>
      <c r="Q2401" t="str">
        <f>"$"</f>
        <v>$</v>
      </c>
      <c r="R2401" t="str">
        <f>"הזמנה"</f>
        <v>הזמנה</v>
      </c>
      <c r="S2401">
        <v>0</v>
      </c>
      <c r="T2401" s="2">
        <v>2300</v>
      </c>
      <c r="U2401">
        <v>0</v>
      </c>
      <c r="V2401" s="2">
        <v>2300</v>
      </c>
      <c r="W2401" t="str">
        <f>"$"</f>
        <v>$</v>
      </c>
      <c r="X2401">
        <v>0</v>
      </c>
      <c r="Y2401">
        <v>0</v>
      </c>
      <c r="Z2401">
        <v>0</v>
      </c>
      <c r="AA2401" t="str">
        <f>"Y"</f>
        <v>Y</v>
      </c>
      <c r="AB2401" t="str">
        <f>"SO21000057"</f>
        <v>SO21000057</v>
      </c>
      <c r="AC2401">
        <v>1</v>
      </c>
      <c r="AD2401" s="1">
        <v>44228</v>
      </c>
      <c r="AM2401" t="str">
        <f>"10"</f>
        <v>10</v>
      </c>
      <c r="AN2401" t="str">
        <f>"500000"</f>
        <v>500000</v>
      </c>
      <c r="AO2401" t="str">
        <f>"הכנסות  מלקוחות"</f>
        <v>הכנסות  מלקוחות</v>
      </c>
      <c r="AQ2401" t="str">
        <f>"034"</f>
        <v>034</v>
      </c>
      <c r="AR2401">
        <v>0</v>
      </c>
      <c r="AS2401">
        <v>0</v>
      </c>
      <c r="AT2401">
        <v>3.27</v>
      </c>
      <c r="AX2401" t="str">
        <f>"E000332157"</f>
        <v>E000332157</v>
      </c>
      <c r="BD2401" t="str">
        <f>"ערן שלו"</f>
        <v>ערן שלו</v>
      </c>
    </row>
    <row r="2402" spans="1:56" x14ac:dyDescent="0.3">
      <c r="A2402" s="1">
        <v>44382</v>
      </c>
      <c r="B2402" t="str">
        <f>"SI216000969"</f>
        <v>SI216000969</v>
      </c>
      <c r="C2402" t="str">
        <f>"PR20000033"</f>
        <v>PR20000033</v>
      </c>
      <c r="D2402" t="str">
        <f>"PR20000033"</f>
        <v>PR20000033</v>
      </c>
      <c r="E2402" t="str">
        <f>"Y"</f>
        <v>Y</v>
      </c>
      <c r="F2402" t="str">
        <f>"חשבוניות מרכזות"</f>
        <v>חשבוניות מרכזות</v>
      </c>
      <c r="G2402" t="str">
        <f>"700065"</f>
        <v>700065</v>
      </c>
      <c r="H2402" t="str">
        <f>"אלתא מערכות בע""מ"</f>
        <v>אלתא מערכות בע"מ</v>
      </c>
      <c r="I2402" t="str">
        <f>"10"</f>
        <v>10</v>
      </c>
      <c r="J2402" t="str">
        <f>"000"</f>
        <v>000</v>
      </c>
      <c r="K2402" t="str">
        <f>"התקנה בקרון לפי סעיף 8 במפרט"</f>
        <v>התקנה בקרון לפי סעיף 8 במפרט</v>
      </c>
      <c r="L2402">
        <v>1</v>
      </c>
      <c r="M2402" t="str">
        <f>"יח"</f>
        <v>יח</v>
      </c>
      <c r="N2402">
        <v>1</v>
      </c>
      <c r="O2402" t="str">
        <f>"יח"</f>
        <v>יח</v>
      </c>
      <c r="P2402">
        <v>799</v>
      </c>
      <c r="Q2402" t="str">
        <f>"$"</f>
        <v>$</v>
      </c>
      <c r="R2402" t="str">
        <f>"הזמנה"</f>
        <v>הזמנה</v>
      </c>
      <c r="S2402">
        <v>0</v>
      </c>
      <c r="T2402">
        <v>799</v>
      </c>
      <c r="U2402">
        <v>0</v>
      </c>
      <c r="V2402">
        <v>799</v>
      </c>
      <c r="W2402" t="str">
        <f>"$"</f>
        <v>$</v>
      </c>
      <c r="X2402">
        <v>0</v>
      </c>
      <c r="Y2402">
        <v>0</v>
      </c>
      <c r="Z2402">
        <v>0</v>
      </c>
      <c r="AA2402" t="str">
        <f>"Y"</f>
        <v>Y</v>
      </c>
      <c r="AB2402" t="str">
        <f>"SO20000031"</f>
        <v>SO20000031</v>
      </c>
      <c r="AC2402">
        <v>2</v>
      </c>
      <c r="AD2402" s="1">
        <v>43853</v>
      </c>
      <c r="AM2402" t="str">
        <f>"10"</f>
        <v>10</v>
      </c>
      <c r="AN2402" t="str">
        <f>"500000"</f>
        <v>500000</v>
      </c>
      <c r="AO2402" t="str">
        <f>"הכנסות  מלקוחות"</f>
        <v>הכנסות  מלקוחות</v>
      </c>
      <c r="AQ2402" t="str">
        <f>"034"</f>
        <v>034</v>
      </c>
      <c r="AR2402">
        <v>0</v>
      </c>
      <c r="AS2402">
        <v>0</v>
      </c>
      <c r="AT2402">
        <v>3.2730000000000001</v>
      </c>
      <c r="AX2402" t="str">
        <f>"E000303939"</f>
        <v>E000303939</v>
      </c>
      <c r="BD2402" t="str">
        <f>"ערן שלו"</f>
        <v>ערן שלו</v>
      </c>
    </row>
    <row r="2403" spans="1:56" x14ac:dyDescent="0.3">
      <c r="A2403" s="1">
        <v>44382</v>
      </c>
      <c r="B2403" t="str">
        <f>"SI216000968"</f>
        <v>SI216000968</v>
      </c>
      <c r="C2403" t="str">
        <f>"PR20000033"</f>
        <v>PR20000033</v>
      </c>
      <c r="E2403" t="str">
        <f>"Y"</f>
        <v>Y</v>
      </c>
      <c r="F2403" t="str">
        <f>"חשבוניות מרכזות"</f>
        <v>חשבוניות מרכזות</v>
      </c>
      <c r="G2403" t="str">
        <f>"700065"</f>
        <v>700065</v>
      </c>
      <c r="H2403" t="str">
        <f>"אלתא מערכות בע""מ"</f>
        <v>אלתא מערכות בע"מ</v>
      </c>
      <c r="I2403" t="str">
        <f>"10"</f>
        <v>10</v>
      </c>
      <c r="J2403" t="str">
        <f>"000"</f>
        <v>000</v>
      </c>
      <c r="K2403" t="str">
        <f>"התקנה בקרון לפי סעיף 8 במפרט"</f>
        <v>התקנה בקרון לפי סעיף 8 במפרט</v>
      </c>
      <c r="L2403">
        <v>-1</v>
      </c>
      <c r="M2403" t="str">
        <f>"יח"</f>
        <v>יח</v>
      </c>
      <c r="N2403">
        <v>-1</v>
      </c>
      <c r="O2403" t="str">
        <f>"יח"</f>
        <v>יח</v>
      </c>
      <c r="P2403">
        <v>799</v>
      </c>
      <c r="Q2403" t="str">
        <f>"$"</f>
        <v>$</v>
      </c>
      <c r="R2403" t="str">
        <f>"הזמנה"</f>
        <v>הזמנה</v>
      </c>
      <c r="S2403">
        <v>0</v>
      </c>
      <c r="T2403">
        <v>-799</v>
      </c>
      <c r="U2403">
        <v>0</v>
      </c>
      <c r="V2403">
        <v>-799</v>
      </c>
      <c r="W2403" t="str">
        <f>"$"</f>
        <v>$</v>
      </c>
      <c r="X2403">
        <v>0</v>
      </c>
      <c r="Y2403">
        <v>0</v>
      </c>
      <c r="Z2403">
        <v>0</v>
      </c>
      <c r="AA2403" t="str">
        <f>"Y"</f>
        <v>Y</v>
      </c>
      <c r="AC2403">
        <v>0</v>
      </c>
      <c r="AM2403" t="str">
        <f>"10"</f>
        <v>10</v>
      </c>
      <c r="AN2403" t="str">
        <f>"500000"</f>
        <v>500000</v>
      </c>
      <c r="AO2403" t="str">
        <f>"הכנסות  מלקוחות"</f>
        <v>הכנסות  מלקוחות</v>
      </c>
      <c r="AQ2403" t="str">
        <f>"034"</f>
        <v>034</v>
      </c>
      <c r="AR2403">
        <v>0</v>
      </c>
      <c r="AS2403">
        <v>0</v>
      </c>
      <c r="AT2403">
        <v>3.2730000000000001</v>
      </c>
      <c r="BB2403" t="str">
        <f>"Y"</f>
        <v>Y</v>
      </c>
      <c r="BD2403" t="str">
        <f>"ערן שלו"</f>
        <v>ערן שלו</v>
      </c>
    </row>
    <row r="2404" spans="1:56" x14ac:dyDescent="0.3">
      <c r="A2404" s="1">
        <v>44382</v>
      </c>
      <c r="B2404" t="str">
        <f>"SI216000967"</f>
        <v>SI216000967</v>
      </c>
      <c r="C2404" t="str">
        <f>"PR20000033"</f>
        <v>PR20000033</v>
      </c>
      <c r="E2404" t="str">
        <f>"Y"</f>
        <v>Y</v>
      </c>
      <c r="F2404" t="str">
        <f>"חשבוניות מרכזות"</f>
        <v>חשבוניות מרכזות</v>
      </c>
      <c r="G2404" t="str">
        <f>"700065"</f>
        <v>700065</v>
      </c>
      <c r="H2404" t="str">
        <f>"אלתא מערכות בע""מ"</f>
        <v>אלתא מערכות בע"מ</v>
      </c>
      <c r="I2404" t="str">
        <f>"10"</f>
        <v>10</v>
      </c>
      <c r="J2404" t="str">
        <f>"000"</f>
        <v>000</v>
      </c>
      <c r="K2404" t="str">
        <f>"התקנה בקרון לפי סעיף 8 במפרט"</f>
        <v>התקנה בקרון לפי סעיף 8 במפרט</v>
      </c>
      <c r="L2404">
        <v>1</v>
      </c>
      <c r="M2404" t="str">
        <f>"יח"</f>
        <v>יח</v>
      </c>
      <c r="N2404">
        <v>1</v>
      </c>
      <c r="O2404" t="str">
        <f>"יח"</f>
        <v>יח</v>
      </c>
      <c r="P2404">
        <v>799</v>
      </c>
      <c r="Q2404" t="str">
        <f>"$"</f>
        <v>$</v>
      </c>
      <c r="R2404" t="str">
        <f>"הזמנה"</f>
        <v>הזמנה</v>
      </c>
      <c r="S2404">
        <v>0</v>
      </c>
      <c r="T2404">
        <v>799</v>
      </c>
      <c r="U2404">
        <v>0</v>
      </c>
      <c r="V2404">
        <v>799</v>
      </c>
      <c r="W2404" t="str">
        <f>"$"</f>
        <v>$</v>
      </c>
      <c r="X2404">
        <v>0</v>
      </c>
      <c r="Y2404">
        <v>0</v>
      </c>
      <c r="Z2404">
        <v>0</v>
      </c>
      <c r="AA2404" t="str">
        <f>"Y"</f>
        <v>Y</v>
      </c>
      <c r="AC2404">
        <v>0</v>
      </c>
      <c r="AM2404" t="str">
        <f>"10"</f>
        <v>10</v>
      </c>
      <c r="AN2404" t="str">
        <f>"500000"</f>
        <v>500000</v>
      </c>
      <c r="AO2404" t="str">
        <f>"הכנסות  מלקוחות"</f>
        <v>הכנסות  מלקוחות</v>
      </c>
      <c r="AQ2404" t="str">
        <f>"034"</f>
        <v>034</v>
      </c>
      <c r="AR2404">
        <v>0</v>
      </c>
      <c r="AS2404">
        <v>0</v>
      </c>
      <c r="AT2404">
        <v>3.2730000000000001</v>
      </c>
      <c r="BB2404" t="str">
        <f>"Y"</f>
        <v>Y</v>
      </c>
      <c r="BD2404" t="str">
        <f>"ערן שלו"</f>
        <v>ערן שלו</v>
      </c>
    </row>
    <row r="2405" spans="1:56" x14ac:dyDescent="0.3">
      <c r="A2405" s="1">
        <v>44382</v>
      </c>
      <c r="B2405" t="str">
        <f>"SI216000966"</f>
        <v>SI216000966</v>
      </c>
      <c r="C2405" t="str">
        <f>"PR20000033"</f>
        <v>PR20000033</v>
      </c>
      <c r="D2405" t="str">
        <f>"PR20000033"</f>
        <v>PR20000033</v>
      </c>
      <c r="E2405" t="str">
        <f>"Y"</f>
        <v>Y</v>
      </c>
      <c r="F2405" t="str">
        <f>"חשבוניות מרכזות"</f>
        <v>חשבוניות מרכזות</v>
      </c>
      <c r="G2405" t="str">
        <f>"700065"</f>
        <v>700065</v>
      </c>
      <c r="H2405" t="str">
        <f>"אלתא מערכות בע""מ"</f>
        <v>אלתא מערכות בע"מ</v>
      </c>
      <c r="I2405" t="str">
        <f>"10"</f>
        <v>10</v>
      </c>
      <c r="J2405" t="str">
        <f>"OP-AR01605"</f>
        <v>OP-AR01605</v>
      </c>
      <c r="K2405" t="str">
        <f>"כבל עבור מגירה OP-ML00178"</f>
        <v>כבל עבור מגירה OP-ML00178</v>
      </c>
      <c r="L2405">
        <v>1</v>
      </c>
      <c r="M2405" t="str">
        <f>"יח"</f>
        <v>יח</v>
      </c>
      <c r="N2405">
        <v>1</v>
      </c>
      <c r="O2405" t="str">
        <f>"יח"</f>
        <v>יח</v>
      </c>
      <c r="P2405">
        <v>71.400000000000006</v>
      </c>
      <c r="Q2405" t="str">
        <f>"$"</f>
        <v>$</v>
      </c>
      <c r="R2405" t="str">
        <f>"הזמנה"</f>
        <v>הזמנה</v>
      </c>
      <c r="S2405">
        <v>0</v>
      </c>
      <c r="T2405">
        <v>71.400000000000006</v>
      </c>
      <c r="U2405">
        <v>0</v>
      </c>
      <c r="V2405">
        <v>71.400000000000006</v>
      </c>
      <c r="W2405" t="str">
        <f>"$"</f>
        <v>$</v>
      </c>
      <c r="X2405">
        <v>0</v>
      </c>
      <c r="Y2405">
        <v>0</v>
      </c>
      <c r="Z2405">
        <v>0</v>
      </c>
      <c r="AA2405" t="str">
        <f>"Y"</f>
        <v>Y</v>
      </c>
      <c r="AB2405" t="str">
        <f>"SO20000031"</f>
        <v>SO20000031</v>
      </c>
      <c r="AC2405">
        <v>1</v>
      </c>
      <c r="AD2405" s="1">
        <v>43853</v>
      </c>
      <c r="AM2405" t="str">
        <f>"10"</f>
        <v>10</v>
      </c>
      <c r="AN2405" t="str">
        <f>"500000"</f>
        <v>500000</v>
      </c>
      <c r="AO2405" t="str">
        <f>"הכנסות  מלקוחות"</f>
        <v>הכנסות  מלקוחות</v>
      </c>
      <c r="AQ2405" t="str">
        <f>"034"</f>
        <v>034</v>
      </c>
      <c r="AR2405">
        <v>0</v>
      </c>
      <c r="AS2405">
        <v>0</v>
      </c>
      <c r="AT2405">
        <v>3.2730000000000001</v>
      </c>
      <c r="AX2405" t="str">
        <f>"E000303939"</f>
        <v>E000303939</v>
      </c>
      <c r="BD2405" t="str">
        <f>"ערן שלו"</f>
        <v>ערן שלו</v>
      </c>
    </row>
    <row r="2406" spans="1:56" x14ac:dyDescent="0.3">
      <c r="A2406" s="1">
        <v>44382</v>
      </c>
      <c r="B2406" t="str">
        <f>"SI216000966"</f>
        <v>SI216000966</v>
      </c>
      <c r="C2406" t="str">
        <f>"PR20000033"</f>
        <v>PR20000033</v>
      </c>
      <c r="D2406" t="str">
        <f>"PR20000033"</f>
        <v>PR20000033</v>
      </c>
      <c r="E2406" t="str">
        <f>"Y"</f>
        <v>Y</v>
      </c>
      <c r="F2406" t="str">
        <f>"חשבוניות מרכזות"</f>
        <v>חשבוניות מרכזות</v>
      </c>
      <c r="G2406" t="str">
        <f>"700065"</f>
        <v>700065</v>
      </c>
      <c r="H2406" t="str">
        <f>"אלתא מערכות בע""מ"</f>
        <v>אלתא מערכות בע"מ</v>
      </c>
      <c r="I2406" t="str">
        <f>"10"</f>
        <v>10</v>
      </c>
      <c r="J2406" t="str">
        <f>"000"</f>
        <v>000</v>
      </c>
      <c r="K2406" t="str">
        <f>"NRE"</f>
        <v>NRE</v>
      </c>
      <c r="L2406">
        <v>1</v>
      </c>
      <c r="M2406" t="str">
        <f>"יח"</f>
        <v>יח</v>
      </c>
      <c r="N2406">
        <v>1</v>
      </c>
      <c r="O2406" t="str">
        <f>"יח"</f>
        <v>יח</v>
      </c>
      <c r="P2406" s="2">
        <v>1357.1</v>
      </c>
      <c r="Q2406" t="str">
        <f>"$"</f>
        <v>$</v>
      </c>
      <c r="R2406" t="str">
        <f>"הזמנה"</f>
        <v>הזמנה</v>
      </c>
      <c r="S2406">
        <v>0</v>
      </c>
      <c r="T2406" s="2">
        <v>1357.1</v>
      </c>
      <c r="U2406">
        <v>0</v>
      </c>
      <c r="V2406" s="2">
        <v>1357.1</v>
      </c>
      <c r="W2406" t="str">
        <f>"$"</f>
        <v>$</v>
      </c>
      <c r="X2406">
        <v>0</v>
      </c>
      <c r="Y2406">
        <v>0</v>
      </c>
      <c r="Z2406">
        <v>0</v>
      </c>
      <c r="AA2406" t="str">
        <f>"Y"</f>
        <v>Y</v>
      </c>
      <c r="AB2406" t="str">
        <f>"SO20000031"</f>
        <v>SO20000031</v>
      </c>
      <c r="AC2406">
        <v>3</v>
      </c>
      <c r="AD2406" s="1">
        <v>43853</v>
      </c>
      <c r="AM2406" t="str">
        <f>"10"</f>
        <v>10</v>
      </c>
      <c r="AN2406" t="str">
        <f>"500000"</f>
        <v>500000</v>
      </c>
      <c r="AO2406" t="str">
        <f>"הכנסות  מלקוחות"</f>
        <v>הכנסות  מלקוחות</v>
      </c>
      <c r="AQ2406" t="str">
        <f>"034"</f>
        <v>034</v>
      </c>
      <c r="AR2406">
        <v>0</v>
      </c>
      <c r="AS2406">
        <v>0</v>
      </c>
      <c r="AT2406">
        <v>3.2730000000000001</v>
      </c>
      <c r="AX2406" t="str">
        <f>"E000303939"</f>
        <v>E000303939</v>
      </c>
      <c r="BD2406" t="str">
        <f>"ערן שלו"</f>
        <v>ערן שלו</v>
      </c>
    </row>
    <row r="2407" spans="1:56" x14ac:dyDescent="0.3">
      <c r="A2407" s="1">
        <v>44377</v>
      </c>
      <c r="B2407" t="str">
        <f>"SI216000978"</f>
        <v>SI216000978</v>
      </c>
      <c r="C2407" t="str">
        <f>"PR20000834"</f>
        <v>PR20000834</v>
      </c>
      <c r="D2407" t="str">
        <f>"PR20000834"</f>
        <v>PR20000834</v>
      </c>
      <c r="E2407" t="str">
        <f>"Y"</f>
        <v>Y</v>
      </c>
      <c r="F2407" t="str">
        <f>"חשבוניות מרכזות"</f>
        <v>חשבוניות מרכזות</v>
      </c>
      <c r="G2407" t="str">
        <f>"700065"</f>
        <v>700065</v>
      </c>
      <c r="H2407" t="str">
        <f>"אלתא מערכות בע""מ"</f>
        <v>אלתא מערכות בע"מ</v>
      </c>
      <c r="I2407" t="str">
        <f>"10"</f>
        <v>10</v>
      </c>
      <c r="J2407" t="str">
        <f>"OP-AR02131"</f>
        <v>OP-AR02131</v>
      </c>
      <c r="K2407" t="str">
        <f>"1032F947-001   HARNESS MFR-W947 - TBU1 TO SENS"</f>
        <v>1032F947-001   HARNESS MFR-W947 - TBU1 TO SENS</v>
      </c>
      <c r="L2407">
        <v>1</v>
      </c>
      <c r="M2407" t="str">
        <f>"יח"</f>
        <v>יח</v>
      </c>
      <c r="N2407">
        <v>1</v>
      </c>
      <c r="O2407" t="str">
        <f>"יח"</f>
        <v>יח</v>
      </c>
      <c r="P2407">
        <v>282.2</v>
      </c>
      <c r="Q2407" t="str">
        <f>"$"</f>
        <v>$</v>
      </c>
      <c r="R2407" t="str">
        <f>"הזמנה"</f>
        <v>הזמנה</v>
      </c>
      <c r="S2407">
        <v>0</v>
      </c>
      <c r="T2407">
        <v>282.2</v>
      </c>
      <c r="U2407">
        <v>0</v>
      </c>
      <c r="V2407">
        <v>282.2</v>
      </c>
      <c r="W2407" t="str">
        <f>"$"</f>
        <v>$</v>
      </c>
      <c r="X2407">
        <v>0</v>
      </c>
      <c r="Y2407">
        <v>0</v>
      </c>
      <c r="Z2407">
        <v>0</v>
      </c>
      <c r="AA2407" t="str">
        <f>"Y"</f>
        <v>Y</v>
      </c>
      <c r="AB2407" t="str">
        <f>"SO20000532"</f>
        <v>SO20000532</v>
      </c>
      <c r="AC2407">
        <v>159</v>
      </c>
      <c r="AD2407" s="1">
        <v>44155</v>
      </c>
      <c r="AM2407" t="str">
        <f>"10"</f>
        <v>10</v>
      </c>
      <c r="AN2407" t="str">
        <f>"500000"</f>
        <v>500000</v>
      </c>
      <c r="AO2407" t="str">
        <f>"הכנסות  מלקוחות"</f>
        <v>הכנסות  מלקוחות</v>
      </c>
      <c r="AQ2407" t="str">
        <f>"034"</f>
        <v>034</v>
      </c>
      <c r="AR2407">
        <v>0</v>
      </c>
      <c r="AS2407">
        <v>0</v>
      </c>
      <c r="AT2407">
        <v>3.2610000000000001</v>
      </c>
      <c r="AX2407" t="str">
        <f>"E000321177"</f>
        <v>E000321177</v>
      </c>
      <c r="BD2407" t="str">
        <f>"ערן שלו"</f>
        <v>ערן שלו</v>
      </c>
    </row>
    <row r="2408" spans="1:56" x14ac:dyDescent="0.3">
      <c r="A2408" s="1">
        <v>44377</v>
      </c>
      <c r="B2408" t="str">
        <f>"SI216000978"</f>
        <v>SI216000978</v>
      </c>
      <c r="C2408" t="str">
        <f>"PR20000834"</f>
        <v>PR20000834</v>
      </c>
      <c r="D2408" t="str">
        <f>"PR20000834"</f>
        <v>PR20000834</v>
      </c>
      <c r="E2408" t="str">
        <f>"Y"</f>
        <v>Y</v>
      </c>
      <c r="F2408" t="str">
        <f>"חשבוניות מרכזות"</f>
        <v>חשבוניות מרכזות</v>
      </c>
      <c r="G2408" t="str">
        <f>"700065"</f>
        <v>700065</v>
      </c>
      <c r="H2408" t="str">
        <f>"אלתא מערכות בע""מ"</f>
        <v>אלתא מערכות בע"מ</v>
      </c>
      <c r="I2408" t="str">
        <f>"10"</f>
        <v>10</v>
      </c>
      <c r="J2408" t="str">
        <f>"OP-AR02131"</f>
        <v>OP-AR02131</v>
      </c>
      <c r="K2408" t="str">
        <f>"1032F947-001   HARNESS MFR-W947 - TBU1 TO SENS"</f>
        <v>1032F947-001   HARNESS MFR-W947 - TBU1 TO SENS</v>
      </c>
      <c r="L2408">
        <v>2</v>
      </c>
      <c r="M2408" t="str">
        <f>"יח"</f>
        <v>יח</v>
      </c>
      <c r="N2408">
        <v>2</v>
      </c>
      <c r="O2408" t="str">
        <f>"יח"</f>
        <v>יח</v>
      </c>
      <c r="P2408">
        <v>282.2</v>
      </c>
      <c r="Q2408" t="str">
        <f>"$"</f>
        <v>$</v>
      </c>
      <c r="R2408" t="str">
        <f>"הזמנה"</f>
        <v>הזמנה</v>
      </c>
      <c r="S2408">
        <v>0</v>
      </c>
      <c r="T2408">
        <v>564.4</v>
      </c>
      <c r="U2408">
        <v>0</v>
      </c>
      <c r="V2408">
        <v>564.4</v>
      </c>
      <c r="W2408" t="str">
        <f>"$"</f>
        <v>$</v>
      </c>
      <c r="X2408">
        <v>0</v>
      </c>
      <c r="Y2408">
        <v>0</v>
      </c>
      <c r="Z2408">
        <v>0</v>
      </c>
      <c r="AA2408" t="str">
        <f>"Y"</f>
        <v>Y</v>
      </c>
      <c r="AB2408" t="str">
        <f>"SO20000532"</f>
        <v>SO20000532</v>
      </c>
      <c r="AC2408">
        <v>160</v>
      </c>
      <c r="AD2408" s="1">
        <v>44155</v>
      </c>
      <c r="AM2408" t="str">
        <f>"10"</f>
        <v>10</v>
      </c>
      <c r="AN2408" t="str">
        <f>"500000"</f>
        <v>500000</v>
      </c>
      <c r="AO2408" t="str">
        <f>"הכנסות  מלקוחות"</f>
        <v>הכנסות  מלקוחות</v>
      </c>
      <c r="AQ2408" t="str">
        <f>"034"</f>
        <v>034</v>
      </c>
      <c r="AR2408">
        <v>0</v>
      </c>
      <c r="AS2408">
        <v>0</v>
      </c>
      <c r="AT2408">
        <v>3.2610000000000001</v>
      </c>
      <c r="AX2408" t="str">
        <f>"E000321177"</f>
        <v>E000321177</v>
      </c>
      <c r="BD2408" t="str">
        <f>"ערן שלו"</f>
        <v>ערן שלו</v>
      </c>
    </row>
    <row r="2409" spans="1:56" x14ac:dyDescent="0.3">
      <c r="A2409" s="1">
        <v>44377</v>
      </c>
      <c r="B2409" t="str">
        <f>"SI216000978"</f>
        <v>SI216000978</v>
      </c>
      <c r="C2409" t="str">
        <f>"PR20000834"</f>
        <v>PR20000834</v>
      </c>
      <c r="D2409" t="str">
        <f>"PR20000834"</f>
        <v>PR20000834</v>
      </c>
      <c r="E2409" t="str">
        <f>"Y"</f>
        <v>Y</v>
      </c>
      <c r="F2409" t="str">
        <f>"חשבוניות מרכזות"</f>
        <v>חשבוניות מרכזות</v>
      </c>
      <c r="G2409" t="str">
        <f>"700065"</f>
        <v>700065</v>
      </c>
      <c r="H2409" t="str">
        <f>"אלתא מערכות בע""מ"</f>
        <v>אלתא מערכות בע"מ</v>
      </c>
      <c r="I2409" t="str">
        <f>"10"</f>
        <v>10</v>
      </c>
      <c r="J2409" t="str">
        <f>"OP-AR02131"</f>
        <v>OP-AR02131</v>
      </c>
      <c r="K2409" t="str">
        <f>"1032F947-001   HARNESS MFR-W947 - TBU1 TO SENS"</f>
        <v>1032F947-001   HARNESS MFR-W947 - TBU1 TO SENS</v>
      </c>
      <c r="L2409">
        <v>2</v>
      </c>
      <c r="M2409" t="str">
        <f>"יח"</f>
        <v>יח</v>
      </c>
      <c r="N2409">
        <v>2</v>
      </c>
      <c r="O2409" t="str">
        <f>"יח"</f>
        <v>יח</v>
      </c>
      <c r="P2409">
        <v>282.2</v>
      </c>
      <c r="Q2409" t="str">
        <f>"$"</f>
        <v>$</v>
      </c>
      <c r="R2409" t="str">
        <f>"הזמנה"</f>
        <v>הזמנה</v>
      </c>
      <c r="S2409">
        <v>0</v>
      </c>
      <c r="T2409">
        <v>564.4</v>
      </c>
      <c r="U2409">
        <v>0</v>
      </c>
      <c r="V2409">
        <v>564.4</v>
      </c>
      <c r="W2409" t="str">
        <f>"$"</f>
        <v>$</v>
      </c>
      <c r="X2409">
        <v>0</v>
      </c>
      <c r="Y2409">
        <v>0</v>
      </c>
      <c r="Z2409">
        <v>0</v>
      </c>
      <c r="AA2409" t="str">
        <f>"Y"</f>
        <v>Y</v>
      </c>
      <c r="AB2409" t="str">
        <f>"SO20000532"</f>
        <v>SO20000532</v>
      </c>
      <c r="AC2409">
        <v>161</v>
      </c>
      <c r="AD2409" s="1">
        <v>44155</v>
      </c>
      <c r="AM2409" t="str">
        <f>"10"</f>
        <v>10</v>
      </c>
      <c r="AN2409" t="str">
        <f>"500000"</f>
        <v>500000</v>
      </c>
      <c r="AO2409" t="str">
        <f>"הכנסות  מלקוחות"</f>
        <v>הכנסות  מלקוחות</v>
      </c>
      <c r="AQ2409" t="str">
        <f>"034"</f>
        <v>034</v>
      </c>
      <c r="AR2409">
        <v>0</v>
      </c>
      <c r="AS2409">
        <v>0</v>
      </c>
      <c r="AT2409">
        <v>3.2610000000000001</v>
      </c>
      <c r="AX2409" t="str">
        <f>"E000321177"</f>
        <v>E000321177</v>
      </c>
      <c r="BD2409" t="str">
        <f>"ערן שלו"</f>
        <v>ערן שלו</v>
      </c>
    </row>
    <row r="2410" spans="1:56" x14ac:dyDescent="0.3">
      <c r="A2410" s="1">
        <v>44377</v>
      </c>
      <c r="B2410" t="str">
        <f>"SI216000978"</f>
        <v>SI216000978</v>
      </c>
      <c r="C2410" t="str">
        <f>"PR20000834"</f>
        <v>PR20000834</v>
      </c>
      <c r="D2410" t="str">
        <f>"PR20000834"</f>
        <v>PR20000834</v>
      </c>
      <c r="E2410" t="str">
        <f>"Y"</f>
        <v>Y</v>
      </c>
      <c r="F2410" t="str">
        <f>"חשבוניות מרכזות"</f>
        <v>חשבוניות מרכזות</v>
      </c>
      <c r="G2410" t="str">
        <f>"700065"</f>
        <v>700065</v>
      </c>
      <c r="H2410" t="str">
        <f>"אלתא מערכות בע""מ"</f>
        <v>אלתא מערכות בע"מ</v>
      </c>
      <c r="I2410" t="str">
        <f>"10"</f>
        <v>10</v>
      </c>
      <c r="J2410" t="str">
        <f>"OP-AR02102"</f>
        <v>OP-AR02102</v>
      </c>
      <c r="K2410" t="str">
        <f>"1032F920-001/-   ETHERNET CABLE MFR-W920 - FILTE"</f>
        <v>1032F920-001/-   ETHERNET CABLE MFR-W920 - FILTE</v>
      </c>
      <c r="L2410">
        <v>4</v>
      </c>
      <c r="M2410" t="str">
        <f>"יח"</f>
        <v>יח</v>
      </c>
      <c r="N2410">
        <v>4</v>
      </c>
      <c r="O2410" t="str">
        <f>"יח"</f>
        <v>יח</v>
      </c>
      <c r="P2410">
        <v>174</v>
      </c>
      <c r="Q2410" t="str">
        <f>"$"</f>
        <v>$</v>
      </c>
      <c r="R2410" t="str">
        <f>"הזמנה"</f>
        <v>הזמנה</v>
      </c>
      <c r="S2410">
        <v>0</v>
      </c>
      <c r="T2410">
        <v>696</v>
      </c>
      <c r="U2410">
        <v>0</v>
      </c>
      <c r="V2410">
        <v>696</v>
      </c>
      <c r="W2410" t="str">
        <f>"$"</f>
        <v>$</v>
      </c>
      <c r="X2410">
        <v>0</v>
      </c>
      <c r="Y2410">
        <v>0</v>
      </c>
      <c r="Z2410">
        <v>0</v>
      </c>
      <c r="AA2410" t="str">
        <f>"Y"</f>
        <v>Y</v>
      </c>
      <c r="AB2410" t="str">
        <f>"SO20000532"</f>
        <v>SO20000532</v>
      </c>
      <c r="AC2410">
        <v>1</v>
      </c>
      <c r="AD2410" s="1">
        <v>44155</v>
      </c>
      <c r="AE2410" t="str">
        <f>"SH21001081"</f>
        <v>SH21001081</v>
      </c>
      <c r="AF2410" t="str">
        <f>"משלוחים ללקוח"</f>
        <v>משלוחים ללקוח</v>
      </c>
      <c r="AG2410" s="1">
        <v>44376</v>
      </c>
      <c r="AM2410" t="str">
        <f>"10"</f>
        <v>10</v>
      </c>
      <c r="AN2410" t="str">
        <f>"500000"</f>
        <v>500000</v>
      </c>
      <c r="AO2410" t="str">
        <f>"הכנסות  מלקוחות"</f>
        <v>הכנסות  מלקוחות</v>
      </c>
      <c r="AQ2410" t="str">
        <f>"034"</f>
        <v>034</v>
      </c>
      <c r="AR2410">
        <v>0</v>
      </c>
      <c r="AS2410">
        <v>0</v>
      </c>
      <c r="AT2410">
        <v>3.2610000000000001</v>
      </c>
      <c r="AX2410" t="str">
        <f>"E000321177"</f>
        <v>E000321177</v>
      </c>
      <c r="BD2410" t="str">
        <f>"ערן שלו"</f>
        <v>ערן שלו</v>
      </c>
    </row>
    <row r="2411" spans="1:56" x14ac:dyDescent="0.3">
      <c r="A2411" s="1">
        <v>44377</v>
      </c>
      <c r="B2411" t="str">
        <f>"SI216000978"</f>
        <v>SI216000978</v>
      </c>
      <c r="C2411" t="str">
        <f>"PR20000834"</f>
        <v>PR20000834</v>
      </c>
      <c r="D2411" t="str">
        <f>"PR20000834"</f>
        <v>PR20000834</v>
      </c>
      <c r="E2411" t="str">
        <f>"Y"</f>
        <v>Y</v>
      </c>
      <c r="F2411" t="str">
        <f>"חשבוניות מרכזות"</f>
        <v>חשבוניות מרכזות</v>
      </c>
      <c r="G2411" t="str">
        <f>"700065"</f>
        <v>700065</v>
      </c>
      <c r="H2411" t="str">
        <f>"אלתא מערכות בע""מ"</f>
        <v>אלתא מערכות בע"מ</v>
      </c>
      <c r="I2411" t="str">
        <f>"10"</f>
        <v>10</v>
      </c>
      <c r="J2411" t="str">
        <f>"OP-AR02102"</f>
        <v>OP-AR02102</v>
      </c>
      <c r="K2411" t="str">
        <f>"1032F920-001/-   ETHERNET CABLE MFR-W920 - FILTE"</f>
        <v>1032F920-001/-   ETHERNET CABLE MFR-W920 - FILTE</v>
      </c>
      <c r="L2411">
        <v>4</v>
      </c>
      <c r="M2411" t="str">
        <f>"יח"</f>
        <v>יח</v>
      </c>
      <c r="N2411">
        <v>4</v>
      </c>
      <c r="O2411" t="str">
        <f>"יח"</f>
        <v>יח</v>
      </c>
      <c r="P2411">
        <v>174</v>
      </c>
      <c r="Q2411" t="str">
        <f>"$"</f>
        <v>$</v>
      </c>
      <c r="R2411" t="str">
        <f>"הזמנה"</f>
        <v>הזמנה</v>
      </c>
      <c r="S2411">
        <v>0</v>
      </c>
      <c r="T2411">
        <v>696</v>
      </c>
      <c r="U2411">
        <v>0</v>
      </c>
      <c r="V2411">
        <v>696</v>
      </c>
      <c r="W2411" t="str">
        <f>"$"</f>
        <v>$</v>
      </c>
      <c r="X2411">
        <v>0</v>
      </c>
      <c r="Y2411">
        <v>0</v>
      </c>
      <c r="Z2411">
        <v>0</v>
      </c>
      <c r="AA2411" t="str">
        <f>"Y"</f>
        <v>Y</v>
      </c>
      <c r="AB2411" t="str">
        <f>"SO20000532"</f>
        <v>SO20000532</v>
      </c>
      <c r="AC2411">
        <v>2</v>
      </c>
      <c r="AD2411" s="1">
        <v>44155</v>
      </c>
      <c r="AE2411" t="str">
        <f>"SH21001081"</f>
        <v>SH21001081</v>
      </c>
      <c r="AF2411" t="str">
        <f>"משלוחים ללקוח"</f>
        <v>משלוחים ללקוח</v>
      </c>
      <c r="AG2411" s="1">
        <v>44376</v>
      </c>
      <c r="AM2411" t="str">
        <f>"10"</f>
        <v>10</v>
      </c>
      <c r="AN2411" t="str">
        <f>"500000"</f>
        <v>500000</v>
      </c>
      <c r="AO2411" t="str">
        <f>"הכנסות  מלקוחות"</f>
        <v>הכנסות  מלקוחות</v>
      </c>
      <c r="AQ2411" t="str">
        <f>"034"</f>
        <v>034</v>
      </c>
      <c r="AR2411">
        <v>0</v>
      </c>
      <c r="AS2411">
        <v>0</v>
      </c>
      <c r="AT2411">
        <v>3.2610000000000001</v>
      </c>
      <c r="AX2411" t="str">
        <f>"E000321177"</f>
        <v>E000321177</v>
      </c>
      <c r="BD2411" t="str">
        <f>"ערן שלו"</f>
        <v>ערן שלו</v>
      </c>
    </row>
    <row r="2412" spans="1:56" x14ac:dyDescent="0.3">
      <c r="A2412" s="1">
        <v>44377</v>
      </c>
      <c r="B2412" t="str">
        <f>"SI216000978"</f>
        <v>SI216000978</v>
      </c>
      <c r="C2412" t="str">
        <f>"PR20000834"</f>
        <v>PR20000834</v>
      </c>
      <c r="D2412" t="str">
        <f>"PR20000834"</f>
        <v>PR20000834</v>
      </c>
      <c r="E2412" t="str">
        <f>"Y"</f>
        <v>Y</v>
      </c>
      <c r="F2412" t="str">
        <f>"חשבוניות מרכזות"</f>
        <v>חשבוניות מרכזות</v>
      </c>
      <c r="G2412" t="str">
        <f>"700065"</f>
        <v>700065</v>
      </c>
      <c r="H2412" t="str">
        <f>"אלתא מערכות בע""מ"</f>
        <v>אלתא מערכות בע"מ</v>
      </c>
      <c r="I2412" t="str">
        <f>"10"</f>
        <v>10</v>
      </c>
      <c r="J2412" t="str">
        <f>"OP-AR02104"</f>
        <v>OP-AR02104</v>
      </c>
      <c r="K2412" t="str">
        <f>"1032F921-001/-   ETHERNET CABLE MFR-W921 - FILTE"</f>
        <v>1032F921-001/-   ETHERNET CABLE MFR-W921 - FILTE</v>
      </c>
      <c r="L2412">
        <v>1</v>
      </c>
      <c r="M2412" t="str">
        <f>"יח"</f>
        <v>יח</v>
      </c>
      <c r="N2412">
        <v>1</v>
      </c>
      <c r="O2412" t="str">
        <f>"יח"</f>
        <v>יח</v>
      </c>
      <c r="P2412">
        <v>174</v>
      </c>
      <c r="Q2412" t="str">
        <f>"$"</f>
        <v>$</v>
      </c>
      <c r="R2412" t="str">
        <f>"הזמנה"</f>
        <v>הזמנה</v>
      </c>
      <c r="S2412">
        <v>0</v>
      </c>
      <c r="T2412">
        <v>174</v>
      </c>
      <c r="U2412">
        <v>0</v>
      </c>
      <c r="V2412">
        <v>174</v>
      </c>
      <c r="W2412" t="str">
        <f>"$"</f>
        <v>$</v>
      </c>
      <c r="X2412">
        <v>0</v>
      </c>
      <c r="Y2412">
        <v>0</v>
      </c>
      <c r="Z2412">
        <v>0</v>
      </c>
      <c r="AA2412" t="str">
        <f>"Y"</f>
        <v>Y</v>
      </c>
      <c r="AB2412" t="str">
        <f>"SO20000532"</f>
        <v>SO20000532</v>
      </c>
      <c r="AC2412">
        <v>6</v>
      </c>
      <c r="AD2412" s="1">
        <v>44155</v>
      </c>
      <c r="AE2412" t="str">
        <f>"SH21001081"</f>
        <v>SH21001081</v>
      </c>
      <c r="AF2412" t="str">
        <f>"משלוחים ללקוח"</f>
        <v>משלוחים ללקוח</v>
      </c>
      <c r="AG2412" s="1">
        <v>44376</v>
      </c>
      <c r="AM2412" t="str">
        <f>"10"</f>
        <v>10</v>
      </c>
      <c r="AN2412" t="str">
        <f>"500000"</f>
        <v>500000</v>
      </c>
      <c r="AO2412" t="str">
        <f>"הכנסות  מלקוחות"</f>
        <v>הכנסות  מלקוחות</v>
      </c>
      <c r="AQ2412" t="str">
        <f>"034"</f>
        <v>034</v>
      </c>
      <c r="AR2412">
        <v>0</v>
      </c>
      <c r="AS2412">
        <v>0</v>
      </c>
      <c r="AT2412">
        <v>3.2610000000000001</v>
      </c>
      <c r="AX2412" t="str">
        <f>"E000321177"</f>
        <v>E000321177</v>
      </c>
      <c r="BD2412" t="str">
        <f>"ערן שלו"</f>
        <v>ערן שלו</v>
      </c>
    </row>
    <row r="2413" spans="1:56" x14ac:dyDescent="0.3">
      <c r="A2413" s="1">
        <v>44377</v>
      </c>
      <c r="B2413" t="str">
        <f>"SI216000978"</f>
        <v>SI216000978</v>
      </c>
      <c r="C2413" t="str">
        <f>"PR20000834"</f>
        <v>PR20000834</v>
      </c>
      <c r="D2413" t="str">
        <f>"PR20000834"</f>
        <v>PR20000834</v>
      </c>
      <c r="E2413" t="str">
        <f>"Y"</f>
        <v>Y</v>
      </c>
      <c r="F2413" t="str">
        <f>"חשבוניות מרכזות"</f>
        <v>חשבוניות מרכזות</v>
      </c>
      <c r="G2413" t="str">
        <f>"700065"</f>
        <v>700065</v>
      </c>
      <c r="H2413" t="str">
        <f>"אלתא מערכות בע""מ"</f>
        <v>אלתא מערכות בע"מ</v>
      </c>
      <c r="I2413" t="str">
        <f>"10"</f>
        <v>10</v>
      </c>
      <c r="J2413" t="str">
        <f>"OP-AR02105"</f>
        <v>OP-AR02105</v>
      </c>
      <c r="K2413" t="str">
        <f>"1032F922-001/-   ETHERNET CABLE MFR-W922 - FILTE"</f>
        <v>1032F922-001/-   ETHERNET CABLE MFR-W922 - FILTE</v>
      </c>
      <c r="L2413">
        <v>1</v>
      </c>
      <c r="M2413" t="str">
        <f>"יח"</f>
        <v>יח</v>
      </c>
      <c r="N2413">
        <v>1</v>
      </c>
      <c r="O2413" t="str">
        <f>"יח"</f>
        <v>יח</v>
      </c>
      <c r="P2413">
        <v>174</v>
      </c>
      <c r="Q2413" t="str">
        <f>"$"</f>
        <v>$</v>
      </c>
      <c r="R2413" t="str">
        <f>"הזמנה"</f>
        <v>הזמנה</v>
      </c>
      <c r="S2413">
        <v>0</v>
      </c>
      <c r="T2413">
        <v>174</v>
      </c>
      <c r="U2413">
        <v>0</v>
      </c>
      <c r="V2413">
        <v>174</v>
      </c>
      <c r="W2413" t="str">
        <f>"$"</f>
        <v>$</v>
      </c>
      <c r="X2413">
        <v>0</v>
      </c>
      <c r="Y2413">
        <v>0</v>
      </c>
      <c r="Z2413">
        <v>0</v>
      </c>
      <c r="AA2413" t="str">
        <f>"Y"</f>
        <v>Y</v>
      </c>
      <c r="AB2413" t="str">
        <f>"SO20000532"</f>
        <v>SO20000532</v>
      </c>
      <c r="AC2413">
        <v>11</v>
      </c>
      <c r="AD2413" s="1">
        <v>44155</v>
      </c>
      <c r="AE2413" t="str">
        <f>"SH21001081"</f>
        <v>SH21001081</v>
      </c>
      <c r="AF2413" t="str">
        <f>"משלוחים ללקוח"</f>
        <v>משלוחים ללקוח</v>
      </c>
      <c r="AG2413" s="1">
        <v>44376</v>
      </c>
      <c r="AM2413" t="str">
        <f>"10"</f>
        <v>10</v>
      </c>
      <c r="AN2413" t="str">
        <f>"500000"</f>
        <v>500000</v>
      </c>
      <c r="AO2413" t="str">
        <f>"הכנסות  מלקוחות"</f>
        <v>הכנסות  מלקוחות</v>
      </c>
      <c r="AQ2413" t="str">
        <f>"034"</f>
        <v>034</v>
      </c>
      <c r="AR2413">
        <v>0</v>
      </c>
      <c r="AS2413">
        <v>0</v>
      </c>
      <c r="AT2413">
        <v>3.2610000000000001</v>
      </c>
      <c r="AX2413" t="str">
        <f>"E000321177"</f>
        <v>E000321177</v>
      </c>
      <c r="BD2413" t="str">
        <f>"ערן שלו"</f>
        <v>ערן שלו</v>
      </c>
    </row>
    <row r="2414" spans="1:56" x14ac:dyDescent="0.3">
      <c r="A2414" s="1">
        <v>44377</v>
      </c>
      <c r="B2414" t="str">
        <f>"SI216000978"</f>
        <v>SI216000978</v>
      </c>
      <c r="C2414" t="str">
        <f>"PR20000834"</f>
        <v>PR20000834</v>
      </c>
      <c r="D2414" t="str">
        <f>"PR20000834"</f>
        <v>PR20000834</v>
      </c>
      <c r="E2414" t="str">
        <f>"Y"</f>
        <v>Y</v>
      </c>
      <c r="F2414" t="str">
        <f>"חשבוניות מרכזות"</f>
        <v>חשבוניות מרכזות</v>
      </c>
      <c r="G2414" t="str">
        <f>"700065"</f>
        <v>700065</v>
      </c>
      <c r="H2414" t="str">
        <f>"אלתא מערכות בע""מ"</f>
        <v>אלתא מערכות בע"מ</v>
      </c>
      <c r="I2414" t="str">
        <f>"10"</f>
        <v>10</v>
      </c>
      <c r="J2414" t="str">
        <f>"OP-AR02106"</f>
        <v>OP-AR02106</v>
      </c>
      <c r="K2414" t="str">
        <f>"1032F923-001/-   ETHERNET CABLE MFR-W923 - FILTE"</f>
        <v>1032F923-001/-   ETHERNET CABLE MFR-W923 - FILTE</v>
      </c>
      <c r="L2414">
        <v>1</v>
      </c>
      <c r="M2414" t="str">
        <f>"יח"</f>
        <v>יח</v>
      </c>
      <c r="N2414">
        <v>1</v>
      </c>
      <c r="O2414" t="str">
        <f>"יח"</f>
        <v>יח</v>
      </c>
      <c r="P2414">
        <v>174</v>
      </c>
      <c r="Q2414" t="str">
        <f>"$"</f>
        <v>$</v>
      </c>
      <c r="R2414" t="str">
        <f>"הזמנה"</f>
        <v>הזמנה</v>
      </c>
      <c r="S2414">
        <v>0</v>
      </c>
      <c r="T2414">
        <v>174</v>
      </c>
      <c r="U2414">
        <v>0</v>
      </c>
      <c r="V2414">
        <v>174</v>
      </c>
      <c r="W2414" t="str">
        <f>"$"</f>
        <v>$</v>
      </c>
      <c r="X2414">
        <v>0</v>
      </c>
      <c r="Y2414">
        <v>0</v>
      </c>
      <c r="Z2414">
        <v>0</v>
      </c>
      <c r="AA2414" t="str">
        <f>"Y"</f>
        <v>Y</v>
      </c>
      <c r="AB2414" t="str">
        <f>"SO20000532"</f>
        <v>SO20000532</v>
      </c>
      <c r="AC2414">
        <v>17</v>
      </c>
      <c r="AD2414" s="1">
        <v>44155</v>
      </c>
      <c r="AE2414" t="str">
        <f>"SH21001081"</f>
        <v>SH21001081</v>
      </c>
      <c r="AF2414" t="str">
        <f>"משלוחים ללקוח"</f>
        <v>משלוחים ללקוח</v>
      </c>
      <c r="AG2414" s="1">
        <v>44376</v>
      </c>
      <c r="AM2414" t="str">
        <f>"10"</f>
        <v>10</v>
      </c>
      <c r="AN2414" t="str">
        <f>"500000"</f>
        <v>500000</v>
      </c>
      <c r="AO2414" t="str">
        <f>"הכנסות  מלקוחות"</f>
        <v>הכנסות  מלקוחות</v>
      </c>
      <c r="AQ2414" t="str">
        <f>"034"</f>
        <v>034</v>
      </c>
      <c r="AR2414">
        <v>0</v>
      </c>
      <c r="AS2414">
        <v>0</v>
      </c>
      <c r="AT2414">
        <v>3.2610000000000001</v>
      </c>
      <c r="AX2414" t="str">
        <f>"E000321177"</f>
        <v>E000321177</v>
      </c>
      <c r="BD2414" t="str">
        <f>"ערן שלו"</f>
        <v>ערן שלו</v>
      </c>
    </row>
    <row r="2415" spans="1:56" x14ac:dyDescent="0.3">
      <c r="A2415" s="1">
        <v>44377</v>
      </c>
      <c r="B2415" t="str">
        <f>"SI216000978"</f>
        <v>SI216000978</v>
      </c>
      <c r="C2415" t="str">
        <f>"PR20000834"</f>
        <v>PR20000834</v>
      </c>
      <c r="D2415" t="str">
        <f>"PR20000834"</f>
        <v>PR20000834</v>
      </c>
      <c r="E2415" t="str">
        <f>"Y"</f>
        <v>Y</v>
      </c>
      <c r="F2415" t="str">
        <f>"חשבוניות מרכזות"</f>
        <v>חשבוניות מרכזות</v>
      </c>
      <c r="G2415" t="str">
        <f>"700065"</f>
        <v>700065</v>
      </c>
      <c r="H2415" t="str">
        <f>"אלתא מערכות בע""מ"</f>
        <v>אלתא מערכות בע"מ</v>
      </c>
      <c r="I2415" t="str">
        <f>"10"</f>
        <v>10</v>
      </c>
      <c r="J2415" t="str">
        <f>"OP-AR02107"</f>
        <v>OP-AR02107</v>
      </c>
      <c r="K2415" t="str">
        <f>"1032F924-001/-   ETHERNET CABLE MFR-W924 - FILTE"</f>
        <v>1032F924-001/-   ETHERNET CABLE MFR-W924 - FILTE</v>
      </c>
      <c r="L2415">
        <v>1</v>
      </c>
      <c r="M2415" t="str">
        <f>"יח"</f>
        <v>יח</v>
      </c>
      <c r="N2415">
        <v>1</v>
      </c>
      <c r="O2415" t="str">
        <f>"יח"</f>
        <v>יח</v>
      </c>
      <c r="P2415">
        <v>174</v>
      </c>
      <c r="Q2415" t="str">
        <f>"$"</f>
        <v>$</v>
      </c>
      <c r="R2415" t="str">
        <f>"הזמנה"</f>
        <v>הזמנה</v>
      </c>
      <c r="S2415">
        <v>0</v>
      </c>
      <c r="T2415">
        <v>174</v>
      </c>
      <c r="U2415">
        <v>0</v>
      </c>
      <c r="V2415">
        <v>174</v>
      </c>
      <c r="W2415" t="str">
        <f>"$"</f>
        <v>$</v>
      </c>
      <c r="X2415">
        <v>0</v>
      </c>
      <c r="Y2415">
        <v>0</v>
      </c>
      <c r="Z2415">
        <v>0</v>
      </c>
      <c r="AA2415" t="str">
        <f>"Y"</f>
        <v>Y</v>
      </c>
      <c r="AB2415" t="str">
        <f>"SO20000532"</f>
        <v>SO20000532</v>
      </c>
      <c r="AC2415">
        <v>23</v>
      </c>
      <c r="AD2415" s="1">
        <v>44155</v>
      </c>
      <c r="AE2415" t="str">
        <f>"SH21001081"</f>
        <v>SH21001081</v>
      </c>
      <c r="AF2415" t="str">
        <f>"משלוחים ללקוח"</f>
        <v>משלוחים ללקוח</v>
      </c>
      <c r="AG2415" s="1">
        <v>44376</v>
      </c>
      <c r="AM2415" t="str">
        <f>"10"</f>
        <v>10</v>
      </c>
      <c r="AN2415" t="str">
        <f>"500000"</f>
        <v>500000</v>
      </c>
      <c r="AO2415" t="str">
        <f>"הכנסות  מלקוחות"</f>
        <v>הכנסות  מלקוחות</v>
      </c>
      <c r="AQ2415" t="str">
        <f>"034"</f>
        <v>034</v>
      </c>
      <c r="AR2415">
        <v>0</v>
      </c>
      <c r="AS2415">
        <v>0</v>
      </c>
      <c r="AT2415">
        <v>3.2610000000000001</v>
      </c>
      <c r="AX2415" t="str">
        <f>"E000321177"</f>
        <v>E000321177</v>
      </c>
      <c r="BD2415" t="str">
        <f>"ערן שלו"</f>
        <v>ערן שלו</v>
      </c>
    </row>
    <row r="2416" spans="1:56" x14ac:dyDescent="0.3">
      <c r="A2416" s="1">
        <v>44377</v>
      </c>
      <c r="B2416" t="str">
        <f>"SI216000978"</f>
        <v>SI216000978</v>
      </c>
      <c r="C2416" t="str">
        <f>"PR20000834"</f>
        <v>PR20000834</v>
      </c>
      <c r="D2416" t="str">
        <f>"PR20000834"</f>
        <v>PR20000834</v>
      </c>
      <c r="E2416" t="str">
        <f>"Y"</f>
        <v>Y</v>
      </c>
      <c r="F2416" t="str">
        <f>"חשבוניות מרכזות"</f>
        <v>חשבוניות מרכזות</v>
      </c>
      <c r="G2416" t="str">
        <f>"700065"</f>
        <v>700065</v>
      </c>
      <c r="H2416" t="str">
        <f>"אלתא מערכות בע""מ"</f>
        <v>אלתא מערכות בע"מ</v>
      </c>
      <c r="I2416" t="str">
        <f>"10"</f>
        <v>10</v>
      </c>
      <c r="J2416" t="str">
        <f>"OP-AR02108"</f>
        <v>OP-AR02108</v>
      </c>
      <c r="K2416" t="str">
        <f>"1032F925-001/-   ETHERNET CABLE MFR-W925 - FILTE"</f>
        <v>1032F925-001/-   ETHERNET CABLE MFR-W925 - FILTE</v>
      </c>
      <c r="L2416">
        <v>1</v>
      </c>
      <c r="M2416" t="str">
        <f>"יח"</f>
        <v>יח</v>
      </c>
      <c r="N2416">
        <v>1</v>
      </c>
      <c r="O2416" t="str">
        <f>"יח"</f>
        <v>יח</v>
      </c>
      <c r="P2416">
        <v>174</v>
      </c>
      <c r="Q2416" t="str">
        <f>"$"</f>
        <v>$</v>
      </c>
      <c r="R2416" t="str">
        <f>"הזמנה"</f>
        <v>הזמנה</v>
      </c>
      <c r="S2416">
        <v>0</v>
      </c>
      <c r="T2416">
        <v>174</v>
      </c>
      <c r="U2416">
        <v>0</v>
      </c>
      <c r="V2416">
        <v>174</v>
      </c>
      <c r="W2416" t="str">
        <f>"$"</f>
        <v>$</v>
      </c>
      <c r="X2416">
        <v>0</v>
      </c>
      <c r="Y2416">
        <v>0</v>
      </c>
      <c r="Z2416">
        <v>0</v>
      </c>
      <c r="AA2416" t="str">
        <f>"Y"</f>
        <v>Y</v>
      </c>
      <c r="AB2416" t="str">
        <f>"SO20000532"</f>
        <v>SO20000532</v>
      </c>
      <c r="AC2416">
        <v>29</v>
      </c>
      <c r="AD2416" s="1">
        <v>44155</v>
      </c>
      <c r="AE2416" t="str">
        <f>"SH21001081"</f>
        <v>SH21001081</v>
      </c>
      <c r="AF2416" t="str">
        <f>"משלוחים ללקוח"</f>
        <v>משלוחים ללקוח</v>
      </c>
      <c r="AG2416" s="1">
        <v>44376</v>
      </c>
      <c r="AM2416" t="str">
        <f>"10"</f>
        <v>10</v>
      </c>
      <c r="AN2416" t="str">
        <f>"500000"</f>
        <v>500000</v>
      </c>
      <c r="AO2416" t="str">
        <f>"הכנסות  מלקוחות"</f>
        <v>הכנסות  מלקוחות</v>
      </c>
      <c r="AQ2416" t="str">
        <f>"034"</f>
        <v>034</v>
      </c>
      <c r="AR2416">
        <v>0</v>
      </c>
      <c r="AS2416">
        <v>0</v>
      </c>
      <c r="AT2416">
        <v>3.2610000000000001</v>
      </c>
      <c r="AX2416" t="str">
        <f>"E000321177"</f>
        <v>E000321177</v>
      </c>
      <c r="BD2416" t="str">
        <f>"ערן שלו"</f>
        <v>ערן שלו</v>
      </c>
    </row>
    <row r="2417" spans="1:56" x14ac:dyDescent="0.3">
      <c r="A2417" s="1">
        <v>44377</v>
      </c>
      <c r="B2417" t="str">
        <f>"SI216000978"</f>
        <v>SI216000978</v>
      </c>
      <c r="C2417" t="str">
        <f>"PR20000834"</f>
        <v>PR20000834</v>
      </c>
      <c r="D2417" t="str">
        <f>"PR20000834"</f>
        <v>PR20000834</v>
      </c>
      <c r="E2417" t="str">
        <f>"Y"</f>
        <v>Y</v>
      </c>
      <c r="F2417" t="str">
        <f>"חשבוניות מרכזות"</f>
        <v>חשבוניות מרכזות</v>
      </c>
      <c r="G2417" t="str">
        <f>"700065"</f>
        <v>700065</v>
      </c>
      <c r="H2417" t="str">
        <f>"אלתא מערכות בע""מ"</f>
        <v>אלתא מערכות בע"מ</v>
      </c>
      <c r="I2417" t="str">
        <f>"10"</f>
        <v>10</v>
      </c>
      <c r="J2417" t="str">
        <f>"OP-AR02109"</f>
        <v>OP-AR02109</v>
      </c>
      <c r="K2417" t="str">
        <f>"1032F926-001/-   ETHERNET CABLE MFR-W926 - FILTE"</f>
        <v>1032F926-001/-   ETHERNET CABLE MFR-W926 - FILTE</v>
      </c>
      <c r="L2417">
        <v>1</v>
      </c>
      <c r="M2417" t="str">
        <f>"יח"</f>
        <v>יח</v>
      </c>
      <c r="N2417">
        <v>1</v>
      </c>
      <c r="O2417" t="str">
        <f>"יח"</f>
        <v>יח</v>
      </c>
      <c r="P2417">
        <v>174</v>
      </c>
      <c r="Q2417" t="str">
        <f>"$"</f>
        <v>$</v>
      </c>
      <c r="R2417" t="str">
        <f>"הזמנה"</f>
        <v>הזמנה</v>
      </c>
      <c r="S2417">
        <v>0</v>
      </c>
      <c r="T2417">
        <v>174</v>
      </c>
      <c r="U2417">
        <v>0</v>
      </c>
      <c r="V2417">
        <v>174</v>
      </c>
      <c r="W2417" t="str">
        <f>"$"</f>
        <v>$</v>
      </c>
      <c r="X2417">
        <v>0</v>
      </c>
      <c r="Y2417">
        <v>0</v>
      </c>
      <c r="Z2417">
        <v>0</v>
      </c>
      <c r="AA2417" t="str">
        <f>"Y"</f>
        <v>Y</v>
      </c>
      <c r="AB2417" t="str">
        <f>"SO20000532"</f>
        <v>SO20000532</v>
      </c>
      <c r="AC2417">
        <v>35</v>
      </c>
      <c r="AD2417" s="1">
        <v>44155</v>
      </c>
      <c r="AE2417" t="str">
        <f>"SH21001081"</f>
        <v>SH21001081</v>
      </c>
      <c r="AF2417" t="str">
        <f>"משלוחים ללקוח"</f>
        <v>משלוחים ללקוח</v>
      </c>
      <c r="AG2417" s="1">
        <v>44376</v>
      </c>
      <c r="AM2417" t="str">
        <f>"10"</f>
        <v>10</v>
      </c>
      <c r="AN2417" t="str">
        <f>"500000"</f>
        <v>500000</v>
      </c>
      <c r="AO2417" t="str">
        <f>"הכנסות  מלקוחות"</f>
        <v>הכנסות  מלקוחות</v>
      </c>
      <c r="AQ2417" t="str">
        <f>"034"</f>
        <v>034</v>
      </c>
      <c r="AR2417">
        <v>0</v>
      </c>
      <c r="AS2417">
        <v>0</v>
      </c>
      <c r="AT2417">
        <v>3.2610000000000001</v>
      </c>
      <c r="AX2417" t="str">
        <f>"E000321177"</f>
        <v>E000321177</v>
      </c>
      <c r="BD2417" t="str">
        <f>"ערן שלו"</f>
        <v>ערן שלו</v>
      </c>
    </row>
    <row r="2418" spans="1:56" x14ac:dyDescent="0.3">
      <c r="A2418" s="1">
        <v>44377</v>
      </c>
      <c r="B2418" t="str">
        <f>"SI216000978"</f>
        <v>SI216000978</v>
      </c>
      <c r="C2418" t="str">
        <f>"PR20000834"</f>
        <v>PR20000834</v>
      </c>
      <c r="D2418" t="str">
        <f>"PR20000834"</f>
        <v>PR20000834</v>
      </c>
      <c r="E2418" t="str">
        <f>"Y"</f>
        <v>Y</v>
      </c>
      <c r="F2418" t="str">
        <f>"חשבוניות מרכזות"</f>
        <v>חשבוניות מרכזות</v>
      </c>
      <c r="G2418" t="str">
        <f>"700065"</f>
        <v>700065</v>
      </c>
      <c r="H2418" t="str">
        <f>"אלתא מערכות בע""מ"</f>
        <v>אלתא מערכות בע"מ</v>
      </c>
      <c r="I2418" t="str">
        <f>"10"</f>
        <v>10</v>
      </c>
      <c r="J2418" t="str">
        <f>"OP-AR02110"</f>
        <v>OP-AR02110</v>
      </c>
      <c r="K2418" t="str">
        <f>"1032F927-001/-   ETHERNET CABLE MFR-W927 - FILTE"</f>
        <v>1032F927-001/-   ETHERNET CABLE MFR-W927 - FILTE</v>
      </c>
      <c r="L2418">
        <v>1</v>
      </c>
      <c r="M2418" t="str">
        <f>"יח"</f>
        <v>יח</v>
      </c>
      <c r="N2418">
        <v>1</v>
      </c>
      <c r="O2418" t="str">
        <f>"יח"</f>
        <v>יח</v>
      </c>
      <c r="P2418">
        <v>174</v>
      </c>
      <c r="Q2418" t="str">
        <f>"$"</f>
        <v>$</v>
      </c>
      <c r="R2418" t="str">
        <f>"הזמנה"</f>
        <v>הזמנה</v>
      </c>
      <c r="S2418">
        <v>0</v>
      </c>
      <c r="T2418">
        <v>174</v>
      </c>
      <c r="U2418">
        <v>0</v>
      </c>
      <c r="V2418">
        <v>174</v>
      </c>
      <c r="W2418" t="str">
        <f>"$"</f>
        <v>$</v>
      </c>
      <c r="X2418">
        <v>0</v>
      </c>
      <c r="Y2418">
        <v>0</v>
      </c>
      <c r="Z2418">
        <v>0</v>
      </c>
      <c r="AA2418" t="str">
        <f>"Y"</f>
        <v>Y</v>
      </c>
      <c r="AB2418" t="str">
        <f>"SO20000532"</f>
        <v>SO20000532</v>
      </c>
      <c r="AC2418">
        <v>41</v>
      </c>
      <c r="AD2418" s="1">
        <v>44155</v>
      </c>
      <c r="AE2418" t="str">
        <f>"SH21001081"</f>
        <v>SH21001081</v>
      </c>
      <c r="AF2418" t="str">
        <f>"משלוחים ללקוח"</f>
        <v>משלוחים ללקוח</v>
      </c>
      <c r="AG2418" s="1">
        <v>44376</v>
      </c>
      <c r="AM2418" t="str">
        <f>"10"</f>
        <v>10</v>
      </c>
      <c r="AN2418" t="str">
        <f>"500000"</f>
        <v>500000</v>
      </c>
      <c r="AO2418" t="str">
        <f>"הכנסות  מלקוחות"</f>
        <v>הכנסות  מלקוחות</v>
      </c>
      <c r="AQ2418" t="str">
        <f>"034"</f>
        <v>034</v>
      </c>
      <c r="AR2418">
        <v>0</v>
      </c>
      <c r="AS2418">
        <v>0</v>
      </c>
      <c r="AT2418">
        <v>3.2610000000000001</v>
      </c>
      <c r="AX2418" t="str">
        <f>"E000321177"</f>
        <v>E000321177</v>
      </c>
      <c r="BD2418" t="str">
        <f>"ערן שלו"</f>
        <v>ערן שלו</v>
      </c>
    </row>
    <row r="2419" spans="1:56" x14ac:dyDescent="0.3">
      <c r="A2419" s="1">
        <v>44377</v>
      </c>
      <c r="B2419" t="str">
        <f>"SI216000978"</f>
        <v>SI216000978</v>
      </c>
      <c r="C2419" t="str">
        <f>"PR20000834"</f>
        <v>PR20000834</v>
      </c>
      <c r="D2419" t="str">
        <f>"PR20000834"</f>
        <v>PR20000834</v>
      </c>
      <c r="E2419" t="str">
        <f>"Y"</f>
        <v>Y</v>
      </c>
      <c r="F2419" t="str">
        <f>"חשבוניות מרכזות"</f>
        <v>חשבוניות מרכזות</v>
      </c>
      <c r="G2419" t="str">
        <f>"700065"</f>
        <v>700065</v>
      </c>
      <c r="H2419" t="str">
        <f>"אלתא מערכות בע""מ"</f>
        <v>אלתא מערכות בע"מ</v>
      </c>
      <c r="I2419" t="str">
        <f>"10"</f>
        <v>10</v>
      </c>
      <c r="J2419" t="str">
        <f>"OP-AR02111"</f>
        <v>OP-AR02111</v>
      </c>
      <c r="K2419" t="str">
        <f>"1032F928-001/-   ETHERNET CABLE MFR-W928 - FILTE"</f>
        <v>1032F928-001/-   ETHERNET CABLE MFR-W928 - FILTE</v>
      </c>
      <c r="L2419">
        <v>1</v>
      </c>
      <c r="M2419" t="str">
        <f>"יח"</f>
        <v>יח</v>
      </c>
      <c r="N2419">
        <v>1</v>
      </c>
      <c r="O2419" t="str">
        <f>"יח"</f>
        <v>יח</v>
      </c>
      <c r="P2419">
        <v>174</v>
      </c>
      <c r="Q2419" t="str">
        <f>"$"</f>
        <v>$</v>
      </c>
      <c r="R2419" t="str">
        <f>"הזמנה"</f>
        <v>הזמנה</v>
      </c>
      <c r="S2419">
        <v>0</v>
      </c>
      <c r="T2419">
        <v>174</v>
      </c>
      <c r="U2419">
        <v>0</v>
      </c>
      <c r="V2419">
        <v>174</v>
      </c>
      <c r="W2419" t="str">
        <f>"$"</f>
        <v>$</v>
      </c>
      <c r="X2419">
        <v>0</v>
      </c>
      <c r="Y2419">
        <v>0</v>
      </c>
      <c r="Z2419">
        <v>0</v>
      </c>
      <c r="AA2419" t="str">
        <f>"Y"</f>
        <v>Y</v>
      </c>
      <c r="AB2419" t="str">
        <f>"SO20000532"</f>
        <v>SO20000532</v>
      </c>
      <c r="AC2419">
        <v>47</v>
      </c>
      <c r="AD2419" s="1">
        <v>44155</v>
      </c>
      <c r="AE2419" t="str">
        <f>"SH21001081"</f>
        <v>SH21001081</v>
      </c>
      <c r="AF2419" t="str">
        <f>"משלוחים ללקוח"</f>
        <v>משלוחים ללקוח</v>
      </c>
      <c r="AG2419" s="1">
        <v>44376</v>
      </c>
      <c r="AM2419" t="str">
        <f>"10"</f>
        <v>10</v>
      </c>
      <c r="AN2419" t="str">
        <f>"500000"</f>
        <v>500000</v>
      </c>
      <c r="AO2419" t="str">
        <f>"הכנסות  מלקוחות"</f>
        <v>הכנסות  מלקוחות</v>
      </c>
      <c r="AQ2419" t="str">
        <f>"034"</f>
        <v>034</v>
      </c>
      <c r="AR2419">
        <v>0</v>
      </c>
      <c r="AS2419">
        <v>0</v>
      </c>
      <c r="AT2419">
        <v>3.2610000000000001</v>
      </c>
      <c r="AX2419" t="str">
        <f>"E000321177"</f>
        <v>E000321177</v>
      </c>
      <c r="BD2419" t="str">
        <f>"ערן שלו"</f>
        <v>ערן שלו</v>
      </c>
    </row>
    <row r="2420" spans="1:56" x14ac:dyDescent="0.3">
      <c r="A2420" s="1">
        <v>44377</v>
      </c>
      <c r="B2420" t="str">
        <f>"SI216000978"</f>
        <v>SI216000978</v>
      </c>
      <c r="C2420" t="str">
        <f>"PR20000834"</f>
        <v>PR20000834</v>
      </c>
      <c r="D2420" t="str">
        <f>"PR20000834"</f>
        <v>PR20000834</v>
      </c>
      <c r="E2420" t="str">
        <f>"Y"</f>
        <v>Y</v>
      </c>
      <c r="F2420" t="str">
        <f>"חשבוניות מרכזות"</f>
        <v>חשבוניות מרכזות</v>
      </c>
      <c r="G2420" t="str">
        <f>"700065"</f>
        <v>700065</v>
      </c>
      <c r="H2420" t="str">
        <f>"אלתא מערכות בע""מ"</f>
        <v>אלתא מערכות בע"מ</v>
      </c>
      <c r="I2420" t="str">
        <f>"10"</f>
        <v>10</v>
      </c>
      <c r="J2420" t="str">
        <f>"OP-AR02112"</f>
        <v>OP-AR02112</v>
      </c>
      <c r="K2420" t="str">
        <f>"1032F929-001/-   ETHERNET CABLE MFR-W929 - FILTE"</f>
        <v>1032F929-001/-   ETHERNET CABLE MFR-W929 - FILTE</v>
      </c>
      <c r="L2420">
        <v>1</v>
      </c>
      <c r="M2420" t="str">
        <f>"יח"</f>
        <v>יח</v>
      </c>
      <c r="N2420">
        <v>1</v>
      </c>
      <c r="O2420" t="str">
        <f>"יח"</f>
        <v>יח</v>
      </c>
      <c r="P2420">
        <v>176.77</v>
      </c>
      <c r="Q2420" t="str">
        <f>"$"</f>
        <v>$</v>
      </c>
      <c r="R2420" t="str">
        <f>"הזמנה"</f>
        <v>הזמנה</v>
      </c>
      <c r="S2420">
        <v>0</v>
      </c>
      <c r="T2420">
        <v>176.77</v>
      </c>
      <c r="U2420">
        <v>0</v>
      </c>
      <c r="V2420">
        <v>176.77</v>
      </c>
      <c r="W2420" t="str">
        <f>"$"</f>
        <v>$</v>
      </c>
      <c r="X2420">
        <v>0</v>
      </c>
      <c r="Y2420">
        <v>0</v>
      </c>
      <c r="Z2420">
        <v>0</v>
      </c>
      <c r="AA2420" t="str">
        <f>"Y"</f>
        <v>Y</v>
      </c>
      <c r="AB2420" t="str">
        <f>"SO20000532"</f>
        <v>SO20000532</v>
      </c>
      <c r="AC2420">
        <v>53</v>
      </c>
      <c r="AD2420" s="1">
        <v>44155</v>
      </c>
      <c r="AE2420" t="str">
        <f>"SH21001081"</f>
        <v>SH21001081</v>
      </c>
      <c r="AF2420" t="str">
        <f>"משלוחים ללקוח"</f>
        <v>משלוחים ללקוח</v>
      </c>
      <c r="AG2420" s="1">
        <v>44376</v>
      </c>
      <c r="AM2420" t="str">
        <f>"10"</f>
        <v>10</v>
      </c>
      <c r="AN2420" t="str">
        <f>"500000"</f>
        <v>500000</v>
      </c>
      <c r="AO2420" t="str">
        <f>"הכנסות  מלקוחות"</f>
        <v>הכנסות  מלקוחות</v>
      </c>
      <c r="AQ2420" t="str">
        <f>"034"</f>
        <v>034</v>
      </c>
      <c r="AR2420">
        <v>0</v>
      </c>
      <c r="AS2420">
        <v>0</v>
      </c>
      <c r="AT2420">
        <v>3.2610000000000001</v>
      </c>
      <c r="AX2420" t="str">
        <f>"E000321177"</f>
        <v>E000321177</v>
      </c>
      <c r="BD2420" t="str">
        <f>"ערן שלו"</f>
        <v>ערן שלו</v>
      </c>
    </row>
    <row r="2421" spans="1:56" x14ac:dyDescent="0.3">
      <c r="A2421" s="1">
        <v>44377</v>
      </c>
      <c r="B2421" t="str">
        <f>"SI216000978"</f>
        <v>SI216000978</v>
      </c>
      <c r="C2421" t="str">
        <f>"PR20000834"</f>
        <v>PR20000834</v>
      </c>
      <c r="D2421" t="str">
        <f>"PR20000834"</f>
        <v>PR20000834</v>
      </c>
      <c r="E2421" t="str">
        <f>"Y"</f>
        <v>Y</v>
      </c>
      <c r="F2421" t="str">
        <f>"חשבוניות מרכזות"</f>
        <v>חשבוניות מרכזות</v>
      </c>
      <c r="G2421" t="str">
        <f>"700065"</f>
        <v>700065</v>
      </c>
      <c r="H2421" t="str">
        <f>"אלתא מערכות בע""מ"</f>
        <v>אלתא מערכות בע"מ</v>
      </c>
      <c r="I2421" t="str">
        <f>"10"</f>
        <v>10</v>
      </c>
      <c r="J2421" t="str">
        <f>"OP-AR02113"</f>
        <v>OP-AR02113</v>
      </c>
      <c r="K2421" t="str">
        <f>"1032F930-001/-   ETHERNET CABLE MFR-W930 - FILTE"</f>
        <v>1032F930-001/-   ETHERNET CABLE MFR-W930 - FILTE</v>
      </c>
      <c r="L2421">
        <v>1</v>
      </c>
      <c r="M2421" t="str">
        <f>"יח"</f>
        <v>יח</v>
      </c>
      <c r="N2421">
        <v>1</v>
      </c>
      <c r="O2421" t="str">
        <f>"יח"</f>
        <v>יח</v>
      </c>
      <c r="P2421">
        <v>174</v>
      </c>
      <c r="Q2421" t="str">
        <f>"$"</f>
        <v>$</v>
      </c>
      <c r="R2421" t="str">
        <f>"הזמנה"</f>
        <v>הזמנה</v>
      </c>
      <c r="S2421">
        <v>0</v>
      </c>
      <c r="T2421">
        <v>174</v>
      </c>
      <c r="U2421">
        <v>0</v>
      </c>
      <c r="V2421">
        <v>174</v>
      </c>
      <c r="W2421" t="str">
        <f>"$"</f>
        <v>$</v>
      </c>
      <c r="X2421">
        <v>0</v>
      </c>
      <c r="Y2421">
        <v>0</v>
      </c>
      <c r="Z2421">
        <v>0</v>
      </c>
      <c r="AA2421" t="str">
        <f>"Y"</f>
        <v>Y</v>
      </c>
      <c r="AB2421" t="str">
        <f>"SO20000532"</f>
        <v>SO20000532</v>
      </c>
      <c r="AC2421">
        <v>59</v>
      </c>
      <c r="AD2421" s="1">
        <v>44155</v>
      </c>
      <c r="AE2421" t="str">
        <f>"SH21001081"</f>
        <v>SH21001081</v>
      </c>
      <c r="AF2421" t="str">
        <f>"משלוחים ללקוח"</f>
        <v>משלוחים ללקוח</v>
      </c>
      <c r="AG2421" s="1">
        <v>44376</v>
      </c>
      <c r="AM2421" t="str">
        <f>"10"</f>
        <v>10</v>
      </c>
      <c r="AN2421" t="str">
        <f>"500000"</f>
        <v>500000</v>
      </c>
      <c r="AO2421" t="str">
        <f>"הכנסות  מלקוחות"</f>
        <v>הכנסות  מלקוחות</v>
      </c>
      <c r="AQ2421" t="str">
        <f>"034"</f>
        <v>034</v>
      </c>
      <c r="AR2421">
        <v>0</v>
      </c>
      <c r="AS2421">
        <v>0</v>
      </c>
      <c r="AT2421">
        <v>3.2610000000000001</v>
      </c>
      <c r="AX2421" t="str">
        <f>"E000321177"</f>
        <v>E000321177</v>
      </c>
      <c r="BD2421" t="str">
        <f>"ערן שלו"</f>
        <v>ערן שלו</v>
      </c>
    </row>
    <row r="2422" spans="1:56" x14ac:dyDescent="0.3">
      <c r="A2422" s="1">
        <v>44377</v>
      </c>
      <c r="B2422" t="str">
        <f>"SI216000978"</f>
        <v>SI216000978</v>
      </c>
      <c r="C2422" t="str">
        <f>"PR20000834"</f>
        <v>PR20000834</v>
      </c>
      <c r="D2422" t="str">
        <f>"PR20000834"</f>
        <v>PR20000834</v>
      </c>
      <c r="E2422" t="str">
        <f>"Y"</f>
        <v>Y</v>
      </c>
      <c r="F2422" t="str">
        <f>"חשבוניות מרכזות"</f>
        <v>חשבוניות מרכזות</v>
      </c>
      <c r="G2422" t="str">
        <f>"700065"</f>
        <v>700065</v>
      </c>
      <c r="H2422" t="str">
        <f>"אלתא מערכות בע""מ"</f>
        <v>אלתא מערכות בע"מ</v>
      </c>
      <c r="I2422" t="str">
        <f>"10"</f>
        <v>10</v>
      </c>
      <c r="J2422" t="str">
        <f>"OP-AR02114"</f>
        <v>OP-AR02114</v>
      </c>
      <c r="K2422" t="str">
        <f>"1032F931-001/-   ETHERNET CABLE MFR-W931 - FILTE"</f>
        <v>1032F931-001/-   ETHERNET CABLE MFR-W931 - FILTE</v>
      </c>
      <c r="L2422">
        <v>1</v>
      </c>
      <c r="M2422" t="str">
        <f>"יח"</f>
        <v>יח</v>
      </c>
      <c r="N2422">
        <v>1</v>
      </c>
      <c r="O2422" t="str">
        <f>"יח"</f>
        <v>יח</v>
      </c>
      <c r="P2422">
        <v>176.77</v>
      </c>
      <c r="Q2422" t="str">
        <f>"$"</f>
        <v>$</v>
      </c>
      <c r="R2422" t="str">
        <f>"הזמנה"</f>
        <v>הזמנה</v>
      </c>
      <c r="S2422">
        <v>0</v>
      </c>
      <c r="T2422">
        <v>176.77</v>
      </c>
      <c r="U2422">
        <v>0</v>
      </c>
      <c r="V2422">
        <v>176.77</v>
      </c>
      <c r="W2422" t="str">
        <f>"$"</f>
        <v>$</v>
      </c>
      <c r="X2422">
        <v>0</v>
      </c>
      <c r="Y2422">
        <v>0</v>
      </c>
      <c r="Z2422">
        <v>0</v>
      </c>
      <c r="AA2422" t="str">
        <f>"Y"</f>
        <v>Y</v>
      </c>
      <c r="AB2422" t="str">
        <f>"SO20000532"</f>
        <v>SO20000532</v>
      </c>
      <c r="AC2422">
        <v>65</v>
      </c>
      <c r="AD2422" s="1">
        <v>44155</v>
      </c>
      <c r="AE2422" t="str">
        <f>"SH21001081"</f>
        <v>SH21001081</v>
      </c>
      <c r="AF2422" t="str">
        <f>"משלוחים ללקוח"</f>
        <v>משלוחים ללקוח</v>
      </c>
      <c r="AG2422" s="1">
        <v>44376</v>
      </c>
      <c r="AM2422" t="str">
        <f>"10"</f>
        <v>10</v>
      </c>
      <c r="AN2422" t="str">
        <f>"500000"</f>
        <v>500000</v>
      </c>
      <c r="AO2422" t="str">
        <f>"הכנסות  מלקוחות"</f>
        <v>הכנסות  מלקוחות</v>
      </c>
      <c r="AQ2422" t="str">
        <f>"034"</f>
        <v>034</v>
      </c>
      <c r="AR2422">
        <v>0</v>
      </c>
      <c r="AS2422">
        <v>0</v>
      </c>
      <c r="AT2422">
        <v>3.2610000000000001</v>
      </c>
      <c r="AX2422" t="str">
        <f>"E000321177"</f>
        <v>E000321177</v>
      </c>
      <c r="BD2422" t="str">
        <f>"ערן שלו"</f>
        <v>ערן שלו</v>
      </c>
    </row>
    <row r="2423" spans="1:56" x14ac:dyDescent="0.3">
      <c r="A2423" s="1">
        <v>44377</v>
      </c>
      <c r="B2423" t="str">
        <f>"SI216000978"</f>
        <v>SI216000978</v>
      </c>
      <c r="C2423" t="str">
        <f>"PR20000834"</f>
        <v>PR20000834</v>
      </c>
      <c r="D2423" t="str">
        <f>"PR20000834"</f>
        <v>PR20000834</v>
      </c>
      <c r="E2423" t="str">
        <f>"Y"</f>
        <v>Y</v>
      </c>
      <c r="F2423" t="str">
        <f>"חשבוניות מרכזות"</f>
        <v>חשבוניות מרכזות</v>
      </c>
      <c r="G2423" t="str">
        <f>"700065"</f>
        <v>700065</v>
      </c>
      <c r="H2423" t="str">
        <f>"אלתא מערכות בע""מ"</f>
        <v>אלתא מערכות בע"מ</v>
      </c>
      <c r="I2423" t="str">
        <f>"10"</f>
        <v>10</v>
      </c>
      <c r="J2423" t="str">
        <f>"OP-AR02115"</f>
        <v>OP-AR02115</v>
      </c>
      <c r="K2423" t="str">
        <f>"1032F932-001/-   ETHERNET CABLE MFR-W932 - FILTE"</f>
        <v>1032F932-001/-   ETHERNET CABLE MFR-W932 - FILTE</v>
      </c>
      <c r="L2423">
        <v>1</v>
      </c>
      <c r="M2423" t="str">
        <f>"יח"</f>
        <v>יח</v>
      </c>
      <c r="N2423">
        <v>1</v>
      </c>
      <c r="O2423" t="str">
        <f>"יח"</f>
        <v>יח</v>
      </c>
      <c r="P2423">
        <v>176.77</v>
      </c>
      <c r="Q2423" t="str">
        <f>"$"</f>
        <v>$</v>
      </c>
      <c r="R2423" t="str">
        <f>"הזמנה"</f>
        <v>הזמנה</v>
      </c>
      <c r="S2423">
        <v>0</v>
      </c>
      <c r="T2423">
        <v>176.77</v>
      </c>
      <c r="U2423">
        <v>0</v>
      </c>
      <c r="V2423">
        <v>176.77</v>
      </c>
      <c r="W2423" t="str">
        <f>"$"</f>
        <v>$</v>
      </c>
      <c r="X2423">
        <v>0</v>
      </c>
      <c r="Y2423">
        <v>0</v>
      </c>
      <c r="Z2423">
        <v>0</v>
      </c>
      <c r="AA2423" t="str">
        <f>"Y"</f>
        <v>Y</v>
      </c>
      <c r="AB2423" t="str">
        <f>"SO20000532"</f>
        <v>SO20000532</v>
      </c>
      <c r="AC2423">
        <v>71</v>
      </c>
      <c r="AD2423" s="1">
        <v>44155</v>
      </c>
      <c r="AE2423" t="str">
        <f>"SH21001081"</f>
        <v>SH21001081</v>
      </c>
      <c r="AF2423" t="str">
        <f>"משלוחים ללקוח"</f>
        <v>משלוחים ללקוח</v>
      </c>
      <c r="AG2423" s="1">
        <v>44376</v>
      </c>
      <c r="AM2423" t="str">
        <f>"10"</f>
        <v>10</v>
      </c>
      <c r="AN2423" t="str">
        <f>"500000"</f>
        <v>500000</v>
      </c>
      <c r="AO2423" t="str">
        <f>"הכנסות  מלקוחות"</f>
        <v>הכנסות  מלקוחות</v>
      </c>
      <c r="AQ2423" t="str">
        <f>"034"</f>
        <v>034</v>
      </c>
      <c r="AR2423">
        <v>0</v>
      </c>
      <c r="AS2423">
        <v>0</v>
      </c>
      <c r="AT2423">
        <v>3.2610000000000001</v>
      </c>
      <c r="AX2423" t="str">
        <f>"E000321177"</f>
        <v>E000321177</v>
      </c>
      <c r="BD2423" t="str">
        <f>"ערן שלו"</f>
        <v>ערן שלו</v>
      </c>
    </row>
    <row r="2424" spans="1:56" x14ac:dyDescent="0.3">
      <c r="A2424" s="1">
        <v>44377</v>
      </c>
      <c r="B2424" t="str">
        <f>"SI216000978"</f>
        <v>SI216000978</v>
      </c>
      <c r="C2424" t="str">
        <f>"PR20000834"</f>
        <v>PR20000834</v>
      </c>
      <c r="D2424" t="str">
        <f>"PR20000834"</f>
        <v>PR20000834</v>
      </c>
      <c r="E2424" t="str">
        <f>"Y"</f>
        <v>Y</v>
      </c>
      <c r="F2424" t="str">
        <f>"חשבוניות מרכזות"</f>
        <v>חשבוניות מרכזות</v>
      </c>
      <c r="G2424" t="str">
        <f>"700065"</f>
        <v>700065</v>
      </c>
      <c r="H2424" t="str">
        <f>"אלתא מערכות בע""מ"</f>
        <v>אלתא מערכות בע"מ</v>
      </c>
      <c r="I2424" t="str">
        <f>"10"</f>
        <v>10</v>
      </c>
      <c r="J2424" t="str">
        <f>"OP-AR02117"</f>
        <v>OP-AR02117</v>
      </c>
      <c r="K2424" t="str">
        <f>"1032F933-001/-   ETHERNET CABLE MFR-W933 - FILTE"</f>
        <v>1032F933-001/-   ETHERNET CABLE MFR-W933 - FILTE</v>
      </c>
      <c r="L2424">
        <v>1</v>
      </c>
      <c r="M2424" t="str">
        <f>"יח"</f>
        <v>יח</v>
      </c>
      <c r="N2424">
        <v>1</v>
      </c>
      <c r="O2424" t="str">
        <f>"יח"</f>
        <v>יח</v>
      </c>
      <c r="P2424">
        <v>176.77</v>
      </c>
      <c r="Q2424" t="str">
        <f>"$"</f>
        <v>$</v>
      </c>
      <c r="R2424" t="str">
        <f>"הזמנה"</f>
        <v>הזמנה</v>
      </c>
      <c r="S2424">
        <v>0</v>
      </c>
      <c r="T2424">
        <v>176.77</v>
      </c>
      <c r="U2424">
        <v>0</v>
      </c>
      <c r="V2424">
        <v>176.77</v>
      </c>
      <c r="W2424" t="str">
        <f>"$"</f>
        <v>$</v>
      </c>
      <c r="X2424">
        <v>0</v>
      </c>
      <c r="Y2424">
        <v>0</v>
      </c>
      <c r="Z2424">
        <v>0</v>
      </c>
      <c r="AA2424" t="str">
        <f>"Y"</f>
        <v>Y</v>
      </c>
      <c r="AB2424" t="str">
        <f>"SO20000532"</f>
        <v>SO20000532</v>
      </c>
      <c r="AC2424">
        <v>77</v>
      </c>
      <c r="AD2424" s="1">
        <v>44155</v>
      </c>
      <c r="AE2424" t="str">
        <f>"SH21001081"</f>
        <v>SH21001081</v>
      </c>
      <c r="AF2424" t="str">
        <f>"משלוחים ללקוח"</f>
        <v>משלוחים ללקוח</v>
      </c>
      <c r="AG2424" s="1">
        <v>44376</v>
      </c>
      <c r="AM2424" t="str">
        <f>"10"</f>
        <v>10</v>
      </c>
      <c r="AN2424" t="str">
        <f>"500000"</f>
        <v>500000</v>
      </c>
      <c r="AO2424" t="str">
        <f>"הכנסות  מלקוחות"</f>
        <v>הכנסות  מלקוחות</v>
      </c>
      <c r="AQ2424" t="str">
        <f>"034"</f>
        <v>034</v>
      </c>
      <c r="AR2424">
        <v>0</v>
      </c>
      <c r="AS2424">
        <v>0</v>
      </c>
      <c r="AT2424">
        <v>3.2610000000000001</v>
      </c>
      <c r="AX2424" t="str">
        <f>"E000321177"</f>
        <v>E000321177</v>
      </c>
      <c r="BD2424" t="str">
        <f>"ערן שלו"</f>
        <v>ערן שלו</v>
      </c>
    </row>
    <row r="2425" spans="1:56" x14ac:dyDescent="0.3">
      <c r="A2425" s="1">
        <v>44377</v>
      </c>
      <c r="B2425" t="str">
        <f>"SI216000978"</f>
        <v>SI216000978</v>
      </c>
      <c r="C2425" t="str">
        <f>"PR20000834"</f>
        <v>PR20000834</v>
      </c>
      <c r="D2425" t="str">
        <f>"PR20000834"</f>
        <v>PR20000834</v>
      </c>
      <c r="E2425" t="str">
        <f>"Y"</f>
        <v>Y</v>
      </c>
      <c r="F2425" t="str">
        <f>"חשבוניות מרכזות"</f>
        <v>חשבוניות מרכזות</v>
      </c>
      <c r="G2425" t="str">
        <f>"700065"</f>
        <v>700065</v>
      </c>
      <c r="H2425" t="str">
        <f>"אלתא מערכות בע""מ"</f>
        <v>אלתא מערכות בע"מ</v>
      </c>
      <c r="I2425" t="str">
        <f>"10"</f>
        <v>10</v>
      </c>
      <c r="J2425" t="str">
        <f>"OP-AR02118"</f>
        <v>OP-AR02118</v>
      </c>
      <c r="K2425" t="str">
        <f>"1032F934-001/-   ETHERNET CABLE MFR-W934 - FILTE"</f>
        <v>1032F934-001/-   ETHERNET CABLE MFR-W934 - FILTE</v>
      </c>
      <c r="L2425">
        <v>1</v>
      </c>
      <c r="M2425" t="str">
        <f>"יח"</f>
        <v>יח</v>
      </c>
      <c r="N2425">
        <v>1</v>
      </c>
      <c r="O2425" t="str">
        <f>"יח"</f>
        <v>יח</v>
      </c>
      <c r="P2425">
        <v>176.77</v>
      </c>
      <c r="Q2425" t="str">
        <f>"$"</f>
        <v>$</v>
      </c>
      <c r="R2425" t="str">
        <f>"הזמנה"</f>
        <v>הזמנה</v>
      </c>
      <c r="S2425">
        <v>0</v>
      </c>
      <c r="T2425">
        <v>176.77</v>
      </c>
      <c r="U2425">
        <v>0</v>
      </c>
      <c r="V2425">
        <v>176.77</v>
      </c>
      <c r="W2425" t="str">
        <f>"$"</f>
        <v>$</v>
      </c>
      <c r="X2425">
        <v>0</v>
      </c>
      <c r="Y2425">
        <v>0</v>
      </c>
      <c r="Z2425">
        <v>0</v>
      </c>
      <c r="AA2425" t="str">
        <f>"Y"</f>
        <v>Y</v>
      </c>
      <c r="AB2425" t="str">
        <f>"SO20000532"</f>
        <v>SO20000532</v>
      </c>
      <c r="AC2425">
        <v>83</v>
      </c>
      <c r="AD2425" s="1">
        <v>44155</v>
      </c>
      <c r="AE2425" t="str">
        <f>"SH21001081"</f>
        <v>SH21001081</v>
      </c>
      <c r="AF2425" t="str">
        <f>"משלוחים ללקוח"</f>
        <v>משלוחים ללקוח</v>
      </c>
      <c r="AG2425" s="1">
        <v>44376</v>
      </c>
      <c r="AM2425" t="str">
        <f>"10"</f>
        <v>10</v>
      </c>
      <c r="AN2425" t="str">
        <f>"500000"</f>
        <v>500000</v>
      </c>
      <c r="AO2425" t="str">
        <f>"הכנסות  מלקוחות"</f>
        <v>הכנסות  מלקוחות</v>
      </c>
      <c r="AQ2425" t="str">
        <f>"034"</f>
        <v>034</v>
      </c>
      <c r="AR2425">
        <v>0</v>
      </c>
      <c r="AS2425">
        <v>0</v>
      </c>
      <c r="AT2425">
        <v>3.2610000000000001</v>
      </c>
      <c r="AX2425" t="str">
        <f>"E000321177"</f>
        <v>E000321177</v>
      </c>
      <c r="BD2425" t="str">
        <f>"ערן שלו"</f>
        <v>ערן שלו</v>
      </c>
    </row>
    <row r="2426" spans="1:56" x14ac:dyDescent="0.3">
      <c r="A2426" s="1">
        <v>44377</v>
      </c>
      <c r="B2426" t="str">
        <f>"SI216000978"</f>
        <v>SI216000978</v>
      </c>
      <c r="C2426" t="str">
        <f>"PR20000834"</f>
        <v>PR20000834</v>
      </c>
      <c r="D2426" t="str">
        <f>"PR20000834"</f>
        <v>PR20000834</v>
      </c>
      <c r="E2426" t="str">
        <f>"Y"</f>
        <v>Y</v>
      </c>
      <c r="F2426" t="str">
        <f>"חשבוניות מרכזות"</f>
        <v>חשבוניות מרכזות</v>
      </c>
      <c r="G2426" t="str">
        <f>"700065"</f>
        <v>700065</v>
      </c>
      <c r="H2426" t="str">
        <f>"אלתא מערכות בע""מ"</f>
        <v>אלתא מערכות בע"מ</v>
      </c>
      <c r="I2426" t="str">
        <f>"10"</f>
        <v>10</v>
      </c>
      <c r="J2426" t="str">
        <f>"OP-AR02119"</f>
        <v>OP-AR02119</v>
      </c>
      <c r="K2426" t="str">
        <f>"1032F935-001/-   ETHERNET CABLE MFR-W935 - FILTE"</f>
        <v>1032F935-001/-   ETHERNET CABLE MFR-W935 - FILTE</v>
      </c>
      <c r="L2426">
        <v>1</v>
      </c>
      <c r="M2426" t="str">
        <f>"יח"</f>
        <v>יח</v>
      </c>
      <c r="N2426">
        <v>1</v>
      </c>
      <c r="O2426" t="str">
        <f>"יח"</f>
        <v>יח</v>
      </c>
      <c r="P2426">
        <v>174</v>
      </c>
      <c r="Q2426" t="str">
        <f>"$"</f>
        <v>$</v>
      </c>
      <c r="R2426" t="str">
        <f>"הזמנה"</f>
        <v>הזמנה</v>
      </c>
      <c r="S2426">
        <v>0</v>
      </c>
      <c r="T2426">
        <v>174</v>
      </c>
      <c r="U2426">
        <v>0</v>
      </c>
      <c r="V2426">
        <v>174</v>
      </c>
      <c r="W2426" t="str">
        <f>"$"</f>
        <v>$</v>
      </c>
      <c r="X2426">
        <v>0</v>
      </c>
      <c r="Y2426">
        <v>0</v>
      </c>
      <c r="Z2426">
        <v>0</v>
      </c>
      <c r="AA2426" t="str">
        <f>"Y"</f>
        <v>Y</v>
      </c>
      <c r="AB2426" t="str">
        <f>"SO20000532"</f>
        <v>SO20000532</v>
      </c>
      <c r="AC2426">
        <v>89</v>
      </c>
      <c r="AD2426" s="1">
        <v>44155</v>
      </c>
      <c r="AE2426" t="str">
        <f>"SH21001081"</f>
        <v>SH21001081</v>
      </c>
      <c r="AF2426" t="str">
        <f>"משלוחים ללקוח"</f>
        <v>משלוחים ללקוח</v>
      </c>
      <c r="AG2426" s="1">
        <v>44376</v>
      </c>
      <c r="AM2426" t="str">
        <f>"10"</f>
        <v>10</v>
      </c>
      <c r="AN2426" t="str">
        <f>"500000"</f>
        <v>500000</v>
      </c>
      <c r="AO2426" t="str">
        <f>"הכנסות  מלקוחות"</f>
        <v>הכנסות  מלקוחות</v>
      </c>
      <c r="AQ2426" t="str">
        <f>"034"</f>
        <v>034</v>
      </c>
      <c r="AR2426">
        <v>0</v>
      </c>
      <c r="AS2426">
        <v>0</v>
      </c>
      <c r="AT2426">
        <v>3.2610000000000001</v>
      </c>
      <c r="AX2426" t="str">
        <f>"E000321177"</f>
        <v>E000321177</v>
      </c>
      <c r="BD2426" t="str">
        <f>"ערן שלו"</f>
        <v>ערן שלו</v>
      </c>
    </row>
    <row r="2427" spans="1:56" x14ac:dyDescent="0.3">
      <c r="A2427" s="1">
        <v>44377</v>
      </c>
      <c r="B2427" t="str">
        <f>"SI216000978"</f>
        <v>SI216000978</v>
      </c>
      <c r="C2427" t="str">
        <f>"PR20000834"</f>
        <v>PR20000834</v>
      </c>
      <c r="D2427" t="str">
        <f>"PR20000834"</f>
        <v>PR20000834</v>
      </c>
      <c r="E2427" t="str">
        <f>"Y"</f>
        <v>Y</v>
      </c>
      <c r="F2427" t="str">
        <f>"חשבוניות מרכזות"</f>
        <v>חשבוניות מרכזות</v>
      </c>
      <c r="G2427" t="str">
        <f>"700065"</f>
        <v>700065</v>
      </c>
      <c r="H2427" t="str">
        <f>"אלתא מערכות בע""מ"</f>
        <v>אלתא מערכות בע"מ</v>
      </c>
      <c r="I2427" t="str">
        <f>"10"</f>
        <v>10</v>
      </c>
      <c r="J2427" t="str">
        <f>"OP-AR02120"</f>
        <v>OP-AR02120</v>
      </c>
      <c r="K2427" t="str">
        <f>"1032F936-001/-   ETHERNET CABLE MFR-W936 - FILTE"</f>
        <v>1032F936-001/-   ETHERNET CABLE MFR-W936 - FILTE</v>
      </c>
      <c r="L2427">
        <v>1</v>
      </c>
      <c r="M2427" t="str">
        <f>"יח"</f>
        <v>יח</v>
      </c>
      <c r="N2427">
        <v>1</v>
      </c>
      <c r="O2427" t="str">
        <f>"יח"</f>
        <v>יח</v>
      </c>
      <c r="P2427">
        <v>176.77</v>
      </c>
      <c r="Q2427" t="str">
        <f>"$"</f>
        <v>$</v>
      </c>
      <c r="R2427" t="str">
        <f>"הזמנה"</f>
        <v>הזמנה</v>
      </c>
      <c r="S2427">
        <v>0</v>
      </c>
      <c r="T2427">
        <v>176.77</v>
      </c>
      <c r="U2427">
        <v>0</v>
      </c>
      <c r="V2427">
        <v>176.77</v>
      </c>
      <c r="W2427" t="str">
        <f>"$"</f>
        <v>$</v>
      </c>
      <c r="X2427">
        <v>0</v>
      </c>
      <c r="Y2427">
        <v>0</v>
      </c>
      <c r="Z2427">
        <v>0</v>
      </c>
      <c r="AA2427" t="str">
        <f>"Y"</f>
        <v>Y</v>
      </c>
      <c r="AB2427" t="str">
        <f>"SO20000532"</f>
        <v>SO20000532</v>
      </c>
      <c r="AC2427">
        <v>95</v>
      </c>
      <c r="AD2427" s="1">
        <v>44155</v>
      </c>
      <c r="AE2427" t="str">
        <f>"SH21001081"</f>
        <v>SH21001081</v>
      </c>
      <c r="AF2427" t="str">
        <f>"משלוחים ללקוח"</f>
        <v>משלוחים ללקוח</v>
      </c>
      <c r="AG2427" s="1">
        <v>44376</v>
      </c>
      <c r="AM2427" t="str">
        <f>"10"</f>
        <v>10</v>
      </c>
      <c r="AN2427" t="str">
        <f>"500000"</f>
        <v>500000</v>
      </c>
      <c r="AO2427" t="str">
        <f>"הכנסות  מלקוחות"</f>
        <v>הכנסות  מלקוחות</v>
      </c>
      <c r="AQ2427" t="str">
        <f>"034"</f>
        <v>034</v>
      </c>
      <c r="AR2427">
        <v>0</v>
      </c>
      <c r="AS2427">
        <v>0</v>
      </c>
      <c r="AT2427">
        <v>3.2610000000000001</v>
      </c>
      <c r="AX2427" t="str">
        <f>"E000321177"</f>
        <v>E000321177</v>
      </c>
      <c r="BD2427" t="str">
        <f>"ערן שלו"</f>
        <v>ערן שלו</v>
      </c>
    </row>
    <row r="2428" spans="1:56" x14ac:dyDescent="0.3">
      <c r="A2428" s="1">
        <v>44377</v>
      </c>
      <c r="B2428" t="str">
        <f>"SI216000978"</f>
        <v>SI216000978</v>
      </c>
      <c r="C2428" t="str">
        <f>"PR20000834"</f>
        <v>PR20000834</v>
      </c>
      <c r="D2428" t="str">
        <f>"PR20000834"</f>
        <v>PR20000834</v>
      </c>
      <c r="E2428" t="str">
        <f>"Y"</f>
        <v>Y</v>
      </c>
      <c r="F2428" t="str">
        <f>"חשבוניות מרכזות"</f>
        <v>חשבוניות מרכזות</v>
      </c>
      <c r="G2428" t="str">
        <f>"700065"</f>
        <v>700065</v>
      </c>
      <c r="H2428" t="str">
        <f>"אלתא מערכות בע""מ"</f>
        <v>אלתא מערכות בע"מ</v>
      </c>
      <c r="I2428" t="str">
        <f>"10"</f>
        <v>10</v>
      </c>
      <c r="J2428" t="str">
        <f>"OP-AR02121"</f>
        <v>OP-AR02121</v>
      </c>
      <c r="K2428" t="str">
        <f>"1032F937-001/-   ETHERNET CABLE MFR-W937 - FILTE"</f>
        <v>1032F937-001/-   ETHERNET CABLE MFR-W937 - FILTE</v>
      </c>
      <c r="L2428">
        <v>1</v>
      </c>
      <c r="M2428" t="str">
        <f>"יח"</f>
        <v>יח</v>
      </c>
      <c r="N2428">
        <v>1</v>
      </c>
      <c r="O2428" t="str">
        <f>"יח"</f>
        <v>יח</v>
      </c>
      <c r="P2428">
        <v>174</v>
      </c>
      <c r="Q2428" t="str">
        <f>"$"</f>
        <v>$</v>
      </c>
      <c r="R2428" t="str">
        <f>"הזמנה"</f>
        <v>הזמנה</v>
      </c>
      <c r="S2428">
        <v>0</v>
      </c>
      <c r="T2428">
        <v>174</v>
      </c>
      <c r="U2428">
        <v>0</v>
      </c>
      <c r="V2428">
        <v>174</v>
      </c>
      <c r="W2428" t="str">
        <f>"$"</f>
        <v>$</v>
      </c>
      <c r="X2428">
        <v>0</v>
      </c>
      <c r="Y2428">
        <v>0</v>
      </c>
      <c r="Z2428">
        <v>0</v>
      </c>
      <c r="AA2428" t="str">
        <f>"Y"</f>
        <v>Y</v>
      </c>
      <c r="AB2428" t="str">
        <f>"SO20000532"</f>
        <v>SO20000532</v>
      </c>
      <c r="AC2428">
        <v>101</v>
      </c>
      <c r="AD2428" s="1">
        <v>44155</v>
      </c>
      <c r="AE2428" t="str">
        <f>"SH21001081"</f>
        <v>SH21001081</v>
      </c>
      <c r="AF2428" t="str">
        <f>"משלוחים ללקוח"</f>
        <v>משלוחים ללקוח</v>
      </c>
      <c r="AG2428" s="1">
        <v>44376</v>
      </c>
      <c r="AM2428" t="str">
        <f>"10"</f>
        <v>10</v>
      </c>
      <c r="AN2428" t="str">
        <f>"500000"</f>
        <v>500000</v>
      </c>
      <c r="AO2428" t="str">
        <f>"הכנסות  מלקוחות"</f>
        <v>הכנסות  מלקוחות</v>
      </c>
      <c r="AQ2428" t="str">
        <f>"034"</f>
        <v>034</v>
      </c>
      <c r="AR2428">
        <v>0</v>
      </c>
      <c r="AS2428">
        <v>0</v>
      </c>
      <c r="AT2428">
        <v>3.2610000000000001</v>
      </c>
      <c r="AX2428" t="str">
        <f>"E000321177"</f>
        <v>E000321177</v>
      </c>
      <c r="BD2428" t="str">
        <f>"ערן שלו"</f>
        <v>ערן שלו</v>
      </c>
    </row>
    <row r="2429" spans="1:56" x14ac:dyDescent="0.3">
      <c r="A2429" s="1">
        <v>44377</v>
      </c>
      <c r="B2429" t="str">
        <f>"SI216000978"</f>
        <v>SI216000978</v>
      </c>
      <c r="C2429" t="str">
        <f>"PR20000834"</f>
        <v>PR20000834</v>
      </c>
      <c r="D2429" t="str">
        <f>"PR20000834"</f>
        <v>PR20000834</v>
      </c>
      <c r="E2429" t="str">
        <f>"Y"</f>
        <v>Y</v>
      </c>
      <c r="F2429" t="str">
        <f>"חשבוניות מרכזות"</f>
        <v>חשבוניות מרכזות</v>
      </c>
      <c r="G2429" t="str">
        <f>"700065"</f>
        <v>700065</v>
      </c>
      <c r="H2429" t="str">
        <f>"אלתא מערכות בע""מ"</f>
        <v>אלתא מערכות בע"מ</v>
      </c>
      <c r="I2429" t="str">
        <f>"10"</f>
        <v>10</v>
      </c>
      <c r="J2429" t="str">
        <f>"OP-AR02122"</f>
        <v>OP-AR02122</v>
      </c>
      <c r="K2429" t="str">
        <f>"1032F938-001/-   ETHERNET CABLE MFR-W938 - FILTE"</f>
        <v>1032F938-001/-   ETHERNET CABLE MFR-W938 - FILTE</v>
      </c>
      <c r="L2429">
        <v>1</v>
      </c>
      <c r="M2429" t="str">
        <f>"יח"</f>
        <v>יח</v>
      </c>
      <c r="N2429">
        <v>1</v>
      </c>
      <c r="O2429" t="str">
        <f>"יח"</f>
        <v>יח</v>
      </c>
      <c r="P2429">
        <v>174</v>
      </c>
      <c r="Q2429" t="str">
        <f>"$"</f>
        <v>$</v>
      </c>
      <c r="R2429" t="str">
        <f>"הזמנה"</f>
        <v>הזמנה</v>
      </c>
      <c r="S2429">
        <v>0</v>
      </c>
      <c r="T2429">
        <v>174</v>
      </c>
      <c r="U2429">
        <v>0</v>
      </c>
      <c r="V2429">
        <v>174</v>
      </c>
      <c r="W2429" t="str">
        <f>"$"</f>
        <v>$</v>
      </c>
      <c r="X2429">
        <v>0</v>
      </c>
      <c r="Y2429">
        <v>0</v>
      </c>
      <c r="Z2429">
        <v>0</v>
      </c>
      <c r="AA2429" t="str">
        <f>"Y"</f>
        <v>Y</v>
      </c>
      <c r="AB2429" t="str">
        <f>"SO20000532"</f>
        <v>SO20000532</v>
      </c>
      <c r="AC2429">
        <v>107</v>
      </c>
      <c r="AD2429" s="1">
        <v>44155</v>
      </c>
      <c r="AE2429" t="str">
        <f>"SH21001081"</f>
        <v>SH21001081</v>
      </c>
      <c r="AF2429" t="str">
        <f>"משלוחים ללקוח"</f>
        <v>משלוחים ללקוח</v>
      </c>
      <c r="AG2429" s="1">
        <v>44376</v>
      </c>
      <c r="AM2429" t="str">
        <f>"10"</f>
        <v>10</v>
      </c>
      <c r="AN2429" t="str">
        <f>"500000"</f>
        <v>500000</v>
      </c>
      <c r="AO2429" t="str">
        <f>"הכנסות  מלקוחות"</f>
        <v>הכנסות  מלקוחות</v>
      </c>
      <c r="AQ2429" t="str">
        <f>"034"</f>
        <v>034</v>
      </c>
      <c r="AR2429">
        <v>0</v>
      </c>
      <c r="AS2429">
        <v>0</v>
      </c>
      <c r="AT2429">
        <v>3.2610000000000001</v>
      </c>
      <c r="AX2429" t="str">
        <f>"E000321177"</f>
        <v>E000321177</v>
      </c>
      <c r="BD2429" t="str">
        <f>"ערן שלו"</f>
        <v>ערן שלו</v>
      </c>
    </row>
    <row r="2430" spans="1:56" x14ac:dyDescent="0.3">
      <c r="A2430" s="1">
        <v>44377</v>
      </c>
      <c r="B2430" t="str">
        <f>"SI216000978"</f>
        <v>SI216000978</v>
      </c>
      <c r="C2430" t="str">
        <f>"PR20000834"</f>
        <v>PR20000834</v>
      </c>
      <c r="D2430" t="str">
        <f>"PR20000834"</f>
        <v>PR20000834</v>
      </c>
      <c r="E2430" t="str">
        <f>"Y"</f>
        <v>Y</v>
      </c>
      <c r="F2430" t="str">
        <f>"חשבוניות מרכזות"</f>
        <v>חשבוניות מרכזות</v>
      </c>
      <c r="G2430" t="str">
        <f>"700065"</f>
        <v>700065</v>
      </c>
      <c r="H2430" t="str">
        <f>"אלתא מערכות בע""מ"</f>
        <v>אלתא מערכות בע"מ</v>
      </c>
      <c r="I2430" t="str">
        <f>"10"</f>
        <v>10</v>
      </c>
      <c r="J2430" t="str">
        <f>"OP-AR02123"</f>
        <v>OP-AR02123</v>
      </c>
      <c r="K2430" t="str">
        <f>"1032F939-001/-   ETHERNET CABLE MFR-W939 - FILTE"</f>
        <v>1032F939-001/-   ETHERNET CABLE MFR-W939 - FILTE</v>
      </c>
      <c r="L2430">
        <v>1</v>
      </c>
      <c r="M2430" t="str">
        <f>"יח"</f>
        <v>יח</v>
      </c>
      <c r="N2430">
        <v>1</v>
      </c>
      <c r="O2430" t="str">
        <f>"יח"</f>
        <v>יח</v>
      </c>
      <c r="P2430">
        <v>174</v>
      </c>
      <c r="Q2430" t="str">
        <f>"$"</f>
        <v>$</v>
      </c>
      <c r="R2430" t="str">
        <f>"הזמנה"</f>
        <v>הזמנה</v>
      </c>
      <c r="S2430">
        <v>0</v>
      </c>
      <c r="T2430">
        <v>174</v>
      </c>
      <c r="U2430">
        <v>0</v>
      </c>
      <c r="V2430">
        <v>174</v>
      </c>
      <c r="W2430" t="str">
        <f>"$"</f>
        <v>$</v>
      </c>
      <c r="X2430">
        <v>0</v>
      </c>
      <c r="Y2430">
        <v>0</v>
      </c>
      <c r="Z2430">
        <v>0</v>
      </c>
      <c r="AA2430" t="str">
        <f>"Y"</f>
        <v>Y</v>
      </c>
      <c r="AB2430" t="str">
        <f>"SO20000532"</f>
        <v>SO20000532</v>
      </c>
      <c r="AC2430">
        <v>113</v>
      </c>
      <c r="AD2430" s="1">
        <v>44155</v>
      </c>
      <c r="AE2430" t="str">
        <f>"SH21001081"</f>
        <v>SH21001081</v>
      </c>
      <c r="AF2430" t="str">
        <f>"משלוחים ללקוח"</f>
        <v>משלוחים ללקוח</v>
      </c>
      <c r="AG2430" s="1">
        <v>44376</v>
      </c>
      <c r="AM2430" t="str">
        <f>"10"</f>
        <v>10</v>
      </c>
      <c r="AN2430" t="str">
        <f>"500000"</f>
        <v>500000</v>
      </c>
      <c r="AO2430" t="str">
        <f>"הכנסות  מלקוחות"</f>
        <v>הכנסות  מלקוחות</v>
      </c>
      <c r="AQ2430" t="str">
        <f>"034"</f>
        <v>034</v>
      </c>
      <c r="AR2430">
        <v>0</v>
      </c>
      <c r="AS2430">
        <v>0</v>
      </c>
      <c r="AT2430">
        <v>3.2610000000000001</v>
      </c>
      <c r="AX2430" t="str">
        <f>"E000321177"</f>
        <v>E000321177</v>
      </c>
      <c r="BD2430" t="str">
        <f>"ערן שלו"</f>
        <v>ערן שלו</v>
      </c>
    </row>
    <row r="2431" spans="1:56" x14ac:dyDescent="0.3">
      <c r="A2431" s="1">
        <v>44377</v>
      </c>
      <c r="B2431" t="str">
        <f>"SI216000978"</f>
        <v>SI216000978</v>
      </c>
      <c r="C2431" t="str">
        <f>"PR20000834"</f>
        <v>PR20000834</v>
      </c>
      <c r="D2431" t="str">
        <f>"PR20000834"</f>
        <v>PR20000834</v>
      </c>
      <c r="E2431" t="str">
        <f>"Y"</f>
        <v>Y</v>
      </c>
      <c r="F2431" t="str">
        <f>"חשבוניות מרכזות"</f>
        <v>חשבוניות מרכזות</v>
      </c>
      <c r="G2431" t="str">
        <f>"700065"</f>
        <v>700065</v>
      </c>
      <c r="H2431" t="str">
        <f>"אלתא מערכות בע""מ"</f>
        <v>אלתא מערכות בע"מ</v>
      </c>
      <c r="I2431" t="str">
        <f>"10"</f>
        <v>10</v>
      </c>
      <c r="J2431" t="str">
        <f>"OP-AR02124"</f>
        <v>OP-AR02124</v>
      </c>
      <c r="K2431" t="str">
        <f>"1032F940-001/-   ETHERNET CABLE MFR-W940 - FILTE"</f>
        <v>1032F940-001/-   ETHERNET CABLE MFR-W940 - FILTE</v>
      </c>
      <c r="L2431">
        <v>1</v>
      </c>
      <c r="M2431" t="str">
        <f>"יח"</f>
        <v>יח</v>
      </c>
      <c r="N2431">
        <v>1</v>
      </c>
      <c r="O2431" t="str">
        <f>"יח"</f>
        <v>יח</v>
      </c>
      <c r="P2431">
        <v>174</v>
      </c>
      <c r="Q2431" t="str">
        <f>"$"</f>
        <v>$</v>
      </c>
      <c r="R2431" t="str">
        <f>"הזמנה"</f>
        <v>הזמנה</v>
      </c>
      <c r="S2431">
        <v>0</v>
      </c>
      <c r="T2431">
        <v>174</v>
      </c>
      <c r="U2431">
        <v>0</v>
      </c>
      <c r="V2431">
        <v>174</v>
      </c>
      <c r="W2431" t="str">
        <f>"$"</f>
        <v>$</v>
      </c>
      <c r="X2431">
        <v>0</v>
      </c>
      <c r="Y2431">
        <v>0</v>
      </c>
      <c r="Z2431">
        <v>0</v>
      </c>
      <c r="AA2431" t="str">
        <f>"Y"</f>
        <v>Y</v>
      </c>
      <c r="AB2431" t="str">
        <f>"SO20000532"</f>
        <v>SO20000532</v>
      </c>
      <c r="AC2431">
        <v>119</v>
      </c>
      <c r="AD2431" s="1">
        <v>44155</v>
      </c>
      <c r="AE2431" t="str">
        <f>"SH21001081"</f>
        <v>SH21001081</v>
      </c>
      <c r="AF2431" t="str">
        <f>"משלוחים ללקוח"</f>
        <v>משלוחים ללקוח</v>
      </c>
      <c r="AG2431" s="1">
        <v>44376</v>
      </c>
      <c r="AM2431" t="str">
        <f>"10"</f>
        <v>10</v>
      </c>
      <c r="AN2431" t="str">
        <f>"500000"</f>
        <v>500000</v>
      </c>
      <c r="AO2431" t="str">
        <f>"הכנסות  מלקוחות"</f>
        <v>הכנסות  מלקוחות</v>
      </c>
      <c r="AQ2431" t="str">
        <f>"034"</f>
        <v>034</v>
      </c>
      <c r="AR2431">
        <v>0</v>
      </c>
      <c r="AS2431">
        <v>0</v>
      </c>
      <c r="AT2431">
        <v>3.2610000000000001</v>
      </c>
      <c r="AX2431" t="str">
        <f>"E000321177"</f>
        <v>E000321177</v>
      </c>
      <c r="BD2431" t="str">
        <f>"ערן שלו"</f>
        <v>ערן שלו</v>
      </c>
    </row>
    <row r="2432" spans="1:56" x14ac:dyDescent="0.3">
      <c r="A2432" s="1">
        <v>44377</v>
      </c>
      <c r="B2432" t="str">
        <f>"SI216000978"</f>
        <v>SI216000978</v>
      </c>
      <c r="C2432" t="str">
        <f>"PR20000834"</f>
        <v>PR20000834</v>
      </c>
      <c r="D2432" t="str">
        <f>"PR20000834"</f>
        <v>PR20000834</v>
      </c>
      <c r="E2432" t="str">
        <f>"Y"</f>
        <v>Y</v>
      </c>
      <c r="F2432" t="str">
        <f>"חשבוניות מרכזות"</f>
        <v>חשבוניות מרכזות</v>
      </c>
      <c r="G2432" t="str">
        <f>"700065"</f>
        <v>700065</v>
      </c>
      <c r="H2432" t="str">
        <f>"אלתא מערכות בע""מ"</f>
        <v>אלתא מערכות בע"מ</v>
      </c>
      <c r="I2432" t="str">
        <f>"10"</f>
        <v>10</v>
      </c>
      <c r="J2432" t="str">
        <f>"OP-AR02125"</f>
        <v>OP-AR02125</v>
      </c>
      <c r="K2432" t="str">
        <f>"1032F941-001/-   ETHERNET CABLE MFR-W941 - FILTE"</f>
        <v>1032F941-001/-   ETHERNET CABLE MFR-W941 - FILTE</v>
      </c>
      <c r="L2432">
        <v>1</v>
      </c>
      <c r="M2432" t="str">
        <f>"יח"</f>
        <v>יח</v>
      </c>
      <c r="N2432">
        <v>1</v>
      </c>
      <c r="O2432" t="str">
        <f>"יח"</f>
        <v>יח</v>
      </c>
      <c r="P2432">
        <v>174</v>
      </c>
      <c r="Q2432" t="str">
        <f>"$"</f>
        <v>$</v>
      </c>
      <c r="R2432" t="str">
        <f>"הזמנה"</f>
        <v>הזמנה</v>
      </c>
      <c r="S2432">
        <v>0</v>
      </c>
      <c r="T2432">
        <v>174</v>
      </c>
      <c r="U2432">
        <v>0</v>
      </c>
      <c r="V2432">
        <v>174</v>
      </c>
      <c r="W2432" t="str">
        <f>"$"</f>
        <v>$</v>
      </c>
      <c r="X2432">
        <v>0</v>
      </c>
      <c r="Y2432">
        <v>0</v>
      </c>
      <c r="Z2432">
        <v>0</v>
      </c>
      <c r="AA2432" t="str">
        <f>"Y"</f>
        <v>Y</v>
      </c>
      <c r="AB2432" t="str">
        <f>"SO20000532"</f>
        <v>SO20000532</v>
      </c>
      <c r="AC2432">
        <v>125</v>
      </c>
      <c r="AD2432" s="1">
        <v>44155</v>
      </c>
      <c r="AE2432" t="str">
        <f>"SH21001081"</f>
        <v>SH21001081</v>
      </c>
      <c r="AF2432" t="str">
        <f>"משלוחים ללקוח"</f>
        <v>משלוחים ללקוח</v>
      </c>
      <c r="AG2432" s="1">
        <v>44376</v>
      </c>
      <c r="AM2432" t="str">
        <f>"10"</f>
        <v>10</v>
      </c>
      <c r="AN2432" t="str">
        <f>"500000"</f>
        <v>500000</v>
      </c>
      <c r="AO2432" t="str">
        <f>"הכנסות  מלקוחות"</f>
        <v>הכנסות  מלקוחות</v>
      </c>
      <c r="AQ2432" t="str">
        <f>"034"</f>
        <v>034</v>
      </c>
      <c r="AR2432">
        <v>0</v>
      </c>
      <c r="AS2432">
        <v>0</v>
      </c>
      <c r="AT2432">
        <v>3.2610000000000001</v>
      </c>
      <c r="AX2432" t="str">
        <f>"E000321177"</f>
        <v>E000321177</v>
      </c>
      <c r="BD2432" t="str">
        <f>"ערן שלו"</f>
        <v>ערן שלו</v>
      </c>
    </row>
    <row r="2433" spans="1:56" x14ac:dyDescent="0.3">
      <c r="A2433" s="1">
        <v>44377</v>
      </c>
      <c r="B2433" t="str">
        <f>"SI216000978"</f>
        <v>SI216000978</v>
      </c>
      <c r="C2433" t="str">
        <f>"PR20000834"</f>
        <v>PR20000834</v>
      </c>
      <c r="D2433" t="str">
        <f>"PR20000834"</f>
        <v>PR20000834</v>
      </c>
      <c r="E2433" t="str">
        <f>"Y"</f>
        <v>Y</v>
      </c>
      <c r="F2433" t="str">
        <f>"חשבוניות מרכזות"</f>
        <v>חשבוניות מרכזות</v>
      </c>
      <c r="G2433" t="str">
        <f>"700065"</f>
        <v>700065</v>
      </c>
      <c r="H2433" t="str">
        <f>"אלתא מערכות בע""מ"</f>
        <v>אלתא מערכות בע"מ</v>
      </c>
      <c r="I2433" t="str">
        <f>"10"</f>
        <v>10</v>
      </c>
      <c r="J2433" t="str">
        <f>"OP-AR02126"</f>
        <v>OP-AR02126</v>
      </c>
      <c r="K2433" t="str">
        <f>"1032F942-001/-   ETHERNET CABLE MFR-W942 - FILTE"</f>
        <v>1032F942-001/-   ETHERNET CABLE MFR-W942 - FILTE</v>
      </c>
      <c r="L2433">
        <v>2</v>
      </c>
      <c r="M2433" t="str">
        <f>"יח"</f>
        <v>יח</v>
      </c>
      <c r="N2433">
        <v>2</v>
      </c>
      <c r="O2433" t="str">
        <f>"יח"</f>
        <v>יח</v>
      </c>
      <c r="P2433">
        <v>174</v>
      </c>
      <c r="Q2433" t="str">
        <f>"$"</f>
        <v>$</v>
      </c>
      <c r="R2433" t="str">
        <f>"הזמנה"</f>
        <v>הזמנה</v>
      </c>
      <c r="S2433">
        <v>0</v>
      </c>
      <c r="T2433">
        <v>348</v>
      </c>
      <c r="U2433">
        <v>0</v>
      </c>
      <c r="V2433">
        <v>348</v>
      </c>
      <c r="W2433" t="str">
        <f>"$"</f>
        <v>$</v>
      </c>
      <c r="X2433">
        <v>0</v>
      </c>
      <c r="Y2433">
        <v>0</v>
      </c>
      <c r="Z2433">
        <v>0</v>
      </c>
      <c r="AA2433" t="str">
        <f>"Y"</f>
        <v>Y</v>
      </c>
      <c r="AB2433" t="str">
        <f>"SO20000532"</f>
        <v>SO20000532</v>
      </c>
      <c r="AC2433">
        <v>131</v>
      </c>
      <c r="AD2433" s="1">
        <v>44155</v>
      </c>
      <c r="AE2433" t="str">
        <f>"SH21001081"</f>
        <v>SH21001081</v>
      </c>
      <c r="AF2433" t="str">
        <f>"משלוחים ללקוח"</f>
        <v>משלוחים ללקוח</v>
      </c>
      <c r="AG2433" s="1">
        <v>44376</v>
      </c>
      <c r="AM2433" t="str">
        <f>"10"</f>
        <v>10</v>
      </c>
      <c r="AN2433" t="str">
        <f>"500000"</f>
        <v>500000</v>
      </c>
      <c r="AO2433" t="str">
        <f>"הכנסות  מלקוחות"</f>
        <v>הכנסות  מלקוחות</v>
      </c>
      <c r="AQ2433" t="str">
        <f>"034"</f>
        <v>034</v>
      </c>
      <c r="AR2433">
        <v>0</v>
      </c>
      <c r="AS2433">
        <v>0</v>
      </c>
      <c r="AT2433">
        <v>3.2610000000000001</v>
      </c>
      <c r="AX2433" t="str">
        <f>"E000321177"</f>
        <v>E000321177</v>
      </c>
      <c r="BD2433" t="str">
        <f>"ערן שלו"</f>
        <v>ערן שלו</v>
      </c>
    </row>
    <row r="2434" spans="1:56" x14ac:dyDescent="0.3">
      <c r="A2434" s="1">
        <v>44377</v>
      </c>
      <c r="B2434" t="str">
        <f>"SI216000978"</f>
        <v>SI216000978</v>
      </c>
      <c r="C2434" t="str">
        <f>"PR20000834"</f>
        <v>PR20000834</v>
      </c>
      <c r="D2434" t="str">
        <f>"PR20000834"</f>
        <v>PR20000834</v>
      </c>
      <c r="E2434" t="str">
        <f>"Y"</f>
        <v>Y</v>
      </c>
      <c r="F2434" t="str">
        <f>"חשבוניות מרכזות"</f>
        <v>חשבוניות מרכזות</v>
      </c>
      <c r="G2434" t="str">
        <f>"700065"</f>
        <v>700065</v>
      </c>
      <c r="H2434" t="str">
        <f>"אלתא מערכות בע""מ"</f>
        <v>אלתא מערכות בע"מ</v>
      </c>
      <c r="I2434" t="str">
        <f>"10"</f>
        <v>10</v>
      </c>
      <c r="J2434" t="str">
        <f>"OP-AR02127"</f>
        <v>OP-AR02127</v>
      </c>
      <c r="K2434" t="str">
        <f>"1032F943-001/-   ETHERNET CABLE MFR-W943 - FILTE"</f>
        <v>1032F943-001/-   ETHERNET CABLE MFR-W943 - FILTE</v>
      </c>
      <c r="L2434">
        <v>2</v>
      </c>
      <c r="M2434" t="str">
        <f>"יח"</f>
        <v>יח</v>
      </c>
      <c r="N2434">
        <v>2</v>
      </c>
      <c r="O2434" t="str">
        <f>"יח"</f>
        <v>יח</v>
      </c>
      <c r="P2434">
        <v>174</v>
      </c>
      <c r="Q2434" t="str">
        <f>"$"</f>
        <v>$</v>
      </c>
      <c r="R2434" t="str">
        <f>"הזמנה"</f>
        <v>הזמנה</v>
      </c>
      <c r="S2434">
        <v>0</v>
      </c>
      <c r="T2434">
        <v>348</v>
      </c>
      <c r="U2434">
        <v>0</v>
      </c>
      <c r="V2434">
        <v>348</v>
      </c>
      <c r="W2434" t="str">
        <f>"$"</f>
        <v>$</v>
      </c>
      <c r="X2434">
        <v>0</v>
      </c>
      <c r="Y2434">
        <v>0</v>
      </c>
      <c r="Z2434">
        <v>0</v>
      </c>
      <c r="AA2434" t="str">
        <f>"Y"</f>
        <v>Y</v>
      </c>
      <c r="AB2434" t="str">
        <f>"SO20000532"</f>
        <v>SO20000532</v>
      </c>
      <c r="AC2434">
        <v>137</v>
      </c>
      <c r="AD2434" s="1">
        <v>44155</v>
      </c>
      <c r="AE2434" t="str">
        <f>"SH21001081"</f>
        <v>SH21001081</v>
      </c>
      <c r="AF2434" t="str">
        <f>"משלוחים ללקוח"</f>
        <v>משלוחים ללקוח</v>
      </c>
      <c r="AG2434" s="1">
        <v>44376</v>
      </c>
      <c r="AM2434" t="str">
        <f>"10"</f>
        <v>10</v>
      </c>
      <c r="AN2434" t="str">
        <f>"500000"</f>
        <v>500000</v>
      </c>
      <c r="AO2434" t="str">
        <f>"הכנסות  מלקוחות"</f>
        <v>הכנסות  מלקוחות</v>
      </c>
      <c r="AQ2434" t="str">
        <f>"034"</f>
        <v>034</v>
      </c>
      <c r="AR2434">
        <v>0</v>
      </c>
      <c r="AS2434">
        <v>0</v>
      </c>
      <c r="AT2434">
        <v>3.2610000000000001</v>
      </c>
      <c r="AX2434" t="str">
        <f>"E000321177"</f>
        <v>E000321177</v>
      </c>
      <c r="BD2434" t="str">
        <f>"ערן שלו"</f>
        <v>ערן שלו</v>
      </c>
    </row>
    <row r="2435" spans="1:56" x14ac:dyDescent="0.3">
      <c r="A2435" s="1">
        <v>44377</v>
      </c>
      <c r="B2435" t="str">
        <f>"SI216000978"</f>
        <v>SI216000978</v>
      </c>
      <c r="C2435" t="str">
        <f>"PR20000834"</f>
        <v>PR20000834</v>
      </c>
      <c r="D2435" t="str">
        <f>"PR20000834"</f>
        <v>PR20000834</v>
      </c>
      <c r="E2435" t="str">
        <f>"Y"</f>
        <v>Y</v>
      </c>
      <c r="F2435" t="str">
        <f>"חשבוניות מרכזות"</f>
        <v>חשבוניות מרכזות</v>
      </c>
      <c r="G2435" t="str">
        <f>"700065"</f>
        <v>700065</v>
      </c>
      <c r="H2435" t="str">
        <f>"אלתא מערכות בע""מ"</f>
        <v>אלתא מערכות בע"מ</v>
      </c>
      <c r="I2435" t="str">
        <f>"10"</f>
        <v>10</v>
      </c>
      <c r="J2435" t="str">
        <f>"OP-AR02128"</f>
        <v>OP-AR02128</v>
      </c>
      <c r="K2435" t="str">
        <f>"1032F944-001/-   ETHERNET CABLE MFR-W944 - FILTE"</f>
        <v>1032F944-001/-   ETHERNET CABLE MFR-W944 - FILTE</v>
      </c>
      <c r="L2435">
        <v>2</v>
      </c>
      <c r="M2435" t="str">
        <f>"יח"</f>
        <v>יח</v>
      </c>
      <c r="N2435">
        <v>2</v>
      </c>
      <c r="O2435" t="str">
        <f>"יח"</f>
        <v>יח</v>
      </c>
      <c r="P2435">
        <v>174</v>
      </c>
      <c r="Q2435" t="str">
        <f>"$"</f>
        <v>$</v>
      </c>
      <c r="R2435" t="str">
        <f>"הזמנה"</f>
        <v>הזמנה</v>
      </c>
      <c r="S2435">
        <v>0</v>
      </c>
      <c r="T2435">
        <v>348</v>
      </c>
      <c r="U2435">
        <v>0</v>
      </c>
      <c r="V2435">
        <v>348</v>
      </c>
      <c r="W2435" t="str">
        <f>"$"</f>
        <v>$</v>
      </c>
      <c r="X2435">
        <v>0</v>
      </c>
      <c r="Y2435">
        <v>0</v>
      </c>
      <c r="Z2435">
        <v>0</v>
      </c>
      <c r="AA2435" t="str">
        <f>"Y"</f>
        <v>Y</v>
      </c>
      <c r="AB2435" t="str">
        <f>"SO20000532"</f>
        <v>SO20000532</v>
      </c>
      <c r="AC2435">
        <v>143</v>
      </c>
      <c r="AD2435" s="1">
        <v>44155</v>
      </c>
      <c r="AE2435" t="str">
        <f>"SH21001081"</f>
        <v>SH21001081</v>
      </c>
      <c r="AF2435" t="str">
        <f>"משלוחים ללקוח"</f>
        <v>משלוחים ללקוח</v>
      </c>
      <c r="AG2435" s="1">
        <v>44376</v>
      </c>
      <c r="AM2435" t="str">
        <f>"10"</f>
        <v>10</v>
      </c>
      <c r="AN2435" t="str">
        <f>"500000"</f>
        <v>500000</v>
      </c>
      <c r="AO2435" t="str">
        <f>"הכנסות  מלקוחות"</f>
        <v>הכנסות  מלקוחות</v>
      </c>
      <c r="AQ2435" t="str">
        <f>"034"</f>
        <v>034</v>
      </c>
      <c r="AR2435">
        <v>0</v>
      </c>
      <c r="AS2435">
        <v>0</v>
      </c>
      <c r="AT2435">
        <v>3.2610000000000001</v>
      </c>
      <c r="AX2435" t="str">
        <f>"E000321177"</f>
        <v>E000321177</v>
      </c>
      <c r="BD2435" t="str">
        <f>"ערן שלו"</f>
        <v>ערן שלו</v>
      </c>
    </row>
    <row r="2436" spans="1:56" x14ac:dyDescent="0.3">
      <c r="A2436" s="1">
        <v>44377</v>
      </c>
      <c r="B2436" t="str">
        <f>"SI216000978"</f>
        <v>SI216000978</v>
      </c>
      <c r="C2436" t="str">
        <f>"PR20000834"</f>
        <v>PR20000834</v>
      </c>
      <c r="D2436" t="str">
        <f>"PR20000834"</f>
        <v>PR20000834</v>
      </c>
      <c r="E2436" t="str">
        <f>"Y"</f>
        <v>Y</v>
      </c>
      <c r="F2436" t="str">
        <f>"חשבוניות מרכזות"</f>
        <v>חשבוניות מרכזות</v>
      </c>
      <c r="G2436" t="str">
        <f>"700065"</f>
        <v>700065</v>
      </c>
      <c r="H2436" t="str">
        <f>"אלתא מערכות בע""מ"</f>
        <v>אלתא מערכות בע"מ</v>
      </c>
      <c r="I2436" t="str">
        <f>"10"</f>
        <v>10</v>
      </c>
      <c r="J2436" t="str">
        <f>"OP-AR02129"</f>
        <v>OP-AR02129</v>
      </c>
      <c r="K2436" t="str">
        <f>"1032F945-001/-   ETHERNET CABLE MFR-W945 - FILTE"</f>
        <v>1032F945-001/-   ETHERNET CABLE MFR-W945 - FILTE</v>
      </c>
      <c r="L2436">
        <v>2</v>
      </c>
      <c r="M2436" t="str">
        <f>"יח"</f>
        <v>יח</v>
      </c>
      <c r="N2436">
        <v>2</v>
      </c>
      <c r="O2436" t="str">
        <f>"יח"</f>
        <v>יח</v>
      </c>
      <c r="P2436">
        <v>176.77</v>
      </c>
      <c r="Q2436" t="str">
        <f>"$"</f>
        <v>$</v>
      </c>
      <c r="R2436" t="str">
        <f>"הזמנה"</f>
        <v>הזמנה</v>
      </c>
      <c r="S2436">
        <v>0</v>
      </c>
      <c r="T2436">
        <v>353.54</v>
      </c>
      <c r="U2436">
        <v>0</v>
      </c>
      <c r="V2436">
        <v>353.54</v>
      </c>
      <c r="W2436" t="str">
        <f>"$"</f>
        <v>$</v>
      </c>
      <c r="X2436">
        <v>0</v>
      </c>
      <c r="Y2436">
        <v>0</v>
      </c>
      <c r="Z2436">
        <v>0</v>
      </c>
      <c r="AA2436" t="str">
        <f>"Y"</f>
        <v>Y</v>
      </c>
      <c r="AB2436" t="str">
        <f>"SO20000532"</f>
        <v>SO20000532</v>
      </c>
      <c r="AC2436">
        <v>149</v>
      </c>
      <c r="AD2436" s="1">
        <v>44155</v>
      </c>
      <c r="AE2436" t="str">
        <f>"SH21001081"</f>
        <v>SH21001081</v>
      </c>
      <c r="AF2436" t="str">
        <f>"משלוחים ללקוח"</f>
        <v>משלוחים ללקוח</v>
      </c>
      <c r="AG2436" s="1">
        <v>44376</v>
      </c>
      <c r="AM2436" t="str">
        <f>"10"</f>
        <v>10</v>
      </c>
      <c r="AN2436" t="str">
        <f>"500000"</f>
        <v>500000</v>
      </c>
      <c r="AO2436" t="str">
        <f>"הכנסות  מלקוחות"</f>
        <v>הכנסות  מלקוחות</v>
      </c>
      <c r="AQ2436" t="str">
        <f>"034"</f>
        <v>034</v>
      </c>
      <c r="AR2436">
        <v>0</v>
      </c>
      <c r="AS2436">
        <v>0</v>
      </c>
      <c r="AT2436">
        <v>3.2610000000000001</v>
      </c>
      <c r="AX2436" t="str">
        <f>"E000321177"</f>
        <v>E000321177</v>
      </c>
      <c r="BD2436" t="str">
        <f>"ערן שלו"</f>
        <v>ערן שלו</v>
      </c>
    </row>
    <row r="2437" spans="1:56" x14ac:dyDescent="0.3">
      <c r="A2437" s="1">
        <v>44377</v>
      </c>
      <c r="B2437" t="str">
        <f>"SI216000978"</f>
        <v>SI216000978</v>
      </c>
      <c r="C2437" t="str">
        <f>"PR20000834"</f>
        <v>PR20000834</v>
      </c>
      <c r="D2437" t="str">
        <f>"PR20000834"</f>
        <v>PR20000834</v>
      </c>
      <c r="E2437" t="str">
        <f>"Y"</f>
        <v>Y</v>
      </c>
      <c r="F2437" t="str">
        <f>"חשבוניות מרכזות"</f>
        <v>חשבוניות מרכזות</v>
      </c>
      <c r="G2437" t="str">
        <f>"700065"</f>
        <v>700065</v>
      </c>
      <c r="H2437" t="str">
        <f>"אלתא מערכות בע""מ"</f>
        <v>אלתא מערכות בע"מ</v>
      </c>
      <c r="I2437" t="str">
        <f>"10"</f>
        <v>10</v>
      </c>
      <c r="J2437" t="str">
        <f>"OP-AR02131"</f>
        <v>OP-AR02131</v>
      </c>
      <c r="K2437" t="str">
        <f>"1032F947-001   HARNESS MFR-W947 - TBU1 TO SENS"</f>
        <v>1032F947-001   HARNESS MFR-W947 - TBU1 TO SENS</v>
      </c>
      <c r="L2437">
        <v>2</v>
      </c>
      <c r="M2437" t="str">
        <f>"יח"</f>
        <v>יח</v>
      </c>
      <c r="N2437">
        <v>2</v>
      </c>
      <c r="O2437" t="str">
        <f>"יח"</f>
        <v>יח</v>
      </c>
      <c r="P2437">
        <v>282.2</v>
      </c>
      <c r="Q2437" t="str">
        <f>"$"</f>
        <v>$</v>
      </c>
      <c r="R2437" t="str">
        <f>"הזמנה"</f>
        <v>הזמנה</v>
      </c>
      <c r="S2437">
        <v>0</v>
      </c>
      <c r="T2437">
        <v>564.4</v>
      </c>
      <c r="U2437">
        <v>0</v>
      </c>
      <c r="V2437">
        <v>564.4</v>
      </c>
      <c r="W2437" t="str">
        <f>"$"</f>
        <v>$</v>
      </c>
      <c r="X2437">
        <v>0</v>
      </c>
      <c r="Y2437">
        <v>0</v>
      </c>
      <c r="Z2437">
        <v>0</v>
      </c>
      <c r="AA2437" t="str">
        <f>"Y"</f>
        <v>Y</v>
      </c>
      <c r="AB2437" t="str">
        <f>"SO20000532"</f>
        <v>SO20000532</v>
      </c>
      <c r="AC2437">
        <v>162</v>
      </c>
      <c r="AD2437" s="1">
        <v>44155</v>
      </c>
      <c r="AE2437" t="str">
        <f>"SH21001081"</f>
        <v>SH21001081</v>
      </c>
      <c r="AF2437" t="str">
        <f>"משלוחים ללקוח"</f>
        <v>משלוחים ללקוח</v>
      </c>
      <c r="AG2437" s="1">
        <v>44376</v>
      </c>
      <c r="AM2437" t="str">
        <f>"10"</f>
        <v>10</v>
      </c>
      <c r="AN2437" t="str">
        <f>"500000"</f>
        <v>500000</v>
      </c>
      <c r="AO2437" t="str">
        <f>"הכנסות  מלקוחות"</f>
        <v>הכנסות  מלקוחות</v>
      </c>
      <c r="AQ2437" t="str">
        <f>"034"</f>
        <v>034</v>
      </c>
      <c r="AR2437">
        <v>0</v>
      </c>
      <c r="AS2437">
        <v>0</v>
      </c>
      <c r="AT2437">
        <v>3.2610000000000001</v>
      </c>
      <c r="AX2437" t="str">
        <f>"E000321177"</f>
        <v>E000321177</v>
      </c>
      <c r="BD2437" t="str">
        <f>"ערן שלו"</f>
        <v>ערן שלו</v>
      </c>
    </row>
    <row r="2438" spans="1:56" x14ac:dyDescent="0.3">
      <c r="A2438" s="1">
        <v>44377</v>
      </c>
      <c r="B2438" t="str">
        <f>"SI216000977"</f>
        <v>SI216000977</v>
      </c>
      <c r="C2438" t="str">
        <f>"PR19000750"</f>
        <v>PR19000750</v>
      </c>
      <c r="D2438" t="str">
        <f>"PR19000750"</f>
        <v>PR19000750</v>
      </c>
      <c r="E2438" t="str">
        <f>"Y"</f>
        <v>Y</v>
      </c>
      <c r="F2438" t="str">
        <f>"חשבוניות מרכזות"</f>
        <v>חשבוניות מרכזות</v>
      </c>
      <c r="G2438" t="str">
        <f>"700065"</f>
        <v>700065</v>
      </c>
      <c r="H2438" t="str">
        <f>"אלתא מערכות בע""מ"</f>
        <v>אלתא מערכות בע"מ</v>
      </c>
      <c r="I2438" t="str">
        <f>"11"</f>
        <v>11</v>
      </c>
      <c r="J2438" t="str">
        <f>"OP-KT00096"</f>
        <v>OP-KT00096</v>
      </c>
      <c r="K2438" t="str">
        <f>"PDB SPARES O LEVEL"</f>
        <v>PDB SPARES O LEVEL</v>
      </c>
      <c r="L2438">
        <v>1</v>
      </c>
      <c r="M2438" t="str">
        <f>"יח"</f>
        <v>יח</v>
      </c>
      <c r="N2438">
        <v>1</v>
      </c>
      <c r="O2438" t="str">
        <f>"יח"</f>
        <v>יח</v>
      </c>
      <c r="P2438" s="2">
        <v>6574</v>
      </c>
      <c r="Q2438" t="str">
        <f>"$"</f>
        <v>$</v>
      </c>
      <c r="R2438" t="str">
        <f>"הזמנה"</f>
        <v>הזמנה</v>
      </c>
      <c r="S2438">
        <v>0</v>
      </c>
      <c r="T2438" s="2">
        <v>6574</v>
      </c>
      <c r="U2438">
        <v>0</v>
      </c>
      <c r="V2438" s="2">
        <v>6574</v>
      </c>
      <c r="W2438" t="str">
        <f>"$"</f>
        <v>$</v>
      </c>
      <c r="X2438">
        <v>0</v>
      </c>
      <c r="Y2438">
        <v>0</v>
      </c>
      <c r="Z2438">
        <v>0</v>
      </c>
      <c r="AA2438" t="str">
        <f>"Y"</f>
        <v>Y</v>
      </c>
      <c r="AB2438" t="str">
        <f>"SO19000535"</f>
        <v>SO19000535</v>
      </c>
      <c r="AC2438">
        <v>7</v>
      </c>
      <c r="AD2438" s="1">
        <v>43823</v>
      </c>
      <c r="AM2438" t="str">
        <f>"10"</f>
        <v>10</v>
      </c>
      <c r="AN2438" t="str">
        <f>"500000"</f>
        <v>500000</v>
      </c>
      <c r="AO2438" t="str">
        <f>"הכנסות  מלקוחות"</f>
        <v>הכנסות  מלקוחות</v>
      </c>
      <c r="AQ2438" t="str">
        <f>"034"</f>
        <v>034</v>
      </c>
      <c r="AR2438">
        <v>0</v>
      </c>
      <c r="AS2438">
        <v>0</v>
      </c>
      <c r="AT2438">
        <v>3.2610000000000001</v>
      </c>
      <c r="AX2438" t="str">
        <f>"E000303378"</f>
        <v>E000303378</v>
      </c>
      <c r="BD2438" t="str">
        <f>"ערן שלו"</f>
        <v>ערן שלו</v>
      </c>
    </row>
    <row r="2439" spans="1:56" x14ac:dyDescent="0.3">
      <c r="A2439" s="1">
        <v>44377</v>
      </c>
      <c r="B2439" t="str">
        <f>"SI216000977"</f>
        <v>SI216000977</v>
      </c>
      <c r="C2439" t="str">
        <f>"PR19000750"</f>
        <v>PR19000750</v>
      </c>
      <c r="D2439" t="str">
        <f>"PR19000750"</f>
        <v>PR19000750</v>
      </c>
      <c r="E2439" t="str">
        <f>"Y"</f>
        <v>Y</v>
      </c>
      <c r="F2439" t="str">
        <f>"חשבוניות מרכזות"</f>
        <v>חשבוניות מרכזות</v>
      </c>
      <c r="G2439" t="str">
        <f>"700065"</f>
        <v>700065</v>
      </c>
      <c r="H2439" t="str">
        <f>"אלתא מערכות בע""מ"</f>
        <v>אלתא מערכות בע"מ</v>
      </c>
      <c r="I2439" t="str">
        <f>"11"</f>
        <v>11</v>
      </c>
      <c r="J2439" t="str">
        <f>"OP-KT00116"</f>
        <v>OP-KT00116</v>
      </c>
      <c r="K2439" t="str">
        <f>"1037C838-001 PDB SPARES O LEVEL"</f>
        <v>1037C838-001 PDB SPARES O LEVEL</v>
      </c>
      <c r="L2439">
        <v>1</v>
      </c>
      <c r="M2439" t="str">
        <f>"יח"</f>
        <v>יח</v>
      </c>
      <c r="N2439">
        <v>1</v>
      </c>
      <c r="O2439" t="str">
        <f>"יח"</f>
        <v>יח</v>
      </c>
      <c r="P2439" s="2">
        <v>6574</v>
      </c>
      <c r="Q2439" t="str">
        <f>"$"</f>
        <v>$</v>
      </c>
      <c r="R2439" t="str">
        <f>"הזמנה"</f>
        <v>הזמנה</v>
      </c>
      <c r="S2439">
        <v>0</v>
      </c>
      <c r="T2439" s="2">
        <v>6574</v>
      </c>
      <c r="U2439">
        <v>0</v>
      </c>
      <c r="V2439" s="2">
        <v>6574</v>
      </c>
      <c r="W2439" t="str">
        <f>"$"</f>
        <v>$</v>
      </c>
      <c r="X2439">
        <v>0</v>
      </c>
      <c r="Y2439">
        <v>0</v>
      </c>
      <c r="Z2439">
        <v>0</v>
      </c>
      <c r="AA2439" t="str">
        <f>"Y"</f>
        <v>Y</v>
      </c>
      <c r="AB2439" t="str">
        <f>"SO19000535"</f>
        <v>SO19000535</v>
      </c>
      <c r="AC2439">
        <v>22</v>
      </c>
      <c r="AD2439" s="1">
        <v>43823</v>
      </c>
      <c r="AE2439" t="str">
        <f>"SH21001075"</f>
        <v>SH21001075</v>
      </c>
      <c r="AF2439" t="str">
        <f>"משלוחים ללקוח"</f>
        <v>משלוחים ללקוח</v>
      </c>
      <c r="AG2439" s="1">
        <v>44376</v>
      </c>
      <c r="AM2439" t="str">
        <f>"10"</f>
        <v>10</v>
      </c>
      <c r="AN2439" t="str">
        <f>"500000"</f>
        <v>500000</v>
      </c>
      <c r="AO2439" t="str">
        <f>"הכנסות  מלקוחות"</f>
        <v>הכנסות  מלקוחות</v>
      </c>
      <c r="AQ2439" t="str">
        <f>"034"</f>
        <v>034</v>
      </c>
      <c r="AR2439">
        <v>0</v>
      </c>
      <c r="AS2439">
        <v>0</v>
      </c>
      <c r="AT2439">
        <v>3.2610000000000001</v>
      </c>
      <c r="AX2439" t="str">
        <f>"E000303378"</f>
        <v>E000303378</v>
      </c>
      <c r="BD2439" t="str">
        <f>"ערן שלו"</f>
        <v>ערן שלו</v>
      </c>
    </row>
    <row r="2440" spans="1:56" x14ac:dyDescent="0.3">
      <c r="A2440" s="1">
        <v>44377</v>
      </c>
      <c r="B2440" t="str">
        <f>"SI216000975"</f>
        <v>SI216000975</v>
      </c>
      <c r="C2440" t="str">
        <f>"PR20000834"</f>
        <v>PR20000834</v>
      </c>
      <c r="E2440" t="str">
        <f>"Y"</f>
        <v>Y</v>
      </c>
      <c r="F2440" t="str">
        <f>"חשבוניות מרכזות"</f>
        <v>חשבוניות מרכזות</v>
      </c>
      <c r="G2440" t="str">
        <f>"700065"</f>
        <v>700065</v>
      </c>
      <c r="H2440" t="str">
        <f>"אלתא מערכות בע""מ"</f>
        <v>אלתא מערכות בע"מ</v>
      </c>
      <c r="I2440" t="str">
        <f>"10"</f>
        <v>10</v>
      </c>
      <c r="J2440" t="str">
        <f>"OP-AR02102"</f>
        <v>OP-AR02102</v>
      </c>
      <c r="K2440" t="str">
        <f>"1032F920-001/-   ETHERNET CABLE MFR-W920 - FILTE"</f>
        <v>1032F920-001/-   ETHERNET CABLE MFR-W920 - FILTE</v>
      </c>
      <c r="L2440">
        <v>-4</v>
      </c>
      <c r="M2440" t="str">
        <f>"יח"</f>
        <v>יח</v>
      </c>
      <c r="N2440">
        <v>-4</v>
      </c>
      <c r="O2440" t="str">
        <f>"יח"</f>
        <v>יח</v>
      </c>
      <c r="P2440">
        <v>174</v>
      </c>
      <c r="Q2440" t="str">
        <f>"$"</f>
        <v>$</v>
      </c>
      <c r="R2440" t="str">
        <f>"הזמנה"</f>
        <v>הזמנה</v>
      </c>
      <c r="S2440">
        <v>0</v>
      </c>
      <c r="T2440">
        <v>-696</v>
      </c>
      <c r="U2440">
        <v>0</v>
      </c>
      <c r="V2440">
        <v>-696</v>
      </c>
      <c r="W2440" t="str">
        <f>"$"</f>
        <v>$</v>
      </c>
      <c r="X2440">
        <v>0</v>
      </c>
      <c r="Y2440">
        <v>0</v>
      </c>
      <c r="Z2440">
        <v>0</v>
      </c>
      <c r="AA2440" t="str">
        <f>"Y"</f>
        <v>Y</v>
      </c>
      <c r="AC2440">
        <v>0</v>
      </c>
      <c r="AM2440" t="str">
        <f>"10"</f>
        <v>10</v>
      </c>
      <c r="AN2440" t="str">
        <f>"500000"</f>
        <v>500000</v>
      </c>
      <c r="AO2440" t="str">
        <f>"הכנסות  מלקוחות"</f>
        <v>הכנסות  מלקוחות</v>
      </c>
      <c r="AQ2440" t="str">
        <f>"034"</f>
        <v>034</v>
      </c>
      <c r="AR2440">
        <v>0</v>
      </c>
      <c r="AS2440">
        <v>0</v>
      </c>
      <c r="AT2440">
        <v>3.2610000000000001</v>
      </c>
      <c r="BB2440" t="str">
        <f>"Y"</f>
        <v>Y</v>
      </c>
      <c r="BD2440" t="str">
        <f>"ערן שלו"</f>
        <v>ערן שלו</v>
      </c>
    </row>
    <row r="2441" spans="1:56" x14ac:dyDescent="0.3">
      <c r="A2441" s="1">
        <v>44377</v>
      </c>
      <c r="B2441" t="str">
        <f>"SI216000975"</f>
        <v>SI216000975</v>
      </c>
      <c r="C2441" t="str">
        <f>"PR20000834"</f>
        <v>PR20000834</v>
      </c>
      <c r="E2441" t="str">
        <f>"Y"</f>
        <v>Y</v>
      </c>
      <c r="F2441" t="str">
        <f>"חשבוניות מרכזות"</f>
        <v>חשבוניות מרכזות</v>
      </c>
      <c r="G2441" t="str">
        <f>"700065"</f>
        <v>700065</v>
      </c>
      <c r="H2441" t="str">
        <f>"אלתא מערכות בע""מ"</f>
        <v>אלתא מערכות בע"מ</v>
      </c>
      <c r="I2441" t="str">
        <f>"10"</f>
        <v>10</v>
      </c>
      <c r="J2441" t="str">
        <f>"OP-AR02102"</f>
        <v>OP-AR02102</v>
      </c>
      <c r="K2441" t="str">
        <f>"1032F920-001/-   ETHERNET CABLE MFR-W920 - FILTE"</f>
        <v>1032F920-001/-   ETHERNET CABLE MFR-W920 - FILTE</v>
      </c>
      <c r="L2441">
        <v>-4</v>
      </c>
      <c r="M2441" t="str">
        <f>"יח"</f>
        <v>יח</v>
      </c>
      <c r="N2441">
        <v>-4</v>
      </c>
      <c r="O2441" t="str">
        <f>"יח"</f>
        <v>יח</v>
      </c>
      <c r="P2441">
        <v>174</v>
      </c>
      <c r="Q2441" t="str">
        <f>"$"</f>
        <v>$</v>
      </c>
      <c r="R2441" t="str">
        <f>"הזמנה"</f>
        <v>הזמנה</v>
      </c>
      <c r="S2441">
        <v>0</v>
      </c>
      <c r="T2441">
        <v>-696</v>
      </c>
      <c r="U2441">
        <v>0</v>
      </c>
      <c r="V2441">
        <v>-696</v>
      </c>
      <c r="W2441" t="str">
        <f>"$"</f>
        <v>$</v>
      </c>
      <c r="X2441">
        <v>0</v>
      </c>
      <c r="Y2441">
        <v>0</v>
      </c>
      <c r="Z2441">
        <v>0</v>
      </c>
      <c r="AA2441" t="str">
        <f>"Y"</f>
        <v>Y</v>
      </c>
      <c r="AC2441">
        <v>0</v>
      </c>
      <c r="AM2441" t="str">
        <f>"10"</f>
        <v>10</v>
      </c>
      <c r="AN2441" t="str">
        <f>"500000"</f>
        <v>500000</v>
      </c>
      <c r="AO2441" t="str">
        <f>"הכנסות  מלקוחות"</f>
        <v>הכנסות  מלקוחות</v>
      </c>
      <c r="AQ2441" t="str">
        <f>"034"</f>
        <v>034</v>
      </c>
      <c r="AR2441">
        <v>0</v>
      </c>
      <c r="AS2441">
        <v>0</v>
      </c>
      <c r="AT2441">
        <v>3.2610000000000001</v>
      </c>
      <c r="BB2441" t="str">
        <f>"Y"</f>
        <v>Y</v>
      </c>
      <c r="BD2441" t="str">
        <f>"ערן שלו"</f>
        <v>ערן שלו</v>
      </c>
    </row>
    <row r="2442" spans="1:56" x14ac:dyDescent="0.3">
      <c r="A2442" s="1">
        <v>44377</v>
      </c>
      <c r="B2442" t="str">
        <f>"SI216000975"</f>
        <v>SI216000975</v>
      </c>
      <c r="C2442" t="str">
        <f>"PR20000834"</f>
        <v>PR20000834</v>
      </c>
      <c r="E2442" t="str">
        <f>"Y"</f>
        <v>Y</v>
      </c>
      <c r="F2442" t="str">
        <f>"חשבוניות מרכזות"</f>
        <v>חשבוניות מרכזות</v>
      </c>
      <c r="G2442" t="str">
        <f>"700065"</f>
        <v>700065</v>
      </c>
      <c r="H2442" t="str">
        <f>"אלתא מערכות בע""מ"</f>
        <v>אלתא מערכות בע"מ</v>
      </c>
      <c r="I2442" t="str">
        <f>"10"</f>
        <v>10</v>
      </c>
      <c r="J2442" t="str">
        <f>"OP-AR02104"</f>
        <v>OP-AR02104</v>
      </c>
      <c r="K2442" t="str">
        <f>"1032F921-001/-   ETHERNET CABLE MFR-W921 - FILTE"</f>
        <v>1032F921-001/-   ETHERNET CABLE MFR-W921 - FILTE</v>
      </c>
      <c r="L2442">
        <v>-1</v>
      </c>
      <c r="M2442" t="str">
        <f>"יח"</f>
        <v>יח</v>
      </c>
      <c r="N2442">
        <v>-1</v>
      </c>
      <c r="O2442" t="str">
        <f>"יח"</f>
        <v>יח</v>
      </c>
      <c r="P2442">
        <v>174</v>
      </c>
      <c r="Q2442" t="str">
        <f>"$"</f>
        <v>$</v>
      </c>
      <c r="R2442" t="str">
        <f>"הזמנה"</f>
        <v>הזמנה</v>
      </c>
      <c r="S2442">
        <v>0</v>
      </c>
      <c r="T2442">
        <v>-174</v>
      </c>
      <c r="U2442">
        <v>0</v>
      </c>
      <c r="V2442">
        <v>-174</v>
      </c>
      <c r="W2442" t="str">
        <f>"$"</f>
        <v>$</v>
      </c>
      <c r="X2442">
        <v>0</v>
      </c>
      <c r="Y2442">
        <v>0</v>
      </c>
      <c r="Z2442">
        <v>0</v>
      </c>
      <c r="AA2442" t="str">
        <f>"Y"</f>
        <v>Y</v>
      </c>
      <c r="AC2442">
        <v>0</v>
      </c>
      <c r="AM2442" t="str">
        <f>"10"</f>
        <v>10</v>
      </c>
      <c r="AN2442" t="str">
        <f>"500000"</f>
        <v>500000</v>
      </c>
      <c r="AO2442" t="str">
        <f>"הכנסות  מלקוחות"</f>
        <v>הכנסות  מלקוחות</v>
      </c>
      <c r="AQ2442" t="str">
        <f>"034"</f>
        <v>034</v>
      </c>
      <c r="AR2442">
        <v>0</v>
      </c>
      <c r="AS2442">
        <v>0</v>
      </c>
      <c r="AT2442">
        <v>3.2610000000000001</v>
      </c>
      <c r="BB2442" t="str">
        <f>"Y"</f>
        <v>Y</v>
      </c>
      <c r="BD2442" t="str">
        <f>"ערן שלו"</f>
        <v>ערן שלו</v>
      </c>
    </row>
    <row r="2443" spans="1:56" x14ac:dyDescent="0.3">
      <c r="A2443" s="1">
        <v>44377</v>
      </c>
      <c r="B2443" t="str">
        <f>"SI216000975"</f>
        <v>SI216000975</v>
      </c>
      <c r="C2443" t="str">
        <f>"PR20000834"</f>
        <v>PR20000834</v>
      </c>
      <c r="E2443" t="str">
        <f>"Y"</f>
        <v>Y</v>
      </c>
      <c r="F2443" t="str">
        <f>"חשבוניות מרכזות"</f>
        <v>חשבוניות מרכזות</v>
      </c>
      <c r="G2443" t="str">
        <f>"700065"</f>
        <v>700065</v>
      </c>
      <c r="H2443" t="str">
        <f>"אלתא מערכות בע""מ"</f>
        <v>אלתא מערכות בע"מ</v>
      </c>
      <c r="I2443" t="str">
        <f>"10"</f>
        <v>10</v>
      </c>
      <c r="J2443" t="str">
        <f>"OP-AR02105"</f>
        <v>OP-AR02105</v>
      </c>
      <c r="K2443" t="str">
        <f>"1032F922-001/-   ETHERNET CABLE MFR-W922 - FILTE"</f>
        <v>1032F922-001/-   ETHERNET CABLE MFR-W922 - FILTE</v>
      </c>
      <c r="L2443">
        <v>-1</v>
      </c>
      <c r="M2443" t="str">
        <f>"יח"</f>
        <v>יח</v>
      </c>
      <c r="N2443">
        <v>-1</v>
      </c>
      <c r="O2443" t="str">
        <f>"יח"</f>
        <v>יח</v>
      </c>
      <c r="P2443">
        <v>174</v>
      </c>
      <c r="Q2443" t="str">
        <f>"$"</f>
        <v>$</v>
      </c>
      <c r="R2443" t="str">
        <f>"הזמנה"</f>
        <v>הזמנה</v>
      </c>
      <c r="S2443">
        <v>0</v>
      </c>
      <c r="T2443">
        <v>-174</v>
      </c>
      <c r="U2443">
        <v>0</v>
      </c>
      <c r="V2443">
        <v>-174</v>
      </c>
      <c r="W2443" t="str">
        <f>"$"</f>
        <v>$</v>
      </c>
      <c r="X2443">
        <v>0</v>
      </c>
      <c r="Y2443">
        <v>0</v>
      </c>
      <c r="Z2443">
        <v>0</v>
      </c>
      <c r="AA2443" t="str">
        <f>"Y"</f>
        <v>Y</v>
      </c>
      <c r="AC2443">
        <v>0</v>
      </c>
      <c r="AM2443" t="str">
        <f>"10"</f>
        <v>10</v>
      </c>
      <c r="AN2443" t="str">
        <f>"500000"</f>
        <v>500000</v>
      </c>
      <c r="AO2443" t="str">
        <f>"הכנסות  מלקוחות"</f>
        <v>הכנסות  מלקוחות</v>
      </c>
      <c r="AQ2443" t="str">
        <f>"034"</f>
        <v>034</v>
      </c>
      <c r="AR2443">
        <v>0</v>
      </c>
      <c r="AS2443">
        <v>0</v>
      </c>
      <c r="AT2443">
        <v>3.2610000000000001</v>
      </c>
      <c r="BB2443" t="str">
        <f>"Y"</f>
        <v>Y</v>
      </c>
      <c r="BD2443" t="str">
        <f>"ערן שלו"</f>
        <v>ערן שלו</v>
      </c>
    </row>
    <row r="2444" spans="1:56" x14ac:dyDescent="0.3">
      <c r="A2444" s="1">
        <v>44377</v>
      </c>
      <c r="B2444" t="str">
        <f>"SI216000975"</f>
        <v>SI216000975</v>
      </c>
      <c r="C2444" t="str">
        <f>"PR20000834"</f>
        <v>PR20000834</v>
      </c>
      <c r="E2444" t="str">
        <f>"Y"</f>
        <v>Y</v>
      </c>
      <c r="F2444" t="str">
        <f>"חשבוניות מרכזות"</f>
        <v>חשבוניות מרכזות</v>
      </c>
      <c r="G2444" t="str">
        <f>"700065"</f>
        <v>700065</v>
      </c>
      <c r="H2444" t="str">
        <f>"אלתא מערכות בע""מ"</f>
        <v>אלתא מערכות בע"מ</v>
      </c>
      <c r="I2444" t="str">
        <f>"10"</f>
        <v>10</v>
      </c>
      <c r="J2444" t="str">
        <f>"OP-AR02106"</f>
        <v>OP-AR02106</v>
      </c>
      <c r="K2444" t="str">
        <f>"1032F923-001/-   ETHERNET CABLE MFR-W923 - FILTE"</f>
        <v>1032F923-001/-   ETHERNET CABLE MFR-W923 - FILTE</v>
      </c>
      <c r="L2444">
        <v>-1</v>
      </c>
      <c r="M2444" t="str">
        <f>"יח"</f>
        <v>יח</v>
      </c>
      <c r="N2444">
        <v>-1</v>
      </c>
      <c r="O2444" t="str">
        <f>"יח"</f>
        <v>יח</v>
      </c>
      <c r="P2444">
        <v>174</v>
      </c>
      <c r="Q2444" t="str">
        <f>"$"</f>
        <v>$</v>
      </c>
      <c r="R2444" t="str">
        <f>"הזמנה"</f>
        <v>הזמנה</v>
      </c>
      <c r="S2444">
        <v>0</v>
      </c>
      <c r="T2444">
        <v>-174</v>
      </c>
      <c r="U2444">
        <v>0</v>
      </c>
      <c r="V2444">
        <v>-174</v>
      </c>
      <c r="W2444" t="str">
        <f>"$"</f>
        <v>$</v>
      </c>
      <c r="X2444">
        <v>0</v>
      </c>
      <c r="Y2444">
        <v>0</v>
      </c>
      <c r="Z2444">
        <v>0</v>
      </c>
      <c r="AA2444" t="str">
        <f>"Y"</f>
        <v>Y</v>
      </c>
      <c r="AC2444">
        <v>0</v>
      </c>
      <c r="AM2444" t="str">
        <f>"10"</f>
        <v>10</v>
      </c>
      <c r="AN2444" t="str">
        <f>"500000"</f>
        <v>500000</v>
      </c>
      <c r="AO2444" t="str">
        <f>"הכנסות  מלקוחות"</f>
        <v>הכנסות  מלקוחות</v>
      </c>
      <c r="AQ2444" t="str">
        <f>"034"</f>
        <v>034</v>
      </c>
      <c r="AR2444">
        <v>0</v>
      </c>
      <c r="AS2444">
        <v>0</v>
      </c>
      <c r="AT2444">
        <v>3.2610000000000001</v>
      </c>
      <c r="BB2444" t="str">
        <f>"Y"</f>
        <v>Y</v>
      </c>
      <c r="BD2444" t="str">
        <f>"ערן שלו"</f>
        <v>ערן שלו</v>
      </c>
    </row>
    <row r="2445" spans="1:56" x14ac:dyDescent="0.3">
      <c r="A2445" s="1">
        <v>44377</v>
      </c>
      <c r="B2445" t="str">
        <f>"SI216000975"</f>
        <v>SI216000975</v>
      </c>
      <c r="C2445" t="str">
        <f>"PR20000834"</f>
        <v>PR20000834</v>
      </c>
      <c r="E2445" t="str">
        <f>"Y"</f>
        <v>Y</v>
      </c>
      <c r="F2445" t="str">
        <f>"חשבוניות מרכזות"</f>
        <v>חשבוניות מרכזות</v>
      </c>
      <c r="G2445" t="str">
        <f>"700065"</f>
        <v>700065</v>
      </c>
      <c r="H2445" t="str">
        <f>"אלתא מערכות בע""מ"</f>
        <v>אלתא מערכות בע"מ</v>
      </c>
      <c r="I2445" t="str">
        <f>"10"</f>
        <v>10</v>
      </c>
      <c r="J2445" t="str">
        <f>"OP-AR02107"</f>
        <v>OP-AR02107</v>
      </c>
      <c r="K2445" t="str">
        <f>"1032F924-001/-   ETHERNET CABLE MFR-W924 - FILTE"</f>
        <v>1032F924-001/-   ETHERNET CABLE MFR-W924 - FILTE</v>
      </c>
      <c r="L2445">
        <v>-1</v>
      </c>
      <c r="M2445" t="str">
        <f>"יח"</f>
        <v>יח</v>
      </c>
      <c r="N2445">
        <v>-1</v>
      </c>
      <c r="O2445" t="str">
        <f>"יח"</f>
        <v>יח</v>
      </c>
      <c r="P2445">
        <v>174</v>
      </c>
      <c r="Q2445" t="str">
        <f>"$"</f>
        <v>$</v>
      </c>
      <c r="R2445" t="str">
        <f>"הזמנה"</f>
        <v>הזמנה</v>
      </c>
      <c r="S2445">
        <v>0</v>
      </c>
      <c r="T2445">
        <v>-174</v>
      </c>
      <c r="U2445">
        <v>0</v>
      </c>
      <c r="V2445">
        <v>-174</v>
      </c>
      <c r="W2445" t="str">
        <f>"$"</f>
        <v>$</v>
      </c>
      <c r="X2445">
        <v>0</v>
      </c>
      <c r="Y2445">
        <v>0</v>
      </c>
      <c r="Z2445">
        <v>0</v>
      </c>
      <c r="AA2445" t="str">
        <f>"Y"</f>
        <v>Y</v>
      </c>
      <c r="AC2445">
        <v>0</v>
      </c>
      <c r="AM2445" t="str">
        <f>"10"</f>
        <v>10</v>
      </c>
      <c r="AN2445" t="str">
        <f>"500000"</f>
        <v>500000</v>
      </c>
      <c r="AO2445" t="str">
        <f>"הכנסות  מלקוחות"</f>
        <v>הכנסות  מלקוחות</v>
      </c>
      <c r="AQ2445" t="str">
        <f>"034"</f>
        <v>034</v>
      </c>
      <c r="AR2445">
        <v>0</v>
      </c>
      <c r="AS2445">
        <v>0</v>
      </c>
      <c r="AT2445">
        <v>3.2610000000000001</v>
      </c>
      <c r="BB2445" t="str">
        <f>"Y"</f>
        <v>Y</v>
      </c>
      <c r="BD2445" t="str">
        <f>"ערן שלו"</f>
        <v>ערן שלו</v>
      </c>
    </row>
    <row r="2446" spans="1:56" x14ac:dyDescent="0.3">
      <c r="A2446" s="1">
        <v>44377</v>
      </c>
      <c r="B2446" t="str">
        <f>"SI216000975"</f>
        <v>SI216000975</v>
      </c>
      <c r="C2446" t="str">
        <f>"PR20000834"</f>
        <v>PR20000834</v>
      </c>
      <c r="E2446" t="str">
        <f>"Y"</f>
        <v>Y</v>
      </c>
      <c r="F2446" t="str">
        <f>"חשבוניות מרכזות"</f>
        <v>חשבוניות מרכזות</v>
      </c>
      <c r="G2446" t="str">
        <f>"700065"</f>
        <v>700065</v>
      </c>
      <c r="H2446" t="str">
        <f>"אלתא מערכות בע""מ"</f>
        <v>אלתא מערכות בע"מ</v>
      </c>
      <c r="I2446" t="str">
        <f>"10"</f>
        <v>10</v>
      </c>
      <c r="J2446" t="str">
        <f>"OP-AR02108"</f>
        <v>OP-AR02108</v>
      </c>
      <c r="K2446" t="str">
        <f>"1032F925-001/-   ETHERNET CABLE MFR-W925 - FILTE"</f>
        <v>1032F925-001/-   ETHERNET CABLE MFR-W925 - FILTE</v>
      </c>
      <c r="L2446">
        <v>-1</v>
      </c>
      <c r="M2446" t="str">
        <f>"יח"</f>
        <v>יח</v>
      </c>
      <c r="N2446">
        <v>-1</v>
      </c>
      <c r="O2446" t="str">
        <f>"יח"</f>
        <v>יח</v>
      </c>
      <c r="P2446">
        <v>174</v>
      </c>
      <c r="Q2446" t="str">
        <f>"$"</f>
        <v>$</v>
      </c>
      <c r="R2446" t="str">
        <f>"הזמנה"</f>
        <v>הזמנה</v>
      </c>
      <c r="S2446">
        <v>0</v>
      </c>
      <c r="T2446">
        <v>-174</v>
      </c>
      <c r="U2446">
        <v>0</v>
      </c>
      <c r="V2446">
        <v>-174</v>
      </c>
      <c r="W2446" t="str">
        <f>"$"</f>
        <v>$</v>
      </c>
      <c r="X2446">
        <v>0</v>
      </c>
      <c r="Y2446">
        <v>0</v>
      </c>
      <c r="Z2446">
        <v>0</v>
      </c>
      <c r="AA2446" t="str">
        <f>"Y"</f>
        <v>Y</v>
      </c>
      <c r="AC2446">
        <v>0</v>
      </c>
      <c r="AM2446" t="str">
        <f>"10"</f>
        <v>10</v>
      </c>
      <c r="AN2446" t="str">
        <f>"500000"</f>
        <v>500000</v>
      </c>
      <c r="AO2446" t="str">
        <f>"הכנסות  מלקוחות"</f>
        <v>הכנסות  מלקוחות</v>
      </c>
      <c r="AQ2446" t="str">
        <f>"034"</f>
        <v>034</v>
      </c>
      <c r="AR2446">
        <v>0</v>
      </c>
      <c r="AS2446">
        <v>0</v>
      </c>
      <c r="AT2446">
        <v>3.2610000000000001</v>
      </c>
      <c r="BB2446" t="str">
        <f>"Y"</f>
        <v>Y</v>
      </c>
      <c r="BD2446" t="str">
        <f>"ערן שלו"</f>
        <v>ערן שלו</v>
      </c>
    </row>
    <row r="2447" spans="1:56" x14ac:dyDescent="0.3">
      <c r="A2447" s="1">
        <v>44377</v>
      </c>
      <c r="B2447" t="str">
        <f>"SI216000975"</f>
        <v>SI216000975</v>
      </c>
      <c r="C2447" t="str">
        <f>"PR20000834"</f>
        <v>PR20000834</v>
      </c>
      <c r="E2447" t="str">
        <f>"Y"</f>
        <v>Y</v>
      </c>
      <c r="F2447" t="str">
        <f>"חשבוניות מרכזות"</f>
        <v>חשבוניות מרכזות</v>
      </c>
      <c r="G2447" t="str">
        <f>"700065"</f>
        <v>700065</v>
      </c>
      <c r="H2447" t="str">
        <f>"אלתא מערכות בע""מ"</f>
        <v>אלתא מערכות בע"מ</v>
      </c>
      <c r="I2447" t="str">
        <f>"10"</f>
        <v>10</v>
      </c>
      <c r="J2447" t="str">
        <f>"OP-AR02109"</f>
        <v>OP-AR02109</v>
      </c>
      <c r="K2447" t="str">
        <f>"1032F926-001/-   ETHERNET CABLE MFR-W926 - FILTE"</f>
        <v>1032F926-001/-   ETHERNET CABLE MFR-W926 - FILTE</v>
      </c>
      <c r="L2447">
        <v>-1</v>
      </c>
      <c r="M2447" t="str">
        <f>"יח"</f>
        <v>יח</v>
      </c>
      <c r="N2447">
        <v>-1</v>
      </c>
      <c r="O2447" t="str">
        <f>"יח"</f>
        <v>יח</v>
      </c>
      <c r="P2447">
        <v>174</v>
      </c>
      <c r="Q2447" t="str">
        <f>"$"</f>
        <v>$</v>
      </c>
      <c r="R2447" t="str">
        <f>"הזמנה"</f>
        <v>הזמנה</v>
      </c>
      <c r="S2447">
        <v>0</v>
      </c>
      <c r="T2447">
        <v>-174</v>
      </c>
      <c r="U2447">
        <v>0</v>
      </c>
      <c r="V2447">
        <v>-174</v>
      </c>
      <c r="W2447" t="str">
        <f>"$"</f>
        <v>$</v>
      </c>
      <c r="X2447">
        <v>0</v>
      </c>
      <c r="Y2447">
        <v>0</v>
      </c>
      <c r="Z2447">
        <v>0</v>
      </c>
      <c r="AA2447" t="str">
        <f>"Y"</f>
        <v>Y</v>
      </c>
      <c r="AC2447">
        <v>0</v>
      </c>
      <c r="AM2447" t="str">
        <f>"10"</f>
        <v>10</v>
      </c>
      <c r="AN2447" t="str">
        <f>"500000"</f>
        <v>500000</v>
      </c>
      <c r="AO2447" t="str">
        <f>"הכנסות  מלקוחות"</f>
        <v>הכנסות  מלקוחות</v>
      </c>
      <c r="AQ2447" t="str">
        <f>"034"</f>
        <v>034</v>
      </c>
      <c r="AR2447">
        <v>0</v>
      </c>
      <c r="AS2447">
        <v>0</v>
      </c>
      <c r="AT2447">
        <v>3.2610000000000001</v>
      </c>
      <c r="BB2447" t="str">
        <f>"Y"</f>
        <v>Y</v>
      </c>
      <c r="BD2447" t="str">
        <f>"ערן שלו"</f>
        <v>ערן שלו</v>
      </c>
    </row>
    <row r="2448" spans="1:56" x14ac:dyDescent="0.3">
      <c r="A2448" s="1">
        <v>44377</v>
      </c>
      <c r="B2448" t="str">
        <f>"SI216000975"</f>
        <v>SI216000975</v>
      </c>
      <c r="C2448" t="str">
        <f>"PR20000834"</f>
        <v>PR20000834</v>
      </c>
      <c r="E2448" t="str">
        <f>"Y"</f>
        <v>Y</v>
      </c>
      <c r="F2448" t="str">
        <f>"חשבוניות מרכזות"</f>
        <v>חשבוניות מרכזות</v>
      </c>
      <c r="G2448" t="str">
        <f>"700065"</f>
        <v>700065</v>
      </c>
      <c r="H2448" t="str">
        <f>"אלתא מערכות בע""מ"</f>
        <v>אלתא מערכות בע"מ</v>
      </c>
      <c r="I2448" t="str">
        <f>"10"</f>
        <v>10</v>
      </c>
      <c r="J2448" t="str">
        <f>"OP-AR02110"</f>
        <v>OP-AR02110</v>
      </c>
      <c r="K2448" t="str">
        <f>"1032F927-001/-   ETHERNET CABLE MFR-W927 - FILTE"</f>
        <v>1032F927-001/-   ETHERNET CABLE MFR-W927 - FILTE</v>
      </c>
      <c r="L2448">
        <v>-1</v>
      </c>
      <c r="M2448" t="str">
        <f>"יח"</f>
        <v>יח</v>
      </c>
      <c r="N2448">
        <v>-1</v>
      </c>
      <c r="O2448" t="str">
        <f>"יח"</f>
        <v>יח</v>
      </c>
      <c r="P2448">
        <v>174</v>
      </c>
      <c r="Q2448" t="str">
        <f>"$"</f>
        <v>$</v>
      </c>
      <c r="R2448" t="str">
        <f>"הזמנה"</f>
        <v>הזמנה</v>
      </c>
      <c r="S2448">
        <v>0</v>
      </c>
      <c r="T2448">
        <v>-174</v>
      </c>
      <c r="U2448">
        <v>0</v>
      </c>
      <c r="V2448">
        <v>-174</v>
      </c>
      <c r="W2448" t="str">
        <f>"$"</f>
        <v>$</v>
      </c>
      <c r="X2448">
        <v>0</v>
      </c>
      <c r="Y2448">
        <v>0</v>
      </c>
      <c r="Z2448">
        <v>0</v>
      </c>
      <c r="AA2448" t="str">
        <f>"Y"</f>
        <v>Y</v>
      </c>
      <c r="AC2448">
        <v>0</v>
      </c>
      <c r="AM2448" t="str">
        <f>"10"</f>
        <v>10</v>
      </c>
      <c r="AN2448" t="str">
        <f>"500000"</f>
        <v>500000</v>
      </c>
      <c r="AO2448" t="str">
        <f>"הכנסות  מלקוחות"</f>
        <v>הכנסות  מלקוחות</v>
      </c>
      <c r="AQ2448" t="str">
        <f>"034"</f>
        <v>034</v>
      </c>
      <c r="AR2448">
        <v>0</v>
      </c>
      <c r="AS2448">
        <v>0</v>
      </c>
      <c r="AT2448">
        <v>3.2610000000000001</v>
      </c>
      <c r="BB2448" t="str">
        <f>"Y"</f>
        <v>Y</v>
      </c>
      <c r="BD2448" t="str">
        <f>"ערן שלו"</f>
        <v>ערן שלו</v>
      </c>
    </row>
    <row r="2449" spans="1:56" x14ac:dyDescent="0.3">
      <c r="A2449" s="1">
        <v>44377</v>
      </c>
      <c r="B2449" t="str">
        <f>"SI216000975"</f>
        <v>SI216000975</v>
      </c>
      <c r="C2449" t="str">
        <f>"PR20000834"</f>
        <v>PR20000834</v>
      </c>
      <c r="E2449" t="str">
        <f>"Y"</f>
        <v>Y</v>
      </c>
      <c r="F2449" t="str">
        <f>"חשבוניות מרכזות"</f>
        <v>חשבוניות מרכזות</v>
      </c>
      <c r="G2449" t="str">
        <f>"700065"</f>
        <v>700065</v>
      </c>
      <c r="H2449" t="str">
        <f>"אלתא מערכות בע""מ"</f>
        <v>אלתא מערכות בע"מ</v>
      </c>
      <c r="I2449" t="str">
        <f>"10"</f>
        <v>10</v>
      </c>
      <c r="J2449" t="str">
        <f>"OP-AR02111"</f>
        <v>OP-AR02111</v>
      </c>
      <c r="K2449" t="str">
        <f>"1032F928-001/-   ETHERNET CABLE MFR-W928 - FILTE"</f>
        <v>1032F928-001/-   ETHERNET CABLE MFR-W928 - FILTE</v>
      </c>
      <c r="L2449">
        <v>-1</v>
      </c>
      <c r="M2449" t="str">
        <f>"יח"</f>
        <v>יח</v>
      </c>
      <c r="N2449">
        <v>-1</v>
      </c>
      <c r="O2449" t="str">
        <f>"יח"</f>
        <v>יח</v>
      </c>
      <c r="P2449">
        <v>174</v>
      </c>
      <c r="Q2449" t="str">
        <f>"$"</f>
        <v>$</v>
      </c>
      <c r="R2449" t="str">
        <f>"הזמנה"</f>
        <v>הזמנה</v>
      </c>
      <c r="S2449">
        <v>0</v>
      </c>
      <c r="T2449">
        <v>-174</v>
      </c>
      <c r="U2449">
        <v>0</v>
      </c>
      <c r="V2449">
        <v>-174</v>
      </c>
      <c r="W2449" t="str">
        <f>"$"</f>
        <v>$</v>
      </c>
      <c r="X2449">
        <v>0</v>
      </c>
      <c r="Y2449">
        <v>0</v>
      </c>
      <c r="Z2449">
        <v>0</v>
      </c>
      <c r="AA2449" t="str">
        <f>"Y"</f>
        <v>Y</v>
      </c>
      <c r="AC2449">
        <v>0</v>
      </c>
      <c r="AM2449" t="str">
        <f>"10"</f>
        <v>10</v>
      </c>
      <c r="AN2449" t="str">
        <f>"500000"</f>
        <v>500000</v>
      </c>
      <c r="AO2449" t="str">
        <f>"הכנסות  מלקוחות"</f>
        <v>הכנסות  מלקוחות</v>
      </c>
      <c r="AQ2449" t="str">
        <f>"034"</f>
        <v>034</v>
      </c>
      <c r="AR2449">
        <v>0</v>
      </c>
      <c r="AS2449">
        <v>0</v>
      </c>
      <c r="AT2449">
        <v>3.2610000000000001</v>
      </c>
      <c r="BB2449" t="str">
        <f>"Y"</f>
        <v>Y</v>
      </c>
      <c r="BD2449" t="str">
        <f>"ערן שלו"</f>
        <v>ערן שלו</v>
      </c>
    </row>
    <row r="2450" spans="1:56" x14ac:dyDescent="0.3">
      <c r="A2450" s="1">
        <v>44377</v>
      </c>
      <c r="B2450" t="str">
        <f>"SI216000975"</f>
        <v>SI216000975</v>
      </c>
      <c r="C2450" t="str">
        <f>"PR20000834"</f>
        <v>PR20000834</v>
      </c>
      <c r="E2450" t="str">
        <f>"Y"</f>
        <v>Y</v>
      </c>
      <c r="F2450" t="str">
        <f>"חשבוניות מרכזות"</f>
        <v>חשבוניות מרכזות</v>
      </c>
      <c r="G2450" t="str">
        <f>"700065"</f>
        <v>700065</v>
      </c>
      <c r="H2450" t="str">
        <f>"אלתא מערכות בע""מ"</f>
        <v>אלתא מערכות בע"מ</v>
      </c>
      <c r="I2450" t="str">
        <f>"10"</f>
        <v>10</v>
      </c>
      <c r="J2450" t="str">
        <f>"OP-AR02112"</f>
        <v>OP-AR02112</v>
      </c>
      <c r="K2450" t="str">
        <f>"1032F929-001/-   ETHERNET CABLE MFR-W929 - FILTE"</f>
        <v>1032F929-001/-   ETHERNET CABLE MFR-W929 - FILTE</v>
      </c>
      <c r="L2450">
        <v>-1</v>
      </c>
      <c r="M2450" t="str">
        <f>"יח"</f>
        <v>יח</v>
      </c>
      <c r="N2450">
        <v>-1</v>
      </c>
      <c r="O2450" t="str">
        <f>"יח"</f>
        <v>יח</v>
      </c>
      <c r="P2450">
        <v>176.77</v>
      </c>
      <c r="Q2450" t="str">
        <f>"$"</f>
        <v>$</v>
      </c>
      <c r="R2450" t="str">
        <f>"הזמנה"</f>
        <v>הזמנה</v>
      </c>
      <c r="S2450">
        <v>0</v>
      </c>
      <c r="T2450">
        <v>-176.77</v>
      </c>
      <c r="U2450">
        <v>0</v>
      </c>
      <c r="V2450">
        <v>-176.77</v>
      </c>
      <c r="W2450" t="str">
        <f>"$"</f>
        <v>$</v>
      </c>
      <c r="X2450">
        <v>0</v>
      </c>
      <c r="Y2450">
        <v>0</v>
      </c>
      <c r="Z2450">
        <v>0</v>
      </c>
      <c r="AA2450" t="str">
        <f>"Y"</f>
        <v>Y</v>
      </c>
      <c r="AC2450">
        <v>0</v>
      </c>
      <c r="AM2450" t="str">
        <f>"10"</f>
        <v>10</v>
      </c>
      <c r="AN2450" t="str">
        <f>"500000"</f>
        <v>500000</v>
      </c>
      <c r="AO2450" t="str">
        <f>"הכנסות  מלקוחות"</f>
        <v>הכנסות  מלקוחות</v>
      </c>
      <c r="AQ2450" t="str">
        <f>"034"</f>
        <v>034</v>
      </c>
      <c r="AR2450">
        <v>0</v>
      </c>
      <c r="AS2450">
        <v>0</v>
      </c>
      <c r="AT2450">
        <v>3.2610000000000001</v>
      </c>
      <c r="BB2450" t="str">
        <f>"Y"</f>
        <v>Y</v>
      </c>
      <c r="BD2450" t="str">
        <f>"ערן שלו"</f>
        <v>ערן שלו</v>
      </c>
    </row>
    <row r="2451" spans="1:56" x14ac:dyDescent="0.3">
      <c r="A2451" s="1">
        <v>44377</v>
      </c>
      <c r="B2451" t="str">
        <f>"SI216000975"</f>
        <v>SI216000975</v>
      </c>
      <c r="C2451" t="str">
        <f>"PR20000834"</f>
        <v>PR20000834</v>
      </c>
      <c r="E2451" t="str">
        <f>"Y"</f>
        <v>Y</v>
      </c>
      <c r="F2451" t="str">
        <f>"חשבוניות מרכזות"</f>
        <v>חשבוניות מרכזות</v>
      </c>
      <c r="G2451" t="str">
        <f>"700065"</f>
        <v>700065</v>
      </c>
      <c r="H2451" t="str">
        <f>"אלתא מערכות בע""מ"</f>
        <v>אלתא מערכות בע"מ</v>
      </c>
      <c r="I2451" t="str">
        <f>"10"</f>
        <v>10</v>
      </c>
      <c r="J2451" t="str">
        <f>"OP-AR02113"</f>
        <v>OP-AR02113</v>
      </c>
      <c r="K2451" t="str">
        <f>"1032F930-001/-   ETHERNET CABLE MFR-W930 - FILTE"</f>
        <v>1032F930-001/-   ETHERNET CABLE MFR-W930 - FILTE</v>
      </c>
      <c r="L2451">
        <v>-1</v>
      </c>
      <c r="M2451" t="str">
        <f>"יח"</f>
        <v>יח</v>
      </c>
      <c r="N2451">
        <v>-1</v>
      </c>
      <c r="O2451" t="str">
        <f>"יח"</f>
        <v>יח</v>
      </c>
      <c r="P2451">
        <v>174</v>
      </c>
      <c r="Q2451" t="str">
        <f>"$"</f>
        <v>$</v>
      </c>
      <c r="R2451" t="str">
        <f>"הזמנה"</f>
        <v>הזמנה</v>
      </c>
      <c r="S2451">
        <v>0</v>
      </c>
      <c r="T2451">
        <v>-174</v>
      </c>
      <c r="U2451">
        <v>0</v>
      </c>
      <c r="V2451">
        <v>-174</v>
      </c>
      <c r="W2451" t="str">
        <f>"$"</f>
        <v>$</v>
      </c>
      <c r="X2451">
        <v>0</v>
      </c>
      <c r="Y2451">
        <v>0</v>
      </c>
      <c r="Z2451">
        <v>0</v>
      </c>
      <c r="AA2451" t="str">
        <f>"Y"</f>
        <v>Y</v>
      </c>
      <c r="AC2451">
        <v>0</v>
      </c>
      <c r="AM2451" t="str">
        <f>"10"</f>
        <v>10</v>
      </c>
      <c r="AN2451" t="str">
        <f>"500000"</f>
        <v>500000</v>
      </c>
      <c r="AO2451" t="str">
        <f>"הכנסות  מלקוחות"</f>
        <v>הכנסות  מלקוחות</v>
      </c>
      <c r="AQ2451" t="str">
        <f>"034"</f>
        <v>034</v>
      </c>
      <c r="AR2451">
        <v>0</v>
      </c>
      <c r="AS2451">
        <v>0</v>
      </c>
      <c r="AT2451">
        <v>3.2610000000000001</v>
      </c>
      <c r="BB2451" t="str">
        <f>"Y"</f>
        <v>Y</v>
      </c>
      <c r="BD2451" t="str">
        <f>"ערן שלו"</f>
        <v>ערן שלו</v>
      </c>
    </row>
    <row r="2452" spans="1:56" x14ac:dyDescent="0.3">
      <c r="A2452" s="1">
        <v>44377</v>
      </c>
      <c r="B2452" t="str">
        <f>"SI216000975"</f>
        <v>SI216000975</v>
      </c>
      <c r="C2452" t="str">
        <f>"PR20000834"</f>
        <v>PR20000834</v>
      </c>
      <c r="E2452" t="str">
        <f>"Y"</f>
        <v>Y</v>
      </c>
      <c r="F2452" t="str">
        <f>"חשבוניות מרכזות"</f>
        <v>חשבוניות מרכזות</v>
      </c>
      <c r="G2452" t="str">
        <f>"700065"</f>
        <v>700065</v>
      </c>
      <c r="H2452" t="str">
        <f>"אלתא מערכות בע""מ"</f>
        <v>אלתא מערכות בע"מ</v>
      </c>
      <c r="I2452" t="str">
        <f>"10"</f>
        <v>10</v>
      </c>
      <c r="J2452" t="str">
        <f>"OP-AR02114"</f>
        <v>OP-AR02114</v>
      </c>
      <c r="K2452" t="str">
        <f>"1032F931-001/-   ETHERNET CABLE MFR-W931 - FILTE"</f>
        <v>1032F931-001/-   ETHERNET CABLE MFR-W931 - FILTE</v>
      </c>
      <c r="L2452">
        <v>-1</v>
      </c>
      <c r="M2452" t="str">
        <f>"יח"</f>
        <v>יח</v>
      </c>
      <c r="N2452">
        <v>-1</v>
      </c>
      <c r="O2452" t="str">
        <f>"יח"</f>
        <v>יח</v>
      </c>
      <c r="P2452">
        <v>176.77</v>
      </c>
      <c r="Q2452" t="str">
        <f>"$"</f>
        <v>$</v>
      </c>
      <c r="R2452" t="str">
        <f>"הזמנה"</f>
        <v>הזמנה</v>
      </c>
      <c r="S2452">
        <v>0</v>
      </c>
      <c r="T2452">
        <v>-176.77</v>
      </c>
      <c r="U2452">
        <v>0</v>
      </c>
      <c r="V2452">
        <v>-176.77</v>
      </c>
      <c r="W2452" t="str">
        <f>"$"</f>
        <v>$</v>
      </c>
      <c r="X2452">
        <v>0</v>
      </c>
      <c r="Y2452">
        <v>0</v>
      </c>
      <c r="Z2452">
        <v>0</v>
      </c>
      <c r="AA2452" t="str">
        <f>"Y"</f>
        <v>Y</v>
      </c>
      <c r="AC2452">
        <v>0</v>
      </c>
      <c r="AM2452" t="str">
        <f>"10"</f>
        <v>10</v>
      </c>
      <c r="AN2452" t="str">
        <f>"500000"</f>
        <v>500000</v>
      </c>
      <c r="AO2452" t="str">
        <f>"הכנסות  מלקוחות"</f>
        <v>הכנסות  מלקוחות</v>
      </c>
      <c r="AQ2452" t="str">
        <f>"034"</f>
        <v>034</v>
      </c>
      <c r="AR2452">
        <v>0</v>
      </c>
      <c r="AS2452">
        <v>0</v>
      </c>
      <c r="AT2452">
        <v>3.2610000000000001</v>
      </c>
      <c r="BB2452" t="str">
        <f>"Y"</f>
        <v>Y</v>
      </c>
      <c r="BD2452" t="str">
        <f>"ערן שלו"</f>
        <v>ערן שלו</v>
      </c>
    </row>
    <row r="2453" spans="1:56" x14ac:dyDescent="0.3">
      <c r="A2453" s="1">
        <v>44377</v>
      </c>
      <c r="B2453" t="str">
        <f>"SI216000975"</f>
        <v>SI216000975</v>
      </c>
      <c r="C2453" t="str">
        <f>"PR20000834"</f>
        <v>PR20000834</v>
      </c>
      <c r="E2453" t="str">
        <f>"Y"</f>
        <v>Y</v>
      </c>
      <c r="F2453" t="str">
        <f>"חשבוניות מרכזות"</f>
        <v>חשבוניות מרכזות</v>
      </c>
      <c r="G2453" t="str">
        <f>"700065"</f>
        <v>700065</v>
      </c>
      <c r="H2453" t="str">
        <f>"אלתא מערכות בע""מ"</f>
        <v>אלתא מערכות בע"מ</v>
      </c>
      <c r="I2453" t="str">
        <f>"10"</f>
        <v>10</v>
      </c>
      <c r="J2453" t="str">
        <f>"OP-AR02115"</f>
        <v>OP-AR02115</v>
      </c>
      <c r="K2453" t="str">
        <f>"1032F932-001/-   ETHERNET CABLE MFR-W932 - FILTE"</f>
        <v>1032F932-001/-   ETHERNET CABLE MFR-W932 - FILTE</v>
      </c>
      <c r="L2453">
        <v>-1</v>
      </c>
      <c r="M2453" t="str">
        <f>"יח"</f>
        <v>יח</v>
      </c>
      <c r="N2453">
        <v>-1</v>
      </c>
      <c r="O2453" t="str">
        <f>"יח"</f>
        <v>יח</v>
      </c>
      <c r="P2453">
        <v>176.77</v>
      </c>
      <c r="Q2453" t="str">
        <f>"$"</f>
        <v>$</v>
      </c>
      <c r="R2453" t="str">
        <f>"הזמנה"</f>
        <v>הזמנה</v>
      </c>
      <c r="S2453">
        <v>0</v>
      </c>
      <c r="T2453">
        <v>-176.77</v>
      </c>
      <c r="U2453">
        <v>0</v>
      </c>
      <c r="V2453">
        <v>-176.77</v>
      </c>
      <c r="W2453" t="str">
        <f>"$"</f>
        <v>$</v>
      </c>
      <c r="X2453">
        <v>0</v>
      </c>
      <c r="Y2453">
        <v>0</v>
      </c>
      <c r="Z2453">
        <v>0</v>
      </c>
      <c r="AA2453" t="str">
        <f>"Y"</f>
        <v>Y</v>
      </c>
      <c r="AC2453">
        <v>0</v>
      </c>
      <c r="AM2453" t="str">
        <f>"10"</f>
        <v>10</v>
      </c>
      <c r="AN2453" t="str">
        <f>"500000"</f>
        <v>500000</v>
      </c>
      <c r="AO2453" t="str">
        <f>"הכנסות  מלקוחות"</f>
        <v>הכנסות  מלקוחות</v>
      </c>
      <c r="AQ2453" t="str">
        <f>"034"</f>
        <v>034</v>
      </c>
      <c r="AR2453">
        <v>0</v>
      </c>
      <c r="AS2453">
        <v>0</v>
      </c>
      <c r="AT2453">
        <v>3.2610000000000001</v>
      </c>
      <c r="BB2453" t="str">
        <f>"Y"</f>
        <v>Y</v>
      </c>
      <c r="BD2453" t="str">
        <f>"ערן שלו"</f>
        <v>ערן שלו</v>
      </c>
    </row>
    <row r="2454" spans="1:56" x14ac:dyDescent="0.3">
      <c r="A2454" s="1">
        <v>44377</v>
      </c>
      <c r="B2454" t="str">
        <f>"SI216000975"</f>
        <v>SI216000975</v>
      </c>
      <c r="C2454" t="str">
        <f>"PR20000834"</f>
        <v>PR20000834</v>
      </c>
      <c r="E2454" t="str">
        <f>"Y"</f>
        <v>Y</v>
      </c>
      <c r="F2454" t="str">
        <f>"חשבוניות מרכזות"</f>
        <v>חשבוניות מרכזות</v>
      </c>
      <c r="G2454" t="str">
        <f>"700065"</f>
        <v>700065</v>
      </c>
      <c r="H2454" t="str">
        <f>"אלתא מערכות בע""מ"</f>
        <v>אלתא מערכות בע"מ</v>
      </c>
      <c r="I2454" t="str">
        <f>"10"</f>
        <v>10</v>
      </c>
      <c r="J2454" t="str">
        <f>"OP-AR02117"</f>
        <v>OP-AR02117</v>
      </c>
      <c r="K2454" t="str">
        <f>"1032F933-001/-   ETHERNET CABLE MFR-W933 - FILTE"</f>
        <v>1032F933-001/-   ETHERNET CABLE MFR-W933 - FILTE</v>
      </c>
      <c r="L2454">
        <v>-1</v>
      </c>
      <c r="M2454" t="str">
        <f>"יח"</f>
        <v>יח</v>
      </c>
      <c r="N2454">
        <v>-1</v>
      </c>
      <c r="O2454" t="str">
        <f>"יח"</f>
        <v>יח</v>
      </c>
      <c r="P2454">
        <v>176.77</v>
      </c>
      <c r="Q2454" t="str">
        <f>"$"</f>
        <v>$</v>
      </c>
      <c r="R2454" t="str">
        <f>"הזמנה"</f>
        <v>הזמנה</v>
      </c>
      <c r="S2454">
        <v>0</v>
      </c>
      <c r="T2454">
        <v>-176.77</v>
      </c>
      <c r="U2454">
        <v>0</v>
      </c>
      <c r="V2454">
        <v>-176.77</v>
      </c>
      <c r="W2454" t="str">
        <f>"$"</f>
        <v>$</v>
      </c>
      <c r="X2454">
        <v>0</v>
      </c>
      <c r="Y2454">
        <v>0</v>
      </c>
      <c r="Z2454">
        <v>0</v>
      </c>
      <c r="AA2454" t="str">
        <f>"Y"</f>
        <v>Y</v>
      </c>
      <c r="AC2454">
        <v>0</v>
      </c>
      <c r="AM2454" t="str">
        <f>"10"</f>
        <v>10</v>
      </c>
      <c r="AN2454" t="str">
        <f>"500000"</f>
        <v>500000</v>
      </c>
      <c r="AO2454" t="str">
        <f>"הכנסות  מלקוחות"</f>
        <v>הכנסות  מלקוחות</v>
      </c>
      <c r="AQ2454" t="str">
        <f>"034"</f>
        <v>034</v>
      </c>
      <c r="AR2454">
        <v>0</v>
      </c>
      <c r="AS2454">
        <v>0</v>
      </c>
      <c r="AT2454">
        <v>3.2610000000000001</v>
      </c>
      <c r="BB2454" t="str">
        <f>"Y"</f>
        <v>Y</v>
      </c>
      <c r="BD2454" t="str">
        <f>"ערן שלו"</f>
        <v>ערן שלו</v>
      </c>
    </row>
    <row r="2455" spans="1:56" x14ac:dyDescent="0.3">
      <c r="A2455" s="1">
        <v>44377</v>
      </c>
      <c r="B2455" t="str">
        <f>"SI216000975"</f>
        <v>SI216000975</v>
      </c>
      <c r="C2455" t="str">
        <f>"PR20000834"</f>
        <v>PR20000834</v>
      </c>
      <c r="E2455" t="str">
        <f>"Y"</f>
        <v>Y</v>
      </c>
      <c r="F2455" t="str">
        <f>"חשבוניות מרכזות"</f>
        <v>חשבוניות מרכזות</v>
      </c>
      <c r="G2455" t="str">
        <f>"700065"</f>
        <v>700065</v>
      </c>
      <c r="H2455" t="str">
        <f>"אלתא מערכות בע""מ"</f>
        <v>אלתא מערכות בע"מ</v>
      </c>
      <c r="I2455" t="str">
        <f>"10"</f>
        <v>10</v>
      </c>
      <c r="J2455" t="str">
        <f>"OP-AR02118"</f>
        <v>OP-AR02118</v>
      </c>
      <c r="K2455" t="str">
        <f>"1032F934-001/-   ETHERNET CABLE MFR-W934 - FILTE"</f>
        <v>1032F934-001/-   ETHERNET CABLE MFR-W934 - FILTE</v>
      </c>
      <c r="L2455">
        <v>-1</v>
      </c>
      <c r="M2455" t="str">
        <f>"יח"</f>
        <v>יח</v>
      </c>
      <c r="N2455">
        <v>-1</v>
      </c>
      <c r="O2455" t="str">
        <f>"יח"</f>
        <v>יח</v>
      </c>
      <c r="P2455">
        <v>176.77</v>
      </c>
      <c r="Q2455" t="str">
        <f>"$"</f>
        <v>$</v>
      </c>
      <c r="R2455" t="str">
        <f>"הזמנה"</f>
        <v>הזמנה</v>
      </c>
      <c r="S2455">
        <v>0</v>
      </c>
      <c r="T2455">
        <v>-176.77</v>
      </c>
      <c r="U2455">
        <v>0</v>
      </c>
      <c r="V2455">
        <v>-176.77</v>
      </c>
      <c r="W2455" t="str">
        <f>"$"</f>
        <v>$</v>
      </c>
      <c r="X2455">
        <v>0</v>
      </c>
      <c r="Y2455">
        <v>0</v>
      </c>
      <c r="Z2455">
        <v>0</v>
      </c>
      <c r="AA2455" t="str">
        <f>"Y"</f>
        <v>Y</v>
      </c>
      <c r="AC2455">
        <v>0</v>
      </c>
      <c r="AM2455" t="str">
        <f>"10"</f>
        <v>10</v>
      </c>
      <c r="AN2455" t="str">
        <f>"500000"</f>
        <v>500000</v>
      </c>
      <c r="AO2455" t="str">
        <f>"הכנסות  מלקוחות"</f>
        <v>הכנסות  מלקוחות</v>
      </c>
      <c r="AQ2455" t="str">
        <f>"034"</f>
        <v>034</v>
      </c>
      <c r="AR2455">
        <v>0</v>
      </c>
      <c r="AS2455">
        <v>0</v>
      </c>
      <c r="AT2455">
        <v>3.2610000000000001</v>
      </c>
      <c r="BB2455" t="str">
        <f>"Y"</f>
        <v>Y</v>
      </c>
      <c r="BD2455" t="str">
        <f>"ערן שלו"</f>
        <v>ערן שלו</v>
      </c>
    </row>
    <row r="2456" spans="1:56" x14ac:dyDescent="0.3">
      <c r="A2456" s="1">
        <v>44377</v>
      </c>
      <c r="B2456" t="str">
        <f>"SI216000975"</f>
        <v>SI216000975</v>
      </c>
      <c r="C2456" t="str">
        <f>"PR20000834"</f>
        <v>PR20000834</v>
      </c>
      <c r="E2456" t="str">
        <f>"Y"</f>
        <v>Y</v>
      </c>
      <c r="F2456" t="str">
        <f>"חשבוניות מרכזות"</f>
        <v>חשבוניות מרכזות</v>
      </c>
      <c r="G2456" t="str">
        <f>"700065"</f>
        <v>700065</v>
      </c>
      <c r="H2456" t="str">
        <f>"אלתא מערכות בע""מ"</f>
        <v>אלתא מערכות בע"מ</v>
      </c>
      <c r="I2456" t="str">
        <f>"10"</f>
        <v>10</v>
      </c>
      <c r="J2456" t="str">
        <f>"OP-AR02119"</f>
        <v>OP-AR02119</v>
      </c>
      <c r="K2456" t="str">
        <f>"1032F935-001/-   ETHERNET CABLE MFR-W935 - FILTE"</f>
        <v>1032F935-001/-   ETHERNET CABLE MFR-W935 - FILTE</v>
      </c>
      <c r="L2456">
        <v>-1</v>
      </c>
      <c r="M2456" t="str">
        <f>"יח"</f>
        <v>יח</v>
      </c>
      <c r="N2456">
        <v>-1</v>
      </c>
      <c r="O2456" t="str">
        <f>"יח"</f>
        <v>יח</v>
      </c>
      <c r="P2456">
        <v>174</v>
      </c>
      <c r="Q2456" t="str">
        <f>"$"</f>
        <v>$</v>
      </c>
      <c r="R2456" t="str">
        <f>"הזמנה"</f>
        <v>הזמנה</v>
      </c>
      <c r="S2456">
        <v>0</v>
      </c>
      <c r="T2456">
        <v>-174</v>
      </c>
      <c r="U2456">
        <v>0</v>
      </c>
      <c r="V2456">
        <v>-174</v>
      </c>
      <c r="W2456" t="str">
        <f>"$"</f>
        <v>$</v>
      </c>
      <c r="X2456">
        <v>0</v>
      </c>
      <c r="Y2456">
        <v>0</v>
      </c>
      <c r="Z2456">
        <v>0</v>
      </c>
      <c r="AA2456" t="str">
        <f>"Y"</f>
        <v>Y</v>
      </c>
      <c r="AC2456">
        <v>0</v>
      </c>
      <c r="AM2456" t="str">
        <f>"10"</f>
        <v>10</v>
      </c>
      <c r="AN2456" t="str">
        <f>"500000"</f>
        <v>500000</v>
      </c>
      <c r="AO2456" t="str">
        <f>"הכנסות  מלקוחות"</f>
        <v>הכנסות  מלקוחות</v>
      </c>
      <c r="AQ2456" t="str">
        <f>"034"</f>
        <v>034</v>
      </c>
      <c r="AR2456">
        <v>0</v>
      </c>
      <c r="AS2456">
        <v>0</v>
      </c>
      <c r="AT2456">
        <v>3.2610000000000001</v>
      </c>
      <c r="BB2456" t="str">
        <f>"Y"</f>
        <v>Y</v>
      </c>
      <c r="BD2456" t="str">
        <f>"ערן שלו"</f>
        <v>ערן שלו</v>
      </c>
    </row>
    <row r="2457" spans="1:56" x14ac:dyDescent="0.3">
      <c r="A2457" s="1">
        <v>44377</v>
      </c>
      <c r="B2457" t="str">
        <f>"SI216000975"</f>
        <v>SI216000975</v>
      </c>
      <c r="C2457" t="str">
        <f>"PR20000834"</f>
        <v>PR20000834</v>
      </c>
      <c r="E2457" t="str">
        <f>"Y"</f>
        <v>Y</v>
      </c>
      <c r="F2457" t="str">
        <f>"חשבוניות מרכזות"</f>
        <v>חשבוניות מרכזות</v>
      </c>
      <c r="G2457" t="str">
        <f>"700065"</f>
        <v>700065</v>
      </c>
      <c r="H2457" t="str">
        <f>"אלתא מערכות בע""מ"</f>
        <v>אלתא מערכות בע"מ</v>
      </c>
      <c r="I2457" t="str">
        <f>"10"</f>
        <v>10</v>
      </c>
      <c r="J2457" t="str">
        <f>"OP-AR02120"</f>
        <v>OP-AR02120</v>
      </c>
      <c r="K2457" t="str">
        <f>"1032F936-001/-   ETHERNET CABLE MFR-W936 - FILTE"</f>
        <v>1032F936-001/-   ETHERNET CABLE MFR-W936 - FILTE</v>
      </c>
      <c r="L2457">
        <v>-1</v>
      </c>
      <c r="M2457" t="str">
        <f>"יח"</f>
        <v>יח</v>
      </c>
      <c r="N2457">
        <v>-1</v>
      </c>
      <c r="O2457" t="str">
        <f>"יח"</f>
        <v>יח</v>
      </c>
      <c r="P2457">
        <v>176.77</v>
      </c>
      <c r="Q2457" t="str">
        <f>"$"</f>
        <v>$</v>
      </c>
      <c r="R2457" t="str">
        <f>"הזמנה"</f>
        <v>הזמנה</v>
      </c>
      <c r="S2457">
        <v>0</v>
      </c>
      <c r="T2457">
        <v>-176.77</v>
      </c>
      <c r="U2457">
        <v>0</v>
      </c>
      <c r="V2457">
        <v>-176.77</v>
      </c>
      <c r="W2457" t="str">
        <f>"$"</f>
        <v>$</v>
      </c>
      <c r="X2457">
        <v>0</v>
      </c>
      <c r="Y2457">
        <v>0</v>
      </c>
      <c r="Z2457">
        <v>0</v>
      </c>
      <c r="AA2457" t="str">
        <f>"Y"</f>
        <v>Y</v>
      </c>
      <c r="AC2457">
        <v>0</v>
      </c>
      <c r="AM2457" t="str">
        <f>"10"</f>
        <v>10</v>
      </c>
      <c r="AN2457" t="str">
        <f>"500000"</f>
        <v>500000</v>
      </c>
      <c r="AO2457" t="str">
        <f>"הכנסות  מלקוחות"</f>
        <v>הכנסות  מלקוחות</v>
      </c>
      <c r="AQ2457" t="str">
        <f>"034"</f>
        <v>034</v>
      </c>
      <c r="AR2457">
        <v>0</v>
      </c>
      <c r="AS2457">
        <v>0</v>
      </c>
      <c r="AT2457">
        <v>3.2610000000000001</v>
      </c>
      <c r="BB2457" t="str">
        <f>"Y"</f>
        <v>Y</v>
      </c>
      <c r="BD2457" t="str">
        <f>"ערן שלו"</f>
        <v>ערן שלו</v>
      </c>
    </row>
    <row r="2458" spans="1:56" x14ac:dyDescent="0.3">
      <c r="A2458" s="1">
        <v>44377</v>
      </c>
      <c r="B2458" t="str">
        <f>"SI216000975"</f>
        <v>SI216000975</v>
      </c>
      <c r="C2458" t="str">
        <f>"PR20000834"</f>
        <v>PR20000834</v>
      </c>
      <c r="E2458" t="str">
        <f>"Y"</f>
        <v>Y</v>
      </c>
      <c r="F2458" t="str">
        <f>"חשבוניות מרכזות"</f>
        <v>חשבוניות מרכזות</v>
      </c>
      <c r="G2458" t="str">
        <f>"700065"</f>
        <v>700065</v>
      </c>
      <c r="H2458" t="str">
        <f>"אלתא מערכות בע""מ"</f>
        <v>אלתא מערכות בע"מ</v>
      </c>
      <c r="I2458" t="str">
        <f>"10"</f>
        <v>10</v>
      </c>
      <c r="J2458" t="str">
        <f>"OP-AR02121"</f>
        <v>OP-AR02121</v>
      </c>
      <c r="K2458" t="str">
        <f>"1032F937-001/-   ETHERNET CABLE MFR-W937 - FILTE"</f>
        <v>1032F937-001/-   ETHERNET CABLE MFR-W937 - FILTE</v>
      </c>
      <c r="L2458">
        <v>-1</v>
      </c>
      <c r="M2458" t="str">
        <f>"יח"</f>
        <v>יח</v>
      </c>
      <c r="N2458">
        <v>-1</v>
      </c>
      <c r="O2458" t="str">
        <f>"יח"</f>
        <v>יח</v>
      </c>
      <c r="P2458">
        <v>174</v>
      </c>
      <c r="Q2458" t="str">
        <f>"$"</f>
        <v>$</v>
      </c>
      <c r="R2458" t="str">
        <f>"הזמנה"</f>
        <v>הזמנה</v>
      </c>
      <c r="S2458">
        <v>0</v>
      </c>
      <c r="T2458">
        <v>-174</v>
      </c>
      <c r="U2458">
        <v>0</v>
      </c>
      <c r="V2458">
        <v>-174</v>
      </c>
      <c r="W2458" t="str">
        <f>"$"</f>
        <v>$</v>
      </c>
      <c r="X2458">
        <v>0</v>
      </c>
      <c r="Y2458">
        <v>0</v>
      </c>
      <c r="Z2458">
        <v>0</v>
      </c>
      <c r="AA2458" t="str">
        <f>"Y"</f>
        <v>Y</v>
      </c>
      <c r="AC2458">
        <v>0</v>
      </c>
      <c r="AM2458" t="str">
        <f>"10"</f>
        <v>10</v>
      </c>
      <c r="AN2458" t="str">
        <f>"500000"</f>
        <v>500000</v>
      </c>
      <c r="AO2458" t="str">
        <f>"הכנסות  מלקוחות"</f>
        <v>הכנסות  מלקוחות</v>
      </c>
      <c r="AQ2458" t="str">
        <f>"034"</f>
        <v>034</v>
      </c>
      <c r="AR2458">
        <v>0</v>
      </c>
      <c r="AS2458">
        <v>0</v>
      </c>
      <c r="AT2458">
        <v>3.2610000000000001</v>
      </c>
      <c r="BB2458" t="str">
        <f>"Y"</f>
        <v>Y</v>
      </c>
      <c r="BD2458" t="str">
        <f>"ערן שלו"</f>
        <v>ערן שלו</v>
      </c>
    </row>
    <row r="2459" spans="1:56" x14ac:dyDescent="0.3">
      <c r="A2459" s="1">
        <v>44377</v>
      </c>
      <c r="B2459" t="str">
        <f>"SI216000975"</f>
        <v>SI216000975</v>
      </c>
      <c r="C2459" t="str">
        <f>"PR20000834"</f>
        <v>PR20000834</v>
      </c>
      <c r="E2459" t="str">
        <f>"Y"</f>
        <v>Y</v>
      </c>
      <c r="F2459" t="str">
        <f>"חשבוניות מרכזות"</f>
        <v>חשבוניות מרכזות</v>
      </c>
      <c r="G2459" t="str">
        <f>"700065"</f>
        <v>700065</v>
      </c>
      <c r="H2459" t="str">
        <f>"אלתא מערכות בע""מ"</f>
        <v>אלתא מערכות בע"מ</v>
      </c>
      <c r="I2459" t="str">
        <f>"10"</f>
        <v>10</v>
      </c>
      <c r="J2459" t="str">
        <f>"OP-AR02122"</f>
        <v>OP-AR02122</v>
      </c>
      <c r="K2459" t="str">
        <f>"1032F938-001/-   ETHERNET CABLE MFR-W938 - FILTE"</f>
        <v>1032F938-001/-   ETHERNET CABLE MFR-W938 - FILTE</v>
      </c>
      <c r="L2459">
        <v>-1</v>
      </c>
      <c r="M2459" t="str">
        <f>"יח"</f>
        <v>יח</v>
      </c>
      <c r="N2459">
        <v>-1</v>
      </c>
      <c r="O2459" t="str">
        <f>"יח"</f>
        <v>יח</v>
      </c>
      <c r="P2459">
        <v>174</v>
      </c>
      <c r="Q2459" t="str">
        <f>"$"</f>
        <v>$</v>
      </c>
      <c r="R2459" t="str">
        <f>"הזמנה"</f>
        <v>הזמנה</v>
      </c>
      <c r="S2459">
        <v>0</v>
      </c>
      <c r="T2459">
        <v>-174</v>
      </c>
      <c r="U2459">
        <v>0</v>
      </c>
      <c r="V2459">
        <v>-174</v>
      </c>
      <c r="W2459" t="str">
        <f>"$"</f>
        <v>$</v>
      </c>
      <c r="X2459">
        <v>0</v>
      </c>
      <c r="Y2459">
        <v>0</v>
      </c>
      <c r="Z2459">
        <v>0</v>
      </c>
      <c r="AA2459" t="str">
        <f>"Y"</f>
        <v>Y</v>
      </c>
      <c r="AC2459">
        <v>0</v>
      </c>
      <c r="AM2459" t="str">
        <f>"10"</f>
        <v>10</v>
      </c>
      <c r="AN2459" t="str">
        <f>"500000"</f>
        <v>500000</v>
      </c>
      <c r="AO2459" t="str">
        <f>"הכנסות  מלקוחות"</f>
        <v>הכנסות  מלקוחות</v>
      </c>
      <c r="AQ2459" t="str">
        <f>"034"</f>
        <v>034</v>
      </c>
      <c r="AR2459">
        <v>0</v>
      </c>
      <c r="AS2459">
        <v>0</v>
      </c>
      <c r="AT2459">
        <v>3.2610000000000001</v>
      </c>
      <c r="BB2459" t="str">
        <f>"Y"</f>
        <v>Y</v>
      </c>
      <c r="BD2459" t="str">
        <f>"ערן שלו"</f>
        <v>ערן שלו</v>
      </c>
    </row>
    <row r="2460" spans="1:56" x14ac:dyDescent="0.3">
      <c r="A2460" s="1">
        <v>44377</v>
      </c>
      <c r="B2460" t="str">
        <f>"SI216000975"</f>
        <v>SI216000975</v>
      </c>
      <c r="C2460" t="str">
        <f>"PR20000834"</f>
        <v>PR20000834</v>
      </c>
      <c r="E2460" t="str">
        <f>"Y"</f>
        <v>Y</v>
      </c>
      <c r="F2460" t="str">
        <f>"חשבוניות מרכזות"</f>
        <v>חשבוניות מרכזות</v>
      </c>
      <c r="G2460" t="str">
        <f>"700065"</f>
        <v>700065</v>
      </c>
      <c r="H2460" t="str">
        <f>"אלתא מערכות בע""מ"</f>
        <v>אלתא מערכות בע"מ</v>
      </c>
      <c r="I2460" t="str">
        <f>"10"</f>
        <v>10</v>
      </c>
      <c r="J2460" t="str">
        <f>"OP-AR02123"</f>
        <v>OP-AR02123</v>
      </c>
      <c r="K2460" t="str">
        <f>"1032F939-001/-   ETHERNET CABLE MFR-W939 - FILTE"</f>
        <v>1032F939-001/-   ETHERNET CABLE MFR-W939 - FILTE</v>
      </c>
      <c r="L2460">
        <v>-1</v>
      </c>
      <c r="M2460" t="str">
        <f>"יח"</f>
        <v>יח</v>
      </c>
      <c r="N2460">
        <v>-1</v>
      </c>
      <c r="O2460" t="str">
        <f>"יח"</f>
        <v>יח</v>
      </c>
      <c r="P2460">
        <v>174</v>
      </c>
      <c r="Q2460" t="str">
        <f>"$"</f>
        <v>$</v>
      </c>
      <c r="R2460" t="str">
        <f>"הזמנה"</f>
        <v>הזמנה</v>
      </c>
      <c r="S2460">
        <v>0</v>
      </c>
      <c r="T2460">
        <v>-174</v>
      </c>
      <c r="U2460">
        <v>0</v>
      </c>
      <c r="V2460">
        <v>-174</v>
      </c>
      <c r="W2460" t="str">
        <f>"$"</f>
        <v>$</v>
      </c>
      <c r="X2460">
        <v>0</v>
      </c>
      <c r="Y2460">
        <v>0</v>
      </c>
      <c r="Z2460">
        <v>0</v>
      </c>
      <c r="AA2460" t="str">
        <f>"Y"</f>
        <v>Y</v>
      </c>
      <c r="AC2460">
        <v>0</v>
      </c>
      <c r="AM2460" t="str">
        <f>"10"</f>
        <v>10</v>
      </c>
      <c r="AN2460" t="str">
        <f>"500000"</f>
        <v>500000</v>
      </c>
      <c r="AO2460" t="str">
        <f>"הכנסות  מלקוחות"</f>
        <v>הכנסות  מלקוחות</v>
      </c>
      <c r="AQ2460" t="str">
        <f>"034"</f>
        <v>034</v>
      </c>
      <c r="AR2460">
        <v>0</v>
      </c>
      <c r="AS2460">
        <v>0</v>
      </c>
      <c r="AT2460">
        <v>3.2610000000000001</v>
      </c>
      <c r="BB2460" t="str">
        <f>"Y"</f>
        <v>Y</v>
      </c>
      <c r="BD2460" t="str">
        <f>"ערן שלו"</f>
        <v>ערן שלו</v>
      </c>
    </row>
    <row r="2461" spans="1:56" x14ac:dyDescent="0.3">
      <c r="A2461" s="1">
        <v>44377</v>
      </c>
      <c r="B2461" t="str">
        <f>"SI216000975"</f>
        <v>SI216000975</v>
      </c>
      <c r="C2461" t="str">
        <f>"PR20000834"</f>
        <v>PR20000834</v>
      </c>
      <c r="E2461" t="str">
        <f>"Y"</f>
        <v>Y</v>
      </c>
      <c r="F2461" t="str">
        <f>"חשבוניות מרכזות"</f>
        <v>חשבוניות מרכזות</v>
      </c>
      <c r="G2461" t="str">
        <f>"700065"</f>
        <v>700065</v>
      </c>
      <c r="H2461" t="str">
        <f>"אלתא מערכות בע""מ"</f>
        <v>אלתא מערכות בע"מ</v>
      </c>
      <c r="I2461" t="str">
        <f>"10"</f>
        <v>10</v>
      </c>
      <c r="J2461" t="str">
        <f>"OP-AR02124"</f>
        <v>OP-AR02124</v>
      </c>
      <c r="K2461" t="str">
        <f>"1032F940-001/-   ETHERNET CABLE MFR-W940 - FILTE"</f>
        <v>1032F940-001/-   ETHERNET CABLE MFR-W940 - FILTE</v>
      </c>
      <c r="L2461">
        <v>-1</v>
      </c>
      <c r="M2461" t="str">
        <f>"יח"</f>
        <v>יח</v>
      </c>
      <c r="N2461">
        <v>-1</v>
      </c>
      <c r="O2461" t="str">
        <f>"יח"</f>
        <v>יח</v>
      </c>
      <c r="P2461">
        <v>174</v>
      </c>
      <c r="Q2461" t="str">
        <f>"$"</f>
        <v>$</v>
      </c>
      <c r="R2461" t="str">
        <f>"הזמנה"</f>
        <v>הזמנה</v>
      </c>
      <c r="S2461">
        <v>0</v>
      </c>
      <c r="T2461">
        <v>-174</v>
      </c>
      <c r="U2461">
        <v>0</v>
      </c>
      <c r="V2461">
        <v>-174</v>
      </c>
      <c r="W2461" t="str">
        <f>"$"</f>
        <v>$</v>
      </c>
      <c r="X2461">
        <v>0</v>
      </c>
      <c r="Y2461">
        <v>0</v>
      </c>
      <c r="Z2461">
        <v>0</v>
      </c>
      <c r="AA2461" t="str">
        <f>"Y"</f>
        <v>Y</v>
      </c>
      <c r="AC2461">
        <v>0</v>
      </c>
      <c r="AM2461" t="str">
        <f>"10"</f>
        <v>10</v>
      </c>
      <c r="AN2461" t="str">
        <f>"500000"</f>
        <v>500000</v>
      </c>
      <c r="AO2461" t="str">
        <f>"הכנסות  מלקוחות"</f>
        <v>הכנסות  מלקוחות</v>
      </c>
      <c r="AQ2461" t="str">
        <f>"034"</f>
        <v>034</v>
      </c>
      <c r="AR2461">
        <v>0</v>
      </c>
      <c r="AS2461">
        <v>0</v>
      </c>
      <c r="AT2461">
        <v>3.2610000000000001</v>
      </c>
      <c r="BB2461" t="str">
        <f>"Y"</f>
        <v>Y</v>
      </c>
      <c r="BD2461" t="str">
        <f>"ערן שלו"</f>
        <v>ערן שלו</v>
      </c>
    </row>
    <row r="2462" spans="1:56" x14ac:dyDescent="0.3">
      <c r="A2462" s="1">
        <v>44377</v>
      </c>
      <c r="B2462" t="str">
        <f>"SI216000975"</f>
        <v>SI216000975</v>
      </c>
      <c r="C2462" t="str">
        <f>"PR20000834"</f>
        <v>PR20000834</v>
      </c>
      <c r="E2462" t="str">
        <f>"Y"</f>
        <v>Y</v>
      </c>
      <c r="F2462" t="str">
        <f>"חשבוניות מרכזות"</f>
        <v>חשבוניות מרכזות</v>
      </c>
      <c r="G2462" t="str">
        <f>"700065"</f>
        <v>700065</v>
      </c>
      <c r="H2462" t="str">
        <f>"אלתא מערכות בע""מ"</f>
        <v>אלתא מערכות בע"מ</v>
      </c>
      <c r="I2462" t="str">
        <f>"10"</f>
        <v>10</v>
      </c>
      <c r="J2462" t="str">
        <f>"OP-AR02125"</f>
        <v>OP-AR02125</v>
      </c>
      <c r="K2462" t="str">
        <f>"1032F941-001/-   ETHERNET CABLE MFR-W941 - FILTE"</f>
        <v>1032F941-001/-   ETHERNET CABLE MFR-W941 - FILTE</v>
      </c>
      <c r="L2462">
        <v>-1</v>
      </c>
      <c r="M2462" t="str">
        <f>"יח"</f>
        <v>יח</v>
      </c>
      <c r="N2462">
        <v>-1</v>
      </c>
      <c r="O2462" t="str">
        <f>"יח"</f>
        <v>יח</v>
      </c>
      <c r="P2462">
        <v>174</v>
      </c>
      <c r="Q2462" t="str">
        <f>"$"</f>
        <v>$</v>
      </c>
      <c r="R2462" t="str">
        <f>"הזמנה"</f>
        <v>הזמנה</v>
      </c>
      <c r="S2462">
        <v>0</v>
      </c>
      <c r="T2462">
        <v>-174</v>
      </c>
      <c r="U2462">
        <v>0</v>
      </c>
      <c r="V2462">
        <v>-174</v>
      </c>
      <c r="W2462" t="str">
        <f>"$"</f>
        <v>$</v>
      </c>
      <c r="X2462">
        <v>0</v>
      </c>
      <c r="Y2462">
        <v>0</v>
      </c>
      <c r="Z2462">
        <v>0</v>
      </c>
      <c r="AA2462" t="str">
        <f>"Y"</f>
        <v>Y</v>
      </c>
      <c r="AC2462">
        <v>0</v>
      </c>
      <c r="AM2462" t="str">
        <f>"10"</f>
        <v>10</v>
      </c>
      <c r="AN2462" t="str">
        <f>"500000"</f>
        <v>500000</v>
      </c>
      <c r="AO2462" t="str">
        <f>"הכנסות  מלקוחות"</f>
        <v>הכנסות  מלקוחות</v>
      </c>
      <c r="AQ2462" t="str">
        <f>"034"</f>
        <v>034</v>
      </c>
      <c r="AR2462">
        <v>0</v>
      </c>
      <c r="AS2462">
        <v>0</v>
      </c>
      <c r="AT2462">
        <v>3.2610000000000001</v>
      </c>
      <c r="BB2462" t="str">
        <f>"Y"</f>
        <v>Y</v>
      </c>
      <c r="BD2462" t="str">
        <f>"ערן שלו"</f>
        <v>ערן שלו</v>
      </c>
    </row>
    <row r="2463" spans="1:56" x14ac:dyDescent="0.3">
      <c r="A2463" s="1">
        <v>44377</v>
      </c>
      <c r="B2463" t="str">
        <f>"SI216000975"</f>
        <v>SI216000975</v>
      </c>
      <c r="C2463" t="str">
        <f>"PR20000834"</f>
        <v>PR20000834</v>
      </c>
      <c r="E2463" t="str">
        <f>"Y"</f>
        <v>Y</v>
      </c>
      <c r="F2463" t="str">
        <f>"חשבוניות מרכזות"</f>
        <v>חשבוניות מרכזות</v>
      </c>
      <c r="G2463" t="str">
        <f>"700065"</f>
        <v>700065</v>
      </c>
      <c r="H2463" t="str">
        <f>"אלתא מערכות בע""מ"</f>
        <v>אלתא מערכות בע"מ</v>
      </c>
      <c r="I2463" t="str">
        <f>"10"</f>
        <v>10</v>
      </c>
      <c r="J2463" t="str">
        <f>"OP-AR02126"</f>
        <v>OP-AR02126</v>
      </c>
      <c r="K2463" t="str">
        <f>"1032F942-001/-   ETHERNET CABLE MFR-W942 - FILTE"</f>
        <v>1032F942-001/-   ETHERNET CABLE MFR-W942 - FILTE</v>
      </c>
      <c r="L2463">
        <v>-2</v>
      </c>
      <c r="M2463" t="str">
        <f>"יח"</f>
        <v>יח</v>
      </c>
      <c r="N2463">
        <v>-2</v>
      </c>
      <c r="O2463" t="str">
        <f>"יח"</f>
        <v>יח</v>
      </c>
      <c r="P2463">
        <v>174</v>
      </c>
      <c r="Q2463" t="str">
        <f>"$"</f>
        <v>$</v>
      </c>
      <c r="R2463" t="str">
        <f>"הזמנה"</f>
        <v>הזמנה</v>
      </c>
      <c r="S2463">
        <v>0</v>
      </c>
      <c r="T2463">
        <v>-348</v>
      </c>
      <c r="U2463">
        <v>0</v>
      </c>
      <c r="V2463">
        <v>-348</v>
      </c>
      <c r="W2463" t="str">
        <f>"$"</f>
        <v>$</v>
      </c>
      <c r="X2463">
        <v>0</v>
      </c>
      <c r="Y2463">
        <v>0</v>
      </c>
      <c r="Z2463">
        <v>0</v>
      </c>
      <c r="AA2463" t="str">
        <f>"Y"</f>
        <v>Y</v>
      </c>
      <c r="AC2463">
        <v>0</v>
      </c>
      <c r="AM2463" t="str">
        <f>"10"</f>
        <v>10</v>
      </c>
      <c r="AN2463" t="str">
        <f>"500000"</f>
        <v>500000</v>
      </c>
      <c r="AO2463" t="str">
        <f>"הכנסות  מלקוחות"</f>
        <v>הכנסות  מלקוחות</v>
      </c>
      <c r="AQ2463" t="str">
        <f>"034"</f>
        <v>034</v>
      </c>
      <c r="AR2463">
        <v>0</v>
      </c>
      <c r="AS2463">
        <v>0</v>
      </c>
      <c r="AT2463">
        <v>3.2610000000000001</v>
      </c>
      <c r="BB2463" t="str">
        <f>"Y"</f>
        <v>Y</v>
      </c>
      <c r="BD2463" t="str">
        <f>"ערן שלו"</f>
        <v>ערן שלו</v>
      </c>
    </row>
    <row r="2464" spans="1:56" x14ac:dyDescent="0.3">
      <c r="A2464" s="1">
        <v>44377</v>
      </c>
      <c r="B2464" t="str">
        <f>"SI216000975"</f>
        <v>SI216000975</v>
      </c>
      <c r="C2464" t="str">
        <f>"PR20000834"</f>
        <v>PR20000834</v>
      </c>
      <c r="E2464" t="str">
        <f>"Y"</f>
        <v>Y</v>
      </c>
      <c r="F2464" t="str">
        <f>"חשבוניות מרכזות"</f>
        <v>חשבוניות מרכזות</v>
      </c>
      <c r="G2464" t="str">
        <f>"700065"</f>
        <v>700065</v>
      </c>
      <c r="H2464" t="str">
        <f>"אלתא מערכות בע""מ"</f>
        <v>אלתא מערכות בע"מ</v>
      </c>
      <c r="I2464" t="str">
        <f>"10"</f>
        <v>10</v>
      </c>
      <c r="J2464" t="str">
        <f>"OP-AR02127"</f>
        <v>OP-AR02127</v>
      </c>
      <c r="K2464" t="str">
        <f>"1032F943-001/-   ETHERNET CABLE MFR-W943 - FILTE"</f>
        <v>1032F943-001/-   ETHERNET CABLE MFR-W943 - FILTE</v>
      </c>
      <c r="L2464">
        <v>-2</v>
      </c>
      <c r="M2464" t="str">
        <f>"יח"</f>
        <v>יח</v>
      </c>
      <c r="N2464">
        <v>-2</v>
      </c>
      <c r="O2464" t="str">
        <f>"יח"</f>
        <v>יח</v>
      </c>
      <c r="P2464">
        <v>174</v>
      </c>
      <c r="Q2464" t="str">
        <f>"$"</f>
        <v>$</v>
      </c>
      <c r="R2464" t="str">
        <f>"הזמנה"</f>
        <v>הזמנה</v>
      </c>
      <c r="S2464">
        <v>0</v>
      </c>
      <c r="T2464">
        <v>-348</v>
      </c>
      <c r="U2464">
        <v>0</v>
      </c>
      <c r="V2464">
        <v>-348</v>
      </c>
      <c r="W2464" t="str">
        <f>"$"</f>
        <v>$</v>
      </c>
      <c r="X2464">
        <v>0</v>
      </c>
      <c r="Y2464">
        <v>0</v>
      </c>
      <c r="Z2464">
        <v>0</v>
      </c>
      <c r="AA2464" t="str">
        <f>"Y"</f>
        <v>Y</v>
      </c>
      <c r="AC2464">
        <v>0</v>
      </c>
      <c r="AM2464" t="str">
        <f>"10"</f>
        <v>10</v>
      </c>
      <c r="AN2464" t="str">
        <f>"500000"</f>
        <v>500000</v>
      </c>
      <c r="AO2464" t="str">
        <f>"הכנסות  מלקוחות"</f>
        <v>הכנסות  מלקוחות</v>
      </c>
      <c r="AQ2464" t="str">
        <f>"034"</f>
        <v>034</v>
      </c>
      <c r="AR2464">
        <v>0</v>
      </c>
      <c r="AS2464">
        <v>0</v>
      </c>
      <c r="AT2464">
        <v>3.2610000000000001</v>
      </c>
      <c r="BB2464" t="str">
        <f>"Y"</f>
        <v>Y</v>
      </c>
      <c r="BD2464" t="str">
        <f>"ערן שלו"</f>
        <v>ערן שלו</v>
      </c>
    </row>
    <row r="2465" spans="1:56" x14ac:dyDescent="0.3">
      <c r="A2465" s="1">
        <v>44377</v>
      </c>
      <c r="B2465" t="str">
        <f>"SI216000975"</f>
        <v>SI216000975</v>
      </c>
      <c r="C2465" t="str">
        <f>"PR20000834"</f>
        <v>PR20000834</v>
      </c>
      <c r="E2465" t="str">
        <f>"Y"</f>
        <v>Y</v>
      </c>
      <c r="F2465" t="str">
        <f>"חשבוניות מרכזות"</f>
        <v>חשבוניות מרכזות</v>
      </c>
      <c r="G2465" t="str">
        <f>"700065"</f>
        <v>700065</v>
      </c>
      <c r="H2465" t="str">
        <f>"אלתא מערכות בע""מ"</f>
        <v>אלתא מערכות בע"מ</v>
      </c>
      <c r="I2465" t="str">
        <f>"10"</f>
        <v>10</v>
      </c>
      <c r="J2465" t="str">
        <f>"OP-AR02128"</f>
        <v>OP-AR02128</v>
      </c>
      <c r="K2465" t="str">
        <f>"1032F944-001/-   ETHERNET CABLE MFR-W944 - FILTE"</f>
        <v>1032F944-001/-   ETHERNET CABLE MFR-W944 - FILTE</v>
      </c>
      <c r="L2465">
        <v>-2</v>
      </c>
      <c r="M2465" t="str">
        <f>"יח"</f>
        <v>יח</v>
      </c>
      <c r="N2465">
        <v>-2</v>
      </c>
      <c r="O2465" t="str">
        <f>"יח"</f>
        <v>יח</v>
      </c>
      <c r="P2465">
        <v>174</v>
      </c>
      <c r="Q2465" t="str">
        <f>"$"</f>
        <v>$</v>
      </c>
      <c r="R2465" t="str">
        <f>"הזמנה"</f>
        <v>הזמנה</v>
      </c>
      <c r="S2465">
        <v>0</v>
      </c>
      <c r="T2465">
        <v>-348</v>
      </c>
      <c r="U2465">
        <v>0</v>
      </c>
      <c r="V2465">
        <v>-348</v>
      </c>
      <c r="W2465" t="str">
        <f>"$"</f>
        <v>$</v>
      </c>
      <c r="X2465">
        <v>0</v>
      </c>
      <c r="Y2465">
        <v>0</v>
      </c>
      <c r="Z2465">
        <v>0</v>
      </c>
      <c r="AA2465" t="str">
        <f>"Y"</f>
        <v>Y</v>
      </c>
      <c r="AC2465">
        <v>0</v>
      </c>
      <c r="AM2465" t="str">
        <f>"10"</f>
        <v>10</v>
      </c>
      <c r="AN2465" t="str">
        <f>"500000"</f>
        <v>500000</v>
      </c>
      <c r="AO2465" t="str">
        <f>"הכנסות  מלקוחות"</f>
        <v>הכנסות  מלקוחות</v>
      </c>
      <c r="AQ2465" t="str">
        <f>"034"</f>
        <v>034</v>
      </c>
      <c r="AR2465">
        <v>0</v>
      </c>
      <c r="AS2465">
        <v>0</v>
      </c>
      <c r="AT2465">
        <v>3.2610000000000001</v>
      </c>
      <c r="BB2465" t="str">
        <f>"Y"</f>
        <v>Y</v>
      </c>
      <c r="BD2465" t="str">
        <f>"ערן שלו"</f>
        <v>ערן שלו</v>
      </c>
    </row>
    <row r="2466" spans="1:56" x14ac:dyDescent="0.3">
      <c r="A2466" s="1">
        <v>44377</v>
      </c>
      <c r="B2466" t="str">
        <f>"SI216000975"</f>
        <v>SI216000975</v>
      </c>
      <c r="C2466" t="str">
        <f>"PR20000834"</f>
        <v>PR20000834</v>
      </c>
      <c r="E2466" t="str">
        <f>"Y"</f>
        <v>Y</v>
      </c>
      <c r="F2466" t="str">
        <f>"חשבוניות מרכזות"</f>
        <v>חשבוניות מרכזות</v>
      </c>
      <c r="G2466" t="str">
        <f>"700065"</f>
        <v>700065</v>
      </c>
      <c r="H2466" t="str">
        <f>"אלתא מערכות בע""מ"</f>
        <v>אלתא מערכות בע"מ</v>
      </c>
      <c r="I2466" t="str">
        <f>"10"</f>
        <v>10</v>
      </c>
      <c r="J2466" t="str">
        <f>"OP-AR02129"</f>
        <v>OP-AR02129</v>
      </c>
      <c r="K2466" t="str">
        <f>"1032F945-001/-   ETHERNET CABLE MFR-W945 - FILTE"</f>
        <v>1032F945-001/-   ETHERNET CABLE MFR-W945 - FILTE</v>
      </c>
      <c r="L2466">
        <v>-2</v>
      </c>
      <c r="M2466" t="str">
        <f>"יח"</f>
        <v>יח</v>
      </c>
      <c r="N2466">
        <v>-2</v>
      </c>
      <c r="O2466" t="str">
        <f>"יח"</f>
        <v>יח</v>
      </c>
      <c r="P2466">
        <v>176.77</v>
      </c>
      <c r="Q2466" t="str">
        <f>"$"</f>
        <v>$</v>
      </c>
      <c r="R2466" t="str">
        <f>"הזמנה"</f>
        <v>הזמנה</v>
      </c>
      <c r="S2466">
        <v>0</v>
      </c>
      <c r="T2466">
        <v>-353.54</v>
      </c>
      <c r="U2466">
        <v>0</v>
      </c>
      <c r="V2466">
        <v>-353.54</v>
      </c>
      <c r="W2466" t="str">
        <f>"$"</f>
        <v>$</v>
      </c>
      <c r="X2466">
        <v>0</v>
      </c>
      <c r="Y2466">
        <v>0</v>
      </c>
      <c r="Z2466">
        <v>0</v>
      </c>
      <c r="AA2466" t="str">
        <f>"Y"</f>
        <v>Y</v>
      </c>
      <c r="AC2466">
        <v>0</v>
      </c>
      <c r="AM2466" t="str">
        <f>"10"</f>
        <v>10</v>
      </c>
      <c r="AN2466" t="str">
        <f>"500000"</f>
        <v>500000</v>
      </c>
      <c r="AO2466" t="str">
        <f>"הכנסות  מלקוחות"</f>
        <v>הכנסות  מלקוחות</v>
      </c>
      <c r="AQ2466" t="str">
        <f>"034"</f>
        <v>034</v>
      </c>
      <c r="AR2466">
        <v>0</v>
      </c>
      <c r="AS2466">
        <v>0</v>
      </c>
      <c r="AT2466">
        <v>3.2610000000000001</v>
      </c>
      <c r="BB2466" t="str">
        <f>"Y"</f>
        <v>Y</v>
      </c>
      <c r="BD2466" t="str">
        <f>"ערן שלו"</f>
        <v>ערן שלו</v>
      </c>
    </row>
    <row r="2467" spans="1:56" x14ac:dyDescent="0.3">
      <c r="A2467" s="1">
        <v>44377</v>
      </c>
      <c r="B2467" t="str">
        <f>"SI216000975"</f>
        <v>SI216000975</v>
      </c>
      <c r="C2467" t="str">
        <f>"PR20000834"</f>
        <v>PR20000834</v>
      </c>
      <c r="E2467" t="str">
        <f>"Y"</f>
        <v>Y</v>
      </c>
      <c r="F2467" t="str">
        <f>"חשבוניות מרכזות"</f>
        <v>חשבוניות מרכזות</v>
      </c>
      <c r="G2467" t="str">
        <f>"700065"</f>
        <v>700065</v>
      </c>
      <c r="H2467" t="str">
        <f>"אלתא מערכות בע""מ"</f>
        <v>אלתא מערכות בע"מ</v>
      </c>
      <c r="I2467" t="str">
        <f>"10"</f>
        <v>10</v>
      </c>
      <c r="J2467" t="str">
        <f>"OP-AR02131"</f>
        <v>OP-AR02131</v>
      </c>
      <c r="K2467" t="str">
        <f>"1032F947-001   HARNESS MFR-W947 - TBU1 TO SENS"</f>
        <v>1032F947-001   HARNESS MFR-W947 - TBU1 TO SENS</v>
      </c>
      <c r="L2467">
        <v>-7</v>
      </c>
      <c r="M2467" t="str">
        <f>"יח"</f>
        <v>יח</v>
      </c>
      <c r="N2467">
        <v>-7</v>
      </c>
      <c r="O2467" t="str">
        <f>"יח"</f>
        <v>יח</v>
      </c>
      <c r="P2467">
        <v>282.2</v>
      </c>
      <c r="Q2467" t="str">
        <f>"$"</f>
        <v>$</v>
      </c>
      <c r="R2467" t="str">
        <f>"הזמנה"</f>
        <v>הזמנה</v>
      </c>
      <c r="S2467">
        <v>0</v>
      </c>
      <c r="T2467" s="2">
        <v>-1975.4</v>
      </c>
      <c r="U2467">
        <v>0</v>
      </c>
      <c r="V2467" s="2">
        <v>-1975.4</v>
      </c>
      <c r="W2467" t="str">
        <f>"$"</f>
        <v>$</v>
      </c>
      <c r="X2467">
        <v>0</v>
      </c>
      <c r="Y2467">
        <v>0</v>
      </c>
      <c r="Z2467">
        <v>0</v>
      </c>
      <c r="AA2467" t="str">
        <f>"Y"</f>
        <v>Y</v>
      </c>
      <c r="AC2467">
        <v>0</v>
      </c>
      <c r="AM2467" t="str">
        <f>"10"</f>
        <v>10</v>
      </c>
      <c r="AN2467" t="str">
        <f>"500000"</f>
        <v>500000</v>
      </c>
      <c r="AO2467" t="str">
        <f>"הכנסות  מלקוחות"</f>
        <v>הכנסות  מלקוחות</v>
      </c>
      <c r="AQ2467" t="str">
        <f>"034"</f>
        <v>034</v>
      </c>
      <c r="AR2467">
        <v>0</v>
      </c>
      <c r="AS2467">
        <v>0</v>
      </c>
      <c r="AT2467">
        <v>3.2610000000000001</v>
      </c>
      <c r="BB2467" t="str">
        <f>"Y"</f>
        <v>Y</v>
      </c>
      <c r="BD2467" t="str">
        <f>"ערן שלו"</f>
        <v>ערן שלו</v>
      </c>
    </row>
    <row r="2468" spans="1:56" x14ac:dyDescent="0.3">
      <c r="A2468" s="1">
        <v>44377</v>
      </c>
      <c r="B2468" t="str">
        <f>"SI216000974"</f>
        <v>SI216000974</v>
      </c>
      <c r="C2468" t="str">
        <f>"PR19000750"</f>
        <v>PR19000750</v>
      </c>
      <c r="E2468" t="str">
        <f>"Y"</f>
        <v>Y</v>
      </c>
      <c r="F2468" t="str">
        <f>"חשבוניות מרכזות"</f>
        <v>חשבוניות מרכזות</v>
      </c>
      <c r="G2468" t="str">
        <f>"700065"</f>
        <v>700065</v>
      </c>
      <c r="H2468" t="str">
        <f>"אלתא מערכות בע""מ"</f>
        <v>אלתא מערכות בע"מ</v>
      </c>
      <c r="I2468" t="str">
        <f>"11"</f>
        <v>11</v>
      </c>
      <c r="J2468" t="str">
        <f>"OP-KT00116"</f>
        <v>OP-KT00116</v>
      </c>
      <c r="K2468" t="str">
        <f>"1037C838-001 PDB SPARES O LEVEL"</f>
        <v>1037C838-001 PDB SPARES O LEVEL</v>
      </c>
      <c r="L2468">
        <v>-2</v>
      </c>
      <c r="M2468" t="str">
        <f>"יח"</f>
        <v>יח</v>
      </c>
      <c r="N2468">
        <v>-2</v>
      </c>
      <c r="O2468" t="str">
        <f>"יח"</f>
        <v>יח</v>
      </c>
      <c r="P2468" s="2">
        <v>6574</v>
      </c>
      <c r="Q2468" t="str">
        <f>"$"</f>
        <v>$</v>
      </c>
      <c r="R2468" t="str">
        <f>"הזמנה"</f>
        <v>הזמנה</v>
      </c>
      <c r="S2468">
        <v>0</v>
      </c>
      <c r="T2468" s="2">
        <v>-13148</v>
      </c>
      <c r="U2468">
        <v>0</v>
      </c>
      <c r="V2468" s="2">
        <v>-13148</v>
      </c>
      <c r="W2468" t="str">
        <f>"$"</f>
        <v>$</v>
      </c>
      <c r="X2468">
        <v>0</v>
      </c>
      <c r="Y2468">
        <v>0</v>
      </c>
      <c r="Z2468">
        <v>0</v>
      </c>
      <c r="AA2468" t="str">
        <f>"Y"</f>
        <v>Y</v>
      </c>
      <c r="AC2468">
        <v>0</v>
      </c>
      <c r="AM2468" t="str">
        <f>"10"</f>
        <v>10</v>
      </c>
      <c r="AN2468" t="str">
        <f>"500000"</f>
        <v>500000</v>
      </c>
      <c r="AO2468" t="str">
        <f>"הכנסות  מלקוחות"</f>
        <v>הכנסות  מלקוחות</v>
      </c>
      <c r="AQ2468" t="str">
        <f>"034"</f>
        <v>034</v>
      </c>
      <c r="AR2468">
        <v>0</v>
      </c>
      <c r="AS2468">
        <v>0</v>
      </c>
      <c r="AT2468">
        <v>3.2610000000000001</v>
      </c>
      <c r="BB2468" t="str">
        <f>"Y"</f>
        <v>Y</v>
      </c>
      <c r="BD2468" t="str">
        <f>"ערן שלו"</f>
        <v>ערן שלו</v>
      </c>
    </row>
    <row r="2469" spans="1:56" x14ac:dyDescent="0.3">
      <c r="A2469" s="1">
        <v>44377</v>
      </c>
      <c r="B2469" t="str">
        <f>"SI216000965"</f>
        <v>SI216000965</v>
      </c>
      <c r="C2469" t="str">
        <f>"PR19000750"</f>
        <v>PR19000750</v>
      </c>
      <c r="D2469" t="str">
        <f>"PR19000750"</f>
        <v>PR19000750</v>
      </c>
      <c r="E2469" t="str">
        <f>"Y"</f>
        <v>Y</v>
      </c>
      <c r="F2469" t="str">
        <f>"חשבוניות מרכזות"</f>
        <v>חשבוניות מרכזות</v>
      </c>
      <c r="G2469" t="str">
        <f>"700065"</f>
        <v>700065</v>
      </c>
      <c r="H2469" t="str">
        <f>"אלתא מערכות בע""מ"</f>
        <v>אלתא מערכות בע"מ</v>
      </c>
      <c r="I2469" t="str">
        <f>"10"</f>
        <v>10</v>
      </c>
      <c r="J2469" t="str">
        <f>"SH0100045"</f>
        <v>SH0100045</v>
      </c>
      <c r="K2469" t="str">
        <f>"שנאי לפי מפרט 70KVA"</f>
        <v>שנאי לפי מפרט 70KVA</v>
      </c>
      <c r="L2469">
        <v>1</v>
      </c>
      <c r="M2469" t="str">
        <f>"יח"</f>
        <v>יח</v>
      </c>
      <c r="N2469">
        <v>1</v>
      </c>
      <c r="O2469" t="str">
        <f>"יח"</f>
        <v>יח</v>
      </c>
      <c r="P2469" s="2">
        <v>17670</v>
      </c>
      <c r="Q2469" t="str">
        <f>"$"</f>
        <v>$</v>
      </c>
      <c r="R2469" t="str">
        <f>"הזמנה"</f>
        <v>הזמנה</v>
      </c>
      <c r="S2469">
        <v>0</v>
      </c>
      <c r="T2469" s="2">
        <v>17670</v>
      </c>
      <c r="U2469">
        <v>0</v>
      </c>
      <c r="V2469" s="2">
        <v>17670</v>
      </c>
      <c r="W2469" t="str">
        <f>"$"</f>
        <v>$</v>
      </c>
      <c r="X2469">
        <v>0</v>
      </c>
      <c r="Y2469">
        <v>0</v>
      </c>
      <c r="Z2469">
        <v>0</v>
      </c>
      <c r="AA2469" t="str">
        <f>"Y"</f>
        <v>Y</v>
      </c>
      <c r="AB2469" t="str">
        <f>"SO19000535"</f>
        <v>SO19000535</v>
      </c>
      <c r="AC2469">
        <v>19</v>
      </c>
      <c r="AD2469" s="1">
        <v>43823</v>
      </c>
      <c r="AE2469" t="str">
        <f>"SH21001045"</f>
        <v>SH21001045</v>
      </c>
      <c r="AF2469" t="str">
        <f>"משלוחים ללקוח"</f>
        <v>משלוחים ללקוח</v>
      </c>
      <c r="AG2469" s="1">
        <v>44374</v>
      </c>
      <c r="AM2469" t="str">
        <f>"10"</f>
        <v>10</v>
      </c>
      <c r="AN2469" t="str">
        <f>"500000"</f>
        <v>500000</v>
      </c>
      <c r="AO2469" t="str">
        <f>"הכנסות  מלקוחות"</f>
        <v>הכנסות  מלקוחות</v>
      </c>
      <c r="AQ2469" t="str">
        <f>"034"</f>
        <v>034</v>
      </c>
      <c r="AR2469">
        <v>0</v>
      </c>
      <c r="AS2469">
        <v>0</v>
      </c>
      <c r="AT2469">
        <v>3.2610000000000001</v>
      </c>
      <c r="AX2469" t="str">
        <f>"E000303378"</f>
        <v>E000303378</v>
      </c>
      <c r="BD2469" t="str">
        <f>"ערן שלו"</f>
        <v>ערן שלו</v>
      </c>
    </row>
    <row r="2470" spans="1:56" x14ac:dyDescent="0.3">
      <c r="A2470" s="1">
        <v>44377</v>
      </c>
      <c r="B2470" t="str">
        <f>"SI216000965"</f>
        <v>SI216000965</v>
      </c>
      <c r="C2470" t="str">
        <f>"PR19000750"</f>
        <v>PR19000750</v>
      </c>
      <c r="D2470" t="str">
        <f>"PR19000750"</f>
        <v>PR19000750</v>
      </c>
      <c r="E2470" t="str">
        <f>"Y"</f>
        <v>Y</v>
      </c>
      <c r="F2470" t="str">
        <f>"חשבוניות מרכזות"</f>
        <v>חשבוניות מרכזות</v>
      </c>
      <c r="G2470" t="str">
        <f>"700065"</f>
        <v>700065</v>
      </c>
      <c r="H2470" t="str">
        <f>"אלתא מערכות בע""מ"</f>
        <v>אלתא מערכות בע"מ</v>
      </c>
      <c r="I2470" t="str">
        <f>"10"</f>
        <v>10</v>
      </c>
      <c r="J2470" t="str">
        <f>"SH0100044"</f>
        <v>SH0100044</v>
      </c>
      <c r="K2470" t="str">
        <f>"שנאי 200KVA לפי מפרט"</f>
        <v>שנאי 200KVA לפי מפרט</v>
      </c>
      <c r="L2470">
        <v>1</v>
      </c>
      <c r="M2470" t="str">
        <f>"יח"</f>
        <v>יח</v>
      </c>
      <c r="N2470">
        <v>1</v>
      </c>
      <c r="O2470" t="str">
        <f>"יח"</f>
        <v>יח</v>
      </c>
      <c r="P2470" s="2">
        <v>35340</v>
      </c>
      <c r="Q2470" t="str">
        <f>"$"</f>
        <v>$</v>
      </c>
      <c r="R2470" t="str">
        <f>"הזמנה"</f>
        <v>הזמנה</v>
      </c>
      <c r="S2470">
        <v>0</v>
      </c>
      <c r="T2470" s="2">
        <v>35340</v>
      </c>
      <c r="U2470">
        <v>0</v>
      </c>
      <c r="V2470" s="2">
        <v>35340</v>
      </c>
      <c r="W2470" t="str">
        <f>"$"</f>
        <v>$</v>
      </c>
      <c r="X2470">
        <v>0</v>
      </c>
      <c r="Y2470">
        <v>0</v>
      </c>
      <c r="Z2470">
        <v>0</v>
      </c>
      <c r="AA2470" t="str">
        <f>"Y"</f>
        <v>Y</v>
      </c>
      <c r="AB2470" t="str">
        <f>"SO19000535"</f>
        <v>SO19000535</v>
      </c>
      <c r="AC2470">
        <v>20</v>
      </c>
      <c r="AD2470" s="1">
        <v>43823</v>
      </c>
      <c r="AE2470" t="str">
        <f>"SH21001045"</f>
        <v>SH21001045</v>
      </c>
      <c r="AF2470" t="str">
        <f>"משלוחים ללקוח"</f>
        <v>משלוחים ללקוח</v>
      </c>
      <c r="AG2470" s="1">
        <v>44374</v>
      </c>
      <c r="AM2470" t="str">
        <f>"10"</f>
        <v>10</v>
      </c>
      <c r="AN2470" t="str">
        <f>"500000"</f>
        <v>500000</v>
      </c>
      <c r="AO2470" t="str">
        <f>"הכנסות  מלקוחות"</f>
        <v>הכנסות  מלקוחות</v>
      </c>
      <c r="AQ2470" t="str">
        <f>"034"</f>
        <v>034</v>
      </c>
      <c r="AR2470">
        <v>0</v>
      </c>
      <c r="AS2470">
        <v>0</v>
      </c>
      <c r="AT2470">
        <v>3.2610000000000001</v>
      </c>
      <c r="AX2470" t="str">
        <f>"E000303378"</f>
        <v>E000303378</v>
      </c>
      <c r="BD2470" t="str">
        <f>"ערן שלו"</f>
        <v>ערן שלו</v>
      </c>
    </row>
    <row r="2471" spans="1:56" x14ac:dyDescent="0.3">
      <c r="A2471" s="1">
        <v>44377</v>
      </c>
      <c r="B2471" t="str">
        <f>"SI216000964"</f>
        <v>SI216000964</v>
      </c>
      <c r="C2471" t="str">
        <f>"PR19000750"</f>
        <v>PR19000750</v>
      </c>
      <c r="E2471" t="str">
        <f>"Y"</f>
        <v>Y</v>
      </c>
      <c r="F2471" t="str">
        <f>"חשבוניות מרכזות"</f>
        <v>חשבוניות מרכזות</v>
      </c>
      <c r="G2471" t="str">
        <f>"700065"</f>
        <v>700065</v>
      </c>
      <c r="H2471" t="str">
        <f>"אלתא מערכות בע""מ"</f>
        <v>אלתא מערכות בע"מ</v>
      </c>
      <c r="I2471" t="str">
        <f>"10"</f>
        <v>10</v>
      </c>
      <c r="J2471" t="str">
        <f>"SH0100045"</f>
        <v>SH0100045</v>
      </c>
      <c r="K2471" t="str">
        <f>"שנאי לפי מפרט 70KVA"</f>
        <v>שנאי לפי מפרט 70KVA</v>
      </c>
      <c r="L2471">
        <v>-1</v>
      </c>
      <c r="M2471" t="str">
        <f>"יח"</f>
        <v>יח</v>
      </c>
      <c r="N2471">
        <v>-1</v>
      </c>
      <c r="O2471" t="str">
        <f>"יח"</f>
        <v>יח</v>
      </c>
      <c r="P2471" s="2">
        <v>17670</v>
      </c>
      <c r="Q2471" t="str">
        <f>"$"</f>
        <v>$</v>
      </c>
      <c r="R2471" t="str">
        <f>"ידני"</f>
        <v>ידני</v>
      </c>
      <c r="S2471">
        <v>0</v>
      </c>
      <c r="T2471" s="2">
        <v>-17670</v>
      </c>
      <c r="U2471">
        <v>0</v>
      </c>
      <c r="V2471" s="2">
        <v>-17670</v>
      </c>
      <c r="W2471" t="str">
        <f>"$"</f>
        <v>$</v>
      </c>
      <c r="X2471">
        <v>0</v>
      </c>
      <c r="Y2471">
        <v>0</v>
      </c>
      <c r="Z2471">
        <v>0</v>
      </c>
      <c r="AA2471" t="str">
        <f>"Y"</f>
        <v>Y</v>
      </c>
      <c r="AC2471">
        <v>0</v>
      </c>
      <c r="AM2471" t="str">
        <f>"10"</f>
        <v>10</v>
      </c>
      <c r="AN2471" t="str">
        <f>"500000"</f>
        <v>500000</v>
      </c>
      <c r="AO2471" t="str">
        <f>"הכנסות  מלקוחות"</f>
        <v>הכנסות  מלקוחות</v>
      </c>
      <c r="AQ2471" t="str">
        <f>"034"</f>
        <v>034</v>
      </c>
      <c r="AR2471">
        <v>0</v>
      </c>
      <c r="AS2471">
        <v>0</v>
      </c>
      <c r="AT2471">
        <v>3.2730000000000001</v>
      </c>
      <c r="BB2471" t="str">
        <f>"Y"</f>
        <v>Y</v>
      </c>
      <c r="BD2471" t="str">
        <f>"ערן שלו"</f>
        <v>ערן שלו</v>
      </c>
    </row>
    <row r="2472" spans="1:56" x14ac:dyDescent="0.3">
      <c r="A2472" s="1">
        <v>44377</v>
      </c>
      <c r="B2472" t="str">
        <f>"SI216000964"</f>
        <v>SI216000964</v>
      </c>
      <c r="C2472" t="str">
        <f>"PR19000750"</f>
        <v>PR19000750</v>
      </c>
      <c r="E2472" t="str">
        <f>"Y"</f>
        <v>Y</v>
      </c>
      <c r="F2472" t="str">
        <f>"חשבוניות מרכזות"</f>
        <v>חשבוניות מרכזות</v>
      </c>
      <c r="G2472" t="str">
        <f>"700065"</f>
        <v>700065</v>
      </c>
      <c r="H2472" t="str">
        <f>"אלתא מערכות בע""מ"</f>
        <v>אלתא מערכות בע"מ</v>
      </c>
      <c r="I2472" t="str">
        <f>"10"</f>
        <v>10</v>
      </c>
      <c r="J2472" t="str">
        <f>"SH0100044"</f>
        <v>SH0100044</v>
      </c>
      <c r="K2472" t="str">
        <f>"שנאי 200KVA לפי מפרט"</f>
        <v>שנאי 200KVA לפי מפרט</v>
      </c>
      <c r="L2472">
        <v>-1</v>
      </c>
      <c r="M2472" t="str">
        <f>"יח"</f>
        <v>יח</v>
      </c>
      <c r="N2472">
        <v>-1</v>
      </c>
      <c r="O2472" t="str">
        <f>"יח"</f>
        <v>יח</v>
      </c>
      <c r="P2472" s="2">
        <v>35340</v>
      </c>
      <c r="Q2472" t="str">
        <f>"$"</f>
        <v>$</v>
      </c>
      <c r="R2472" t="str">
        <f>"ידני"</f>
        <v>ידני</v>
      </c>
      <c r="S2472">
        <v>0</v>
      </c>
      <c r="T2472" s="2">
        <v>-35340</v>
      </c>
      <c r="U2472">
        <v>0</v>
      </c>
      <c r="V2472" s="2">
        <v>-35340</v>
      </c>
      <c r="W2472" t="str">
        <f>"$"</f>
        <v>$</v>
      </c>
      <c r="X2472">
        <v>0</v>
      </c>
      <c r="Y2472">
        <v>0</v>
      </c>
      <c r="Z2472">
        <v>0</v>
      </c>
      <c r="AA2472" t="str">
        <f>"Y"</f>
        <v>Y</v>
      </c>
      <c r="AC2472">
        <v>0</v>
      </c>
      <c r="AM2472" t="str">
        <f>"10"</f>
        <v>10</v>
      </c>
      <c r="AN2472" t="str">
        <f>"500000"</f>
        <v>500000</v>
      </c>
      <c r="AO2472" t="str">
        <f>"הכנסות  מלקוחות"</f>
        <v>הכנסות  מלקוחות</v>
      </c>
      <c r="AQ2472" t="str">
        <f>"034"</f>
        <v>034</v>
      </c>
      <c r="AR2472">
        <v>0</v>
      </c>
      <c r="AS2472">
        <v>0</v>
      </c>
      <c r="AT2472">
        <v>3.2730000000000001</v>
      </c>
      <c r="BB2472" t="str">
        <f>"Y"</f>
        <v>Y</v>
      </c>
      <c r="BD2472" t="str">
        <f>"ערן שלו"</f>
        <v>ערן שלו</v>
      </c>
    </row>
    <row r="2473" spans="1:56" x14ac:dyDescent="0.3">
      <c r="A2473" s="1">
        <v>44377</v>
      </c>
      <c r="B2473" t="str">
        <f>"SI216000964"</f>
        <v>SI216000964</v>
      </c>
      <c r="C2473" t="str">
        <f>"PR19000750"</f>
        <v>PR19000750</v>
      </c>
      <c r="E2473" t="str">
        <f>"Y"</f>
        <v>Y</v>
      </c>
      <c r="F2473" t="str">
        <f>"חשבוניות מרכזות"</f>
        <v>חשבוניות מרכזות</v>
      </c>
      <c r="G2473" t="str">
        <f>"700065"</f>
        <v>700065</v>
      </c>
      <c r="H2473" t="str">
        <f>"אלתא מערכות בע""מ"</f>
        <v>אלתא מערכות בע"מ</v>
      </c>
      <c r="I2473" t="str">
        <f>"10"</f>
        <v>10</v>
      </c>
      <c r="J2473" t="str">
        <f>"OP-PD02883"</f>
        <v>OP-PD02883</v>
      </c>
      <c r="K2473" t="str">
        <f>"ISOLATION TRANSFORMER UNIT 70KVA"</f>
        <v>ISOLATION TRANSFORMER UNIT 70KVA</v>
      </c>
      <c r="L2473">
        <v>-1</v>
      </c>
      <c r="M2473" t="str">
        <f>"יח"</f>
        <v>יח</v>
      </c>
      <c r="N2473">
        <v>-1</v>
      </c>
      <c r="O2473" t="str">
        <f>"יח"</f>
        <v>יח</v>
      </c>
      <c r="P2473">
        <v>0</v>
      </c>
      <c r="Q2473" t="str">
        <f>"$"</f>
        <v>$</v>
      </c>
      <c r="S2473">
        <v>0</v>
      </c>
      <c r="T2473">
        <v>0</v>
      </c>
      <c r="U2473">
        <v>0</v>
      </c>
      <c r="V2473">
        <v>0</v>
      </c>
      <c r="W2473" t="str">
        <f>"$"</f>
        <v>$</v>
      </c>
      <c r="X2473">
        <v>0</v>
      </c>
      <c r="Y2473">
        <v>0</v>
      </c>
      <c r="Z2473">
        <v>0</v>
      </c>
      <c r="AA2473" t="str">
        <f>"Y"</f>
        <v>Y</v>
      </c>
      <c r="AC2473">
        <v>0</v>
      </c>
      <c r="AM2473" t="str">
        <f>"10"</f>
        <v>10</v>
      </c>
      <c r="AN2473" t="str">
        <f>"500000"</f>
        <v>500000</v>
      </c>
      <c r="AO2473" t="str">
        <f>"הכנסות  מלקוחות"</f>
        <v>הכנסות  מלקוחות</v>
      </c>
      <c r="AQ2473" t="str">
        <f>"034"</f>
        <v>034</v>
      </c>
      <c r="AR2473">
        <v>0</v>
      </c>
      <c r="AS2473">
        <v>0</v>
      </c>
      <c r="AT2473">
        <v>3.2730000000000001</v>
      </c>
      <c r="BB2473" t="str">
        <f>"Y"</f>
        <v>Y</v>
      </c>
      <c r="BD2473" t="str">
        <f>"ערן שלו"</f>
        <v>ערן שלו</v>
      </c>
    </row>
    <row r="2474" spans="1:56" x14ac:dyDescent="0.3">
      <c r="A2474" s="1">
        <v>44377</v>
      </c>
      <c r="B2474" t="str">
        <f>"SI216000964"</f>
        <v>SI216000964</v>
      </c>
      <c r="C2474" t="str">
        <f>"PR19000750"</f>
        <v>PR19000750</v>
      </c>
      <c r="E2474" t="str">
        <f>"Y"</f>
        <v>Y</v>
      </c>
      <c r="F2474" t="str">
        <f>"חשבוניות מרכזות"</f>
        <v>חשבוניות מרכזות</v>
      </c>
      <c r="G2474" t="str">
        <f>"700065"</f>
        <v>700065</v>
      </c>
      <c r="H2474" t="str">
        <f>"אלתא מערכות בע""מ"</f>
        <v>אלתא מערכות בע"מ</v>
      </c>
      <c r="I2474" t="str">
        <f>"10"</f>
        <v>10</v>
      </c>
      <c r="J2474" t="str">
        <f>"OP-PD02882"</f>
        <v>OP-PD02882</v>
      </c>
      <c r="K2474" t="str">
        <f>"ISOLATION TRANSFORMER UNIT 200KVA"</f>
        <v>ISOLATION TRANSFORMER UNIT 200KVA</v>
      </c>
      <c r="L2474">
        <v>-1</v>
      </c>
      <c r="M2474" t="str">
        <f>"יח"</f>
        <v>יח</v>
      </c>
      <c r="N2474">
        <v>-1</v>
      </c>
      <c r="O2474" t="str">
        <f>"יח"</f>
        <v>יח</v>
      </c>
      <c r="P2474">
        <v>0</v>
      </c>
      <c r="Q2474" t="str">
        <f>"$"</f>
        <v>$</v>
      </c>
      <c r="S2474">
        <v>0</v>
      </c>
      <c r="T2474">
        <v>0</v>
      </c>
      <c r="U2474">
        <v>0</v>
      </c>
      <c r="V2474">
        <v>0</v>
      </c>
      <c r="W2474" t="str">
        <f>"$"</f>
        <v>$</v>
      </c>
      <c r="X2474">
        <v>0</v>
      </c>
      <c r="Y2474">
        <v>0</v>
      </c>
      <c r="Z2474">
        <v>0</v>
      </c>
      <c r="AA2474" t="str">
        <f>"Y"</f>
        <v>Y</v>
      </c>
      <c r="AC2474">
        <v>0</v>
      </c>
      <c r="AM2474" t="str">
        <f>"10"</f>
        <v>10</v>
      </c>
      <c r="AN2474" t="str">
        <f>"500000"</f>
        <v>500000</v>
      </c>
      <c r="AO2474" t="str">
        <f>"הכנסות  מלקוחות"</f>
        <v>הכנסות  מלקוחות</v>
      </c>
      <c r="AQ2474" t="str">
        <f>"034"</f>
        <v>034</v>
      </c>
      <c r="AR2474">
        <v>0</v>
      </c>
      <c r="AS2474">
        <v>0</v>
      </c>
      <c r="AT2474">
        <v>3.2730000000000001</v>
      </c>
      <c r="BB2474" t="str">
        <f>"Y"</f>
        <v>Y</v>
      </c>
      <c r="BD2474" t="str">
        <f>"ערן שלו"</f>
        <v>ערן שלו</v>
      </c>
    </row>
    <row r="2475" spans="1:56" x14ac:dyDescent="0.3">
      <c r="A2475" s="1">
        <v>44377</v>
      </c>
      <c r="B2475" t="str">
        <f>"SI216000958"</f>
        <v>SI216000958</v>
      </c>
      <c r="C2475" t="str">
        <f>"PR19000750"</f>
        <v>PR19000750</v>
      </c>
      <c r="E2475" t="str">
        <f>"Y"</f>
        <v>Y</v>
      </c>
      <c r="F2475" t="str">
        <f>"חשבוניות מרכזות"</f>
        <v>חשבוניות מרכזות</v>
      </c>
      <c r="G2475" t="str">
        <f>"700065"</f>
        <v>700065</v>
      </c>
      <c r="H2475" t="str">
        <f>"אלתא מערכות בע""מ"</f>
        <v>אלתא מערכות בע"מ</v>
      </c>
      <c r="I2475" t="str">
        <f>"10"</f>
        <v>10</v>
      </c>
      <c r="J2475" t="str">
        <f>"SH0100045"</f>
        <v>SH0100045</v>
      </c>
      <c r="K2475" t="str">
        <f>"שנאי לפי מפרט 70KVA"</f>
        <v>שנאי לפי מפרט 70KVA</v>
      </c>
      <c r="L2475">
        <v>1</v>
      </c>
      <c r="M2475" t="str">
        <f>"יח"</f>
        <v>יח</v>
      </c>
      <c r="N2475">
        <v>1</v>
      </c>
      <c r="O2475" t="str">
        <f>"יח"</f>
        <v>יח</v>
      </c>
      <c r="P2475" s="2">
        <v>17670</v>
      </c>
      <c r="Q2475" t="str">
        <f>"$"</f>
        <v>$</v>
      </c>
      <c r="R2475" t="str">
        <f>"ידני"</f>
        <v>ידני</v>
      </c>
      <c r="S2475">
        <v>0</v>
      </c>
      <c r="T2475" s="2">
        <v>17670</v>
      </c>
      <c r="U2475">
        <v>0</v>
      </c>
      <c r="V2475" s="2">
        <v>17670</v>
      </c>
      <c r="W2475" t="str">
        <f>"$"</f>
        <v>$</v>
      </c>
      <c r="X2475">
        <v>0</v>
      </c>
      <c r="Y2475">
        <v>0</v>
      </c>
      <c r="Z2475">
        <v>0</v>
      </c>
      <c r="AA2475" t="str">
        <f>"Y"</f>
        <v>Y</v>
      </c>
      <c r="AC2475">
        <v>0</v>
      </c>
      <c r="AM2475" t="str">
        <f>"10"</f>
        <v>10</v>
      </c>
      <c r="AN2475" t="str">
        <f>"500000"</f>
        <v>500000</v>
      </c>
      <c r="AO2475" t="str">
        <f>"הכנסות  מלקוחות"</f>
        <v>הכנסות  מלקוחות</v>
      </c>
      <c r="AQ2475" t="str">
        <f>"034"</f>
        <v>034</v>
      </c>
      <c r="AR2475">
        <v>0</v>
      </c>
      <c r="AS2475">
        <v>0</v>
      </c>
      <c r="AT2475">
        <v>3.2730000000000001</v>
      </c>
      <c r="BB2475" t="str">
        <f>"Y"</f>
        <v>Y</v>
      </c>
      <c r="BD2475" t="str">
        <f>"ערן שלו"</f>
        <v>ערן שלו</v>
      </c>
    </row>
    <row r="2476" spans="1:56" x14ac:dyDescent="0.3">
      <c r="A2476" s="1">
        <v>44377</v>
      </c>
      <c r="B2476" t="str">
        <f>"SI216000958"</f>
        <v>SI216000958</v>
      </c>
      <c r="C2476" t="str">
        <f>"PR19000750"</f>
        <v>PR19000750</v>
      </c>
      <c r="E2476" t="str">
        <f>"Y"</f>
        <v>Y</v>
      </c>
      <c r="F2476" t="str">
        <f>"חשבוניות מרכזות"</f>
        <v>חשבוניות מרכזות</v>
      </c>
      <c r="G2476" t="str">
        <f>"700065"</f>
        <v>700065</v>
      </c>
      <c r="H2476" t="str">
        <f>"אלתא מערכות בע""מ"</f>
        <v>אלתא מערכות בע"מ</v>
      </c>
      <c r="I2476" t="str">
        <f>"10"</f>
        <v>10</v>
      </c>
      <c r="J2476" t="str">
        <f>"SH0100044"</f>
        <v>SH0100044</v>
      </c>
      <c r="K2476" t="str">
        <f>"שנאי 200KVA לפי מפרט"</f>
        <v>שנאי 200KVA לפי מפרט</v>
      </c>
      <c r="L2476">
        <v>1</v>
      </c>
      <c r="M2476" t="str">
        <f>"יח"</f>
        <v>יח</v>
      </c>
      <c r="N2476">
        <v>1</v>
      </c>
      <c r="O2476" t="str">
        <f>"יח"</f>
        <v>יח</v>
      </c>
      <c r="P2476" s="2">
        <v>35340</v>
      </c>
      <c r="Q2476" t="str">
        <f>"$"</f>
        <v>$</v>
      </c>
      <c r="R2476" t="str">
        <f>"ידני"</f>
        <v>ידני</v>
      </c>
      <c r="S2476">
        <v>0</v>
      </c>
      <c r="T2476" s="2">
        <v>35340</v>
      </c>
      <c r="U2476">
        <v>0</v>
      </c>
      <c r="V2476" s="2">
        <v>35340</v>
      </c>
      <c r="W2476" t="str">
        <f>"$"</f>
        <v>$</v>
      </c>
      <c r="X2476">
        <v>0</v>
      </c>
      <c r="Y2476">
        <v>0</v>
      </c>
      <c r="Z2476">
        <v>0</v>
      </c>
      <c r="AA2476" t="str">
        <f>"Y"</f>
        <v>Y</v>
      </c>
      <c r="AC2476">
        <v>0</v>
      </c>
      <c r="AM2476" t="str">
        <f>"10"</f>
        <v>10</v>
      </c>
      <c r="AN2476" t="str">
        <f>"500000"</f>
        <v>500000</v>
      </c>
      <c r="AO2476" t="str">
        <f>"הכנסות  מלקוחות"</f>
        <v>הכנסות  מלקוחות</v>
      </c>
      <c r="AQ2476" t="str">
        <f>"034"</f>
        <v>034</v>
      </c>
      <c r="AR2476">
        <v>0</v>
      </c>
      <c r="AS2476">
        <v>0</v>
      </c>
      <c r="AT2476">
        <v>3.2730000000000001</v>
      </c>
      <c r="BB2476" t="str">
        <f>"Y"</f>
        <v>Y</v>
      </c>
      <c r="BD2476" t="str">
        <f>"ערן שלו"</f>
        <v>ערן שלו</v>
      </c>
    </row>
    <row r="2477" spans="1:56" x14ac:dyDescent="0.3">
      <c r="A2477" s="1">
        <v>44377</v>
      </c>
      <c r="B2477" t="str">
        <f>"SI216000958"</f>
        <v>SI216000958</v>
      </c>
      <c r="C2477" t="str">
        <f>"PR19000750"</f>
        <v>PR19000750</v>
      </c>
      <c r="E2477" t="str">
        <f>"Y"</f>
        <v>Y</v>
      </c>
      <c r="F2477" t="str">
        <f>"חשבוניות מרכזות"</f>
        <v>חשבוניות מרכזות</v>
      </c>
      <c r="G2477" t="str">
        <f>"700065"</f>
        <v>700065</v>
      </c>
      <c r="H2477" t="str">
        <f>"אלתא מערכות בע""מ"</f>
        <v>אלתא מערכות בע"מ</v>
      </c>
      <c r="I2477" t="str">
        <f>"10"</f>
        <v>10</v>
      </c>
      <c r="J2477" t="str">
        <f>"OP-PD02883"</f>
        <v>OP-PD02883</v>
      </c>
      <c r="K2477" t="str">
        <f>"ISOLATION TRANSFORMER UNIT 70KVA"</f>
        <v>ISOLATION TRANSFORMER UNIT 70KVA</v>
      </c>
      <c r="L2477">
        <v>1</v>
      </c>
      <c r="M2477" t="str">
        <f>"יח"</f>
        <v>יח</v>
      </c>
      <c r="N2477">
        <v>1</v>
      </c>
      <c r="O2477" t="str">
        <f>"יח"</f>
        <v>יח</v>
      </c>
      <c r="P2477">
        <v>0</v>
      </c>
      <c r="Q2477" t="str">
        <f>"$"</f>
        <v>$</v>
      </c>
      <c r="S2477">
        <v>0</v>
      </c>
      <c r="T2477">
        <v>0</v>
      </c>
      <c r="U2477">
        <v>0</v>
      </c>
      <c r="V2477">
        <v>0</v>
      </c>
      <c r="W2477" t="str">
        <f>"$"</f>
        <v>$</v>
      </c>
      <c r="X2477">
        <v>0</v>
      </c>
      <c r="Y2477">
        <v>0</v>
      </c>
      <c r="Z2477">
        <v>0</v>
      </c>
      <c r="AA2477" t="str">
        <f>"Y"</f>
        <v>Y</v>
      </c>
      <c r="AC2477">
        <v>0</v>
      </c>
      <c r="AM2477" t="str">
        <f>"10"</f>
        <v>10</v>
      </c>
      <c r="AN2477" t="str">
        <f>"500000"</f>
        <v>500000</v>
      </c>
      <c r="AO2477" t="str">
        <f>"הכנסות  מלקוחות"</f>
        <v>הכנסות  מלקוחות</v>
      </c>
      <c r="AQ2477" t="str">
        <f>"034"</f>
        <v>034</v>
      </c>
      <c r="AR2477">
        <v>0</v>
      </c>
      <c r="AS2477">
        <v>0</v>
      </c>
      <c r="AT2477">
        <v>3.2730000000000001</v>
      </c>
      <c r="BB2477" t="str">
        <f>"Y"</f>
        <v>Y</v>
      </c>
      <c r="BD2477" t="str">
        <f>"ערן שלו"</f>
        <v>ערן שלו</v>
      </c>
    </row>
    <row r="2478" spans="1:56" x14ac:dyDescent="0.3">
      <c r="A2478" s="1">
        <v>44377</v>
      </c>
      <c r="B2478" t="str">
        <f>"SI216000958"</f>
        <v>SI216000958</v>
      </c>
      <c r="C2478" t="str">
        <f>"PR19000750"</f>
        <v>PR19000750</v>
      </c>
      <c r="E2478" t="str">
        <f>"Y"</f>
        <v>Y</v>
      </c>
      <c r="F2478" t="str">
        <f>"חשבוניות מרכזות"</f>
        <v>חשבוניות מרכזות</v>
      </c>
      <c r="G2478" t="str">
        <f>"700065"</f>
        <v>700065</v>
      </c>
      <c r="H2478" t="str">
        <f>"אלתא מערכות בע""מ"</f>
        <v>אלתא מערכות בע"מ</v>
      </c>
      <c r="I2478" t="str">
        <f>"10"</f>
        <v>10</v>
      </c>
      <c r="J2478" t="str">
        <f>"OP-PD02882"</f>
        <v>OP-PD02882</v>
      </c>
      <c r="K2478" t="str">
        <f>"ISOLATION TRANSFORMER UNIT 200KVA"</f>
        <v>ISOLATION TRANSFORMER UNIT 200KVA</v>
      </c>
      <c r="L2478">
        <v>1</v>
      </c>
      <c r="M2478" t="str">
        <f>"יח"</f>
        <v>יח</v>
      </c>
      <c r="N2478">
        <v>1</v>
      </c>
      <c r="O2478" t="str">
        <f>"יח"</f>
        <v>יח</v>
      </c>
      <c r="P2478">
        <v>0</v>
      </c>
      <c r="Q2478" t="str">
        <f>"$"</f>
        <v>$</v>
      </c>
      <c r="S2478">
        <v>0</v>
      </c>
      <c r="T2478">
        <v>0</v>
      </c>
      <c r="U2478">
        <v>0</v>
      </c>
      <c r="V2478">
        <v>0</v>
      </c>
      <c r="W2478" t="str">
        <f>"$"</f>
        <v>$</v>
      </c>
      <c r="X2478">
        <v>0</v>
      </c>
      <c r="Y2478">
        <v>0</v>
      </c>
      <c r="Z2478">
        <v>0</v>
      </c>
      <c r="AA2478" t="str">
        <f>"Y"</f>
        <v>Y</v>
      </c>
      <c r="AC2478">
        <v>0</v>
      </c>
      <c r="AM2478" t="str">
        <f>"10"</f>
        <v>10</v>
      </c>
      <c r="AN2478" t="str">
        <f>"500000"</f>
        <v>500000</v>
      </c>
      <c r="AO2478" t="str">
        <f>"הכנסות  מלקוחות"</f>
        <v>הכנסות  מלקוחות</v>
      </c>
      <c r="AQ2478" t="str">
        <f>"034"</f>
        <v>034</v>
      </c>
      <c r="AR2478">
        <v>0</v>
      </c>
      <c r="AS2478">
        <v>0</v>
      </c>
      <c r="AT2478">
        <v>3.2730000000000001</v>
      </c>
      <c r="BB2478" t="str">
        <f>"Y"</f>
        <v>Y</v>
      </c>
      <c r="BD2478" t="str">
        <f>"ערן שלו"</f>
        <v>ערן שלו</v>
      </c>
    </row>
    <row r="2479" spans="1:56" x14ac:dyDescent="0.3">
      <c r="A2479" s="1">
        <v>44377</v>
      </c>
      <c r="B2479" t="str">
        <f>"SI216000947"</f>
        <v>SI216000947</v>
      </c>
      <c r="C2479" t="str">
        <f>"PR20000851"</f>
        <v>PR20000851</v>
      </c>
      <c r="D2479" t="str">
        <f>"PR20000851"</f>
        <v>PR20000851</v>
      </c>
      <c r="E2479" t="str">
        <f>"Y"</f>
        <v>Y</v>
      </c>
      <c r="F2479" t="str">
        <f>"חשבוניות מרכזות"</f>
        <v>חשבוניות מרכזות</v>
      </c>
      <c r="G2479" t="str">
        <f>"700065"</f>
        <v>700065</v>
      </c>
      <c r="H2479" t="str">
        <f>"אלתא מערכות בע""מ"</f>
        <v>אלתא מערכות בע"מ</v>
      </c>
      <c r="I2479" t="str">
        <f>"10"</f>
        <v>10</v>
      </c>
      <c r="J2479" t="str">
        <f>"OP-AR02157"</f>
        <v>OP-AR02157</v>
      </c>
      <c r="K2479" t="str">
        <f>"1039H812-001   HARNESS WY012 - PDU TO TRA2 SHE"</f>
        <v>1039H812-001   HARNESS WY012 - PDU TO TRA2 SHE</v>
      </c>
      <c r="L2479">
        <v>4</v>
      </c>
      <c r="M2479" t="str">
        <f>"יח"</f>
        <v>יח</v>
      </c>
      <c r="N2479">
        <v>4</v>
      </c>
      <c r="O2479" t="str">
        <f>"יח"</f>
        <v>יח</v>
      </c>
      <c r="P2479">
        <v>441.92</v>
      </c>
      <c r="Q2479" t="str">
        <f>"$"</f>
        <v>$</v>
      </c>
      <c r="R2479" t="str">
        <f>"הזמנה"</f>
        <v>הזמנה</v>
      </c>
      <c r="S2479">
        <v>0</v>
      </c>
      <c r="T2479" s="2">
        <v>1767.68</v>
      </c>
      <c r="U2479">
        <v>0</v>
      </c>
      <c r="V2479" s="2">
        <v>1767.68</v>
      </c>
      <c r="W2479" t="str">
        <f>"$"</f>
        <v>$</v>
      </c>
      <c r="X2479">
        <v>0</v>
      </c>
      <c r="Y2479">
        <v>0</v>
      </c>
      <c r="Z2479">
        <v>0</v>
      </c>
      <c r="AA2479" t="str">
        <f>"Y"</f>
        <v>Y</v>
      </c>
      <c r="AB2479" t="str">
        <f>"SO20000555"</f>
        <v>SO20000555</v>
      </c>
      <c r="AC2479">
        <v>5</v>
      </c>
      <c r="AD2479" s="1">
        <v>44166</v>
      </c>
      <c r="AE2479" t="str">
        <f>"SH21001077"</f>
        <v>SH21001077</v>
      </c>
      <c r="AF2479" t="str">
        <f>"משלוחים ללקוח"</f>
        <v>משלוחים ללקוח</v>
      </c>
      <c r="AG2479" s="1">
        <v>44376</v>
      </c>
      <c r="AM2479" t="str">
        <f>"10"</f>
        <v>10</v>
      </c>
      <c r="AN2479" t="str">
        <f>"500000"</f>
        <v>500000</v>
      </c>
      <c r="AO2479" t="str">
        <f>"הכנסות  מלקוחות"</f>
        <v>הכנסות  מלקוחות</v>
      </c>
      <c r="AQ2479" t="str">
        <f>"034"</f>
        <v>034</v>
      </c>
      <c r="AR2479">
        <v>0</v>
      </c>
      <c r="AS2479">
        <v>0</v>
      </c>
      <c r="AT2479">
        <v>3.2610000000000001</v>
      </c>
      <c r="AX2479" t="str">
        <f>"E000326481"</f>
        <v>E000326481</v>
      </c>
      <c r="BD2479" t="str">
        <f>"ערן שלו"</f>
        <v>ערן שלו</v>
      </c>
    </row>
    <row r="2480" spans="1:56" x14ac:dyDescent="0.3">
      <c r="A2480" s="1">
        <v>44377</v>
      </c>
      <c r="B2480" t="str">
        <f>"SI216000947"</f>
        <v>SI216000947</v>
      </c>
      <c r="C2480" t="str">
        <f>"PR20000851"</f>
        <v>PR20000851</v>
      </c>
      <c r="D2480" t="str">
        <f>"PR20000851"</f>
        <v>PR20000851</v>
      </c>
      <c r="E2480" t="str">
        <f>"Y"</f>
        <v>Y</v>
      </c>
      <c r="F2480" t="str">
        <f>"חשבוניות מרכזות"</f>
        <v>חשבוניות מרכזות</v>
      </c>
      <c r="G2480" t="str">
        <f>"700065"</f>
        <v>700065</v>
      </c>
      <c r="H2480" t="str">
        <f>"אלתא מערכות בע""מ"</f>
        <v>אלתא מערכות בע"מ</v>
      </c>
      <c r="I2480" t="str">
        <f>"10"</f>
        <v>10</v>
      </c>
      <c r="J2480" t="str">
        <f>"OP-AR02178"</f>
        <v>OP-AR02178</v>
      </c>
      <c r="K2480" t="str">
        <f>"1039H838-001/-   HARNESS WY038 - PDU TO IFF EXTE"</f>
        <v>1039H838-001/-   HARNESS WY038 - PDU TO IFF EXTE</v>
      </c>
      <c r="L2480">
        <v>4</v>
      </c>
      <c r="M2480" t="str">
        <f>"יח"</f>
        <v>יח</v>
      </c>
      <c r="N2480">
        <v>4</v>
      </c>
      <c r="O2480" t="str">
        <f>"יח"</f>
        <v>יח</v>
      </c>
      <c r="P2480">
        <v>345.38</v>
      </c>
      <c r="Q2480" t="str">
        <f>"$"</f>
        <v>$</v>
      </c>
      <c r="R2480" t="str">
        <f>"הזמנה"</f>
        <v>הזמנה</v>
      </c>
      <c r="S2480">
        <v>0</v>
      </c>
      <c r="T2480" s="2">
        <v>1381.52</v>
      </c>
      <c r="U2480">
        <v>0</v>
      </c>
      <c r="V2480" s="2">
        <v>1381.52</v>
      </c>
      <c r="W2480" t="str">
        <f>"$"</f>
        <v>$</v>
      </c>
      <c r="X2480">
        <v>0</v>
      </c>
      <c r="Y2480">
        <v>0</v>
      </c>
      <c r="Z2480">
        <v>0</v>
      </c>
      <c r="AA2480" t="str">
        <f>"Y"</f>
        <v>Y</v>
      </c>
      <c r="AB2480" t="str">
        <f>"SO20000555"</f>
        <v>SO20000555</v>
      </c>
      <c r="AC2480">
        <v>25</v>
      </c>
      <c r="AD2480" s="1">
        <v>44166</v>
      </c>
      <c r="AE2480" t="str">
        <f>"SH21001077"</f>
        <v>SH21001077</v>
      </c>
      <c r="AF2480" t="str">
        <f>"משלוחים ללקוח"</f>
        <v>משלוחים ללקוח</v>
      </c>
      <c r="AG2480" s="1">
        <v>44376</v>
      </c>
      <c r="AM2480" t="str">
        <f>"10"</f>
        <v>10</v>
      </c>
      <c r="AN2480" t="str">
        <f>"500000"</f>
        <v>500000</v>
      </c>
      <c r="AO2480" t="str">
        <f>"הכנסות  מלקוחות"</f>
        <v>הכנסות  מלקוחות</v>
      </c>
      <c r="AQ2480" t="str">
        <f>"034"</f>
        <v>034</v>
      </c>
      <c r="AR2480">
        <v>0</v>
      </c>
      <c r="AS2480">
        <v>0</v>
      </c>
      <c r="AT2480">
        <v>3.2610000000000001</v>
      </c>
      <c r="AX2480" t="str">
        <f>"E000326481"</f>
        <v>E000326481</v>
      </c>
      <c r="BD2480" t="str">
        <f>"ערן שלו"</f>
        <v>ערן שלו</v>
      </c>
    </row>
    <row r="2481" spans="1:56" x14ac:dyDescent="0.3">
      <c r="A2481" s="1">
        <v>44377</v>
      </c>
      <c r="B2481" t="str">
        <f>"SI216000947"</f>
        <v>SI216000947</v>
      </c>
      <c r="C2481" t="str">
        <f>"PR20000851"</f>
        <v>PR20000851</v>
      </c>
      <c r="D2481" t="str">
        <f>"PR20000851"</f>
        <v>PR20000851</v>
      </c>
      <c r="E2481" t="str">
        <f>"Y"</f>
        <v>Y</v>
      </c>
      <c r="F2481" t="str">
        <f>"חשבוניות מרכזות"</f>
        <v>חשבוניות מרכזות</v>
      </c>
      <c r="G2481" t="str">
        <f>"700065"</f>
        <v>700065</v>
      </c>
      <c r="H2481" t="str">
        <f>"אלתא מערכות בע""מ"</f>
        <v>אלתא מערכות בע"מ</v>
      </c>
      <c r="I2481" t="str">
        <f>"10"</f>
        <v>10</v>
      </c>
      <c r="J2481" t="str">
        <f>"OP-AR02181"</f>
        <v>OP-AR02181</v>
      </c>
      <c r="K2481" t="str">
        <f>"1039H842-001   HARNESS WY042 - PDU REMOTE TO U"</f>
        <v>1039H842-001   HARNESS WY042 - PDU REMOTE TO U</v>
      </c>
      <c r="L2481">
        <v>2</v>
      </c>
      <c r="M2481" t="str">
        <f>"יח"</f>
        <v>יח</v>
      </c>
      <c r="N2481">
        <v>2</v>
      </c>
      <c r="O2481" t="str">
        <f>"יח"</f>
        <v>יח</v>
      </c>
      <c r="P2481">
        <v>449.8</v>
      </c>
      <c r="Q2481" t="str">
        <f>"$"</f>
        <v>$</v>
      </c>
      <c r="R2481" t="str">
        <f>"הזמנה"</f>
        <v>הזמנה</v>
      </c>
      <c r="S2481">
        <v>0</v>
      </c>
      <c r="T2481">
        <v>899.6</v>
      </c>
      <c r="U2481">
        <v>0</v>
      </c>
      <c r="V2481">
        <v>899.6</v>
      </c>
      <c r="W2481" t="str">
        <f>"$"</f>
        <v>$</v>
      </c>
      <c r="X2481">
        <v>0</v>
      </c>
      <c r="Y2481">
        <v>0</v>
      </c>
      <c r="Z2481">
        <v>0</v>
      </c>
      <c r="AA2481" t="str">
        <f>"Y"</f>
        <v>Y</v>
      </c>
      <c r="AB2481" t="str">
        <f>"SO20000555"</f>
        <v>SO20000555</v>
      </c>
      <c r="AC2481">
        <v>28</v>
      </c>
      <c r="AD2481" s="1">
        <v>44166</v>
      </c>
      <c r="AE2481" t="str">
        <f>"SH21001077"</f>
        <v>SH21001077</v>
      </c>
      <c r="AF2481" t="str">
        <f>"משלוחים ללקוח"</f>
        <v>משלוחים ללקוח</v>
      </c>
      <c r="AG2481" s="1">
        <v>44376</v>
      </c>
      <c r="AM2481" t="str">
        <f>"10"</f>
        <v>10</v>
      </c>
      <c r="AN2481" t="str">
        <f>"500000"</f>
        <v>500000</v>
      </c>
      <c r="AO2481" t="str">
        <f>"הכנסות  מלקוחות"</f>
        <v>הכנסות  מלקוחות</v>
      </c>
      <c r="AQ2481" t="str">
        <f>"034"</f>
        <v>034</v>
      </c>
      <c r="AR2481">
        <v>0</v>
      </c>
      <c r="AS2481">
        <v>0</v>
      </c>
      <c r="AT2481">
        <v>3.2610000000000001</v>
      </c>
      <c r="AX2481" t="str">
        <f>"E000326481"</f>
        <v>E000326481</v>
      </c>
      <c r="BD2481" t="str">
        <f>"ערן שלו"</f>
        <v>ערן שלו</v>
      </c>
    </row>
    <row r="2482" spans="1:56" x14ac:dyDescent="0.3">
      <c r="A2482" s="1">
        <v>44377</v>
      </c>
      <c r="B2482" t="str">
        <f>"SI216000946"</f>
        <v>SI216000946</v>
      </c>
      <c r="C2482" t="str">
        <f>"PR21000192"</f>
        <v>PR21000192</v>
      </c>
      <c r="E2482" t="str">
        <f>"Y"</f>
        <v>Y</v>
      </c>
      <c r="F2482" t="str">
        <f>"חשבוניות מרכזות"</f>
        <v>חשבוניות מרכזות</v>
      </c>
      <c r="G2482" t="str">
        <f>"700065"</f>
        <v>700065</v>
      </c>
      <c r="H2482" t="str">
        <f>"אלתא מערכות בע""מ"</f>
        <v>אלתא מערכות בע"מ</v>
      </c>
      <c r="I2482" t="str">
        <f>"10"</f>
        <v>10</v>
      </c>
      <c r="J2482" t="str">
        <f>"OP-AR02352"</f>
        <v>OP-AR02352</v>
      </c>
      <c r="K2482" t="str">
        <f>"2202B036-001    TRW23 CABLE ASSY"</f>
        <v>2202B036-001    TRW23 CABLE ASSY</v>
      </c>
      <c r="L2482">
        <v>2</v>
      </c>
      <c r="M2482" t="str">
        <f>"יח"</f>
        <v>יח</v>
      </c>
      <c r="N2482">
        <v>2</v>
      </c>
      <c r="O2482" t="str">
        <f>"יח"</f>
        <v>יח</v>
      </c>
      <c r="P2482">
        <v>149.52000000000001</v>
      </c>
      <c r="Q2482" t="str">
        <f>"$"</f>
        <v>$</v>
      </c>
      <c r="R2482" t="str">
        <f>"הזמנה"</f>
        <v>הזמנה</v>
      </c>
      <c r="S2482">
        <v>0</v>
      </c>
      <c r="T2482">
        <v>299.04000000000002</v>
      </c>
      <c r="U2482">
        <v>0</v>
      </c>
      <c r="V2482">
        <v>299.04000000000002</v>
      </c>
      <c r="W2482" t="str">
        <f>"$"</f>
        <v>$</v>
      </c>
      <c r="X2482">
        <v>0</v>
      </c>
      <c r="Y2482">
        <v>0</v>
      </c>
      <c r="Z2482">
        <v>0</v>
      </c>
      <c r="AA2482" t="str">
        <f>"Y"</f>
        <v>Y</v>
      </c>
      <c r="AB2482" t="str">
        <f>"SO21000115"</f>
        <v>SO21000115</v>
      </c>
      <c r="AC2482">
        <v>4</v>
      </c>
      <c r="AD2482" s="1">
        <v>44265</v>
      </c>
      <c r="AE2482" t="str">
        <f>"SH21001078"</f>
        <v>SH21001078</v>
      </c>
      <c r="AF2482" t="str">
        <f>"משלוחים ללקוח"</f>
        <v>משלוחים ללקוח</v>
      </c>
      <c r="AG2482" s="1">
        <v>44376</v>
      </c>
      <c r="AM2482" t="str">
        <f>"10"</f>
        <v>10</v>
      </c>
      <c r="AN2482" t="str">
        <f>"500000"</f>
        <v>500000</v>
      </c>
      <c r="AO2482" t="str">
        <f>"הכנסות  מלקוחות"</f>
        <v>הכנסות  מלקוחות</v>
      </c>
      <c r="AQ2482" t="str">
        <f>"040"</f>
        <v>040</v>
      </c>
      <c r="AR2482">
        <v>0</v>
      </c>
      <c r="AS2482">
        <v>0</v>
      </c>
      <c r="AT2482">
        <v>3.2610000000000001</v>
      </c>
      <c r="AX2482" t="str">
        <f>"E000335043"</f>
        <v>E000335043</v>
      </c>
      <c r="BD2482" t="str">
        <f>"רחמים זרוק"</f>
        <v>רחמים זרוק</v>
      </c>
    </row>
    <row r="2483" spans="1:56" x14ac:dyDescent="0.3">
      <c r="A2483" s="1">
        <v>44377</v>
      </c>
      <c r="B2483" t="str">
        <f>"SI216000946"</f>
        <v>SI216000946</v>
      </c>
      <c r="C2483" t="str">
        <f>"PR21000192"</f>
        <v>PR21000192</v>
      </c>
      <c r="E2483" t="str">
        <f>"Y"</f>
        <v>Y</v>
      </c>
      <c r="F2483" t="str">
        <f>"חשבוניות מרכזות"</f>
        <v>חשבוניות מרכזות</v>
      </c>
      <c r="G2483" t="str">
        <f>"700065"</f>
        <v>700065</v>
      </c>
      <c r="H2483" t="str">
        <f>"אלתא מערכות בע""מ"</f>
        <v>אלתא מערכות בע"מ</v>
      </c>
      <c r="I2483" t="str">
        <f>"10"</f>
        <v>10</v>
      </c>
      <c r="J2483" t="str">
        <f>"OP-AR02353"</f>
        <v>OP-AR02353</v>
      </c>
      <c r="K2483" t="str">
        <f>"2203B026-001    FIO CABLE ASSY"</f>
        <v>2203B026-001    FIO CABLE ASSY</v>
      </c>
      <c r="L2483">
        <v>2</v>
      </c>
      <c r="M2483" t="str">
        <f>"יח"</f>
        <v>יח</v>
      </c>
      <c r="N2483">
        <v>2</v>
      </c>
      <c r="O2483" t="str">
        <f>"יח"</f>
        <v>יח</v>
      </c>
      <c r="P2483">
        <v>466.36</v>
      </c>
      <c r="Q2483" t="str">
        <f>"$"</f>
        <v>$</v>
      </c>
      <c r="R2483" t="str">
        <f>"הזמנה"</f>
        <v>הזמנה</v>
      </c>
      <c r="S2483">
        <v>0</v>
      </c>
      <c r="T2483">
        <v>932.72</v>
      </c>
      <c r="U2483">
        <v>0</v>
      </c>
      <c r="V2483">
        <v>932.72</v>
      </c>
      <c r="W2483" t="str">
        <f>"$"</f>
        <v>$</v>
      </c>
      <c r="X2483">
        <v>0</v>
      </c>
      <c r="Y2483">
        <v>0</v>
      </c>
      <c r="Z2483">
        <v>0</v>
      </c>
      <c r="AA2483" t="str">
        <f>"Y"</f>
        <v>Y</v>
      </c>
      <c r="AB2483" t="str">
        <f>"SO21000115"</f>
        <v>SO21000115</v>
      </c>
      <c r="AC2483">
        <v>5</v>
      </c>
      <c r="AD2483" s="1">
        <v>44265</v>
      </c>
      <c r="AE2483" t="str">
        <f>"SH21001078"</f>
        <v>SH21001078</v>
      </c>
      <c r="AF2483" t="str">
        <f>"משלוחים ללקוח"</f>
        <v>משלוחים ללקוח</v>
      </c>
      <c r="AG2483" s="1">
        <v>44376</v>
      </c>
      <c r="AM2483" t="str">
        <f>"10"</f>
        <v>10</v>
      </c>
      <c r="AN2483" t="str">
        <f>"500000"</f>
        <v>500000</v>
      </c>
      <c r="AO2483" t="str">
        <f>"הכנסות  מלקוחות"</f>
        <v>הכנסות  מלקוחות</v>
      </c>
      <c r="AQ2483" t="str">
        <f>"040"</f>
        <v>040</v>
      </c>
      <c r="AR2483">
        <v>0</v>
      </c>
      <c r="AS2483">
        <v>0</v>
      </c>
      <c r="AT2483">
        <v>3.2610000000000001</v>
      </c>
      <c r="AX2483" t="str">
        <f>"E000335043"</f>
        <v>E000335043</v>
      </c>
      <c r="BD2483" t="str">
        <f>"רחמים זרוק"</f>
        <v>רחמים זרוק</v>
      </c>
    </row>
    <row r="2484" spans="1:56" x14ac:dyDescent="0.3">
      <c r="A2484" s="1">
        <v>44377</v>
      </c>
      <c r="B2484" t="str">
        <f>"SI216000945"</f>
        <v>SI216000945</v>
      </c>
      <c r="C2484" t="str">
        <f>"PR20000694"</f>
        <v>PR20000694</v>
      </c>
      <c r="E2484" t="str">
        <f>"Y"</f>
        <v>Y</v>
      </c>
      <c r="F2484" t="str">
        <f>"חשבוניות מרכזות"</f>
        <v>חשבוניות מרכזות</v>
      </c>
      <c r="G2484" t="str">
        <f>"700065"</f>
        <v>700065</v>
      </c>
      <c r="H2484" t="str">
        <f>"אלתא מערכות בע""מ"</f>
        <v>אלתא מערכות בע"מ</v>
      </c>
      <c r="I2484" t="str">
        <f>"10"</f>
        <v>10</v>
      </c>
      <c r="J2484" t="str">
        <f>"cust000816"</f>
        <v>cust000816</v>
      </c>
      <c r="K2484" t="str">
        <f>"1039V959-003 אלתא"</f>
        <v>1039V959-003 אלתא</v>
      </c>
      <c r="L2484">
        <v>1</v>
      </c>
      <c r="M2484" t="str">
        <f>"יח"</f>
        <v>יח</v>
      </c>
      <c r="N2484">
        <v>1</v>
      </c>
      <c r="O2484" t="str">
        <f>"יח"</f>
        <v>יח</v>
      </c>
      <c r="P2484">
        <v>750</v>
      </c>
      <c r="Q2484" t="str">
        <f>"$"</f>
        <v>$</v>
      </c>
      <c r="R2484" t="str">
        <f>"הזמנה"</f>
        <v>הזמנה</v>
      </c>
      <c r="S2484">
        <v>0</v>
      </c>
      <c r="T2484">
        <v>750</v>
      </c>
      <c r="U2484">
        <v>0</v>
      </c>
      <c r="V2484">
        <v>750</v>
      </c>
      <c r="W2484" t="str">
        <f>"$"</f>
        <v>$</v>
      </c>
      <c r="X2484">
        <v>0</v>
      </c>
      <c r="Y2484">
        <v>0</v>
      </c>
      <c r="Z2484">
        <v>0</v>
      </c>
      <c r="AA2484" t="str">
        <f>"Y"</f>
        <v>Y</v>
      </c>
      <c r="AB2484" t="str">
        <f>"SO21000116"</f>
        <v>SO21000116</v>
      </c>
      <c r="AC2484">
        <v>1</v>
      </c>
      <c r="AD2484" s="1">
        <v>44266</v>
      </c>
      <c r="AE2484" t="str">
        <f>"SH21001076"</f>
        <v>SH21001076</v>
      </c>
      <c r="AF2484" t="str">
        <f>"משלוחים ללקוח"</f>
        <v>משלוחים ללקוח</v>
      </c>
      <c r="AG2484" s="1">
        <v>44376</v>
      </c>
      <c r="AM2484" t="str">
        <f>"10"</f>
        <v>10</v>
      </c>
      <c r="AN2484" t="str">
        <f>"500000"</f>
        <v>500000</v>
      </c>
      <c r="AO2484" t="str">
        <f>"הכנסות  מלקוחות"</f>
        <v>הכנסות  מלקוחות</v>
      </c>
      <c r="AQ2484" t="str">
        <f>"040"</f>
        <v>040</v>
      </c>
      <c r="AR2484">
        <v>0</v>
      </c>
      <c r="AS2484">
        <v>0</v>
      </c>
      <c r="AT2484">
        <v>3.2610000000000001</v>
      </c>
      <c r="AX2484" t="str">
        <f>"E000334153"</f>
        <v>E000334153</v>
      </c>
      <c r="BD2484" t="str">
        <f>"רחמים זרוק"</f>
        <v>רחמים זרוק</v>
      </c>
    </row>
    <row r="2485" spans="1:56" x14ac:dyDescent="0.3">
      <c r="A2485" s="1">
        <v>44377</v>
      </c>
      <c r="B2485" t="str">
        <f>"SI216000944"</f>
        <v>SI216000944</v>
      </c>
      <c r="C2485" t="str">
        <f>"PR21000251"</f>
        <v>PR21000251</v>
      </c>
      <c r="E2485" t="str">
        <f>"Y"</f>
        <v>Y</v>
      </c>
      <c r="F2485" t="str">
        <f>"חשבוניות מרכזות"</f>
        <v>חשבוניות מרכזות</v>
      </c>
      <c r="G2485" t="str">
        <f>"700065"</f>
        <v>700065</v>
      </c>
      <c r="H2485" t="str">
        <f>"אלתא מערכות בע""מ"</f>
        <v>אלתא מערכות בע"מ</v>
      </c>
      <c r="I2485" t="str">
        <f>"10"</f>
        <v>10</v>
      </c>
      <c r="J2485" t="str">
        <f>"OP-AR02452"</f>
        <v>OP-AR02452</v>
      </c>
      <c r="K2485" t="str">
        <f>"1006C008-001    CABLE ASSY W2Y2"</f>
        <v>1006C008-001    CABLE ASSY W2Y2</v>
      </c>
      <c r="L2485">
        <v>1</v>
      </c>
      <c r="M2485" t="str">
        <f>"יח"</f>
        <v>יח</v>
      </c>
      <c r="N2485">
        <v>1</v>
      </c>
      <c r="O2485" t="str">
        <f>"יח"</f>
        <v>יח</v>
      </c>
      <c r="P2485">
        <v>209.35</v>
      </c>
      <c r="Q2485" t="str">
        <f>"$"</f>
        <v>$</v>
      </c>
      <c r="R2485" t="str">
        <f>"הזמנה"</f>
        <v>הזמנה</v>
      </c>
      <c r="S2485">
        <v>0</v>
      </c>
      <c r="T2485">
        <v>209.35</v>
      </c>
      <c r="U2485">
        <v>0</v>
      </c>
      <c r="V2485">
        <v>209.35</v>
      </c>
      <c r="W2485" t="str">
        <f>"$"</f>
        <v>$</v>
      </c>
      <c r="X2485">
        <v>0</v>
      </c>
      <c r="Y2485">
        <v>0</v>
      </c>
      <c r="Z2485">
        <v>0</v>
      </c>
      <c r="AA2485" t="str">
        <f>"Y"</f>
        <v>Y</v>
      </c>
      <c r="AB2485" t="str">
        <f>"SO21000172"</f>
        <v>SO21000172</v>
      </c>
      <c r="AC2485">
        <v>1</v>
      </c>
      <c r="AD2485" s="1">
        <v>44304</v>
      </c>
      <c r="AE2485" t="str">
        <f>"SH21001080"</f>
        <v>SH21001080</v>
      </c>
      <c r="AF2485" t="str">
        <f>"משלוחים ללקוח"</f>
        <v>משלוחים ללקוח</v>
      </c>
      <c r="AG2485" s="1">
        <v>44376</v>
      </c>
      <c r="AM2485" t="str">
        <f>"10"</f>
        <v>10</v>
      </c>
      <c r="AN2485" t="str">
        <f>"500000"</f>
        <v>500000</v>
      </c>
      <c r="AO2485" t="str">
        <f>"הכנסות  מלקוחות"</f>
        <v>הכנסות  מלקוחות</v>
      </c>
      <c r="AQ2485" t="str">
        <f>"040"</f>
        <v>040</v>
      </c>
      <c r="AR2485">
        <v>0</v>
      </c>
      <c r="AS2485">
        <v>0</v>
      </c>
      <c r="AT2485">
        <v>3.2610000000000001</v>
      </c>
      <c r="AX2485" t="str">
        <f>"E000336885"</f>
        <v>E000336885</v>
      </c>
      <c r="BD2485" t="str">
        <f>"רחמים זרוק"</f>
        <v>רחמים זרוק</v>
      </c>
    </row>
    <row r="2486" spans="1:56" x14ac:dyDescent="0.3">
      <c r="A2486" s="1">
        <v>44377</v>
      </c>
      <c r="B2486" t="str">
        <f>"SI216000943"</f>
        <v>SI216000943</v>
      </c>
      <c r="C2486" t="str">
        <f>"PR20000851"</f>
        <v>PR20000851</v>
      </c>
      <c r="D2486" t="str">
        <f>"PR20000851"</f>
        <v>PR20000851</v>
      </c>
      <c r="E2486" t="str">
        <f>"Y"</f>
        <v>Y</v>
      </c>
      <c r="F2486" t="str">
        <f>"חשבוניות מרכזות"</f>
        <v>חשבוניות מרכזות</v>
      </c>
      <c r="G2486" t="str">
        <f>"700065"</f>
        <v>700065</v>
      </c>
      <c r="H2486" t="str">
        <f>"אלתא מערכות בע""מ"</f>
        <v>אלתא מערכות בע"מ</v>
      </c>
      <c r="I2486" t="str">
        <f>"10"</f>
        <v>10</v>
      </c>
      <c r="J2486" t="str">
        <f>"PA1001726"</f>
        <v>PA1001726</v>
      </c>
      <c r="K2486" t="str">
        <f>"82A0111-0-9  כבל תעופתי"</f>
        <v>82A0111-0-9  כבל תעופתי</v>
      </c>
      <c r="L2486">
        <v>92</v>
      </c>
      <c r="M2486" t="str">
        <f>"מטר"</f>
        <v>מטר</v>
      </c>
      <c r="N2486">
        <v>92</v>
      </c>
      <c r="O2486" t="str">
        <f>"מטר"</f>
        <v>מטר</v>
      </c>
      <c r="P2486">
        <v>84.98</v>
      </c>
      <c r="Q2486" t="str">
        <f>"$"</f>
        <v>$</v>
      </c>
      <c r="R2486" t="str">
        <f>"הזמנה"</f>
        <v>הזמנה</v>
      </c>
      <c r="S2486">
        <v>0</v>
      </c>
      <c r="T2486" s="2">
        <v>7818.16</v>
      </c>
      <c r="U2486">
        <v>0</v>
      </c>
      <c r="V2486" s="2">
        <v>7818.16</v>
      </c>
      <c r="W2486" t="str">
        <f>"$"</f>
        <v>$</v>
      </c>
      <c r="X2486">
        <v>0</v>
      </c>
      <c r="Y2486">
        <v>0</v>
      </c>
      <c r="Z2486">
        <v>0</v>
      </c>
      <c r="AA2486" t="str">
        <f>"Y"</f>
        <v>Y</v>
      </c>
      <c r="AB2486" t="str">
        <f>"SO20000555"</f>
        <v>SO20000555</v>
      </c>
      <c r="AC2486">
        <v>38</v>
      </c>
      <c r="AD2486" s="1">
        <v>44166</v>
      </c>
      <c r="AE2486" t="str">
        <f>"SH21001063"</f>
        <v>SH21001063</v>
      </c>
      <c r="AF2486" t="str">
        <f>"משלוחים ללקוח"</f>
        <v>משלוחים ללקוח</v>
      </c>
      <c r="AG2486" s="1">
        <v>44375</v>
      </c>
      <c r="AM2486" t="str">
        <f>"10"</f>
        <v>10</v>
      </c>
      <c r="AN2486" t="str">
        <f>"500000"</f>
        <v>500000</v>
      </c>
      <c r="AO2486" t="str">
        <f>"הכנסות  מלקוחות"</f>
        <v>הכנסות  מלקוחות</v>
      </c>
      <c r="AQ2486" t="str">
        <f>"034"</f>
        <v>034</v>
      </c>
      <c r="AR2486">
        <v>0</v>
      </c>
      <c r="AS2486">
        <v>0</v>
      </c>
      <c r="AT2486">
        <v>3.2610000000000001</v>
      </c>
      <c r="AX2486" t="str">
        <f>"E000326481"</f>
        <v>E000326481</v>
      </c>
      <c r="BD2486" t="str">
        <f>"ערן שלו"</f>
        <v>ערן שלו</v>
      </c>
    </row>
    <row r="2487" spans="1:56" x14ac:dyDescent="0.3">
      <c r="A2487" s="1">
        <v>44377</v>
      </c>
      <c r="B2487" t="str">
        <f>"SI216000942"</f>
        <v>SI216000942</v>
      </c>
      <c r="C2487" t="str">
        <f>"PR20000151"</f>
        <v>PR20000151</v>
      </c>
      <c r="E2487" t="str">
        <f>"Y"</f>
        <v>Y</v>
      </c>
      <c r="F2487" t="str">
        <f>"חשבוניות מרכזות"</f>
        <v>חשבוניות מרכזות</v>
      </c>
      <c r="G2487" t="str">
        <f>"700065"</f>
        <v>700065</v>
      </c>
      <c r="H2487" t="str">
        <f>"אלתא מערכות בע""מ"</f>
        <v>אלתא מערכות בע"מ</v>
      </c>
      <c r="I2487" t="str">
        <f>"10"</f>
        <v>10</v>
      </c>
      <c r="J2487" t="str">
        <f>"OP-AR09107-2"</f>
        <v>OP-AR09107-2</v>
      </c>
      <c r="K2487" t="str">
        <f>"לוח AUX BOX מק""ט לקוח 1026L320-002"</f>
        <v>לוח AUX BOX מק"ט לקוח 1026L320-002</v>
      </c>
      <c r="L2487">
        <v>1</v>
      </c>
      <c r="M2487" t="str">
        <f>"יח"</f>
        <v>יח</v>
      </c>
      <c r="N2487">
        <v>1</v>
      </c>
      <c r="O2487" t="str">
        <f>"יח"</f>
        <v>יח</v>
      </c>
      <c r="P2487" s="2">
        <v>27792</v>
      </c>
      <c r="Q2487" t="str">
        <f>"$"</f>
        <v>$</v>
      </c>
      <c r="R2487" t="str">
        <f>"הזמנה"</f>
        <v>הזמנה</v>
      </c>
      <c r="S2487">
        <v>0</v>
      </c>
      <c r="T2487" s="2">
        <v>27792</v>
      </c>
      <c r="U2487">
        <v>0</v>
      </c>
      <c r="V2487" s="2">
        <v>27792</v>
      </c>
      <c r="W2487" t="str">
        <f>"$"</f>
        <v>$</v>
      </c>
      <c r="X2487">
        <v>0</v>
      </c>
      <c r="Y2487">
        <v>0</v>
      </c>
      <c r="Z2487">
        <v>0</v>
      </c>
      <c r="AA2487" t="str">
        <f>"Y"</f>
        <v>Y</v>
      </c>
      <c r="AB2487" t="str">
        <f>"SO21000009"</f>
        <v>SO21000009</v>
      </c>
      <c r="AC2487">
        <v>7</v>
      </c>
      <c r="AD2487" s="1">
        <v>44200</v>
      </c>
      <c r="AE2487" t="str">
        <f>"SH21001090"</f>
        <v>SH21001090</v>
      </c>
      <c r="AF2487" t="str">
        <f>"משלוחים ללקוח"</f>
        <v>משלוחים ללקוח</v>
      </c>
      <c r="AG2487" s="1">
        <v>44377</v>
      </c>
      <c r="AM2487" t="str">
        <f>"10"</f>
        <v>10</v>
      </c>
      <c r="AN2487" t="str">
        <f>"500000"</f>
        <v>500000</v>
      </c>
      <c r="AO2487" t="str">
        <f>"הכנסות  מלקוחות"</f>
        <v>הכנסות  מלקוחות</v>
      </c>
      <c r="AQ2487" t="str">
        <f>"034"</f>
        <v>034</v>
      </c>
      <c r="AR2487">
        <v>0</v>
      </c>
      <c r="AS2487">
        <v>0</v>
      </c>
      <c r="AT2487">
        <v>3.2610000000000001</v>
      </c>
      <c r="AX2487" t="str">
        <f>"E000329195"</f>
        <v>E000329195</v>
      </c>
      <c r="BD2487" t="str">
        <f>"ערן שלו"</f>
        <v>ערן שלו</v>
      </c>
    </row>
    <row r="2488" spans="1:56" x14ac:dyDescent="0.3">
      <c r="A2488" s="1">
        <v>44377</v>
      </c>
      <c r="B2488" t="str">
        <f>"SI216000941"</f>
        <v>SI216000941</v>
      </c>
      <c r="C2488" t="str">
        <f>"PR19000750"</f>
        <v>PR19000750</v>
      </c>
      <c r="E2488" t="str">
        <f>"Y"</f>
        <v>Y</v>
      </c>
      <c r="F2488" t="str">
        <f>"חשבוניות מרכזות"</f>
        <v>חשבוניות מרכזות</v>
      </c>
      <c r="G2488" t="str">
        <f>"700065"</f>
        <v>700065</v>
      </c>
      <c r="H2488" t="str">
        <f>"אלתא מערכות בע""מ"</f>
        <v>אלתא מערכות בע"מ</v>
      </c>
      <c r="I2488" t="str">
        <f>"11"</f>
        <v>11</v>
      </c>
      <c r="J2488" t="str">
        <f>"OP-KT00116"</f>
        <v>OP-KT00116</v>
      </c>
      <c r="K2488" t="str">
        <f>"1037C838-001 PDB SPARES O LEVEL"</f>
        <v>1037C838-001 PDB SPARES O LEVEL</v>
      </c>
      <c r="L2488">
        <v>2</v>
      </c>
      <c r="M2488" t="str">
        <f>"יח"</f>
        <v>יח</v>
      </c>
      <c r="N2488">
        <v>2</v>
      </c>
      <c r="O2488" t="str">
        <f>"יח"</f>
        <v>יח</v>
      </c>
      <c r="P2488" s="2">
        <v>6574</v>
      </c>
      <c r="Q2488" t="str">
        <f>"$"</f>
        <v>$</v>
      </c>
      <c r="R2488" t="str">
        <f>"הזמנה"</f>
        <v>הזמנה</v>
      </c>
      <c r="S2488">
        <v>0</v>
      </c>
      <c r="T2488" s="2">
        <v>13148</v>
      </c>
      <c r="U2488">
        <v>0</v>
      </c>
      <c r="V2488" s="2">
        <v>13148</v>
      </c>
      <c r="W2488" t="str">
        <f>"$"</f>
        <v>$</v>
      </c>
      <c r="X2488">
        <v>0</v>
      </c>
      <c r="Y2488">
        <v>0</v>
      </c>
      <c r="Z2488">
        <v>0</v>
      </c>
      <c r="AA2488" t="str">
        <f>"Y"</f>
        <v>Y</v>
      </c>
      <c r="AC2488">
        <v>0</v>
      </c>
      <c r="AM2488" t="str">
        <f>"10"</f>
        <v>10</v>
      </c>
      <c r="AN2488" t="str">
        <f>"500000"</f>
        <v>500000</v>
      </c>
      <c r="AO2488" t="str">
        <f>"הכנסות  מלקוחות"</f>
        <v>הכנסות  מלקוחות</v>
      </c>
      <c r="AQ2488" t="str">
        <f>"034"</f>
        <v>034</v>
      </c>
      <c r="AR2488">
        <v>0</v>
      </c>
      <c r="AS2488">
        <v>0</v>
      </c>
      <c r="AT2488">
        <v>3.2610000000000001</v>
      </c>
      <c r="BB2488" t="str">
        <f>"Y"</f>
        <v>Y</v>
      </c>
      <c r="BD2488" t="str">
        <f>"ערן שלו"</f>
        <v>ערן שלו</v>
      </c>
    </row>
    <row r="2489" spans="1:56" x14ac:dyDescent="0.3">
      <c r="A2489" s="1">
        <v>44377</v>
      </c>
      <c r="B2489" t="str">
        <f>"SI216000940"</f>
        <v>SI216000940</v>
      </c>
      <c r="C2489" t="str">
        <f>"PR20000834"</f>
        <v>PR20000834</v>
      </c>
      <c r="E2489" t="str">
        <f>"Y"</f>
        <v>Y</v>
      </c>
      <c r="F2489" t="str">
        <f>"חשבוניות מרכזות"</f>
        <v>חשבוניות מרכזות</v>
      </c>
      <c r="G2489" t="str">
        <f>"700065"</f>
        <v>700065</v>
      </c>
      <c r="H2489" t="str">
        <f>"אלתא מערכות בע""מ"</f>
        <v>אלתא מערכות בע"מ</v>
      </c>
      <c r="I2489" t="str">
        <f>"10"</f>
        <v>10</v>
      </c>
      <c r="J2489" t="str">
        <f>"OP-AR02102"</f>
        <v>OP-AR02102</v>
      </c>
      <c r="K2489" t="str">
        <f>"1032F920-001/-   ETHERNET CABLE MFR-W920 - FILTE"</f>
        <v>1032F920-001/-   ETHERNET CABLE MFR-W920 - FILTE</v>
      </c>
      <c r="L2489">
        <v>4</v>
      </c>
      <c r="M2489" t="str">
        <f>"יח"</f>
        <v>יח</v>
      </c>
      <c r="N2489">
        <v>4</v>
      </c>
      <c r="O2489" t="str">
        <f>"יח"</f>
        <v>יח</v>
      </c>
      <c r="P2489">
        <v>174</v>
      </c>
      <c r="Q2489" t="str">
        <f>"$"</f>
        <v>$</v>
      </c>
      <c r="R2489" t="str">
        <f>"הזמנה"</f>
        <v>הזמנה</v>
      </c>
      <c r="S2489">
        <v>0</v>
      </c>
      <c r="T2489">
        <v>696</v>
      </c>
      <c r="U2489">
        <v>0</v>
      </c>
      <c r="V2489">
        <v>696</v>
      </c>
      <c r="W2489" t="str">
        <f>"$"</f>
        <v>$</v>
      </c>
      <c r="X2489">
        <v>0</v>
      </c>
      <c r="Y2489">
        <v>0</v>
      </c>
      <c r="Z2489">
        <v>0</v>
      </c>
      <c r="AA2489" t="str">
        <f>"Y"</f>
        <v>Y</v>
      </c>
      <c r="AC2489">
        <v>0</v>
      </c>
      <c r="AM2489" t="str">
        <f>"10"</f>
        <v>10</v>
      </c>
      <c r="AN2489" t="str">
        <f>"500000"</f>
        <v>500000</v>
      </c>
      <c r="AO2489" t="str">
        <f>"הכנסות  מלקוחות"</f>
        <v>הכנסות  מלקוחות</v>
      </c>
      <c r="AQ2489" t="str">
        <f>"034"</f>
        <v>034</v>
      </c>
      <c r="AR2489">
        <v>0</v>
      </c>
      <c r="AS2489">
        <v>0</v>
      </c>
      <c r="AT2489">
        <v>3.2610000000000001</v>
      </c>
      <c r="BB2489" t="str">
        <f>"Y"</f>
        <v>Y</v>
      </c>
      <c r="BD2489" t="str">
        <f>"ערן שלו"</f>
        <v>ערן שלו</v>
      </c>
    </row>
    <row r="2490" spans="1:56" x14ac:dyDescent="0.3">
      <c r="A2490" s="1">
        <v>44377</v>
      </c>
      <c r="B2490" t="str">
        <f>"SI216000940"</f>
        <v>SI216000940</v>
      </c>
      <c r="C2490" t="str">
        <f>"PR20000834"</f>
        <v>PR20000834</v>
      </c>
      <c r="E2490" t="str">
        <f>"Y"</f>
        <v>Y</v>
      </c>
      <c r="F2490" t="str">
        <f>"חשבוניות מרכזות"</f>
        <v>חשבוניות מרכזות</v>
      </c>
      <c r="G2490" t="str">
        <f>"700065"</f>
        <v>700065</v>
      </c>
      <c r="H2490" t="str">
        <f>"אלתא מערכות בע""מ"</f>
        <v>אלתא מערכות בע"מ</v>
      </c>
      <c r="I2490" t="str">
        <f>"10"</f>
        <v>10</v>
      </c>
      <c r="J2490" t="str">
        <f>"OP-AR02102"</f>
        <v>OP-AR02102</v>
      </c>
      <c r="K2490" t="str">
        <f>"1032F920-001/-   ETHERNET CABLE MFR-W920 - FILTE"</f>
        <v>1032F920-001/-   ETHERNET CABLE MFR-W920 - FILTE</v>
      </c>
      <c r="L2490">
        <v>4</v>
      </c>
      <c r="M2490" t="str">
        <f>"יח"</f>
        <v>יח</v>
      </c>
      <c r="N2490">
        <v>4</v>
      </c>
      <c r="O2490" t="str">
        <f>"יח"</f>
        <v>יח</v>
      </c>
      <c r="P2490">
        <v>174</v>
      </c>
      <c r="Q2490" t="str">
        <f>"$"</f>
        <v>$</v>
      </c>
      <c r="R2490" t="str">
        <f>"הזמנה"</f>
        <v>הזמנה</v>
      </c>
      <c r="S2490">
        <v>0</v>
      </c>
      <c r="T2490">
        <v>696</v>
      </c>
      <c r="U2490">
        <v>0</v>
      </c>
      <c r="V2490">
        <v>696</v>
      </c>
      <c r="W2490" t="str">
        <f>"$"</f>
        <v>$</v>
      </c>
      <c r="X2490">
        <v>0</v>
      </c>
      <c r="Y2490">
        <v>0</v>
      </c>
      <c r="Z2490">
        <v>0</v>
      </c>
      <c r="AA2490" t="str">
        <f>"Y"</f>
        <v>Y</v>
      </c>
      <c r="AC2490">
        <v>0</v>
      </c>
      <c r="AM2490" t="str">
        <f>"10"</f>
        <v>10</v>
      </c>
      <c r="AN2490" t="str">
        <f>"500000"</f>
        <v>500000</v>
      </c>
      <c r="AO2490" t="str">
        <f>"הכנסות  מלקוחות"</f>
        <v>הכנסות  מלקוחות</v>
      </c>
      <c r="AQ2490" t="str">
        <f>"034"</f>
        <v>034</v>
      </c>
      <c r="AR2490">
        <v>0</v>
      </c>
      <c r="AS2490">
        <v>0</v>
      </c>
      <c r="AT2490">
        <v>3.2610000000000001</v>
      </c>
      <c r="BB2490" t="str">
        <f>"Y"</f>
        <v>Y</v>
      </c>
      <c r="BD2490" t="str">
        <f>"ערן שלו"</f>
        <v>ערן שלו</v>
      </c>
    </row>
    <row r="2491" spans="1:56" x14ac:dyDescent="0.3">
      <c r="A2491" s="1">
        <v>44377</v>
      </c>
      <c r="B2491" t="str">
        <f>"SI216000940"</f>
        <v>SI216000940</v>
      </c>
      <c r="C2491" t="str">
        <f>"PR20000834"</f>
        <v>PR20000834</v>
      </c>
      <c r="E2491" t="str">
        <f>"Y"</f>
        <v>Y</v>
      </c>
      <c r="F2491" t="str">
        <f>"חשבוניות מרכזות"</f>
        <v>חשבוניות מרכזות</v>
      </c>
      <c r="G2491" t="str">
        <f>"700065"</f>
        <v>700065</v>
      </c>
      <c r="H2491" t="str">
        <f>"אלתא מערכות בע""מ"</f>
        <v>אלתא מערכות בע"מ</v>
      </c>
      <c r="I2491" t="str">
        <f>"10"</f>
        <v>10</v>
      </c>
      <c r="J2491" t="str">
        <f>"OP-AR02104"</f>
        <v>OP-AR02104</v>
      </c>
      <c r="K2491" t="str">
        <f>"1032F921-001/-   ETHERNET CABLE MFR-W921 - FILTE"</f>
        <v>1032F921-001/-   ETHERNET CABLE MFR-W921 - FILTE</v>
      </c>
      <c r="L2491">
        <v>1</v>
      </c>
      <c r="M2491" t="str">
        <f>"יח"</f>
        <v>יח</v>
      </c>
      <c r="N2491">
        <v>1</v>
      </c>
      <c r="O2491" t="str">
        <f>"יח"</f>
        <v>יח</v>
      </c>
      <c r="P2491">
        <v>174</v>
      </c>
      <c r="Q2491" t="str">
        <f>"$"</f>
        <v>$</v>
      </c>
      <c r="R2491" t="str">
        <f>"הזמנה"</f>
        <v>הזמנה</v>
      </c>
      <c r="S2491">
        <v>0</v>
      </c>
      <c r="T2491">
        <v>174</v>
      </c>
      <c r="U2491">
        <v>0</v>
      </c>
      <c r="V2491">
        <v>174</v>
      </c>
      <c r="W2491" t="str">
        <f>"$"</f>
        <v>$</v>
      </c>
      <c r="X2491">
        <v>0</v>
      </c>
      <c r="Y2491">
        <v>0</v>
      </c>
      <c r="Z2491">
        <v>0</v>
      </c>
      <c r="AA2491" t="str">
        <f>"Y"</f>
        <v>Y</v>
      </c>
      <c r="AC2491">
        <v>0</v>
      </c>
      <c r="AM2491" t="str">
        <f>"10"</f>
        <v>10</v>
      </c>
      <c r="AN2491" t="str">
        <f>"500000"</f>
        <v>500000</v>
      </c>
      <c r="AO2491" t="str">
        <f>"הכנסות  מלקוחות"</f>
        <v>הכנסות  מלקוחות</v>
      </c>
      <c r="AQ2491" t="str">
        <f>"034"</f>
        <v>034</v>
      </c>
      <c r="AR2491">
        <v>0</v>
      </c>
      <c r="AS2491">
        <v>0</v>
      </c>
      <c r="AT2491">
        <v>3.2610000000000001</v>
      </c>
      <c r="BB2491" t="str">
        <f>"Y"</f>
        <v>Y</v>
      </c>
      <c r="BD2491" t="str">
        <f>"ערן שלו"</f>
        <v>ערן שלו</v>
      </c>
    </row>
    <row r="2492" spans="1:56" x14ac:dyDescent="0.3">
      <c r="A2492" s="1">
        <v>44377</v>
      </c>
      <c r="B2492" t="str">
        <f>"SI216000940"</f>
        <v>SI216000940</v>
      </c>
      <c r="C2492" t="str">
        <f>"PR20000834"</f>
        <v>PR20000834</v>
      </c>
      <c r="E2492" t="str">
        <f>"Y"</f>
        <v>Y</v>
      </c>
      <c r="F2492" t="str">
        <f>"חשבוניות מרכזות"</f>
        <v>חשבוניות מרכזות</v>
      </c>
      <c r="G2492" t="str">
        <f>"700065"</f>
        <v>700065</v>
      </c>
      <c r="H2492" t="str">
        <f>"אלתא מערכות בע""מ"</f>
        <v>אלתא מערכות בע"מ</v>
      </c>
      <c r="I2492" t="str">
        <f>"10"</f>
        <v>10</v>
      </c>
      <c r="J2492" t="str">
        <f>"OP-AR02105"</f>
        <v>OP-AR02105</v>
      </c>
      <c r="K2492" t="str">
        <f>"1032F922-001/-   ETHERNET CABLE MFR-W922 - FILTE"</f>
        <v>1032F922-001/-   ETHERNET CABLE MFR-W922 - FILTE</v>
      </c>
      <c r="L2492">
        <v>1</v>
      </c>
      <c r="M2492" t="str">
        <f>"יח"</f>
        <v>יח</v>
      </c>
      <c r="N2492">
        <v>1</v>
      </c>
      <c r="O2492" t="str">
        <f>"יח"</f>
        <v>יח</v>
      </c>
      <c r="P2492">
        <v>174</v>
      </c>
      <c r="Q2492" t="str">
        <f>"$"</f>
        <v>$</v>
      </c>
      <c r="R2492" t="str">
        <f>"הזמנה"</f>
        <v>הזמנה</v>
      </c>
      <c r="S2492">
        <v>0</v>
      </c>
      <c r="T2492">
        <v>174</v>
      </c>
      <c r="U2492">
        <v>0</v>
      </c>
      <c r="V2492">
        <v>174</v>
      </c>
      <c r="W2492" t="str">
        <f>"$"</f>
        <v>$</v>
      </c>
      <c r="X2492">
        <v>0</v>
      </c>
      <c r="Y2492">
        <v>0</v>
      </c>
      <c r="Z2492">
        <v>0</v>
      </c>
      <c r="AA2492" t="str">
        <f>"Y"</f>
        <v>Y</v>
      </c>
      <c r="AC2492">
        <v>0</v>
      </c>
      <c r="AM2492" t="str">
        <f>"10"</f>
        <v>10</v>
      </c>
      <c r="AN2492" t="str">
        <f>"500000"</f>
        <v>500000</v>
      </c>
      <c r="AO2492" t="str">
        <f>"הכנסות  מלקוחות"</f>
        <v>הכנסות  מלקוחות</v>
      </c>
      <c r="AQ2492" t="str">
        <f>"034"</f>
        <v>034</v>
      </c>
      <c r="AR2492">
        <v>0</v>
      </c>
      <c r="AS2492">
        <v>0</v>
      </c>
      <c r="AT2492">
        <v>3.2610000000000001</v>
      </c>
      <c r="BB2492" t="str">
        <f>"Y"</f>
        <v>Y</v>
      </c>
      <c r="BD2492" t="str">
        <f>"ערן שלו"</f>
        <v>ערן שלו</v>
      </c>
    </row>
    <row r="2493" spans="1:56" x14ac:dyDescent="0.3">
      <c r="A2493" s="1">
        <v>44377</v>
      </c>
      <c r="B2493" t="str">
        <f>"SI216000940"</f>
        <v>SI216000940</v>
      </c>
      <c r="C2493" t="str">
        <f>"PR20000834"</f>
        <v>PR20000834</v>
      </c>
      <c r="E2493" t="str">
        <f>"Y"</f>
        <v>Y</v>
      </c>
      <c r="F2493" t="str">
        <f>"חשבוניות מרכזות"</f>
        <v>חשבוניות מרכזות</v>
      </c>
      <c r="G2493" t="str">
        <f>"700065"</f>
        <v>700065</v>
      </c>
      <c r="H2493" t="str">
        <f>"אלתא מערכות בע""מ"</f>
        <v>אלתא מערכות בע"מ</v>
      </c>
      <c r="I2493" t="str">
        <f>"10"</f>
        <v>10</v>
      </c>
      <c r="J2493" t="str">
        <f>"OP-AR02106"</f>
        <v>OP-AR02106</v>
      </c>
      <c r="K2493" t="str">
        <f>"1032F923-001/-   ETHERNET CABLE MFR-W923 - FILTE"</f>
        <v>1032F923-001/-   ETHERNET CABLE MFR-W923 - FILTE</v>
      </c>
      <c r="L2493">
        <v>1</v>
      </c>
      <c r="M2493" t="str">
        <f>"יח"</f>
        <v>יח</v>
      </c>
      <c r="N2493">
        <v>1</v>
      </c>
      <c r="O2493" t="str">
        <f>"יח"</f>
        <v>יח</v>
      </c>
      <c r="P2493">
        <v>174</v>
      </c>
      <c r="Q2493" t="str">
        <f>"$"</f>
        <v>$</v>
      </c>
      <c r="R2493" t="str">
        <f>"הזמנה"</f>
        <v>הזמנה</v>
      </c>
      <c r="S2493">
        <v>0</v>
      </c>
      <c r="T2493">
        <v>174</v>
      </c>
      <c r="U2493">
        <v>0</v>
      </c>
      <c r="V2493">
        <v>174</v>
      </c>
      <c r="W2493" t="str">
        <f>"$"</f>
        <v>$</v>
      </c>
      <c r="X2493">
        <v>0</v>
      </c>
      <c r="Y2493">
        <v>0</v>
      </c>
      <c r="Z2493">
        <v>0</v>
      </c>
      <c r="AA2493" t="str">
        <f>"Y"</f>
        <v>Y</v>
      </c>
      <c r="AC2493">
        <v>0</v>
      </c>
      <c r="AM2493" t="str">
        <f>"10"</f>
        <v>10</v>
      </c>
      <c r="AN2493" t="str">
        <f>"500000"</f>
        <v>500000</v>
      </c>
      <c r="AO2493" t="str">
        <f>"הכנסות  מלקוחות"</f>
        <v>הכנסות  מלקוחות</v>
      </c>
      <c r="AQ2493" t="str">
        <f>"034"</f>
        <v>034</v>
      </c>
      <c r="AR2493">
        <v>0</v>
      </c>
      <c r="AS2493">
        <v>0</v>
      </c>
      <c r="AT2493">
        <v>3.2610000000000001</v>
      </c>
      <c r="BB2493" t="str">
        <f>"Y"</f>
        <v>Y</v>
      </c>
      <c r="BD2493" t="str">
        <f>"ערן שלו"</f>
        <v>ערן שלו</v>
      </c>
    </row>
    <row r="2494" spans="1:56" x14ac:dyDescent="0.3">
      <c r="A2494" s="1">
        <v>44377</v>
      </c>
      <c r="B2494" t="str">
        <f>"SI216000940"</f>
        <v>SI216000940</v>
      </c>
      <c r="C2494" t="str">
        <f>"PR20000834"</f>
        <v>PR20000834</v>
      </c>
      <c r="E2494" t="str">
        <f>"Y"</f>
        <v>Y</v>
      </c>
      <c r="F2494" t="str">
        <f>"חשבוניות מרכזות"</f>
        <v>חשבוניות מרכזות</v>
      </c>
      <c r="G2494" t="str">
        <f>"700065"</f>
        <v>700065</v>
      </c>
      <c r="H2494" t="str">
        <f>"אלתא מערכות בע""מ"</f>
        <v>אלתא מערכות בע"מ</v>
      </c>
      <c r="I2494" t="str">
        <f>"10"</f>
        <v>10</v>
      </c>
      <c r="J2494" t="str">
        <f>"OP-AR02107"</f>
        <v>OP-AR02107</v>
      </c>
      <c r="K2494" t="str">
        <f>"1032F924-001/-   ETHERNET CABLE MFR-W924 - FILTE"</f>
        <v>1032F924-001/-   ETHERNET CABLE MFR-W924 - FILTE</v>
      </c>
      <c r="L2494">
        <v>1</v>
      </c>
      <c r="M2494" t="str">
        <f>"יח"</f>
        <v>יח</v>
      </c>
      <c r="N2494">
        <v>1</v>
      </c>
      <c r="O2494" t="str">
        <f>"יח"</f>
        <v>יח</v>
      </c>
      <c r="P2494">
        <v>174</v>
      </c>
      <c r="Q2494" t="str">
        <f>"$"</f>
        <v>$</v>
      </c>
      <c r="R2494" t="str">
        <f>"הזמנה"</f>
        <v>הזמנה</v>
      </c>
      <c r="S2494">
        <v>0</v>
      </c>
      <c r="T2494">
        <v>174</v>
      </c>
      <c r="U2494">
        <v>0</v>
      </c>
      <c r="V2494">
        <v>174</v>
      </c>
      <c r="W2494" t="str">
        <f>"$"</f>
        <v>$</v>
      </c>
      <c r="X2494">
        <v>0</v>
      </c>
      <c r="Y2494">
        <v>0</v>
      </c>
      <c r="Z2494">
        <v>0</v>
      </c>
      <c r="AA2494" t="str">
        <f>"Y"</f>
        <v>Y</v>
      </c>
      <c r="AC2494">
        <v>0</v>
      </c>
      <c r="AM2494" t="str">
        <f>"10"</f>
        <v>10</v>
      </c>
      <c r="AN2494" t="str">
        <f>"500000"</f>
        <v>500000</v>
      </c>
      <c r="AO2494" t="str">
        <f>"הכנסות  מלקוחות"</f>
        <v>הכנסות  מלקוחות</v>
      </c>
      <c r="AQ2494" t="str">
        <f>"034"</f>
        <v>034</v>
      </c>
      <c r="AR2494">
        <v>0</v>
      </c>
      <c r="AS2494">
        <v>0</v>
      </c>
      <c r="AT2494">
        <v>3.2610000000000001</v>
      </c>
      <c r="BB2494" t="str">
        <f>"Y"</f>
        <v>Y</v>
      </c>
      <c r="BD2494" t="str">
        <f>"ערן שלו"</f>
        <v>ערן שלו</v>
      </c>
    </row>
    <row r="2495" spans="1:56" x14ac:dyDescent="0.3">
      <c r="A2495" s="1">
        <v>44377</v>
      </c>
      <c r="B2495" t="str">
        <f>"SI216000940"</f>
        <v>SI216000940</v>
      </c>
      <c r="C2495" t="str">
        <f>"PR20000834"</f>
        <v>PR20000834</v>
      </c>
      <c r="E2495" t="str">
        <f>"Y"</f>
        <v>Y</v>
      </c>
      <c r="F2495" t="str">
        <f>"חשבוניות מרכזות"</f>
        <v>חשבוניות מרכזות</v>
      </c>
      <c r="G2495" t="str">
        <f>"700065"</f>
        <v>700065</v>
      </c>
      <c r="H2495" t="str">
        <f>"אלתא מערכות בע""מ"</f>
        <v>אלתא מערכות בע"מ</v>
      </c>
      <c r="I2495" t="str">
        <f>"10"</f>
        <v>10</v>
      </c>
      <c r="J2495" t="str">
        <f>"OP-AR02108"</f>
        <v>OP-AR02108</v>
      </c>
      <c r="K2495" t="str">
        <f>"1032F925-001/-   ETHERNET CABLE MFR-W925 - FILTE"</f>
        <v>1032F925-001/-   ETHERNET CABLE MFR-W925 - FILTE</v>
      </c>
      <c r="L2495">
        <v>1</v>
      </c>
      <c r="M2495" t="str">
        <f>"יח"</f>
        <v>יח</v>
      </c>
      <c r="N2495">
        <v>1</v>
      </c>
      <c r="O2495" t="str">
        <f>"יח"</f>
        <v>יח</v>
      </c>
      <c r="P2495">
        <v>174</v>
      </c>
      <c r="Q2495" t="str">
        <f>"$"</f>
        <v>$</v>
      </c>
      <c r="R2495" t="str">
        <f>"הזמנה"</f>
        <v>הזמנה</v>
      </c>
      <c r="S2495">
        <v>0</v>
      </c>
      <c r="T2495">
        <v>174</v>
      </c>
      <c r="U2495">
        <v>0</v>
      </c>
      <c r="V2495">
        <v>174</v>
      </c>
      <c r="W2495" t="str">
        <f>"$"</f>
        <v>$</v>
      </c>
      <c r="X2495">
        <v>0</v>
      </c>
      <c r="Y2495">
        <v>0</v>
      </c>
      <c r="Z2495">
        <v>0</v>
      </c>
      <c r="AA2495" t="str">
        <f>"Y"</f>
        <v>Y</v>
      </c>
      <c r="AC2495">
        <v>0</v>
      </c>
      <c r="AM2495" t="str">
        <f>"10"</f>
        <v>10</v>
      </c>
      <c r="AN2495" t="str">
        <f>"500000"</f>
        <v>500000</v>
      </c>
      <c r="AO2495" t="str">
        <f>"הכנסות  מלקוחות"</f>
        <v>הכנסות  מלקוחות</v>
      </c>
      <c r="AQ2495" t="str">
        <f>"034"</f>
        <v>034</v>
      </c>
      <c r="AR2495">
        <v>0</v>
      </c>
      <c r="AS2495">
        <v>0</v>
      </c>
      <c r="AT2495">
        <v>3.2610000000000001</v>
      </c>
      <c r="BB2495" t="str">
        <f>"Y"</f>
        <v>Y</v>
      </c>
      <c r="BD2495" t="str">
        <f>"ערן שלו"</f>
        <v>ערן שלו</v>
      </c>
    </row>
    <row r="2496" spans="1:56" x14ac:dyDescent="0.3">
      <c r="A2496" s="1">
        <v>44377</v>
      </c>
      <c r="B2496" t="str">
        <f>"SI216000940"</f>
        <v>SI216000940</v>
      </c>
      <c r="C2496" t="str">
        <f>"PR20000834"</f>
        <v>PR20000834</v>
      </c>
      <c r="E2496" t="str">
        <f>"Y"</f>
        <v>Y</v>
      </c>
      <c r="F2496" t="str">
        <f>"חשבוניות מרכזות"</f>
        <v>חשבוניות מרכזות</v>
      </c>
      <c r="G2496" t="str">
        <f>"700065"</f>
        <v>700065</v>
      </c>
      <c r="H2496" t="str">
        <f>"אלתא מערכות בע""מ"</f>
        <v>אלתא מערכות בע"מ</v>
      </c>
      <c r="I2496" t="str">
        <f>"10"</f>
        <v>10</v>
      </c>
      <c r="J2496" t="str">
        <f>"OP-AR02109"</f>
        <v>OP-AR02109</v>
      </c>
      <c r="K2496" t="str">
        <f>"1032F926-001/-   ETHERNET CABLE MFR-W926 - FILTE"</f>
        <v>1032F926-001/-   ETHERNET CABLE MFR-W926 - FILTE</v>
      </c>
      <c r="L2496">
        <v>1</v>
      </c>
      <c r="M2496" t="str">
        <f>"יח"</f>
        <v>יח</v>
      </c>
      <c r="N2496">
        <v>1</v>
      </c>
      <c r="O2496" t="str">
        <f>"יח"</f>
        <v>יח</v>
      </c>
      <c r="P2496">
        <v>174</v>
      </c>
      <c r="Q2496" t="str">
        <f>"$"</f>
        <v>$</v>
      </c>
      <c r="R2496" t="str">
        <f>"הזמנה"</f>
        <v>הזמנה</v>
      </c>
      <c r="S2496">
        <v>0</v>
      </c>
      <c r="T2496">
        <v>174</v>
      </c>
      <c r="U2496">
        <v>0</v>
      </c>
      <c r="V2496">
        <v>174</v>
      </c>
      <c r="W2496" t="str">
        <f>"$"</f>
        <v>$</v>
      </c>
      <c r="X2496">
        <v>0</v>
      </c>
      <c r="Y2496">
        <v>0</v>
      </c>
      <c r="Z2496">
        <v>0</v>
      </c>
      <c r="AA2496" t="str">
        <f>"Y"</f>
        <v>Y</v>
      </c>
      <c r="AC2496">
        <v>0</v>
      </c>
      <c r="AM2496" t="str">
        <f>"10"</f>
        <v>10</v>
      </c>
      <c r="AN2496" t="str">
        <f>"500000"</f>
        <v>500000</v>
      </c>
      <c r="AO2496" t="str">
        <f>"הכנסות  מלקוחות"</f>
        <v>הכנסות  מלקוחות</v>
      </c>
      <c r="AQ2496" t="str">
        <f>"034"</f>
        <v>034</v>
      </c>
      <c r="AR2496">
        <v>0</v>
      </c>
      <c r="AS2496">
        <v>0</v>
      </c>
      <c r="AT2496">
        <v>3.2610000000000001</v>
      </c>
      <c r="BB2496" t="str">
        <f>"Y"</f>
        <v>Y</v>
      </c>
      <c r="BD2496" t="str">
        <f>"ערן שלו"</f>
        <v>ערן שלו</v>
      </c>
    </row>
    <row r="2497" spans="1:56" x14ac:dyDescent="0.3">
      <c r="A2497" s="1">
        <v>44377</v>
      </c>
      <c r="B2497" t="str">
        <f>"SI216000940"</f>
        <v>SI216000940</v>
      </c>
      <c r="C2497" t="str">
        <f>"PR20000834"</f>
        <v>PR20000834</v>
      </c>
      <c r="E2497" t="str">
        <f>"Y"</f>
        <v>Y</v>
      </c>
      <c r="F2497" t="str">
        <f>"חשבוניות מרכזות"</f>
        <v>חשבוניות מרכזות</v>
      </c>
      <c r="G2497" t="str">
        <f>"700065"</f>
        <v>700065</v>
      </c>
      <c r="H2497" t="str">
        <f>"אלתא מערכות בע""מ"</f>
        <v>אלתא מערכות בע"מ</v>
      </c>
      <c r="I2497" t="str">
        <f>"10"</f>
        <v>10</v>
      </c>
      <c r="J2497" t="str">
        <f>"OP-AR02110"</f>
        <v>OP-AR02110</v>
      </c>
      <c r="K2497" t="str">
        <f>"1032F927-001/-   ETHERNET CABLE MFR-W927 - FILTE"</f>
        <v>1032F927-001/-   ETHERNET CABLE MFR-W927 - FILTE</v>
      </c>
      <c r="L2497">
        <v>1</v>
      </c>
      <c r="M2497" t="str">
        <f>"יח"</f>
        <v>יח</v>
      </c>
      <c r="N2497">
        <v>1</v>
      </c>
      <c r="O2497" t="str">
        <f>"יח"</f>
        <v>יח</v>
      </c>
      <c r="P2497">
        <v>174</v>
      </c>
      <c r="Q2497" t="str">
        <f>"$"</f>
        <v>$</v>
      </c>
      <c r="R2497" t="str">
        <f>"הזמנה"</f>
        <v>הזמנה</v>
      </c>
      <c r="S2497">
        <v>0</v>
      </c>
      <c r="T2497">
        <v>174</v>
      </c>
      <c r="U2497">
        <v>0</v>
      </c>
      <c r="V2497">
        <v>174</v>
      </c>
      <c r="W2497" t="str">
        <f>"$"</f>
        <v>$</v>
      </c>
      <c r="X2497">
        <v>0</v>
      </c>
      <c r="Y2497">
        <v>0</v>
      </c>
      <c r="Z2497">
        <v>0</v>
      </c>
      <c r="AA2497" t="str">
        <f>"Y"</f>
        <v>Y</v>
      </c>
      <c r="AC2497">
        <v>0</v>
      </c>
      <c r="AM2497" t="str">
        <f>"10"</f>
        <v>10</v>
      </c>
      <c r="AN2497" t="str">
        <f>"500000"</f>
        <v>500000</v>
      </c>
      <c r="AO2497" t="str">
        <f>"הכנסות  מלקוחות"</f>
        <v>הכנסות  מלקוחות</v>
      </c>
      <c r="AQ2497" t="str">
        <f>"034"</f>
        <v>034</v>
      </c>
      <c r="AR2497">
        <v>0</v>
      </c>
      <c r="AS2497">
        <v>0</v>
      </c>
      <c r="AT2497">
        <v>3.2610000000000001</v>
      </c>
      <c r="BB2497" t="str">
        <f>"Y"</f>
        <v>Y</v>
      </c>
      <c r="BD2497" t="str">
        <f>"ערן שלו"</f>
        <v>ערן שלו</v>
      </c>
    </row>
    <row r="2498" spans="1:56" x14ac:dyDescent="0.3">
      <c r="A2498" s="1">
        <v>44377</v>
      </c>
      <c r="B2498" t="str">
        <f>"SI216000940"</f>
        <v>SI216000940</v>
      </c>
      <c r="C2498" t="str">
        <f>"PR20000834"</f>
        <v>PR20000834</v>
      </c>
      <c r="E2498" t="str">
        <f>"Y"</f>
        <v>Y</v>
      </c>
      <c r="F2498" t="str">
        <f>"חשבוניות מרכזות"</f>
        <v>חשבוניות מרכזות</v>
      </c>
      <c r="G2498" t="str">
        <f>"700065"</f>
        <v>700065</v>
      </c>
      <c r="H2498" t="str">
        <f>"אלתא מערכות בע""מ"</f>
        <v>אלתא מערכות בע"מ</v>
      </c>
      <c r="I2498" t="str">
        <f>"10"</f>
        <v>10</v>
      </c>
      <c r="J2498" t="str">
        <f>"OP-AR02111"</f>
        <v>OP-AR02111</v>
      </c>
      <c r="K2498" t="str">
        <f>"1032F928-001/-   ETHERNET CABLE MFR-W928 - FILTE"</f>
        <v>1032F928-001/-   ETHERNET CABLE MFR-W928 - FILTE</v>
      </c>
      <c r="L2498">
        <v>1</v>
      </c>
      <c r="M2498" t="str">
        <f>"יח"</f>
        <v>יח</v>
      </c>
      <c r="N2498">
        <v>1</v>
      </c>
      <c r="O2498" t="str">
        <f>"יח"</f>
        <v>יח</v>
      </c>
      <c r="P2498">
        <v>174</v>
      </c>
      <c r="Q2498" t="str">
        <f>"$"</f>
        <v>$</v>
      </c>
      <c r="R2498" t="str">
        <f>"הזמנה"</f>
        <v>הזמנה</v>
      </c>
      <c r="S2498">
        <v>0</v>
      </c>
      <c r="T2498">
        <v>174</v>
      </c>
      <c r="U2498">
        <v>0</v>
      </c>
      <c r="V2498">
        <v>174</v>
      </c>
      <c r="W2498" t="str">
        <f>"$"</f>
        <v>$</v>
      </c>
      <c r="X2498">
        <v>0</v>
      </c>
      <c r="Y2498">
        <v>0</v>
      </c>
      <c r="Z2498">
        <v>0</v>
      </c>
      <c r="AA2498" t="str">
        <f>"Y"</f>
        <v>Y</v>
      </c>
      <c r="AC2498">
        <v>0</v>
      </c>
      <c r="AM2498" t="str">
        <f>"10"</f>
        <v>10</v>
      </c>
      <c r="AN2498" t="str">
        <f>"500000"</f>
        <v>500000</v>
      </c>
      <c r="AO2498" t="str">
        <f>"הכנסות  מלקוחות"</f>
        <v>הכנסות  מלקוחות</v>
      </c>
      <c r="AQ2498" t="str">
        <f>"034"</f>
        <v>034</v>
      </c>
      <c r="AR2498">
        <v>0</v>
      </c>
      <c r="AS2498">
        <v>0</v>
      </c>
      <c r="AT2498">
        <v>3.2610000000000001</v>
      </c>
      <c r="BB2498" t="str">
        <f>"Y"</f>
        <v>Y</v>
      </c>
      <c r="BD2498" t="str">
        <f>"ערן שלו"</f>
        <v>ערן שלו</v>
      </c>
    </row>
    <row r="2499" spans="1:56" x14ac:dyDescent="0.3">
      <c r="A2499" s="1">
        <v>44377</v>
      </c>
      <c r="B2499" t="str">
        <f>"SI216000940"</f>
        <v>SI216000940</v>
      </c>
      <c r="C2499" t="str">
        <f>"PR20000834"</f>
        <v>PR20000834</v>
      </c>
      <c r="E2499" t="str">
        <f>"Y"</f>
        <v>Y</v>
      </c>
      <c r="F2499" t="str">
        <f>"חשבוניות מרכזות"</f>
        <v>חשבוניות מרכזות</v>
      </c>
      <c r="G2499" t="str">
        <f>"700065"</f>
        <v>700065</v>
      </c>
      <c r="H2499" t="str">
        <f>"אלתא מערכות בע""מ"</f>
        <v>אלתא מערכות בע"מ</v>
      </c>
      <c r="I2499" t="str">
        <f>"10"</f>
        <v>10</v>
      </c>
      <c r="J2499" t="str">
        <f>"OP-AR02112"</f>
        <v>OP-AR02112</v>
      </c>
      <c r="K2499" t="str">
        <f>"1032F929-001/-   ETHERNET CABLE MFR-W929 - FILTE"</f>
        <v>1032F929-001/-   ETHERNET CABLE MFR-W929 - FILTE</v>
      </c>
      <c r="L2499">
        <v>1</v>
      </c>
      <c r="M2499" t="str">
        <f>"יח"</f>
        <v>יח</v>
      </c>
      <c r="N2499">
        <v>1</v>
      </c>
      <c r="O2499" t="str">
        <f>"יח"</f>
        <v>יח</v>
      </c>
      <c r="P2499">
        <v>176.77</v>
      </c>
      <c r="Q2499" t="str">
        <f>"$"</f>
        <v>$</v>
      </c>
      <c r="R2499" t="str">
        <f>"הזמנה"</f>
        <v>הזמנה</v>
      </c>
      <c r="S2499">
        <v>0</v>
      </c>
      <c r="T2499">
        <v>176.77</v>
      </c>
      <c r="U2499">
        <v>0</v>
      </c>
      <c r="V2499">
        <v>176.77</v>
      </c>
      <c r="W2499" t="str">
        <f>"$"</f>
        <v>$</v>
      </c>
      <c r="X2499">
        <v>0</v>
      </c>
      <c r="Y2499">
        <v>0</v>
      </c>
      <c r="Z2499">
        <v>0</v>
      </c>
      <c r="AA2499" t="str">
        <f>"Y"</f>
        <v>Y</v>
      </c>
      <c r="AC2499">
        <v>0</v>
      </c>
      <c r="AM2499" t="str">
        <f>"10"</f>
        <v>10</v>
      </c>
      <c r="AN2499" t="str">
        <f>"500000"</f>
        <v>500000</v>
      </c>
      <c r="AO2499" t="str">
        <f>"הכנסות  מלקוחות"</f>
        <v>הכנסות  מלקוחות</v>
      </c>
      <c r="AQ2499" t="str">
        <f>"034"</f>
        <v>034</v>
      </c>
      <c r="AR2499">
        <v>0</v>
      </c>
      <c r="AS2499">
        <v>0</v>
      </c>
      <c r="AT2499">
        <v>3.2610000000000001</v>
      </c>
      <c r="BB2499" t="str">
        <f>"Y"</f>
        <v>Y</v>
      </c>
      <c r="BD2499" t="str">
        <f>"ערן שלו"</f>
        <v>ערן שלו</v>
      </c>
    </row>
    <row r="2500" spans="1:56" x14ac:dyDescent="0.3">
      <c r="A2500" s="1">
        <v>44377</v>
      </c>
      <c r="B2500" t="str">
        <f>"SI216000940"</f>
        <v>SI216000940</v>
      </c>
      <c r="C2500" t="str">
        <f>"PR20000834"</f>
        <v>PR20000834</v>
      </c>
      <c r="E2500" t="str">
        <f>"Y"</f>
        <v>Y</v>
      </c>
      <c r="F2500" t="str">
        <f>"חשבוניות מרכזות"</f>
        <v>חשבוניות מרכזות</v>
      </c>
      <c r="G2500" t="str">
        <f>"700065"</f>
        <v>700065</v>
      </c>
      <c r="H2500" t="str">
        <f>"אלתא מערכות בע""מ"</f>
        <v>אלתא מערכות בע"מ</v>
      </c>
      <c r="I2500" t="str">
        <f>"10"</f>
        <v>10</v>
      </c>
      <c r="J2500" t="str">
        <f>"OP-AR02113"</f>
        <v>OP-AR02113</v>
      </c>
      <c r="K2500" t="str">
        <f>"1032F930-001/-   ETHERNET CABLE MFR-W930 - FILTE"</f>
        <v>1032F930-001/-   ETHERNET CABLE MFR-W930 - FILTE</v>
      </c>
      <c r="L2500">
        <v>1</v>
      </c>
      <c r="M2500" t="str">
        <f>"יח"</f>
        <v>יח</v>
      </c>
      <c r="N2500">
        <v>1</v>
      </c>
      <c r="O2500" t="str">
        <f>"יח"</f>
        <v>יח</v>
      </c>
      <c r="P2500">
        <v>174</v>
      </c>
      <c r="Q2500" t="str">
        <f>"$"</f>
        <v>$</v>
      </c>
      <c r="R2500" t="str">
        <f>"הזמנה"</f>
        <v>הזמנה</v>
      </c>
      <c r="S2500">
        <v>0</v>
      </c>
      <c r="T2500">
        <v>174</v>
      </c>
      <c r="U2500">
        <v>0</v>
      </c>
      <c r="V2500">
        <v>174</v>
      </c>
      <c r="W2500" t="str">
        <f>"$"</f>
        <v>$</v>
      </c>
      <c r="X2500">
        <v>0</v>
      </c>
      <c r="Y2500">
        <v>0</v>
      </c>
      <c r="Z2500">
        <v>0</v>
      </c>
      <c r="AA2500" t="str">
        <f>"Y"</f>
        <v>Y</v>
      </c>
      <c r="AC2500">
        <v>0</v>
      </c>
      <c r="AM2500" t="str">
        <f>"10"</f>
        <v>10</v>
      </c>
      <c r="AN2500" t="str">
        <f>"500000"</f>
        <v>500000</v>
      </c>
      <c r="AO2500" t="str">
        <f>"הכנסות  מלקוחות"</f>
        <v>הכנסות  מלקוחות</v>
      </c>
      <c r="AQ2500" t="str">
        <f>"034"</f>
        <v>034</v>
      </c>
      <c r="AR2500">
        <v>0</v>
      </c>
      <c r="AS2500">
        <v>0</v>
      </c>
      <c r="AT2500">
        <v>3.2610000000000001</v>
      </c>
      <c r="BB2500" t="str">
        <f>"Y"</f>
        <v>Y</v>
      </c>
      <c r="BD2500" t="str">
        <f>"ערן שלו"</f>
        <v>ערן שלו</v>
      </c>
    </row>
    <row r="2501" spans="1:56" x14ac:dyDescent="0.3">
      <c r="A2501" s="1">
        <v>44377</v>
      </c>
      <c r="B2501" t="str">
        <f>"SI216000940"</f>
        <v>SI216000940</v>
      </c>
      <c r="C2501" t="str">
        <f>"PR20000834"</f>
        <v>PR20000834</v>
      </c>
      <c r="E2501" t="str">
        <f>"Y"</f>
        <v>Y</v>
      </c>
      <c r="F2501" t="str">
        <f>"חשבוניות מרכזות"</f>
        <v>חשבוניות מרכזות</v>
      </c>
      <c r="G2501" t="str">
        <f>"700065"</f>
        <v>700065</v>
      </c>
      <c r="H2501" t="str">
        <f>"אלתא מערכות בע""מ"</f>
        <v>אלתא מערכות בע"מ</v>
      </c>
      <c r="I2501" t="str">
        <f>"10"</f>
        <v>10</v>
      </c>
      <c r="J2501" t="str">
        <f>"OP-AR02114"</f>
        <v>OP-AR02114</v>
      </c>
      <c r="K2501" t="str">
        <f>"1032F931-001/-   ETHERNET CABLE MFR-W931 - FILTE"</f>
        <v>1032F931-001/-   ETHERNET CABLE MFR-W931 - FILTE</v>
      </c>
      <c r="L2501">
        <v>1</v>
      </c>
      <c r="M2501" t="str">
        <f>"יח"</f>
        <v>יח</v>
      </c>
      <c r="N2501">
        <v>1</v>
      </c>
      <c r="O2501" t="str">
        <f>"יח"</f>
        <v>יח</v>
      </c>
      <c r="P2501">
        <v>176.77</v>
      </c>
      <c r="Q2501" t="str">
        <f>"$"</f>
        <v>$</v>
      </c>
      <c r="R2501" t="str">
        <f>"הזמנה"</f>
        <v>הזמנה</v>
      </c>
      <c r="S2501">
        <v>0</v>
      </c>
      <c r="T2501">
        <v>176.77</v>
      </c>
      <c r="U2501">
        <v>0</v>
      </c>
      <c r="V2501">
        <v>176.77</v>
      </c>
      <c r="W2501" t="str">
        <f>"$"</f>
        <v>$</v>
      </c>
      <c r="X2501">
        <v>0</v>
      </c>
      <c r="Y2501">
        <v>0</v>
      </c>
      <c r="Z2501">
        <v>0</v>
      </c>
      <c r="AA2501" t="str">
        <f>"Y"</f>
        <v>Y</v>
      </c>
      <c r="AC2501">
        <v>0</v>
      </c>
      <c r="AM2501" t="str">
        <f>"10"</f>
        <v>10</v>
      </c>
      <c r="AN2501" t="str">
        <f>"500000"</f>
        <v>500000</v>
      </c>
      <c r="AO2501" t="str">
        <f>"הכנסות  מלקוחות"</f>
        <v>הכנסות  מלקוחות</v>
      </c>
      <c r="AQ2501" t="str">
        <f>"034"</f>
        <v>034</v>
      </c>
      <c r="AR2501">
        <v>0</v>
      </c>
      <c r="AS2501">
        <v>0</v>
      </c>
      <c r="AT2501">
        <v>3.2610000000000001</v>
      </c>
      <c r="BB2501" t="str">
        <f>"Y"</f>
        <v>Y</v>
      </c>
      <c r="BD2501" t="str">
        <f>"ערן שלו"</f>
        <v>ערן שלו</v>
      </c>
    </row>
    <row r="2502" spans="1:56" x14ac:dyDescent="0.3">
      <c r="A2502" s="1">
        <v>44377</v>
      </c>
      <c r="B2502" t="str">
        <f>"SI216000940"</f>
        <v>SI216000940</v>
      </c>
      <c r="C2502" t="str">
        <f>"PR20000834"</f>
        <v>PR20000834</v>
      </c>
      <c r="E2502" t="str">
        <f>"Y"</f>
        <v>Y</v>
      </c>
      <c r="F2502" t="str">
        <f>"חשבוניות מרכזות"</f>
        <v>חשבוניות מרכזות</v>
      </c>
      <c r="G2502" t="str">
        <f>"700065"</f>
        <v>700065</v>
      </c>
      <c r="H2502" t="str">
        <f>"אלתא מערכות בע""מ"</f>
        <v>אלתא מערכות בע"מ</v>
      </c>
      <c r="I2502" t="str">
        <f>"10"</f>
        <v>10</v>
      </c>
      <c r="J2502" t="str">
        <f>"OP-AR02115"</f>
        <v>OP-AR02115</v>
      </c>
      <c r="K2502" t="str">
        <f>"1032F932-001/-   ETHERNET CABLE MFR-W932 - FILTE"</f>
        <v>1032F932-001/-   ETHERNET CABLE MFR-W932 - FILTE</v>
      </c>
      <c r="L2502">
        <v>1</v>
      </c>
      <c r="M2502" t="str">
        <f>"יח"</f>
        <v>יח</v>
      </c>
      <c r="N2502">
        <v>1</v>
      </c>
      <c r="O2502" t="str">
        <f>"יח"</f>
        <v>יח</v>
      </c>
      <c r="P2502">
        <v>176.77</v>
      </c>
      <c r="Q2502" t="str">
        <f>"$"</f>
        <v>$</v>
      </c>
      <c r="R2502" t="str">
        <f>"הזמנה"</f>
        <v>הזמנה</v>
      </c>
      <c r="S2502">
        <v>0</v>
      </c>
      <c r="T2502">
        <v>176.77</v>
      </c>
      <c r="U2502">
        <v>0</v>
      </c>
      <c r="V2502">
        <v>176.77</v>
      </c>
      <c r="W2502" t="str">
        <f>"$"</f>
        <v>$</v>
      </c>
      <c r="X2502">
        <v>0</v>
      </c>
      <c r="Y2502">
        <v>0</v>
      </c>
      <c r="Z2502">
        <v>0</v>
      </c>
      <c r="AA2502" t="str">
        <f>"Y"</f>
        <v>Y</v>
      </c>
      <c r="AC2502">
        <v>0</v>
      </c>
      <c r="AM2502" t="str">
        <f>"10"</f>
        <v>10</v>
      </c>
      <c r="AN2502" t="str">
        <f>"500000"</f>
        <v>500000</v>
      </c>
      <c r="AO2502" t="str">
        <f>"הכנסות  מלקוחות"</f>
        <v>הכנסות  מלקוחות</v>
      </c>
      <c r="AQ2502" t="str">
        <f>"034"</f>
        <v>034</v>
      </c>
      <c r="AR2502">
        <v>0</v>
      </c>
      <c r="AS2502">
        <v>0</v>
      </c>
      <c r="AT2502">
        <v>3.2610000000000001</v>
      </c>
      <c r="BB2502" t="str">
        <f>"Y"</f>
        <v>Y</v>
      </c>
      <c r="BD2502" t="str">
        <f>"ערן שלו"</f>
        <v>ערן שלו</v>
      </c>
    </row>
    <row r="2503" spans="1:56" x14ac:dyDescent="0.3">
      <c r="A2503" s="1">
        <v>44377</v>
      </c>
      <c r="B2503" t="str">
        <f>"SI216000940"</f>
        <v>SI216000940</v>
      </c>
      <c r="C2503" t="str">
        <f>"PR20000834"</f>
        <v>PR20000834</v>
      </c>
      <c r="E2503" t="str">
        <f>"Y"</f>
        <v>Y</v>
      </c>
      <c r="F2503" t="str">
        <f>"חשבוניות מרכזות"</f>
        <v>חשבוניות מרכזות</v>
      </c>
      <c r="G2503" t="str">
        <f>"700065"</f>
        <v>700065</v>
      </c>
      <c r="H2503" t="str">
        <f>"אלתא מערכות בע""מ"</f>
        <v>אלתא מערכות בע"מ</v>
      </c>
      <c r="I2503" t="str">
        <f>"10"</f>
        <v>10</v>
      </c>
      <c r="J2503" t="str">
        <f>"OP-AR02117"</f>
        <v>OP-AR02117</v>
      </c>
      <c r="K2503" t="str">
        <f>"1032F933-001/-   ETHERNET CABLE MFR-W933 - FILTE"</f>
        <v>1032F933-001/-   ETHERNET CABLE MFR-W933 - FILTE</v>
      </c>
      <c r="L2503">
        <v>1</v>
      </c>
      <c r="M2503" t="str">
        <f>"יח"</f>
        <v>יח</v>
      </c>
      <c r="N2503">
        <v>1</v>
      </c>
      <c r="O2503" t="str">
        <f>"יח"</f>
        <v>יח</v>
      </c>
      <c r="P2503">
        <v>176.77</v>
      </c>
      <c r="Q2503" t="str">
        <f>"$"</f>
        <v>$</v>
      </c>
      <c r="R2503" t="str">
        <f>"הזמנה"</f>
        <v>הזמנה</v>
      </c>
      <c r="S2503">
        <v>0</v>
      </c>
      <c r="T2503">
        <v>176.77</v>
      </c>
      <c r="U2503">
        <v>0</v>
      </c>
      <c r="V2503">
        <v>176.77</v>
      </c>
      <c r="W2503" t="str">
        <f>"$"</f>
        <v>$</v>
      </c>
      <c r="X2503">
        <v>0</v>
      </c>
      <c r="Y2503">
        <v>0</v>
      </c>
      <c r="Z2503">
        <v>0</v>
      </c>
      <c r="AA2503" t="str">
        <f>"Y"</f>
        <v>Y</v>
      </c>
      <c r="AC2503">
        <v>0</v>
      </c>
      <c r="AM2503" t="str">
        <f>"10"</f>
        <v>10</v>
      </c>
      <c r="AN2503" t="str">
        <f>"500000"</f>
        <v>500000</v>
      </c>
      <c r="AO2503" t="str">
        <f>"הכנסות  מלקוחות"</f>
        <v>הכנסות  מלקוחות</v>
      </c>
      <c r="AQ2503" t="str">
        <f>"034"</f>
        <v>034</v>
      </c>
      <c r="AR2503">
        <v>0</v>
      </c>
      <c r="AS2503">
        <v>0</v>
      </c>
      <c r="AT2503">
        <v>3.2610000000000001</v>
      </c>
      <c r="BB2503" t="str">
        <f>"Y"</f>
        <v>Y</v>
      </c>
      <c r="BD2503" t="str">
        <f>"ערן שלו"</f>
        <v>ערן שלו</v>
      </c>
    </row>
    <row r="2504" spans="1:56" x14ac:dyDescent="0.3">
      <c r="A2504" s="1">
        <v>44377</v>
      </c>
      <c r="B2504" t="str">
        <f>"SI216000940"</f>
        <v>SI216000940</v>
      </c>
      <c r="C2504" t="str">
        <f>"PR20000834"</f>
        <v>PR20000834</v>
      </c>
      <c r="E2504" t="str">
        <f>"Y"</f>
        <v>Y</v>
      </c>
      <c r="F2504" t="str">
        <f>"חשבוניות מרכזות"</f>
        <v>חשבוניות מרכזות</v>
      </c>
      <c r="G2504" t="str">
        <f>"700065"</f>
        <v>700065</v>
      </c>
      <c r="H2504" t="str">
        <f>"אלתא מערכות בע""מ"</f>
        <v>אלתא מערכות בע"מ</v>
      </c>
      <c r="I2504" t="str">
        <f>"10"</f>
        <v>10</v>
      </c>
      <c r="J2504" t="str">
        <f>"OP-AR02118"</f>
        <v>OP-AR02118</v>
      </c>
      <c r="K2504" t="str">
        <f>"1032F934-001/-   ETHERNET CABLE MFR-W934 - FILTE"</f>
        <v>1032F934-001/-   ETHERNET CABLE MFR-W934 - FILTE</v>
      </c>
      <c r="L2504">
        <v>1</v>
      </c>
      <c r="M2504" t="str">
        <f>"יח"</f>
        <v>יח</v>
      </c>
      <c r="N2504">
        <v>1</v>
      </c>
      <c r="O2504" t="str">
        <f>"יח"</f>
        <v>יח</v>
      </c>
      <c r="P2504">
        <v>176.77</v>
      </c>
      <c r="Q2504" t="str">
        <f>"$"</f>
        <v>$</v>
      </c>
      <c r="R2504" t="str">
        <f>"הזמנה"</f>
        <v>הזמנה</v>
      </c>
      <c r="S2504">
        <v>0</v>
      </c>
      <c r="T2504">
        <v>176.77</v>
      </c>
      <c r="U2504">
        <v>0</v>
      </c>
      <c r="V2504">
        <v>176.77</v>
      </c>
      <c r="W2504" t="str">
        <f>"$"</f>
        <v>$</v>
      </c>
      <c r="X2504">
        <v>0</v>
      </c>
      <c r="Y2504">
        <v>0</v>
      </c>
      <c r="Z2504">
        <v>0</v>
      </c>
      <c r="AA2504" t="str">
        <f>"Y"</f>
        <v>Y</v>
      </c>
      <c r="AC2504">
        <v>0</v>
      </c>
      <c r="AM2504" t="str">
        <f>"10"</f>
        <v>10</v>
      </c>
      <c r="AN2504" t="str">
        <f>"500000"</f>
        <v>500000</v>
      </c>
      <c r="AO2504" t="str">
        <f>"הכנסות  מלקוחות"</f>
        <v>הכנסות  מלקוחות</v>
      </c>
      <c r="AQ2504" t="str">
        <f>"034"</f>
        <v>034</v>
      </c>
      <c r="AR2504">
        <v>0</v>
      </c>
      <c r="AS2504">
        <v>0</v>
      </c>
      <c r="AT2504">
        <v>3.2610000000000001</v>
      </c>
      <c r="BB2504" t="str">
        <f>"Y"</f>
        <v>Y</v>
      </c>
      <c r="BD2504" t="str">
        <f>"ערן שלו"</f>
        <v>ערן שלו</v>
      </c>
    </row>
    <row r="2505" spans="1:56" x14ac:dyDescent="0.3">
      <c r="A2505" s="1">
        <v>44377</v>
      </c>
      <c r="B2505" t="str">
        <f>"SI216000940"</f>
        <v>SI216000940</v>
      </c>
      <c r="C2505" t="str">
        <f>"PR20000834"</f>
        <v>PR20000834</v>
      </c>
      <c r="E2505" t="str">
        <f>"Y"</f>
        <v>Y</v>
      </c>
      <c r="F2505" t="str">
        <f>"חשבוניות מרכזות"</f>
        <v>חשבוניות מרכזות</v>
      </c>
      <c r="G2505" t="str">
        <f>"700065"</f>
        <v>700065</v>
      </c>
      <c r="H2505" t="str">
        <f>"אלתא מערכות בע""מ"</f>
        <v>אלתא מערכות בע"מ</v>
      </c>
      <c r="I2505" t="str">
        <f>"10"</f>
        <v>10</v>
      </c>
      <c r="J2505" t="str">
        <f>"OP-AR02119"</f>
        <v>OP-AR02119</v>
      </c>
      <c r="K2505" t="str">
        <f>"1032F935-001/-   ETHERNET CABLE MFR-W935 - FILTE"</f>
        <v>1032F935-001/-   ETHERNET CABLE MFR-W935 - FILTE</v>
      </c>
      <c r="L2505">
        <v>1</v>
      </c>
      <c r="M2505" t="str">
        <f>"יח"</f>
        <v>יח</v>
      </c>
      <c r="N2505">
        <v>1</v>
      </c>
      <c r="O2505" t="str">
        <f>"יח"</f>
        <v>יח</v>
      </c>
      <c r="P2505">
        <v>174</v>
      </c>
      <c r="Q2505" t="str">
        <f>"$"</f>
        <v>$</v>
      </c>
      <c r="R2505" t="str">
        <f>"הזמנה"</f>
        <v>הזמנה</v>
      </c>
      <c r="S2505">
        <v>0</v>
      </c>
      <c r="T2505">
        <v>174</v>
      </c>
      <c r="U2505">
        <v>0</v>
      </c>
      <c r="V2505">
        <v>174</v>
      </c>
      <c r="W2505" t="str">
        <f>"$"</f>
        <v>$</v>
      </c>
      <c r="X2505">
        <v>0</v>
      </c>
      <c r="Y2505">
        <v>0</v>
      </c>
      <c r="Z2505">
        <v>0</v>
      </c>
      <c r="AA2505" t="str">
        <f>"Y"</f>
        <v>Y</v>
      </c>
      <c r="AC2505">
        <v>0</v>
      </c>
      <c r="AM2505" t="str">
        <f>"10"</f>
        <v>10</v>
      </c>
      <c r="AN2505" t="str">
        <f>"500000"</f>
        <v>500000</v>
      </c>
      <c r="AO2505" t="str">
        <f>"הכנסות  מלקוחות"</f>
        <v>הכנסות  מלקוחות</v>
      </c>
      <c r="AQ2505" t="str">
        <f>"034"</f>
        <v>034</v>
      </c>
      <c r="AR2505">
        <v>0</v>
      </c>
      <c r="AS2505">
        <v>0</v>
      </c>
      <c r="AT2505">
        <v>3.2610000000000001</v>
      </c>
      <c r="BB2505" t="str">
        <f>"Y"</f>
        <v>Y</v>
      </c>
      <c r="BD2505" t="str">
        <f>"ערן שלו"</f>
        <v>ערן שלו</v>
      </c>
    </row>
    <row r="2506" spans="1:56" x14ac:dyDescent="0.3">
      <c r="A2506" s="1">
        <v>44377</v>
      </c>
      <c r="B2506" t="str">
        <f>"SI216000940"</f>
        <v>SI216000940</v>
      </c>
      <c r="C2506" t="str">
        <f>"PR20000834"</f>
        <v>PR20000834</v>
      </c>
      <c r="E2506" t="str">
        <f>"Y"</f>
        <v>Y</v>
      </c>
      <c r="F2506" t="str">
        <f>"חשבוניות מרכזות"</f>
        <v>חשבוניות מרכזות</v>
      </c>
      <c r="G2506" t="str">
        <f>"700065"</f>
        <v>700065</v>
      </c>
      <c r="H2506" t="str">
        <f>"אלתא מערכות בע""מ"</f>
        <v>אלתא מערכות בע"מ</v>
      </c>
      <c r="I2506" t="str">
        <f>"10"</f>
        <v>10</v>
      </c>
      <c r="J2506" t="str">
        <f>"OP-AR02120"</f>
        <v>OP-AR02120</v>
      </c>
      <c r="K2506" t="str">
        <f>"1032F936-001/-   ETHERNET CABLE MFR-W936 - FILTE"</f>
        <v>1032F936-001/-   ETHERNET CABLE MFR-W936 - FILTE</v>
      </c>
      <c r="L2506">
        <v>1</v>
      </c>
      <c r="M2506" t="str">
        <f>"יח"</f>
        <v>יח</v>
      </c>
      <c r="N2506">
        <v>1</v>
      </c>
      <c r="O2506" t="str">
        <f>"יח"</f>
        <v>יח</v>
      </c>
      <c r="P2506">
        <v>176.77</v>
      </c>
      <c r="Q2506" t="str">
        <f>"$"</f>
        <v>$</v>
      </c>
      <c r="R2506" t="str">
        <f>"הזמנה"</f>
        <v>הזמנה</v>
      </c>
      <c r="S2506">
        <v>0</v>
      </c>
      <c r="T2506">
        <v>176.77</v>
      </c>
      <c r="U2506">
        <v>0</v>
      </c>
      <c r="V2506">
        <v>176.77</v>
      </c>
      <c r="W2506" t="str">
        <f>"$"</f>
        <v>$</v>
      </c>
      <c r="X2506">
        <v>0</v>
      </c>
      <c r="Y2506">
        <v>0</v>
      </c>
      <c r="Z2506">
        <v>0</v>
      </c>
      <c r="AA2506" t="str">
        <f>"Y"</f>
        <v>Y</v>
      </c>
      <c r="AC2506">
        <v>0</v>
      </c>
      <c r="AM2506" t="str">
        <f>"10"</f>
        <v>10</v>
      </c>
      <c r="AN2506" t="str">
        <f>"500000"</f>
        <v>500000</v>
      </c>
      <c r="AO2506" t="str">
        <f>"הכנסות  מלקוחות"</f>
        <v>הכנסות  מלקוחות</v>
      </c>
      <c r="AQ2506" t="str">
        <f>"034"</f>
        <v>034</v>
      </c>
      <c r="AR2506">
        <v>0</v>
      </c>
      <c r="AS2506">
        <v>0</v>
      </c>
      <c r="AT2506">
        <v>3.2610000000000001</v>
      </c>
      <c r="BB2506" t="str">
        <f>"Y"</f>
        <v>Y</v>
      </c>
      <c r="BD2506" t="str">
        <f>"ערן שלו"</f>
        <v>ערן שלו</v>
      </c>
    </row>
    <row r="2507" spans="1:56" x14ac:dyDescent="0.3">
      <c r="A2507" s="1">
        <v>44377</v>
      </c>
      <c r="B2507" t="str">
        <f>"SI216000940"</f>
        <v>SI216000940</v>
      </c>
      <c r="C2507" t="str">
        <f>"PR20000834"</f>
        <v>PR20000834</v>
      </c>
      <c r="E2507" t="str">
        <f>"Y"</f>
        <v>Y</v>
      </c>
      <c r="F2507" t="str">
        <f>"חשבוניות מרכזות"</f>
        <v>חשבוניות מרכזות</v>
      </c>
      <c r="G2507" t="str">
        <f>"700065"</f>
        <v>700065</v>
      </c>
      <c r="H2507" t="str">
        <f>"אלתא מערכות בע""מ"</f>
        <v>אלתא מערכות בע"מ</v>
      </c>
      <c r="I2507" t="str">
        <f>"10"</f>
        <v>10</v>
      </c>
      <c r="J2507" t="str">
        <f>"OP-AR02121"</f>
        <v>OP-AR02121</v>
      </c>
      <c r="K2507" t="str">
        <f>"1032F937-001/-   ETHERNET CABLE MFR-W937 - FILTE"</f>
        <v>1032F937-001/-   ETHERNET CABLE MFR-W937 - FILTE</v>
      </c>
      <c r="L2507">
        <v>1</v>
      </c>
      <c r="M2507" t="str">
        <f>"יח"</f>
        <v>יח</v>
      </c>
      <c r="N2507">
        <v>1</v>
      </c>
      <c r="O2507" t="str">
        <f>"יח"</f>
        <v>יח</v>
      </c>
      <c r="P2507">
        <v>174</v>
      </c>
      <c r="Q2507" t="str">
        <f>"$"</f>
        <v>$</v>
      </c>
      <c r="R2507" t="str">
        <f>"הזמנה"</f>
        <v>הזמנה</v>
      </c>
      <c r="S2507">
        <v>0</v>
      </c>
      <c r="T2507">
        <v>174</v>
      </c>
      <c r="U2507">
        <v>0</v>
      </c>
      <c r="V2507">
        <v>174</v>
      </c>
      <c r="W2507" t="str">
        <f>"$"</f>
        <v>$</v>
      </c>
      <c r="X2507">
        <v>0</v>
      </c>
      <c r="Y2507">
        <v>0</v>
      </c>
      <c r="Z2507">
        <v>0</v>
      </c>
      <c r="AA2507" t="str">
        <f>"Y"</f>
        <v>Y</v>
      </c>
      <c r="AC2507">
        <v>0</v>
      </c>
      <c r="AM2507" t="str">
        <f>"10"</f>
        <v>10</v>
      </c>
      <c r="AN2507" t="str">
        <f>"500000"</f>
        <v>500000</v>
      </c>
      <c r="AO2507" t="str">
        <f>"הכנסות  מלקוחות"</f>
        <v>הכנסות  מלקוחות</v>
      </c>
      <c r="AQ2507" t="str">
        <f>"034"</f>
        <v>034</v>
      </c>
      <c r="AR2507">
        <v>0</v>
      </c>
      <c r="AS2507">
        <v>0</v>
      </c>
      <c r="AT2507">
        <v>3.2610000000000001</v>
      </c>
      <c r="BB2507" t="str">
        <f>"Y"</f>
        <v>Y</v>
      </c>
      <c r="BD2507" t="str">
        <f>"ערן שלו"</f>
        <v>ערן שלו</v>
      </c>
    </row>
    <row r="2508" spans="1:56" x14ac:dyDescent="0.3">
      <c r="A2508" s="1">
        <v>44377</v>
      </c>
      <c r="B2508" t="str">
        <f>"SI216000940"</f>
        <v>SI216000940</v>
      </c>
      <c r="C2508" t="str">
        <f>"PR20000834"</f>
        <v>PR20000834</v>
      </c>
      <c r="E2508" t="str">
        <f>"Y"</f>
        <v>Y</v>
      </c>
      <c r="F2508" t="str">
        <f>"חשבוניות מרכזות"</f>
        <v>חשבוניות מרכזות</v>
      </c>
      <c r="G2508" t="str">
        <f>"700065"</f>
        <v>700065</v>
      </c>
      <c r="H2508" t="str">
        <f>"אלתא מערכות בע""מ"</f>
        <v>אלתא מערכות בע"מ</v>
      </c>
      <c r="I2508" t="str">
        <f>"10"</f>
        <v>10</v>
      </c>
      <c r="J2508" t="str">
        <f>"OP-AR02122"</f>
        <v>OP-AR02122</v>
      </c>
      <c r="K2508" t="str">
        <f>"1032F938-001/-   ETHERNET CABLE MFR-W938 - FILTE"</f>
        <v>1032F938-001/-   ETHERNET CABLE MFR-W938 - FILTE</v>
      </c>
      <c r="L2508">
        <v>1</v>
      </c>
      <c r="M2508" t="str">
        <f>"יח"</f>
        <v>יח</v>
      </c>
      <c r="N2508">
        <v>1</v>
      </c>
      <c r="O2508" t="str">
        <f>"יח"</f>
        <v>יח</v>
      </c>
      <c r="P2508">
        <v>174</v>
      </c>
      <c r="Q2508" t="str">
        <f>"$"</f>
        <v>$</v>
      </c>
      <c r="R2508" t="str">
        <f>"הזמנה"</f>
        <v>הזמנה</v>
      </c>
      <c r="S2508">
        <v>0</v>
      </c>
      <c r="T2508">
        <v>174</v>
      </c>
      <c r="U2508">
        <v>0</v>
      </c>
      <c r="V2508">
        <v>174</v>
      </c>
      <c r="W2508" t="str">
        <f>"$"</f>
        <v>$</v>
      </c>
      <c r="X2508">
        <v>0</v>
      </c>
      <c r="Y2508">
        <v>0</v>
      </c>
      <c r="Z2508">
        <v>0</v>
      </c>
      <c r="AA2508" t="str">
        <f>"Y"</f>
        <v>Y</v>
      </c>
      <c r="AC2508">
        <v>0</v>
      </c>
      <c r="AM2508" t="str">
        <f>"10"</f>
        <v>10</v>
      </c>
      <c r="AN2508" t="str">
        <f>"500000"</f>
        <v>500000</v>
      </c>
      <c r="AO2508" t="str">
        <f>"הכנסות  מלקוחות"</f>
        <v>הכנסות  מלקוחות</v>
      </c>
      <c r="AQ2508" t="str">
        <f>"034"</f>
        <v>034</v>
      </c>
      <c r="AR2508">
        <v>0</v>
      </c>
      <c r="AS2508">
        <v>0</v>
      </c>
      <c r="AT2508">
        <v>3.2610000000000001</v>
      </c>
      <c r="BB2508" t="str">
        <f>"Y"</f>
        <v>Y</v>
      </c>
      <c r="BD2508" t="str">
        <f>"ערן שלו"</f>
        <v>ערן שלו</v>
      </c>
    </row>
    <row r="2509" spans="1:56" x14ac:dyDescent="0.3">
      <c r="A2509" s="1">
        <v>44377</v>
      </c>
      <c r="B2509" t="str">
        <f>"SI216000940"</f>
        <v>SI216000940</v>
      </c>
      <c r="C2509" t="str">
        <f>"PR20000834"</f>
        <v>PR20000834</v>
      </c>
      <c r="E2509" t="str">
        <f>"Y"</f>
        <v>Y</v>
      </c>
      <c r="F2509" t="str">
        <f>"חשבוניות מרכזות"</f>
        <v>חשבוניות מרכזות</v>
      </c>
      <c r="G2509" t="str">
        <f>"700065"</f>
        <v>700065</v>
      </c>
      <c r="H2509" t="str">
        <f>"אלתא מערכות בע""מ"</f>
        <v>אלתא מערכות בע"מ</v>
      </c>
      <c r="I2509" t="str">
        <f>"10"</f>
        <v>10</v>
      </c>
      <c r="J2509" t="str">
        <f>"OP-AR02123"</f>
        <v>OP-AR02123</v>
      </c>
      <c r="K2509" t="str">
        <f>"1032F939-001/-   ETHERNET CABLE MFR-W939 - FILTE"</f>
        <v>1032F939-001/-   ETHERNET CABLE MFR-W939 - FILTE</v>
      </c>
      <c r="L2509">
        <v>1</v>
      </c>
      <c r="M2509" t="str">
        <f>"יח"</f>
        <v>יח</v>
      </c>
      <c r="N2509">
        <v>1</v>
      </c>
      <c r="O2509" t="str">
        <f>"יח"</f>
        <v>יח</v>
      </c>
      <c r="P2509">
        <v>174</v>
      </c>
      <c r="Q2509" t="str">
        <f>"$"</f>
        <v>$</v>
      </c>
      <c r="R2509" t="str">
        <f>"הזמנה"</f>
        <v>הזמנה</v>
      </c>
      <c r="S2509">
        <v>0</v>
      </c>
      <c r="T2509">
        <v>174</v>
      </c>
      <c r="U2509">
        <v>0</v>
      </c>
      <c r="V2509">
        <v>174</v>
      </c>
      <c r="W2509" t="str">
        <f>"$"</f>
        <v>$</v>
      </c>
      <c r="X2509">
        <v>0</v>
      </c>
      <c r="Y2509">
        <v>0</v>
      </c>
      <c r="Z2509">
        <v>0</v>
      </c>
      <c r="AA2509" t="str">
        <f>"Y"</f>
        <v>Y</v>
      </c>
      <c r="AC2509">
        <v>0</v>
      </c>
      <c r="AM2509" t="str">
        <f>"10"</f>
        <v>10</v>
      </c>
      <c r="AN2509" t="str">
        <f>"500000"</f>
        <v>500000</v>
      </c>
      <c r="AO2509" t="str">
        <f>"הכנסות  מלקוחות"</f>
        <v>הכנסות  מלקוחות</v>
      </c>
      <c r="AQ2509" t="str">
        <f>"034"</f>
        <v>034</v>
      </c>
      <c r="AR2509">
        <v>0</v>
      </c>
      <c r="AS2509">
        <v>0</v>
      </c>
      <c r="AT2509">
        <v>3.2610000000000001</v>
      </c>
      <c r="BB2509" t="str">
        <f>"Y"</f>
        <v>Y</v>
      </c>
      <c r="BD2509" t="str">
        <f>"ערן שלו"</f>
        <v>ערן שלו</v>
      </c>
    </row>
    <row r="2510" spans="1:56" x14ac:dyDescent="0.3">
      <c r="A2510" s="1">
        <v>44377</v>
      </c>
      <c r="B2510" t="str">
        <f>"SI216000940"</f>
        <v>SI216000940</v>
      </c>
      <c r="C2510" t="str">
        <f>"PR20000834"</f>
        <v>PR20000834</v>
      </c>
      <c r="E2510" t="str">
        <f>"Y"</f>
        <v>Y</v>
      </c>
      <c r="F2510" t="str">
        <f>"חשבוניות מרכזות"</f>
        <v>חשבוניות מרכזות</v>
      </c>
      <c r="G2510" t="str">
        <f>"700065"</f>
        <v>700065</v>
      </c>
      <c r="H2510" t="str">
        <f>"אלתא מערכות בע""מ"</f>
        <v>אלתא מערכות בע"מ</v>
      </c>
      <c r="I2510" t="str">
        <f>"10"</f>
        <v>10</v>
      </c>
      <c r="J2510" t="str">
        <f>"OP-AR02124"</f>
        <v>OP-AR02124</v>
      </c>
      <c r="K2510" t="str">
        <f>"1032F940-001/-   ETHERNET CABLE MFR-W940 - FILTE"</f>
        <v>1032F940-001/-   ETHERNET CABLE MFR-W940 - FILTE</v>
      </c>
      <c r="L2510">
        <v>1</v>
      </c>
      <c r="M2510" t="str">
        <f>"יח"</f>
        <v>יח</v>
      </c>
      <c r="N2510">
        <v>1</v>
      </c>
      <c r="O2510" t="str">
        <f>"יח"</f>
        <v>יח</v>
      </c>
      <c r="P2510">
        <v>174</v>
      </c>
      <c r="Q2510" t="str">
        <f>"$"</f>
        <v>$</v>
      </c>
      <c r="R2510" t="str">
        <f>"הזמנה"</f>
        <v>הזמנה</v>
      </c>
      <c r="S2510">
        <v>0</v>
      </c>
      <c r="T2510">
        <v>174</v>
      </c>
      <c r="U2510">
        <v>0</v>
      </c>
      <c r="V2510">
        <v>174</v>
      </c>
      <c r="W2510" t="str">
        <f>"$"</f>
        <v>$</v>
      </c>
      <c r="X2510">
        <v>0</v>
      </c>
      <c r="Y2510">
        <v>0</v>
      </c>
      <c r="Z2510">
        <v>0</v>
      </c>
      <c r="AA2510" t="str">
        <f>"Y"</f>
        <v>Y</v>
      </c>
      <c r="AC2510">
        <v>0</v>
      </c>
      <c r="AM2510" t="str">
        <f>"10"</f>
        <v>10</v>
      </c>
      <c r="AN2510" t="str">
        <f>"500000"</f>
        <v>500000</v>
      </c>
      <c r="AO2510" t="str">
        <f>"הכנסות  מלקוחות"</f>
        <v>הכנסות  מלקוחות</v>
      </c>
      <c r="AQ2510" t="str">
        <f>"034"</f>
        <v>034</v>
      </c>
      <c r="AR2510">
        <v>0</v>
      </c>
      <c r="AS2510">
        <v>0</v>
      </c>
      <c r="AT2510">
        <v>3.2610000000000001</v>
      </c>
      <c r="BB2510" t="str">
        <f>"Y"</f>
        <v>Y</v>
      </c>
      <c r="BD2510" t="str">
        <f>"ערן שלו"</f>
        <v>ערן שלו</v>
      </c>
    </row>
    <row r="2511" spans="1:56" x14ac:dyDescent="0.3">
      <c r="A2511" s="1">
        <v>44377</v>
      </c>
      <c r="B2511" t="str">
        <f>"SI216000940"</f>
        <v>SI216000940</v>
      </c>
      <c r="C2511" t="str">
        <f>"PR20000834"</f>
        <v>PR20000834</v>
      </c>
      <c r="E2511" t="str">
        <f>"Y"</f>
        <v>Y</v>
      </c>
      <c r="F2511" t="str">
        <f>"חשבוניות מרכזות"</f>
        <v>חשבוניות מרכזות</v>
      </c>
      <c r="G2511" t="str">
        <f>"700065"</f>
        <v>700065</v>
      </c>
      <c r="H2511" t="str">
        <f>"אלתא מערכות בע""מ"</f>
        <v>אלתא מערכות בע"מ</v>
      </c>
      <c r="I2511" t="str">
        <f>"10"</f>
        <v>10</v>
      </c>
      <c r="J2511" t="str">
        <f>"OP-AR02125"</f>
        <v>OP-AR02125</v>
      </c>
      <c r="K2511" t="str">
        <f>"1032F941-001/-   ETHERNET CABLE MFR-W941 - FILTE"</f>
        <v>1032F941-001/-   ETHERNET CABLE MFR-W941 - FILTE</v>
      </c>
      <c r="L2511">
        <v>1</v>
      </c>
      <c r="M2511" t="str">
        <f>"יח"</f>
        <v>יח</v>
      </c>
      <c r="N2511">
        <v>1</v>
      </c>
      <c r="O2511" t="str">
        <f>"יח"</f>
        <v>יח</v>
      </c>
      <c r="P2511">
        <v>174</v>
      </c>
      <c r="Q2511" t="str">
        <f>"$"</f>
        <v>$</v>
      </c>
      <c r="R2511" t="str">
        <f>"הזמנה"</f>
        <v>הזמנה</v>
      </c>
      <c r="S2511">
        <v>0</v>
      </c>
      <c r="T2511">
        <v>174</v>
      </c>
      <c r="U2511">
        <v>0</v>
      </c>
      <c r="V2511">
        <v>174</v>
      </c>
      <c r="W2511" t="str">
        <f>"$"</f>
        <v>$</v>
      </c>
      <c r="X2511">
        <v>0</v>
      </c>
      <c r="Y2511">
        <v>0</v>
      </c>
      <c r="Z2511">
        <v>0</v>
      </c>
      <c r="AA2511" t="str">
        <f>"Y"</f>
        <v>Y</v>
      </c>
      <c r="AC2511">
        <v>0</v>
      </c>
      <c r="AM2511" t="str">
        <f>"10"</f>
        <v>10</v>
      </c>
      <c r="AN2511" t="str">
        <f>"500000"</f>
        <v>500000</v>
      </c>
      <c r="AO2511" t="str">
        <f>"הכנסות  מלקוחות"</f>
        <v>הכנסות  מלקוחות</v>
      </c>
      <c r="AQ2511" t="str">
        <f>"034"</f>
        <v>034</v>
      </c>
      <c r="AR2511">
        <v>0</v>
      </c>
      <c r="AS2511">
        <v>0</v>
      </c>
      <c r="AT2511">
        <v>3.2610000000000001</v>
      </c>
      <c r="BB2511" t="str">
        <f>"Y"</f>
        <v>Y</v>
      </c>
      <c r="BD2511" t="str">
        <f>"ערן שלו"</f>
        <v>ערן שלו</v>
      </c>
    </row>
    <row r="2512" spans="1:56" x14ac:dyDescent="0.3">
      <c r="A2512" s="1">
        <v>44377</v>
      </c>
      <c r="B2512" t="str">
        <f>"SI216000940"</f>
        <v>SI216000940</v>
      </c>
      <c r="C2512" t="str">
        <f>"PR20000834"</f>
        <v>PR20000834</v>
      </c>
      <c r="E2512" t="str">
        <f>"Y"</f>
        <v>Y</v>
      </c>
      <c r="F2512" t="str">
        <f>"חשבוניות מרכזות"</f>
        <v>חשבוניות מרכזות</v>
      </c>
      <c r="G2512" t="str">
        <f>"700065"</f>
        <v>700065</v>
      </c>
      <c r="H2512" t="str">
        <f>"אלתא מערכות בע""מ"</f>
        <v>אלתא מערכות בע"מ</v>
      </c>
      <c r="I2512" t="str">
        <f>"10"</f>
        <v>10</v>
      </c>
      <c r="J2512" t="str">
        <f>"OP-AR02126"</f>
        <v>OP-AR02126</v>
      </c>
      <c r="K2512" t="str">
        <f>"1032F942-001/-   ETHERNET CABLE MFR-W942 - FILTE"</f>
        <v>1032F942-001/-   ETHERNET CABLE MFR-W942 - FILTE</v>
      </c>
      <c r="L2512">
        <v>2</v>
      </c>
      <c r="M2512" t="str">
        <f>"יח"</f>
        <v>יח</v>
      </c>
      <c r="N2512">
        <v>2</v>
      </c>
      <c r="O2512" t="str">
        <f>"יח"</f>
        <v>יח</v>
      </c>
      <c r="P2512">
        <v>174</v>
      </c>
      <c r="Q2512" t="str">
        <f>"$"</f>
        <v>$</v>
      </c>
      <c r="R2512" t="str">
        <f>"הזמנה"</f>
        <v>הזמנה</v>
      </c>
      <c r="S2512">
        <v>0</v>
      </c>
      <c r="T2512">
        <v>348</v>
      </c>
      <c r="U2512">
        <v>0</v>
      </c>
      <c r="V2512">
        <v>348</v>
      </c>
      <c r="W2512" t="str">
        <f>"$"</f>
        <v>$</v>
      </c>
      <c r="X2512">
        <v>0</v>
      </c>
      <c r="Y2512">
        <v>0</v>
      </c>
      <c r="Z2512">
        <v>0</v>
      </c>
      <c r="AA2512" t="str">
        <f>"Y"</f>
        <v>Y</v>
      </c>
      <c r="AC2512">
        <v>0</v>
      </c>
      <c r="AM2512" t="str">
        <f>"10"</f>
        <v>10</v>
      </c>
      <c r="AN2512" t="str">
        <f>"500000"</f>
        <v>500000</v>
      </c>
      <c r="AO2512" t="str">
        <f>"הכנסות  מלקוחות"</f>
        <v>הכנסות  מלקוחות</v>
      </c>
      <c r="AQ2512" t="str">
        <f>"034"</f>
        <v>034</v>
      </c>
      <c r="AR2512">
        <v>0</v>
      </c>
      <c r="AS2512">
        <v>0</v>
      </c>
      <c r="AT2512">
        <v>3.2610000000000001</v>
      </c>
      <c r="BB2512" t="str">
        <f>"Y"</f>
        <v>Y</v>
      </c>
      <c r="BD2512" t="str">
        <f>"ערן שלו"</f>
        <v>ערן שלו</v>
      </c>
    </row>
    <row r="2513" spans="1:56" x14ac:dyDescent="0.3">
      <c r="A2513" s="1">
        <v>44377</v>
      </c>
      <c r="B2513" t="str">
        <f>"SI216000940"</f>
        <v>SI216000940</v>
      </c>
      <c r="C2513" t="str">
        <f>"PR20000834"</f>
        <v>PR20000834</v>
      </c>
      <c r="E2513" t="str">
        <f>"Y"</f>
        <v>Y</v>
      </c>
      <c r="F2513" t="str">
        <f>"חשבוניות מרכזות"</f>
        <v>חשבוניות מרכזות</v>
      </c>
      <c r="G2513" t="str">
        <f>"700065"</f>
        <v>700065</v>
      </c>
      <c r="H2513" t="str">
        <f>"אלתא מערכות בע""מ"</f>
        <v>אלתא מערכות בע"מ</v>
      </c>
      <c r="I2513" t="str">
        <f>"10"</f>
        <v>10</v>
      </c>
      <c r="J2513" t="str">
        <f>"OP-AR02127"</f>
        <v>OP-AR02127</v>
      </c>
      <c r="K2513" t="str">
        <f>"1032F943-001/-   ETHERNET CABLE MFR-W943 - FILTE"</f>
        <v>1032F943-001/-   ETHERNET CABLE MFR-W943 - FILTE</v>
      </c>
      <c r="L2513">
        <v>2</v>
      </c>
      <c r="M2513" t="str">
        <f>"יח"</f>
        <v>יח</v>
      </c>
      <c r="N2513">
        <v>2</v>
      </c>
      <c r="O2513" t="str">
        <f>"יח"</f>
        <v>יח</v>
      </c>
      <c r="P2513">
        <v>174</v>
      </c>
      <c r="Q2513" t="str">
        <f>"$"</f>
        <v>$</v>
      </c>
      <c r="R2513" t="str">
        <f>"הזמנה"</f>
        <v>הזמנה</v>
      </c>
      <c r="S2513">
        <v>0</v>
      </c>
      <c r="T2513">
        <v>348</v>
      </c>
      <c r="U2513">
        <v>0</v>
      </c>
      <c r="V2513">
        <v>348</v>
      </c>
      <c r="W2513" t="str">
        <f>"$"</f>
        <v>$</v>
      </c>
      <c r="X2513">
        <v>0</v>
      </c>
      <c r="Y2513">
        <v>0</v>
      </c>
      <c r="Z2513">
        <v>0</v>
      </c>
      <c r="AA2513" t="str">
        <f>"Y"</f>
        <v>Y</v>
      </c>
      <c r="AC2513">
        <v>0</v>
      </c>
      <c r="AM2513" t="str">
        <f>"10"</f>
        <v>10</v>
      </c>
      <c r="AN2513" t="str">
        <f>"500000"</f>
        <v>500000</v>
      </c>
      <c r="AO2513" t="str">
        <f>"הכנסות  מלקוחות"</f>
        <v>הכנסות  מלקוחות</v>
      </c>
      <c r="AQ2513" t="str">
        <f>"034"</f>
        <v>034</v>
      </c>
      <c r="AR2513">
        <v>0</v>
      </c>
      <c r="AS2513">
        <v>0</v>
      </c>
      <c r="AT2513">
        <v>3.2610000000000001</v>
      </c>
      <c r="BB2513" t="str">
        <f>"Y"</f>
        <v>Y</v>
      </c>
      <c r="BD2513" t="str">
        <f>"ערן שלו"</f>
        <v>ערן שלו</v>
      </c>
    </row>
    <row r="2514" spans="1:56" x14ac:dyDescent="0.3">
      <c r="A2514" s="1">
        <v>44377</v>
      </c>
      <c r="B2514" t="str">
        <f>"SI216000940"</f>
        <v>SI216000940</v>
      </c>
      <c r="C2514" t="str">
        <f>"PR20000834"</f>
        <v>PR20000834</v>
      </c>
      <c r="E2514" t="str">
        <f>"Y"</f>
        <v>Y</v>
      </c>
      <c r="F2514" t="str">
        <f>"חשבוניות מרכזות"</f>
        <v>חשבוניות מרכזות</v>
      </c>
      <c r="G2514" t="str">
        <f>"700065"</f>
        <v>700065</v>
      </c>
      <c r="H2514" t="str">
        <f>"אלתא מערכות בע""מ"</f>
        <v>אלתא מערכות בע"מ</v>
      </c>
      <c r="I2514" t="str">
        <f>"10"</f>
        <v>10</v>
      </c>
      <c r="J2514" t="str">
        <f>"OP-AR02128"</f>
        <v>OP-AR02128</v>
      </c>
      <c r="K2514" t="str">
        <f>"1032F944-001/-   ETHERNET CABLE MFR-W944 - FILTE"</f>
        <v>1032F944-001/-   ETHERNET CABLE MFR-W944 - FILTE</v>
      </c>
      <c r="L2514">
        <v>2</v>
      </c>
      <c r="M2514" t="str">
        <f>"יח"</f>
        <v>יח</v>
      </c>
      <c r="N2514">
        <v>2</v>
      </c>
      <c r="O2514" t="str">
        <f>"יח"</f>
        <v>יח</v>
      </c>
      <c r="P2514">
        <v>174</v>
      </c>
      <c r="Q2514" t="str">
        <f>"$"</f>
        <v>$</v>
      </c>
      <c r="R2514" t="str">
        <f>"הזמנה"</f>
        <v>הזמנה</v>
      </c>
      <c r="S2514">
        <v>0</v>
      </c>
      <c r="T2514">
        <v>348</v>
      </c>
      <c r="U2514">
        <v>0</v>
      </c>
      <c r="V2514">
        <v>348</v>
      </c>
      <c r="W2514" t="str">
        <f>"$"</f>
        <v>$</v>
      </c>
      <c r="X2514">
        <v>0</v>
      </c>
      <c r="Y2514">
        <v>0</v>
      </c>
      <c r="Z2514">
        <v>0</v>
      </c>
      <c r="AA2514" t="str">
        <f>"Y"</f>
        <v>Y</v>
      </c>
      <c r="AC2514">
        <v>0</v>
      </c>
      <c r="AM2514" t="str">
        <f>"10"</f>
        <v>10</v>
      </c>
      <c r="AN2514" t="str">
        <f>"500000"</f>
        <v>500000</v>
      </c>
      <c r="AO2514" t="str">
        <f>"הכנסות  מלקוחות"</f>
        <v>הכנסות  מלקוחות</v>
      </c>
      <c r="AQ2514" t="str">
        <f>"034"</f>
        <v>034</v>
      </c>
      <c r="AR2514">
        <v>0</v>
      </c>
      <c r="AS2514">
        <v>0</v>
      </c>
      <c r="AT2514">
        <v>3.2610000000000001</v>
      </c>
      <c r="BB2514" t="str">
        <f>"Y"</f>
        <v>Y</v>
      </c>
      <c r="BD2514" t="str">
        <f>"ערן שלו"</f>
        <v>ערן שלו</v>
      </c>
    </row>
    <row r="2515" spans="1:56" x14ac:dyDescent="0.3">
      <c r="A2515" s="1">
        <v>44377</v>
      </c>
      <c r="B2515" t="str">
        <f>"SI216000940"</f>
        <v>SI216000940</v>
      </c>
      <c r="C2515" t="str">
        <f>"PR20000834"</f>
        <v>PR20000834</v>
      </c>
      <c r="E2515" t="str">
        <f>"Y"</f>
        <v>Y</v>
      </c>
      <c r="F2515" t="str">
        <f>"חשבוניות מרכזות"</f>
        <v>חשבוניות מרכזות</v>
      </c>
      <c r="G2515" t="str">
        <f>"700065"</f>
        <v>700065</v>
      </c>
      <c r="H2515" t="str">
        <f>"אלתא מערכות בע""מ"</f>
        <v>אלתא מערכות בע"מ</v>
      </c>
      <c r="I2515" t="str">
        <f>"10"</f>
        <v>10</v>
      </c>
      <c r="J2515" t="str">
        <f>"OP-AR02129"</f>
        <v>OP-AR02129</v>
      </c>
      <c r="K2515" t="str">
        <f>"1032F945-001/-   ETHERNET CABLE MFR-W945 - FILTE"</f>
        <v>1032F945-001/-   ETHERNET CABLE MFR-W945 - FILTE</v>
      </c>
      <c r="L2515">
        <v>2</v>
      </c>
      <c r="M2515" t="str">
        <f>"יח"</f>
        <v>יח</v>
      </c>
      <c r="N2515">
        <v>2</v>
      </c>
      <c r="O2515" t="str">
        <f>"יח"</f>
        <v>יח</v>
      </c>
      <c r="P2515">
        <v>176.77</v>
      </c>
      <c r="Q2515" t="str">
        <f>"$"</f>
        <v>$</v>
      </c>
      <c r="R2515" t="str">
        <f>"הזמנה"</f>
        <v>הזמנה</v>
      </c>
      <c r="S2515">
        <v>0</v>
      </c>
      <c r="T2515">
        <v>353.54</v>
      </c>
      <c r="U2515">
        <v>0</v>
      </c>
      <c r="V2515">
        <v>353.54</v>
      </c>
      <c r="W2515" t="str">
        <f>"$"</f>
        <v>$</v>
      </c>
      <c r="X2515">
        <v>0</v>
      </c>
      <c r="Y2515">
        <v>0</v>
      </c>
      <c r="Z2515">
        <v>0</v>
      </c>
      <c r="AA2515" t="str">
        <f>"Y"</f>
        <v>Y</v>
      </c>
      <c r="AC2515">
        <v>0</v>
      </c>
      <c r="AM2515" t="str">
        <f>"10"</f>
        <v>10</v>
      </c>
      <c r="AN2515" t="str">
        <f>"500000"</f>
        <v>500000</v>
      </c>
      <c r="AO2515" t="str">
        <f>"הכנסות  מלקוחות"</f>
        <v>הכנסות  מלקוחות</v>
      </c>
      <c r="AQ2515" t="str">
        <f>"034"</f>
        <v>034</v>
      </c>
      <c r="AR2515">
        <v>0</v>
      </c>
      <c r="AS2515">
        <v>0</v>
      </c>
      <c r="AT2515">
        <v>3.2610000000000001</v>
      </c>
      <c r="BB2515" t="str">
        <f>"Y"</f>
        <v>Y</v>
      </c>
      <c r="BD2515" t="str">
        <f>"ערן שלו"</f>
        <v>ערן שלו</v>
      </c>
    </row>
    <row r="2516" spans="1:56" x14ac:dyDescent="0.3">
      <c r="A2516" s="1">
        <v>44377</v>
      </c>
      <c r="B2516" t="str">
        <f>"SI216000940"</f>
        <v>SI216000940</v>
      </c>
      <c r="C2516" t="str">
        <f>"PR20000834"</f>
        <v>PR20000834</v>
      </c>
      <c r="E2516" t="str">
        <f>"Y"</f>
        <v>Y</v>
      </c>
      <c r="F2516" t="str">
        <f>"חשבוניות מרכזות"</f>
        <v>חשבוניות מרכזות</v>
      </c>
      <c r="G2516" t="str">
        <f>"700065"</f>
        <v>700065</v>
      </c>
      <c r="H2516" t="str">
        <f>"אלתא מערכות בע""מ"</f>
        <v>אלתא מערכות בע"מ</v>
      </c>
      <c r="I2516" t="str">
        <f>"10"</f>
        <v>10</v>
      </c>
      <c r="J2516" t="str">
        <f>"OP-AR02131"</f>
        <v>OP-AR02131</v>
      </c>
      <c r="K2516" t="str">
        <f>"1032F947-001   HARNESS MFR-W947 - TBU1 TO SENS"</f>
        <v>1032F947-001   HARNESS MFR-W947 - TBU1 TO SENS</v>
      </c>
      <c r="L2516">
        <v>7</v>
      </c>
      <c r="M2516" t="str">
        <f>"יח"</f>
        <v>יח</v>
      </c>
      <c r="N2516">
        <v>7</v>
      </c>
      <c r="O2516" t="str">
        <f>"יח"</f>
        <v>יח</v>
      </c>
      <c r="P2516">
        <v>282.2</v>
      </c>
      <c r="Q2516" t="str">
        <f>"$"</f>
        <v>$</v>
      </c>
      <c r="R2516" t="str">
        <f>"הזמנה"</f>
        <v>הזמנה</v>
      </c>
      <c r="S2516">
        <v>0</v>
      </c>
      <c r="T2516" s="2">
        <v>1975.4</v>
      </c>
      <c r="U2516">
        <v>0</v>
      </c>
      <c r="V2516" s="2">
        <v>1975.4</v>
      </c>
      <c r="W2516" t="str">
        <f>"$"</f>
        <v>$</v>
      </c>
      <c r="X2516">
        <v>0</v>
      </c>
      <c r="Y2516">
        <v>0</v>
      </c>
      <c r="Z2516">
        <v>0</v>
      </c>
      <c r="AA2516" t="str">
        <f>"Y"</f>
        <v>Y</v>
      </c>
      <c r="AC2516">
        <v>0</v>
      </c>
      <c r="AM2516" t="str">
        <f>"10"</f>
        <v>10</v>
      </c>
      <c r="AN2516" t="str">
        <f>"500000"</f>
        <v>500000</v>
      </c>
      <c r="AO2516" t="str">
        <f>"הכנסות  מלקוחות"</f>
        <v>הכנסות  מלקוחות</v>
      </c>
      <c r="AQ2516" t="str">
        <f>"034"</f>
        <v>034</v>
      </c>
      <c r="AR2516">
        <v>0</v>
      </c>
      <c r="AS2516">
        <v>0</v>
      </c>
      <c r="AT2516">
        <v>3.2610000000000001</v>
      </c>
      <c r="BB2516" t="str">
        <f>"Y"</f>
        <v>Y</v>
      </c>
      <c r="BD2516" t="str">
        <f>"ערן שלו"</f>
        <v>ערן שלו</v>
      </c>
    </row>
    <row r="2517" spans="1:56" x14ac:dyDescent="0.3">
      <c r="A2517" s="1">
        <v>44377</v>
      </c>
      <c r="B2517" t="str">
        <f>"SI216000939"</f>
        <v>SI216000939</v>
      </c>
      <c r="C2517" t="str">
        <f>"PR21000102"</f>
        <v>PR21000102</v>
      </c>
      <c r="D2517" t="str">
        <f>"PR21000102"</f>
        <v>PR21000102</v>
      </c>
      <c r="E2517" t="str">
        <f>"Y"</f>
        <v>Y</v>
      </c>
      <c r="F2517" t="str">
        <f>"חשבוניות מרכזות"</f>
        <v>חשבוניות מרכזות</v>
      </c>
      <c r="G2517" t="str">
        <f>"700065"</f>
        <v>700065</v>
      </c>
      <c r="H2517" t="str">
        <f>"אלתא מערכות בע""מ"</f>
        <v>אלתא מערכות בע"מ</v>
      </c>
      <c r="I2517" t="str">
        <f>"10"</f>
        <v>10</v>
      </c>
      <c r="J2517" t="str">
        <f>"OP-AR01702"</f>
        <v>OP-AR01702</v>
      </c>
      <c r="K2517" t="str">
        <f>"1020B584-003 P.C.U HARN/W7/ABS NC/DATA POS"</f>
        <v>1020B584-003 P.C.U HARN/W7/ABS NC/DATA POS</v>
      </c>
      <c r="L2517">
        <v>2</v>
      </c>
      <c r="M2517" t="str">
        <f>"יח"</f>
        <v>יח</v>
      </c>
      <c r="N2517">
        <v>2</v>
      </c>
      <c r="O2517" t="str">
        <f>"יח"</f>
        <v>יח</v>
      </c>
      <c r="P2517" s="2">
        <v>1552.6</v>
      </c>
      <c r="Q2517" t="str">
        <f>"$"</f>
        <v>$</v>
      </c>
      <c r="R2517" t="str">
        <f>"הזמנה"</f>
        <v>הזמנה</v>
      </c>
      <c r="S2517">
        <v>0</v>
      </c>
      <c r="T2517" s="2">
        <v>3105.2</v>
      </c>
      <c r="U2517">
        <v>0</v>
      </c>
      <c r="V2517" s="2">
        <v>3105.2</v>
      </c>
      <c r="W2517" t="str">
        <f>"$"</f>
        <v>$</v>
      </c>
      <c r="X2517">
        <v>0</v>
      </c>
      <c r="Y2517">
        <v>0</v>
      </c>
      <c r="Z2517">
        <v>0</v>
      </c>
      <c r="AA2517" t="str">
        <f>"Y"</f>
        <v>Y</v>
      </c>
      <c r="AB2517" t="str">
        <f>"SO21000049"</f>
        <v>SO21000049</v>
      </c>
      <c r="AC2517">
        <v>1</v>
      </c>
      <c r="AD2517" s="1">
        <v>44222</v>
      </c>
      <c r="AE2517" t="str">
        <f>"SH21001079"</f>
        <v>SH21001079</v>
      </c>
      <c r="AF2517" t="str">
        <f>"משלוחים ללקוח"</f>
        <v>משלוחים ללקוח</v>
      </c>
      <c r="AG2517" s="1">
        <v>44376</v>
      </c>
      <c r="AM2517" t="str">
        <f>"10"</f>
        <v>10</v>
      </c>
      <c r="AN2517" t="str">
        <f>"500000"</f>
        <v>500000</v>
      </c>
      <c r="AO2517" t="str">
        <f>"הכנסות  מלקוחות"</f>
        <v>הכנסות  מלקוחות</v>
      </c>
      <c r="AQ2517" t="str">
        <f>"034"</f>
        <v>034</v>
      </c>
      <c r="AR2517">
        <v>0</v>
      </c>
      <c r="AS2517">
        <v>0</v>
      </c>
      <c r="AT2517">
        <v>3.2610000000000001</v>
      </c>
      <c r="AX2517" t="str">
        <f>"E000330704"</f>
        <v>E000330704</v>
      </c>
      <c r="BD2517" t="str">
        <f>"ערן שלו"</f>
        <v>ערן שלו</v>
      </c>
    </row>
    <row r="2518" spans="1:56" x14ac:dyDescent="0.3">
      <c r="A2518" s="1">
        <v>44377</v>
      </c>
      <c r="B2518" t="str">
        <f>"SI216000938"</f>
        <v>SI216000938</v>
      </c>
      <c r="C2518" t="str">
        <f>"PR20000851"</f>
        <v>PR20000851</v>
      </c>
      <c r="D2518" t="str">
        <f>"PR20000851"</f>
        <v>PR20000851</v>
      </c>
      <c r="E2518" t="str">
        <f>"Y"</f>
        <v>Y</v>
      </c>
      <c r="F2518" t="str">
        <f>"חשבוניות מרכזות"</f>
        <v>חשבוניות מרכזות</v>
      </c>
      <c r="G2518" t="str">
        <f>"700065"</f>
        <v>700065</v>
      </c>
      <c r="H2518" t="str">
        <f>"אלתא מערכות בע""מ"</f>
        <v>אלתא מערכות בע"מ</v>
      </c>
      <c r="I2518" t="str">
        <f>"10"</f>
        <v>10</v>
      </c>
      <c r="J2518" t="str">
        <f>"OP-AR02155"</f>
        <v>OP-AR02155</v>
      </c>
      <c r="K2518" t="str">
        <f>"1039H803-001/-   HARNESS WY003 - MAST POWER IN"</f>
        <v>1039H803-001/-   HARNESS WY003 - MAST POWER IN</v>
      </c>
      <c r="L2518">
        <v>4</v>
      </c>
      <c r="M2518" t="str">
        <f>"יח"</f>
        <v>יח</v>
      </c>
      <c r="N2518">
        <v>4</v>
      </c>
      <c r="O2518" t="str">
        <f>"יח"</f>
        <v>יח</v>
      </c>
      <c r="P2518">
        <v>414.74</v>
      </c>
      <c r="Q2518" t="str">
        <f>"$"</f>
        <v>$</v>
      </c>
      <c r="R2518" t="str">
        <f>"הזמנה"</f>
        <v>הזמנה</v>
      </c>
      <c r="S2518">
        <v>0</v>
      </c>
      <c r="T2518" s="2">
        <v>1658.96</v>
      </c>
      <c r="U2518">
        <v>0</v>
      </c>
      <c r="V2518" s="2">
        <v>1658.96</v>
      </c>
      <c r="W2518" t="str">
        <f>"$"</f>
        <v>$</v>
      </c>
      <c r="X2518">
        <v>0</v>
      </c>
      <c r="Y2518">
        <v>0</v>
      </c>
      <c r="Z2518">
        <v>0</v>
      </c>
      <c r="AA2518" t="str">
        <f>"Y"</f>
        <v>Y</v>
      </c>
      <c r="AB2518" t="str">
        <f>"SO20000555"</f>
        <v>SO20000555</v>
      </c>
      <c r="AC2518">
        <v>3</v>
      </c>
      <c r="AD2518" s="1">
        <v>44166</v>
      </c>
      <c r="AE2518" t="str">
        <f>"SH21001049"</f>
        <v>SH21001049</v>
      </c>
      <c r="AF2518" t="str">
        <f>"משלוחים ללקוח"</f>
        <v>משלוחים ללקוח</v>
      </c>
      <c r="AG2518" s="1">
        <v>44374</v>
      </c>
      <c r="AM2518" t="str">
        <f>"10"</f>
        <v>10</v>
      </c>
      <c r="AN2518" t="str">
        <f>"500000"</f>
        <v>500000</v>
      </c>
      <c r="AO2518" t="str">
        <f>"הכנסות  מלקוחות"</f>
        <v>הכנסות  מלקוחות</v>
      </c>
      <c r="AQ2518" t="str">
        <f>"034"</f>
        <v>034</v>
      </c>
      <c r="AR2518">
        <v>0</v>
      </c>
      <c r="AS2518">
        <v>0</v>
      </c>
      <c r="AT2518">
        <v>3.2610000000000001</v>
      </c>
      <c r="AX2518" t="str">
        <f>"E000326481"</f>
        <v>E000326481</v>
      </c>
      <c r="BD2518" t="str">
        <f>"ערן שלו"</f>
        <v>ערן שלו</v>
      </c>
    </row>
    <row r="2519" spans="1:56" x14ac:dyDescent="0.3">
      <c r="A2519" s="1">
        <v>44370</v>
      </c>
      <c r="B2519" t="str">
        <f>"SI216000902"</f>
        <v>SI216000902</v>
      </c>
      <c r="C2519" t="str">
        <f>"PR20000851"</f>
        <v>PR20000851</v>
      </c>
      <c r="D2519" t="str">
        <f>"PR20000851"</f>
        <v>PR20000851</v>
      </c>
      <c r="E2519" t="str">
        <f>"Y"</f>
        <v>Y</v>
      </c>
      <c r="F2519" t="str">
        <f>"חשבוניות מרכזות"</f>
        <v>חשבוניות מרכזות</v>
      </c>
      <c r="G2519" t="str">
        <f>"700065"</f>
        <v>700065</v>
      </c>
      <c r="H2519" t="str">
        <f>"אלתא מערכות בע""מ"</f>
        <v>אלתא מערכות בע"מ</v>
      </c>
      <c r="I2519" t="str">
        <f>"10"</f>
        <v>10</v>
      </c>
      <c r="J2519" t="str">
        <f>"OP-AR02176"</f>
        <v>OP-AR02176</v>
      </c>
      <c r="K2519" t="str">
        <f>"1039H834-001/-   HARNESS WY034 - PDU TO TRA4 EXT"</f>
        <v>1039H834-001/-   HARNESS WY034 - PDU TO TRA4 EXT</v>
      </c>
      <c r="L2519">
        <v>4</v>
      </c>
      <c r="M2519" t="str">
        <f>"יח"</f>
        <v>יח</v>
      </c>
      <c r="N2519">
        <v>4</v>
      </c>
      <c r="O2519" t="str">
        <f>"יח"</f>
        <v>יח</v>
      </c>
      <c r="P2519" s="2">
        <v>1370.19</v>
      </c>
      <c r="Q2519" t="str">
        <f>"$"</f>
        <v>$</v>
      </c>
      <c r="R2519" t="str">
        <f>"הזמנה"</f>
        <v>הזמנה</v>
      </c>
      <c r="S2519">
        <v>0</v>
      </c>
      <c r="T2519" s="2">
        <v>5480.76</v>
      </c>
      <c r="U2519">
        <v>0</v>
      </c>
      <c r="V2519" s="2">
        <v>5480.76</v>
      </c>
      <c r="W2519" t="str">
        <f>"$"</f>
        <v>$</v>
      </c>
      <c r="X2519">
        <v>0</v>
      </c>
      <c r="Y2519">
        <v>0</v>
      </c>
      <c r="Z2519">
        <v>0</v>
      </c>
      <c r="AA2519" t="str">
        <f>"Y"</f>
        <v>Y</v>
      </c>
      <c r="AB2519" t="str">
        <f>"SO20000555"</f>
        <v>SO20000555</v>
      </c>
      <c r="AC2519">
        <v>23</v>
      </c>
      <c r="AD2519" s="1">
        <v>44166</v>
      </c>
      <c r="AE2519" t="str">
        <f>"SH21001026"</f>
        <v>SH21001026</v>
      </c>
      <c r="AF2519" t="str">
        <f>"משלוחים ללקוח"</f>
        <v>משלוחים ללקוח</v>
      </c>
      <c r="AG2519" s="1">
        <v>44369</v>
      </c>
      <c r="AM2519" t="str">
        <f>"10"</f>
        <v>10</v>
      </c>
      <c r="AN2519" t="str">
        <f>"500000"</f>
        <v>500000</v>
      </c>
      <c r="AO2519" t="str">
        <f>"הכנסות  מלקוחות"</f>
        <v>הכנסות  מלקוחות</v>
      </c>
      <c r="AQ2519" t="str">
        <f>"034"</f>
        <v>034</v>
      </c>
      <c r="AR2519">
        <v>0</v>
      </c>
      <c r="AS2519">
        <v>0</v>
      </c>
      <c r="AT2519">
        <v>3.2570000000000001</v>
      </c>
      <c r="AX2519" t="str">
        <f>"E000326481"</f>
        <v>E000326481</v>
      </c>
      <c r="BD2519" t="str">
        <f>"ערן שלו"</f>
        <v>ערן שלו</v>
      </c>
    </row>
    <row r="2520" spans="1:56" x14ac:dyDescent="0.3">
      <c r="A2520" s="1">
        <v>44370</v>
      </c>
      <c r="B2520" t="str">
        <f>"SI216000901"</f>
        <v>SI216000901</v>
      </c>
      <c r="C2520" t="str">
        <f>"PR21000240"</f>
        <v>PR21000240</v>
      </c>
      <c r="E2520" t="str">
        <f>"Y"</f>
        <v>Y</v>
      </c>
      <c r="F2520" t="str">
        <f>"חשבוניות מרכזות"</f>
        <v>חשבוניות מרכזות</v>
      </c>
      <c r="G2520" t="str">
        <f>"700065"</f>
        <v>700065</v>
      </c>
      <c r="H2520" t="str">
        <f>"אלתא מערכות בע""מ"</f>
        <v>אלתא מערכות בע"מ</v>
      </c>
      <c r="I2520" t="str">
        <f>"10"</f>
        <v>10</v>
      </c>
      <c r="J2520" t="str">
        <f>"OP-AR02413"</f>
        <v>OP-AR02413</v>
      </c>
      <c r="K2520" t="str">
        <f>"1038C395-001   ETHERNET CABLE WV395 - COMPUTER RACK TO"</f>
        <v>1038C395-001   ETHERNET CABLE WV395 - COMPUTER RACK TO</v>
      </c>
      <c r="L2520">
        <v>8</v>
      </c>
      <c r="M2520" t="str">
        <f>"יח"</f>
        <v>יח</v>
      </c>
      <c r="N2520">
        <v>8</v>
      </c>
      <c r="O2520" t="str">
        <f>"יח"</f>
        <v>יח</v>
      </c>
      <c r="P2520">
        <v>360.05</v>
      </c>
      <c r="Q2520" t="str">
        <f>"$"</f>
        <v>$</v>
      </c>
      <c r="R2520" t="str">
        <f>"הזמנה"</f>
        <v>הזמנה</v>
      </c>
      <c r="S2520">
        <v>0</v>
      </c>
      <c r="T2520" s="2">
        <v>2880.4</v>
      </c>
      <c r="U2520">
        <v>0</v>
      </c>
      <c r="V2520" s="2">
        <v>2880.4</v>
      </c>
      <c r="W2520" t="str">
        <f>"$"</f>
        <v>$</v>
      </c>
      <c r="X2520">
        <v>0</v>
      </c>
      <c r="Y2520">
        <v>0</v>
      </c>
      <c r="Z2520">
        <v>0</v>
      </c>
      <c r="AA2520" t="str">
        <f>"Y"</f>
        <v>Y</v>
      </c>
      <c r="AB2520" t="str">
        <f>"SO21000157"</f>
        <v>SO21000157</v>
      </c>
      <c r="AC2520">
        <v>1</v>
      </c>
      <c r="AD2520" s="1">
        <v>44297</v>
      </c>
      <c r="AE2520" t="str">
        <f>"SH21001027"</f>
        <v>SH21001027</v>
      </c>
      <c r="AF2520" t="str">
        <f>"משלוחים ללקוח"</f>
        <v>משלוחים ללקוח</v>
      </c>
      <c r="AG2520" s="1">
        <v>44369</v>
      </c>
      <c r="AM2520" t="str">
        <f>"10"</f>
        <v>10</v>
      </c>
      <c r="AN2520" t="str">
        <f>"500000"</f>
        <v>500000</v>
      </c>
      <c r="AO2520" t="str">
        <f>"הכנסות  מלקוחות"</f>
        <v>הכנסות  מלקוחות</v>
      </c>
      <c r="AQ2520" t="str">
        <f>"040"</f>
        <v>040</v>
      </c>
      <c r="AR2520">
        <v>0</v>
      </c>
      <c r="AS2520">
        <v>0</v>
      </c>
      <c r="AT2520">
        <v>3.2570000000000001</v>
      </c>
      <c r="AX2520" t="str">
        <f>"E000336252"</f>
        <v>E000336252</v>
      </c>
      <c r="BD2520" t="str">
        <f>"רחמים זרוק"</f>
        <v>רחמים זרוק</v>
      </c>
    </row>
    <row r="2521" spans="1:56" x14ac:dyDescent="0.3">
      <c r="A2521" s="1">
        <v>44370</v>
      </c>
      <c r="B2521" t="str">
        <f>"SI216000901"</f>
        <v>SI216000901</v>
      </c>
      <c r="C2521" t="str">
        <f>"PR21000240"</f>
        <v>PR21000240</v>
      </c>
      <c r="E2521" t="str">
        <f>"Y"</f>
        <v>Y</v>
      </c>
      <c r="F2521" t="str">
        <f>"חשבוניות מרכזות"</f>
        <v>חשבוניות מרכזות</v>
      </c>
      <c r="G2521" t="str">
        <f>"700065"</f>
        <v>700065</v>
      </c>
      <c r="H2521" t="str">
        <f>"אלתא מערכות בע""מ"</f>
        <v>אלתא מערכות בע"מ</v>
      </c>
      <c r="I2521" t="str">
        <f>"10"</f>
        <v>10</v>
      </c>
      <c r="J2521" t="str">
        <f>"OP-AR02414"</f>
        <v>OP-AR02414</v>
      </c>
      <c r="K2521" t="str">
        <f>"1038C397-001   ETHERNET CABLE WV397 - COMPUTER RACK TO"</f>
        <v>1038C397-001   ETHERNET CABLE WV397 - COMPUTER RACK TO</v>
      </c>
      <c r="L2521">
        <v>8</v>
      </c>
      <c r="M2521" t="str">
        <f>"יח"</f>
        <v>יח</v>
      </c>
      <c r="N2521">
        <v>8</v>
      </c>
      <c r="O2521" t="str">
        <f>"יח"</f>
        <v>יח</v>
      </c>
      <c r="P2521">
        <v>360.05</v>
      </c>
      <c r="Q2521" t="str">
        <f>"$"</f>
        <v>$</v>
      </c>
      <c r="R2521" t="str">
        <f>"הזמנה"</f>
        <v>הזמנה</v>
      </c>
      <c r="S2521">
        <v>0</v>
      </c>
      <c r="T2521" s="2">
        <v>2880.4</v>
      </c>
      <c r="U2521">
        <v>0</v>
      </c>
      <c r="V2521" s="2">
        <v>2880.4</v>
      </c>
      <c r="W2521" t="str">
        <f>"$"</f>
        <v>$</v>
      </c>
      <c r="X2521">
        <v>0</v>
      </c>
      <c r="Y2521">
        <v>0</v>
      </c>
      <c r="Z2521">
        <v>0</v>
      </c>
      <c r="AA2521" t="str">
        <f>"Y"</f>
        <v>Y</v>
      </c>
      <c r="AB2521" t="str">
        <f>"SO21000157"</f>
        <v>SO21000157</v>
      </c>
      <c r="AC2521">
        <v>2</v>
      </c>
      <c r="AD2521" s="1">
        <v>44297</v>
      </c>
      <c r="AE2521" t="str">
        <f>"SH21001027"</f>
        <v>SH21001027</v>
      </c>
      <c r="AF2521" t="str">
        <f>"משלוחים ללקוח"</f>
        <v>משלוחים ללקוח</v>
      </c>
      <c r="AG2521" s="1">
        <v>44369</v>
      </c>
      <c r="AM2521" t="str">
        <f>"10"</f>
        <v>10</v>
      </c>
      <c r="AN2521" t="str">
        <f>"500000"</f>
        <v>500000</v>
      </c>
      <c r="AO2521" t="str">
        <f>"הכנסות  מלקוחות"</f>
        <v>הכנסות  מלקוחות</v>
      </c>
      <c r="AQ2521" t="str">
        <f>"040"</f>
        <v>040</v>
      </c>
      <c r="AR2521">
        <v>0</v>
      </c>
      <c r="AS2521">
        <v>0</v>
      </c>
      <c r="AT2521">
        <v>3.2570000000000001</v>
      </c>
      <c r="AX2521" t="str">
        <f>"E000336252"</f>
        <v>E000336252</v>
      </c>
      <c r="BD2521" t="str">
        <f>"רחמים זרוק"</f>
        <v>רחמים זרוק</v>
      </c>
    </row>
    <row r="2522" spans="1:56" x14ac:dyDescent="0.3">
      <c r="A2522" s="1">
        <v>44370</v>
      </c>
      <c r="B2522" t="str">
        <f>"SI216000901"</f>
        <v>SI216000901</v>
      </c>
      <c r="C2522" t="str">
        <f>"PR21000240"</f>
        <v>PR21000240</v>
      </c>
      <c r="E2522" t="str">
        <f>"Y"</f>
        <v>Y</v>
      </c>
      <c r="F2522" t="str">
        <f>"חשבוניות מרכזות"</f>
        <v>חשבוניות מרכזות</v>
      </c>
      <c r="G2522" t="str">
        <f>"700065"</f>
        <v>700065</v>
      </c>
      <c r="H2522" t="str">
        <f>"אלתא מערכות בע""מ"</f>
        <v>אלתא מערכות בע"מ</v>
      </c>
      <c r="I2522" t="str">
        <f>"10"</f>
        <v>10</v>
      </c>
      <c r="J2522" t="str">
        <f>"OP-AR02415"</f>
        <v>OP-AR02415</v>
      </c>
      <c r="K2522" t="str">
        <f>"1038C398-001   ETHERNET CABLE WV398 - COMPUTER RACK TO"</f>
        <v>1038C398-001   ETHERNET CABLE WV398 - COMPUTER RACK TO</v>
      </c>
      <c r="L2522">
        <v>6</v>
      </c>
      <c r="M2522" t="str">
        <f>"יח"</f>
        <v>יח</v>
      </c>
      <c r="N2522">
        <v>6</v>
      </c>
      <c r="O2522" t="str">
        <f>"יח"</f>
        <v>יח</v>
      </c>
      <c r="P2522">
        <v>259.8</v>
      </c>
      <c r="Q2522" t="str">
        <f>"$"</f>
        <v>$</v>
      </c>
      <c r="R2522" t="str">
        <f>"הזמנה"</f>
        <v>הזמנה</v>
      </c>
      <c r="S2522">
        <v>0</v>
      </c>
      <c r="T2522" s="2">
        <v>1558.8</v>
      </c>
      <c r="U2522">
        <v>0</v>
      </c>
      <c r="V2522" s="2">
        <v>1558.8</v>
      </c>
      <c r="W2522" t="str">
        <f>"$"</f>
        <v>$</v>
      </c>
      <c r="X2522">
        <v>0</v>
      </c>
      <c r="Y2522">
        <v>0</v>
      </c>
      <c r="Z2522">
        <v>0</v>
      </c>
      <c r="AA2522" t="str">
        <f>"Y"</f>
        <v>Y</v>
      </c>
      <c r="AB2522" t="str">
        <f>"SO21000157"</f>
        <v>SO21000157</v>
      </c>
      <c r="AC2522">
        <v>3</v>
      </c>
      <c r="AD2522" s="1">
        <v>44297</v>
      </c>
      <c r="AE2522" t="str">
        <f>"SH21001027"</f>
        <v>SH21001027</v>
      </c>
      <c r="AF2522" t="str">
        <f>"משלוחים ללקוח"</f>
        <v>משלוחים ללקוח</v>
      </c>
      <c r="AG2522" s="1">
        <v>44369</v>
      </c>
      <c r="AM2522" t="str">
        <f>"10"</f>
        <v>10</v>
      </c>
      <c r="AN2522" t="str">
        <f>"500000"</f>
        <v>500000</v>
      </c>
      <c r="AO2522" t="str">
        <f>"הכנסות  מלקוחות"</f>
        <v>הכנסות  מלקוחות</v>
      </c>
      <c r="AQ2522" t="str">
        <f>"040"</f>
        <v>040</v>
      </c>
      <c r="AR2522">
        <v>0</v>
      </c>
      <c r="AS2522">
        <v>0</v>
      </c>
      <c r="AT2522">
        <v>3.2570000000000001</v>
      </c>
      <c r="AX2522" t="str">
        <f>"E000336252"</f>
        <v>E000336252</v>
      </c>
      <c r="BD2522" t="str">
        <f>"רחמים זרוק"</f>
        <v>רחמים זרוק</v>
      </c>
    </row>
    <row r="2523" spans="1:56" x14ac:dyDescent="0.3">
      <c r="A2523" s="1">
        <v>44363</v>
      </c>
      <c r="B2523" t="str">
        <f>"SI216000900"</f>
        <v>SI216000900</v>
      </c>
      <c r="C2523" t="str">
        <f>"PR21000144"</f>
        <v>PR21000144</v>
      </c>
      <c r="E2523" t="str">
        <f>"Y"</f>
        <v>Y</v>
      </c>
      <c r="F2523" t="str">
        <f>"חשבוניות מרכזות"</f>
        <v>חשבוניות מרכזות</v>
      </c>
      <c r="G2523" t="str">
        <f>"700065"</f>
        <v>700065</v>
      </c>
      <c r="H2523" t="str">
        <f>"אלתא מערכות בע""מ"</f>
        <v>אלתא מערכות בע"מ</v>
      </c>
      <c r="I2523" t="str">
        <f>"10"</f>
        <v>10</v>
      </c>
      <c r="J2523" t="str">
        <f>"OP-AR02309"</f>
        <v>OP-AR02309</v>
      </c>
      <c r="K2523" t="str">
        <f>"1019W657-001   CABLE ASSY W220"</f>
        <v>1019W657-001   CABLE ASSY W220</v>
      </c>
      <c r="L2523">
        <v>3</v>
      </c>
      <c r="M2523" t="str">
        <f>"יח"</f>
        <v>יח</v>
      </c>
      <c r="N2523">
        <v>3</v>
      </c>
      <c r="O2523" t="str">
        <f>"יח"</f>
        <v>יח</v>
      </c>
      <c r="P2523">
        <v>210.84</v>
      </c>
      <c r="Q2523" t="str">
        <f>"$"</f>
        <v>$</v>
      </c>
      <c r="R2523" t="str">
        <f>"הזמנה"</f>
        <v>הזמנה</v>
      </c>
      <c r="S2523">
        <v>0</v>
      </c>
      <c r="T2523">
        <v>632.52</v>
      </c>
      <c r="U2523">
        <v>0</v>
      </c>
      <c r="V2523">
        <v>632.52</v>
      </c>
      <c r="W2523" t="str">
        <f>"$"</f>
        <v>$</v>
      </c>
      <c r="X2523">
        <v>0</v>
      </c>
      <c r="Y2523">
        <v>0</v>
      </c>
      <c r="Z2523">
        <v>0</v>
      </c>
      <c r="AA2523" t="str">
        <f>"Y"</f>
        <v>Y</v>
      </c>
      <c r="AB2523" t="str">
        <f>"SO21000086"</f>
        <v>SO21000086</v>
      </c>
      <c r="AC2523">
        <v>2</v>
      </c>
      <c r="AD2523" s="1">
        <v>44248</v>
      </c>
      <c r="AE2523" t="str">
        <f>"SH21000962"</f>
        <v>SH21000962</v>
      </c>
      <c r="AF2523" t="str">
        <f>"משלוחים ללקוח"</f>
        <v>משלוחים ללקוח</v>
      </c>
      <c r="AG2523" s="1">
        <v>44362</v>
      </c>
      <c r="AM2523" t="str">
        <f>"10"</f>
        <v>10</v>
      </c>
      <c r="AN2523" t="str">
        <f>"500000"</f>
        <v>500000</v>
      </c>
      <c r="AO2523" t="str">
        <f>"הכנסות  מלקוחות"</f>
        <v>הכנסות  מלקוחות</v>
      </c>
      <c r="AQ2523" t="str">
        <f>"040"</f>
        <v>040</v>
      </c>
      <c r="AR2523">
        <v>0</v>
      </c>
      <c r="AS2523">
        <v>0</v>
      </c>
      <c r="AT2523">
        <v>3.2389999999999999</v>
      </c>
      <c r="AX2523" t="str">
        <f>"E000332301"</f>
        <v>E000332301</v>
      </c>
      <c r="BD2523" t="str">
        <f>"רחמים זרוק"</f>
        <v>רחמים זרוק</v>
      </c>
    </row>
    <row r="2524" spans="1:56" x14ac:dyDescent="0.3">
      <c r="A2524" s="1">
        <v>44363</v>
      </c>
      <c r="B2524" t="str">
        <f>"SI216000900"</f>
        <v>SI216000900</v>
      </c>
      <c r="C2524" t="str">
        <f>"PR21000144"</f>
        <v>PR21000144</v>
      </c>
      <c r="E2524" t="str">
        <f>"Y"</f>
        <v>Y</v>
      </c>
      <c r="F2524" t="str">
        <f>"חשבוניות מרכזות"</f>
        <v>חשבוניות מרכזות</v>
      </c>
      <c r="G2524" t="str">
        <f>"700065"</f>
        <v>700065</v>
      </c>
      <c r="H2524" t="str">
        <f>"אלתא מערכות בע""מ"</f>
        <v>אלתא מערכות בע"מ</v>
      </c>
      <c r="I2524" t="str">
        <f>"10"</f>
        <v>10</v>
      </c>
      <c r="J2524" t="str">
        <f>"OP-AR02309"</f>
        <v>OP-AR02309</v>
      </c>
      <c r="K2524" t="str">
        <f>"1019W657-001   CABLE ASSY W220"</f>
        <v>1019W657-001   CABLE ASSY W220</v>
      </c>
      <c r="L2524">
        <v>4</v>
      </c>
      <c r="M2524" t="str">
        <f>"יח"</f>
        <v>יח</v>
      </c>
      <c r="N2524">
        <v>4</v>
      </c>
      <c r="O2524" t="str">
        <f>"יח"</f>
        <v>יח</v>
      </c>
      <c r="P2524">
        <v>210.84</v>
      </c>
      <c r="Q2524" t="str">
        <f>"$"</f>
        <v>$</v>
      </c>
      <c r="R2524" t="str">
        <f>"הזמנה"</f>
        <v>הזמנה</v>
      </c>
      <c r="S2524">
        <v>0</v>
      </c>
      <c r="T2524">
        <v>843.36</v>
      </c>
      <c r="U2524">
        <v>0</v>
      </c>
      <c r="V2524">
        <v>843.36</v>
      </c>
      <c r="W2524" t="str">
        <f>"$"</f>
        <v>$</v>
      </c>
      <c r="X2524">
        <v>0</v>
      </c>
      <c r="Y2524">
        <v>0</v>
      </c>
      <c r="Z2524">
        <v>0</v>
      </c>
      <c r="AA2524" t="str">
        <f>"Y"</f>
        <v>Y</v>
      </c>
      <c r="AB2524" t="str">
        <f>"SO21000086"</f>
        <v>SO21000086</v>
      </c>
      <c r="AC2524">
        <v>3</v>
      </c>
      <c r="AD2524" s="1">
        <v>44248</v>
      </c>
      <c r="AE2524" t="str">
        <f>"SH21000962"</f>
        <v>SH21000962</v>
      </c>
      <c r="AF2524" t="str">
        <f>"משלוחים ללקוח"</f>
        <v>משלוחים ללקוח</v>
      </c>
      <c r="AG2524" s="1">
        <v>44362</v>
      </c>
      <c r="AM2524" t="str">
        <f>"10"</f>
        <v>10</v>
      </c>
      <c r="AN2524" t="str">
        <f>"500000"</f>
        <v>500000</v>
      </c>
      <c r="AO2524" t="str">
        <f>"הכנסות  מלקוחות"</f>
        <v>הכנסות  מלקוחות</v>
      </c>
      <c r="AQ2524" t="str">
        <f>"040"</f>
        <v>040</v>
      </c>
      <c r="AR2524">
        <v>0</v>
      </c>
      <c r="AS2524">
        <v>0</v>
      </c>
      <c r="AT2524">
        <v>3.2389999999999999</v>
      </c>
      <c r="AX2524" t="str">
        <f>"E000332301"</f>
        <v>E000332301</v>
      </c>
      <c r="BD2524" t="str">
        <f>"רחמים זרוק"</f>
        <v>רחמים זרוק</v>
      </c>
    </row>
    <row r="2525" spans="1:56" x14ac:dyDescent="0.3">
      <c r="A2525" s="1">
        <v>44363</v>
      </c>
      <c r="B2525" t="str">
        <f>"SI216000899"</f>
        <v>SI216000899</v>
      </c>
      <c r="C2525" t="str">
        <f>"PR20000851"</f>
        <v>PR20000851</v>
      </c>
      <c r="D2525" t="str">
        <f>"PR20000851"</f>
        <v>PR20000851</v>
      </c>
      <c r="E2525" t="str">
        <f>"Y"</f>
        <v>Y</v>
      </c>
      <c r="F2525" t="str">
        <f>"חשבוניות מרכזות"</f>
        <v>חשבוניות מרכזות</v>
      </c>
      <c r="G2525" t="str">
        <f>"700065"</f>
        <v>700065</v>
      </c>
      <c r="H2525" t="str">
        <f>"אלתא מערכות בע""מ"</f>
        <v>אלתא מערכות בע"מ</v>
      </c>
      <c r="I2525" t="str">
        <f>"10"</f>
        <v>10</v>
      </c>
      <c r="J2525" t="str">
        <f>"OP-AR02156"</f>
        <v>OP-AR02156</v>
      </c>
      <c r="K2525" t="str">
        <f>"1039H811-001   HARNESS WY011 - PDU TO TRA1 SHE"</f>
        <v>1039H811-001   HARNESS WY011 - PDU TO TRA1 SHE</v>
      </c>
      <c r="L2525">
        <v>2</v>
      </c>
      <c r="M2525" t="str">
        <f>"יח"</f>
        <v>יח</v>
      </c>
      <c r="N2525">
        <v>2</v>
      </c>
      <c r="O2525" t="str">
        <f>"יח"</f>
        <v>יח</v>
      </c>
      <c r="P2525">
        <v>434.16</v>
      </c>
      <c r="Q2525" t="str">
        <f>"$"</f>
        <v>$</v>
      </c>
      <c r="R2525" t="str">
        <f>"הזמנה"</f>
        <v>הזמנה</v>
      </c>
      <c r="S2525">
        <v>0</v>
      </c>
      <c r="T2525">
        <v>868.32</v>
      </c>
      <c r="U2525">
        <v>0</v>
      </c>
      <c r="V2525">
        <v>868.32</v>
      </c>
      <c r="W2525" t="str">
        <f>"$"</f>
        <v>$</v>
      </c>
      <c r="X2525">
        <v>0</v>
      </c>
      <c r="Y2525">
        <v>0</v>
      </c>
      <c r="Z2525">
        <v>0</v>
      </c>
      <c r="AA2525" t="str">
        <f>"Y"</f>
        <v>Y</v>
      </c>
      <c r="AB2525" t="str">
        <f>"SO20000555"</f>
        <v>SO20000555</v>
      </c>
      <c r="AC2525">
        <v>4</v>
      </c>
      <c r="AD2525" s="1">
        <v>44166</v>
      </c>
      <c r="AE2525" t="str">
        <f>"SH21000958"</f>
        <v>SH21000958</v>
      </c>
      <c r="AF2525" t="str">
        <f>"משלוחים ללקוח"</f>
        <v>משלוחים ללקוח</v>
      </c>
      <c r="AG2525" s="1">
        <v>44362</v>
      </c>
      <c r="AM2525" t="str">
        <f>"10"</f>
        <v>10</v>
      </c>
      <c r="AN2525" t="str">
        <f>"500000"</f>
        <v>500000</v>
      </c>
      <c r="AO2525" t="str">
        <f>"הכנסות  מלקוחות"</f>
        <v>הכנסות  מלקוחות</v>
      </c>
      <c r="AQ2525" t="str">
        <f>"034"</f>
        <v>034</v>
      </c>
      <c r="AR2525">
        <v>0</v>
      </c>
      <c r="AS2525">
        <v>0</v>
      </c>
      <c r="AT2525">
        <v>3.2389999999999999</v>
      </c>
      <c r="AX2525" t="str">
        <f>"E000326481"</f>
        <v>E000326481</v>
      </c>
      <c r="BD2525" t="str">
        <f>"ערן שלו"</f>
        <v>ערן שלו</v>
      </c>
    </row>
    <row r="2526" spans="1:56" x14ac:dyDescent="0.3">
      <c r="A2526" s="1">
        <v>44363</v>
      </c>
      <c r="B2526" t="str">
        <f>"SI216000899"</f>
        <v>SI216000899</v>
      </c>
      <c r="C2526" t="str">
        <f>"PR20000851"</f>
        <v>PR20000851</v>
      </c>
      <c r="D2526" t="str">
        <f>"PR20000851"</f>
        <v>PR20000851</v>
      </c>
      <c r="E2526" t="str">
        <f>"Y"</f>
        <v>Y</v>
      </c>
      <c r="F2526" t="str">
        <f>"חשבוניות מרכזות"</f>
        <v>חשבוניות מרכזות</v>
      </c>
      <c r="G2526" t="str">
        <f>"700065"</f>
        <v>700065</v>
      </c>
      <c r="H2526" t="str">
        <f>"אלתא מערכות בע""מ"</f>
        <v>אלתא מערכות בע"מ</v>
      </c>
      <c r="I2526" t="str">
        <f>"10"</f>
        <v>10</v>
      </c>
      <c r="J2526" t="str">
        <f>"OP-AR02158"</f>
        <v>OP-AR02158</v>
      </c>
      <c r="K2526" t="str">
        <f>"1039H813-001   HARNESS WY013 - PDU TO TRA3 SHE"</f>
        <v>1039H813-001   HARNESS WY013 - PDU TO TRA3 SHE</v>
      </c>
      <c r="L2526">
        <v>2</v>
      </c>
      <c r="M2526" t="str">
        <f>"יח"</f>
        <v>יח</v>
      </c>
      <c r="N2526">
        <v>2</v>
      </c>
      <c r="O2526" t="str">
        <f>"יח"</f>
        <v>יח</v>
      </c>
      <c r="P2526">
        <v>432.4</v>
      </c>
      <c r="Q2526" t="str">
        <f>"$"</f>
        <v>$</v>
      </c>
      <c r="R2526" t="str">
        <f>"הזמנה"</f>
        <v>הזמנה</v>
      </c>
      <c r="S2526">
        <v>0</v>
      </c>
      <c r="T2526">
        <v>864.8</v>
      </c>
      <c r="U2526">
        <v>0</v>
      </c>
      <c r="V2526">
        <v>864.8</v>
      </c>
      <c r="W2526" t="str">
        <f>"$"</f>
        <v>$</v>
      </c>
      <c r="X2526">
        <v>0</v>
      </c>
      <c r="Y2526">
        <v>0</v>
      </c>
      <c r="Z2526">
        <v>0</v>
      </c>
      <c r="AA2526" t="str">
        <f>"Y"</f>
        <v>Y</v>
      </c>
      <c r="AB2526" t="str">
        <f>"SO20000555"</f>
        <v>SO20000555</v>
      </c>
      <c r="AC2526">
        <v>6</v>
      </c>
      <c r="AD2526" s="1">
        <v>44166</v>
      </c>
      <c r="AE2526" t="str">
        <f>"SH21000958"</f>
        <v>SH21000958</v>
      </c>
      <c r="AF2526" t="str">
        <f>"משלוחים ללקוח"</f>
        <v>משלוחים ללקוח</v>
      </c>
      <c r="AG2526" s="1">
        <v>44362</v>
      </c>
      <c r="AM2526" t="str">
        <f>"10"</f>
        <v>10</v>
      </c>
      <c r="AN2526" t="str">
        <f>"500000"</f>
        <v>500000</v>
      </c>
      <c r="AO2526" t="str">
        <f>"הכנסות  מלקוחות"</f>
        <v>הכנסות  מלקוחות</v>
      </c>
      <c r="AQ2526" t="str">
        <f>"034"</f>
        <v>034</v>
      </c>
      <c r="AR2526">
        <v>0</v>
      </c>
      <c r="AS2526">
        <v>0</v>
      </c>
      <c r="AT2526">
        <v>3.2389999999999999</v>
      </c>
      <c r="AX2526" t="str">
        <f>"E000326481"</f>
        <v>E000326481</v>
      </c>
      <c r="BD2526" t="str">
        <f>"ערן שלו"</f>
        <v>ערן שלו</v>
      </c>
    </row>
    <row r="2527" spans="1:56" x14ac:dyDescent="0.3">
      <c r="A2527" s="1">
        <v>44363</v>
      </c>
      <c r="B2527" t="str">
        <f>"SI216000899"</f>
        <v>SI216000899</v>
      </c>
      <c r="C2527" t="str">
        <f>"PR20000851"</f>
        <v>PR20000851</v>
      </c>
      <c r="D2527" t="str">
        <f>"PR20000851"</f>
        <v>PR20000851</v>
      </c>
      <c r="E2527" t="str">
        <f>"Y"</f>
        <v>Y</v>
      </c>
      <c r="F2527" t="str">
        <f>"חשבוניות מרכזות"</f>
        <v>חשבוניות מרכזות</v>
      </c>
      <c r="G2527" t="str">
        <f>"700065"</f>
        <v>700065</v>
      </c>
      <c r="H2527" t="str">
        <f>"אלתא מערכות בע""מ"</f>
        <v>אלתא מערכות בע"מ</v>
      </c>
      <c r="I2527" t="str">
        <f>"10"</f>
        <v>10</v>
      </c>
      <c r="J2527" t="str">
        <f>"OP-AR02162"</f>
        <v>OP-AR02162</v>
      </c>
      <c r="K2527" t="str">
        <f>"1039H817-001   HARNESS WY017 - PDU TO FANS SHE"</f>
        <v>1039H817-001   HARNESS WY017 - PDU TO FANS SHE</v>
      </c>
      <c r="L2527">
        <v>4</v>
      </c>
      <c r="M2527" t="str">
        <f>"יח"</f>
        <v>יח</v>
      </c>
      <c r="N2527">
        <v>4</v>
      </c>
      <c r="O2527" t="str">
        <f>"יח"</f>
        <v>יח</v>
      </c>
      <c r="P2527">
        <v>285.45</v>
      </c>
      <c r="Q2527" t="str">
        <f>"$"</f>
        <v>$</v>
      </c>
      <c r="R2527" t="str">
        <f>"הזמנה"</f>
        <v>הזמנה</v>
      </c>
      <c r="S2527">
        <v>0</v>
      </c>
      <c r="T2527" s="2">
        <v>1141.8</v>
      </c>
      <c r="U2527">
        <v>0</v>
      </c>
      <c r="V2527" s="2">
        <v>1141.8</v>
      </c>
      <c r="W2527" t="str">
        <f>"$"</f>
        <v>$</v>
      </c>
      <c r="X2527">
        <v>0</v>
      </c>
      <c r="Y2527">
        <v>0</v>
      </c>
      <c r="Z2527">
        <v>0</v>
      </c>
      <c r="AA2527" t="str">
        <f>"Y"</f>
        <v>Y</v>
      </c>
      <c r="AB2527" t="str">
        <f>"SO20000555"</f>
        <v>SO20000555</v>
      </c>
      <c r="AC2527">
        <v>10</v>
      </c>
      <c r="AD2527" s="1">
        <v>44166</v>
      </c>
      <c r="AE2527" t="str">
        <f>"SH21000958"</f>
        <v>SH21000958</v>
      </c>
      <c r="AF2527" t="str">
        <f>"משלוחים ללקוח"</f>
        <v>משלוחים ללקוח</v>
      </c>
      <c r="AG2527" s="1">
        <v>44362</v>
      </c>
      <c r="AM2527" t="str">
        <f>"10"</f>
        <v>10</v>
      </c>
      <c r="AN2527" t="str">
        <f>"500000"</f>
        <v>500000</v>
      </c>
      <c r="AO2527" t="str">
        <f>"הכנסות  מלקוחות"</f>
        <v>הכנסות  מלקוחות</v>
      </c>
      <c r="AQ2527" t="str">
        <f>"034"</f>
        <v>034</v>
      </c>
      <c r="AR2527">
        <v>0</v>
      </c>
      <c r="AS2527">
        <v>0</v>
      </c>
      <c r="AT2527">
        <v>3.2389999999999999</v>
      </c>
      <c r="AX2527" t="str">
        <f>"E000326481"</f>
        <v>E000326481</v>
      </c>
      <c r="BD2527" t="str">
        <f>"ערן שלו"</f>
        <v>ערן שלו</v>
      </c>
    </row>
    <row r="2528" spans="1:56" x14ac:dyDescent="0.3">
      <c r="A2528" s="1">
        <v>44363</v>
      </c>
      <c r="B2528" t="str">
        <f>"SI216000898"</f>
        <v>SI216000898</v>
      </c>
      <c r="C2528" t="str">
        <f>"PR21000192"</f>
        <v>PR21000192</v>
      </c>
      <c r="E2528" t="str">
        <f>"Y"</f>
        <v>Y</v>
      </c>
      <c r="F2528" t="str">
        <f>"חשבוניות מרכזות"</f>
        <v>חשבוניות מרכזות</v>
      </c>
      <c r="G2528" t="str">
        <f>"700065"</f>
        <v>700065</v>
      </c>
      <c r="H2528" t="str">
        <f>"אלתא מערכות בע""מ"</f>
        <v>אלתא מערכות בע"מ</v>
      </c>
      <c r="I2528" t="str">
        <f>"10"</f>
        <v>10</v>
      </c>
      <c r="J2528" t="str">
        <f>"OP-AR02350"</f>
        <v>OP-AR02350</v>
      </c>
      <c r="K2528" t="str">
        <f>"2202B032-001    TRW21 CABLE ASSY"</f>
        <v>2202B032-001    TRW21 CABLE ASSY</v>
      </c>
      <c r="L2528">
        <v>2</v>
      </c>
      <c r="M2528" t="str">
        <f>"יח"</f>
        <v>יח</v>
      </c>
      <c r="N2528">
        <v>2</v>
      </c>
      <c r="O2528" t="str">
        <f>"יח"</f>
        <v>יח</v>
      </c>
      <c r="P2528">
        <v>232.91</v>
      </c>
      <c r="Q2528" t="str">
        <f>"$"</f>
        <v>$</v>
      </c>
      <c r="R2528" t="str">
        <f>"הזמנה"</f>
        <v>הזמנה</v>
      </c>
      <c r="S2528">
        <v>0</v>
      </c>
      <c r="T2528">
        <v>465.82</v>
      </c>
      <c r="U2528">
        <v>0</v>
      </c>
      <c r="V2528">
        <v>465.82</v>
      </c>
      <c r="W2528" t="str">
        <f>"$"</f>
        <v>$</v>
      </c>
      <c r="X2528">
        <v>0</v>
      </c>
      <c r="Y2528">
        <v>0</v>
      </c>
      <c r="Z2528">
        <v>0</v>
      </c>
      <c r="AA2528" t="str">
        <f>"Y"</f>
        <v>Y</v>
      </c>
      <c r="AB2528" t="str">
        <f>"SO21000115"</f>
        <v>SO21000115</v>
      </c>
      <c r="AC2528">
        <v>2</v>
      </c>
      <c r="AD2528" s="1">
        <v>44265</v>
      </c>
      <c r="AE2528" t="str">
        <f>"SH21000976"</f>
        <v>SH21000976</v>
      </c>
      <c r="AF2528" t="str">
        <f>"משלוחים ללקוח"</f>
        <v>משלוחים ללקוח</v>
      </c>
      <c r="AG2528" s="1">
        <v>44363</v>
      </c>
      <c r="AM2528" t="str">
        <f>"10"</f>
        <v>10</v>
      </c>
      <c r="AN2528" t="str">
        <f>"500000"</f>
        <v>500000</v>
      </c>
      <c r="AO2528" t="str">
        <f>"הכנסות  מלקוחות"</f>
        <v>הכנסות  מלקוחות</v>
      </c>
      <c r="AQ2528" t="str">
        <f>"040"</f>
        <v>040</v>
      </c>
      <c r="AR2528">
        <v>0</v>
      </c>
      <c r="AS2528">
        <v>0</v>
      </c>
      <c r="AT2528">
        <v>3.2389999999999999</v>
      </c>
      <c r="AX2528" t="str">
        <f>"E000335043"</f>
        <v>E000335043</v>
      </c>
      <c r="BD2528" t="str">
        <f>"רחמים זרוק"</f>
        <v>רחמים זרוק</v>
      </c>
    </row>
    <row r="2529" spans="1:56" x14ac:dyDescent="0.3">
      <c r="A2529" s="1">
        <v>44361</v>
      </c>
      <c r="B2529" t="str">
        <f>"SI216000877"</f>
        <v>SI216000877</v>
      </c>
      <c r="C2529" t="str">
        <f>"PR21000192"</f>
        <v>PR21000192</v>
      </c>
      <c r="E2529" t="str">
        <f>"Y"</f>
        <v>Y</v>
      </c>
      <c r="F2529" t="str">
        <f>"חשבוניות מרכזות"</f>
        <v>חשבוניות מרכזות</v>
      </c>
      <c r="G2529" t="str">
        <f>"700065"</f>
        <v>700065</v>
      </c>
      <c r="H2529" t="str">
        <f>"אלתא מערכות בע""מ"</f>
        <v>אלתא מערכות בע"מ</v>
      </c>
      <c r="I2529" t="str">
        <f>"10"</f>
        <v>10</v>
      </c>
      <c r="J2529" t="str">
        <f>"OP-AR02349"</f>
        <v>OP-AR02349</v>
      </c>
      <c r="K2529" t="str">
        <f>"2202B030-001     TRW20 CABLE ASSY"</f>
        <v>2202B030-001     TRW20 CABLE ASSY</v>
      </c>
      <c r="L2529">
        <v>2</v>
      </c>
      <c r="M2529" t="str">
        <f>"יח"</f>
        <v>יח</v>
      </c>
      <c r="N2529">
        <v>2</v>
      </c>
      <c r="O2529" t="str">
        <f>"יח"</f>
        <v>יח</v>
      </c>
      <c r="P2529">
        <v>246.58</v>
      </c>
      <c r="Q2529" t="str">
        <f>"$"</f>
        <v>$</v>
      </c>
      <c r="R2529" t="str">
        <f>"הזמנה"</f>
        <v>הזמנה</v>
      </c>
      <c r="S2529">
        <v>0</v>
      </c>
      <c r="T2529">
        <v>493.16</v>
      </c>
      <c r="U2529">
        <v>0</v>
      </c>
      <c r="V2529">
        <v>493.16</v>
      </c>
      <c r="W2529" t="str">
        <f>"$"</f>
        <v>$</v>
      </c>
      <c r="X2529">
        <v>0</v>
      </c>
      <c r="Y2529">
        <v>0</v>
      </c>
      <c r="Z2529">
        <v>0</v>
      </c>
      <c r="AA2529" t="str">
        <f>"Y"</f>
        <v>Y</v>
      </c>
      <c r="AB2529" t="str">
        <f>"SO21000115"</f>
        <v>SO21000115</v>
      </c>
      <c r="AC2529">
        <v>1</v>
      </c>
      <c r="AD2529" s="1">
        <v>44265</v>
      </c>
      <c r="AE2529" t="str">
        <f>"SH21000926"</f>
        <v>SH21000926</v>
      </c>
      <c r="AF2529" t="str">
        <f>"משלוחים ללקוח"</f>
        <v>משלוחים ללקוח</v>
      </c>
      <c r="AG2529" s="1">
        <v>44357</v>
      </c>
      <c r="AM2529" t="str">
        <f>"10"</f>
        <v>10</v>
      </c>
      <c r="AN2529" t="str">
        <f>"500000"</f>
        <v>500000</v>
      </c>
      <c r="AO2529" t="str">
        <f>"הכנסות  מלקוחות"</f>
        <v>הכנסות  מלקוחות</v>
      </c>
      <c r="AQ2529" t="str">
        <f>"040"</f>
        <v>040</v>
      </c>
      <c r="AR2529">
        <v>0</v>
      </c>
      <c r="AS2529">
        <v>0</v>
      </c>
      <c r="AT2529">
        <v>3.2469999999999999</v>
      </c>
      <c r="AX2529" t="str">
        <f>"E000335043"</f>
        <v>E000335043</v>
      </c>
      <c r="BD2529" t="str">
        <f>"רחמים זרוק"</f>
        <v>רחמים זרוק</v>
      </c>
    </row>
    <row r="2530" spans="1:56" x14ac:dyDescent="0.3">
      <c r="A2530" s="1">
        <v>44361</v>
      </c>
      <c r="B2530" t="str">
        <f>"SI216000877"</f>
        <v>SI216000877</v>
      </c>
      <c r="C2530" t="str">
        <f>"PR21000192"</f>
        <v>PR21000192</v>
      </c>
      <c r="E2530" t="str">
        <f>"Y"</f>
        <v>Y</v>
      </c>
      <c r="F2530" t="str">
        <f>"חשבוניות מרכזות"</f>
        <v>חשבוניות מרכזות</v>
      </c>
      <c r="G2530" t="str">
        <f>"700065"</f>
        <v>700065</v>
      </c>
      <c r="H2530" t="str">
        <f>"אלתא מערכות בע""מ"</f>
        <v>אלתא מערכות בע"מ</v>
      </c>
      <c r="I2530" t="str">
        <f>"10"</f>
        <v>10</v>
      </c>
      <c r="J2530" t="str">
        <f>"OP-AR02351"</f>
        <v>OP-AR02351</v>
      </c>
      <c r="K2530" t="str">
        <f>"2202B034-001    TRW22 CABLE ASSY"</f>
        <v>2202B034-001    TRW22 CABLE ASSY</v>
      </c>
      <c r="L2530">
        <v>2</v>
      </c>
      <c r="M2530" t="str">
        <f>"יח"</f>
        <v>יח</v>
      </c>
      <c r="N2530">
        <v>2</v>
      </c>
      <c r="O2530" t="str">
        <f>"יח"</f>
        <v>יח</v>
      </c>
      <c r="P2530">
        <v>191.95</v>
      </c>
      <c r="Q2530" t="str">
        <f>"$"</f>
        <v>$</v>
      </c>
      <c r="R2530" t="str">
        <f>"הזמנה"</f>
        <v>הזמנה</v>
      </c>
      <c r="S2530">
        <v>0</v>
      </c>
      <c r="T2530">
        <v>383.9</v>
      </c>
      <c r="U2530">
        <v>0</v>
      </c>
      <c r="V2530">
        <v>383.9</v>
      </c>
      <c r="W2530" t="str">
        <f>"$"</f>
        <v>$</v>
      </c>
      <c r="X2530">
        <v>0</v>
      </c>
      <c r="Y2530">
        <v>0</v>
      </c>
      <c r="Z2530">
        <v>0</v>
      </c>
      <c r="AA2530" t="str">
        <f>"Y"</f>
        <v>Y</v>
      </c>
      <c r="AB2530" t="str">
        <f>"SO21000115"</f>
        <v>SO21000115</v>
      </c>
      <c r="AC2530">
        <v>3</v>
      </c>
      <c r="AD2530" s="1">
        <v>44265</v>
      </c>
      <c r="AE2530" t="str">
        <f>"SH21000926"</f>
        <v>SH21000926</v>
      </c>
      <c r="AF2530" t="str">
        <f>"משלוחים ללקוח"</f>
        <v>משלוחים ללקוח</v>
      </c>
      <c r="AG2530" s="1">
        <v>44357</v>
      </c>
      <c r="AM2530" t="str">
        <f>"10"</f>
        <v>10</v>
      </c>
      <c r="AN2530" t="str">
        <f>"500000"</f>
        <v>500000</v>
      </c>
      <c r="AO2530" t="str">
        <f>"הכנסות  מלקוחות"</f>
        <v>הכנסות  מלקוחות</v>
      </c>
      <c r="AQ2530" t="str">
        <f>"040"</f>
        <v>040</v>
      </c>
      <c r="AR2530">
        <v>0</v>
      </c>
      <c r="AS2530">
        <v>0</v>
      </c>
      <c r="AT2530">
        <v>3.2469999999999999</v>
      </c>
      <c r="AX2530" t="str">
        <f>"E000335043"</f>
        <v>E000335043</v>
      </c>
      <c r="BD2530" t="str">
        <f>"רחמים זרוק"</f>
        <v>רחמים זרוק</v>
      </c>
    </row>
    <row r="2531" spans="1:56" x14ac:dyDescent="0.3">
      <c r="A2531" s="1">
        <v>44361</v>
      </c>
      <c r="B2531" t="str">
        <f>"SI216000876"</f>
        <v>SI216000876</v>
      </c>
      <c r="C2531" t="str">
        <f>"PR21000102"</f>
        <v>PR21000102</v>
      </c>
      <c r="D2531" t="str">
        <f>"PR21000102"</f>
        <v>PR21000102</v>
      </c>
      <c r="E2531" t="str">
        <f>"Y"</f>
        <v>Y</v>
      </c>
      <c r="F2531" t="str">
        <f>"חשבוניות מרכזות"</f>
        <v>חשבוניות מרכזות</v>
      </c>
      <c r="G2531" t="str">
        <f>"700065"</f>
        <v>700065</v>
      </c>
      <c r="H2531" t="str">
        <f>"אלתא מערכות בע""מ"</f>
        <v>אלתא מערכות בע"מ</v>
      </c>
      <c r="I2531" t="str">
        <f>"10"</f>
        <v>10</v>
      </c>
      <c r="J2531" t="str">
        <f>"OP-AR02265"</f>
        <v>OP-AR02265</v>
      </c>
      <c r="K2531" t="str">
        <f>"2019E862-001   CABLE FUNCTION KEY CORD"</f>
        <v>2019E862-001   CABLE FUNCTION KEY CORD</v>
      </c>
      <c r="L2531">
        <v>12</v>
      </c>
      <c r="M2531" t="str">
        <f>"יח"</f>
        <v>יח</v>
      </c>
      <c r="N2531">
        <v>12</v>
      </c>
      <c r="O2531" t="str">
        <f>"יח"</f>
        <v>יח</v>
      </c>
      <c r="P2531">
        <v>132.59</v>
      </c>
      <c r="Q2531" t="str">
        <f>"$"</f>
        <v>$</v>
      </c>
      <c r="R2531" t="str">
        <f>"הזמנה"</f>
        <v>הזמנה</v>
      </c>
      <c r="S2531">
        <v>0</v>
      </c>
      <c r="T2531" s="2">
        <v>1591.08</v>
      </c>
      <c r="U2531">
        <v>0</v>
      </c>
      <c r="V2531" s="2">
        <v>1591.08</v>
      </c>
      <c r="W2531" t="str">
        <f>"$"</f>
        <v>$</v>
      </c>
      <c r="X2531">
        <v>0</v>
      </c>
      <c r="Y2531">
        <v>0</v>
      </c>
      <c r="Z2531">
        <v>0</v>
      </c>
      <c r="AA2531" t="str">
        <f>"Y"</f>
        <v>Y</v>
      </c>
      <c r="AB2531" t="str">
        <f>"SO21000049"</f>
        <v>SO21000049</v>
      </c>
      <c r="AC2531">
        <v>4</v>
      </c>
      <c r="AD2531" s="1">
        <v>44222</v>
      </c>
      <c r="AE2531" t="str">
        <f>"SH21000927"</f>
        <v>SH21000927</v>
      </c>
      <c r="AF2531" t="str">
        <f>"משלוחים ללקוח"</f>
        <v>משלוחים ללקוח</v>
      </c>
      <c r="AG2531" s="1">
        <v>44357</v>
      </c>
      <c r="AM2531" t="str">
        <f>"10"</f>
        <v>10</v>
      </c>
      <c r="AN2531" t="str">
        <f>"500000"</f>
        <v>500000</v>
      </c>
      <c r="AO2531" t="str">
        <f>"הכנסות  מלקוחות"</f>
        <v>הכנסות  מלקוחות</v>
      </c>
      <c r="AQ2531" t="str">
        <f>"034"</f>
        <v>034</v>
      </c>
      <c r="AR2531">
        <v>0</v>
      </c>
      <c r="AS2531">
        <v>0</v>
      </c>
      <c r="AT2531">
        <v>3.2469999999999999</v>
      </c>
      <c r="AX2531" t="str">
        <f>"E000330704"</f>
        <v>E000330704</v>
      </c>
      <c r="BD2531" t="str">
        <f>"ערן שלו"</f>
        <v>ערן שלו</v>
      </c>
    </row>
    <row r="2532" spans="1:56" x14ac:dyDescent="0.3">
      <c r="A2532" s="1">
        <v>44361</v>
      </c>
      <c r="B2532" t="str">
        <f>"SI216000875"</f>
        <v>SI216000875</v>
      </c>
      <c r="C2532" t="str">
        <f>"PR21000020"</f>
        <v>PR21000020</v>
      </c>
      <c r="E2532" t="str">
        <f>"Y"</f>
        <v>Y</v>
      </c>
      <c r="F2532" t="str">
        <f>"חשבוניות מרכזות"</f>
        <v>חשבוניות מרכזות</v>
      </c>
      <c r="G2532" t="str">
        <f>"700065"</f>
        <v>700065</v>
      </c>
      <c r="H2532" t="str">
        <f>"אלתא מערכות בע""מ"</f>
        <v>אלתא מערכות בע"מ</v>
      </c>
      <c r="I2532" t="str">
        <f>"10"</f>
        <v>10</v>
      </c>
      <c r="J2532" t="str">
        <f>"OP-AR02235"</f>
        <v>OP-AR02235</v>
      </c>
      <c r="K2532" t="str">
        <f>"1036C426-001   HARNESS W426 - EPU - PDU1 CONTROL"</f>
        <v>1036C426-001   HARNESS W426 - EPU - PDU1 CONTROL</v>
      </c>
      <c r="L2532">
        <v>2</v>
      </c>
      <c r="M2532" t="str">
        <f>"יח"</f>
        <v>יח</v>
      </c>
      <c r="N2532">
        <v>2</v>
      </c>
      <c r="O2532" t="str">
        <f>"יח"</f>
        <v>יח</v>
      </c>
      <c r="P2532" s="2">
        <v>3307.94</v>
      </c>
      <c r="Q2532" t="str">
        <f>"$"</f>
        <v>$</v>
      </c>
      <c r="R2532" t="str">
        <f>"הזמנה"</f>
        <v>הזמנה</v>
      </c>
      <c r="S2532">
        <v>0</v>
      </c>
      <c r="T2532" s="2">
        <v>6615.88</v>
      </c>
      <c r="U2532">
        <v>3.7</v>
      </c>
      <c r="V2532" s="2">
        <v>6371.09</v>
      </c>
      <c r="W2532" t="str">
        <f>"$"</f>
        <v>$</v>
      </c>
      <c r="X2532">
        <v>0</v>
      </c>
      <c r="Y2532">
        <v>0</v>
      </c>
      <c r="Z2532">
        <v>0</v>
      </c>
      <c r="AA2532" t="str">
        <f>"Y"</f>
        <v>Y</v>
      </c>
      <c r="AB2532" t="str">
        <f>"SO20000583"</f>
        <v>SO20000583</v>
      </c>
      <c r="AC2532">
        <v>2</v>
      </c>
      <c r="AD2532" s="1">
        <v>44175</v>
      </c>
      <c r="AE2532" t="str">
        <f>"SH21000917"</f>
        <v>SH21000917</v>
      </c>
      <c r="AF2532" t="str">
        <f>"משלוחים ללקוח"</f>
        <v>משלוחים ללקוח</v>
      </c>
      <c r="AG2532" s="1">
        <v>44357</v>
      </c>
      <c r="AM2532" t="str">
        <f>"10"</f>
        <v>10</v>
      </c>
      <c r="AN2532" t="str">
        <f>"500000"</f>
        <v>500000</v>
      </c>
      <c r="AO2532" t="str">
        <f>"הכנסות  מלקוחות"</f>
        <v>הכנסות  מלקוחות</v>
      </c>
      <c r="AQ2532" t="str">
        <f>"034"</f>
        <v>034</v>
      </c>
      <c r="AR2532">
        <v>0</v>
      </c>
      <c r="AS2532">
        <v>0</v>
      </c>
      <c r="AT2532">
        <v>3.2469999999999999</v>
      </c>
      <c r="AX2532" t="str">
        <f>"E000327655"</f>
        <v>E000327655</v>
      </c>
      <c r="BD2532" t="str">
        <f>"ערן שלו"</f>
        <v>ערן שלו</v>
      </c>
    </row>
    <row r="2533" spans="1:56" x14ac:dyDescent="0.3">
      <c r="A2533" s="1">
        <v>44361</v>
      </c>
      <c r="B2533" t="str">
        <f>"SI216000874"</f>
        <v>SI216000874</v>
      </c>
      <c r="C2533" t="str">
        <f>"PR20000348"</f>
        <v>PR20000348</v>
      </c>
      <c r="E2533" t="str">
        <f>"Y"</f>
        <v>Y</v>
      </c>
      <c r="F2533" t="str">
        <f>"חשבוניות מרכזות"</f>
        <v>חשבוניות מרכזות</v>
      </c>
      <c r="G2533" t="str">
        <f>"700065"</f>
        <v>700065</v>
      </c>
      <c r="H2533" t="str">
        <f>"אלתא מערכות בע""מ"</f>
        <v>אלתא מערכות בע"מ</v>
      </c>
      <c r="I2533" t="str">
        <f>"10"</f>
        <v>10</v>
      </c>
      <c r="J2533" t="str">
        <f>"OP-AR01786"</f>
        <v>OP-AR01786</v>
      </c>
      <c r="K2533" t="str">
        <f>"1029P215-001 WA015 CONTROL SPLITER"</f>
        <v>1029P215-001 WA015 CONTROL SPLITER</v>
      </c>
      <c r="L2533">
        <v>3</v>
      </c>
      <c r="M2533" t="str">
        <f>"יח"</f>
        <v>יח</v>
      </c>
      <c r="N2533">
        <v>3</v>
      </c>
      <c r="O2533" t="str">
        <f>"יח"</f>
        <v>יח</v>
      </c>
      <c r="P2533" s="2">
        <v>1686.53</v>
      </c>
      <c r="Q2533" t="str">
        <f>"$"</f>
        <v>$</v>
      </c>
      <c r="R2533" t="str">
        <f>"הזמנה"</f>
        <v>הזמנה</v>
      </c>
      <c r="S2533">
        <v>0</v>
      </c>
      <c r="T2533" s="2">
        <v>5059.59</v>
      </c>
      <c r="U2533">
        <v>0</v>
      </c>
      <c r="V2533" s="2">
        <v>5059.59</v>
      </c>
      <c r="W2533" t="str">
        <f>"$"</f>
        <v>$</v>
      </c>
      <c r="X2533">
        <v>0</v>
      </c>
      <c r="Y2533">
        <v>0</v>
      </c>
      <c r="Z2533">
        <v>0</v>
      </c>
      <c r="AA2533" t="str">
        <f>"Y"</f>
        <v>Y</v>
      </c>
      <c r="AB2533" t="str">
        <f>"SO20000201"</f>
        <v>SO20000201</v>
      </c>
      <c r="AC2533">
        <v>52</v>
      </c>
      <c r="AD2533" s="1">
        <v>43970</v>
      </c>
      <c r="AE2533" t="str">
        <f>"SH21000903"</f>
        <v>SH21000903</v>
      </c>
      <c r="AF2533" t="str">
        <f>"משלוחים ללקוח"</f>
        <v>משלוחים ללקוח</v>
      </c>
      <c r="AG2533" s="1">
        <v>44355</v>
      </c>
      <c r="AM2533" t="str">
        <f>"10"</f>
        <v>10</v>
      </c>
      <c r="AN2533" t="str">
        <f>"500000"</f>
        <v>500000</v>
      </c>
      <c r="AO2533" t="str">
        <f>"הכנסות  מלקוחות"</f>
        <v>הכנסות  מלקוחות</v>
      </c>
      <c r="AQ2533" t="str">
        <f>"034"</f>
        <v>034</v>
      </c>
      <c r="AR2533">
        <v>0</v>
      </c>
      <c r="AS2533">
        <v>0</v>
      </c>
      <c r="AT2533">
        <v>3.2469999999999999</v>
      </c>
      <c r="AX2533" t="str">
        <f>"E000311250"</f>
        <v>E000311250</v>
      </c>
      <c r="BD2533" t="str">
        <f>"ערן שלו"</f>
        <v>ערן שלו</v>
      </c>
    </row>
    <row r="2534" spans="1:56" x14ac:dyDescent="0.3">
      <c r="A2534" s="1">
        <v>44361</v>
      </c>
      <c r="B2534" t="str">
        <f>"SI216000873"</f>
        <v>SI216000873</v>
      </c>
      <c r="C2534" t="str">
        <f>"PR20000834"</f>
        <v>PR20000834</v>
      </c>
      <c r="D2534" t="str">
        <f>"PR20000834"</f>
        <v>PR20000834</v>
      </c>
      <c r="E2534" t="str">
        <f>"Y"</f>
        <v>Y</v>
      </c>
      <c r="F2534" t="str">
        <f>"חשבוניות מרכזות"</f>
        <v>חשבוניות מרכזות</v>
      </c>
      <c r="G2534" t="str">
        <f>"700065"</f>
        <v>700065</v>
      </c>
      <c r="H2534" t="str">
        <f>"אלתא מערכות בע""מ"</f>
        <v>אלתא מערכות בע"מ</v>
      </c>
      <c r="I2534" t="str">
        <f>"10"</f>
        <v>10</v>
      </c>
      <c r="J2534" t="str">
        <f>"OP-AR02124"</f>
        <v>OP-AR02124</v>
      </c>
      <c r="K2534" t="str">
        <f>"1032F940-001/-   ETHERNET CABLE MFR-W940 - FILTE"</f>
        <v>1032F940-001/-   ETHERNET CABLE MFR-W940 - FILTE</v>
      </c>
      <c r="L2534">
        <v>7</v>
      </c>
      <c r="M2534" t="str">
        <f>"יח"</f>
        <v>יח</v>
      </c>
      <c r="N2534">
        <v>7</v>
      </c>
      <c r="O2534" t="str">
        <f>"יח"</f>
        <v>יח</v>
      </c>
      <c r="P2534">
        <v>174</v>
      </c>
      <c r="Q2534" t="str">
        <f>"$"</f>
        <v>$</v>
      </c>
      <c r="R2534" t="str">
        <f>"הזמנה"</f>
        <v>הזמנה</v>
      </c>
      <c r="S2534">
        <v>0</v>
      </c>
      <c r="T2534" s="2">
        <v>1218</v>
      </c>
      <c r="U2534">
        <v>0</v>
      </c>
      <c r="V2534" s="2">
        <v>1218</v>
      </c>
      <c r="W2534" t="str">
        <f>"$"</f>
        <v>$</v>
      </c>
      <c r="X2534">
        <v>0</v>
      </c>
      <c r="Y2534">
        <v>0</v>
      </c>
      <c r="Z2534">
        <v>0</v>
      </c>
      <c r="AA2534" t="str">
        <f>"Y"</f>
        <v>Y</v>
      </c>
      <c r="AB2534" t="str">
        <f>"SO20000532"</f>
        <v>SO20000532</v>
      </c>
      <c r="AC2534">
        <v>119</v>
      </c>
      <c r="AD2534" s="1">
        <v>44155</v>
      </c>
      <c r="AE2534" t="str">
        <f>"SH21000920"</f>
        <v>SH21000920</v>
      </c>
      <c r="AF2534" t="str">
        <f>"משלוחים ללקוח"</f>
        <v>משלוחים ללקוח</v>
      </c>
      <c r="AG2534" s="1">
        <v>44357</v>
      </c>
      <c r="AM2534" t="str">
        <f>"10"</f>
        <v>10</v>
      </c>
      <c r="AN2534" t="str">
        <f>"500000"</f>
        <v>500000</v>
      </c>
      <c r="AO2534" t="str">
        <f>"הכנסות  מלקוחות"</f>
        <v>הכנסות  מלקוחות</v>
      </c>
      <c r="AQ2534" t="str">
        <f>"034"</f>
        <v>034</v>
      </c>
      <c r="AR2534">
        <v>0</v>
      </c>
      <c r="AS2534">
        <v>0</v>
      </c>
      <c r="AT2534">
        <v>3.2469999999999999</v>
      </c>
      <c r="AX2534" t="str">
        <f>"E000321177"</f>
        <v>E000321177</v>
      </c>
      <c r="BD2534" t="str">
        <f>"ערן שלו"</f>
        <v>ערן שלו</v>
      </c>
    </row>
    <row r="2535" spans="1:56" x14ac:dyDescent="0.3">
      <c r="A2535" s="1">
        <v>44361</v>
      </c>
      <c r="B2535" t="str">
        <f>"SI216000873"</f>
        <v>SI216000873</v>
      </c>
      <c r="C2535" t="str">
        <f>"PR20000834"</f>
        <v>PR20000834</v>
      </c>
      <c r="D2535" t="str">
        <f>"PR20000834"</f>
        <v>PR20000834</v>
      </c>
      <c r="E2535" t="str">
        <f>"Y"</f>
        <v>Y</v>
      </c>
      <c r="F2535" t="str">
        <f>"חשבוניות מרכזות"</f>
        <v>חשבוניות מרכזות</v>
      </c>
      <c r="G2535" t="str">
        <f>"700065"</f>
        <v>700065</v>
      </c>
      <c r="H2535" t="str">
        <f>"אלתא מערכות בע""מ"</f>
        <v>אלתא מערכות בע"מ</v>
      </c>
      <c r="I2535" t="str">
        <f>"10"</f>
        <v>10</v>
      </c>
      <c r="J2535" t="str">
        <f>"OP-AR02125"</f>
        <v>OP-AR02125</v>
      </c>
      <c r="K2535" t="str">
        <f>"1032F941-001/-   ETHERNET CABLE MFR-W941 - FILTE"</f>
        <v>1032F941-001/-   ETHERNET CABLE MFR-W941 - FILTE</v>
      </c>
      <c r="L2535">
        <v>7</v>
      </c>
      <c r="M2535" t="str">
        <f>"יח"</f>
        <v>יח</v>
      </c>
      <c r="N2535">
        <v>7</v>
      </c>
      <c r="O2535" t="str">
        <f>"יח"</f>
        <v>יח</v>
      </c>
      <c r="P2535">
        <v>174</v>
      </c>
      <c r="Q2535" t="str">
        <f>"$"</f>
        <v>$</v>
      </c>
      <c r="R2535" t="str">
        <f>"הזמנה"</f>
        <v>הזמנה</v>
      </c>
      <c r="S2535">
        <v>0</v>
      </c>
      <c r="T2535" s="2">
        <v>1218</v>
      </c>
      <c r="U2535">
        <v>0</v>
      </c>
      <c r="V2535" s="2">
        <v>1218</v>
      </c>
      <c r="W2535" t="str">
        <f>"$"</f>
        <v>$</v>
      </c>
      <c r="X2535">
        <v>0</v>
      </c>
      <c r="Y2535">
        <v>0</v>
      </c>
      <c r="Z2535">
        <v>0</v>
      </c>
      <c r="AA2535" t="str">
        <f>"Y"</f>
        <v>Y</v>
      </c>
      <c r="AB2535" t="str">
        <f>"SO20000532"</f>
        <v>SO20000532</v>
      </c>
      <c r="AC2535">
        <v>125</v>
      </c>
      <c r="AD2535" s="1">
        <v>44155</v>
      </c>
      <c r="AE2535" t="str">
        <f>"SH21000920"</f>
        <v>SH21000920</v>
      </c>
      <c r="AF2535" t="str">
        <f>"משלוחים ללקוח"</f>
        <v>משלוחים ללקוח</v>
      </c>
      <c r="AG2535" s="1">
        <v>44357</v>
      </c>
      <c r="AM2535" t="str">
        <f>"10"</f>
        <v>10</v>
      </c>
      <c r="AN2535" t="str">
        <f>"500000"</f>
        <v>500000</v>
      </c>
      <c r="AO2535" t="str">
        <f>"הכנסות  מלקוחות"</f>
        <v>הכנסות  מלקוחות</v>
      </c>
      <c r="AQ2535" t="str">
        <f>"034"</f>
        <v>034</v>
      </c>
      <c r="AR2535">
        <v>0</v>
      </c>
      <c r="AS2535">
        <v>0</v>
      </c>
      <c r="AT2535">
        <v>3.2469999999999999</v>
      </c>
      <c r="AX2535" t="str">
        <f>"E000321177"</f>
        <v>E000321177</v>
      </c>
      <c r="BD2535" t="str">
        <f>"ערן שלו"</f>
        <v>ערן שלו</v>
      </c>
    </row>
    <row r="2536" spans="1:56" x14ac:dyDescent="0.3">
      <c r="A2536" s="1">
        <v>44361</v>
      </c>
      <c r="B2536" t="str">
        <f>"SI216000873"</f>
        <v>SI216000873</v>
      </c>
      <c r="C2536" t="str">
        <f>"PR20000834"</f>
        <v>PR20000834</v>
      </c>
      <c r="D2536" t="str">
        <f>"PR20000834"</f>
        <v>PR20000834</v>
      </c>
      <c r="E2536" t="str">
        <f>"Y"</f>
        <v>Y</v>
      </c>
      <c r="F2536" t="str">
        <f>"חשבוניות מרכזות"</f>
        <v>חשבוניות מרכזות</v>
      </c>
      <c r="G2536" t="str">
        <f>"700065"</f>
        <v>700065</v>
      </c>
      <c r="H2536" t="str">
        <f>"אלתא מערכות בע""מ"</f>
        <v>אלתא מערכות בע"מ</v>
      </c>
      <c r="I2536" t="str">
        <f>"10"</f>
        <v>10</v>
      </c>
      <c r="J2536" t="str">
        <f>"OP-AR02126"</f>
        <v>OP-AR02126</v>
      </c>
      <c r="K2536" t="str">
        <f>"1032F942-001/-   ETHERNET CABLE MFR-W942 - FILTE"</f>
        <v>1032F942-001/-   ETHERNET CABLE MFR-W942 - FILTE</v>
      </c>
      <c r="L2536">
        <v>6</v>
      </c>
      <c r="M2536" t="str">
        <f>"יח"</f>
        <v>יח</v>
      </c>
      <c r="N2536">
        <v>6</v>
      </c>
      <c r="O2536" t="str">
        <f>"יח"</f>
        <v>יח</v>
      </c>
      <c r="P2536">
        <v>174</v>
      </c>
      <c r="Q2536" t="str">
        <f>"$"</f>
        <v>$</v>
      </c>
      <c r="R2536" t="str">
        <f>"הזמנה"</f>
        <v>הזמנה</v>
      </c>
      <c r="S2536">
        <v>0</v>
      </c>
      <c r="T2536" s="2">
        <v>1044</v>
      </c>
      <c r="U2536">
        <v>0</v>
      </c>
      <c r="V2536" s="2">
        <v>1044</v>
      </c>
      <c r="W2536" t="str">
        <f>"$"</f>
        <v>$</v>
      </c>
      <c r="X2536">
        <v>0</v>
      </c>
      <c r="Y2536">
        <v>0</v>
      </c>
      <c r="Z2536">
        <v>0</v>
      </c>
      <c r="AA2536" t="str">
        <f>"Y"</f>
        <v>Y</v>
      </c>
      <c r="AB2536" t="str">
        <f>"SO20000532"</f>
        <v>SO20000532</v>
      </c>
      <c r="AC2536">
        <v>131</v>
      </c>
      <c r="AD2536" s="1">
        <v>44155</v>
      </c>
      <c r="AE2536" t="str">
        <f>"SH21000920"</f>
        <v>SH21000920</v>
      </c>
      <c r="AF2536" t="str">
        <f>"משלוחים ללקוח"</f>
        <v>משלוחים ללקוח</v>
      </c>
      <c r="AG2536" s="1">
        <v>44357</v>
      </c>
      <c r="AM2536" t="str">
        <f>"10"</f>
        <v>10</v>
      </c>
      <c r="AN2536" t="str">
        <f>"500000"</f>
        <v>500000</v>
      </c>
      <c r="AO2536" t="str">
        <f>"הכנסות  מלקוחות"</f>
        <v>הכנסות  מלקוחות</v>
      </c>
      <c r="AQ2536" t="str">
        <f>"034"</f>
        <v>034</v>
      </c>
      <c r="AR2536">
        <v>0</v>
      </c>
      <c r="AS2536">
        <v>0</v>
      </c>
      <c r="AT2536">
        <v>3.2469999999999999</v>
      </c>
      <c r="AX2536" t="str">
        <f>"E000321177"</f>
        <v>E000321177</v>
      </c>
      <c r="BD2536" t="str">
        <f>"ערן שלו"</f>
        <v>ערן שלו</v>
      </c>
    </row>
    <row r="2537" spans="1:56" x14ac:dyDescent="0.3">
      <c r="A2537" s="1">
        <v>44361</v>
      </c>
      <c r="B2537" t="str">
        <f>"SI216000873"</f>
        <v>SI216000873</v>
      </c>
      <c r="C2537" t="str">
        <f>"PR20000834"</f>
        <v>PR20000834</v>
      </c>
      <c r="D2537" t="str">
        <f>"PR20000834"</f>
        <v>PR20000834</v>
      </c>
      <c r="E2537" t="str">
        <f>"Y"</f>
        <v>Y</v>
      </c>
      <c r="F2537" t="str">
        <f>"חשבוניות מרכזות"</f>
        <v>חשבוניות מרכזות</v>
      </c>
      <c r="G2537" t="str">
        <f>"700065"</f>
        <v>700065</v>
      </c>
      <c r="H2537" t="str">
        <f>"אלתא מערכות בע""מ"</f>
        <v>אלתא מערכות בע"מ</v>
      </c>
      <c r="I2537" t="str">
        <f>"10"</f>
        <v>10</v>
      </c>
      <c r="J2537" t="str">
        <f>"OP-AR02127"</f>
        <v>OP-AR02127</v>
      </c>
      <c r="K2537" t="str">
        <f>"1032F943-001/-   ETHERNET CABLE MFR-W943 - FILTE"</f>
        <v>1032F943-001/-   ETHERNET CABLE MFR-W943 - FILTE</v>
      </c>
      <c r="L2537">
        <v>6</v>
      </c>
      <c r="M2537" t="str">
        <f>"יח"</f>
        <v>יח</v>
      </c>
      <c r="N2537">
        <v>6</v>
      </c>
      <c r="O2537" t="str">
        <f>"יח"</f>
        <v>יח</v>
      </c>
      <c r="P2537">
        <v>174</v>
      </c>
      <c r="Q2537" t="str">
        <f>"$"</f>
        <v>$</v>
      </c>
      <c r="R2537" t="str">
        <f>"הזמנה"</f>
        <v>הזמנה</v>
      </c>
      <c r="S2537">
        <v>0</v>
      </c>
      <c r="T2537" s="2">
        <v>1044</v>
      </c>
      <c r="U2537">
        <v>0</v>
      </c>
      <c r="V2537" s="2">
        <v>1044</v>
      </c>
      <c r="W2537" t="str">
        <f>"$"</f>
        <v>$</v>
      </c>
      <c r="X2537">
        <v>0</v>
      </c>
      <c r="Y2537">
        <v>0</v>
      </c>
      <c r="Z2537">
        <v>0</v>
      </c>
      <c r="AA2537" t="str">
        <f>"Y"</f>
        <v>Y</v>
      </c>
      <c r="AB2537" t="str">
        <f>"SO20000532"</f>
        <v>SO20000532</v>
      </c>
      <c r="AC2537">
        <v>137</v>
      </c>
      <c r="AD2537" s="1">
        <v>44155</v>
      </c>
      <c r="AE2537" t="str">
        <f>"SH21000920"</f>
        <v>SH21000920</v>
      </c>
      <c r="AF2537" t="str">
        <f>"משלוחים ללקוח"</f>
        <v>משלוחים ללקוח</v>
      </c>
      <c r="AG2537" s="1">
        <v>44357</v>
      </c>
      <c r="AM2537" t="str">
        <f>"10"</f>
        <v>10</v>
      </c>
      <c r="AN2537" t="str">
        <f>"500000"</f>
        <v>500000</v>
      </c>
      <c r="AO2537" t="str">
        <f>"הכנסות  מלקוחות"</f>
        <v>הכנסות  מלקוחות</v>
      </c>
      <c r="AQ2537" t="str">
        <f>"034"</f>
        <v>034</v>
      </c>
      <c r="AR2537">
        <v>0</v>
      </c>
      <c r="AS2537">
        <v>0</v>
      </c>
      <c r="AT2537">
        <v>3.2469999999999999</v>
      </c>
      <c r="AX2537" t="str">
        <f>"E000321177"</f>
        <v>E000321177</v>
      </c>
      <c r="BD2537" t="str">
        <f>"ערן שלו"</f>
        <v>ערן שלו</v>
      </c>
    </row>
    <row r="2538" spans="1:56" x14ac:dyDescent="0.3">
      <c r="A2538" s="1">
        <v>44361</v>
      </c>
      <c r="B2538" t="str">
        <f>"SI216000873"</f>
        <v>SI216000873</v>
      </c>
      <c r="C2538" t="str">
        <f>"PR20000834"</f>
        <v>PR20000834</v>
      </c>
      <c r="D2538" t="str">
        <f>"PR20000834"</f>
        <v>PR20000834</v>
      </c>
      <c r="E2538" t="str">
        <f>"Y"</f>
        <v>Y</v>
      </c>
      <c r="F2538" t="str">
        <f>"חשבוניות מרכזות"</f>
        <v>חשבוניות מרכזות</v>
      </c>
      <c r="G2538" t="str">
        <f>"700065"</f>
        <v>700065</v>
      </c>
      <c r="H2538" t="str">
        <f>"אלתא מערכות בע""מ"</f>
        <v>אלתא מערכות בע"מ</v>
      </c>
      <c r="I2538" t="str">
        <f>"10"</f>
        <v>10</v>
      </c>
      <c r="J2538" t="str">
        <f>"OP-AR02128"</f>
        <v>OP-AR02128</v>
      </c>
      <c r="K2538" t="str">
        <f>"1032F944-001/-   ETHERNET CABLE MFR-W944 - FILTE"</f>
        <v>1032F944-001/-   ETHERNET CABLE MFR-W944 - FILTE</v>
      </c>
      <c r="L2538">
        <v>6</v>
      </c>
      <c r="M2538" t="str">
        <f>"יח"</f>
        <v>יח</v>
      </c>
      <c r="N2538">
        <v>6</v>
      </c>
      <c r="O2538" t="str">
        <f>"יח"</f>
        <v>יח</v>
      </c>
      <c r="P2538">
        <v>174</v>
      </c>
      <c r="Q2538" t="str">
        <f>"$"</f>
        <v>$</v>
      </c>
      <c r="R2538" t="str">
        <f>"הזמנה"</f>
        <v>הזמנה</v>
      </c>
      <c r="S2538">
        <v>0</v>
      </c>
      <c r="T2538" s="2">
        <v>1044</v>
      </c>
      <c r="U2538">
        <v>0</v>
      </c>
      <c r="V2538" s="2">
        <v>1044</v>
      </c>
      <c r="W2538" t="str">
        <f>"$"</f>
        <v>$</v>
      </c>
      <c r="X2538">
        <v>0</v>
      </c>
      <c r="Y2538">
        <v>0</v>
      </c>
      <c r="Z2538">
        <v>0</v>
      </c>
      <c r="AA2538" t="str">
        <f>"Y"</f>
        <v>Y</v>
      </c>
      <c r="AB2538" t="str">
        <f>"SO20000532"</f>
        <v>SO20000532</v>
      </c>
      <c r="AC2538">
        <v>143</v>
      </c>
      <c r="AD2538" s="1">
        <v>44155</v>
      </c>
      <c r="AE2538" t="str">
        <f>"SH21000920"</f>
        <v>SH21000920</v>
      </c>
      <c r="AF2538" t="str">
        <f>"משלוחים ללקוח"</f>
        <v>משלוחים ללקוח</v>
      </c>
      <c r="AG2538" s="1">
        <v>44357</v>
      </c>
      <c r="AM2538" t="str">
        <f>"10"</f>
        <v>10</v>
      </c>
      <c r="AN2538" t="str">
        <f>"500000"</f>
        <v>500000</v>
      </c>
      <c r="AO2538" t="str">
        <f>"הכנסות  מלקוחות"</f>
        <v>הכנסות  מלקוחות</v>
      </c>
      <c r="AQ2538" t="str">
        <f>"034"</f>
        <v>034</v>
      </c>
      <c r="AR2538">
        <v>0</v>
      </c>
      <c r="AS2538">
        <v>0</v>
      </c>
      <c r="AT2538">
        <v>3.2469999999999999</v>
      </c>
      <c r="AX2538" t="str">
        <f>"E000321177"</f>
        <v>E000321177</v>
      </c>
      <c r="BD2538" t="str">
        <f>"ערן שלו"</f>
        <v>ערן שלו</v>
      </c>
    </row>
    <row r="2539" spans="1:56" x14ac:dyDescent="0.3">
      <c r="A2539" s="1">
        <v>44361</v>
      </c>
      <c r="B2539" t="str">
        <f>"SI216000872"</f>
        <v>SI216000872</v>
      </c>
      <c r="C2539" t="str">
        <f>"PR21000083"</f>
        <v>PR21000083</v>
      </c>
      <c r="E2539" t="str">
        <f>"Y"</f>
        <v>Y</v>
      </c>
      <c r="F2539" t="str">
        <f>"חשבוניות מרכזות"</f>
        <v>חשבוניות מרכזות</v>
      </c>
      <c r="G2539" t="str">
        <f>"700065"</f>
        <v>700065</v>
      </c>
      <c r="H2539" t="str">
        <f>"אלתא מערכות בע""מ"</f>
        <v>אלתא מערכות בע"מ</v>
      </c>
      <c r="I2539" t="str">
        <f>"10"</f>
        <v>10</v>
      </c>
      <c r="J2539" t="str">
        <f>"OP-AR02241"</f>
        <v>OP-AR02241</v>
      </c>
      <c r="K2539" t="str">
        <f>"1037M832-001   FAN BASE WIRING"</f>
        <v>1037M832-001   FAN BASE WIRING</v>
      </c>
      <c r="L2539">
        <v>5</v>
      </c>
      <c r="M2539" t="str">
        <f>"יח"</f>
        <v>יח</v>
      </c>
      <c r="N2539">
        <v>5</v>
      </c>
      <c r="O2539" t="str">
        <f>"יח"</f>
        <v>יח</v>
      </c>
      <c r="P2539">
        <v>975.59</v>
      </c>
      <c r="Q2539" t="str">
        <f>"$"</f>
        <v>$</v>
      </c>
      <c r="R2539" t="str">
        <f>"הזמנה"</f>
        <v>הזמנה</v>
      </c>
      <c r="S2539">
        <v>0</v>
      </c>
      <c r="T2539" s="2">
        <v>4877.95</v>
      </c>
      <c r="U2539">
        <v>0</v>
      </c>
      <c r="V2539" s="2">
        <v>4877.95</v>
      </c>
      <c r="W2539" t="str">
        <f>"$"</f>
        <v>$</v>
      </c>
      <c r="X2539">
        <v>0</v>
      </c>
      <c r="Y2539">
        <v>0</v>
      </c>
      <c r="Z2539">
        <v>0</v>
      </c>
      <c r="AA2539" t="str">
        <f>"Y"</f>
        <v>Y</v>
      </c>
      <c r="AB2539" t="str">
        <f>"SO21000038"</f>
        <v>SO21000038</v>
      </c>
      <c r="AC2539">
        <v>1</v>
      </c>
      <c r="AD2539" s="1">
        <v>44217</v>
      </c>
      <c r="AE2539" t="str">
        <f>"SH21000941"</f>
        <v>SH21000941</v>
      </c>
      <c r="AF2539" t="str">
        <f>"משלוחים ללקוח"</f>
        <v>משלוחים ללקוח</v>
      </c>
      <c r="AG2539" s="1">
        <v>44360</v>
      </c>
      <c r="AM2539" t="str">
        <f>"10"</f>
        <v>10</v>
      </c>
      <c r="AN2539" t="str">
        <f>"500000"</f>
        <v>500000</v>
      </c>
      <c r="AO2539" t="str">
        <f>"הכנסות  מלקוחות"</f>
        <v>הכנסות  מלקוחות</v>
      </c>
      <c r="AQ2539" t="str">
        <f>"034"</f>
        <v>034</v>
      </c>
      <c r="AR2539">
        <v>0</v>
      </c>
      <c r="AS2539">
        <v>0</v>
      </c>
      <c r="AT2539">
        <v>3.2469999999999999</v>
      </c>
      <c r="AX2539" t="str">
        <f>"E000331155"</f>
        <v>E000331155</v>
      </c>
      <c r="BD2539" t="str">
        <f>"ערן שלו"</f>
        <v>ערן שלו</v>
      </c>
    </row>
    <row r="2540" spans="1:56" x14ac:dyDescent="0.3">
      <c r="A2540" s="1">
        <v>44361</v>
      </c>
      <c r="B2540" t="str">
        <f>"SI216000871"</f>
        <v>SI216000871</v>
      </c>
      <c r="C2540" t="str">
        <f>"PR20000788"</f>
        <v>PR20000788</v>
      </c>
      <c r="D2540" t="str">
        <f>"PR20000788"</f>
        <v>PR20000788</v>
      </c>
      <c r="E2540" t="str">
        <f>"Y"</f>
        <v>Y</v>
      </c>
      <c r="F2540" t="str">
        <f>"חשבוניות מרכזות"</f>
        <v>חשבוניות מרכזות</v>
      </c>
      <c r="G2540" t="str">
        <f>"700065"</f>
        <v>700065</v>
      </c>
      <c r="H2540" t="str">
        <f>"אלתא מערכות בע""מ"</f>
        <v>אלתא מערכות בע"מ</v>
      </c>
      <c r="I2540" t="str">
        <f>"10"</f>
        <v>10</v>
      </c>
      <c r="J2540" t="str">
        <f>"OP-AR02073"</f>
        <v>OP-AR02073</v>
      </c>
      <c r="K2540" t="str">
        <f>"1031B101-001/A   W0101 - DU1 TO MB 1-4"</f>
        <v>1031B101-001/A   W0101 - DU1 TO MB 1-4</v>
      </c>
      <c r="L2540">
        <v>1</v>
      </c>
      <c r="M2540" t="str">
        <f>"יח"</f>
        <v>יח</v>
      </c>
      <c r="N2540">
        <v>1</v>
      </c>
      <c r="O2540" t="str">
        <f>"יח"</f>
        <v>יח</v>
      </c>
      <c r="P2540" s="2">
        <v>3666.01</v>
      </c>
      <c r="Q2540" t="str">
        <f>"$"</f>
        <v>$</v>
      </c>
      <c r="R2540" t="str">
        <f>"הזמנה"</f>
        <v>הזמנה</v>
      </c>
      <c r="S2540">
        <v>0</v>
      </c>
      <c r="T2540" s="2">
        <v>3666.01</v>
      </c>
      <c r="U2540">
        <v>2</v>
      </c>
      <c r="V2540" s="2">
        <v>3592.69</v>
      </c>
      <c r="W2540" t="str">
        <f>"$"</f>
        <v>$</v>
      </c>
      <c r="X2540">
        <v>0</v>
      </c>
      <c r="Y2540">
        <v>0</v>
      </c>
      <c r="Z2540">
        <v>0</v>
      </c>
      <c r="AA2540" t="str">
        <f>"Y"</f>
        <v>Y</v>
      </c>
      <c r="AB2540" t="str">
        <f>"SO20000519"</f>
        <v>SO20000519</v>
      </c>
      <c r="AC2540">
        <v>3</v>
      </c>
      <c r="AD2540" s="1">
        <v>44146</v>
      </c>
      <c r="AE2540" t="str">
        <f>"SH21000916"</f>
        <v>SH21000916</v>
      </c>
      <c r="AF2540" t="str">
        <f>"משלוחים ללקוח"</f>
        <v>משלוחים ללקוח</v>
      </c>
      <c r="AG2540" s="1">
        <v>44357</v>
      </c>
      <c r="AM2540" t="str">
        <f>"10"</f>
        <v>10</v>
      </c>
      <c r="AN2540" t="str">
        <f>"500000"</f>
        <v>500000</v>
      </c>
      <c r="AO2540" t="str">
        <f>"הכנסות  מלקוחות"</f>
        <v>הכנסות  מלקוחות</v>
      </c>
      <c r="AQ2540" t="str">
        <f>"034"</f>
        <v>034</v>
      </c>
      <c r="AR2540">
        <v>0</v>
      </c>
      <c r="AS2540">
        <v>0</v>
      </c>
      <c r="AT2540">
        <v>3.2469999999999999</v>
      </c>
      <c r="AX2540" t="str">
        <f>"E000323818"</f>
        <v>E000323818</v>
      </c>
      <c r="BD2540" t="str">
        <f>"ערן שלו"</f>
        <v>ערן שלו</v>
      </c>
    </row>
    <row r="2541" spans="1:56" x14ac:dyDescent="0.3">
      <c r="A2541" s="1">
        <v>44361</v>
      </c>
      <c r="B2541" t="str">
        <f>"SI216000870"</f>
        <v>SI216000870</v>
      </c>
      <c r="C2541" t="str">
        <f>"PR21000144"</f>
        <v>PR21000144</v>
      </c>
      <c r="E2541" t="str">
        <f>"Y"</f>
        <v>Y</v>
      </c>
      <c r="F2541" t="str">
        <f>"חשבוניות מרכזות"</f>
        <v>חשבוניות מרכזות</v>
      </c>
      <c r="G2541" t="str">
        <f>"700065"</f>
        <v>700065</v>
      </c>
      <c r="H2541" t="str">
        <f>"אלתא מערכות בע""מ"</f>
        <v>אלתא מערכות בע"מ</v>
      </c>
      <c r="I2541" t="str">
        <f>"10"</f>
        <v>10</v>
      </c>
      <c r="J2541" t="str">
        <f>"OP-AR02310"</f>
        <v>OP-AR02310</v>
      </c>
      <c r="K2541" t="str">
        <f>"1033A431-001  CABLE ASSY INT BOX - PED FOR INTEG"</f>
        <v>1033A431-001  CABLE ASSY INT BOX - PED FOR INTEG</v>
      </c>
      <c r="L2541">
        <v>2</v>
      </c>
      <c r="M2541" t="str">
        <f>"יח"</f>
        <v>יח</v>
      </c>
      <c r="N2541">
        <v>2</v>
      </c>
      <c r="O2541" t="str">
        <f>"יח"</f>
        <v>יח</v>
      </c>
      <c r="P2541">
        <v>851.86</v>
      </c>
      <c r="Q2541" t="str">
        <f>"$"</f>
        <v>$</v>
      </c>
      <c r="R2541" t="str">
        <f>"הזמנה"</f>
        <v>הזמנה</v>
      </c>
      <c r="S2541">
        <v>0</v>
      </c>
      <c r="T2541" s="2">
        <v>1703.72</v>
      </c>
      <c r="U2541">
        <v>0</v>
      </c>
      <c r="V2541" s="2">
        <v>1703.72</v>
      </c>
      <c r="W2541" t="str">
        <f>"$"</f>
        <v>$</v>
      </c>
      <c r="X2541">
        <v>0</v>
      </c>
      <c r="Y2541">
        <v>0</v>
      </c>
      <c r="Z2541">
        <v>0</v>
      </c>
      <c r="AA2541" t="str">
        <f>"Y"</f>
        <v>Y</v>
      </c>
      <c r="AB2541" t="str">
        <f>"SO21000086"</f>
        <v>SO21000086</v>
      </c>
      <c r="AC2541">
        <v>4</v>
      </c>
      <c r="AD2541" s="1">
        <v>44248</v>
      </c>
      <c r="AE2541" t="str">
        <f>"SH21000924"</f>
        <v>SH21000924</v>
      </c>
      <c r="AF2541" t="str">
        <f>"משלוחים ללקוח"</f>
        <v>משלוחים ללקוח</v>
      </c>
      <c r="AG2541" s="1">
        <v>44357</v>
      </c>
      <c r="AM2541" t="str">
        <f>"10"</f>
        <v>10</v>
      </c>
      <c r="AN2541" t="str">
        <f>"500000"</f>
        <v>500000</v>
      </c>
      <c r="AO2541" t="str">
        <f>"הכנסות  מלקוחות"</f>
        <v>הכנסות  מלקוחות</v>
      </c>
      <c r="AQ2541" t="str">
        <f>"040"</f>
        <v>040</v>
      </c>
      <c r="AR2541">
        <v>0</v>
      </c>
      <c r="AS2541">
        <v>0</v>
      </c>
      <c r="AT2541">
        <v>3.2469999999999999</v>
      </c>
      <c r="AX2541" t="str">
        <f>"E000332301"</f>
        <v>E000332301</v>
      </c>
      <c r="BD2541" t="str">
        <f>"רחמים זרוק"</f>
        <v>רחמים זרוק</v>
      </c>
    </row>
    <row r="2542" spans="1:56" x14ac:dyDescent="0.3">
      <c r="A2542" s="1">
        <v>44361</v>
      </c>
      <c r="B2542" t="str">
        <f>"SI216000870"</f>
        <v>SI216000870</v>
      </c>
      <c r="C2542" t="str">
        <f>"PR21000144"</f>
        <v>PR21000144</v>
      </c>
      <c r="E2542" t="str">
        <f>"Y"</f>
        <v>Y</v>
      </c>
      <c r="F2542" t="str">
        <f>"חשבוניות מרכזות"</f>
        <v>חשבוניות מרכזות</v>
      </c>
      <c r="G2542" t="str">
        <f>"700065"</f>
        <v>700065</v>
      </c>
      <c r="H2542" t="str">
        <f>"אלתא מערכות בע""מ"</f>
        <v>אלתא מערכות בע"מ</v>
      </c>
      <c r="I2542" t="str">
        <f>"10"</f>
        <v>10</v>
      </c>
      <c r="J2542" t="str">
        <f>"OP-AR02310"</f>
        <v>OP-AR02310</v>
      </c>
      <c r="K2542" t="str">
        <f>"1033A431-001  CABLE ASSY INT BOX - PED FOR INTEG"</f>
        <v>1033A431-001  CABLE ASSY INT BOX - PED FOR INTEG</v>
      </c>
      <c r="L2542">
        <v>2</v>
      </c>
      <c r="M2542" t="str">
        <f>"יח"</f>
        <v>יח</v>
      </c>
      <c r="N2542">
        <v>2</v>
      </c>
      <c r="O2542" t="str">
        <f>"יח"</f>
        <v>יח</v>
      </c>
      <c r="P2542">
        <v>851.86</v>
      </c>
      <c r="Q2542" t="str">
        <f>"$"</f>
        <v>$</v>
      </c>
      <c r="R2542" t="str">
        <f>"הזמנה"</f>
        <v>הזמנה</v>
      </c>
      <c r="S2542">
        <v>0</v>
      </c>
      <c r="T2542" s="2">
        <v>1703.72</v>
      </c>
      <c r="U2542">
        <v>0</v>
      </c>
      <c r="V2542" s="2">
        <v>1703.72</v>
      </c>
      <c r="W2542" t="str">
        <f>"$"</f>
        <v>$</v>
      </c>
      <c r="X2542">
        <v>0</v>
      </c>
      <c r="Y2542">
        <v>0</v>
      </c>
      <c r="Z2542">
        <v>0</v>
      </c>
      <c r="AA2542" t="str">
        <f>"Y"</f>
        <v>Y</v>
      </c>
      <c r="AB2542" t="str">
        <f>"SO21000086"</f>
        <v>SO21000086</v>
      </c>
      <c r="AC2542">
        <v>5</v>
      </c>
      <c r="AD2542" s="1">
        <v>44248</v>
      </c>
      <c r="AE2542" t="str">
        <f>"SH21000924"</f>
        <v>SH21000924</v>
      </c>
      <c r="AF2542" t="str">
        <f>"משלוחים ללקוח"</f>
        <v>משלוחים ללקוח</v>
      </c>
      <c r="AG2542" s="1">
        <v>44357</v>
      </c>
      <c r="AM2542" t="str">
        <f>"10"</f>
        <v>10</v>
      </c>
      <c r="AN2542" t="str">
        <f>"500000"</f>
        <v>500000</v>
      </c>
      <c r="AO2542" t="str">
        <f>"הכנסות  מלקוחות"</f>
        <v>הכנסות  מלקוחות</v>
      </c>
      <c r="AQ2542" t="str">
        <f>"040"</f>
        <v>040</v>
      </c>
      <c r="AR2542">
        <v>0</v>
      </c>
      <c r="AS2542">
        <v>0</v>
      </c>
      <c r="AT2542">
        <v>3.2469999999999999</v>
      </c>
      <c r="AX2542" t="str">
        <f>"E000332301"</f>
        <v>E000332301</v>
      </c>
      <c r="BD2542" t="str">
        <f>"רחמים זרוק"</f>
        <v>רחמים זרוק</v>
      </c>
    </row>
    <row r="2543" spans="1:56" x14ac:dyDescent="0.3">
      <c r="A2543" s="1">
        <v>44361</v>
      </c>
      <c r="B2543" t="str">
        <f>"SI216000870"</f>
        <v>SI216000870</v>
      </c>
      <c r="C2543" t="str">
        <f>"PR21000144"</f>
        <v>PR21000144</v>
      </c>
      <c r="E2543" t="str">
        <f>"Y"</f>
        <v>Y</v>
      </c>
      <c r="F2543" t="str">
        <f>"חשבוניות מרכזות"</f>
        <v>חשבוניות מרכזות</v>
      </c>
      <c r="G2543" t="str">
        <f>"700065"</f>
        <v>700065</v>
      </c>
      <c r="H2543" t="str">
        <f>"אלתא מערכות בע""מ"</f>
        <v>אלתא מערכות בע"מ</v>
      </c>
      <c r="I2543" t="str">
        <f>"10"</f>
        <v>10</v>
      </c>
      <c r="J2543" t="str">
        <f>"OP-AR02311"</f>
        <v>OP-AR02311</v>
      </c>
      <c r="K2543" t="str">
        <f>"1033A436-001   DC PWR SUPLLY FOR INT F/O BOX"</f>
        <v>1033A436-001   DC PWR SUPLLY FOR INT F/O BOX</v>
      </c>
      <c r="L2543">
        <v>2</v>
      </c>
      <c r="M2543" t="str">
        <f>"יח"</f>
        <v>יח</v>
      </c>
      <c r="N2543">
        <v>2</v>
      </c>
      <c r="O2543" t="str">
        <f>"יח"</f>
        <v>יח</v>
      </c>
      <c r="P2543">
        <v>445.84</v>
      </c>
      <c r="Q2543" t="str">
        <f>"$"</f>
        <v>$</v>
      </c>
      <c r="R2543" t="str">
        <f>"הזמנה"</f>
        <v>הזמנה</v>
      </c>
      <c r="S2543">
        <v>0</v>
      </c>
      <c r="T2543">
        <v>891.68</v>
      </c>
      <c r="U2543">
        <v>0</v>
      </c>
      <c r="V2543">
        <v>891.68</v>
      </c>
      <c r="W2543" t="str">
        <f>"$"</f>
        <v>$</v>
      </c>
      <c r="X2543">
        <v>0</v>
      </c>
      <c r="Y2543">
        <v>0</v>
      </c>
      <c r="Z2543">
        <v>0</v>
      </c>
      <c r="AA2543" t="str">
        <f>"Y"</f>
        <v>Y</v>
      </c>
      <c r="AB2543" t="str">
        <f>"SO21000086"</f>
        <v>SO21000086</v>
      </c>
      <c r="AC2543">
        <v>7</v>
      </c>
      <c r="AD2543" s="1">
        <v>44248</v>
      </c>
      <c r="AE2543" t="str">
        <f>"SH21000924"</f>
        <v>SH21000924</v>
      </c>
      <c r="AF2543" t="str">
        <f>"משלוחים ללקוח"</f>
        <v>משלוחים ללקוח</v>
      </c>
      <c r="AG2543" s="1">
        <v>44357</v>
      </c>
      <c r="AM2543" t="str">
        <f>"10"</f>
        <v>10</v>
      </c>
      <c r="AN2543" t="str">
        <f>"500000"</f>
        <v>500000</v>
      </c>
      <c r="AO2543" t="str">
        <f>"הכנסות  מלקוחות"</f>
        <v>הכנסות  מלקוחות</v>
      </c>
      <c r="AQ2543" t="str">
        <f>"040"</f>
        <v>040</v>
      </c>
      <c r="AR2543">
        <v>0</v>
      </c>
      <c r="AS2543">
        <v>0</v>
      </c>
      <c r="AT2543">
        <v>3.2469999999999999</v>
      </c>
      <c r="AX2543" t="str">
        <f>"E000332301"</f>
        <v>E000332301</v>
      </c>
      <c r="BD2543" t="str">
        <f>"רחמים זרוק"</f>
        <v>רחמים זרוק</v>
      </c>
    </row>
    <row r="2544" spans="1:56" x14ac:dyDescent="0.3">
      <c r="A2544" s="1">
        <v>44361</v>
      </c>
      <c r="B2544" t="str">
        <f>"SI216000869"</f>
        <v>SI216000869</v>
      </c>
      <c r="C2544" t="str">
        <f>"PR21000128"</f>
        <v>PR21000128</v>
      </c>
      <c r="E2544" t="str">
        <f>"Y"</f>
        <v>Y</v>
      </c>
      <c r="F2544" t="str">
        <f>"חשבוניות מרכזות"</f>
        <v>חשבוניות מרכזות</v>
      </c>
      <c r="G2544" t="str">
        <f>"700065"</f>
        <v>700065</v>
      </c>
      <c r="H2544" t="str">
        <f>"אלתא מערכות בע""מ"</f>
        <v>אלתא מערכות בע"מ</v>
      </c>
      <c r="I2544" t="str">
        <f>"10"</f>
        <v>10</v>
      </c>
      <c r="J2544" t="str">
        <f>"OP-AR02287"</f>
        <v>OP-AR02287</v>
      </c>
      <c r="K2544" t="str">
        <f>"1040D365-001  HARNESS WC205"</f>
        <v>1040D365-001  HARNESS WC205</v>
      </c>
      <c r="L2544">
        <v>2</v>
      </c>
      <c r="M2544" t="str">
        <f>"יח"</f>
        <v>יח</v>
      </c>
      <c r="N2544">
        <v>2</v>
      </c>
      <c r="O2544" t="str">
        <f>"יח"</f>
        <v>יח</v>
      </c>
      <c r="P2544">
        <v>880.34</v>
      </c>
      <c r="Q2544" t="str">
        <f>"$"</f>
        <v>$</v>
      </c>
      <c r="R2544" t="str">
        <f>"הזמנה"</f>
        <v>הזמנה</v>
      </c>
      <c r="S2544">
        <v>0</v>
      </c>
      <c r="T2544" s="2">
        <v>1760.68</v>
      </c>
      <c r="U2544">
        <v>0</v>
      </c>
      <c r="V2544" s="2">
        <v>1760.68</v>
      </c>
      <c r="W2544" t="str">
        <f>"$"</f>
        <v>$</v>
      </c>
      <c r="X2544">
        <v>0</v>
      </c>
      <c r="Y2544">
        <v>0</v>
      </c>
      <c r="Z2544">
        <v>0</v>
      </c>
      <c r="AA2544" t="str">
        <f>"Y"</f>
        <v>Y</v>
      </c>
      <c r="AB2544" t="str">
        <f>"SO21000073"</f>
        <v>SO21000073</v>
      </c>
      <c r="AC2544">
        <v>1</v>
      </c>
      <c r="AD2544" s="1">
        <v>44237</v>
      </c>
      <c r="AE2544" t="str">
        <f>"SH21000925"</f>
        <v>SH21000925</v>
      </c>
      <c r="AF2544" t="str">
        <f>"משלוחים ללקוח"</f>
        <v>משלוחים ללקוח</v>
      </c>
      <c r="AG2544" s="1">
        <v>44357</v>
      </c>
      <c r="AM2544" t="str">
        <f>"10"</f>
        <v>10</v>
      </c>
      <c r="AN2544" t="str">
        <f>"500000"</f>
        <v>500000</v>
      </c>
      <c r="AO2544" t="str">
        <f>"הכנסות  מלקוחות"</f>
        <v>הכנסות  מלקוחות</v>
      </c>
      <c r="AQ2544" t="str">
        <f>"034"</f>
        <v>034</v>
      </c>
      <c r="AR2544">
        <v>0</v>
      </c>
      <c r="AS2544">
        <v>0</v>
      </c>
      <c r="AT2544">
        <v>3.2469999999999999</v>
      </c>
      <c r="AX2544" t="str">
        <f>"E000332914"</f>
        <v>E000332914</v>
      </c>
      <c r="BD2544" t="str">
        <f>"ערן שלו"</f>
        <v>ערן שלו</v>
      </c>
    </row>
    <row r="2545" spans="1:56" x14ac:dyDescent="0.3">
      <c r="A2545" s="1">
        <v>44361</v>
      </c>
      <c r="B2545" t="str">
        <f>"SI216000868"</f>
        <v>SI216000868</v>
      </c>
      <c r="C2545" t="str">
        <f>"PR20000851"</f>
        <v>PR20000851</v>
      </c>
      <c r="D2545" t="str">
        <f>"PR20000851"</f>
        <v>PR20000851</v>
      </c>
      <c r="E2545" t="str">
        <f>"Y"</f>
        <v>Y</v>
      </c>
      <c r="F2545" t="str">
        <f>"חשבוניות מרכזות"</f>
        <v>חשבוניות מרכזות</v>
      </c>
      <c r="G2545" t="str">
        <f>"700065"</f>
        <v>700065</v>
      </c>
      <c r="H2545" t="str">
        <f>"אלתא מערכות בע""מ"</f>
        <v>אלתא מערכות בע"מ</v>
      </c>
      <c r="I2545" t="str">
        <f>"10"</f>
        <v>10</v>
      </c>
      <c r="J2545" t="str">
        <f>"OP-AR02171"</f>
        <v>OP-AR02171</v>
      </c>
      <c r="K2545" t="str">
        <f>"1039H827-001/-   HARNESS WY027 - PDU TO FANS EXT"</f>
        <v>1039H827-001/-   HARNESS WY027 - PDU TO FANS EXT</v>
      </c>
      <c r="L2545">
        <v>4</v>
      </c>
      <c r="M2545" t="str">
        <f>"יח"</f>
        <v>יח</v>
      </c>
      <c r="N2545">
        <v>4</v>
      </c>
      <c r="O2545" t="str">
        <f>"יח"</f>
        <v>יח</v>
      </c>
      <c r="P2545">
        <v>635.34</v>
      </c>
      <c r="Q2545" t="str">
        <f>"$"</f>
        <v>$</v>
      </c>
      <c r="R2545" t="str">
        <f>"הזמנה"</f>
        <v>הזמנה</v>
      </c>
      <c r="S2545">
        <v>0</v>
      </c>
      <c r="T2545" s="2">
        <v>2541.36</v>
      </c>
      <c r="U2545">
        <v>0</v>
      </c>
      <c r="V2545" s="2">
        <v>2541.36</v>
      </c>
      <c r="W2545" t="str">
        <f>"$"</f>
        <v>$</v>
      </c>
      <c r="X2545">
        <v>0</v>
      </c>
      <c r="Y2545">
        <v>0</v>
      </c>
      <c r="Z2545">
        <v>0</v>
      </c>
      <c r="AA2545" t="str">
        <f>"Y"</f>
        <v>Y</v>
      </c>
      <c r="AB2545" t="str">
        <f>"SO20000555"</f>
        <v>SO20000555</v>
      </c>
      <c r="AC2545">
        <v>18</v>
      </c>
      <c r="AD2545" s="1">
        <v>44166</v>
      </c>
      <c r="AE2545" t="str">
        <f>"SH21000928"</f>
        <v>SH21000928</v>
      </c>
      <c r="AF2545" t="str">
        <f>"משלוחים ללקוח"</f>
        <v>משלוחים ללקוח</v>
      </c>
      <c r="AG2545" s="1">
        <v>44357</v>
      </c>
      <c r="AM2545" t="str">
        <f>"10"</f>
        <v>10</v>
      </c>
      <c r="AN2545" t="str">
        <f>"500000"</f>
        <v>500000</v>
      </c>
      <c r="AO2545" t="str">
        <f>"הכנסות  מלקוחות"</f>
        <v>הכנסות  מלקוחות</v>
      </c>
      <c r="AQ2545" t="str">
        <f>"034"</f>
        <v>034</v>
      </c>
      <c r="AR2545">
        <v>0</v>
      </c>
      <c r="AS2545">
        <v>0</v>
      </c>
      <c r="AT2545">
        <v>3.2469999999999999</v>
      </c>
      <c r="AX2545" t="str">
        <f>"E000326481"</f>
        <v>E000326481</v>
      </c>
      <c r="BD2545" t="str">
        <f>"ערן שלו"</f>
        <v>ערן שלו</v>
      </c>
    </row>
    <row r="2546" spans="1:56" x14ac:dyDescent="0.3">
      <c r="A2546" s="1">
        <v>44361</v>
      </c>
      <c r="B2546" t="str">
        <f>"SI216000867"</f>
        <v>SI216000867</v>
      </c>
      <c r="C2546" t="str">
        <f>"PR20000828"</f>
        <v>PR20000828</v>
      </c>
      <c r="D2546" t="str">
        <f>"PR20000828"</f>
        <v>PR20000828</v>
      </c>
      <c r="E2546" t="str">
        <f>"Y"</f>
        <v>Y</v>
      </c>
      <c r="F2546" t="str">
        <f>"חשבוניות מרכזות"</f>
        <v>חשבוניות מרכזות</v>
      </c>
      <c r="G2546" t="str">
        <f>"700065"</f>
        <v>700065</v>
      </c>
      <c r="H2546" t="str">
        <f>"אלתא מערכות בע""מ"</f>
        <v>אלתא מערכות בע"מ</v>
      </c>
      <c r="I2546" t="str">
        <f>"10"</f>
        <v>10</v>
      </c>
      <c r="J2546" t="str">
        <f>"OP-AR02137"</f>
        <v>OP-AR02137</v>
      </c>
      <c r="K2546" t="str">
        <f>"1036U411-001/-   WP411 - PEDPNL TO PEDESTAL"</f>
        <v>1036U411-001/-   WP411 - PEDPNL TO PEDESTAL</v>
      </c>
      <c r="L2546">
        <v>14</v>
      </c>
      <c r="M2546" t="str">
        <f>"יח"</f>
        <v>יח</v>
      </c>
      <c r="N2546">
        <v>14</v>
      </c>
      <c r="O2546" t="str">
        <f>"יח"</f>
        <v>יח</v>
      </c>
      <c r="P2546">
        <v>411.07</v>
      </c>
      <c r="Q2546" t="str">
        <f>"$"</f>
        <v>$</v>
      </c>
      <c r="R2546" t="str">
        <f>"הזמנה"</f>
        <v>הזמנה</v>
      </c>
      <c r="S2546">
        <v>0</v>
      </c>
      <c r="T2546" s="2">
        <v>5754.98</v>
      </c>
      <c r="U2546">
        <v>2.2999999999999998</v>
      </c>
      <c r="V2546" s="2">
        <v>5622.62</v>
      </c>
      <c r="W2546" t="str">
        <f>"$"</f>
        <v>$</v>
      </c>
      <c r="X2546">
        <v>0</v>
      </c>
      <c r="Y2546">
        <v>0</v>
      </c>
      <c r="Z2546">
        <v>0</v>
      </c>
      <c r="AA2546" t="str">
        <f>"Y"</f>
        <v>Y</v>
      </c>
      <c r="AB2546" t="str">
        <f>"SO20000546"</f>
        <v>SO20000546</v>
      </c>
      <c r="AC2546">
        <v>2</v>
      </c>
      <c r="AD2546" s="1">
        <v>44160</v>
      </c>
      <c r="AE2546" t="str">
        <f>"SH21000940"</f>
        <v>SH21000940</v>
      </c>
      <c r="AF2546" t="str">
        <f>"משלוחים ללקוח"</f>
        <v>משלוחים ללקוח</v>
      </c>
      <c r="AG2546" s="1">
        <v>44360</v>
      </c>
      <c r="AM2546" t="str">
        <f>"10"</f>
        <v>10</v>
      </c>
      <c r="AN2546" t="str">
        <f>"500000"</f>
        <v>500000</v>
      </c>
      <c r="AO2546" t="str">
        <f>"הכנסות  מלקוחות"</f>
        <v>הכנסות  מלקוחות</v>
      </c>
      <c r="AQ2546" t="str">
        <f>"034"</f>
        <v>034</v>
      </c>
      <c r="AR2546">
        <v>0</v>
      </c>
      <c r="AS2546">
        <v>0</v>
      </c>
      <c r="AT2546">
        <v>3.2469999999999999</v>
      </c>
      <c r="AX2546" t="str">
        <f>"E000326044"</f>
        <v>E000326044</v>
      </c>
      <c r="BD2546" t="str">
        <f>"ערן שלו"</f>
        <v>ערן שלו</v>
      </c>
    </row>
    <row r="2547" spans="1:56" x14ac:dyDescent="0.3">
      <c r="A2547" s="1">
        <v>44361</v>
      </c>
      <c r="B2547" t="str">
        <f>"SI216000866"</f>
        <v>SI216000866</v>
      </c>
      <c r="C2547" t="str">
        <f>"PR21000127"</f>
        <v>PR21000127</v>
      </c>
      <c r="E2547" t="str">
        <f>"Y"</f>
        <v>Y</v>
      </c>
      <c r="F2547" t="str">
        <f>"חשבוניות מרכזות"</f>
        <v>חשבוניות מרכזות</v>
      </c>
      <c r="G2547" t="str">
        <f>"700065"</f>
        <v>700065</v>
      </c>
      <c r="H2547" t="str">
        <f>"אלתא מערכות בע""מ"</f>
        <v>אלתא מערכות בע"מ</v>
      </c>
      <c r="I2547" t="str">
        <f>"10"</f>
        <v>10</v>
      </c>
      <c r="J2547" t="str">
        <f>"OP-AR01690"</f>
        <v>OP-AR01690</v>
      </c>
      <c r="K2547" t="str">
        <f>"1032F971-001 HARNESS WB971 LAB RSU NG P7 DEBUG"</f>
        <v>1032F971-001 HARNESS WB971 LAB RSU NG P7 DEBUG</v>
      </c>
      <c r="L2547">
        <v>5</v>
      </c>
      <c r="M2547" t="str">
        <f>"יח"</f>
        <v>יח</v>
      </c>
      <c r="N2547">
        <v>5</v>
      </c>
      <c r="O2547" t="str">
        <f>"יח"</f>
        <v>יח</v>
      </c>
      <c r="P2547">
        <v>471.74</v>
      </c>
      <c r="Q2547" t="str">
        <f>"$"</f>
        <v>$</v>
      </c>
      <c r="R2547" t="str">
        <f>"הזמנה"</f>
        <v>הזמנה</v>
      </c>
      <c r="S2547">
        <v>0</v>
      </c>
      <c r="T2547" s="2">
        <v>2358.6999999999998</v>
      </c>
      <c r="U2547">
        <v>0</v>
      </c>
      <c r="V2547" s="2">
        <v>2358.6999999999998</v>
      </c>
      <c r="W2547" t="str">
        <f>"$"</f>
        <v>$</v>
      </c>
      <c r="X2547">
        <v>0</v>
      </c>
      <c r="Y2547">
        <v>0</v>
      </c>
      <c r="Z2547">
        <v>0</v>
      </c>
      <c r="AA2547" t="str">
        <f>"Y"</f>
        <v>Y</v>
      </c>
      <c r="AB2547" t="str">
        <f>"SO21000074"</f>
        <v>SO21000074</v>
      </c>
      <c r="AC2547">
        <v>1</v>
      </c>
      <c r="AD2547" s="1">
        <v>44237</v>
      </c>
      <c r="AE2547" t="str">
        <f>"SH21000918"</f>
        <v>SH21000918</v>
      </c>
      <c r="AF2547" t="str">
        <f>"משלוחים ללקוח"</f>
        <v>משלוחים ללקוח</v>
      </c>
      <c r="AG2547" s="1">
        <v>44357</v>
      </c>
      <c r="AM2547" t="str">
        <f>"10"</f>
        <v>10</v>
      </c>
      <c r="AN2547" t="str">
        <f>"500000"</f>
        <v>500000</v>
      </c>
      <c r="AO2547" t="str">
        <f>"הכנסות  מלקוחות"</f>
        <v>הכנסות  מלקוחות</v>
      </c>
      <c r="AQ2547" t="str">
        <f>"034"</f>
        <v>034</v>
      </c>
      <c r="AR2547">
        <v>0</v>
      </c>
      <c r="AS2547">
        <v>0</v>
      </c>
      <c r="AT2547">
        <v>3.2469999999999999</v>
      </c>
      <c r="AX2547" t="str">
        <f>"E000332654"</f>
        <v>E000332654</v>
      </c>
      <c r="BD2547" t="str">
        <f>"ערן שלו"</f>
        <v>ערן שלו</v>
      </c>
    </row>
    <row r="2548" spans="1:56" x14ac:dyDescent="0.3">
      <c r="A2548" s="1">
        <v>44355</v>
      </c>
      <c r="B2548" t="str">
        <f>"SI216000820"</f>
        <v>SI216000820</v>
      </c>
      <c r="E2548" t="str">
        <f>"Y"</f>
        <v>Y</v>
      </c>
      <c r="F2548" t="str">
        <f>"חשבוניות מרכזות"</f>
        <v>חשבוניות מרכזות</v>
      </c>
      <c r="G2548" t="str">
        <f>"700065"</f>
        <v>700065</v>
      </c>
      <c r="H2548" t="str">
        <f>"אלתא מערכות בע""מ"</f>
        <v>אלתא מערכות בע"מ</v>
      </c>
      <c r="I2548" t="str">
        <f>"10"</f>
        <v>10</v>
      </c>
      <c r="J2548" t="str">
        <f>"000"</f>
        <v>000</v>
      </c>
      <c r="K2548" t="str">
        <f>"תוספת לייצור ג'יג עבור 2019F7"</f>
        <v>תוספת לייצור ג'יג עבור 2019F7</v>
      </c>
      <c r="L2548">
        <v>1</v>
      </c>
      <c r="M2548" t="str">
        <f>"יח"</f>
        <v>יח</v>
      </c>
      <c r="N2548">
        <v>1</v>
      </c>
      <c r="O2548" t="str">
        <f>"יח"</f>
        <v>יח</v>
      </c>
      <c r="P2548">
        <v>643.5</v>
      </c>
      <c r="Q2548" t="str">
        <f>"$"</f>
        <v>$</v>
      </c>
      <c r="R2548" t="str">
        <f>"הזמנה"</f>
        <v>הזמנה</v>
      </c>
      <c r="S2548">
        <v>0</v>
      </c>
      <c r="T2548">
        <v>643.5</v>
      </c>
      <c r="U2548">
        <v>0</v>
      </c>
      <c r="V2548">
        <v>643.5</v>
      </c>
      <c r="W2548" t="str">
        <f>"$"</f>
        <v>$</v>
      </c>
      <c r="X2548">
        <v>0</v>
      </c>
      <c r="Y2548">
        <v>0</v>
      </c>
      <c r="Z2548">
        <v>0</v>
      </c>
      <c r="AA2548" t="str">
        <f>"Y"</f>
        <v>Y</v>
      </c>
      <c r="AB2548" t="str">
        <f>"SO20000201"</f>
        <v>SO20000201</v>
      </c>
      <c r="AC2548">
        <v>66</v>
      </c>
      <c r="AD2548" s="1">
        <v>43970</v>
      </c>
      <c r="AM2548" t="str">
        <f>"10"</f>
        <v>10</v>
      </c>
      <c r="AN2548" t="str">
        <f>"500000"</f>
        <v>500000</v>
      </c>
      <c r="AO2548" t="str">
        <f>"הכנסות  מלקוחות"</f>
        <v>הכנסות  מלקוחות</v>
      </c>
      <c r="AQ2548" t="str">
        <f>"034"</f>
        <v>034</v>
      </c>
      <c r="AR2548">
        <v>0</v>
      </c>
      <c r="AS2548">
        <v>0</v>
      </c>
      <c r="AT2548">
        <v>3.2509999999999999</v>
      </c>
      <c r="AX2548" t="str">
        <f>"E000311250"</f>
        <v>E000311250</v>
      </c>
      <c r="BD2548" t="str">
        <f>"ערן שלו"</f>
        <v>ערן שלו</v>
      </c>
    </row>
    <row r="2549" spans="1:56" x14ac:dyDescent="0.3">
      <c r="A2549" s="1">
        <v>44349</v>
      </c>
      <c r="B2549" t="str">
        <f>"SI216000801"</f>
        <v>SI216000801</v>
      </c>
      <c r="C2549" t="str">
        <f>"PR20000796"</f>
        <v>PR20000796</v>
      </c>
      <c r="E2549" t="str">
        <f>"Y"</f>
        <v>Y</v>
      </c>
      <c r="F2549" t="str">
        <f>"חשבוניות מרכזות"</f>
        <v>חשבוניות מרכזות</v>
      </c>
      <c r="G2549" t="str">
        <f>"700065"</f>
        <v>700065</v>
      </c>
      <c r="H2549" t="str">
        <f>"אלתא מערכות בע""מ"</f>
        <v>אלתא מערכות בע"מ</v>
      </c>
      <c r="I2549" t="str">
        <f>"10"</f>
        <v>10</v>
      </c>
      <c r="J2549" t="str">
        <f>"PA1001677"</f>
        <v>PA1001677</v>
      </c>
      <c r="K2549" t="str">
        <f>"BL5SRM14033XW  BACKSHELL AMPHNOL"</f>
        <v>BL5SRM14033XW  BACKSHELL AMPHNOL</v>
      </c>
      <c r="L2549">
        <v>-9</v>
      </c>
      <c r="M2549" t="str">
        <f>"יח"</f>
        <v>יח</v>
      </c>
      <c r="N2549">
        <v>-9</v>
      </c>
      <c r="O2549" t="str">
        <f>"יח"</f>
        <v>יח</v>
      </c>
      <c r="P2549">
        <v>67.23</v>
      </c>
      <c r="Q2549" t="str">
        <f>"$"</f>
        <v>$</v>
      </c>
      <c r="R2549" t="str">
        <f>"הזמנה"</f>
        <v>הזמנה</v>
      </c>
      <c r="S2549">
        <v>0</v>
      </c>
      <c r="T2549">
        <v>-605.07000000000005</v>
      </c>
      <c r="U2549">
        <v>0</v>
      </c>
      <c r="V2549">
        <v>-605.07000000000005</v>
      </c>
      <c r="W2549" t="str">
        <f>"$"</f>
        <v>$</v>
      </c>
      <c r="X2549">
        <v>0</v>
      </c>
      <c r="Y2549">
        <v>0</v>
      </c>
      <c r="Z2549">
        <v>0</v>
      </c>
      <c r="AA2549" t="str">
        <f>"Y"</f>
        <v>Y</v>
      </c>
      <c r="AC2549">
        <v>0</v>
      </c>
      <c r="AM2549" t="str">
        <f>"10"</f>
        <v>10</v>
      </c>
      <c r="AN2549" t="str">
        <f>"500000"</f>
        <v>500000</v>
      </c>
      <c r="AO2549" t="str">
        <f>"הכנסות  מלקוחות"</f>
        <v>הכנסות  מלקוחות</v>
      </c>
      <c r="AQ2549" t="str">
        <f>"034"</f>
        <v>034</v>
      </c>
      <c r="AR2549">
        <v>0</v>
      </c>
      <c r="AS2549">
        <v>0</v>
      </c>
      <c r="AT2549">
        <v>3.2530000000000001</v>
      </c>
      <c r="BB2549" t="str">
        <f>"Y"</f>
        <v>Y</v>
      </c>
      <c r="BD2549" t="str">
        <f>"ערן שלו"</f>
        <v>ערן שלו</v>
      </c>
    </row>
    <row r="2550" spans="1:56" x14ac:dyDescent="0.3">
      <c r="A2550" s="1">
        <v>44349</v>
      </c>
      <c r="B2550" t="str">
        <f>"SI216000801"</f>
        <v>SI216000801</v>
      </c>
      <c r="C2550" t="str">
        <f>"PR20000796"</f>
        <v>PR20000796</v>
      </c>
      <c r="E2550" t="str">
        <f>"Y"</f>
        <v>Y</v>
      </c>
      <c r="F2550" t="str">
        <f>"חשבוניות מרכזות"</f>
        <v>חשבוניות מרכזות</v>
      </c>
      <c r="G2550" t="str">
        <f>"700065"</f>
        <v>700065</v>
      </c>
      <c r="H2550" t="str">
        <f>"אלתא מערכות בע""מ"</f>
        <v>אלתא מערכות בע"מ</v>
      </c>
      <c r="I2550" t="str">
        <f>"10"</f>
        <v>10</v>
      </c>
      <c r="J2550" t="str">
        <f>"PA1001678"</f>
        <v>PA1001678</v>
      </c>
      <c r="K2550" t="str">
        <f>"BL5SRM16333XW BACKSHELL AMPHNOL"</f>
        <v>BL5SRM16333XW BACKSHELL AMPHNOL</v>
      </c>
      <c r="L2550">
        <v>-9</v>
      </c>
      <c r="M2550" t="str">
        <f>"יח"</f>
        <v>יח</v>
      </c>
      <c r="N2550">
        <v>-9</v>
      </c>
      <c r="O2550" t="str">
        <f>"יח"</f>
        <v>יח</v>
      </c>
      <c r="P2550">
        <v>67.23</v>
      </c>
      <c r="Q2550" t="str">
        <f>"$"</f>
        <v>$</v>
      </c>
      <c r="R2550" t="str">
        <f>"הזמנה"</f>
        <v>הזמנה</v>
      </c>
      <c r="S2550">
        <v>0</v>
      </c>
      <c r="T2550">
        <v>-605.07000000000005</v>
      </c>
      <c r="U2550">
        <v>0</v>
      </c>
      <c r="V2550">
        <v>-605.07000000000005</v>
      </c>
      <c r="W2550" t="str">
        <f>"$"</f>
        <v>$</v>
      </c>
      <c r="X2550">
        <v>0</v>
      </c>
      <c r="Y2550">
        <v>0</v>
      </c>
      <c r="Z2550">
        <v>0</v>
      </c>
      <c r="AA2550" t="str">
        <f>"Y"</f>
        <v>Y</v>
      </c>
      <c r="AC2550">
        <v>0</v>
      </c>
      <c r="AM2550" t="str">
        <f>"10"</f>
        <v>10</v>
      </c>
      <c r="AN2550" t="str">
        <f>"500000"</f>
        <v>500000</v>
      </c>
      <c r="AO2550" t="str">
        <f>"הכנסות  מלקוחות"</f>
        <v>הכנסות  מלקוחות</v>
      </c>
      <c r="AQ2550" t="str">
        <f>"034"</f>
        <v>034</v>
      </c>
      <c r="AR2550">
        <v>0</v>
      </c>
      <c r="AS2550">
        <v>0</v>
      </c>
      <c r="AT2550">
        <v>3.2530000000000001</v>
      </c>
      <c r="BB2550" t="str">
        <f>"Y"</f>
        <v>Y</v>
      </c>
      <c r="BD2550" t="str">
        <f>"ערן שלו"</f>
        <v>ערן שלו</v>
      </c>
    </row>
    <row r="2551" spans="1:56" x14ac:dyDescent="0.3">
      <c r="A2551" s="1">
        <v>44349</v>
      </c>
      <c r="B2551" t="str">
        <f>"SI216000794"</f>
        <v>SI216000794</v>
      </c>
      <c r="C2551" t="str">
        <f>"PR20000796"</f>
        <v>PR20000796</v>
      </c>
      <c r="E2551" t="str">
        <f>"Y"</f>
        <v>Y</v>
      </c>
      <c r="F2551" t="str">
        <f>"חשבוניות מרכזות"</f>
        <v>חשבוניות מרכזות</v>
      </c>
      <c r="G2551" t="str">
        <f>"700065"</f>
        <v>700065</v>
      </c>
      <c r="H2551" t="str">
        <f>"אלתא מערכות בע""מ"</f>
        <v>אלתא מערכות בע"מ</v>
      </c>
      <c r="I2551" t="str">
        <f>"10"</f>
        <v>10</v>
      </c>
      <c r="J2551" t="str">
        <f>"PA1001677"</f>
        <v>PA1001677</v>
      </c>
      <c r="K2551" t="str">
        <f>"BL5SRM14033XW  BACKSHELL AMPHNOL"</f>
        <v>BL5SRM14033XW  BACKSHELL AMPHNOL</v>
      </c>
      <c r="L2551">
        <v>9</v>
      </c>
      <c r="M2551" t="str">
        <f>"יח"</f>
        <v>יח</v>
      </c>
      <c r="N2551">
        <v>9</v>
      </c>
      <c r="O2551" t="str">
        <f>"יח"</f>
        <v>יח</v>
      </c>
      <c r="P2551">
        <v>67.23</v>
      </c>
      <c r="Q2551" t="str">
        <f>"$"</f>
        <v>$</v>
      </c>
      <c r="R2551" t="str">
        <f>"הזמנה"</f>
        <v>הזמנה</v>
      </c>
      <c r="S2551">
        <v>0</v>
      </c>
      <c r="T2551">
        <v>605.07000000000005</v>
      </c>
      <c r="U2551">
        <v>0</v>
      </c>
      <c r="V2551">
        <v>605.07000000000005</v>
      </c>
      <c r="W2551" t="str">
        <f>"$"</f>
        <v>$</v>
      </c>
      <c r="X2551">
        <v>0</v>
      </c>
      <c r="Y2551">
        <v>0</v>
      </c>
      <c r="Z2551">
        <v>0</v>
      </c>
      <c r="AA2551" t="str">
        <f>"Y"</f>
        <v>Y</v>
      </c>
      <c r="AC2551">
        <v>0</v>
      </c>
      <c r="AM2551" t="str">
        <f>"10"</f>
        <v>10</v>
      </c>
      <c r="AN2551" t="str">
        <f>"500000"</f>
        <v>500000</v>
      </c>
      <c r="AO2551" t="str">
        <f>"הכנסות  מלקוחות"</f>
        <v>הכנסות  מלקוחות</v>
      </c>
      <c r="AQ2551" t="str">
        <f>"034"</f>
        <v>034</v>
      </c>
      <c r="AR2551">
        <v>0</v>
      </c>
      <c r="AS2551">
        <v>0</v>
      </c>
      <c r="AT2551">
        <v>3.2530000000000001</v>
      </c>
      <c r="BB2551" t="str">
        <f>"Y"</f>
        <v>Y</v>
      </c>
      <c r="BD2551" t="str">
        <f>"ערן שלו"</f>
        <v>ערן שלו</v>
      </c>
    </row>
    <row r="2552" spans="1:56" x14ac:dyDescent="0.3">
      <c r="A2552" s="1">
        <v>44349</v>
      </c>
      <c r="B2552" t="str">
        <f>"SI216000794"</f>
        <v>SI216000794</v>
      </c>
      <c r="C2552" t="str">
        <f>"PR20000796"</f>
        <v>PR20000796</v>
      </c>
      <c r="E2552" t="str">
        <f>"Y"</f>
        <v>Y</v>
      </c>
      <c r="F2552" t="str">
        <f>"חשבוניות מרכזות"</f>
        <v>חשבוניות מרכזות</v>
      </c>
      <c r="G2552" t="str">
        <f>"700065"</f>
        <v>700065</v>
      </c>
      <c r="H2552" t="str">
        <f>"אלתא מערכות בע""מ"</f>
        <v>אלתא מערכות בע"מ</v>
      </c>
      <c r="I2552" t="str">
        <f>"10"</f>
        <v>10</v>
      </c>
      <c r="J2552" t="str">
        <f>"PA1001678"</f>
        <v>PA1001678</v>
      </c>
      <c r="K2552" t="str">
        <f>"BL5SRM16333XW BACKSHELL AMPHNOL"</f>
        <v>BL5SRM16333XW BACKSHELL AMPHNOL</v>
      </c>
      <c r="L2552">
        <v>9</v>
      </c>
      <c r="M2552" t="str">
        <f>"יח"</f>
        <v>יח</v>
      </c>
      <c r="N2552">
        <v>9</v>
      </c>
      <c r="O2552" t="str">
        <f>"יח"</f>
        <v>יח</v>
      </c>
      <c r="P2552">
        <v>67.23</v>
      </c>
      <c r="Q2552" t="str">
        <f>"$"</f>
        <v>$</v>
      </c>
      <c r="R2552" t="str">
        <f>"הזמנה"</f>
        <v>הזמנה</v>
      </c>
      <c r="S2552">
        <v>0</v>
      </c>
      <c r="T2552">
        <v>605.07000000000005</v>
      </c>
      <c r="U2552">
        <v>0</v>
      </c>
      <c r="V2552">
        <v>605.07000000000005</v>
      </c>
      <c r="W2552" t="str">
        <f>"$"</f>
        <v>$</v>
      </c>
      <c r="X2552">
        <v>0</v>
      </c>
      <c r="Y2552">
        <v>0</v>
      </c>
      <c r="Z2552">
        <v>0</v>
      </c>
      <c r="AA2552" t="str">
        <f>"Y"</f>
        <v>Y</v>
      </c>
      <c r="AC2552">
        <v>0</v>
      </c>
      <c r="AM2552" t="str">
        <f>"10"</f>
        <v>10</v>
      </c>
      <c r="AN2552" t="str">
        <f>"500000"</f>
        <v>500000</v>
      </c>
      <c r="AO2552" t="str">
        <f>"הכנסות  מלקוחות"</f>
        <v>הכנסות  מלקוחות</v>
      </c>
      <c r="AQ2552" t="str">
        <f>"034"</f>
        <v>034</v>
      </c>
      <c r="AR2552">
        <v>0</v>
      </c>
      <c r="AS2552">
        <v>0</v>
      </c>
      <c r="AT2552">
        <v>3.2530000000000001</v>
      </c>
      <c r="BB2552" t="str">
        <f>"Y"</f>
        <v>Y</v>
      </c>
      <c r="BD2552" t="str">
        <f>"ערן שלו"</f>
        <v>ערן שלו</v>
      </c>
    </row>
    <row r="2553" spans="1:56" x14ac:dyDescent="0.3">
      <c r="A2553" s="1">
        <v>44349</v>
      </c>
      <c r="B2553" t="str">
        <f>"SI216000793"</f>
        <v>SI216000793</v>
      </c>
      <c r="C2553" t="str">
        <f>"PR20000796"</f>
        <v>PR20000796</v>
      </c>
      <c r="E2553" t="str">
        <f>"Y"</f>
        <v>Y</v>
      </c>
      <c r="F2553" t="str">
        <f>"חשבוניות מרכזות"</f>
        <v>חשבוניות מרכזות</v>
      </c>
      <c r="G2553" t="str">
        <f>"700065"</f>
        <v>700065</v>
      </c>
      <c r="H2553" t="str">
        <f>"אלתא מערכות בע""מ"</f>
        <v>אלתא מערכות בע"מ</v>
      </c>
      <c r="I2553" t="str">
        <f>"10"</f>
        <v>10</v>
      </c>
      <c r="J2553" t="str">
        <f>"PA1001677"</f>
        <v>PA1001677</v>
      </c>
      <c r="K2553" t="str">
        <f>"BL5SRM14033XW  BACKSHELL AMPHNOL"</f>
        <v>BL5SRM14033XW  BACKSHELL AMPHNOL</v>
      </c>
      <c r="L2553">
        <v>-9</v>
      </c>
      <c r="M2553" t="str">
        <f>"יח"</f>
        <v>יח</v>
      </c>
      <c r="N2553">
        <v>-9</v>
      </c>
      <c r="O2553" t="str">
        <f>"יח"</f>
        <v>יח</v>
      </c>
      <c r="P2553">
        <v>67.23</v>
      </c>
      <c r="Q2553" t="str">
        <f>"$"</f>
        <v>$</v>
      </c>
      <c r="R2553" t="str">
        <f>"הזמנה"</f>
        <v>הזמנה</v>
      </c>
      <c r="S2553">
        <v>0</v>
      </c>
      <c r="T2553">
        <v>-605.07000000000005</v>
      </c>
      <c r="U2553">
        <v>0</v>
      </c>
      <c r="V2553">
        <v>-605.07000000000005</v>
      </c>
      <c r="W2553" t="str">
        <f>"$"</f>
        <v>$</v>
      </c>
      <c r="X2553">
        <v>0</v>
      </c>
      <c r="Y2553">
        <v>0</v>
      </c>
      <c r="Z2553">
        <v>0</v>
      </c>
      <c r="AA2553" t="str">
        <f>"Y"</f>
        <v>Y</v>
      </c>
      <c r="AC2553">
        <v>0</v>
      </c>
      <c r="AM2553" t="str">
        <f>"10"</f>
        <v>10</v>
      </c>
      <c r="AN2553" t="str">
        <f>"500000"</f>
        <v>500000</v>
      </c>
      <c r="AO2553" t="str">
        <f>"הכנסות  מלקוחות"</f>
        <v>הכנסות  מלקוחות</v>
      </c>
      <c r="AQ2553" t="str">
        <f>"034"</f>
        <v>034</v>
      </c>
      <c r="AR2553">
        <v>0</v>
      </c>
      <c r="AS2553">
        <v>0</v>
      </c>
      <c r="AT2553">
        <v>3.2530000000000001</v>
      </c>
      <c r="BB2553" t="str">
        <f>"Y"</f>
        <v>Y</v>
      </c>
      <c r="BD2553" t="str">
        <f>"ערן שלו"</f>
        <v>ערן שלו</v>
      </c>
    </row>
    <row r="2554" spans="1:56" x14ac:dyDescent="0.3">
      <c r="A2554" s="1">
        <v>44349</v>
      </c>
      <c r="B2554" t="str">
        <f>"SI216000793"</f>
        <v>SI216000793</v>
      </c>
      <c r="C2554" t="str">
        <f>"PR20000796"</f>
        <v>PR20000796</v>
      </c>
      <c r="E2554" t="str">
        <f>"Y"</f>
        <v>Y</v>
      </c>
      <c r="F2554" t="str">
        <f>"חשבוניות מרכזות"</f>
        <v>חשבוניות מרכזות</v>
      </c>
      <c r="G2554" t="str">
        <f>"700065"</f>
        <v>700065</v>
      </c>
      <c r="H2554" t="str">
        <f>"אלתא מערכות בע""מ"</f>
        <v>אלתא מערכות בע"מ</v>
      </c>
      <c r="I2554" t="str">
        <f>"10"</f>
        <v>10</v>
      </c>
      <c r="J2554" t="str">
        <f>"PA1001678"</f>
        <v>PA1001678</v>
      </c>
      <c r="K2554" t="str">
        <f>"BL5SRM16333XW BACKSHELL AMPHNOL"</f>
        <v>BL5SRM16333XW BACKSHELL AMPHNOL</v>
      </c>
      <c r="L2554">
        <v>-9</v>
      </c>
      <c r="M2554" t="str">
        <f>"יח"</f>
        <v>יח</v>
      </c>
      <c r="N2554">
        <v>-9</v>
      </c>
      <c r="O2554" t="str">
        <f>"יח"</f>
        <v>יח</v>
      </c>
      <c r="P2554">
        <v>67.23</v>
      </c>
      <c r="Q2554" t="str">
        <f>"$"</f>
        <v>$</v>
      </c>
      <c r="R2554" t="str">
        <f>"הזמנה"</f>
        <v>הזמנה</v>
      </c>
      <c r="S2554">
        <v>0</v>
      </c>
      <c r="T2554">
        <v>-605.07000000000005</v>
      </c>
      <c r="U2554">
        <v>0</v>
      </c>
      <c r="V2554">
        <v>-605.07000000000005</v>
      </c>
      <c r="W2554" t="str">
        <f>"$"</f>
        <v>$</v>
      </c>
      <c r="X2554">
        <v>0</v>
      </c>
      <c r="Y2554">
        <v>0</v>
      </c>
      <c r="Z2554">
        <v>0</v>
      </c>
      <c r="AA2554" t="str">
        <f>"Y"</f>
        <v>Y</v>
      </c>
      <c r="AC2554">
        <v>0</v>
      </c>
      <c r="AM2554" t="str">
        <f>"10"</f>
        <v>10</v>
      </c>
      <c r="AN2554" t="str">
        <f>"500000"</f>
        <v>500000</v>
      </c>
      <c r="AO2554" t="str">
        <f>"הכנסות  מלקוחות"</f>
        <v>הכנסות  מלקוחות</v>
      </c>
      <c r="AQ2554" t="str">
        <f>"034"</f>
        <v>034</v>
      </c>
      <c r="AR2554">
        <v>0</v>
      </c>
      <c r="AS2554">
        <v>0</v>
      </c>
      <c r="AT2554">
        <v>3.2530000000000001</v>
      </c>
      <c r="BB2554" t="str">
        <f>"Y"</f>
        <v>Y</v>
      </c>
      <c r="BD2554" t="str">
        <f>"ערן שלו"</f>
        <v>ערן שלו</v>
      </c>
    </row>
    <row r="2555" spans="1:56" x14ac:dyDescent="0.3">
      <c r="A2555" s="1">
        <v>44349</v>
      </c>
      <c r="B2555" t="str">
        <f>"SI216000792"</f>
        <v>SI216000792</v>
      </c>
      <c r="C2555" t="str">
        <f>"PR20000796"</f>
        <v>PR20000796</v>
      </c>
      <c r="E2555" t="str">
        <f>"Y"</f>
        <v>Y</v>
      </c>
      <c r="F2555" t="str">
        <f>"חשבוניות מרכזות"</f>
        <v>חשבוניות מרכזות</v>
      </c>
      <c r="G2555" t="str">
        <f>"700065"</f>
        <v>700065</v>
      </c>
      <c r="H2555" t="str">
        <f>"אלתא מערכות בע""מ"</f>
        <v>אלתא מערכות בע"מ</v>
      </c>
      <c r="I2555" t="str">
        <f>"10"</f>
        <v>10</v>
      </c>
      <c r="J2555" t="str">
        <f>"PA1001677"</f>
        <v>PA1001677</v>
      </c>
      <c r="K2555" t="str">
        <f>"BL5SRM14033XW  BACKSHELL AMPHNOL"</f>
        <v>BL5SRM14033XW  BACKSHELL AMPHNOL</v>
      </c>
      <c r="L2555">
        <v>9</v>
      </c>
      <c r="M2555" t="str">
        <f>"יח"</f>
        <v>יח</v>
      </c>
      <c r="N2555">
        <v>9</v>
      </c>
      <c r="O2555" t="str">
        <f>"יח"</f>
        <v>יח</v>
      </c>
      <c r="P2555">
        <v>67.23</v>
      </c>
      <c r="Q2555" t="str">
        <f>"$"</f>
        <v>$</v>
      </c>
      <c r="R2555" t="str">
        <f>"הזמנה"</f>
        <v>הזמנה</v>
      </c>
      <c r="S2555">
        <v>0</v>
      </c>
      <c r="T2555">
        <v>605.07000000000005</v>
      </c>
      <c r="U2555">
        <v>0</v>
      </c>
      <c r="V2555">
        <v>605.07000000000005</v>
      </c>
      <c r="W2555" t="str">
        <f>"$"</f>
        <v>$</v>
      </c>
      <c r="X2555">
        <v>0</v>
      </c>
      <c r="Y2555">
        <v>0</v>
      </c>
      <c r="Z2555">
        <v>0</v>
      </c>
      <c r="AA2555" t="str">
        <f>"Y"</f>
        <v>Y</v>
      </c>
      <c r="AC2555">
        <v>0</v>
      </c>
      <c r="AM2555" t="str">
        <f>"10"</f>
        <v>10</v>
      </c>
      <c r="AN2555" t="str">
        <f>"500000"</f>
        <v>500000</v>
      </c>
      <c r="AO2555" t="str">
        <f>"הכנסות  מלקוחות"</f>
        <v>הכנסות  מלקוחות</v>
      </c>
      <c r="AQ2555" t="str">
        <f>"034"</f>
        <v>034</v>
      </c>
      <c r="AR2555">
        <v>0</v>
      </c>
      <c r="AS2555">
        <v>0</v>
      </c>
      <c r="AT2555">
        <v>3.2530000000000001</v>
      </c>
      <c r="BB2555" t="str">
        <f>"Y"</f>
        <v>Y</v>
      </c>
      <c r="BD2555" t="str">
        <f>"ערן שלו"</f>
        <v>ערן שלו</v>
      </c>
    </row>
    <row r="2556" spans="1:56" x14ac:dyDescent="0.3">
      <c r="A2556" s="1">
        <v>44349</v>
      </c>
      <c r="B2556" t="str">
        <f>"SI216000792"</f>
        <v>SI216000792</v>
      </c>
      <c r="C2556" t="str">
        <f>"PR20000796"</f>
        <v>PR20000796</v>
      </c>
      <c r="E2556" t="str">
        <f>"Y"</f>
        <v>Y</v>
      </c>
      <c r="F2556" t="str">
        <f>"חשבוניות מרכזות"</f>
        <v>חשבוניות מרכזות</v>
      </c>
      <c r="G2556" t="str">
        <f>"700065"</f>
        <v>700065</v>
      </c>
      <c r="H2556" t="str">
        <f>"אלתא מערכות בע""מ"</f>
        <v>אלתא מערכות בע"מ</v>
      </c>
      <c r="I2556" t="str">
        <f>"10"</f>
        <v>10</v>
      </c>
      <c r="J2556" t="str">
        <f>"PA1001678"</f>
        <v>PA1001678</v>
      </c>
      <c r="K2556" t="str">
        <f>"BL5SRM16333XW BACKSHELL AMPHNOL"</f>
        <v>BL5SRM16333XW BACKSHELL AMPHNOL</v>
      </c>
      <c r="L2556">
        <v>9</v>
      </c>
      <c r="M2556" t="str">
        <f>"יח"</f>
        <v>יח</v>
      </c>
      <c r="N2556">
        <v>9</v>
      </c>
      <c r="O2556" t="str">
        <f>"יח"</f>
        <v>יח</v>
      </c>
      <c r="P2556">
        <v>67.23</v>
      </c>
      <c r="Q2556" t="str">
        <f>"$"</f>
        <v>$</v>
      </c>
      <c r="R2556" t="str">
        <f>"הזמנה"</f>
        <v>הזמנה</v>
      </c>
      <c r="S2556">
        <v>0</v>
      </c>
      <c r="T2556">
        <v>605.07000000000005</v>
      </c>
      <c r="U2556">
        <v>0</v>
      </c>
      <c r="V2556">
        <v>605.07000000000005</v>
      </c>
      <c r="W2556" t="str">
        <f>"$"</f>
        <v>$</v>
      </c>
      <c r="X2556">
        <v>0</v>
      </c>
      <c r="Y2556">
        <v>0</v>
      </c>
      <c r="Z2556">
        <v>0</v>
      </c>
      <c r="AA2556" t="str">
        <f>"Y"</f>
        <v>Y</v>
      </c>
      <c r="AC2556">
        <v>0</v>
      </c>
      <c r="AM2556" t="str">
        <f>"10"</f>
        <v>10</v>
      </c>
      <c r="AN2556" t="str">
        <f>"500000"</f>
        <v>500000</v>
      </c>
      <c r="AO2556" t="str">
        <f>"הכנסות  מלקוחות"</f>
        <v>הכנסות  מלקוחות</v>
      </c>
      <c r="AQ2556" t="str">
        <f>"034"</f>
        <v>034</v>
      </c>
      <c r="AR2556">
        <v>0</v>
      </c>
      <c r="AS2556">
        <v>0</v>
      </c>
      <c r="AT2556">
        <v>3.2530000000000001</v>
      </c>
      <c r="BB2556" t="str">
        <f>"Y"</f>
        <v>Y</v>
      </c>
      <c r="BD2556" t="str">
        <f>"ערן שלו"</f>
        <v>ערן שלו</v>
      </c>
    </row>
    <row r="2557" spans="1:56" x14ac:dyDescent="0.3">
      <c r="A2557" s="1">
        <v>44348</v>
      </c>
      <c r="B2557" t="str">
        <f>"SI216000987"</f>
        <v>SI216000987</v>
      </c>
      <c r="C2557" t="str">
        <f>"PR20000696"</f>
        <v>PR20000696</v>
      </c>
      <c r="E2557" t="str">
        <f>"Y"</f>
        <v>Y</v>
      </c>
      <c r="F2557" t="str">
        <f>"חשבוניות מרכזות"</f>
        <v>חשבוניות מרכזות</v>
      </c>
      <c r="G2557" t="str">
        <f>"700065"</f>
        <v>700065</v>
      </c>
      <c r="H2557" t="str">
        <f>"אלתא מערכות בע""מ"</f>
        <v>אלתא מערכות בע"מ</v>
      </c>
      <c r="I2557" t="str">
        <f>"10"</f>
        <v>10</v>
      </c>
      <c r="J2557" t="str">
        <f>"999"</f>
        <v>999</v>
      </c>
      <c r="K2557" t="str">
        <f>"חיוב עבור מערכת באלתא +"</f>
        <v>חיוב עבור מערכת באלתא +</v>
      </c>
      <c r="L2557">
        <v>-0.25</v>
      </c>
      <c r="M2557" t="str">
        <f>"חל"</f>
        <v>חל</v>
      </c>
      <c r="N2557">
        <v>-0.25</v>
      </c>
      <c r="O2557" t="str">
        <f>"חל"</f>
        <v>חל</v>
      </c>
      <c r="P2557" s="2">
        <v>9800</v>
      </c>
      <c r="Q2557" t="str">
        <f>"$"</f>
        <v>$</v>
      </c>
      <c r="R2557" t="str">
        <f>"הזמנה"</f>
        <v>הזמנה</v>
      </c>
      <c r="S2557">
        <v>0</v>
      </c>
      <c r="T2557" s="2">
        <v>-2450</v>
      </c>
      <c r="U2557">
        <v>0</v>
      </c>
      <c r="V2557" s="2">
        <v>-2450</v>
      </c>
      <c r="W2557" t="str">
        <f>"$"</f>
        <v>$</v>
      </c>
      <c r="X2557">
        <v>0</v>
      </c>
      <c r="Y2557">
        <v>0</v>
      </c>
      <c r="Z2557">
        <v>0</v>
      </c>
      <c r="AA2557" t="str">
        <f>"Y"</f>
        <v>Y</v>
      </c>
      <c r="AC2557">
        <v>0</v>
      </c>
      <c r="AM2557" t="str">
        <f>"10"</f>
        <v>10</v>
      </c>
      <c r="AN2557" t="str">
        <f>"500000"</f>
        <v>500000</v>
      </c>
      <c r="AO2557" t="str">
        <f>"הכנסות  מלקוחות"</f>
        <v>הכנסות  מלקוחות</v>
      </c>
      <c r="AQ2557" t="str">
        <f>"034"</f>
        <v>034</v>
      </c>
      <c r="AR2557">
        <v>0</v>
      </c>
      <c r="AS2557">
        <v>0</v>
      </c>
      <c r="AT2557">
        <v>3.1859999999999999</v>
      </c>
      <c r="BB2557" t="str">
        <f>"Y"</f>
        <v>Y</v>
      </c>
      <c r="BD2557" t="str">
        <f>"ערן שלו"</f>
        <v>ערן שלו</v>
      </c>
    </row>
    <row r="2558" spans="1:56" x14ac:dyDescent="0.3">
      <c r="A2558" s="1">
        <v>44348</v>
      </c>
      <c r="B2558" t="str">
        <f>"SI216000986"</f>
        <v>SI216000986</v>
      </c>
      <c r="E2558" t="str">
        <f>"Y"</f>
        <v>Y</v>
      </c>
      <c r="F2558" t="str">
        <f>"חשבוניות מרכזות"</f>
        <v>חשבוניות מרכזות</v>
      </c>
      <c r="G2558" t="str">
        <f>"700065"</f>
        <v>700065</v>
      </c>
      <c r="H2558" t="str">
        <f>"אלתא מערכות בע""מ"</f>
        <v>אלתא מערכות בע"מ</v>
      </c>
      <c r="I2558" t="str">
        <f>"10"</f>
        <v>10</v>
      </c>
      <c r="J2558" t="str">
        <f>"000"</f>
        <v>000</v>
      </c>
      <c r="K2558" t="str">
        <f>"ניסוי חשמל"</f>
        <v>ניסוי חשמל</v>
      </c>
      <c r="L2558">
        <v>-1</v>
      </c>
      <c r="M2558" t="str">
        <f>"יח"</f>
        <v>יח</v>
      </c>
      <c r="N2558">
        <v>-1</v>
      </c>
      <c r="O2558" t="str">
        <f>"יח"</f>
        <v>יח</v>
      </c>
      <c r="P2558" s="2">
        <v>2300</v>
      </c>
      <c r="Q2558" t="str">
        <f>"$"</f>
        <v>$</v>
      </c>
      <c r="R2558" t="str">
        <f>"הזמנה"</f>
        <v>הזמנה</v>
      </c>
      <c r="S2558">
        <v>0</v>
      </c>
      <c r="T2558" s="2">
        <v>-2300</v>
      </c>
      <c r="U2558">
        <v>0</v>
      </c>
      <c r="V2558" s="2">
        <v>-2300</v>
      </c>
      <c r="W2558" t="str">
        <f>"$"</f>
        <v>$</v>
      </c>
      <c r="X2558">
        <v>0</v>
      </c>
      <c r="Y2558">
        <v>0</v>
      </c>
      <c r="Z2558">
        <v>0</v>
      </c>
      <c r="AA2558" t="str">
        <f>"Y"</f>
        <v>Y</v>
      </c>
      <c r="AC2558">
        <v>0</v>
      </c>
      <c r="AM2558" t="str">
        <f>"10"</f>
        <v>10</v>
      </c>
      <c r="AN2558" t="str">
        <f>"500000"</f>
        <v>500000</v>
      </c>
      <c r="AO2558" t="str">
        <f>"הכנסות  מלקוחות"</f>
        <v>הכנסות  מלקוחות</v>
      </c>
      <c r="AQ2558" t="str">
        <f>"034"</f>
        <v>034</v>
      </c>
      <c r="AR2558">
        <v>0</v>
      </c>
      <c r="AS2558">
        <v>0</v>
      </c>
      <c r="AT2558">
        <v>3.2909999999999999</v>
      </c>
      <c r="BB2558" t="str">
        <f>"Y"</f>
        <v>Y</v>
      </c>
      <c r="BD2558" t="str">
        <f>"ערן שלו"</f>
        <v>ערן שלו</v>
      </c>
    </row>
    <row r="2559" spans="1:56" x14ac:dyDescent="0.3">
      <c r="A2559" s="1">
        <v>44348</v>
      </c>
      <c r="B2559" t="str">
        <f>"SI216000976"</f>
        <v>SI216000976</v>
      </c>
      <c r="C2559" t="str">
        <f>"PR20000530"</f>
        <v>PR20000530</v>
      </c>
      <c r="E2559" t="str">
        <f>"Y"</f>
        <v>Y</v>
      </c>
      <c r="F2559" t="str">
        <f>"חשבוניות מרכזות"</f>
        <v>חשבוניות מרכזות</v>
      </c>
      <c r="G2559" t="str">
        <f>"700065"</f>
        <v>700065</v>
      </c>
      <c r="H2559" t="str">
        <f>"אלתא מערכות בע""מ"</f>
        <v>אלתא מערכות בע"מ</v>
      </c>
      <c r="I2559" t="str">
        <f>"10"</f>
        <v>10</v>
      </c>
      <c r="J2559" t="str">
        <f>"OP-AR01965"</f>
        <v>OP-AR01965</v>
      </c>
      <c r="K2559" t="str">
        <f>"1031Y637-001/A - CABLE ASSY WC101"</f>
        <v>1031Y637-001/A - CABLE ASSY WC101</v>
      </c>
      <c r="L2559">
        <v>-2</v>
      </c>
      <c r="M2559" t="str">
        <f>"יח"</f>
        <v>יח</v>
      </c>
      <c r="N2559">
        <v>-2</v>
      </c>
      <c r="O2559" t="str">
        <f>"יח"</f>
        <v>יח</v>
      </c>
      <c r="P2559" s="2">
        <v>3852.22</v>
      </c>
      <c r="Q2559" t="str">
        <f>"$"</f>
        <v>$</v>
      </c>
      <c r="R2559" t="str">
        <f>"הזמנה"</f>
        <v>הזמנה</v>
      </c>
      <c r="S2559">
        <v>0</v>
      </c>
      <c r="T2559" s="2">
        <v>-7704.44</v>
      </c>
      <c r="U2559">
        <v>0</v>
      </c>
      <c r="V2559" s="2">
        <v>-7704.44</v>
      </c>
      <c r="W2559" t="str">
        <f>"$"</f>
        <v>$</v>
      </c>
      <c r="X2559">
        <v>0</v>
      </c>
      <c r="Y2559">
        <v>0</v>
      </c>
      <c r="Z2559">
        <v>0</v>
      </c>
      <c r="AA2559" t="str">
        <f>"Y"</f>
        <v>Y</v>
      </c>
      <c r="AC2559">
        <v>0</v>
      </c>
      <c r="AM2559" t="str">
        <f>"10"</f>
        <v>10</v>
      </c>
      <c r="AN2559" t="str">
        <f>"500000"</f>
        <v>500000</v>
      </c>
      <c r="AO2559" t="str">
        <f>"הכנסות  מלקוחות"</f>
        <v>הכנסות  מלקוחות</v>
      </c>
      <c r="AQ2559" t="str">
        <f>"034"</f>
        <v>034</v>
      </c>
      <c r="AR2559">
        <v>0</v>
      </c>
      <c r="AS2559">
        <v>0</v>
      </c>
      <c r="AT2559">
        <v>3.2370000000000001</v>
      </c>
      <c r="BB2559" t="str">
        <f>"Y"</f>
        <v>Y</v>
      </c>
      <c r="BD2559" t="str">
        <f>"ערן שלו"</f>
        <v>ערן שלו</v>
      </c>
    </row>
    <row r="2560" spans="1:56" x14ac:dyDescent="0.3">
      <c r="A2560" s="1">
        <v>44348</v>
      </c>
      <c r="B2560" t="str">
        <f>"SI216000971"</f>
        <v>SI216000971</v>
      </c>
      <c r="C2560" t="str">
        <f>"PR20000788"</f>
        <v>PR20000788</v>
      </c>
      <c r="D2560" t="str">
        <f>"PR20000788"</f>
        <v>PR20000788</v>
      </c>
      <c r="E2560" t="str">
        <f>"Y"</f>
        <v>Y</v>
      </c>
      <c r="F2560" t="str">
        <f>"חשבוניות מרכזות"</f>
        <v>חשבוניות מרכזות</v>
      </c>
      <c r="G2560" t="str">
        <f>"700065"</f>
        <v>700065</v>
      </c>
      <c r="H2560" t="str">
        <f>"אלתא מערכות בע""מ"</f>
        <v>אלתא מערכות בע"מ</v>
      </c>
      <c r="I2560" t="str">
        <f>"10"</f>
        <v>10</v>
      </c>
      <c r="J2560" t="str">
        <f>"OP-AR02071"</f>
        <v>OP-AR02071</v>
      </c>
      <c r="K2560" t="str">
        <f>"1031B011-001/-  W011 - PDB TO MSGU"</f>
        <v>1031B011-001/-  W011 - PDB TO MSGU</v>
      </c>
      <c r="L2560">
        <v>1</v>
      </c>
      <c r="M2560" t="str">
        <f>"יח"</f>
        <v>יח</v>
      </c>
      <c r="N2560">
        <v>1</v>
      </c>
      <c r="O2560" t="str">
        <f>"יח"</f>
        <v>יח</v>
      </c>
      <c r="P2560" s="2">
        <v>1030.8800000000001</v>
      </c>
      <c r="Q2560" t="str">
        <f>"$"</f>
        <v>$</v>
      </c>
      <c r="R2560" t="str">
        <f>"הזמנה"</f>
        <v>הזמנה</v>
      </c>
      <c r="S2560">
        <v>0</v>
      </c>
      <c r="T2560" s="2">
        <v>1030.8800000000001</v>
      </c>
      <c r="U2560">
        <v>0</v>
      </c>
      <c r="V2560" s="2">
        <v>1030.8800000000001</v>
      </c>
      <c r="W2560" t="str">
        <f>"$"</f>
        <v>$</v>
      </c>
      <c r="X2560">
        <v>0</v>
      </c>
      <c r="Y2560">
        <v>0</v>
      </c>
      <c r="Z2560">
        <v>0</v>
      </c>
      <c r="AA2560" t="str">
        <f>"Y"</f>
        <v>Y</v>
      </c>
      <c r="AB2560" t="str">
        <f>"SO20000519"</f>
        <v>SO20000519</v>
      </c>
      <c r="AC2560">
        <v>1</v>
      </c>
      <c r="AD2560" s="1">
        <v>44146</v>
      </c>
      <c r="AE2560" t="str">
        <f>"SH21000759"</f>
        <v>SH21000759</v>
      </c>
      <c r="AF2560" t="str">
        <f>"משלוחים ללקוח"</f>
        <v>משלוחים ללקוח</v>
      </c>
      <c r="AG2560" s="1">
        <v>44334</v>
      </c>
      <c r="AM2560" t="str">
        <f>"10"</f>
        <v>10</v>
      </c>
      <c r="AN2560" t="str">
        <f>"500000"</f>
        <v>500000</v>
      </c>
      <c r="AO2560" t="str">
        <f>"הכנסות  מלקוחות"</f>
        <v>הכנסות  מלקוחות</v>
      </c>
      <c r="AQ2560" t="str">
        <f>"034"</f>
        <v>034</v>
      </c>
      <c r="AR2560">
        <v>0</v>
      </c>
      <c r="AS2560">
        <v>0</v>
      </c>
      <c r="AT2560">
        <v>3.238</v>
      </c>
      <c r="AX2560" t="str">
        <f>"E000323818"</f>
        <v>E000323818</v>
      </c>
      <c r="BD2560" t="str">
        <f>"ערן שלו"</f>
        <v>ערן שלו</v>
      </c>
    </row>
    <row r="2561" spans="1:56" x14ac:dyDescent="0.3">
      <c r="A2561" s="1">
        <v>44348</v>
      </c>
      <c r="B2561" t="str">
        <f>"SI216000971"</f>
        <v>SI216000971</v>
      </c>
      <c r="C2561" t="str">
        <f>"PR20000788"</f>
        <v>PR20000788</v>
      </c>
      <c r="D2561" t="str">
        <f>"PR20000788"</f>
        <v>PR20000788</v>
      </c>
      <c r="E2561" t="str">
        <f>"Y"</f>
        <v>Y</v>
      </c>
      <c r="F2561" t="str">
        <f>"חשבוניות מרכזות"</f>
        <v>חשבוניות מרכזות</v>
      </c>
      <c r="G2561" t="str">
        <f>"700065"</f>
        <v>700065</v>
      </c>
      <c r="H2561" t="str">
        <f>"אלתא מערכות בע""מ"</f>
        <v>אלתא מערכות בע"מ</v>
      </c>
      <c r="I2561" t="str">
        <f>"10"</f>
        <v>10</v>
      </c>
      <c r="J2561" t="str">
        <f>"OP-AR02072"</f>
        <v>OP-AR02072</v>
      </c>
      <c r="K2561" t="str">
        <f>"1031B019-001/-   HARNESS W0019"</f>
        <v>1031B019-001/-   HARNESS W0019</v>
      </c>
      <c r="L2561">
        <v>1</v>
      </c>
      <c r="M2561" t="str">
        <f>"יח"</f>
        <v>יח</v>
      </c>
      <c r="N2561">
        <v>1</v>
      </c>
      <c r="O2561" t="str">
        <f>"יח"</f>
        <v>יח</v>
      </c>
      <c r="P2561" s="2">
        <v>1329.48</v>
      </c>
      <c r="Q2561" t="str">
        <f>"$"</f>
        <v>$</v>
      </c>
      <c r="R2561" t="str">
        <f>"הזמנה"</f>
        <v>הזמנה</v>
      </c>
      <c r="S2561">
        <v>0</v>
      </c>
      <c r="T2561" s="2">
        <v>1329.48</v>
      </c>
      <c r="U2561">
        <v>0</v>
      </c>
      <c r="V2561" s="2">
        <v>1329.48</v>
      </c>
      <c r="W2561" t="str">
        <f>"$"</f>
        <v>$</v>
      </c>
      <c r="X2561">
        <v>0</v>
      </c>
      <c r="Y2561">
        <v>0</v>
      </c>
      <c r="Z2561">
        <v>0</v>
      </c>
      <c r="AA2561" t="str">
        <f>"Y"</f>
        <v>Y</v>
      </c>
      <c r="AB2561" t="str">
        <f>"SO20000519"</f>
        <v>SO20000519</v>
      </c>
      <c r="AC2561">
        <v>2</v>
      </c>
      <c r="AD2561" s="1">
        <v>44146</v>
      </c>
      <c r="AE2561" t="str">
        <f>"SH21000759"</f>
        <v>SH21000759</v>
      </c>
      <c r="AF2561" t="str">
        <f>"משלוחים ללקוח"</f>
        <v>משלוחים ללקוח</v>
      </c>
      <c r="AG2561" s="1">
        <v>44334</v>
      </c>
      <c r="AM2561" t="str">
        <f>"10"</f>
        <v>10</v>
      </c>
      <c r="AN2561" t="str">
        <f>"500000"</f>
        <v>500000</v>
      </c>
      <c r="AO2561" t="str">
        <f>"הכנסות  מלקוחות"</f>
        <v>הכנסות  מלקוחות</v>
      </c>
      <c r="AQ2561" t="str">
        <f>"034"</f>
        <v>034</v>
      </c>
      <c r="AR2561">
        <v>0</v>
      </c>
      <c r="AS2561">
        <v>0</v>
      </c>
      <c r="AT2561">
        <v>3.238</v>
      </c>
      <c r="AX2561" t="str">
        <f>"E000323818"</f>
        <v>E000323818</v>
      </c>
      <c r="BD2561" t="str">
        <f>"ערן שלו"</f>
        <v>ערן שלו</v>
      </c>
    </row>
    <row r="2562" spans="1:56" x14ac:dyDescent="0.3">
      <c r="A2562" s="1">
        <v>44348</v>
      </c>
      <c r="B2562" t="str">
        <f>"SI216000970"</f>
        <v>SI216000970</v>
      </c>
      <c r="C2562" t="str">
        <f>"PR20000788"</f>
        <v>PR20000788</v>
      </c>
      <c r="E2562" t="str">
        <f>"Y"</f>
        <v>Y</v>
      </c>
      <c r="F2562" t="str">
        <f>"חשבוניות מרכזות"</f>
        <v>חשבוניות מרכזות</v>
      </c>
      <c r="G2562" t="str">
        <f>"700065"</f>
        <v>700065</v>
      </c>
      <c r="H2562" t="str">
        <f>"אלתא מערכות בע""מ"</f>
        <v>אלתא מערכות בע"מ</v>
      </c>
      <c r="I2562" t="str">
        <f>"10"</f>
        <v>10</v>
      </c>
      <c r="J2562" t="str">
        <f>"OP-AR02071"</f>
        <v>OP-AR02071</v>
      </c>
      <c r="K2562" t="str">
        <f>"1031B011-001/-  W011 - PDB TO MSGU"</f>
        <v>1031B011-001/-  W011 - PDB TO MSGU</v>
      </c>
      <c r="L2562">
        <v>-1</v>
      </c>
      <c r="M2562" t="str">
        <f>"יח"</f>
        <v>יח</v>
      </c>
      <c r="N2562">
        <v>-1</v>
      </c>
      <c r="O2562" t="str">
        <f>"יח"</f>
        <v>יח</v>
      </c>
      <c r="P2562" s="2">
        <v>1030.8800000000001</v>
      </c>
      <c r="Q2562" t="str">
        <f>"$"</f>
        <v>$</v>
      </c>
      <c r="R2562" t="str">
        <f>"הזמנה"</f>
        <v>הזמנה</v>
      </c>
      <c r="S2562">
        <v>0</v>
      </c>
      <c r="T2562" s="2">
        <v>-1030.8800000000001</v>
      </c>
      <c r="U2562">
        <v>2</v>
      </c>
      <c r="V2562" s="2">
        <v>-1010.26</v>
      </c>
      <c r="W2562" t="str">
        <f>"$"</f>
        <v>$</v>
      </c>
      <c r="X2562">
        <v>0</v>
      </c>
      <c r="Y2562">
        <v>0</v>
      </c>
      <c r="Z2562">
        <v>0</v>
      </c>
      <c r="AA2562" t="str">
        <f>"Y"</f>
        <v>Y</v>
      </c>
      <c r="AC2562">
        <v>0</v>
      </c>
      <c r="AM2562" t="str">
        <f>"10"</f>
        <v>10</v>
      </c>
      <c r="AN2562" t="str">
        <f>"500000"</f>
        <v>500000</v>
      </c>
      <c r="AO2562" t="str">
        <f>"הכנסות  מלקוחות"</f>
        <v>הכנסות  מלקוחות</v>
      </c>
      <c r="AQ2562" t="str">
        <f>"034"</f>
        <v>034</v>
      </c>
      <c r="AR2562">
        <v>0</v>
      </c>
      <c r="AS2562">
        <v>0</v>
      </c>
      <c r="AT2562">
        <v>3.2730000000000001</v>
      </c>
      <c r="BB2562" t="str">
        <f>"Y"</f>
        <v>Y</v>
      </c>
      <c r="BD2562" t="str">
        <f>"ערן שלו"</f>
        <v>ערן שלו</v>
      </c>
    </row>
    <row r="2563" spans="1:56" x14ac:dyDescent="0.3">
      <c r="A2563" s="1">
        <v>44348</v>
      </c>
      <c r="B2563" t="str">
        <f>"SI216000970"</f>
        <v>SI216000970</v>
      </c>
      <c r="C2563" t="str">
        <f>"PR20000788"</f>
        <v>PR20000788</v>
      </c>
      <c r="E2563" t="str">
        <f>"Y"</f>
        <v>Y</v>
      </c>
      <c r="F2563" t="str">
        <f>"חשבוניות מרכזות"</f>
        <v>חשבוניות מרכזות</v>
      </c>
      <c r="G2563" t="str">
        <f>"700065"</f>
        <v>700065</v>
      </c>
      <c r="H2563" t="str">
        <f>"אלתא מערכות בע""מ"</f>
        <v>אלתא מערכות בע"מ</v>
      </c>
      <c r="I2563" t="str">
        <f>"10"</f>
        <v>10</v>
      </c>
      <c r="J2563" t="str">
        <f>"OP-AR02072"</f>
        <v>OP-AR02072</v>
      </c>
      <c r="K2563" t="str">
        <f>"1031B019-001/-   HARNESS W0019"</f>
        <v>1031B019-001/-   HARNESS W0019</v>
      </c>
      <c r="L2563">
        <v>-1</v>
      </c>
      <c r="M2563" t="str">
        <f>"יח"</f>
        <v>יח</v>
      </c>
      <c r="N2563">
        <v>-1</v>
      </c>
      <c r="O2563" t="str">
        <f>"יח"</f>
        <v>יח</v>
      </c>
      <c r="P2563" s="2">
        <v>1329.48</v>
      </c>
      <c r="Q2563" t="str">
        <f>"$"</f>
        <v>$</v>
      </c>
      <c r="R2563" t="str">
        <f>"הזמנה"</f>
        <v>הזמנה</v>
      </c>
      <c r="S2563">
        <v>0</v>
      </c>
      <c r="T2563" s="2">
        <v>-1329.48</v>
      </c>
      <c r="U2563">
        <v>2</v>
      </c>
      <c r="V2563" s="2">
        <v>-1302.8900000000001</v>
      </c>
      <c r="W2563" t="str">
        <f>"$"</f>
        <v>$</v>
      </c>
      <c r="X2563">
        <v>0</v>
      </c>
      <c r="Y2563">
        <v>0</v>
      </c>
      <c r="Z2563">
        <v>0</v>
      </c>
      <c r="AA2563" t="str">
        <f>"Y"</f>
        <v>Y</v>
      </c>
      <c r="AC2563">
        <v>0</v>
      </c>
      <c r="AM2563" t="str">
        <f>"10"</f>
        <v>10</v>
      </c>
      <c r="AN2563" t="str">
        <f>"500000"</f>
        <v>500000</v>
      </c>
      <c r="AO2563" t="str">
        <f>"הכנסות  מלקוחות"</f>
        <v>הכנסות  מלקוחות</v>
      </c>
      <c r="AQ2563" t="str">
        <f>"034"</f>
        <v>034</v>
      </c>
      <c r="AR2563">
        <v>0</v>
      </c>
      <c r="AS2563">
        <v>0</v>
      </c>
      <c r="AT2563">
        <v>3.2730000000000001</v>
      </c>
      <c r="BB2563" t="str">
        <f>"Y"</f>
        <v>Y</v>
      </c>
      <c r="BD2563" t="str">
        <f>"ערן שלו"</f>
        <v>ערן שלו</v>
      </c>
    </row>
    <row r="2564" spans="1:56" x14ac:dyDescent="0.3">
      <c r="A2564" s="1">
        <v>44347</v>
      </c>
      <c r="B2564" t="str">
        <f>"SI216000781"</f>
        <v>SI216000781</v>
      </c>
      <c r="C2564" t="str">
        <f>"PR20000834"</f>
        <v>PR20000834</v>
      </c>
      <c r="D2564" t="str">
        <f>"PR20000834"</f>
        <v>PR20000834</v>
      </c>
      <c r="E2564" t="str">
        <f>"Y"</f>
        <v>Y</v>
      </c>
      <c r="F2564" t="str">
        <f>"חשבוניות מרכזות"</f>
        <v>חשבוניות מרכזות</v>
      </c>
      <c r="G2564" t="str">
        <f>"700065"</f>
        <v>700065</v>
      </c>
      <c r="H2564" t="str">
        <f>"אלתא מערכות בע""מ"</f>
        <v>אלתא מערכות בע"מ</v>
      </c>
      <c r="I2564" t="str">
        <f>"10"</f>
        <v>10</v>
      </c>
      <c r="J2564" t="str">
        <f>"OP-AR02105"</f>
        <v>OP-AR02105</v>
      </c>
      <c r="K2564" t="str">
        <f>"1032F922-001/-   ETHERNET CABLE MFR-W922 - FILTE"</f>
        <v>1032F922-001/-   ETHERNET CABLE MFR-W922 - FILTE</v>
      </c>
      <c r="L2564">
        <v>7</v>
      </c>
      <c r="M2564" t="str">
        <f>"יח"</f>
        <v>יח</v>
      </c>
      <c r="N2564">
        <v>7</v>
      </c>
      <c r="O2564" t="str">
        <f>"יח"</f>
        <v>יח</v>
      </c>
      <c r="P2564">
        <v>174</v>
      </c>
      <c r="Q2564" t="str">
        <f>"$"</f>
        <v>$</v>
      </c>
      <c r="R2564" t="str">
        <f>"הזמנה"</f>
        <v>הזמנה</v>
      </c>
      <c r="S2564">
        <v>0</v>
      </c>
      <c r="T2564" s="2">
        <v>1218</v>
      </c>
      <c r="U2564">
        <v>0</v>
      </c>
      <c r="V2564" s="2">
        <v>1218</v>
      </c>
      <c r="W2564" t="str">
        <f>"$"</f>
        <v>$</v>
      </c>
      <c r="X2564">
        <v>0</v>
      </c>
      <c r="Y2564">
        <v>0</v>
      </c>
      <c r="Z2564">
        <v>0</v>
      </c>
      <c r="AA2564" t="str">
        <f>"Y"</f>
        <v>Y</v>
      </c>
      <c r="AB2564" t="str">
        <f>"SO20000532"</f>
        <v>SO20000532</v>
      </c>
      <c r="AC2564">
        <v>11</v>
      </c>
      <c r="AD2564" s="1">
        <v>44155</v>
      </c>
      <c r="AE2564" t="str">
        <f>"SH21000841"</f>
        <v>SH21000841</v>
      </c>
      <c r="AF2564" t="str">
        <f>"משלוחים ללקוח"</f>
        <v>משלוחים ללקוח</v>
      </c>
      <c r="AG2564" s="1">
        <v>44347</v>
      </c>
      <c r="AM2564" t="str">
        <f>"10"</f>
        <v>10</v>
      </c>
      <c r="AN2564" t="str">
        <f>"500000"</f>
        <v>500000</v>
      </c>
      <c r="AO2564" t="str">
        <f>"הכנסות  מלקוחות"</f>
        <v>הכנסות  מלקוחות</v>
      </c>
      <c r="AQ2564" t="str">
        <f>"034"</f>
        <v>034</v>
      </c>
      <c r="AR2564">
        <v>0</v>
      </c>
      <c r="AS2564">
        <v>0</v>
      </c>
      <c r="AT2564">
        <v>3.2530000000000001</v>
      </c>
      <c r="AX2564" t="str">
        <f>"E000321177"</f>
        <v>E000321177</v>
      </c>
      <c r="BD2564" t="str">
        <f>"ערן שלו"</f>
        <v>ערן שלו</v>
      </c>
    </row>
    <row r="2565" spans="1:56" x14ac:dyDescent="0.3">
      <c r="A2565" s="1">
        <v>44347</v>
      </c>
      <c r="B2565" t="str">
        <f>"SI216000781"</f>
        <v>SI216000781</v>
      </c>
      <c r="C2565" t="str">
        <f>"PR20000834"</f>
        <v>PR20000834</v>
      </c>
      <c r="D2565" t="str">
        <f>"PR20000834"</f>
        <v>PR20000834</v>
      </c>
      <c r="E2565" t="str">
        <f>"Y"</f>
        <v>Y</v>
      </c>
      <c r="F2565" t="str">
        <f>"חשבוניות מרכזות"</f>
        <v>חשבוניות מרכזות</v>
      </c>
      <c r="G2565" t="str">
        <f>"700065"</f>
        <v>700065</v>
      </c>
      <c r="H2565" t="str">
        <f>"אלתא מערכות בע""מ"</f>
        <v>אלתא מערכות בע"מ</v>
      </c>
      <c r="I2565" t="str">
        <f>"10"</f>
        <v>10</v>
      </c>
      <c r="J2565" t="str">
        <f>"OP-AR02106"</f>
        <v>OP-AR02106</v>
      </c>
      <c r="K2565" t="str">
        <f>"1032F923-001/-   ETHERNET CABLE MFR-W923 - FILTE"</f>
        <v>1032F923-001/-   ETHERNET CABLE MFR-W923 - FILTE</v>
      </c>
      <c r="L2565">
        <v>7</v>
      </c>
      <c r="M2565" t="str">
        <f>"יח"</f>
        <v>יח</v>
      </c>
      <c r="N2565">
        <v>7</v>
      </c>
      <c r="O2565" t="str">
        <f>"יח"</f>
        <v>יח</v>
      </c>
      <c r="P2565">
        <v>174</v>
      </c>
      <c r="Q2565" t="str">
        <f>"$"</f>
        <v>$</v>
      </c>
      <c r="R2565" t="str">
        <f>"הזמנה"</f>
        <v>הזמנה</v>
      </c>
      <c r="S2565">
        <v>0</v>
      </c>
      <c r="T2565" s="2">
        <v>1218</v>
      </c>
      <c r="U2565">
        <v>0</v>
      </c>
      <c r="V2565" s="2">
        <v>1218</v>
      </c>
      <c r="W2565" t="str">
        <f>"$"</f>
        <v>$</v>
      </c>
      <c r="X2565">
        <v>0</v>
      </c>
      <c r="Y2565">
        <v>0</v>
      </c>
      <c r="Z2565">
        <v>0</v>
      </c>
      <c r="AA2565" t="str">
        <f>"Y"</f>
        <v>Y</v>
      </c>
      <c r="AB2565" t="str">
        <f>"SO20000532"</f>
        <v>SO20000532</v>
      </c>
      <c r="AC2565">
        <v>17</v>
      </c>
      <c r="AD2565" s="1">
        <v>44155</v>
      </c>
      <c r="AE2565" t="str">
        <f>"SH21000841"</f>
        <v>SH21000841</v>
      </c>
      <c r="AF2565" t="str">
        <f>"משלוחים ללקוח"</f>
        <v>משלוחים ללקוח</v>
      </c>
      <c r="AG2565" s="1">
        <v>44347</v>
      </c>
      <c r="AM2565" t="str">
        <f>"10"</f>
        <v>10</v>
      </c>
      <c r="AN2565" t="str">
        <f>"500000"</f>
        <v>500000</v>
      </c>
      <c r="AO2565" t="str">
        <f>"הכנסות  מלקוחות"</f>
        <v>הכנסות  מלקוחות</v>
      </c>
      <c r="AQ2565" t="str">
        <f>"034"</f>
        <v>034</v>
      </c>
      <c r="AR2565">
        <v>0</v>
      </c>
      <c r="AS2565">
        <v>0</v>
      </c>
      <c r="AT2565">
        <v>3.2530000000000001</v>
      </c>
      <c r="AX2565" t="str">
        <f>"E000321177"</f>
        <v>E000321177</v>
      </c>
      <c r="BD2565" t="str">
        <f>"ערן שלו"</f>
        <v>ערן שלו</v>
      </c>
    </row>
    <row r="2566" spans="1:56" x14ac:dyDescent="0.3">
      <c r="A2566" s="1">
        <v>44347</v>
      </c>
      <c r="B2566" t="str">
        <f>"SI216000781"</f>
        <v>SI216000781</v>
      </c>
      <c r="C2566" t="str">
        <f>"PR20000834"</f>
        <v>PR20000834</v>
      </c>
      <c r="D2566" t="str">
        <f>"PR20000834"</f>
        <v>PR20000834</v>
      </c>
      <c r="E2566" t="str">
        <f>"Y"</f>
        <v>Y</v>
      </c>
      <c r="F2566" t="str">
        <f>"חשבוניות מרכזות"</f>
        <v>חשבוניות מרכזות</v>
      </c>
      <c r="G2566" t="str">
        <f>"700065"</f>
        <v>700065</v>
      </c>
      <c r="H2566" t="str">
        <f>"אלתא מערכות בע""מ"</f>
        <v>אלתא מערכות בע"מ</v>
      </c>
      <c r="I2566" t="str">
        <f>"10"</f>
        <v>10</v>
      </c>
      <c r="J2566" t="str">
        <f>"OP-AR02107"</f>
        <v>OP-AR02107</v>
      </c>
      <c r="K2566" t="str">
        <f>"1032F924-001/-   ETHERNET CABLE MFR-W924 - FILTE"</f>
        <v>1032F924-001/-   ETHERNET CABLE MFR-W924 - FILTE</v>
      </c>
      <c r="L2566">
        <v>7</v>
      </c>
      <c r="M2566" t="str">
        <f>"יח"</f>
        <v>יח</v>
      </c>
      <c r="N2566">
        <v>7</v>
      </c>
      <c r="O2566" t="str">
        <f>"יח"</f>
        <v>יח</v>
      </c>
      <c r="P2566">
        <v>174</v>
      </c>
      <c r="Q2566" t="str">
        <f>"$"</f>
        <v>$</v>
      </c>
      <c r="R2566" t="str">
        <f>"הזמנה"</f>
        <v>הזמנה</v>
      </c>
      <c r="S2566">
        <v>0</v>
      </c>
      <c r="T2566" s="2">
        <v>1218</v>
      </c>
      <c r="U2566">
        <v>0</v>
      </c>
      <c r="V2566" s="2">
        <v>1218</v>
      </c>
      <c r="W2566" t="str">
        <f>"$"</f>
        <v>$</v>
      </c>
      <c r="X2566">
        <v>0</v>
      </c>
      <c r="Y2566">
        <v>0</v>
      </c>
      <c r="Z2566">
        <v>0</v>
      </c>
      <c r="AA2566" t="str">
        <f>"Y"</f>
        <v>Y</v>
      </c>
      <c r="AB2566" t="str">
        <f>"SO20000532"</f>
        <v>SO20000532</v>
      </c>
      <c r="AC2566">
        <v>23</v>
      </c>
      <c r="AD2566" s="1">
        <v>44155</v>
      </c>
      <c r="AE2566" t="str">
        <f>"SH21000841"</f>
        <v>SH21000841</v>
      </c>
      <c r="AF2566" t="str">
        <f>"משלוחים ללקוח"</f>
        <v>משלוחים ללקוח</v>
      </c>
      <c r="AG2566" s="1">
        <v>44347</v>
      </c>
      <c r="AM2566" t="str">
        <f>"10"</f>
        <v>10</v>
      </c>
      <c r="AN2566" t="str">
        <f>"500000"</f>
        <v>500000</v>
      </c>
      <c r="AO2566" t="str">
        <f>"הכנסות  מלקוחות"</f>
        <v>הכנסות  מלקוחות</v>
      </c>
      <c r="AQ2566" t="str">
        <f>"034"</f>
        <v>034</v>
      </c>
      <c r="AR2566">
        <v>0</v>
      </c>
      <c r="AS2566">
        <v>0</v>
      </c>
      <c r="AT2566">
        <v>3.2530000000000001</v>
      </c>
      <c r="AX2566" t="str">
        <f>"E000321177"</f>
        <v>E000321177</v>
      </c>
      <c r="BD2566" t="str">
        <f>"ערן שלו"</f>
        <v>ערן שלו</v>
      </c>
    </row>
    <row r="2567" spans="1:56" x14ac:dyDescent="0.3">
      <c r="A2567" s="1">
        <v>44347</v>
      </c>
      <c r="B2567" t="str">
        <f>"SI216000781"</f>
        <v>SI216000781</v>
      </c>
      <c r="C2567" t="str">
        <f>"PR20000834"</f>
        <v>PR20000834</v>
      </c>
      <c r="D2567" t="str">
        <f>"PR20000834"</f>
        <v>PR20000834</v>
      </c>
      <c r="E2567" t="str">
        <f>"Y"</f>
        <v>Y</v>
      </c>
      <c r="F2567" t="str">
        <f>"חשבוניות מרכזות"</f>
        <v>חשבוניות מרכזות</v>
      </c>
      <c r="G2567" t="str">
        <f>"700065"</f>
        <v>700065</v>
      </c>
      <c r="H2567" t="str">
        <f>"אלתא מערכות בע""מ"</f>
        <v>אלתא מערכות בע"מ</v>
      </c>
      <c r="I2567" t="str">
        <f>"10"</f>
        <v>10</v>
      </c>
      <c r="J2567" t="str">
        <f>"OP-AR02108"</f>
        <v>OP-AR02108</v>
      </c>
      <c r="K2567" t="str">
        <f>"1032F925-001/-   ETHERNET CABLE MFR-W925 - FILTE"</f>
        <v>1032F925-001/-   ETHERNET CABLE MFR-W925 - FILTE</v>
      </c>
      <c r="L2567">
        <v>7</v>
      </c>
      <c r="M2567" t="str">
        <f>"יח"</f>
        <v>יח</v>
      </c>
      <c r="N2567">
        <v>7</v>
      </c>
      <c r="O2567" t="str">
        <f>"יח"</f>
        <v>יח</v>
      </c>
      <c r="P2567">
        <v>174</v>
      </c>
      <c r="Q2567" t="str">
        <f>"$"</f>
        <v>$</v>
      </c>
      <c r="R2567" t="str">
        <f>"הזמנה"</f>
        <v>הזמנה</v>
      </c>
      <c r="S2567">
        <v>0</v>
      </c>
      <c r="T2567" s="2">
        <v>1218</v>
      </c>
      <c r="U2567">
        <v>0</v>
      </c>
      <c r="V2567" s="2">
        <v>1218</v>
      </c>
      <c r="W2567" t="str">
        <f>"$"</f>
        <v>$</v>
      </c>
      <c r="X2567">
        <v>0</v>
      </c>
      <c r="Y2567">
        <v>0</v>
      </c>
      <c r="Z2567">
        <v>0</v>
      </c>
      <c r="AA2567" t="str">
        <f>"Y"</f>
        <v>Y</v>
      </c>
      <c r="AB2567" t="str">
        <f>"SO20000532"</f>
        <v>SO20000532</v>
      </c>
      <c r="AC2567">
        <v>29</v>
      </c>
      <c r="AD2567" s="1">
        <v>44155</v>
      </c>
      <c r="AE2567" t="str">
        <f>"SH21000841"</f>
        <v>SH21000841</v>
      </c>
      <c r="AF2567" t="str">
        <f>"משלוחים ללקוח"</f>
        <v>משלוחים ללקוח</v>
      </c>
      <c r="AG2567" s="1">
        <v>44347</v>
      </c>
      <c r="AM2567" t="str">
        <f>"10"</f>
        <v>10</v>
      </c>
      <c r="AN2567" t="str">
        <f>"500000"</f>
        <v>500000</v>
      </c>
      <c r="AO2567" t="str">
        <f>"הכנסות  מלקוחות"</f>
        <v>הכנסות  מלקוחות</v>
      </c>
      <c r="AQ2567" t="str">
        <f>"034"</f>
        <v>034</v>
      </c>
      <c r="AR2567">
        <v>0</v>
      </c>
      <c r="AS2567">
        <v>0</v>
      </c>
      <c r="AT2567">
        <v>3.2530000000000001</v>
      </c>
      <c r="AX2567" t="str">
        <f>"E000321177"</f>
        <v>E000321177</v>
      </c>
      <c r="BD2567" t="str">
        <f>"ערן שלו"</f>
        <v>ערן שלו</v>
      </c>
    </row>
    <row r="2568" spans="1:56" x14ac:dyDescent="0.3">
      <c r="A2568" s="1">
        <v>44347</v>
      </c>
      <c r="B2568" t="str">
        <f>"SI216000781"</f>
        <v>SI216000781</v>
      </c>
      <c r="C2568" t="str">
        <f>"PR20000834"</f>
        <v>PR20000834</v>
      </c>
      <c r="D2568" t="str">
        <f>"PR20000834"</f>
        <v>PR20000834</v>
      </c>
      <c r="E2568" t="str">
        <f>"Y"</f>
        <v>Y</v>
      </c>
      <c r="F2568" t="str">
        <f>"חשבוניות מרכזות"</f>
        <v>חשבוניות מרכזות</v>
      </c>
      <c r="G2568" t="str">
        <f>"700065"</f>
        <v>700065</v>
      </c>
      <c r="H2568" t="str">
        <f>"אלתא מערכות בע""מ"</f>
        <v>אלתא מערכות בע"מ</v>
      </c>
      <c r="I2568" t="str">
        <f>"10"</f>
        <v>10</v>
      </c>
      <c r="J2568" t="str">
        <f>"OP-AR02109"</f>
        <v>OP-AR02109</v>
      </c>
      <c r="K2568" t="str">
        <f>"1032F926-001/-   ETHERNET CABLE MFR-W926 - FILTE"</f>
        <v>1032F926-001/-   ETHERNET CABLE MFR-W926 - FILTE</v>
      </c>
      <c r="L2568">
        <v>7</v>
      </c>
      <c r="M2568" t="str">
        <f>"יח"</f>
        <v>יח</v>
      </c>
      <c r="N2568">
        <v>7</v>
      </c>
      <c r="O2568" t="str">
        <f>"יח"</f>
        <v>יח</v>
      </c>
      <c r="P2568">
        <v>174</v>
      </c>
      <c r="Q2568" t="str">
        <f>"$"</f>
        <v>$</v>
      </c>
      <c r="R2568" t="str">
        <f>"הזמנה"</f>
        <v>הזמנה</v>
      </c>
      <c r="S2568">
        <v>0</v>
      </c>
      <c r="T2568" s="2">
        <v>1218</v>
      </c>
      <c r="U2568">
        <v>0</v>
      </c>
      <c r="V2568" s="2">
        <v>1218</v>
      </c>
      <c r="W2568" t="str">
        <f>"$"</f>
        <v>$</v>
      </c>
      <c r="X2568">
        <v>0</v>
      </c>
      <c r="Y2568">
        <v>0</v>
      </c>
      <c r="Z2568">
        <v>0</v>
      </c>
      <c r="AA2568" t="str">
        <f>"Y"</f>
        <v>Y</v>
      </c>
      <c r="AB2568" t="str">
        <f>"SO20000532"</f>
        <v>SO20000532</v>
      </c>
      <c r="AC2568">
        <v>35</v>
      </c>
      <c r="AD2568" s="1">
        <v>44155</v>
      </c>
      <c r="AE2568" t="str">
        <f>"SH21000841"</f>
        <v>SH21000841</v>
      </c>
      <c r="AF2568" t="str">
        <f>"משלוחים ללקוח"</f>
        <v>משלוחים ללקוח</v>
      </c>
      <c r="AG2568" s="1">
        <v>44347</v>
      </c>
      <c r="AM2568" t="str">
        <f>"10"</f>
        <v>10</v>
      </c>
      <c r="AN2568" t="str">
        <f>"500000"</f>
        <v>500000</v>
      </c>
      <c r="AO2568" t="str">
        <f>"הכנסות  מלקוחות"</f>
        <v>הכנסות  מלקוחות</v>
      </c>
      <c r="AQ2568" t="str">
        <f>"034"</f>
        <v>034</v>
      </c>
      <c r="AR2568">
        <v>0</v>
      </c>
      <c r="AS2568">
        <v>0</v>
      </c>
      <c r="AT2568">
        <v>3.2530000000000001</v>
      </c>
      <c r="AX2568" t="str">
        <f>"E000321177"</f>
        <v>E000321177</v>
      </c>
      <c r="BD2568" t="str">
        <f>"ערן שלו"</f>
        <v>ערן שלו</v>
      </c>
    </row>
    <row r="2569" spans="1:56" x14ac:dyDescent="0.3">
      <c r="A2569" s="1">
        <v>44347</v>
      </c>
      <c r="B2569" t="str">
        <f>"SI216000781"</f>
        <v>SI216000781</v>
      </c>
      <c r="C2569" t="str">
        <f>"PR20000834"</f>
        <v>PR20000834</v>
      </c>
      <c r="D2569" t="str">
        <f>"PR20000834"</f>
        <v>PR20000834</v>
      </c>
      <c r="E2569" t="str">
        <f>"Y"</f>
        <v>Y</v>
      </c>
      <c r="F2569" t="str">
        <f>"חשבוניות מרכזות"</f>
        <v>חשבוניות מרכזות</v>
      </c>
      <c r="G2569" t="str">
        <f>"700065"</f>
        <v>700065</v>
      </c>
      <c r="H2569" t="str">
        <f>"אלתא מערכות בע""מ"</f>
        <v>אלתא מערכות בע"מ</v>
      </c>
      <c r="I2569" t="str">
        <f>"10"</f>
        <v>10</v>
      </c>
      <c r="J2569" t="str">
        <f>"OP-AR02110"</f>
        <v>OP-AR02110</v>
      </c>
      <c r="K2569" t="str">
        <f>"1032F927-001/-   ETHERNET CABLE MFR-W927 - FILTE"</f>
        <v>1032F927-001/-   ETHERNET CABLE MFR-W927 - FILTE</v>
      </c>
      <c r="L2569">
        <v>7</v>
      </c>
      <c r="M2569" t="str">
        <f>"יח"</f>
        <v>יח</v>
      </c>
      <c r="N2569">
        <v>7</v>
      </c>
      <c r="O2569" t="str">
        <f>"יח"</f>
        <v>יח</v>
      </c>
      <c r="P2569">
        <v>174</v>
      </c>
      <c r="Q2569" t="str">
        <f>"$"</f>
        <v>$</v>
      </c>
      <c r="R2569" t="str">
        <f>"הזמנה"</f>
        <v>הזמנה</v>
      </c>
      <c r="S2569">
        <v>0</v>
      </c>
      <c r="T2569" s="2">
        <v>1218</v>
      </c>
      <c r="U2569">
        <v>0</v>
      </c>
      <c r="V2569" s="2">
        <v>1218</v>
      </c>
      <c r="W2569" t="str">
        <f>"$"</f>
        <v>$</v>
      </c>
      <c r="X2569">
        <v>0</v>
      </c>
      <c r="Y2569">
        <v>0</v>
      </c>
      <c r="Z2569">
        <v>0</v>
      </c>
      <c r="AA2569" t="str">
        <f>"Y"</f>
        <v>Y</v>
      </c>
      <c r="AB2569" t="str">
        <f>"SO20000532"</f>
        <v>SO20000532</v>
      </c>
      <c r="AC2569">
        <v>41</v>
      </c>
      <c r="AD2569" s="1">
        <v>44155</v>
      </c>
      <c r="AE2569" t="str">
        <f>"SH21000841"</f>
        <v>SH21000841</v>
      </c>
      <c r="AF2569" t="str">
        <f>"משלוחים ללקוח"</f>
        <v>משלוחים ללקוח</v>
      </c>
      <c r="AG2569" s="1">
        <v>44347</v>
      </c>
      <c r="AM2569" t="str">
        <f>"10"</f>
        <v>10</v>
      </c>
      <c r="AN2569" t="str">
        <f>"500000"</f>
        <v>500000</v>
      </c>
      <c r="AO2569" t="str">
        <f>"הכנסות  מלקוחות"</f>
        <v>הכנסות  מלקוחות</v>
      </c>
      <c r="AQ2569" t="str">
        <f>"034"</f>
        <v>034</v>
      </c>
      <c r="AR2569">
        <v>0</v>
      </c>
      <c r="AS2569">
        <v>0</v>
      </c>
      <c r="AT2569">
        <v>3.2530000000000001</v>
      </c>
      <c r="AX2569" t="str">
        <f>"E000321177"</f>
        <v>E000321177</v>
      </c>
      <c r="BD2569" t="str">
        <f>"ערן שלו"</f>
        <v>ערן שלו</v>
      </c>
    </row>
    <row r="2570" spans="1:56" x14ac:dyDescent="0.3">
      <c r="A2570" s="1">
        <v>44347</v>
      </c>
      <c r="B2570" t="str">
        <f>"SI216000781"</f>
        <v>SI216000781</v>
      </c>
      <c r="C2570" t="str">
        <f>"PR20000834"</f>
        <v>PR20000834</v>
      </c>
      <c r="D2570" t="str">
        <f>"PR20000834"</f>
        <v>PR20000834</v>
      </c>
      <c r="E2570" t="str">
        <f>"Y"</f>
        <v>Y</v>
      </c>
      <c r="F2570" t="str">
        <f>"חשבוניות מרכזות"</f>
        <v>חשבוניות מרכזות</v>
      </c>
      <c r="G2570" t="str">
        <f>"700065"</f>
        <v>700065</v>
      </c>
      <c r="H2570" t="str">
        <f>"אלתא מערכות בע""מ"</f>
        <v>אלתא מערכות בע"מ</v>
      </c>
      <c r="I2570" t="str">
        <f>"10"</f>
        <v>10</v>
      </c>
      <c r="J2570" t="str">
        <f>"OP-AR02111"</f>
        <v>OP-AR02111</v>
      </c>
      <c r="K2570" t="str">
        <f>"1032F928-001/-   ETHERNET CABLE MFR-W928 - FILTE"</f>
        <v>1032F928-001/-   ETHERNET CABLE MFR-W928 - FILTE</v>
      </c>
      <c r="L2570">
        <v>7</v>
      </c>
      <c r="M2570" t="str">
        <f>"יח"</f>
        <v>יח</v>
      </c>
      <c r="N2570">
        <v>7</v>
      </c>
      <c r="O2570" t="str">
        <f>"יח"</f>
        <v>יח</v>
      </c>
      <c r="P2570">
        <v>174</v>
      </c>
      <c r="Q2570" t="str">
        <f>"$"</f>
        <v>$</v>
      </c>
      <c r="R2570" t="str">
        <f>"הזמנה"</f>
        <v>הזמנה</v>
      </c>
      <c r="S2570">
        <v>0</v>
      </c>
      <c r="T2570" s="2">
        <v>1218</v>
      </c>
      <c r="U2570">
        <v>0</v>
      </c>
      <c r="V2570" s="2">
        <v>1218</v>
      </c>
      <c r="W2570" t="str">
        <f>"$"</f>
        <v>$</v>
      </c>
      <c r="X2570">
        <v>0</v>
      </c>
      <c r="Y2570">
        <v>0</v>
      </c>
      <c r="Z2570">
        <v>0</v>
      </c>
      <c r="AA2570" t="str">
        <f>"Y"</f>
        <v>Y</v>
      </c>
      <c r="AB2570" t="str">
        <f>"SO20000532"</f>
        <v>SO20000532</v>
      </c>
      <c r="AC2570">
        <v>47</v>
      </c>
      <c r="AD2570" s="1">
        <v>44155</v>
      </c>
      <c r="AE2570" t="str">
        <f>"SH21000841"</f>
        <v>SH21000841</v>
      </c>
      <c r="AF2570" t="str">
        <f>"משלוחים ללקוח"</f>
        <v>משלוחים ללקוח</v>
      </c>
      <c r="AG2570" s="1">
        <v>44347</v>
      </c>
      <c r="AM2570" t="str">
        <f>"10"</f>
        <v>10</v>
      </c>
      <c r="AN2570" t="str">
        <f>"500000"</f>
        <v>500000</v>
      </c>
      <c r="AO2570" t="str">
        <f>"הכנסות  מלקוחות"</f>
        <v>הכנסות  מלקוחות</v>
      </c>
      <c r="AQ2570" t="str">
        <f>"034"</f>
        <v>034</v>
      </c>
      <c r="AR2570">
        <v>0</v>
      </c>
      <c r="AS2570">
        <v>0</v>
      </c>
      <c r="AT2570">
        <v>3.2530000000000001</v>
      </c>
      <c r="AX2570" t="str">
        <f>"E000321177"</f>
        <v>E000321177</v>
      </c>
      <c r="BD2570" t="str">
        <f>"ערן שלו"</f>
        <v>ערן שלו</v>
      </c>
    </row>
    <row r="2571" spans="1:56" x14ac:dyDescent="0.3">
      <c r="A2571" s="1">
        <v>44347</v>
      </c>
      <c r="B2571" t="str">
        <f>"SI216000781"</f>
        <v>SI216000781</v>
      </c>
      <c r="C2571" t="str">
        <f>"PR20000834"</f>
        <v>PR20000834</v>
      </c>
      <c r="D2571" t="str">
        <f>"PR20000834"</f>
        <v>PR20000834</v>
      </c>
      <c r="E2571" t="str">
        <f>"Y"</f>
        <v>Y</v>
      </c>
      <c r="F2571" t="str">
        <f>"חשבוניות מרכזות"</f>
        <v>חשבוניות מרכזות</v>
      </c>
      <c r="G2571" t="str">
        <f>"700065"</f>
        <v>700065</v>
      </c>
      <c r="H2571" t="str">
        <f>"אלתא מערכות בע""מ"</f>
        <v>אלתא מערכות בע"מ</v>
      </c>
      <c r="I2571" t="str">
        <f>"10"</f>
        <v>10</v>
      </c>
      <c r="J2571" t="str">
        <f>"OP-AR02112"</f>
        <v>OP-AR02112</v>
      </c>
      <c r="K2571" t="str">
        <f>"1032F929-001/-   ETHERNET CABLE MFR-W929 - FILTE"</f>
        <v>1032F929-001/-   ETHERNET CABLE MFR-W929 - FILTE</v>
      </c>
      <c r="L2571">
        <v>7</v>
      </c>
      <c r="M2571" t="str">
        <f>"יח"</f>
        <v>יח</v>
      </c>
      <c r="N2571">
        <v>7</v>
      </c>
      <c r="O2571" t="str">
        <f>"יח"</f>
        <v>יח</v>
      </c>
      <c r="P2571">
        <v>176.77</v>
      </c>
      <c r="Q2571" t="str">
        <f>"$"</f>
        <v>$</v>
      </c>
      <c r="R2571" t="str">
        <f>"הזמנה"</f>
        <v>הזמנה</v>
      </c>
      <c r="S2571">
        <v>0</v>
      </c>
      <c r="T2571" s="2">
        <v>1237.3900000000001</v>
      </c>
      <c r="U2571">
        <v>0</v>
      </c>
      <c r="V2571" s="2">
        <v>1237.3900000000001</v>
      </c>
      <c r="W2571" t="str">
        <f>"$"</f>
        <v>$</v>
      </c>
      <c r="X2571">
        <v>0</v>
      </c>
      <c r="Y2571">
        <v>0</v>
      </c>
      <c r="Z2571">
        <v>0</v>
      </c>
      <c r="AA2571" t="str">
        <f>"Y"</f>
        <v>Y</v>
      </c>
      <c r="AB2571" t="str">
        <f>"SO20000532"</f>
        <v>SO20000532</v>
      </c>
      <c r="AC2571">
        <v>53</v>
      </c>
      <c r="AD2571" s="1">
        <v>44155</v>
      </c>
      <c r="AE2571" t="str">
        <f>"SH21000841"</f>
        <v>SH21000841</v>
      </c>
      <c r="AF2571" t="str">
        <f>"משלוחים ללקוח"</f>
        <v>משלוחים ללקוח</v>
      </c>
      <c r="AG2571" s="1">
        <v>44347</v>
      </c>
      <c r="AM2571" t="str">
        <f>"10"</f>
        <v>10</v>
      </c>
      <c r="AN2571" t="str">
        <f>"500000"</f>
        <v>500000</v>
      </c>
      <c r="AO2571" t="str">
        <f>"הכנסות  מלקוחות"</f>
        <v>הכנסות  מלקוחות</v>
      </c>
      <c r="AQ2571" t="str">
        <f>"034"</f>
        <v>034</v>
      </c>
      <c r="AR2571">
        <v>0</v>
      </c>
      <c r="AS2571">
        <v>0</v>
      </c>
      <c r="AT2571">
        <v>3.2530000000000001</v>
      </c>
      <c r="AX2571" t="str">
        <f>"E000321177"</f>
        <v>E000321177</v>
      </c>
      <c r="BD2571" t="str">
        <f>"ערן שלו"</f>
        <v>ערן שלו</v>
      </c>
    </row>
    <row r="2572" spans="1:56" x14ac:dyDescent="0.3">
      <c r="A2572" s="1">
        <v>44347</v>
      </c>
      <c r="B2572" t="str">
        <f>"SI216000781"</f>
        <v>SI216000781</v>
      </c>
      <c r="C2572" t="str">
        <f>"PR20000834"</f>
        <v>PR20000834</v>
      </c>
      <c r="D2572" t="str">
        <f>"PR20000834"</f>
        <v>PR20000834</v>
      </c>
      <c r="E2572" t="str">
        <f>"Y"</f>
        <v>Y</v>
      </c>
      <c r="F2572" t="str">
        <f>"חשבוניות מרכזות"</f>
        <v>חשבוניות מרכזות</v>
      </c>
      <c r="G2572" t="str">
        <f>"700065"</f>
        <v>700065</v>
      </c>
      <c r="H2572" t="str">
        <f>"אלתא מערכות בע""מ"</f>
        <v>אלתא מערכות בע"מ</v>
      </c>
      <c r="I2572" t="str">
        <f>"10"</f>
        <v>10</v>
      </c>
      <c r="J2572" t="str">
        <f>"OP-AR02113"</f>
        <v>OP-AR02113</v>
      </c>
      <c r="K2572" t="str">
        <f>"1032F930-001/-   ETHERNET CABLE MFR-W930 - FILTE"</f>
        <v>1032F930-001/-   ETHERNET CABLE MFR-W930 - FILTE</v>
      </c>
      <c r="L2572">
        <v>7</v>
      </c>
      <c r="M2572" t="str">
        <f>"יח"</f>
        <v>יח</v>
      </c>
      <c r="N2572">
        <v>7</v>
      </c>
      <c r="O2572" t="str">
        <f>"יח"</f>
        <v>יח</v>
      </c>
      <c r="P2572">
        <v>174</v>
      </c>
      <c r="Q2572" t="str">
        <f>"$"</f>
        <v>$</v>
      </c>
      <c r="R2572" t="str">
        <f>"הזמנה"</f>
        <v>הזמנה</v>
      </c>
      <c r="S2572">
        <v>0</v>
      </c>
      <c r="T2572" s="2">
        <v>1218</v>
      </c>
      <c r="U2572">
        <v>0</v>
      </c>
      <c r="V2572" s="2">
        <v>1218</v>
      </c>
      <c r="W2572" t="str">
        <f>"$"</f>
        <v>$</v>
      </c>
      <c r="X2572">
        <v>0</v>
      </c>
      <c r="Y2572">
        <v>0</v>
      </c>
      <c r="Z2572">
        <v>0</v>
      </c>
      <c r="AA2572" t="str">
        <f>"Y"</f>
        <v>Y</v>
      </c>
      <c r="AB2572" t="str">
        <f>"SO20000532"</f>
        <v>SO20000532</v>
      </c>
      <c r="AC2572">
        <v>59</v>
      </c>
      <c r="AD2572" s="1">
        <v>44155</v>
      </c>
      <c r="AE2572" t="str">
        <f>"SH21000841"</f>
        <v>SH21000841</v>
      </c>
      <c r="AF2572" t="str">
        <f>"משלוחים ללקוח"</f>
        <v>משלוחים ללקוח</v>
      </c>
      <c r="AG2572" s="1">
        <v>44347</v>
      </c>
      <c r="AM2572" t="str">
        <f>"10"</f>
        <v>10</v>
      </c>
      <c r="AN2572" t="str">
        <f>"500000"</f>
        <v>500000</v>
      </c>
      <c r="AO2572" t="str">
        <f>"הכנסות  מלקוחות"</f>
        <v>הכנסות  מלקוחות</v>
      </c>
      <c r="AQ2572" t="str">
        <f>"034"</f>
        <v>034</v>
      </c>
      <c r="AR2572">
        <v>0</v>
      </c>
      <c r="AS2572">
        <v>0</v>
      </c>
      <c r="AT2572">
        <v>3.2530000000000001</v>
      </c>
      <c r="AX2572" t="str">
        <f>"E000321177"</f>
        <v>E000321177</v>
      </c>
      <c r="BD2572" t="str">
        <f>"ערן שלו"</f>
        <v>ערן שלו</v>
      </c>
    </row>
    <row r="2573" spans="1:56" x14ac:dyDescent="0.3">
      <c r="A2573" s="1">
        <v>44347</v>
      </c>
      <c r="B2573" t="str">
        <f>"SI216000781"</f>
        <v>SI216000781</v>
      </c>
      <c r="C2573" t="str">
        <f>"PR20000834"</f>
        <v>PR20000834</v>
      </c>
      <c r="D2573" t="str">
        <f>"PR20000834"</f>
        <v>PR20000834</v>
      </c>
      <c r="E2573" t="str">
        <f>"Y"</f>
        <v>Y</v>
      </c>
      <c r="F2573" t="str">
        <f>"חשבוניות מרכזות"</f>
        <v>חשבוניות מרכזות</v>
      </c>
      <c r="G2573" t="str">
        <f>"700065"</f>
        <v>700065</v>
      </c>
      <c r="H2573" t="str">
        <f>"אלתא מערכות בע""מ"</f>
        <v>אלתא מערכות בע"מ</v>
      </c>
      <c r="I2573" t="str">
        <f>"10"</f>
        <v>10</v>
      </c>
      <c r="J2573" t="str">
        <f>"OP-AR02114"</f>
        <v>OP-AR02114</v>
      </c>
      <c r="K2573" t="str">
        <f>"1032F931-001/-   ETHERNET CABLE MFR-W931 - FILTE"</f>
        <v>1032F931-001/-   ETHERNET CABLE MFR-W931 - FILTE</v>
      </c>
      <c r="L2573">
        <v>7</v>
      </c>
      <c r="M2573" t="str">
        <f>"יח"</f>
        <v>יח</v>
      </c>
      <c r="N2573">
        <v>7</v>
      </c>
      <c r="O2573" t="str">
        <f>"יח"</f>
        <v>יח</v>
      </c>
      <c r="P2573">
        <v>176.77</v>
      </c>
      <c r="Q2573" t="str">
        <f>"$"</f>
        <v>$</v>
      </c>
      <c r="R2573" t="str">
        <f>"הזמנה"</f>
        <v>הזמנה</v>
      </c>
      <c r="S2573">
        <v>0</v>
      </c>
      <c r="T2573" s="2">
        <v>1237.3900000000001</v>
      </c>
      <c r="U2573">
        <v>0</v>
      </c>
      <c r="V2573" s="2">
        <v>1237.3900000000001</v>
      </c>
      <c r="W2573" t="str">
        <f>"$"</f>
        <v>$</v>
      </c>
      <c r="X2573">
        <v>0</v>
      </c>
      <c r="Y2573">
        <v>0</v>
      </c>
      <c r="Z2573">
        <v>0</v>
      </c>
      <c r="AA2573" t="str">
        <f>"Y"</f>
        <v>Y</v>
      </c>
      <c r="AB2573" t="str">
        <f>"SO20000532"</f>
        <v>SO20000532</v>
      </c>
      <c r="AC2573">
        <v>65</v>
      </c>
      <c r="AD2573" s="1">
        <v>44155</v>
      </c>
      <c r="AE2573" t="str">
        <f>"SH21000841"</f>
        <v>SH21000841</v>
      </c>
      <c r="AF2573" t="str">
        <f>"משלוחים ללקוח"</f>
        <v>משלוחים ללקוח</v>
      </c>
      <c r="AG2573" s="1">
        <v>44347</v>
      </c>
      <c r="AM2573" t="str">
        <f>"10"</f>
        <v>10</v>
      </c>
      <c r="AN2573" t="str">
        <f>"500000"</f>
        <v>500000</v>
      </c>
      <c r="AO2573" t="str">
        <f>"הכנסות  מלקוחות"</f>
        <v>הכנסות  מלקוחות</v>
      </c>
      <c r="AQ2573" t="str">
        <f>"034"</f>
        <v>034</v>
      </c>
      <c r="AR2573">
        <v>0</v>
      </c>
      <c r="AS2573">
        <v>0</v>
      </c>
      <c r="AT2573">
        <v>3.2530000000000001</v>
      </c>
      <c r="AX2573" t="str">
        <f>"E000321177"</f>
        <v>E000321177</v>
      </c>
      <c r="BD2573" t="str">
        <f>"ערן שלו"</f>
        <v>ערן שלו</v>
      </c>
    </row>
    <row r="2574" spans="1:56" x14ac:dyDescent="0.3">
      <c r="A2574" s="1">
        <v>44347</v>
      </c>
      <c r="B2574" t="str">
        <f>"SI216000781"</f>
        <v>SI216000781</v>
      </c>
      <c r="C2574" t="str">
        <f>"PR20000834"</f>
        <v>PR20000834</v>
      </c>
      <c r="D2574" t="str">
        <f>"PR20000834"</f>
        <v>PR20000834</v>
      </c>
      <c r="E2574" t="str">
        <f>"Y"</f>
        <v>Y</v>
      </c>
      <c r="F2574" t="str">
        <f>"חשבוניות מרכזות"</f>
        <v>חשבוניות מרכזות</v>
      </c>
      <c r="G2574" t="str">
        <f>"700065"</f>
        <v>700065</v>
      </c>
      <c r="H2574" t="str">
        <f>"אלתא מערכות בע""מ"</f>
        <v>אלתא מערכות בע"מ</v>
      </c>
      <c r="I2574" t="str">
        <f>"10"</f>
        <v>10</v>
      </c>
      <c r="J2574" t="str">
        <f>"OP-AR02115"</f>
        <v>OP-AR02115</v>
      </c>
      <c r="K2574" t="str">
        <f>"1032F932-001/-   ETHERNET CABLE MFR-W932 - FILTE"</f>
        <v>1032F932-001/-   ETHERNET CABLE MFR-W932 - FILTE</v>
      </c>
      <c r="L2574">
        <v>7</v>
      </c>
      <c r="M2574" t="str">
        <f>"יח"</f>
        <v>יח</v>
      </c>
      <c r="N2574">
        <v>7</v>
      </c>
      <c r="O2574" t="str">
        <f>"יח"</f>
        <v>יח</v>
      </c>
      <c r="P2574">
        <v>176.77</v>
      </c>
      <c r="Q2574" t="str">
        <f>"$"</f>
        <v>$</v>
      </c>
      <c r="R2574" t="str">
        <f>"הזמנה"</f>
        <v>הזמנה</v>
      </c>
      <c r="S2574">
        <v>0</v>
      </c>
      <c r="T2574" s="2">
        <v>1237.3900000000001</v>
      </c>
      <c r="U2574">
        <v>0</v>
      </c>
      <c r="V2574" s="2">
        <v>1237.3900000000001</v>
      </c>
      <c r="W2574" t="str">
        <f>"$"</f>
        <v>$</v>
      </c>
      <c r="X2574">
        <v>0</v>
      </c>
      <c r="Y2574">
        <v>0</v>
      </c>
      <c r="Z2574">
        <v>0</v>
      </c>
      <c r="AA2574" t="str">
        <f>"Y"</f>
        <v>Y</v>
      </c>
      <c r="AB2574" t="str">
        <f>"SO20000532"</f>
        <v>SO20000532</v>
      </c>
      <c r="AC2574">
        <v>71</v>
      </c>
      <c r="AD2574" s="1">
        <v>44155</v>
      </c>
      <c r="AE2574" t="str">
        <f>"SH21000841"</f>
        <v>SH21000841</v>
      </c>
      <c r="AF2574" t="str">
        <f>"משלוחים ללקוח"</f>
        <v>משלוחים ללקוח</v>
      </c>
      <c r="AG2574" s="1">
        <v>44347</v>
      </c>
      <c r="AM2574" t="str">
        <f>"10"</f>
        <v>10</v>
      </c>
      <c r="AN2574" t="str">
        <f>"500000"</f>
        <v>500000</v>
      </c>
      <c r="AO2574" t="str">
        <f>"הכנסות  מלקוחות"</f>
        <v>הכנסות  מלקוחות</v>
      </c>
      <c r="AQ2574" t="str">
        <f>"034"</f>
        <v>034</v>
      </c>
      <c r="AR2574">
        <v>0</v>
      </c>
      <c r="AS2574">
        <v>0</v>
      </c>
      <c r="AT2574">
        <v>3.2530000000000001</v>
      </c>
      <c r="AX2574" t="str">
        <f>"E000321177"</f>
        <v>E000321177</v>
      </c>
      <c r="BD2574" t="str">
        <f>"ערן שלו"</f>
        <v>ערן שלו</v>
      </c>
    </row>
    <row r="2575" spans="1:56" x14ac:dyDescent="0.3">
      <c r="A2575" s="1">
        <v>44347</v>
      </c>
      <c r="B2575" t="str">
        <f>"SI216000781"</f>
        <v>SI216000781</v>
      </c>
      <c r="C2575" t="str">
        <f>"PR20000834"</f>
        <v>PR20000834</v>
      </c>
      <c r="D2575" t="str">
        <f>"PR20000834"</f>
        <v>PR20000834</v>
      </c>
      <c r="E2575" t="str">
        <f>"Y"</f>
        <v>Y</v>
      </c>
      <c r="F2575" t="str">
        <f>"חשבוניות מרכזות"</f>
        <v>חשבוניות מרכזות</v>
      </c>
      <c r="G2575" t="str">
        <f>"700065"</f>
        <v>700065</v>
      </c>
      <c r="H2575" t="str">
        <f>"אלתא מערכות בע""מ"</f>
        <v>אלתא מערכות בע"מ</v>
      </c>
      <c r="I2575" t="str">
        <f>"10"</f>
        <v>10</v>
      </c>
      <c r="J2575" t="str">
        <f>"OP-AR02117"</f>
        <v>OP-AR02117</v>
      </c>
      <c r="K2575" t="str">
        <f>"1032F933-001/-   ETHERNET CABLE MFR-W933 - FILTE"</f>
        <v>1032F933-001/-   ETHERNET CABLE MFR-W933 - FILTE</v>
      </c>
      <c r="L2575">
        <v>7</v>
      </c>
      <c r="M2575" t="str">
        <f>"יח"</f>
        <v>יח</v>
      </c>
      <c r="N2575">
        <v>7</v>
      </c>
      <c r="O2575" t="str">
        <f>"יח"</f>
        <v>יח</v>
      </c>
      <c r="P2575">
        <v>176.77</v>
      </c>
      <c r="Q2575" t="str">
        <f>"$"</f>
        <v>$</v>
      </c>
      <c r="R2575" t="str">
        <f>"הזמנה"</f>
        <v>הזמנה</v>
      </c>
      <c r="S2575">
        <v>0</v>
      </c>
      <c r="T2575" s="2">
        <v>1237.3900000000001</v>
      </c>
      <c r="U2575">
        <v>0</v>
      </c>
      <c r="V2575" s="2">
        <v>1237.3900000000001</v>
      </c>
      <c r="W2575" t="str">
        <f>"$"</f>
        <v>$</v>
      </c>
      <c r="X2575">
        <v>0</v>
      </c>
      <c r="Y2575">
        <v>0</v>
      </c>
      <c r="Z2575">
        <v>0</v>
      </c>
      <c r="AA2575" t="str">
        <f>"Y"</f>
        <v>Y</v>
      </c>
      <c r="AB2575" t="str">
        <f>"SO20000532"</f>
        <v>SO20000532</v>
      </c>
      <c r="AC2575">
        <v>77</v>
      </c>
      <c r="AD2575" s="1">
        <v>44155</v>
      </c>
      <c r="AE2575" t="str">
        <f>"SH21000841"</f>
        <v>SH21000841</v>
      </c>
      <c r="AF2575" t="str">
        <f>"משלוחים ללקוח"</f>
        <v>משלוחים ללקוח</v>
      </c>
      <c r="AG2575" s="1">
        <v>44347</v>
      </c>
      <c r="AM2575" t="str">
        <f>"10"</f>
        <v>10</v>
      </c>
      <c r="AN2575" t="str">
        <f>"500000"</f>
        <v>500000</v>
      </c>
      <c r="AO2575" t="str">
        <f>"הכנסות  מלקוחות"</f>
        <v>הכנסות  מלקוחות</v>
      </c>
      <c r="AQ2575" t="str">
        <f>"034"</f>
        <v>034</v>
      </c>
      <c r="AR2575">
        <v>0</v>
      </c>
      <c r="AS2575">
        <v>0</v>
      </c>
      <c r="AT2575">
        <v>3.2530000000000001</v>
      </c>
      <c r="AX2575" t="str">
        <f>"E000321177"</f>
        <v>E000321177</v>
      </c>
      <c r="BD2575" t="str">
        <f>"ערן שלו"</f>
        <v>ערן שלו</v>
      </c>
    </row>
    <row r="2576" spans="1:56" x14ac:dyDescent="0.3">
      <c r="A2576" s="1">
        <v>44347</v>
      </c>
      <c r="B2576" t="str">
        <f>"SI216000781"</f>
        <v>SI216000781</v>
      </c>
      <c r="C2576" t="str">
        <f>"PR20000834"</f>
        <v>PR20000834</v>
      </c>
      <c r="D2576" t="str">
        <f>"PR20000834"</f>
        <v>PR20000834</v>
      </c>
      <c r="E2576" t="str">
        <f>"Y"</f>
        <v>Y</v>
      </c>
      <c r="F2576" t="str">
        <f>"חשבוניות מרכזות"</f>
        <v>חשבוניות מרכזות</v>
      </c>
      <c r="G2576" t="str">
        <f>"700065"</f>
        <v>700065</v>
      </c>
      <c r="H2576" t="str">
        <f>"אלתא מערכות בע""מ"</f>
        <v>אלתא מערכות בע"מ</v>
      </c>
      <c r="I2576" t="str">
        <f>"10"</f>
        <v>10</v>
      </c>
      <c r="J2576" t="str">
        <f>"OP-AR02118"</f>
        <v>OP-AR02118</v>
      </c>
      <c r="K2576" t="str">
        <f>"1032F934-001/-   ETHERNET CABLE MFR-W934 - FILTE"</f>
        <v>1032F934-001/-   ETHERNET CABLE MFR-W934 - FILTE</v>
      </c>
      <c r="L2576">
        <v>7</v>
      </c>
      <c r="M2576" t="str">
        <f>"יח"</f>
        <v>יח</v>
      </c>
      <c r="N2576">
        <v>7</v>
      </c>
      <c r="O2576" t="str">
        <f>"יח"</f>
        <v>יח</v>
      </c>
      <c r="P2576">
        <v>176.77</v>
      </c>
      <c r="Q2576" t="str">
        <f>"$"</f>
        <v>$</v>
      </c>
      <c r="R2576" t="str">
        <f>"הזמנה"</f>
        <v>הזמנה</v>
      </c>
      <c r="S2576">
        <v>0</v>
      </c>
      <c r="T2576" s="2">
        <v>1237.3900000000001</v>
      </c>
      <c r="U2576">
        <v>0</v>
      </c>
      <c r="V2576" s="2">
        <v>1237.3900000000001</v>
      </c>
      <c r="W2576" t="str">
        <f>"$"</f>
        <v>$</v>
      </c>
      <c r="X2576">
        <v>0</v>
      </c>
      <c r="Y2576">
        <v>0</v>
      </c>
      <c r="Z2576">
        <v>0</v>
      </c>
      <c r="AA2576" t="str">
        <f>"Y"</f>
        <v>Y</v>
      </c>
      <c r="AB2576" t="str">
        <f>"SO20000532"</f>
        <v>SO20000532</v>
      </c>
      <c r="AC2576">
        <v>83</v>
      </c>
      <c r="AD2576" s="1">
        <v>44155</v>
      </c>
      <c r="AE2576" t="str">
        <f>"SH21000841"</f>
        <v>SH21000841</v>
      </c>
      <c r="AF2576" t="str">
        <f>"משלוחים ללקוח"</f>
        <v>משלוחים ללקוח</v>
      </c>
      <c r="AG2576" s="1">
        <v>44347</v>
      </c>
      <c r="AM2576" t="str">
        <f>"10"</f>
        <v>10</v>
      </c>
      <c r="AN2576" t="str">
        <f>"500000"</f>
        <v>500000</v>
      </c>
      <c r="AO2576" t="str">
        <f>"הכנסות  מלקוחות"</f>
        <v>הכנסות  מלקוחות</v>
      </c>
      <c r="AQ2576" t="str">
        <f>"034"</f>
        <v>034</v>
      </c>
      <c r="AR2576">
        <v>0</v>
      </c>
      <c r="AS2576">
        <v>0</v>
      </c>
      <c r="AT2576">
        <v>3.2530000000000001</v>
      </c>
      <c r="AX2576" t="str">
        <f>"E000321177"</f>
        <v>E000321177</v>
      </c>
      <c r="BD2576" t="str">
        <f>"ערן שלו"</f>
        <v>ערן שלו</v>
      </c>
    </row>
    <row r="2577" spans="1:56" x14ac:dyDescent="0.3">
      <c r="A2577" s="1">
        <v>44347</v>
      </c>
      <c r="B2577" t="str">
        <f>"SI216000781"</f>
        <v>SI216000781</v>
      </c>
      <c r="C2577" t="str">
        <f>"PR20000834"</f>
        <v>PR20000834</v>
      </c>
      <c r="D2577" t="str">
        <f>"PR20000834"</f>
        <v>PR20000834</v>
      </c>
      <c r="E2577" t="str">
        <f>"Y"</f>
        <v>Y</v>
      </c>
      <c r="F2577" t="str">
        <f>"חשבוניות מרכזות"</f>
        <v>חשבוניות מרכזות</v>
      </c>
      <c r="G2577" t="str">
        <f>"700065"</f>
        <v>700065</v>
      </c>
      <c r="H2577" t="str">
        <f>"אלתא מערכות בע""מ"</f>
        <v>אלתא מערכות בע"מ</v>
      </c>
      <c r="I2577" t="str">
        <f>"10"</f>
        <v>10</v>
      </c>
      <c r="J2577" t="str">
        <f>"OP-AR02119"</f>
        <v>OP-AR02119</v>
      </c>
      <c r="K2577" t="str">
        <f>"1032F935-001/-   ETHERNET CABLE MFR-W935 - FILTE"</f>
        <v>1032F935-001/-   ETHERNET CABLE MFR-W935 - FILTE</v>
      </c>
      <c r="L2577">
        <v>7</v>
      </c>
      <c r="M2577" t="str">
        <f>"יח"</f>
        <v>יח</v>
      </c>
      <c r="N2577">
        <v>7</v>
      </c>
      <c r="O2577" t="str">
        <f>"יח"</f>
        <v>יח</v>
      </c>
      <c r="P2577">
        <v>174</v>
      </c>
      <c r="Q2577" t="str">
        <f>"$"</f>
        <v>$</v>
      </c>
      <c r="R2577" t="str">
        <f>"הזמנה"</f>
        <v>הזמנה</v>
      </c>
      <c r="S2577">
        <v>0</v>
      </c>
      <c r="T2577" s="2">
        <v>1218</v>
      </c>
      <c r="U2577">
        <v>0</v>
      </c>
      <c r="V2577" s="2">
        <v>1218</v>
      </c>
      <c r="W2577" t="str">
        <f>"$"</f>
        <v>$</v>
      </c>
      <c r="X2577">
        <v>0</v>
      </c>
      <c r="Y2577">
        <v>0</v>
      </c>
      <c r="Z2577">
        <v>0</v>
      </c>
      <c r="AA2577" t="str">
        <f>"Y"</f>
        <v>Y</v>
      </c>
      <c r="AB2577" t="str">
        <f>"SO20000532"</f>
        <v>SO20000532</v>
      </c>
      <c r="AC2577">
        <v>89</v>
      </c>
      <c r="AD2577" s="1">
        <v>44155</v>
      </c>
      <c r="AE2577" t="str">
        <f>"SH21000841"</f>
        <v>SH21000841</v>
      </c>
      <c r="AF2577" t="str">
        <f>"משלוחים ללקוח"</f>
        <v>משלוחים ללקוח</v>
      </c>
      <c r="AG2577" s="1">
        <v>44347</v>
      </c>
      <c r="AM2577" t="str">
        <f>"10"</f>
        <v>10</v>
      </c>
      <c r="AN2577" t="str">
        <f>"500000"</f>
        <v>500000</v>
      </c>
      <c r="AO2577" t="str">
        <f>"הכנסות  מלקוחות"</f>
        <v>הכנסות  מלקוחות</v>
      </c>
      <c r="AQ2577" t="str">
        <f>"034"</f>
        <v>034</v>
      </c>
      <c r="AR2577">
        <v>0</v>
      </c>
      <c r="AS2577">
        <v>0</v>
      </c>
      <c r="AT2577">
        <v>3.2530000000000001</v>
      </c>
      <c r="AX2577" t="str">
        <f>"E000321177"</f>
        <v>E000321177</v>
      </c>
      <c r="BD2577" t="str">
        <f>"ערן שלו"</f>
        <v>ערן שלו</v>
      </c>
    </row>
    <row r="2578" spans="1:56" x14ac:dyDescent="0.3">
      <c r="A2578" s="1">
        <v>44347</v>
      </c>
      <c r="B2578" t="str">
        <f>"SI216000781"</f>
        <v>SI216000781</v>
      </c>
      <c r="C2578" t="str">
        <f>"PR20000834"</f>
        <v>PR20000834</v>
      </c>
      <c r="D2578" t="str">
        <f>"PR20000834"</f>
        <v>PR20000834</v>
      </c>
      <c r="E2578" t="str">
        <f>"Y"</f>
        <v>Y</v>
      </c>
      <c r="F2578" t="str">
        <f>"חשבוניות מרכזות"</f>
        <v>חשבוניות מרכזות</v>
      </c>
      <c r="G2578" t="str">
        <f>"700065"</f>
        <v>700065</v>
      </c>
      <c r="H2578" t="str">
        <f>"אלתא מערכות בע""מ"</f>
        <v>אלתא מערכות בע"מ</v>
      </c>
      <c r="I2578" t="str">
        <f>"10"</f>
        <v>10</v>
      </c>
      <c r="J2578" t="str">
        <f>"OP-AR02120"</f>
        <v>OP-AR02120</v>
      </c>
      <c r="K2578" t="str">
        <f>"1032F936-001/-   ETHERNET CABLE MFR-W936 - FILTE"</f>
        <v>1032F936-001/-   ETHERNET CABLE MFR-W936 - FILTE</v>
      </c>
      <c r="L2578">
        <v>7</v>
      </c>
      <c r="M2578" t="str">
        <f>"יח"</f>
        <v>יח</v>
      </c>
      <c r="N2578">
        <v>7</v>
      </c>
      <c r="O2578" t="str">
        <f>"יח"</f>
        <v>יח</v>
      </c>
      <c r="P2578">
        <v>176.77</v>
      </c>
      <c r="Q2578" t="str">
        <f>"$"</f>
        <v>$</v>
      </c>
      <c r="R2578" t="str">
        <f>"הזמנה"</f>
        <v>הזמנה</v>
      </c>
      <c r="S2578">
        <v>0</v>
      </c>
      <c r="T2578" s="2">
        <v>1237.3900000000001</v>
      </c>
      <c r="U2578">
        <v>0</v>
      </c>
      <c r="V2578" s="2">
        <v>1237.3900000000001</v>
      </c>
      <c r="W2578" t="str">
        <f>"$"</f>
        <v>$</v>
      </c>
      <c r="X2578">
        <v>0</v>
      </c>
      <c r="Y2578">
        <v>0</v>
      </c>
      <c r="Z2578">
        <v>0</v>
      </c>
      <c r="AA2578" t="str">
        <f>"Y"</f>
        <v>Y</v>
      </c>
      <c r="AB2578" t="str">
        <f>"SO20000532"</f>
        <v>SO20000532</v>
      </c>
      <c r="AC2578">
        <v>95</v>
      </c>
      <c r="AD2578" s="1">
        <v>44155</v>
      </c>
      <c r="AE2578" t="str">
        <f>"SH21000841"</f>
        <v>SH21000841</v>
      </c>
      <c r="AF2578" t="str">
        <f>"משלוחים ללקוח"</f>
        <v>משלוחים ללקוח</v>
      </c>
      <c r="AG2578" s="1">
        <v>44347</v>
      </c>
      <c r="AM2578" t="str">
        <f>"10"</f>
        <v>10</v>
      </c>
      <c r="AN2578" t="str">
        <f>"500000"</f>
        <v>500000</v>
      </c>
      <c r="AO2578" t="str">
        <f>"הכנסות  מלקוחות"</f>
        <v>הכנסות  מלקוחות</v>
      </c>
      <c r="AQ2578" t="str">
        <f>"034"</f>
        <v>034</v>
      </c>
      <c r="AR2578">
        <v>0</v>
      </c>
      <c r="AS2578">
        <v>0</v>
      </c>
      <c r="AT2578">
        <v>3.2530000000000001</v>
      </c>
      <c r="AX2578" t="str">
        <f>"E000321177"</f>
        <v>E000321177</v>
      </c>
      <c r="BD2578" t="str">
        <f>"ערן שלו"</f>
        <v>ערן שלו</v>
      </c>
    </row>
    <row r="2579" spans="1:56" x14ac:dyDescent="0.3">
      <c r="A2579" s="1">
        <v>44347</v>
      </c>
      <c r="B2579" t="str">
        <f>"SI216000781"</f>
        <v>SI216000781</v>
      </c>
      <c r="C2579" t="str">
        <f>"PR20000834"</f>
        <v>PR20000834</v>
      </c>
      <c r="D2579" t="str">
        <f>"PR20000834"</f>
        <v>PR20000834</v>
      </c>
      <c r="E2579" t="str">
        <f>"Y"</f>
        <v>Y</v>
      </c>
      <c r="F2579" t="str">
        <f>"חשבוניות מרכזות"</f>
        <v>חשבוניות מרכזות</v>
      </c>
      <c r="G2579" t="str">
        <f>"700065"</f>
        <v>700065</v>
      </c>
      <c r="H2579" t="str">
        <f>"אלתא מערכות בע""מ"</f>
        <v>אלתא מערכות בע"מ</v>
      </c>
      <c r="I2579" t="str">
        <f>"10"</f>
        <v>10</v>
      </c>
      <c r="J2579" t="str">
        <f>"OP-AR02121"</f>
        <v>OP-AR02121</v>
      </c>
      <c r="K2579" t="str">
        <f>"1032F937-001/-   ETHERNET CABLE MFR-W937 - FILTE"</f>
        <v>1032F937-001/-   ETHERNET CABLE MFR-W937 - FILTE</v>
      </c>
      <c r="L2579">
        <v>7</v>
      </c>
      <c r="M2579" t="str">
        <f>"יח"</f>
        <v>יח</v>
      </c>
      <c r="N2579">
        <v>7</v>
      </c>
      <c r="O2579" t="str">
        <f>"יח"</f>
        <v>יח</v>
      </c>
      <c r="P2579">
        <v>174</v>
      </c>
      <c r="Q2579" t="str">
        <f>"$"</f>
        <v>$</v>
      </c>
      <c r="R2579" t="str">
        <f>"הזמנה"</f>
        <v>הזמנה</v>
      </c>
      <c r="S2579">
        <v>0</v>
      </c>
      <c r="T2579" s="2">
        <v>1218</v>
      </c>
      <c r="U2579">
        <v>0</v>
      </c>
      <c r="V2579" s="2">
        <v>1218</v>
      </c>
      <c r="W2579" t="str">
        <f>"$"</f>
        <v>$</v>
      </c>
      <c r="X2579">
        <v>0</v>
      </c>
      <c r="Y2579">
        <v>0</v>
      </c>
      <c r="Z2579">
        <v>0</v>
      </c>
      <c r="AA2579" t="str">
        <f>"Y"</f>
        <v>Y</v>
      </c>
      <c r="AB2579" t="str">
        <f>"SO20000532"</f>
        <v>SO20000532</v>
      </c>
      <c r="AC2579">
        <v>101</v>
      </c>
      <c r="AD2579" s="1">
        <v>44155</v>
      </c>
      <c r="AE2579" t="str">
        <f>"SH21000841"</f>
        <v>SH21000841</v>
      </c>
      <c r="AF2579" t="str">
        <f>"משלוחים ללקוח"</f>
        <v>משלוחים ללקוח</v>
      </c>
      <c r="AG2579" s="1">
        <v>44347</v>
      </c>
      <c r="AM2579" t="str">
        <f>"10"</f>
        <v>10</v>
      </c>
      <c r="AN2579" t="str">
        <f>"500000"</f>
        <v>500000</v>
      </c>
      <c r="AO2579" t="str">
        <f>"הכנסות  מלקוחות"</f>
        <v>הכנסות  מלקוחות</v>
      </c>
      <c r="AQ2579" t="str">
        <f>"034"</f>
        <v>034</v>
      </c>
      <c r="AR2579">
        <v>0</v>
      </c>
      <c r="AS2579">
        <v>0</v>
      </c>
      <c r="AT2579">
        <v>3.2530000000000001</v>
      </c>
      <c r="AX2579" t="str">
        <f>"E000321177"</f>
        <v>E000321177</v>
      </c>
      <c r="BD2579" t="str">
        <f>"ערן שלו"</f>
        <v>ערן שלו</v>
      </c>
    </row>
    <row r="2580" spans="1:56" x14ac:dyDescent="0.3">
      <c r="A2580" s="1">
        <v>44347</v>
      </c>
      <c r="B2580" t="str">
        <f>"SI216000781"</f>
        <v>SI216000781</v>
      </c>
      <c r="C2580" t="str">
        <f>"PR20000834"</f>
        <v>PR20000834</v>
      </c>
      <c r="D2580" t="str">
        <f>"PR20000834"</f>
        <v>PR20000834</v>
      </c>
      <c r="E2580" t="str">
        <f>"Y"</f>
        <v>Y</v>
      </c>
      <c r="F2580" t="str">
        <f>"חשבוניות מרכזות"</f>
        <v>חשבוניות מרכזות</v>
      </c>
      <c r="G2580" t="str">
        <f>"700065"</f>
        <v>700065</v>
      </c>
      <c r="H2580" t="str">
        <f>"אלתא מערכות בע""מ"</f>
        <v>אלתא מערכות בע"מ</v>
      </c>
      <c r="I2580" t="str">
        <f>"10"</f>
        <v>10</v>
      </c>
      <c r="J2580" t="str">
        <f>"OP-AR02122"</f>
        <v>OP-AR02122</v>
      </c>
      <c r="K2580" t="str">
        <f>"1032F938-001/-   ETHERNET CABLE MFR-W938 - FILTE"</f>
        <v>1032F938-001/-   ETHERNET CABLE MFR-W938 - FILTE</v>
      </c>
      <c r="L2580">
        <v>7</v>
      </c>
      <c r="M2580" t="str">
        <f>"יח"</f>
        <v>יח</v>
      </c>
      <c r="N2580">
        <v>7</v>
      </c>
      <c r="O2580" t="str">
        <f>"יח"</f>
        <v>יח</v>
      </c>
      <c r="P2580">
        <v>174</v>
      </c>
      <c r="Q2580" t="str">
        <f>"$"</f>
        <v>$</v>
      </c>
      <c r="R2580" t="str">
        <f>"הזמנה"</f>
        <v>הזמנה</v>
      </c>
      <c r="S2580">
        <v>0</v>
      </c>
      <c r="T2580" s="2">
        <v>1218</v>
      </c>
      <c r="U2580">
        <v>0</v>
      </c>
      <c r="V2580" s="2">
        <v>1218</v>
      </c>
      <c r="W2580" t="str">
        <f>"$"</f>
        <v>$</v>
      </c>
      <c r="X2580">
        <v>0</v>
      </c>
      <c r="Y2580">
        <v>0</v>
      </c>
      <c r="Z2580">
        <v>0</v>
      </c>
      <c r="AA2580" t="str">
        <f>"Y"</f>
        <v>Y</v>
      </c>
      <c r="AB2580" t="str">
        <f>"SO20000532"</f>
        <v>SO20000532</v>
      </c>
      <c r="AC2580">
        <v>107</v>
      </c>
      <c r="AD2580" s="1">
        <v>44155</v>
      </c>
      <c r="AE2580" t="str">
        <f>"SH21000841"</f>
        <v>SH21000841</v>
      </c>
      <c r="AF2580" t="str">
        <f>"משלוחים ללקוח"</f>
        <v>משלוחים ללקוח</v>
      </c>
      <c r="AG2580" s="1">
        <v>44347</v>
      </c>
      <c r="AM2580" t="str">
        <f>"10"</f>
        <v>10</v>
      </c>
      <c r="AN2580" t="str">
        <f>"500000"</f>
        <v>500000</v>
      </c>
      <c r="AO2580" t="str">
        <f>"הכנסות  מלקוחות"</f>
        <v>הכנסות  מלקוחות</v>
      </c>
      <c r="AQ2580" t="str">
        <f>"034"</f>
        <v>034</v>
      </c>
      <c r="AR2580">
        <v>0</v>
      </c>
      <c r="AS2580">
        <v>0</v>
      </c>
      <c r="AT2580">
        <v>3.2530000000000001</v>
      </c>
      <c r="AX2580" t="str">
        <f>"E000321177"</f>
        <v>E000321177</v>
      </c>
      <c r="BD2580" t="str">
        <f>"ערן שלו"</f>
        <v>ערן שלו</v>
      </c>
    </row>
    <row r="2581" spans="1:56" x14ac:dyDescent="0.3">
      <c r="A2581" s="1">
        <v>44347</v>
      </c>
      <c r="B2581" t="str">
        <f>"SI216000781"</f>
        <v>SI216000781</v>
      </c>
      <c r="C2581" t="str">
        <f>"PR20000834"</f>
        <v>PR20000834</v>
      </c>
      <c r="D2581" t="str">
        <f>"PR20000834"</f>
        <v>PR20000834</v>
      </c>
      <c r="E2581" t="str">
        <f>"Y"</f>
        <v>Y</v>
      </c>
      <c r="F2581" t="str">
        <f>"חשבוניות מרכזות"</f>
        <v>חשבוניות מרכזות</v>
      </c>
      <c r="G2581" t="str">
        <f>"700065"</f>
        <v>700065</v>
      </c>
      <c r="H2581" t="str">
        <f>"אלתא מערכות בע""מ"</f>
        <v>אלתא מערכות בע"מ</v>
      </c>
      <c r="I2581" t="str">
        <f>"10"</f>
        <v>10</v>
      </c>
      <c r="J2581" t="str">
        <f>"OP-AR02123"</f>
        <v>OP-AR02123</v>
      </c>
      <c r="K2581" t="str">
        <f>"1032F939-001/-   ETHERNET CABLE MFR-W939 - FILTE"</f>
        <v>1032F939-001/-   ETHERNET CABLE MFR-W939 - FILTE</v>
      </c>
      <c r="L2581">
        <v>7</v>
      </c>
      <c r="M2581" t="str">
        <f>"יח"</f>
        <v>יח</v>
      </c>
      <c r="N2581">
        <v>7</v>
      </c>
      <c r="O2581" t="str">
        <f>"יח"</f>
        <v>יח</v>
      </c>
      <c r="P2581">
        <v>174</v>
      </c>
      <c r="Q2581" t="str">
        <f>"$"</f>
        <v>$</v>
      </c>
      <c r="R2581" t="str">
        <f>"הזמנה"</f>
        <v>הזמנה</v>
      </c>
      <c r="S2581">
        <v>0</v>
      </c>
      <c r="T2581" s="2">
        <v>1218</v>
      </c>
      <c r="U2581">
        <v>0</v>
      </c>
      <c r="V2581" s="2">
        <v>1218</v>
      </c>
      <c r="W2581" t="str">
        <f>"$"</f>
        <v>$</v>
      </c>
      <c r="X2581">
        <v>0</v>
      </c>
      <c r="Y2581">
        <v>0</v>
      </c>
      <c r="Z2581">
        <v>0</v>
      </c>
      <c r="AA2581" t="str">
        <f>"Y"</f>
        <v>Y</v>
      </c>
      <c r="AB2581" t="str">
        <f>"SO20000532"</f>
        <v>SO20000532</v>
      </c>
      <c r="AC2581">
        <v>113</v>
      </c>
      <c r="AD2581" s="1">
        <v>44155</v>
      </c>
      <c r="AE2581" t="str">
        <f>"SH21000841"</f>
        <v>SH21000841</v>
      </c>
      <c r="AF2581" t="str">
        <f>"משלוחים ללקוח"</f>
        <v>משלוחים ללקוח</v>
      </c>
      <c r="AG2581" s="1">
        <v>44347</v>
      </c>
      <c r="AM2581" t="str">
        <f>"10"</f>
        <v>10</v>
      </c>
      <c r="AN2581" t="str">
        <f>"500000"</f>
        <v>500000</v>
      </c>
      <c r="AO2581" t="str">
        <f>"הכנסות  מלקוחות"</f>
        <v>הכנסות  מלקוחות</v>
      </c>
      <c r="AQ2581" t="str">
        <f>"034"</f>
        <v>034</v>
      </c>
      <c r="AR2581">
        <v>0</v>
      </c>
      <c r="AS2581">
        <v>0</v>
      </c>
      <c r="AT2581">
        <v>3.2530000000000001</v>
      </c>
      <c r="AX2581" t="str">
        <f>"E000321177"</f>
        <v>E000321177</v>
      </c>
      <c r="BD2581" t="str">
        <f>"ערן שלו"</f>
        <v>ערן שלו</v>
      </c>
    </row>
    <row r="2582" spans="1:56" x14ac:dyDescent="0.3">
      <c r="A2582" s="1">
        <v>44347</v>
      </c>
      <c r="B2582" t="str">
        <f>"SI216000781"</f>
        <v>SI216000781</v>
      </c>
      <c r="C2582" t="str">
        <f>"PR20000834"</f>
        <v>PR20000834</v>
      </c>
      <c r="D2582" t="str">
        <f>"PR20000834"</f>
        <v>PR20000834</v>
      </c>
      <c r="E2582" t="str">
        <f>"Y"</f>
        <v>Y</v>
      </c>
      <c r="F2582" t="str">
        <f>"חשבוניות מרכזות"</f>
        <v>חשבוניות מרכזות</v>
      </c>
      <c r="G2582" t="str">
        <f>"700065"</f>
        <v>700065</v>
      </c>
      <c r="H2582" t="str">
        <f>"אלתא מערכות בע""מ"</f>
        <v>אלתא מערכות בע"מ</v>
      </c>
      <c r="I2582" t="str">
        <f>"10"</f>
        <v>10</v>
      </c>
      <c r="J2582" t="str">
        <f>"OP-AR02129"</f>
        <v>OP-AR02129</v>
      </c>
      <c r="K2582" t="str">
        <f>"1032F945-001/-   ETHERNET CABLE MFR-W945 - FILTE"</f>
        <v>1032F945-001/-   ETHERNET CABLE MFR-W945 - FILTE</v>
      </c>
      <c r="L2582">
        <v>6</v>
      </c>
      <c r="M2582" t="str">
        <f>"יח"</f>
        <v>יח</v>
      </c>
      <c r="N2582">
        <v>6</v>
      </c>
      <c r="O2582" t="str">
        <f>"יח"</f>
        <v>יח</v>
      </c>
      <c r="P2582">
        <v>176.77</v>
      </c>
      <c r="Q2582" t="str">
        <f>"$"</f>
        <v>$</v>
      </c>
      <c r="R2582" t="str">
        <f>"הזמנה"</f>
        <v>הזמנה</v>
      </c>
      <c r="S2582">
        <v>0</v>
      </c>
      <c r="T2582" s="2">
        <v>1060.6199999999999</v>
      </c>
      <c r="U2582">
        <v>0</v>
      </c>
      <c r="V2582" s="2">
        <v>1060.6199999999999</v>
      </c>
      <c r="W2582" t="str">
        <f>"$"</f>
        <v>$</v>
      </c>
      <c r="X2582">
        <v>0</v>
      </c>
      <c r="Y2582">
        <v>0</v>
      </c>
      <c r="Z2582">
        <v>0</v>
      </c>
      <c r="AA2582" t="str">
        <f>"Y"</f>
        <v>Y</v>
      </c>
      <c r="AB2582" t="str">
        <f>"SO20000532"</f>
        <v>SO20000532</v>
      </c>
      <c r="AC2582">
        <v>149</v>
      </c>
      <c r="AD2582" s="1">
        <v>44155</v>
      </c>
      <c r="AE2582" t="str">
        <f>"SH21000841"</f>
        <v>SH21000841</v>
      </c>
      <c r="AF2582" t="str">
        <f>"משלוחים ללקוח"</f>
        <v>משלוחים ללקוח</v>
      </c>
      <c r="AG2582" s="1">
        <v>44347</v>
      </c>
      <c r="AM2582" t="str">
        <f>"10"</f>
        <v>10</v>
      </c>
      <c r="AN2582" t="str">
        <f>"500000"</f>
        <v>500000</v>
      </c>
      <c r="AO2582" t="str">
        <f>"הכנסות  מלקוחות"</f>
        <v>הכנסות  מלקוחות</v>
      </c>
      <c r="AQ2582" t="str">
        <f>"034"</f>
        <v>034</v>
      </c>
      <c r="AR2582">
        <v>0</v>
      </c>
      <c r="AS2582">
        <v>0</v>
      </c>
      <c r="AT2582">
        <v>3.2530000000000001</v>
      </c>
      <c r="AX2582" t="str">
        <f>"E000321177"</f>
        <v>E000321177</v>
      </c>
      <c r="BD2582" t="str">
        <f>"ערן שלו"</f>
        <v>ערן שלו</v>
      </c>
    </row>
    <row r="2583" spans="1:56" x14ac:dyDescent="0.3">
      <c r="A2583" s="1">
        <v>44347</v>
      </c>
      <c r="B2583" t="str">
        <f>"SI216000781"</f>
        <v>SI216000781</v>
      </c>
      <c r="C2583" t="str">
        <f>"PR20000834"</f>
        <v>PR20000834</v>
      </c>
      <c r="D2583" t="str">
        <f>"PR20000834"</f>
        <v>PR20000834</v>
      </c>
      <c r="E2583" t="str">
        <f>"Y"</f>
        <v>Y</v>
      </c>
      <c r="F2583" t="str">
        <f>"חשבוניות מרכזות"</f>
        <v>חשבוניות מרכזות</v>
      </c>
      <c r="G2583" t="str">
        <f>"700065"</f>
        <v>700065</v>
      </c>
      <c r="H2583" t="str">
        <f>"אלתא מערכות בע""מ"</f>
        <v>אלתא מערכות בע"מ</v>
      </c>
      <c r="I2583" t="str">
        <f>"10"</f>
        <v>10</v>
      </c>
      <c r="J2583" t="str">
        <f>"OP-AR02104"</f>
        <v>OP-AR02104</v>
      </c>
      <c r="K2583" t="str">
        <f>"1032F921-001/-   ETHERNET CABLE MFR-W921 - FILTE"</f>
        <v>1032F921-001/-   ETHERNET CABLE MFR-W921 - FILTE</v>
      </c>
      <c r="L2583">
        <v>7</v>
      </c>
      <c r="M2583" t="str">
        <f>"יח"</f>
        <v>יח</v>
      </c>
      <c r="N2583">
        <v>7</v>
      </c>
      <c r="O2583" t="str">
        <f>"יח"</f>
        <v>יח</v>
      </c>
      <c r="P2583">
        <v>174</v>
      </c>
      <c r="Q2583" t="str">
        <f>"$"</f>
        <v>$</v>
      </c>
      <c r="R2583" t="str">
        <f>"הזמנה"</f>
        <v>הזמנה</v>
      </c>
      <c r="S2583">
        <v>0</v>
      </c>
      <c r="T2583" s="2">
        <v>1218</v>
      </c>
      <c r="U2583">
        <v>0</v>
      </c>
      <c r="V2583" s="2">
        <v>1218</v>
      </c>
      <c r="W2583" t="str">
        <f>"$"</f>
        <v>$</v>
      </c>
      <c r="X2583">
        <v>0</v>
      </c>
      <c r="Y2583">
        <v>0</v>
      </c>
      <c r="Z2583">
        <v>0</v>
      </c>
      <c r="AA2583" t="str">
        <f>"Y"</f>
        <v>Y</v>
      </c>
      <c r="AB2583" t="str">
        <f>"SO20000532"</f>
        <v>SO20000532</v>
      </c>
      <c r="AC2583">
        <v>172</v>
      </c>
      <c r="AD2583" s="1">
        <v>44155</v>
      </c>
      <c r="AE2583" t="str">
        <f>"SH21000841"</f>
        <v>SH21000841</v>
      </c>
      <c r="AF2583" t="str">
        <f>"משלוחים ללקוח"</f>
        <v>משלוחים ללקוח</v>
      </c>
      <c r="AG2583" s="1">
        <v>44347</v>
      </c>
      <c r="AM2583" t="str">
        <f>"10"</f>
        <v>10</v>
      </c>
      <c r="AN2583" t="str">
        <f>"500000"</f>
        <v>500000</v>
      </c>
      <c r="AO2583" t="str">
        <f>"הכנסות  מלקוחות"</f>
        <v>הכנסות  מלקוחות</v>
      </c>
      <c r="AQ2583" t="str">
        <f>"034"</f>
        <v>034</v>
      </c>
      <c r="AR2583">
        <v>0</v>
      </c>
      <c r="AS2583">
        <v>0</v>
      </c>
      <c r="AT2583">
        <v>3.2530000000000001</v>
      </c>
      <c r="AX2583" t="str">
        <f>"E000321177"</f>
        <v>E000321177</v>
      </c>
      <c r="BD2583" t="str">
        <f>"ערן שלו"</f>
        <v>ערן שלו</v>
      </c>
    </row>
    <row r="2584" spans="1:56" x14ac:dyDescent="0.3">
      <c r="A2584" s="1">
        <v>44347</v>
      </c>
      <c r="B2584" t="str">
        <f>"SI216000780"</f>
        <v>SI216000780</v>
      </c>
      <c r="C2584" t="str">
        <f>"PR20000348"</f>
        <v>PR20000348</v>
      </c>
      <c r="E2584" t="str">
        <f>"Y"</f>
        <v>Y</v>
      </c>
      <c r="F2584" t="str">
        <f>"חשבוניות מרכזות"</f>
        <v>חשבוניות מרכזות</v>
      </c>
      <c r="G2584" t="str">
        <f>"700065"</f>
        <v>700065</v>
      </c>
      <c r="H2584" t="str">
        <f>"אלתא מערכות בע""מ"</f>
        <v>אלתא מערכות בע"מ</v>
      </c>
      <c r="I2584" t="str">
        <f>"10"</f>
        <v>10</v>
      </c>
      <c r="J2584" t="str">
        <f>"OP-AR01778"</f>
        <v>OP-AR01778</v>
      </c>
      <c r="K2584" t="str">
        <f>"2019F711-001 CONTROL BOX HARNESS"</f>
        <v>2019F711-001 CONTROL BOX HARNESS</v>
      </c>
      <c r="L2584">
        <v>1</v>
      </c>
      <c r="M2584" t="str">
        <f>"יח"</f>
        <v>יח</v>
      </c>
      <c r="N2584">
        <v>1</v>
      </c>
      <c r="O2584" t="str">
        <f>"יח"</f>
        <v>יח</v>
      </c>
      <c r="P2584" s="2">
        <v>2428.9899999999998</v>
      </c>
      <c r="Q2584" t="str">
        <f>"$"</f>
        <v>$</v>
      </c>
      <c r="R2584" t="str">
        <f>"הזמנה"</f>
        <v>הזמנה</v>
      </c>
      <c r="S2584">
        <v>0</v>
      </c>
      <c r="T2584" s="2">
        <v>2428.9899999999998</v>
      </c>
      <c r="U2584">
        <v>0</v>
      </c>
      <c r="V2584" s="2">
        <v>2428.9899999999998</v>
      </c>
      <c r="W2584" t="str">
        <f>"$"</f>
        <v>$</v>
      </c>
      <c r="X2584">
        <v>0</v>
      </c>
      <c r="Y2584">
        <v>0</v>
      </c>
      <c r="Z2584">
        <v>0</v>
      </c>
      <c r="AA2584" t="str">
        <f>"Y"</f>
        <v>Y</v>
      </c>
      <c r="AB2584" t="str">
        <f>"SO20000201"</f>
        <v>SO20000201</v>
      </c>
      <c r="AC2584">
        <v>44</v>
      </c>
      <c r="AD2584" s="1">
        <v>43970</v>
      </c>
      <c r="AE2584" t="str">
        <f>"SH21000824"</f>
        <v>SH21000824</v>
      </c>
      <c r="AF2584" t="str">
        <f>"משלוחים ללקוח"</f>
        <v>משלוחים ללקוח</v>
      </c>
      <c r="AG2584" s="1">
        <v>44346</v>
      </c>
      <c r="AM2584" t="str">
        <f>"10"</f>
        <v>10</v>
      </c>
      <c r="AN2584" t="str">
        <f>"500000"</f>
        <v>500000</v>
      </c>
      <c r="AO2584" t="str">
        <f>"הכנסות  מלקוחות"</f>
        <v>הכנסות  מלקוחות</v>
      </c>
      <c r="AQ2584" t="str">
        <f>"034"</f>
        <v>034</v>
      </c>
      <c r="AR2584">
        <v>0</v>
      </c>
      <c r="AS2584">
        <v>0</v>
      </c>
      <c r="AT2584">
        <v>3.2530000000000001</v>
      </c>
      <c r="AX2584" t="str">
        <f>"E000311250"</f>
        <v>E000311250</v>
      </c>
      <c r="BD2584" t="str">
        <f>"ערן שלו"</f>
        <v>ערן שלו</v>
      </c>
    </row>
    <row r="2585" spans="1:56" x14ac:dyDescent="0.3">
      <c r="A2585" s="1">
        <v>44347</v>
      </c>
      <c r="B2585" t="str">
        <f>"SI216000779"</f>
        <v>SI216000779</v>
      </c>
      <c r="C2585" t="str">
        <f>"PR21000099"</f>
        <v>PR21000099</v>
      </c>
      <c r="E2585" t="str">
        <f>"Y"</f>
        <v>Y</v>
      </c>
      <c r="F2585" t="str">
        <f>"חשבוניות מרכזות"</f>
        <v>חשבוניות מרכזות</v>
      </c>
      <c r="G2585" t="str">
        <f>"700065"</f>
        <v>700065</v>
      </c>
      <c r="H2585" t="str">
        <f>"אלתא מערכות בע""מ"</f>
        <v>אלתא מערכות בע"מ</v>
      </c>
      <c r="I2585" t="str">
        <f>"10"</f>
        <v>10</v>
      </c>
      <c r="J2585" t="str">
        <f>"OP-AR02254"</f>
        <v>OP-AR02254</v>
      </c>
      <c r="K2585" t="str">
        <f>"2027F654-001  CABLE ASSY W08 CONTROL"</f>
        <v>2027F654-001  CABLE ASSY W08 CONTROL</v>
      </c>
      <c r="L2585">
        <v>1</v>
      </c>
      <c r="M2585" t="str">
        <f>"יח"</f>
        <v>יח</v>
      </c>
      <c r="N2585">
        <v>1</v>
      </c>
      <c r="O2585" t="str">
        <f>"יח"</f>
        <v>יח</v>
      </c>
      <c r="P2585" s="2">
        <v>1136.96</v>
      </c>
      <c r="Q2585" t="str">
        <f>"$"</f>
        <v>$</v>
      </c>
      <c r="R2585" t="str">
        <f>"הזמנה"</f>
        <v>הזמנה</v>
      </c>
      <c r="S2585">
        <v>0</v>
      </c>
      <c r="T2585" s="2">
        <v>1136.96</v>
      </c>
      <c r="U2585">
        <v>0</v>
      </c>
      <c r="V2585" s="2">
        <v>1136.96</v>
      </c>
      <c r="W2585" t="str">
        <f>"$"</f>
        <v>$</v>
      </c>
      <c r="X2585">
        <v>0</v>
      </c>
      <c r="Y2585">
        <v>0</v>
      </c>
      <c r="Z2585">
        <v>0</v>
      </c>
      <c r="AA2585" t="str">
        <f>"Y"</f>
        <v>Y</v>
      </c>
      <c r="AB2585" t="str">
        <f>"SO21000048"</f>
        <v>SO21000048</v>
      </c>
      <c r="AC2585">
        <v>1</v>
      </c>
      <c r="AD2585" s="1">
        <v>44222</v>
      </c>
      <c r="AE2585" t="str">
        <f>"SH21000828"</f>
        <v>SH21000828</v>
      </c>
      <c r="AF2585" t="str">
        <f>"משלוחים ללקוח"</f>
        <v>משלוחים ללקוח</v>
      </c>
      <c r="AG2585" s="1">
        <v>44346</v>
      </c>
      <c r="AM2585" t="str">
        <f>"10"</f>
        <v>10</v>
      </c>
      <c r="AN2585" t="str">
        <f>"500000"</f>
        <v>500000</v>
      </c>
      <c r="AO2585" t="str">
        <f>"הכנסות  מלקוחות"</f>
        <v>הכנסות  מלקוחות</v>
      </c>
      <c r="AQ2585" t="str">
        <f>"034"</f>
        <v>034</v>
      </c>
      <c r="AR2585">
        <v>0</v>
      </c>
      <c r="AS2585">
        <v>0</v>
      </c>
      <c r="AT2585">
        <v>3.2530000000000001</v>
      </c>
      <c r="AX2585" t="str">
        <f>"E000330610"</f>
        <v>E000330610</v>
      </c>
      <c r="BD2585" t="str">
        <f>"ערן שלו"</f>
        <v>ערן שלו</v>
      </c>
    </row>
    <row r="2586" spans="1:56" x14ac:dyDescent="0.3">
      <c r="A2586" s="1">
        <v>44347</v>
      </c>
      <c r="B2586" t="str">
        <f>"SI216000774"</f>
        <v>SI216000774</v>
      </c>
      <c r="C2586" t="str">
        <f>"PR20000828"</f>
        <v>PR20000828</v>
      </c>
      <c r="D2586" t="str">
        <f>"PR20000828"</f>
        <v>PR20000828</v>
      </c>
      <c r="E2586" t="str">
        <f>"Y"</f>
        <v>Y</v>
      </c>
      <c r="F2586" t="str">
        <f>"חשבוניות מרכזות"</f>
        <v>חשבוניות מרכזות</v>
      </c>
      <c r="G2586" t="str">
        <f>"700065"</f>
        <v>700065</v>
      </c>
      <c r="H2586" t="str">
        <f>"אלתא מערכות בע""מ"</f>
        <v>אלתא מערכות בע"מ</v>
      </c>
      <c r="I2586" t="str">
        <f>"10"</f>
        <v>10</v>
      </c>
      <c r="J2586" t="str">
        <f>"OP-AR02143"</f>
        <v>OP-AR02143</v>
      </c>
      <c r="K2586" t="str">
        <f>"1036U420-001/-   WP420 - CONTROL PEDESTAL TO PED"</f>
        <v>1036U420-001/-   WP420 - CONTROL PEDESTAL TO PED</v>
      </c>
      <c r="L2586">
        <v>14</v>
      </c>
      <c r="M2586" t="str">
        <f>"יח"</f>
        <v>יח</v>
      </c>
      <c r="N2586">
        <v>14</v>
      </c>
      <c r="O2586" t="str">
        <f>"יח"</f>
        <v>יח</v>
      </c>
      <c r="P2586">
        <v>733.33</v>
      </c>
      <c r="Q2586" t="str">
        <f>"$"</f>
        <v>$</v>
      </c>
      <c r="R2586" t="str">
        <f>"הזמנה"</f>
        <v>הזמנה</v>
      </c>
      <c r="S2586">
        <v>0</v>
      </c>
      <c r="T2586" s="2">
        <v>10266.620000000001</v>
      </c>
      <c r="U2586">
        <v>2.2999999999999998</v>
      </c>
      <c r="V2586" s="2">
        <v>10030.49</v>
      </c>
      <c r="W2586" t="str">
        <f>"$"</f>
        <v>$</v>
      </c>
      <c r="X2586">
        <v>0</v>
      </c>
      <c r="Y2586">
        <v>0</v>
      </c>
      <c r="Z2586">
        <v>0</v>
      </c>
      <c r="AA2586" t="str">
        <f>"Y"</f>
        <v>Y</v>
      </c>
      <c r="AB2586" t="str">
        <f>"SO20000546"</f>
        <v>SO20000546</v>
      </c>
      <c r="AC2586">
        <v>8</v>
      </c>
      <c r="AD2586" s="1">
        <v>44160</v>
      </c>
      <c r="AE2586" t="str">
        <f>"SH21000829"</f>
        <v>SH21000829</v>
      </c>
      <c r="AF2586" t="str">
        <f>"משלוחים ללקוח"</f>
        <v>משלוחים ללקוח</v>
      </c>
      <c r="AG2586" s="1">
        <v>44346</v>
      </c>
      <c r="AM2586" t="str">
        <f>"10"</f>
        <v>10</v>
      </c>
      <c r="AN2586" t="str">
        <f>"500000"</f>
        <v>500000</v>
      </c>
      <c r="AO2586" t="str">
        <f>"הכנסות  מלקוחות"</f>
        <v>הכנסות  מלקוחות</v>
      </c>
      <c r="AQ2586" t="str">
        <f>"034"</f>
        <v>034</v>
      </c>
      <c r="AR2586">
        <v>0</v>
      </c>
      <c r="AS2586">
        <v>0</v>
      </c>
      <c r="AT2586">
        <v>3.2530000000000001</v>
      </c>
      <c r="AX2586" t="str">
        <f>"E000326044"</f>
        <v>E000326044</v>
      </c>
      <c r="BD2586" t="str">
        <f>"ערן שלו"</f>
        <v>ערן שלו</v>
      </c>
    </row>
    <row r="2587" spans="1:56" x14ac:dyDescent="0.3">
      <c r="A2587" s="1">
        <v>44346</v>
      </c>
      <c r="B2587" t="str">
        <f>"SI216000802"</f>
        <v>SI216000802</v>
      </c>
      <c r="C2587" t="str">
        <f>"PR20000796"</f>
        <v>PR20000796</v>
      </c>
      <c r="D2587" t="str">
        <f>"PR20000796"</f>
        <v>PR20000796</v>
      </c>
      <c r="E2587" t="str">
        <f>"Y"</f>
        <v>Y</v>
      </c>
      <c r="F2587" t="str">
        <f>"חשבוניות מרכזות"</f>
        <v>חשבוניות מרכזות</v>
      </c>
      <c r="G2587" t="str">
        <f>"700065"</f>
        <v>700065</v>
      </c>
      <c r="H2587" t="str">
        <f>"אלתא מערכות בע""מ"</f>
        <v>אלתא מערכות בע"מ</v>
      </c>
      <c r="I2587" t="str">
        <f>"10"</f>
        <v>10</v>
      </c>
      <c r="J2587" t="str">
        <f>"PA1001677"</f>
        <v>PA1001677</v>
      </c>
      <c r="K2587" t="str">
        <f>"BL5SRM14033XW  BACKSHELL AMPHNOL"</f>
        <v>BL5SRM14033XW  BACKSHELL AMPHNOL</v>
      </c>
      <c r="L2587">
        <v>9</v>
      </c>
      <c r="M2587" t="str">
        <f>"יח"</f>
        <v>יח</v>
      </c>
      <c r="N2587">
        <v>9</v>
      </c>
      <c r="O2587" t="str">
        <f>"יח"</f>
        <v>יח</v>
      </c>
      <c r="P2587">
        <v>67.23</v>
      </c>
      <c r="Q2587" t="str">
        <f>"$"</f>
        <v>$</v>
      </c>
      <c r="R2587" t="str">
        <f>"הזמנה"</f>
        <v>הזמנה</v>
      </c>
      <c r="S2587">
        <v>0</v>
      </c>
      <c r="T2587">
        <v>605.07000000000005</v>
      </c>
      <c r="U2587">
        <v>0</v>
      </c>
      <c r="V2587">
        <v>605.07000000000005</v>
      </c>
      <c r="W2587" t="str">
        <f>"$"</f>
        <v>$</v>
      </c>
      <c r="X2587">
        <v>0</v>
      </c>
      <c r="Y2587">
        <v>0</v>
      </c>
      <c r="Z2587">
        <v>0</v>
      </c>
      <c r="AA2587" t="str">
        <f>"Y"</f>
        <v>Y</v>
      </c>
      <c r="AB2587" t="str">
        <f>"SO20000523"</f>
        <v>SO20000523</v>
      </c>
      <c r="AC2587">
        <v>12</v>
      </c>
      <c r="AD2587" s="1">
        <v>44147</v>
      </c>
      <c r="AE2587" t="str">
        <f>"SH21000830"</f>
        <v>SH21000830</v>
      </c>
      <c r="AF2587" t="str">
        <f>"משלוחים ללקוח"</f>
        <v>משלוחים ללקוח</v>
      </c>
      <c r="AG2587" s="1">
        <v>44346</v>
      </c>
      <c r="AM2587" t="str">
        <f>"10"</f>
        <v>10</v>
      </c>
      <c r="AN2587" t="str">
        <f>"500000"</f>
        <v>500000</v>
      </c>
      <c r="AO2587" t="str">
        <f>"הכנסות  מלקוחות"</f>
        <v>הכנסות  מלקוחות</v>
      </c>
      <c r="AQ2587" t="str">
        <f>"034"</f>
        <v>034</v>
      </c>
      <c r="AR2587">
        <v>0</v>
      </c>
      <c r="AS2587">
        <v>0</v>
      </c>
      <c r="AT2587">
        <v>3.2530000000000001</v>
      </c>
      <c r="AX2587" t="str">
        <f>"E000325831"</f>
        <v>E000325831</v>
      </c>
      <c r="BD2587" t="str">
        <f>"ערן שלו"</f>
        <v>ערן שלו</v>
      </c>
    </row>
    <row r="2588" spans="1:56" x14ac:dyDescent="0.3">
      <c r="A2588" s="1">
        <v>44346</v>
      </c>
      <c r="B2588" t="str">
        <f>"SI216000802"</f>
        <v>SI216000802</v>
      </c>
      <c r="C2588" t="str">
        <f>"PR20000796"</f>
        <v>PR20000796</v>
      </c>
      <c r="D2588" t="str">
        <f>"PR20000796"</f>
        <v>PR20000796</v>
      </c>
      <c r="E2588" t="str">
        <f>"Y"</f>
        <v>Y</v>
      </c>
      <c r="F2588" t="str">
        <f>"חשבוניות מרכזות"</f>
        <v>חשבוניות מרכזות</v>
      </c>
      <c r="G2588" t="str">
        <f>"700065"</f>
        <v>700065</v>
      </c>
      <c r="H2588" t="str">
        <f>"אלתא מערכות בע""מ"</f>
        <v>אלתא מערכות בע"מ</v>
      </c>
      <c r="I2588" t="str">
        <f>"10"</f>
        <v>10</v>
      </c>
      <c r="J2588" t="str">
        <f>"PA1001678"</f>
        <v>PA1001678</v>
      </c>
      <c r="K2588" t="str">
        <f>"BL5SRM16333XW BACKSHELL AMPHNOL"</f>
        <v>BL5SRM16333XW BACKSHELL AMPHNOL</v>
      </c>
      <c r="L2588">
        <v>9</v>
      </c>
      <c r="M2588" t="str">
        <f>"יח"</f>
        <v>יח</v>
      </c>
      <c r="N2588">
        <v>9</v>
      </c>
      <c r="O2588" t="str">
        <f>"יח"</f>
        <v>יח</v>
      </c>
      <c r="P2588">
        <v>67.23</v>
      </c>
      <c r="Q2588" t="str">
        <f>"$"</f>
        <v>$</v>
      </c>
      <c r="R2588" t="str">
        <f>"הזמנה"</f>
        <v>הזמנה</v>
      </c>
      <c r="S2588">
        <v>0</v>
      </c>
      <c r="T2588">
        <v>605.07000000000005</v>
      </c>
      <c r="U2588">
        <v>0</v>
      </c>
      <c r="V2588">
        <v>605.07000000000005</v>
      </c>
      <c r="W2588" t="str">
        <f>"$"</f>
        <v>$</v>
      </c>
      <c r="X2588">
        <v>0</v>
      </c>
      <c r="Y2588">
        <v>0</v>
      </c>
      <c r="Z2588">
        <v>0</v>
      </c>
      <c r="AA2588" t="str">
        <f>"Y"</f>
        <v>Y</v>
      </c>
      <c r="AB2588" t="str">
        <f>"SO20000523"</f>
        <v>SO20000523</v>
      </c>
      <c r="AC2588">
        <v>13</v>
      </c>
      <c r="AD2588" s="1">
        <v>44147</v>
      </c>
      <c r="AE2588" t="str">
        <f>"SH21000830"</f>
        <v>SH21000830</v>
      </c>
      <c r="AF2588" t="str">
        <f>"משלוחים ללקוח"</f>
        <v>משלוחים ללקוח</v>
      </c>
      <c r="AG2588" s="1">
        <v>44346</v>
      </c>
      <c r="AM2588" t="str">
        <f>"10"</f>
        <v>10</v>
      </c>
      <c r="AN2588" t="str">
        <f>"500000"</f>
        <v>500000</v>
      </c>
      <c r="AO2588" t="str">
        <f>"הכנסות  מלקוחות"</f>
        <v>הכנסות  מלקוחות</v>
      </c>
      <c r="AQ2588" t="str">
        <f>"034"</f>
        <v>034</v>
      </c>
      <c r="AR2588">
        <v>0</v>
      </c>
      <c r="AS2588">
        <v>0</v>
      </c>
      <c r="AT2588">
        <v>3.2530000000000001</v>
      </c>
      <c r="AX2588" t="str">
        <f>"E000325831"</f>
        <v>E000325831</v>
      </c>
      <c r="BD2588" t="str">
        <f>"ערן שלו"</f>
        <v>ערן שלו</v>
      </c>
    </row>
    <row r="2589" spans="1:56" x14ac:dyDescent="0.3">
      <c r="A2589" s="1">
        <v>44346</v>
      </c>
      <c r="B2589" t="str">
        <f>"SI216000791"</f>
        <v>SI216000791</v>
      </c>
      <c r="C2589" t="str">
        <f>"PR21000070"</f>
        <v>PR21000070</v>
      </c>
      <c r="E2589" t="str">
        <f>"Y"</f>
        <v>Y</v>
      </c>
      <c r="F2589" t="str">
        <f>"חשבוניות מרכזות"</f>
        <v>חשבוניות מרכזות</v>
      </c>
      <c r="G2589" t="str">
        <f>"700065"</f>
        <v>700065</v>
      </c>
      <c r="H2589" t="str">
        <f>"אלתא מערכות בע""מ"</f>
        <v>אלתא מערכות בע"מ</v>
      </c>
      <c r="I2589" t="str">
        <f>"10"</f>
        <v>10</v>
      </c>
      <c r="J2589" t="str">
        <f>"OP-AR02244"</f>
        <v>OP-AR02244</v>
      </c>
      <c r="K2589" t="str">
        <f>"2211B157-001   CFW07 CU ADAPTER SELFTEST CABLE A"</f>
        <v>2211B157-001   CFW07 CU ADAPTER SELFTEST CABLE A</v>
      </c>
      <c r="L2589">
        <v>2</v>
      </c>
      <c r="M2589" t="str">
        <f>"יח"</f>
        <v>יח</v>
      </c>
      <c r="N2589">
        <v>2</v>
      </c>
      <c r="O2589" t="str">
        <f>"יח"</f>
        <v>יח</v>
      </c>
      <c r="P2589">
        <v>694.65</v>
      </c>
      <c r="Q2589" t="str">
        <f>"$"</f>
        <v>$</v>
      </c>
      <c r="R2589" t="str">
        <f>"הזמנה"</f>
        <v>הזמנה</v>
      </c>
      <c r="S2589">
        <v>0</v>
      </c>
      <c r="T2589" s="2">
        <v>1389.3</v>
      </c>
      <c r="U2589">
        <v>0</v>
      </c>
      <c r="V2589" s="2">
        <v>1389.3</v>
      </c>
      <c r="W2589" t="str">
        <f>"$"</f>
        <v>$</v>
      </c>
      <c r="X2589">
        <v>0</v>
      </c>
      <c r="Y2589">
        <v>0</v>
      </c>
      <c r="Z2589">
        <v>0</v>
      </c>
      <c r="AA2589" t="str">
        <f>"Y"</f>
        <v>Y</v>
      </c>
      <c r="AB2589" t="str">
        <f>"SO21000036"</f>
        <v>SO21000036</v>
      </c>
      <c r="AC2589">
        <v>2</v>
      </c>
      <c r="AD2589" s="1">
        <v>44217</v>
      </c>
      <c r="AE2589" t="str">
        <f>"SH21000827"</f>
        <v>SH21000827</v>
      </c>
      <c r="AF2589" t="str">
        <f>"משלוחים ללקוח"</f>
        <v>משלוחים ללקוח</v>
      </c>
      <c r="AG2589" s="1">
        <v>44346</v>
      </c>
      <c r="AM2589" t="str">
        <f>"10"</f>
        <v>10</v>
      </c>
      <c r="AN2589" t="str">
        <f>"500000"</f>
        <v>500000</v>
      </c>
      <c r="AO2589" t="str">
        <f>"הכנסות  מלקוחות"</f>
        <v>הכנסות  מלקוחות</v>
      </c>
      <c r="AQ2589" t="str">
        <f>"034"</f>
        <v>034</v>
      </c>
      <c r="AR2589">
        <v>0</v>
      </c>
      <c r="AS2589">
        <v>0</v>
      </c>
      <c r="AT2589">
        <v>3.2530000000000001</v>
      </c>
      <c r="AX2589" t="str">
        <f>"E000330617"</f>
        <v>E000330617</v>
      </c>
      <c r="BD2589" t="str">
        <f>"ערן שלו"</f>
        <v>ערן שלו</v>
      </c>
    </row>
    <row r="2590" spans="1:56" x14ac:dyDescent="0.3">
      <c r="A2590" s="1">
        <v>44346</v>
      </c>
      <c r="B2590" t="str">
        <f>"SI216000790"</f>
        <v>SI216000790</v>
      </c>
      <c r="C2590" t="str">
        <f>"PR21000020"</f>
        <v>PR21000020</v>
      </c>
      <c r="E2590" t="str">
        <f>"Y"</f>
        <v>Y</v>
      </c>
      <c r="F2590" t="str">
        <f>"חשבוניות מרכזות"</f>
        <v>חשבוניות מרכזות</v>
      </c>
      <c r="G2590" t="str">
        <f>"700065"</f>
        <v>700065</v>
      </c>
      <c r="H2590" t="str">
        <f>"אלתא מערכות בע""מ"</f>
        <v>אלתא מערכות בע"מ</v>
      </c>
      <c r="I2590" t="str">
        <f>"10"</f>
        <v>10</v>
      </c>
      <c r="J2590" t="str">
        <f>"OP-AR02235"</f>
        <v>OP-AR02235</v>
      </c>
      <c r="K2590" t="str">
        <f>"1036C426-001   HARNESS W426 - EPU - PDU1 CONTROL"</f>
        <v>1036C426-001   HARNESS W426 - EPU - PDU1 CONTROL</v>
      </c>
      <c r="L2590">
        <v>3</v>
      </c>
      <c r="M2590" t="str">
        <f>"יח"</f>
        <v>יח</v>
      </c>
      <c r="N2590">
        <v>3</v>
      </c>
      <c r="O2590" t="str">
        <f>"יח"</f>
        <v>יח</v>
      </c>
      <c r="P2590" s="2">
        <v>3307.94</v>
      </c>
      <c r="Q2590" t="str">
        <f>"$"</f>
        <v>$</v>
      </c>
      <c r="R2590" t="str">
        <f>"הזמנה"</f>
        <v>הזמנה</v>
      </c>
      <c r="S2590">
        <v>0</v>
      </c>
      <c r="T2590" s="2">
        <v>9923.82</v>
      </c>
      <c r="U2590">
        <v>3.7</v>
      </c>
      <c r="V2590" s="2">
        <v>9556.64</v>
      </c>
      <c r="W2590" t="str">
        <f>"$"</f>
        <v>$</v>
      </c>
      <c r="X2590">
        <v>0</v>
      </c>
      <c r="Y2590">
        <v>0</v>
      </c>
      <c r="Z2590">
        <v>0</v>
      </c>
      <c r="AA2590" t="str">
        <f>"Y"</f>
        <v>Y</v>
      </c>
      <c r="AB2590" t="str">
        <f>"SO20000583"</f>
        <v>SO20000583</v>
      </c>
      <c r="AC2590">
        <v>1</v>
      </c>
      <c r="AD2590" s="1">
        <v>44175</v>
      </c>
      <c r="AE2590" t="str">
        <f>"SH21000826"</f>
        <v>SH21000826</v>
      </c>
      <c r="AF2590" t="str">
        <f>"משלוחים ללקוח"</f>
        <v>משלוחים ללקוח</v>
      </c>
      <c r="AG2590" s="1">
        <v>44346</v>
      </c>
      <c r="AM2590" t="str">
        <f>"10"</f>
        <v>10</v>
      </c>
      <c r="AN2590" t="str">
        <f>"500000"</f>
        <v>500000</v>
      </c>
      <c r="AO2590" t="str">
        <f>"הכנסות  מלקוחות"</f>
        <v>הכנסות  מלקוחות</v>
      </c>
      <c r="AQ2590" t="str">
        <f>"034"</f>
        <v>034</v>
      </c>
      <c r="AR2590">
        <v>0</v>
      </c>
      <c r="AS2590">
        <v>0</v>
      </c>
      <c r="AT2590">
        <v>3.2530000000000001</v>
      </c>
      <c r="AX2590" t="str">
        <f>"E000327655"</f>
        <v>E000327655</v>
      </c>
      <c r="BD2590" t="str">
        <f>"ערן שלו"</f>
        <v>ערן שלו</v>
      </c>
    </row>
    <row r="2591" spans="1:56" x14ac:dyDescent="0.3">
      <c r="A2591" s="1">
        <v>44346</v>
      </c>
      <c r="B2591" t="str">
        <f>"SI216000783"</f>
        <v>SI216000783</v>
      </c>
      <c r="C2591" t="str">
        <f>"PR20000891"</f>
        <v>PR20000891</v>
      </c>
      <c r="E2591" t="str">
        <f>"Y"</f>
        <v>Y</v>
      </c>
      <c r="F2591" t="str">
        <f>"חשבוניות מרכזות"</f>
        <v>חשבוניות מרכזות</v>
      </c>
      <c r="G2591" t="str">
        <f>"700065"</f>
        <v>700065</v>
      </c>
      <c r="H2591" t="str">
        <f>"אלתא מערכות בע""מ"</f>
        <v>אלתא מערכות בע"מ</v>
      </c>
      <c r="I2591" t="str">
        <f>"10"</f>
        <v>10</v>
      </c>
      <c r="J2591" t="str">
        <f>"OP-AR02203"</f>
        <v>OP-AR02203</v>
      </c>
      <c r="K2591" t="str">
        <f>"1034E876-001   HARNESS W876 - EXT REC CL CABLE"</f>
        <v>1034E876-001   HARNESS W876 - EXT REC CL CABLE</v>
      </c>
      <c r="L2591">
        <v>6</v>
      </c>
      <c r="M2591" t="str">
        <f>"יח"</f>
        <v>יח</v>
      </c>
      <c r="N2591">
        <v>6</v>
      </c>
      <c r="O2591" t="str">
        <f>"יח"</f>
        <v>יח</v>
      </c>
      <c r="P2591">
        <v>335.75</v>
      </c>
      <c r="Q2591" t="str">
        <f>"$"</f>
        <v>$</v>
      </c>
      <c r="R2591" t="str">
        <f>"הזמנה"</f>
        <v>הזמנה</v>
      </c>
      <c r="S2591">
        <v>0</v>
      </c>
      <c r="T2591" s="2">
        <v>2014.5</v>
      </c>
      <c r="U2591">
        <v>0</v>
      </c>
      <c r="V2591" s="2">
        <v>2014.5</v>
      </c>
      <c r="W2591" t="str">
        <f>"$"</f>
        <v>$</v>
      </c>
      <c r="X2591">
        <v>0</v>
      </c>
      <c r="Y2591">
        <v>0</v>
      </c>
      <c r="Z2591">
        <v>0</v>
      </c>
      <c r="AA2591" t="str">
        <f>"Y"</f>
        <v>Y</v>
      </c>
      <c r="AB2591" t="str">
        <f>"SO20000600"</f>
        <v>SO20000600</v>
      </c>
      <c r="AC2591">
        <v>1</v>
      </c>
      <c r="AD2591" s="1">
        <v>44185</v>
      </c>
      <c r="AE2591" t="str">
        <f>"SH21000823"</f>
        <v>SH21000823</v>
      </c>
      <c r="AF2591" t="str">
        <f>"משלוחים ללקוח"</f>
        <v>משלוחים ללקוח</v>
      </c>
      <c r="AG2591" s="1">
        <v>44346</v>
      </c>
      <c r="AM2591" t="str">
        <f>"10"</f>
        <v>10</v>
      </c>
      <c r="AN2591" t="str">
        <f>"500000"</f>
        <v>500000</v>
      </c>
      <c r="AO2591" t="str">
        <f>"הכנסות  מלקוחות"</f>
        <v>הכנסות  מלקוחות</v>
      </c>
      <c r="AQ2591" t="str">
        <f>"034"</f>
        <v>034</v>
      </c>
      <c r="AR2591">
        <v>0</v>
      </c>
      <c r="AS2591">
        <v>0</v>
      </c>
      <c r="AT2591">
        <v>3.2530000000000001</v>
      </c>
      <c r="AX2591" t="str">
        <f>"E000328464"</f>
        <v>E000328464</v>
      </c>
      <c r="BD2591" t="str">
        <f>"ערן שלו"</f>
        <v>ערן שלו</v>
      </c>
    </row>
    <row r="2592" spans="1:56" x14ac:dyDescent="0.3">
      <c r="A2592" s="1">
        <v>44346</v>
      </c>
      <c r="B2592" t="str">
        <f>"SI216000782"</f>
        <v>SI216000782</v>
      </c>
      <c r="C2592" t="str">
        <f>"PR20000843"</f>
        <v>PR20000843</v>
      </c>
      <c r="D2592" t="str">
        <f>"PR20000843"</f>
        <v>PR20000843</v>
      </c>
      <c r="E2592" t="str">
        <f>"Y"</f>
        <v>Y</v>
      </c>
      <c r="F2592" t="str">
        <f>"חשבוניות מרכזות"</f>
        <v>חשבוניות מרכזות</v>
      </c>
      <c r="G2592" t="str">
        <f>"700065"</f>
        <v>700065</v>
      </c>
      <c r="H2592" t="str">
        <f>"אלתא מערכות בע""מ"</f>
        <v>אלתא מערכות בע"מ</v>
      </c>
      <c r="I2592" t="str">
        <f>"10"</f>
        <v>10</v>
      </c>
      <c r="J2592" t="str">
        <f>"OP-AR01716"</f>
        <v>OP-AR01716</v>
      </c>
      <c r="K2592" t="str">
        <f>"4050B381-001 HARNESS W381 - KEY LOAD SSTU"</f>
        <v>4050B381-001 HARNESS W381 - KEY LOAD SSTU</v>
      </c>
      <c r="L2592">
        <v>7</v>
      </c>
      <c r="M2592" t="str">
        <f>"יח"</f>
        <v>יח</v>
      </c>
      <c r="N2592">
        <v>7</v>
      </c>
      <c r="O2592" t="str">
        <f>"יח"</f>
        <v>יח</v>
      </c>
      <c r="P2592">
        <v>211.52</v>
      </c>
      <c r="Q2592" t="str">
        <f>"$"</f>
        <v>$</v>
      </c>
      <c r="R2592" t="str">
        <f>"הזמנה"</f>
        <v>הזמנה</v>
      </c>
      <c r="S2592">
        <v>0</v>
      </c>
      <c r="T2592" s="2">
        <v>1480.64</v>
      </c>
      <c r="U2592">
        <v>0</v>
      </c>
      <c r="V2592" s="2">
        <v>1480.64</v>
      </c>
      <c r="W2592" t="str">
        <f>"$"</f>
        <v>$</v>
      </c>
      <c r="X2592">
        <v>0</v>
      </c>
      <c r="Y2592">
        <v>0</v>
      </c>
      <c r="Z2592">
        <v>0</v>
      </c>
      <c r="AA2592" t="str">
        <f>"Y"</f>
        <v>Y</v>
      </c>
      <c r="AB2592" t="str">
        <f>"SO20000558"</f>
        <v>SO20000558</v>
      </c>
      <c r="AC2592">
        <v>1</v>
      </c>
      <c r="AD2592" s="1">
        <v>44167</v>
      </c>
      <c r="AE2592" t="str">
        <f>"SH21000825"</f>
        <v>SH21000825</v>
      </c>
      <c r="AF2592" t="str">
        <f>"משלוחים ללקוח"</f>
        <v>משלוחים ללקוח</v>
      </c>
      <c r="AG2592" s="1">
        <v>44346</v>
      </c>
      <c r="AM2592" t="str">
        <f>"10"</f>
        <v>10</v>
      </c>
      <c r="AN2592" t="str">
        <f>"500000"</f>
        <v>500000</v>
      </c>
      <c r="AO2592" t="str">
        <f>"הכנסות  מלקוחות"</f>
        <v>הכנסות  מלקוחות</v>
      </c>
      <c r="AQ2592" t="str">
        <f>"034"</f>
        <v>034</v>
      </c>
      <c r="AR2592">
        <v>0</v>
      </c>
      <c r="AS2592">
        <v>0</v>
      </c>
      <c r="AT2592">
        <v>3.2530000000000001</v>
      </c>
      <c r="AX2592" t="str">
        <f>"E000327474"</f>
        <v>E000327474</v>
      </c>
      <c r="BD2592" t="str">
        <f>"ערן שלו"</f>
        <v>ערן שלו</v>
      </c>
    </row>
    <row r="2593" spans="1:56" x14ac:dyDescent="0.3">
      <c r="A2593" s="1">
        <v>44343</v>
      </c>
      <c r="B2593" t="str">
        <f>"SI216000748"</f>
        <v>SI216000748</v>
      </c>
      <c r="C2593" t="str">
        <f>"PR20000850"</f>
        <v>PR20000850</v>
      </c>
      <c r="E2593" t="str">
        <f>"Y"</f>
        <v>Y</v>
      </c>
      <c r="F2593" t="str">
        <f>"חשבוניות מרכזות"</f>
        <v>חשבוניות מרכזות</v>
      </c>
      <c r="G2593" t="str">
        <f>"700065"</f>
        <v>700065</v>
      </c>
      <c r="H2593" t="str">
        <f>"אלתא מערכות בע""מ"</f>
        <v>אלתא מערכות בע"מ</v>
      </c>
      <c r="I2593" t="str">
        <f>"10"</f>
        <v>10</v>
      </c>
      <c r="J2593" t="str">
        <f>"OP-AR02151"</f>
        <v>OP-AR02151</v>
      </c>
      <c r="K2593" t="str">
        <f>"4040K386-001   HARNESS WK386 - DATA AND SIGNALS"</f>
        <v>4040K386-001   HARNESS WK386 - DATA AND SIGNALS</v>
      </c>
      <c r="L2593">
        <v>7</v>
      </c>
      <c r="M2593" t="str">
        <f>"יח"</f>
        <v>יח</v>
      </c>
      <c r="N2593">
        <v>7</v>
      </c>
      <c r="O2593" t="str">
        <f>"יח"</f>
        <v>יח</v>
      </c>
      <c r="P2593">
        <v>381.01</v>
      </c>
      <c r="Q2593" t="str">
        <f>"$"</f>
        <v>$</v>
      </c>
      <c r="R2593" t="str">
        <f>"הזמנה"</f>
        <v>הזמנה</v>
      </c>
      <c r="S2593">
        <v>0</v>
      </c>
      <c r="T2593" s="2">
        <v>2667.07</v>
      </c>
      <c r="U2593">
        <v>0</v>
      </c>
      <c r="V2593" s="2">
        <v>2667.07</v>
      </c>
      <c r="W2593" t="str">
        <f>"$"</f>
        <v>$</v>
      </c>
      <c r="X2593">
        <v>0</v>
      </c>
      <c r="Y2593">
        <v>0</v>
      </c>
      <c r="Z2593">
        <v>0</v>
      </c>
      <c r="AA2593" t="str">
        <f>"Y"</f>
        <v>Y</v>
      </c>
      <c r="AB2593" t="str">
        <f>"SO20000554"</f>
        <v>SO20000554</v>
      </c>
      <c r="AC2593">
        <v>1</v>
      </c>
      <c r="AD2593" s="1">
        <v>44166</v>
      </c>
      <c r="AE2593" t="str">
        <f>"SH21000457"</f>
        <v>SH21000457</v>
      </c>
      <c r="AF2593" t="str">
        <f>"משלוחים ללקוח"</f>
        <v>משלוחים ללקוח</v>
      </c>
      <c r="AG2593" s="1">
        <v>44279</v>
      </c>
      <c r="AM2593" t="str">
        <f>"10"</f>
        <v>10</v>
      </c>
      <c r="AN2593" t="str">
        <f>"500000"</f>
        <v>500000</v>
      </c>
      <c r="AO2593" t="str">
        <f>"הכנסות  מלקוחות"</f>
        <v>הכנסות  מלקוחות</v>
      </c>
      <c r="AQ2593" t="str">
        <f>"034"</f>
        <v>034</v>
      </c>
      <c r="AR2593">
        <v>0</v>
      </c>
      <c r="AS2593">
        <v>0</v>
      </c>
      <c r="AT2593">
        <v>3.2469999999999999</v>
      </c>
      <c r="AX2593" t="str">
        <f>"E000327174"</f>
        <v>E000327174</v>
      </c>
      <c r="BD2593" t="str">
        <f>"ערן שלו"</f>
        <v>ערן שלו</v>
      </c>
    </row>
    <row r="2594" spans="1:56" x14ac:dyDescent="0.3">
      <c r="A2594" s="1">
        <v>44343</v>
      </c>
      <c r="B2594" t="str">
        <f>"SI216000747"</f>
        <v>SI216000747</v>
      </c>
      <c r="C2594" t="str">
        <f>"PR20000790"</f>
        <v>PR20000790</v>
      </c>
      <c r="D2594" t="str">
        <f>"PR20000790"</f>
        <v>PR20000790</v>
      </c>
      <c r="E2594" t="str">
        <f>"Y"</f>
        <v>Y</v>
      </c>
      <c r="F2594" t="str">
        <f>"חשבוניות מרכזות"</f>
        <v>חשבוניות מרכזות</v>
      </c>
      <c r="G2594" t="str">
        <f>"700065"</f>
        <v>700065</v>
      </c>
      <c r="H2594" t="str">
        <f>"אלתא מערכות בע""מ"</f>
        <v>אלתא מערכות בע"מ</v>
      </c>
      <c r="I2594" t="str">
        <f>"10"</f>
        <v>10</v>
      </c>
      <c r="J2594" t="str">
        <f>"OP-AR00101"</f>
        <v>OP-AR00101</v>
      </c>
      <c r="K2594" t="str">
        <f>"XT1C 160 TMD 100-1000 3p Including AUX"</f>
        <v>XT1C 160 TMD 100-1000 3p Including AUX</v>
      </c>
      <c r="L2594">
        <v>10</v>
      </c>
      <c r="M2594" t="str">
        <f>"יח"</f>
        <v>יח</v>
      </c>
      <c r="N2594">
        <v>10</v>
      </c>
      <c r="O2594" t="str">
        <f>"יח"</f>
        <v>יח</v>
      </c>
      <c r="P2594">
        <v>105.6</v>
      </c>
      <c r="Q2594" t="str">
        <f>"$"</f>
        <v>$</v>
      </c>
      <c r="R2594" t="str">
        <f>"הזמנה"</f>
        <v>הזמנה</v>
      </c>
      <c r="S2594">
        <v>0</v>
      </c>
      <c r="T2594" s="2">
        <v>1056</v>
      </c>
      <c r="U2594">
        <v>0</v>
      </c>
      <c r="V2594" s="2">
        <v>1056</v>
      </c>
      <c r="W2594" t="str">
        <f>"$"</f>
        <v>$</v>
      </c>
      <c r="X2594">
        <v>0</v>
      </c>
      <c r="Y2594">
        <v>0</v>
      </c>
      <c r="Z2594">
        <v>0</v>
      </c>
      <c r="AA2594" t="str">
        <f>"Y"</f>
        <v>Y</v>
      </c>
      <c r="AB2594" t="str">
        <f>"SO20000498"</f>
        <v>SO20000498</v>
      </c>
      <c r="AC2594">
        <v>6</v>
      </c>
      <c r="AD2594" s="1">
        <v>44139</v>
      </c>
      <c r="AE2594" t="str">
        <f>"SH21000349"</f>
        <v>SH21000349</v>
      </c>
      <c r="AF2594" t="str">
        <f>"משלוחים ללקוח"</f>
        <v>משלוחים ללקוח</v>
      </c>
      <c r="AG2594" s="1">
        <v>44262</v>
      </c>
      <c r="AM2594" t="str">
        <f>"10"</f>
        <v>10</v>
      </c>
      <c r="AN2594" t="str">
        <f>"500000"</f>
        <v>500000</v>
      </c>
      <c r="AO2594" t="str">
        <f>"הכנסות  מלקוחות"</f>
        <v>הכנסות  מלקוחות</v>
      </c>
      <c r="AQ2594" t="str">
        <f>"034"</f>
        <v>034</v>
      </c>
      <c r="AR2594">
        <v>0</v>
      </c>
      <c r="AS2594">
        <v>0</v>
      </c>
      <c r="AT2594">
        <v>3.2469999999999999</v>
      </c>
      <c r="AX2594" t="str">
        <f>"E000324990"</f>
        <v>E000324990</v>
      </c>
      <c r="BD2594" t="str">
        <f>"ערן שלו"</f>
        <v>ערן שלו</v>
      </c>
    </row>
    <row r="2595" spans="1:56" x14ac:dyDescent="0.3">
      <c r="A2595" s="1">
        <v>44343</v>
      </c>
      <c r="B2595" t="str">
        <f>"SI216000746"</f>
        <v>SI216000746</v>
      </c>
      <c r="C2595" t="str">
        <f>"PR20000620"</f>
        <v>PR20000620</v>
      </c>
      <c r="D2595" t="str">
        <f>"PR20000620"</f>
        <v>PR20000620</v>
      </c>
      <c r="E2595" t="str">
        <f>"Y"</f>
        <v>Y</v>
      </c>
      <c r="F2595" t="str">
        <f>"חשבוניות מרכזות"</f>
        <v>חשבוניות מרכזות</v>
      </c>
      <c r="G2595" t="str">
        <f>"700065"</f>
        <v>700065</v>
      </c>
      <c r="H2595" t="str">
        <f>"אלתא מערכות בע""מ"</f>
        <v>אלתא מערכות בע"מ</v>
      </c>
      <c r="I2595" t="str">
        <f>"10"</f>
        <v>10</v>
      </c>
      <c r="J2595" t="str">
        <f>"OP-AR02007"</f>
        <v>OP-AR02007</v>
      </c>
      <c r="K2595" t="str">
        <f>"1017C863-001/C  CABLE 220V AC RACK PANEL W63"</f>
        <v>1017C863-001/C  CABLE 220V AC RACK PANEL W63</v>
      </c>
      <c r="L2595">
        <v>1</v>
      </c>
      <c r="M2595" t="str">
        <f>"יח"</f>
        <v>יח</v>
      </c>
      <c r="N2595">
        <v>1</v>
      </c>
      <c r="O2595" t="str">
        <f>"יח"</f>
        <v>יח</v>
      </c>
      <c r="P2595" s="2">
        <v>1516.71</v>
      </c>
      <c r="Q2595" t="str">
        <f>"$"</f>
        <v>$</v>
      </c>
      <c r="R2595" t="str">
        <f>"הזמנה"</f>
        <v>הזמנה</v>
      </c>
      <c r="S2595">
        <v>0</v>
      </c>
      <c r="T2595" s="2">
        <v>1516.71</v>
      </c>
      <c r="U2595">
        <v>0</v>
      </c>
      <c r="V2595" s="2">
        <v>1516.71</v>
      </c>
      <c r="W2595" t="str">
        <f>"$"</f>
        <v>$</v>
      </c>
      <c r="X2595">
        <v>0</v>
      </c>
      <c r="Y2595">
        <v>0</v>
      </c>
      <c r="Z2595">
        <v>0</v>
      </c>
      <c r="AA2595" t="str">
        <f>"Y"</f>
        <v>Y</v>
      </c>
      <c r="AB2595" t="str">
        <f>"SO20000409"</f>
        <v>SO20000409</v>
      </c>
      <c r="AC2595">
        <v>3</v>
      </c>
      <c r="AD2595" s="1">
        <v>44082</v>
      </c>
      <c r="AE2595" t="str">
        <f>"SH21000294"</f>
        <v>SH21000294</v>
      </c>
      <c r="AF2595" t="str">
        <f>"משלוחים ללקוח"</f>
        <v>משלוחים ללקוח</v>
      </c>
      <c r="AG2595" s="1">
        <v>44244</v>
      </c>
      <c r="AM2595" t="str">
        <f>"10"</f>
        <v>10</v>
      </c>
      <c r="AN2595" t="str">
        <f>"500000"</f>
        <v>500000</v>
      </c>
      <c r="AO2595" t="str">
        <f>"הכנסות  מלקוחות"</f>
        <v>הכנסות  מלקוחות</v>
      </c>
      <c r="AQ2595" t="str">
        <f>"034"</f>
        <v>034</v>
      </c>
      <c r="AR2595">
        <v>0</v>
      </c>
      <c r="AS2595">
        <v>0</v>
      </c>
      <c r="AT2595">
        <v>3.2469999999999999</v>
      </c>
      <c r="AX2595" t="str">
        <f>"E000320341"</f>
        <v>E000320341</v>
      </c>
      <c r="BD2595" t="str">
        <f>"ערן שלו"</f>
        <v>ערן שלו</v>
      </c>
    </row>
    <row r="2596" spans="1:56" x14ac:dyDescent="0.3">
      <c r="A2596" s="1">
        <v>44343</v>
      </c>
      <c r="B2596" t="str">
        <f>"SI216000746"</f>
        <v>SI216000746</v>
      </c>
      <c r="C2596" t="str">
        <f>"PR20000620"</f>
        <v>PR20000620</v>
      </c>
      <c r="D2596" t="str">
        <f>"PR20000620"</f>
        <v>PR20000620</v>
      </c>
      <c r="E2596" t="str">
        <f>"Y"</f>
        <v>Y</v>
      </c>
      <c r="F2596" t="str">
        <f>"חשבוניות מרכזות"</f>
        <v>חשבוניות מרכזות</v>
      </c>
      <c r="G2596" t="str">
        <f>"700065"</f>
        <v>700065</v>
      </c>
      <c r="H2596" t="str">
        <f>"אלתא מערכות בע""מ"</f>
        <v>אלתא מערכות בע"מ</v>
      </c>
      <c r="I2596" t="str">
        <f>"10"</f>
        <v>10</v>
      </c>
      <c r="J2596" t="str">
        <f>"OP-AR02008"</f>
        <v>OP-AR02008</v>
      </c>
      <c r="K2596" t="str">
        <f>"1016C803-001/E  W3 220V TO MEU AND TRANS CABLE"</f>
        <v>1016C803-001/E  W3 220V TO MEU AND TRANS CABLE</v>
      </c>
      <c r="L2596">
        <v>2</v>
      </c>
      <c r="M2596" t="str">
        <f>"יח"</f>
        <v>יח</v>
      </c>
      <c r="N2596">
        <v>2</v>
      </c>
      <c r="O2596" t="str">
        <f>"יח"</f>
        <v>יח</v>
      </c>
      <c r="P2596">
        <v>887.08</v>
      </c>
      <c r="Q2596" t="str">
        <f>"$"</f>
        <v>$</v>
      </c>
      <c r="R2596" t="str">
        <f>"הזמנה"</f>
        <v>הזמנה</v>
      </c>
      <c r="S2596">
        <v>0</v>
      </c>
      <c r="T2596" s="2">
        <v>1774.16</v>
      </c>
      <c r="U2596">
        <v>0</v>
      </c>
      <c r="V2596" s="2">
        <v>1774.16</v>
      </c>
      <c r="W2596" t="str">
        <f>"$"</f>
        <v>$</v>
      </c>
      <c r="X2596">
        <v>0</v>
      </c>
      <c r="Y2596">
        <v>0</v>
      </c>
      <c r="Z2596">
        <v>0</v>
      </c>
      <c r="AA2596" t="str">
        <f>"Y"</f>
        <v>Y</v>
      </c>
      <c r="AB2596" t="str">
        <f>"SO20000409"</f>
        <v>SO20000409</v>
      </c>
      <c r="AC2596">
        <v>4</v>
      </c>
      <c r="AD2596" s="1">
        <v>44082</v>
      </c>
      <c r="AE2596" t="str">
        <f>"SH21000294"</f>
        <v>SH21000294</v>
      </c>
      <c r="AF2596" t="str">
        <f>"משלוחים ללקוח"</f>
        <v>משלוחים ללקוח</v>
      </c>
      <c r="AG2596" s="1">
        <v>44244</v>
      </c>
      <c r="AM2596" t="str">
        <f>"10"</f>
        <v>10</v>
      </c>
      <c r="AN2596" t="str">
        <f>"500000"</f>
        <v>500000</v>
      </c>
      <c r="AO2596" t="str">
        <f>"הכנסות  מלקוחות"</f>
        <v>הכנסות  מלקוחות</v>
      </c>
      <c r="AQ2596" t="str">
        <f>"034"</f>
        <v>034</v>
      </c>
      <c r="AR2596">
        <v>0</v>
      </c>
      <c r="AS2596">
        <v>0</v>
      </c>
      <c r="AT2596">
        <v>3.2469999999999999</v>
      </c>
      <c r="AX2596" t="str">
        <f>"E000320341"</f>
        <v>E000320341</v>
      </c>
      <c r="BD2596" t="str">
        <f>"ערן שלו"</f>
        <v>ערן שלו</v>
      </c>
    </row>
    <row r="2597" spans="1:56" x14ac:dyDescent="0.3">
      <c r="A2597" s="1">
        <v>44343</v>
      </c>
      <c r="B2597" t="str">
        <f>"SI216000746"</f>
        <v>SI216000746</v>
      </c>
      <c r="C2597" t="str">
        <f>"PR20000620"</f>
        <v>PR20000620</v>
      </c>
      <c r="D2597" t="str">
        <f>"PR20000620"</f>
        <v>PR20000620</v>
      </c>
      <c r="E2597" t="str">
        <f>"Y"</f>
        <v>Y</v>
      </c>
      <c r="F2597" t="str">
        <f>"חשבוניות מרכזות"</f>
        <v>חשבוניות מרכזות</v>
      </c>
      <c r="G2597" t="str">
        <f>"700065"</f>
        <v>700065</v>
      </c>
      <c r="H2597" t="str">
        <f>"אלתא מערכות בע""מ"</f>
        <v>אלתא מערכות בע"מ</v>
      </c>
      <c r="I2597" t="str">
        <f>"10"</f>
        <v>10</v>
      </c>
      <c r="J2597" t="str">
        <f>"OP-AR02010"</f>
        <v>OP-AR02010</v>
      </c>
      <c r="K2597" t="str">
        <f>"1017C862-001/B   CABLE 220V AC RACK PANEL W62"</f>
        <v>1017C862-001/B   CABLE 220V AC RACK PANEL W62</v>
      </c>
      <c r="L2597">
        <v>2</v>
      </c>
      <c r="M2597" t="str">
        <f>"יח"</f>
        <v>יח</v>
      </c>
      <c r="N2597">
        <v>2</v>
      </c>
      <c r="O2597" t="str">
        <f>"יח"</f>
        <v>יח</v>
      </c>
      <c r="P2597" s="2">
        <v>1331.94</v>
      </c>
      <c r="Q2597" t="str">
        <f>"$"</f>
        <v>$</v>
      </c>
      <c r="R2597" t="str">
        <f>"הזמנה"</f>
        <v>הזמנה</v>
      </c>
      <c r="S2597">
        <v>0</v>
      </c>
      <c r="T2597" s="2">
        <v>2663.88</v>
      </c>
      <c r="U2597">
        <v>0</v>
      </c>
      <c r="V2597" s="2">
        <v>2663.88</v>
      </c>
      <c r="W2597" t="str">
        <f>"$"</f>
        <v>$</v>
      </c>
      <c r="X2597">
        <v>0</v>
      </c>
      <c r="Y2597">
        <v>0</v>
      </c>
      <c r="Z2597">
        <v>0</v>
      </c>
      <c r="AA2597" t="str">
        <f>"Y"</f>
        <v>Y</v>
      </c>
      <c r="AB2597" t="str">
        <f>"SO20000409"</f>
        <v>SO20000409</v>
      </c>
      <c r="AC2597">
        <v>6</v>
      </c>
      <c r="AD2597" s="1">
        <v>44082</v>
      </c>
      <c r="AE2597" t="str">
        <f>"SH21000294"</f>
        <v>SH21000294</v>
      </c>
      <c r="AF2597" t="str">
        <f>"משלוחים ללקוח"</f>
        <v>משלוחים ללקוח</v>
      </c>
      <c r="AG2597" s="1">
        <v>44244</v>
      </c>
      <c r="AM2597" t="str">
        <f>"10"</f>
        <v>10</v>
      </c>
      <c r="AN2597" t="str">
        <f>"500000"</f>
        <v>500000</v>
      </c>
      <c r="AO2597" t="str">
        <f>"הכנסות  מלקוחות"</f>
        <v>הכנסות  מלקוחות</v>
      </c>
      <c r="AQ2597" t="str">
        <f>"034"</f>
        <v>034</v>
      </c>
      <c r="AR2597">
        <v>0</v>
      </c>
      <c r="AS2597">
        <v>0</v>
      </c>
      <c r="AT2597">
        <v>3.2469999999999999</v>
      </c>
      <c r="AX2597" t="str">
        <f>"E000320341"</f>
        <v>E000320341</v>
      </c>
      <c r="BD2597" t="str">
        <f>"ערן שלו"</f>
        <v>ערן שלו</v>
      </c>
    </row>
    <row r="2598" spans="1:56" x14ac:dyDescent="0.3">
      <c r="A2598" s="1">
        <v>44343</v>
      </c>
      <c r="B2598" t="str">
        <f>"SI216000739"</f>
        <v>SI216000739</v>
      </c>
      <c r="C2598" t="str">
        <f>"PR20000571"</f>
        <v>PR20000571</v>
      </c>
      <c r="E2598" t="str">
        <f>"Y"</f>
        <v>Y</v>
      </c>
      <c r="F2598" t="str">
        <f>"חשבוניות מרכזות"</f>
        <v>חשבוניות מרכזות</v>
      </c>
      <c r="G2598" t="str">
        <f>"700065"</f>
        <v>700065</v>
      </c>
      <c r="H2598" t="str">
        <f>"אלתא מערכות בע""מ"</f>
        <v>אלתא מערכות בע"מ</v>
      </c>
      <c r="I2598" t="str">
        <f>"10"</f>
        <v>10</v>
      </c>
      <c r="J2598" t="str">
        <f>"OP-AR01902"</f>
        <v>OP-AR01902</v>
      </c>
      <c r="K2598" t="str">
        <f>"1039V964-001 - CABLE ASSY WR114"</f>
        <v>1039V964-001 - CABLE ASSY WR114</v>
      </c>
      <c r="L2598">
        <v>-6</v>
      </c>
      <c r="M2598" t="str">
        <f>"יח"</f>
        <v>יח</v>
      </c>
      <c r="N2598">
        <v>-6</v>
      </c>
      <c r="O2598" t="str">
        <f>"יח"</f>
        <v>יח</v>
      </c>
      <c r="P2598" s="2">
        <v>1722.54</v>
      </c>
      <c r="Q2598" t="str">
        <f>"$"</f>
        <v>$</v>
      </c>
      <c r="R2598" t="str">
        <f>"הזמנה"</f>
        <v>הזמנה</v>
      </c>
      <c r="S2598">
        <v>0</v>
      </c>
      <c r="T2598" s="2">
        <v>-10335.24</v>
      </c>
      <c r="U2598">
        <v>0</v>
      </c>
      <c r="V2598" s="2">
        <v>-10335.24</v>
      </c>
      <c r="W2598" t="str">
        <f>"$"</f>
        <v>$</v>
      </c>
      <c r="X2598">
        <v>0</v>
      </c>
      <c r="Y2598">
        <v>0</v>
      </c>
      <c r="Z2598">
        <v>0</v>
      </c>
      <c r="AA2598" t="str">
        <f>"Y"</f>
        <v>Y</v>
      </c>
      <c r="AC2598">
        <v>0</v>
      </c>
      <c r="AM2598" t="str">
        <f>"10"</f>
        <v>10</v>
      </c>
      <c r="AN2598" t="str">
        <f>"500000"</f>
        <v>500000</v>
      </c>
      <c r="AO2598" t="str">
        <f>"הכנסות  מלקוחות"</f>
        <v>הכנסות  מלקוחות</v>
      </c>
      <c r="AQ2598" t="str">
        <f>"034"</f>
        <v>034</v>
      </c>
      <c r="AR2598">
        <v>0</v>
      </c>
      <c r="AS2598">
        <v>0</v>
      </c>
      <c r="AT2598">
        <v>3.2469999999999999</v>
      </c>
      <c r="BB2598" t="str">
        <f>"Y"</f>
        <v>Y</v>
      </c>
      <c r="BD2598" t="str">
        <f>"ערן שלו"</f>
        <v>ערן שלו</v>
      </c>
    </row>
    <row r="2599" spans="1:56" x14ac:dyDescent="0.3">
      <c r="A2599" s="1">
        <v>44343</v>
      </c>
      <c r="B2599" t="str">
        <f>"SI216000738"</f>
        <v>SI216000738</v>
      </c>
      <c r="C2599" t="str">
        <f>"PR20000571"</f>
        <v>PR20000571</v>
      </c>
      <c r="E2599" t="str">
        <f>"Y"</f>
        <v>Y</v>
      </c>
      <c r="F2599" t="str">
        <f>"חשבוניות מרכזות"</f>
        <v>חשבוניות מרכזות</v>
      </c>
      <c r="G2599" t="str">
        <f>"700065"</f>
        <v>700065</v>
      </c>
      <c r="H2599" t="str">
        <f>"אלתא מערכות בע""מ"</f>
        <v>אלתא מערכות בע"מ</v>
      </c>
      <c r="I2599" t="str">
        <f>"10"</f>
        <v>10</v>
      </c>
      <c r="J2599" t="str">
        <f>"OP-AR01902"</f>
        <v>OP-AR01902</v>
      </c>
      <c r="K2599" t="str">
        <f>"1039V964-001 - CABLE ASSY WR114"</f>
        <v>1039V964-001 - CABLE ASSY WR114</v>
      </c>
      <c r="L2599">
        <v>6</v>
      </c>
      <c r="M2599" t="str">
        <f>"יח"</f>
        <v>יח</v>
      </c>
      <c r="N2599">
        <v>6</v>
      </c>
      <c r="O2599" t="str">
        <f>"יח"</f>
        <v>יח</v>
      </c>
      <c r="P2599" s="2">
        <v>1722.54</v>
      </c>
      <c r="Q2599" t="str">
        <f>"$"</f>
        <v>$</v>
      </c>
      <c r="R2599" t="str">
        <f>"הזמנה"</f>
        <v>הזמנה</v>
      </c>
      <c r="S2599">
        <v>0</v>
      </c>
      <c r="T2599" s="2">
        <v>10335.24</v>
      </c>
      <c r="U2599">
        <v>0</v>
      </c>
      <c r="V2599" s="2">
        <v>10335.24</v>
      </c>
      <c r="W2599" t="str">
        <f>"$"</f>
        <v>$</v>
      </c>
      <c r="X2599">
        <v>0</v>
      </c>
      <c r="Y2599">
        <v>0</v>
      </c>
      <c r="Z2599">
        <v>0</v>
      </c>
      <c r="AA2599" t="str">
        <f>"Y"</f>
        <v>Y</v>
      </c>
      <c r="AC2599">
        <v>0</v>
      </c>
      <c r="AM2599" t="str">
        <f>"10"</f>
        <v>10</v>
      </c>
      <c r="AN2599" t="str">
        <f>"500000"</f>
        <v>500000</v>
      </c>
      <c r="AO2599" t="str">
        <f>"הכנסות  מלקוחות"</f>
        <v>הכנסות  מלקוחות</v>
      </c>
      <c r="AQ2599" t="str">
        <f>"034"</f>
        <v>034</v>
      </c>
      <c r="AR2599">
        <v>0</v>
      </c>
      <c r="AS2599">
        <v>0</v>
      </c>
      <c r="AT2599">
        <v>3.2469999999999999</v>
      </c>
      <c r="BB2599" t="str">
        <f>"Y"</f>
        <v>Y</v>
      </c>
      <c r="BD2599" t="str">
        <f>"ערן שלו"</f>
        <v>ערן שלו</v>
      </c>
    </row>
    <row r="2600" spans="1:56" x14ac:dyDescent="0.3">
      <c r="A2600" s="1">
        <v>44342</v>
      </c>
      <c r="B2600" t="str">
        <f>"SI216000737"</f>
        <v>SI216000737</v>
      </c>
      <c r="C2600" t="str">
        <f>"PR20000485"</f>
        <v>PR20000485</v>
      </c>
      <c r="E2600" t="str">
        <f>"Y"</f>
        <v>Y</v>
      </c>
      <c r="F2600" t="str">
        <f>"חשבוניות מרכזות"</f>
        <v>חשבוניות מרכזות</v>
      </c>
      <c r="G2600" t="str">
        <f>"700065"</f>
        <v>700065</v>
      </c>
      <c r="H2600" t="str">
        <f>"אלתא מערכות בע""מ"</f>
        <v>אלתא מערכות בע"מ</v>
      </c>
      <c r="I2600" t="str">
        <f>"10"</f>
        <v>10</v>
      </c>
      <c r="J2600" t="str">
        <f>"OP-AR01879"</f>
        <v>OP-AR01879</v>
      </c>
      <c r="K2600" t="str">
        <f>"E000315794 עבור כבלי מטווח NRE"</f>
        <v>E000315794 עבור כבלי מטווח NRE</v>
      </c>
      <c r="L2600">
        <v>-1</v>
      </c>
      <c r="M2600" t="str">
        <f>"יח"</f>
        <v>יח</v>
      </c>
      <c r="N2600">
        <v>-1</v>
      </c>
      <c r="O2600" t="str">
        <f>"יח"</f>
        <v>יח</v>
      </c>
      <c r="P2600">
        <v>420</v>
      </c>
      <c r="Q2600" t="str">
        <f>"$"</f>
        <v>$</v>
      </c>
      <c r="R2600" t="str">
        <f>"הזמנה"</f>
        <v>הזמנה</v>
      </c>
      <c r="S2600">
        <v>0</v>
      </c>
      <c r="T2600">
        <v>-420</v>
      </c>
      <c r="U2600">
        <v>0</v>
      </c>
      <c r="V2600">
        <v>-420</v>
      </c>
      <c r="W2600" t="str">
        <f>"$"</f>
        <v>$</v>
      </c>
      <c r="X2600">
        <v>0</v>
      </c>
      <c r="Y2600">
        <v>0</v>
      </c>
      <c r="Z2600">
        <v>0</v>
      </c>
      <c r="AA2600" t="str">
        <f>"Y"</f>
        <v>Y</v>
      </c>
      <c r="AC2600">
        <v>0</v>
      </c>
      <c r="AM2600" t="str">
        <f>"10"</f>
        <v>10</v>
      </c>
      <c r="AN2600" t="str">
        <f>"500000"</f>
        <v>500000</v>
      </c>
      <c r="AO2600" t="str">
        <f>"הכנסות  מלקוחות"</f>
        <v>הכנסות  מלקוחות</v>
      </c>
      <c r="AQ2600" t="str">
        <f>"034"</f>
        <v>034</v>
      </c>
      <c r="AR2600">
        <v>0</v>
      </c>
      <c r="AS2600">
        <v>0</v>
      </c>
      <c r="AT2600">
        <v>3.242</v>
      </c>
      <c r="BB2600" t="str">
        <f>"Y"</f>
        <v>Y</v>
      </c>
      <c r="BD2600" t="str">
        <f>"ערן שלו"</f>
        <v>ערן שלו</v>
      </c>
    </row>
    <row r="2601" spans="1:56" x14ac:dyDescent="0.3">
      <c r="A2601" s="1">
        <v>44342</v>
      </c>
      <c r="B2601" t="str">
        <f>"SI216000736"</f>
        <v>SI216000736</v>
      </c>
      <c r="E2601" t="str">
        <f>"Y"</f>
        <v>Y</v>
      </c>
      <c r="F2601" t="str">
        <f>"חשבוניות מרכזות"</f>
        <v>חשבוניות מרכזות</v>
      </c>
      <c r="G2601" t="str">
        <f>"700065"</f>
        <v>700065</v>
      </c>
      <c r="H2601" t="str">
        <f>"אלתא מערכות בע""מ"</f>
        <v>אלתא מערכות בע"מ</v>
      </c>
      <c r="I2601" t="str">
        <f>"10"</f>
        <v>10</v>
      </c>
      <c r="J2601" t="str">
        <f>"OP-AR01829"</f>
        <v>OP-AR01829</v>
      </c>
      <c r="K2601" t="str">
        <f>"NRE FOR E000314064"</f>
        <v>NRE FOR E000314064</v>
      </c>
      <c r="L2601">
        <v>-1</v>
      </c>
      <c r="M2601" t="str">
        <f>"יח"</f>
        <v>יח</v>
      </c>
      <c r="N2601">
        <v>-1</v>
      </c>
      <c r="O2601" t="str">
        <f>"יח"</f>
        <v>יח</v>
      </c>
      <c r="P2601">
        <v>225</v>
      </c>
      <c r="Q2601" t="str">
        <f>"$"</f>
        <v>$</v>
      </c>
      <c r="R2601" t="str">
        <f>"הזמנה"</f>
        <v>הזמנה</v>
      </c>
      <c r="S2601">
        <v>0</v>
      </c>
      <c r="T2601">
        <v>-225</v>
      </c>
      <c r="U2601">
        <v>0</v>
      </c>
      <c r="V2601">
        <v>-225</v>
      </c>
      <c r="W2601" t="str">
        <f>"$"</f>
        <v>$</v>
      </c>
      <c r="X2601">
        <v>0</v>
      </c>
      <c r="Y2601">
        <v>0</v>
      </c>
      <c r="Z2601">
        <v>0</v>
      </c>
      <c r="AA2601" t="str">
        <f>"Y"</f>
        <v>Y</v>
      </c>
      <c r="AC2601">
        <v>0</v>
      </c>
      <c r="AM2601" t="str">
        <f>"10"</f>
        <v>10</v>
      </c>
      <c r="AN2601" t="str">
        <f>"500000"</f>
        <v>500000</v>
      </c>
      <c r="AO2601" t="str">
        <f>"הכנסות  מלקוחות"</f>
        <v>הכנסות  מלקוחות</v>
      </c>
      <c r="AQ2601" t="str">
        <f>"034"</f>
        <v>034</v>
      </c>
      <c r="AR2601">
        <v>0</v>
      </c>
      <c r="AS2601">
        <v>0</v>
      </c>
      <c r="AT2601">
        <v>3.242</v>
      </c>
      <c r="BB2601" t="str">
        <f>"Y"</f>
        <v>Y</v>
      </c>
      <c r="BD2601" t="str">
        <f>"ערן שלו"</f>
        <v>ערן שלו</v>
      </c>
    </row>
    <row r="2602" spans="1:56" x14ac:dyDescent="0.3">
      <c r="A2602" s="1">
        <v>44342</v>
      </c>
      <c r="B2602" t="str">
        <f>"SI216000725"</f>
        <v>SI216000725</v>
      </c>
      <c r="C2602" t="str">
        <f>"PR20000485"</f>
        <v>PR20000485</v>
      </c>
      <c r="E2602" t="str">
        <f>"Y"</f>
        <v>Y</v>
      </c>
      <c r="F2602" t="str">
        <f>"חשבוניות מרכזות"</f>
        <v>חשבוניות מרכזות</v>
      </c>
      <c r="G2602" t="str">
        <f>"700065"</f>
        <v>700065</v>
      </c>
      <c r="H2602" t="str">
        <f>"אלתא מערכות בע""מ"</f>
        <v>אלתא מערכות בע"מ</v>
      </c>
      <c r="I2602" t="str">
        <f>"10"</f>
        <v>10</v>
      </c>
      <c r="J2602" t="str">
        <f>"OP-AR01879"</f>
        <v>OP-AR01879</v>
      </c>
      <c r="K2602" t="str">
        <f>"E000315794 עבור כבלי מטווח NRE"</f>
        <v>E000315794 עבור כבלי מטווח NRE</v>
      </c>
      <c r="L2602">
        <v>1</v>
      </c>
      <c r="M2602" t="str">
        <f>"יח"</f>
        <v>יח</v>
      </c>
      <c r="N2602">
        <v>1</v>
      </c>
      <c r="O2602" t="str">
        <f>"יח"</f>
        <v>יח</v>
      </c>
      <c r="P2602">
        <v>420</v>
      </c>
      <c r="Q2602" t="str">
        <f>"$"</f>
        <v>$</v>
      </c>
      <c r="R2602" t="str">
        <f>"הזמנה"</f>
        <v>הזמנה</v>
      </c>
      <c r="S2602">
        <v>0</v>
      </c>
      <c r="T2602">
        <v>420</v>
      </c>
      <c r="U2602">
        <v>0</v>
      </c>
      <c r="V2602">
        <v>420</v>
      </c>
      <c r="W2602" t="str">
        <f>"$"</f>
        <v>$</v>
      </c>
      <c r="X2602">
        <v>0</v>
      </c>
      <c r="Y2602">
        <v>0</v>
      </c>
      <c r="Z2602">
        <v>0</v>
      </c>
      <c r="AA2602" t="str">
        <f>"Y"</f>
        <v>Y</v>
      </c>
      <c r="AC2602">
        <v>0</v>
      </c>
      <c r="AM2602" t="str">
        <f>"10"</f>
        <v>10</v>
      </c>
      <c r="AN2602" t="str">
        <f>"500000"</f>
        <v>500000</v>
      </c>
      <c r="AO2602" t="str">
        <f>"הכנסות  מלקוחות"</f>
        <v>הכנסות  מלקוחות</v>
      </c>
      <c r="AQ2602" t="str">
        <f>"034"</f>
        <v>034</v>
      </c>
      <c r="AR2602">
        <v>0</v>
      </c>
      <c r="AS2602">
        <v>0</v>
      </c>
      <c r="AT2602">
        <v>3.242</v>
      </c>
      <c r="BB2602" t="str">
        <f>"Y"</f>
        <v>Y</v>
      </c>
      <c r="BD2602" t="str">
        <f>"ערן שלו"</f>
        <v>ערן שלו</v>
      </c>
    </row>
    <row r="2603" spans="1:56" x14ac:dyDescent="0.3">
      <c r="A2603" s="1">
        <v>44342</v>
      </c>
      <c r="B2603" t="str">
        <f>"SI216000724"</f>
        <v>SI216000724</v>
      </c>
      <c r="E2603" t="str">
        <f>"Y"</f>
        <v>Y</v>
      </c>
      <c r="F2603" t="str">
        <f>"חשבוניות מרכזות"</f>
        <v>חשבוניות מרכזות</v>
      </c>
      <c r="G2603" t="str">
        <f>"700065"</f>
        <v>700065</v>
      </c>
      <c r="H2603" t="str">
        <f>"אלתא מערכות בע""מ"</f>
        <v>אלתא מערכות בע"מ</v>
      </c>
      <c r="I2603" t="str">
        <f>"10"</f>
        <v>10</v>
      </c>
      <c r="J2603" t="str">
        <f>"OP-AR01829"</f>
        <v>OP-AR01829</v>
      </c>
      <c r="K2603" t="str">
        <f>"NRE FOR E000314064"</f>
        <v>NRE FOR E000314064</v>
      </c>
      <c r="L2603">
        <v>1</v>
      </c>
      <c r="M2603" t="str">
        <f>"יח"</f>
        <v>יח</v>
      </c>
      <c r="N2603">
        <v>1</v>
      </c>
      <c r="O2603" t="str">
        <f>"יח"</f>
        <v>יח</v>
      </c>
      <c r="P2603">
        <v>225</v>
      </c>
      <c r="Q2603" t="str">
        <f>"$"</f>
        <v>$</v>
      </c>
      <c r="R2603" t="str">
        <f>"הזמנה"</f>
        <v>הזמנה</v>
      </c>
      <c r="S2603">
        <v>0</v>
      </c>
      <c r="T2603">
        <v>225</v>
      </c>
      <c r="U2603">
        <v>0</v>
      </c>
      <c r="V2603">
        <v>225</v>
      </c>
      <c r="W2603" t="str">
        <f>"$"</f>
        <v>$</v>
      </c>
      <c r="X2603">
        <v>0</v>
      </c>
      <c r="Y2603">
        <v>0</v>
      </c>
      <c r="Z2603">
        <v>0</v>
      </c>
      <c r="AA2603" t="str">
        <f>"Y"</f>
        <v>Y</v>
      </c>
      <c r="AC2603">
        <v>0</v>
      </c>
      <c r="AM2603" t="str">
        <f>"10"</f>
        <v>10</v>
      </c>
      <c r="AN2603" t="str">
        <f>"500000"</f>
        <v>500000</v>
      </c>
      <c r="AO2603" t="str">
        <f>"הכנסות  מלקוחות"</f>
        <v>הכנסות  מלקוחות</v>
      </c>
      <c r="AQ2603" t="str">
        <f>"034"</f>
        <v>034</v>
      </c>
      <c r="AR2603">
        <v>0</v>
      </c>
      <c r="AS2603">
        <v>0</v>
      </c>
      <c r="AT2603">
        <v>3.242</v>
      </c>
      <c r="BB2603" t="str">
        <f>"Y"</f>
        <v>Y</v>
      </c>
      <c r="BD2603" t="str">
        <f>"ערן שלו"</f>
        <v>ערן שלו</v>
      </c>
    </row>
    <row r="2604" spans="1:56" x14ac:dyDescent="0.3">
      <c r="A2604" s="1">
        <v>44342</v>
      </c>
      <c r="B2604" t="str">
        <f>"SI216000723"</f>
        <v>SI216000723</v>
      </c>
      <c r="E2604" t="str">
        <f>"Y"</f>
        <v>Y</v>
      </c>
      <c r="F2604" t="str">
        <f>"חשבוניות מרכזות"</f>
        <v>חשבוניות מרכזות</v>
      </c>
      <c r="G2604" t="str">
        <f>"700065"</f>
        <v>700065</v>
      </c>
      <c r="H2604" t="str">
        <f>"אלתא מערכות בע""מ"</f>
        <v>אלתא מערכות בע"מ</v>
      </c>
      <c r="I2604" t="str">
        <f>"10"</f>
        <v>10</v>
      </c>
      <c r="J2604" t="str">
        <f>"OP-AR01797"</f>
        <v>OP-AR01797</v>
      </c>
      <c r="K2604" t="str">
        <f>"MOQ FOR CABLES E000311250"</f>
        <v>MOQ FOR CABLES E000311250</v>
      </c>
      <c r="L2604">
        <v>1</v>
      </c>
      <c r="M2604" t="str">
        <f>"יח"</f>
        <v>יח</v>
      </c>
      <c r="N2604">
        <v>1</v>
      </c>
      <c r="O2604" t="str">
        <f>"יח"</f>
        <v>יח</v>
      </c>
      <c r="P2604" s="2">
        <v>5652.9</v>
      </c>
      <c r="Q2604" t="str">
        <f>"$"</f>
        <v>$</v>
      </c>
      <c r="R2604" t="str">
        <f>"הזמנה"</f>
        <v>הזמנה</v>
      </c>
      <c r="S2604">
        <v>0</v>
      </c>
      <c r="T2604" s="2">
        <v>5652.9</v>
      </c>
      <c r="U2604">
        <v>0</v>
      </c>
      <c r="V2604" s="2">
        <v>5652.9</v>
      </c>
      <c r="W2604" t="str">
        <f>"$"</f>
        <v>$</v>
      </c>
      <c r="X2604">
        <v>0</v>
      </c>
      <c r="Y2604">
        <v>0</v>
      </c>
      <c r="Z2604">
        <v>0</v>
      </c>
      <c r="AA2604" t="str">
        <f>"Y"</f>
        <v>Y</v>
      </c>
      <c r="AB2604" t="str">
        <f>"SO20000201"</f>
        <v>SO20000201</v>
      </c>
      <c r="AC2604">
        <v>62</v>
      </c>
      <c r="AD2604" s="1">
        <v>43970</v>
      </c>
      <c r="AM2604" t="str">
        <f>"10"</f>
        <v>10</v>
      </c>
      <c r="AN2604" t="str">
        <f>"500000"</f>
        <v>500000</v>
      </c>
      <c r="AO2604" t="str">
        <f>"הכנסות  מלקוחות"</f>
        <v>הכנסות  מלקוחות</v>
      </c>
      <c r="AQ2604" t="str">
        <f>"034"</f>
        <v>034</v>
      </c>
      <c r="AR2604">
        <v>0</v>
      </c>
      <c r="AS2604">
        <v>0</v>
      </c>
      <c r="AT2604">
        <v>3.242</v>
      </c>
      <c r="AX2604" t="str">
        <f>"E000311250"</f>
        <v>E000311250</v>
      </c>
      <c r="BD2604" t="str">
        <f>"ערן שלו"</f>
        <v>ערן שלו</v>
      </c>
    </row>
    <row r="2605" spans="1:56" x14ac:dyDescent="0.3">
      <c r="A2605" s="1">
        <v>44342</v>
      </c>
      <c r="B2605" t="str">
        <f>"SI216000723"</f>
        <v>SI216000723</v>
      </c>
      <c r="E2605" t="str">
        <f>"Y"</f>
        <v>Y</v>
      </c>
      <c r="F2605" t="str">
        <f>"חשבוניות מרכזות"</f>
        <v>חשבוניות מרכזות</v>
      </c>
      <c r="G2605" t="str">
        <f>"700065"</f>
        <v>700065</v>
      </c>
      <c r="H2605" t="str">
        <f>"אלתא מערכות בע""מ"</f>
        <v>אלתא מערכות בע"מ</v>
      </c>
      <c r="I2605" t="str">
        <f>"10"</f>
        <v>10</v>
      </c>
      <c r="J2605" t="str">
        <f>"OP-AR01798"</f>
        <v>OP-AR01798</v>
      </c>
      <c r="K2605" t="str">
        <f>"NRE FOR CABLES FOR E000311250"</f>
        <v>NRE FOR CABLES FOR E000311250</v>
      </c>
      <c r="L2605">
        <v>1</v>
      </c>
      <c r="M2605" t="str">
        <f>"יח"</f>
        <v>יח</v>
      </c>
      <c r="N2605">
        <v>1</v>
      </c>
      <c r="O2605" t="str">
        <f>"יח"</f>
        <v>יח</v>
      </c>
      <c r="P2605" s="2">
        <v>9702</v>
      </c>
      <c r="Q2605" t="str">
        <f>"$"</f>
        <v>$</v>
      </c>
      <c r="R2605" t="str">
        <f>"הזמנה"</f>
        <v>הזמנה</v>
      </c>
      <c r="S2605">
        <v>0</v>
      </c>
      <c r="T2605" s="2">
        <v>9702</v>
      </c>
      <c r="U2605">
        <v>0</v>
      </c>
      <c r="V2605" s="2">
        <v>9702</v>
      </c>
      <c r="W2605" t="str">
        <f>"$"</f>
        <v>$</v>
      </c>
      <c r="X2605">
        <v>0</v>
      </c>
      <c r="Y2605">
        <v>0</v>
      </c>
      <c r="Z2605">
        <v>0</v>
      </c>
      <c r="AA2605" t="str">
        <f>"Y"</f>
        <v>Y</v>
      </c>
      <c r="AB2605" t="str">
        <f>"SO20000201"</f>
        <v>SO20000201</v>
      </c>
      <c r="AC2605">
        <v>63</v>
      </c>
      <c r="AD2605" s="1">
        <v>43970</v>
      </c>
      <c r="AM2605" t="str">
        <f>"10"</f>
        <v>10</v>
      </c>
      <c r="AN2605" t="str">
        <f>"500000"</f>
        <v>500000</v>
      </c>
      <c r="AO2605" t="str">
        <f>"הכנסות  מלקוחות"</f>
        <v>הכנסות  מלקוחות</v>
      </c>
      <c r="AQ2605" t="str">
        <f>"034"</f>
        <v>034</v>
      </c>
      <c r="AR2605">
        <v>0</v>
      </c>
      <c r="AS2605">
        <v>0</v>
      </c>
      <c r="AT2605">
        <v>3.242</v>
      </c>
      <c r="AX2605" t="str">
        <f>"E000311250"</f>
        <v>E000311250</v>
      </c>
      <c r="BD2605" t="str">
        <f>"ערן שלו"</f>
        <v>ערן שלו</v>
      </c>
    </row>
    <row r="2606" spans="1:56" x14ac:dyDescent="0.3">
      <c r="A2606" s="1">
        <v>44342</v>
      </c>
      <c r="B2606" t="str">
        <f>"SI216000722"</f>
        <v>SI216000722</v>
      </c>
      <c r="C2606" t="str">
        <f>"PR20000826"</f>
        <v>PR20000826</v>
      </c>
      <c r="E2606" t="str">
        <f>"Y"</f>
        <v>Y</v>
      </c>
      <c r="F2606" t="str">
        <f>"חשבוניות מרכזות"</f>
        <v>חשבוניות מרכזות</v>
      </c>
      <c r="G2606" t="str">
        <f>"700065"</f>
        <v>700065</v>
      </c>
      <c r="H2606" t="str">
        <f>"אלתא מערכות בע""מ"</f>
        <v>אלתא מערכות בע"מ</v>
      </c>
      <c r="I2606" t="str">
        <f>"10"</f>
        <v>10</v>
      </c>
      <c r="J2606" t="str">
        <f>"000"</f>
        <v>000</v>
      </c>
      <c r="K2606" t="str">
        <f>"NRE תכנון המכולה"</f>
        <v>NRE תכנון המכולה</v>
      </c>
      <c r="L2606">
        <v>1</v>
      </c>
      <c r="M2606" t="str">
        <f>"יח"</f>
        <v>יח</v>
      </c>
      <c r="N2606">
        <v>1</v>
      </c>
      <c r="O2606" t="str">
        <f>"יח"</f>
        <v>יח</v>
      </c>
      <c r="P2606" s="2">
        <v>33075</v>
      </c>
      <c r="Q2606" t="str">
        <f>"$"</f>
        <v>$</v>
      </c>
      <c r="R2606" t="str">
        <f>"הזמנה"</f>
        <v>הזמנה</v>
      </c>
      <c r="S2606">
        <v>0</v>
      </c>
      <c r="T2606" s="2">
        <v>33075</v>
      </c>
      <c r="U2606">
        <v>0</v>
      </c>
      <c r="V2606" s="2">
        <v>33075</v>
      </c>
      <c r="W2606" t="str">
        <f>"$"</f>
        <v>$</v>
      </c>
      <c r="X2606">
        <v>0</v>
      </c>
      <c r="Y2606">
        <v>0</v>
      </c>
      <c r="Z2606">
        <v>0</v>
      </c>
      <c r="AA2606" t="str">
        <f>"Y"</f>
        <v>Y</v>
      </c>
      <c r="AC2606">
        <v>0</v>
      </c>
      <c r="AM2606" t="str">
        <f>"10"</f>
        <v>10</v>
      </c>
      <c r="AN2606" t="str">
        <f>"500000"</f>
        <v>500000</v>
      </c>
      <c r="AO2606" t="str">
        <f>"הכנסות  מלקוחות"</f>
        <v>הכנסות  מלקוחות</v>
      </c>
      <c r="AQ2606" t="str">
        <f>"007"</f>
        <v>007</v>
      </c>
      <c r="AR2606">
        <v>0</v>
      </c>
      <c r="AS2606">
        <v>0</v>
      </c>
      <c r="AT2606">
        <v>3.242</v>
      </c>
      <c r="BB2606" t="str">
        <f>"Y"</f>
        <v>Y</v>
      </c>
      <c r="BD2606" t="str">
        <f>"רוני דידי"</f>
        <v>רוני דידי</v>
      </c>
    </row>
    <row r="2607" spans="1:56" x14ac:dyDescent="0.3">
      <c r="A2607" s="1">
        <v>44341</v>
      </c>
      <c r="B2607" t="str">
        <f>"SI216000883"</f>
        <v>SI216000883</v>
      </c>
      <c r="C2607" t="str">
        <f>"PR20000828"</f>
        <v>PR20000828</v>
      </c>
      <c r="D2607" t="str">
        <f>"PR20000828"</f>
        <v>PR20000828</v>
      </c>
      <c r="E2607" t="str">
        <f>"Y"</f>
        <v>Y</v>
      </c>
      <c r="F2607" t="str">
        <f>"חשבוניות מרכזות"</f>
        <v>חשבוניות מרכזות</v>
      </c>
      <c r="G2607" t="str">
        <f>"700065"</f>
        <v>700065</v>
      </c>
      <c r="H2607" t="str">
        <f>"אלתא מערכות בע""מ"</f>
        <v>אלתא מערכות בע"מ</v>
      </c>
      <c r="I2607" t="str">
        <f>"10"</f>
        <v>10</v>
      </c>
      <c r="J2607" t="str">
        <f>"OP-AR02139"</f>
        <v>OP-AR02139</v>
      </c>
      <c r="K2607" t="str">
        <f>"1036U413-001/-   WP413 - POWER 320VDC PEDESTAL T"</f>
        <v>1036U413-001/-   WP413 - POWER 320VDC PEDESTAL T</v>
      </c>
      <c r="L2607">
        <v>14</v>
      </c>
      <c r="M2607" t="str">
        <f>"יח"</f>
        <v>יח</v>
      </c>
      <c r="N2607">
        <v>14</v>
      </c>
      <c r="O2607" t="str">
        <f>"יח"</f>
        <v>יח</v>
      </c>
      <c r="P2607">
        <v>634.89</v>
      </c>
      <c r="Q2607" t="str">
        <f>"$"</f>
        <v>$</v>
      </c>
      <c r="R2607" t="str">
        <f>"הזמנה"</f>
        <v>הזמנה</v>
      </c>
      <c r="S2607">
        <v>0</v>
      </c>
      <c r="T2607" s="2">
        <v>8888.4599999999991</v>
      </c>
      <c r="U2607">
        <v>0</v>
      </c>
      <c r="V2607" s="2">
        <v>8888.4599999999991</v>
      </c>
      <c r="W2607" t="str">
        <f>"$"</f>
        <v>$</v>
      </c>
      <c r="X2607">
        <v>0</v>
      </c>
      <c r="Y2607">
        <v>0</v>
      </c>
      <c r="Z2607">
        <v>0</v>
      </c>
      <c r="AA2607" t="str">
        <f>"Y"</f>
        <v>Y</v>
      </c>
      <c r="AB2607" t="str">
        <f>"SO20000546"</f>
        <v>SO20000546</v>
      </c>
      <c r="AC2607">
        <v>4</v>
      </c>
      <c r="AD2607" s="1">
        <v>44160</v>
      </c>
      <c r="AE2607" t="str">
        <f>"SH21000773"</f>
        <v>SH21000773</v>
      </c>
      <c r="AF2607" t="str">
        <f>"משלוחים ללקוח"</f>
        <v>משלוחים ללקוח</v>
      </c>
      <c r="AG2607" s="1">
        <v>44339</v>
      </c>
      <c r="AM2607" t="str">
        <f>"10"</f>
        <v>10</v>
      </c>
      <c r="AN2607" t="str">
        <f>"500000"</f>
        <v>500000</v>
      </c>
      <c r="AO2607" t="str">
        <f>"הכנסות  מלקוחות"</f>
        <v>הכנסות  מלקוחות</v>
      </c>
      <c r="AQ2607" t="str">
        <f>"034"</f>
        <v>034</v>
      </c>
      <c r="AR2607">
        <v>0</v>
      </c>
      <c r="AS2607">
        <v>0</v>
      </c>
      <c r="AT2607">
        <v>3.242</v>
      </c>
      <c r="AX2607" t="str">
        <f>"E000326044"</f>
        <v>E000326044</v>
      </c>
      <c r="BD2607" t="str">
        <f>"ערן שלו"</f>
        <v>ערן שלו</v>
      </c>
    </row>
    <row r="2608" spans="1:56" x14ac:dyDescent="0.3">
      <c r="A2608" s="1">
        <v>44341</v>
      </c>
      <c r="B2608" t="str">
        <f>"SI216000883"</f>
        <v>SI216000883</v>
      </c>
      <c r="C2608" t="str">
        <f>"PR20000828"</f>
        <v>PR20000828</v>
      </c>
      <c r="D2608" t="str">
        <f>"PR20000828"</f>
        <v>PR20000828</v>
      </c>
      <c r="E2608" t="str">
        <f>"Y"</f>
        <v>Y</v>
      </c>
      <c r="F2608" t="str">
        <f>"חשבוניות מרכזות"</f>
        <v>חשבוניות מרכזות</v>
      </c>
      <c r="G2608" t="str">
        <f>"700065"</f>
        <v>700065</v>
      </c>
      <c r="H2608" t="str">
        <f>"אלתא מערכות בע""מ"</f>
        <v>אלתא מערכות בע"מ</v>
      </c>
      <c r="I2608" t="str">
        <f>"10"</f>
        <v>10</v>
      </c>
      <c r="J2608" t="str">
        <f>"OP-AR02141"</f>
        <v>OP-AR02141</v>
      </c>
      <c r="K2608" t="str">
        <f>"1036U415-001/-   WP415 - POWER 320VDC PEDESTAL T"</f>
        <v>1036U415-001/-   WP415 - POWER 320VDC PEDESTAL T</v>
      </c>
      <c r="L2608">
        <v>14</v>
      </c>
      <c r="M2608" t="str">
        <f>"יח"</f>
        <v>יח</v>
      </c>
      <c r="N2608">
        <v>14</v>
      </c>
      <c r="O2608" t="str">
        <f>"יח"</f>
        <v>יח</v>
      </c>
      <c r="P2608">
        <v>648.77</v>
      </c>
      <c r="Q2608" t="str">
        <f>"$"</f>
        <v>$</v>
      </c>
      <c r="R2608" t="str">
        <f>"הזמנה"</f>
        <v>הזמנה</v>
      </c>
      <c r="S2608">
        <v>0</v>
      </c>
      <c r="T2608" s="2">
        <v>9082.7800000000007</v>
      </c>
      <c r="U2608">
        <v>0</v>
      </c>
      <c r="V2608" s="2">
        <v>9082.7800000000007</v>
      </c>
      <c r="W2608" t="str">
        <f>"$"</f>
        <v>$</v>
      </c>
      <c r="X2608">
        <v>0</v>
      </c>
      <c r="Y2608">
        <v>0</v>
      </c>
      <c r="Z2608">
        <v>0</v>
      </c>
      <c r="AA2608" t="str">
        <f>"Y"</f>
        <v>Y</v>
      </c>
      <c r="AB2608" t="str">
        <f>"SO20000546"</f>
        <v>SO20000546</v>
      </c>
      <c r="AC2608">
        <v>6</v>
      </c>
      <c r="AD2608" s="1">
        <v>44160</v>
      </c>
      <c r="AE2608" t="str">
        <f>"SH21000773"</f>
        <v>SH21000773</v>
      </c>
      <c r="AF2608" t="str">
        <f>"משלוחים ללקוח"</f>
        <v>משלוחים ללקוח</v>
      </c>
      <c r="AG2608" s="1">
        <v>44339</v>
      </c>
      <c r="AM2608" t="str">
        <f>"10"</f>
        <v>10</v>
      </c>
      <c r="AN2608" t="str">
        <f>"500000"</f>
        <v>500000</v>
      </c>
      <c r="AO2608" t="str">
        <f>"הכנסות  מלקוחות"</f>
        <v>הכנסות  מלקוחות</v>
      </c>
      <c r="AQ2608" t="str">
        <f>"034"</f>
        <v>034</v>
      </c>
      <c r="AR2608">
        <v>0</v>
      </c>
      <c r="AS2608">
        <v>0</v>
      </c>
      <c r="AT2608">
        <v>3.242</v>
      </c>
      <c r="AX2608" t="str">
        <f>"E000326044"</f>
        <v>E000326044</v>
      </c>
      <c r="BD2608" t="str">
        <f>"ערן שלו"</f>
        <v>ערן שלו</v>
      </c>
    </row>
    <row r="2609" spans="1:56" x14ac:dyDescent="0.3">
      <c r="A2609" s="1">
        <v>44341</v>
      </c>
      <c r="B2609" t="str">
        <f>"SI216000883"</f>
        <v>SI216000883</v>
      </c>
      <c r="C2609" t="str">
        <f>"PR20000828"</f>
        <v>PR20000828</v>
      </c>
      <c r="D2609" t="str">
        <f>"PR20000828"</f>
        <v>PR20000828</v>
      </c>
      <c r="E2609" t="str">
        <f>"Y"</f>
        <v>Y</v>
      </c>
      <c r="F2609" t="str">
        <f>"חשבוניות מרכזות"</f>
        <v>חשבוניות מרכזות</v>
      </c>
      <c r="G2609" t="str">
        <f>"700065"</f>
        <v>700065</v>
      </c>
      <c r="H2609" t="str">
        <f>"אלתא מערכות בע""מ"</f>
        <v>אלתא מערכות בע"מ</v>
      </c>
      <c r="I2609" t="str">
        <f>"10"</f>
        <v>10</v>
      </c>
      <c r="J2609" t="str">
        <f>"OP-AR02142"</f>
        <v>OP-AR02142</v>
      </c>
      <c r="K2609" t="str">
        <f>"1036U416-001/-   WP416 - POWER 320VDC PEDESTAL T"</f>
        <v>1036U416-001/-   WP416 - POWER 320VDC PEDESTAL T</v>
      </c>
      <c r="L2609">
        <v>14</v>
      </c>
      <c r="M2609" t="str">
        <f>"יח"</f>
        <v>יח</v>
      </c>
      <c r="N2609">
        <v>14</v>
      </c>
      <c r="O2609" t="str">
        <f>"יח"</f>
        <v>יח</v>
      </c>
      <c r="P2609">
        <v>636.94000000000005</v>
      </c>
      <c r="Q2609" t="str">
        <f>"$"</f>
        <v>$</v>
      </c>
      <c r="R2609" t="str">
        <f>"הזמנה"</f>
        <v>הזמנה</v>
      </c>
      <c r="S2609">
        <v>0</v>
      </c>
      <c r="T2609" s="2">
        <v>8917.16</v>
      </c>
      <c r="U2609">
        <v>0</v>
      </c>
      <c r="V2609" s="2">
        <v>8917.16</v>
      </c>
      <c r="W2609" t="str">
        <f>"$"</f>
        <v>$</v>
      </c>
      <c r="X2609">
        <v>0</v>
      </c>
      <c r="Y2609">
        <v>0</v>
      </c>
      <c r="Z2609">
        <v>0</v>
      </c>
      <c r="AA2609" t="str">
        <f>"Y"</f>
        <v>Y</v>
      </c>
      <c r="AB2609" t="str">
        <f>"SO20000546"</f>
        <v>SO20000546</v>
      </c>
      <c r="AC2609">
        <v>7</v>
      </c>
      <c r="AD2609" s="1">
        <v>44160</v>
      </c>
      <c r="AE2609" t="str">
        <f>"SH21000773"</f>
        <v>SH21000773</v>
      </c>
      <c r="AF2609" t="str">
        <f>"משלוחים ללקוח"</f>
        <v>משלוחים ללקוח</v>
      </c>
      <c r="AG2609" s="1">
        <v>44339</v>
      </c>
      <c r="AM2609" t="str">
        <f>"10"</f>
        <v>10</v>
      </c>
      <c r="AN2609" t="str">
        <f>"500000"</f>
        <v>500000</v>
      </c>
      <c r="AO2609" t="str">
        <f>"הכנסות  מלקוחות"</f>
        <v>הכנסות  מלקוחות</v>
      </c>
      <c r="AQ2609" t="str">
        <f>"034"</f>
        <v>034</v>
      </c>
      <c r="AR2609">
        <v>0</v>
      </c>
      <c r="AS2609">
        <v>0</v>
      </c>
      <c r="AT2609">
        <v>3.242</v>
      </c>
      <c r="AX2609" t="str">
        <f>"E000326044"</f>
        <v>E000326044</v>
      </c>
      <c r="BD2609" t="str">
        <f>"ערן שלו"</f>
        <v>ערן שלו</v>
      </c>
    </row>
    <row r="2610" spans="1:56" x14ac:dyDescent="0.3">
      <c r="A2610" s="1">
        <v>44341</v>
      </c>
      <c r="B2610" t="str">
        <f>"SI216000882"</f>
        <v>SI216000882</v>
      </c>
      <c r="C2610" t="str">
        <f>"PR20000828"</f>
        <v>PR20000828</v>
      </c>
      <c r="E2610" t="str">
        <f>"Y"</f>
        <v>Y</v>
      </c>
      <c r="F2610" t="str">
        <f>"חשבוניות מרכזות"</f>
        <v>חשבוניות מרכזות</v>
      </c>
      <c r="G2610" t="str">
        <f>"700065"</f>
        <v>700065</v>
      </c>
      <c r="H2610" t="str">
        <f>"אלתא מערכות בע""מ"</f>
        <v>אלתא מערכות בע"מ</v>
      </c>
      <c r="I2610" t="str">
        <f>"10"</f>
        <v>10</v>
      </c>
      <c r="J2610" t="str">
        <f>"OP-AR02139"</f>
        <v>OP-AR02139</v>
      </c>
      <c r="K2610" t="str">
        <f>"1036U413-001/-   WP413 - POWER 320VDC PEDESTAL T"</f>
        <v>1036U413-001/-   WP413 - POWER 320VDC PEDESTAL T</v>
      </c>
      <c r="L2610">
        <v>-14</v>
      </c>
      <c r="M2610" t="str">
        <f>"יח"</f>
        <v>יח</v>
      </c>
      <c r="N2610">
        <v>-14</v>
      </c>
      <c r="O2610" t="str">
        <f>"יח"</f>
        <v>יח</v>
      </c>
      <c r="P2610">
        <v>634.89</v>
      </c>
      <c r="Q2610" t="str">
        <f>"$"</f>
        <v>$</v>
      </c>
      <c r="R2610" t="str">
        <f>"הזמנה"</f>
        <v>הזמנה</v>
      </c>
      <c r="S2610">
        <v>0</v>
      </c>
      <c r="T2610" s="2">
        <v>-8888.4599999999991</v>
      </c>
      <c r="U2610">
        <v>2.2999999999999998</v>
      </c>
      <c r="V2610" s="2">
        <v>-8684.0300000000007</v>
      </c>
      <c r="W2610" t="str">
        <f>"$"</f>
        <v>$</v>
      </c>
      <c r="X2610">
        <v>0</v>
      </c>
      <c r="Y2610">
        <v>0</v>
      </c>
      <c r="Z2610">
        <v>0</v>
      </c>
      <c r="AA2610" t="str">
        <f>"Y"</f>
        <v>Y</v>
      </c>
      <c r="AC2610">
        <v>0</v>
      </c>
      <c r="AM2610" t="str">
        <f>"10"</f>
        <v>10</v>
      </c>
      <c r="AN2610" t="str">
        <f>"500000"</f>
        <v>500000</v>
      </c>
      <c r="AO2610" t="str">
        <f>"הכנסות  מלקוחות"</f>
        <v>הכנסות  מלקוחות</v>
      </c>
      <c r="AQ2610" t="str">
        <f>"034"</f>
        <v>034</v>
      </c>
      <c r="AR2610">
        <v>0</v>
      </c>
      <c r="AS2610">
        <v>0</v>
      </c>
      <c r="AT2610">
        <v>3.242</v>
      </c>
      <c r="BB2610" t="str">
        <f>"Y"</f>
        <v>Y</v>
      </c>
      <c r="BD2610" t="str">
        <f>"ערן שלו"</f>
        <v>ערן שלו</v>
      </c>
    </row>
    <row r="2611" spans="1:56" x14ac:dyDescent="0.3">
      <c r="A2611" s="1">
        <v>44341</v>
      </c>
      <c r="B2611" t="str">
        <f>"SI216000882"</f>
        <v>SI216000882</v>
      </c>
      <c r="C2611" t="str">
        <f>"PR20000828"</f>
        <v>PR20000828</v>
      </c>
      <c r="E2611" t="str">
        <f>"Y"</f>
        <v>Y</v>
      </c>
      <c r="F2611" t="str">
        <f>"חשבוניות מרכזות"</f>
        <v>חשבוניות מרכזות</v>
      </c>
      <c r="G2611" t="str">
        <f>"700065"</f>
        <v>700065</v>
      </c>
      <c r="H2611" t="str">
        <f>"אלתא מערכות בע""מ"</f>
        <v>אלתא מערכות בע"מ</v>
      </c>
      <c r="I2611" t="str">
        <f>"10"</f>
        <v>10</v>
      </c>
      <c r="J2611" t="str">
        <f>"OP-AR02141"</f>
        <v>OP-AR02141</v>
      </c>
      <c r="K2611" t="str">
        <f>"1036U415-001/-   WP415 - POWER 320VDC PEDESTAL T"</f>
        <v>1036U415-001/-   WP415 - POWER 320VDC PEDESTAL T</v>
      </c>
      <c r="L2611">
        <v>-14</v>
      </c>
      <c r="M2611" t="str">
        <f>"יח"</f>
        <v>יח</v>
      </c>
      <c r="N2611">
        <v>-14</v>
      </c>
      <c r="O2611" t="str">
        <f>"יח"</f>
        <v>יח</v>
      </c>
      <c r="P2611">
        <v>648.77</v>
      </c>
      <c r="Q2611" t="str">
        <f>"$"</f>
        <v>$</v>
      </c>
      <c r="R2611" t="str">
        <f>"הזמנה"</f>
        <v>הזמנה</v>
      </c>
      <c r="S2611">
        <v>0</v>
      </c>
      <c r="T2611" s="2">
        <v>-9082.7800000000007</v>
      </c>
      <c r="U2611">
        <v>2.2999999999999998</v>
      </c>
      <c r="V2611" s="2">
        <v>-8873.8799999999992</v>
      </c>
      <c r="W2611" t="str">
        <f>"$"</f>
        <v>$</v>
      </c>
      <c r="X2611">
        <v>0</v>
      </c>
      <c r="Y2611">
        <v>0</v>
      </c>
      <c r="Z2611">
        <v>0</v>
      </c>
      <c r="AA2611" t="str">
        <f>"Y"</f>
        <v>Y</v>
      </c>
      <c r="AC2611">
        <v>0</v>
      </c>
      <c r="AM2611" t="str">
        <f>"10"</f>
        <v>10</v>
      </c>
      <c r="AN2611" t="str">
        <f>"500000"</f>
        <v>500000</v>
      </c>
      <c r="AO2611" t="str">
        <f>"הכנסות  מלקוחות"</f>
        <v>הכנסות  מלקוחות</v>
      </c>
      <c r="AQ2611" t="str">
        <f>"034"</f>
        <v>034</v>
      </c>
      <c r="AR2611">
        <v>0</v>
      </c>
      <c r="AS2611">
        <v>0</v>
      </c>
      <c r="AT2611">
        <v>3.242</v>
      </c>
      <c r="BB2611" t="str">
        <f>"Y"</f>
        <v>Y</v>
      </c>
      <c r="BD2611" t="str">
        <f>"ערן שלו"</f>
        <v>ערן שלו</v>
      </c>
    </row>
    <row r="2612" spans="1:56" x14ac:dyDescent="0.3">
      <c r="A2612" s="1">
        <v>44341</v>
      </c>
      <c r="B2612" t="str">
        <f>"SI216000882"</f>
        <v>SI216000882</v>
      </c>
      <c r="C2612" t="str">
        <f>"PR20000828"</f>
        <v>PR20000828</v>
      </c>
      <c r="E2612" t="str">
        <f>"Y"</f>
        <v>Y</v>
      </c>
      <c r="F2612" t="str">
        <f>"חשבוניות מרכזות"</f>
        <v>חשבוניות מרכזות</v>
      </c>
      <c r="G2612" t="str">
        <f>"700065"</f>
        <v>700065</v>
      </c>
      <c r="H2612" t="str">
        <f>"אלתא מערכות בע""מ"</f>
        <v>אלתא מערכות בע"מ</v>
      </c>
      <c r="I2612" t="str">
        <f>"10"</f>
        <v>10</v>
      </c>
      <c r="J2612" t="str">
        <f>"OP-AR02142"</f>
        <v>OP-AR02142</v>
      </c>
      <c r="K2612" t="str">
        <f>"1036U416-001/-   WP416 - POWER 320VDC PEDESTAL T"</f>
        <v>1036U416-001/-   WP416 - POWER 320VDC PEDESTAL T</v>
      </c>
      <c r="L2612">
        <v>-14</v>
      </c>
      <c r="M2612" t="str">
        <f>"יח"</f>
        <v>יח</v>
      </c>
      <c r="N2612">
        <v>-14</v>
      </c>
      <c r="O2612" t="str">
        <f>"יח"</f>
        <v>יח</v>
      </c>
      <c r="P2612">
        <v>636.94000000000005</v>
      </c>
      <c r="Q2612" t="str">
        <f>"$"</f>
        <v>$</v>
      </c>
      <c r="R2612" t="str">
        <f>"הזמנה"</f>
        <v>הזמנה</v>
      </c>
      <c r="S2612">
        <v>0</v>
      </c>
      <c r="T2612" s="2">
        <v>-8917.16</v>
      </c>
      <c r="U2612">
        <v>2.2999999999999998</v>
      </c>
      <c r="V2612" s="2">
        <v>-8712.07</v>
      </c>
      <c r="W2612" t="str">
        <f>"$"</f>
        <v>$</v>
      </c>
      <c r="X2612">
        <v>0</v>
      </c>
      <c r="Y2612">
        <v>0</v>
      </c>
      <c r="Z2612">
        <v>0</v>
      </c>
      <c r="AA2612" t="str">
        <f>"Y"</f>
        <v>Y</v>
      </c>
      <c r="AC2612">
        <v>0</v>
      </c>
      <c r="AM2612" t="str">
        <f>"10"</f>
        <v>10</v>
      </c>
      <c r="AN2612" t="str">
        <f>"500000"</f>
        <v>500000</v>
      </c>
      <c r="AO2612" t="str">
        <f>"הכנסות  מלקוחות"</f>
        <v>הכנסות  מלקוחות</v>
      </c>
      <c r="AQ2612" t="str">
        <f>"034"</f>
        <v>034</v>
      </c>
      <c r="AR2612">
        <v>0</v>
      </c>
      <c r="AS2612">
        <v>0</v>
      </c>
      <c r="AT2612">
        <v>3.242</v>
      </c>
      <c r="BB2612" t="str">
        <f>"Y"</f>
        <v>Y</v>
      </c>
      <c r="BD2612" t="str">
        <f>"ערן שלו"</f>
        <v>ערן שלו</v>
      </c>
    </row>
    <row r="2613" spans="1:56" x14ac:dyDescent="0.3">
      <c r="A2613" s="1">
        <v>44341</v>
      </c>
      <c r="B2613" t="str">
        <f>"SI216000745"</f>
        <v>SI216000745</v>
      </c>
      <c r="C2613" t="str">
        <f>"PR21000144"</f>
        <v>PR21000144</v>
      </c>
      <c r="E2613" t="str">
        <f>"Y"</f>
        <v>Y</v>
      </c>
      <c r="F2613" t="str">
        <f>"חשבוניות מרכזות"</f>
        <v>חשבוניות מרכזות</v>
      </c>
      <c r="G2613" t="str">
        <f>"700065"</f>
        <v>700065</v>
      </c>
      <c r="H2613" t="str">
        <f>"אלתא מערכות בע""מ"</f>
        <v>אלתא מערכות בע"מ</v>
      </c>
      <c r="I2613" t="str">
        <f>"10"</f>
        <v>10</v>
      </c>
      <c r="J2613" t="str">
        <f>"OP-AR02313"</f>
        <v>OP-AR02313</v>
      </c>
      <c r="K2613" t="str">
        <f>"1033A444-001  CABLE ASSY POWER PEDESTAL TO ANTEN"</f>
        <v>1033A444-001  CABLE ASSY POWER PEDESTAL TO ANTEN</v>
      </c>
      <c r="L2613">
        <v>2</v>
      </c>
      <c r="M2613" t="str">
        <f>"יח"</f>
        <v>יח</v>
      </c>
      <c r="N2613">
        <v>2</v>
      </c>
      <c r="O2613" t="str">
        <f>"יח"</f>
        <v>יח</v>
      </c>
      <c r="P2613">
        <v>656.39</v>
      </c>
      <c r="Q2613" t="str">
        <f>"$"</f>
        <v>$</v>
      </c>
      <c r="R2613" t="str">
        <f>"הזמנה"</f>
        <v>הזמנה</v>
      </c>
      <c r="S2613">
        <v>0</v>
      </c>
      <c r="T2613" s="2">
        <v>1312.78</v>
      </c>
      <c r="U2613">
        <v>0</v>
      </c>
      <c r="V2613" s="2">
        <v>1312.78</v>
      </c>
      <c r="W2613" t="str">
        <f>"$"</f>
        <v>$</v>
      </c>
      <c r="X2613">
        <v>0</v>
      </c>
      <c r="Y2613">
        <v>0</v>
      </c>
      <c r="Z2613">
        <v>0</v>
      </c>
      <c r="AA2613" t="str">
        <f>"Y"</f>
        <v>Y</v>
      </c>
      <c r="AB2613" t="str">
        <f>"SO21000086"</f>
        <v>SO21000086</v>
      </c>
      <c r="AC2613">
        <v>10</v>
      </c>
      <c r="AD2613" s="1">
        <v>44248</v>
      </c>
      <c r="AE2613" t="str">
        <f>"SH21000775"</f>
        <v>SH21000775</v>
      </c>
      <c r="AF2613" t="str">
        <f>"משלוחים ללקוח"</f>
        <v>משלוחים ללקוח</v>
      </c>
      <c r="AG2613" s="1">
        <v>44339</v>
      </c>
      <c r="AM2613" t="str">
        <f>"10"</f>
        <v>10</v>
      </c>
      <c r="AN2613" t="str">
        <f>"500000"</f>
        <v>500000</v>
      </c>
      <c r="AO2613" t="str">
        <f>"הכנסות  מלקוחות"</f>
        <v>הכנסות  מלקוחות</v>
      </c>
      <c r="AQ2613" t="str">
        <f>"040"</f>
        <v>040</v>
      </c>
      <c r="AR2613">
        <v>0</v>
      </c>
      <c r="AS2613">
        <v>0</v>
      </c>
      <c r="AT2613">
        <v>3.242</v>
      </c>
      <c r="AX2613" t="str">
        <f>"E000332301"</f>
        <v>E000332301</v>
      </c>
      <c r="BD2613" t="str">
        <f>"רחמים זרוק"</f>
        <v>רחמים זרוק</v>
      </c>
    </row>
    <row r="2614" spans="1:56" x14ac:dyDescent="0.3">
      <c r="A2614" s="1">
        <v>44341</v>
      </c>
      <c r="B2614" t="str">
        <f>"SI216000745"</f>
        <v>SI216000745</v>
      </c>
      <c r="C2614" t="str">
        <f>"PR21000144"</f>
        <v>PR21000144</v>
      </c>
      <c r="E2614" t="str">
        <f>"Y"</f>
        <v>Y</v>
      </c>
      <c r="F2614" t="str">
        <f>"חשבוניות מרכזות"</f>
        <v>חשבוניות מרכזות</v>
      </c>
      <c r="G2614" t="str">
        <f>"700065"</f>
        <v>700065</v>
      </c>
      <c r="H2614" t="str">
        <f>"אלתא מערכות בע""מ"</f>
        <v>אלתא מערכות בע"מ</v>
      </c>
      <c r="I2614" t="str">
        <f>"10"</f>
        <v>10</v>
      </c>
      <c r="J2614" t="str">
        <f>"OP-AR02313"</f>
        <v>OP-AR02313</v>
      </c>
      <c r="K2614" t="str">
        <f>"1033A444-001  CABLE ASSY POWER PEDESTAL TO ANTEN"</f>
        <v>1033A444-001  CABLE ASSY POWER PEDESTAL TO ANTEN</v>
      </c>
      <c r="L2614">
        <v>2</v>
      </c>
      <c r="M2614" t="str">
        <f>"יח"</f>
        <v>יח</v>
      </c>
      <c r="N2614">
        <v>2</v>
      </c>
      <c r="O2614" t="str">
        <f>"יח"</f>
        <v>יח</v>
      </c>
      <c r="P2614">
        <v>656.39</v>
      </c>
      <c r="Q2614" t="str">
        <f>"$"</f>
        <v>$</v>
      </c>
      <c r="R2614" t="str">
        <f>"הזמנה"</f>
        <v>הזמנה</v>
      </c>
      <c r="S2614">
        <v>0</v>
      </c>
      <c r="T2614" s="2">
        <v>1312.78</v>
      </c>
      <c r="U2614">
        <v>0</v>
      </c>
      <c r="V2614" s="2">
        <v>1312.78</v>
      </c>
      <c r="W2614" t="str">
        <f>"$"</f>
        <v>$</v>
      </c>
      <c r="X2614">
        <v>0</v>
      </c>
      <c r="Y2614">
        <v>0</v>
      </c>
      <c r="Z2614">
        <v>0</v>
      </c>
      <c r="AA2614" t="str">
        <f>"Y"</f>
        <v>Y</v>
      </c>
      <c r="AB2614" t="str">
        <f>"SO21000086"</f>
        <v>SO21000086</v>
      </c>
      <c r="AC2614">
        <v>11</v>
      </c>
      <c r="AD2614" s="1">
        <v>44248</v>
      </c>
      <c r="AE2614" t="str">
        <f>"SH21000775"</f>
        <v>SH21000775</v>
      </c>
      <c r="AF2614" t="str">
        <f>"משלוחים ללקוח"</f>
        <v>משלוחים ללקוח</v>
      </c>
      <c r="AG2614" s="1">
        <v>44339</v>
      </c>
      <c r="AM2614" t="str">
        <f>"10"</f>
        <v>10</v>
      </c>
      <c r="AN2614" t="str">
        <f>"500000"</f>
        <v>500000</v>
      </c>
      <c r="AO2614" t="str">
        <f>"הכנסות  מלקוחות"</f>
        <v>הכנסות  מלקוחות</v>
      </c>
      <c r="AQ2614" t="str">
        <f>"040"</f>
        <v>040</v>
      </c>
      <c r="AR2614">
        <v>0</v>
      </c>
      <c r="AS2614">
        <v>0</v>
      </c>
      <c r="AT2614">
        <v>3.242</v>
      </c>
      <c r="AX2614" t="str">
        <f>"E000332301"</f>
        <v>E000332301</v>
      </c>
      <c r="BD2614" t="str">
        <f>"רחמים זרוק"</f>
        <v>רחמים זרוק</v>
      </c>
    </row>
    <row r="2615" spans="1:56" x14ac:dyDescent="0.3">
      <c r="A2615" s="1">
        <v>44341</v>
      </c>
      <c r="B2615" t="str">
        <f>"SI216000744"</f>
        <v>SI216000744</v>
      </c>
      <c r="C2615" t="str">
        <f>"PR21000070"</f>
        <v>PR21000070</v>
      </c>
      <c r="E2615" t="str">
        <f>"Y"</f>
        <v>Y</v>
      </c>
      <c r="F2615" t="str">
        <f>"חשבוניות מרכזות"</f>
        <v>חשבוניות מרכזות</v>
      </c>
      <c r="G2615" t="str">
        <f>"700065"</f>
        <v>700065</v>
      </c>
      <c r="H2615" t="str">
        <f>"אלתא מערכות בע""מ"</f>
        <v>אלתא מערכות בע"מ</v>
      </c>
      <c r="I2615" t="str">
        <f>"10"</f>
        <v>10</v>
      </c>
      <c r="J2615" t="str">
        <f>"OP-AR02245"</f>
        <v>OP-AR02245</v>
      </c>
      <c r="K2615" t="str">
        <f>"2211B248-001   SELFTEST CABLE"</f>
        <v>2211B248-001   SELFTEST CABLE</v>
      </c>
      <c r="L2615">
        <v>2</v>
      </c>
      <c r="M2615" t="str">
        <f>"יח"</f>
        <v>יח</v>
      </c>
      <c r="N2615">
        <v>2</v>
      </c>
      <c r="O2615" t="str">
        <f>"יח"</f>
        <v>יח</v>
      </c>
      <c r="P2615">
        <v>593.44000000000005</v>
      </c>
      <c r="Q2615" t="str">
        <f>"$"</f>
        <v>$</v>
      </c>
      <c r="R2615" t="str">
        <f>"הזמנה"</f>
        <v>הזמנה</v>
      </c>
      <c r="S2615">
        <v>0</v>
      </c>
      <c r="T2615" s="2">
        <v>1186.8800000000001</v>
      </c>
      <c r="U2615">
        <v>0</v>
      </c>
      <c r="V2615" s="2">
        <v>1186.8800000000001</v>
      </c>
      <c r="W2615" t="str">
        <f>"$"</f>
        <v>$</v>
      </c>
      <c r="X2615">
        <v>0</v>
      </c>
      <c r="Y2615">
        <v>0</v>
      </c>
      <c r="Z2615">
        <v>0</v>
      </c>
      <c r="AA2615" t="str">
        <f>"Y"</f>
        <v>Y</v>
      </c>
      <c r="AB2615" t="str">
        <f>"SO21000036"</f>
        <v>SO21000036</v>
      </c>
      <c r="AC2615">
        <v>3</v>
      </c>
      <c r="AD2615" s="1">
        <v>44217</v>
      </c>
      <c r="AE2615" t="str">
        <f>"SH21000774"</f>
        <v>SH21000774</v>
      </c>
      <c r="AF2615" t="str">
        <f>"משלוחים ללקוח"</f>
        <v>משלוחים ללקוח</v>
      </c>
      <c r="AG2615" s="1">
        <v>44339</v>
      </c>
      <c r="AM2615" t="str">
        <f>"10"</f>
        <v>10</v>
      </c>
      <c r="AN2615" t="str">
        <f>"500000"</f>
        <v>500000</v>
      </c>
      <c r="AO2615" t="str">
        <f>"הכנסות  מלקוחות"</f>
        <v>הכנסות  מלקוחות</v>
      </c>
      <c r="AQ2615" t="str">
        <f>"034"</f>
        <v>034</v>
      </c>
      <c r="AR2615">
        <v>0</v>
      </c>
      <c r="AS2615">
        <v>0</v>
      </c>
      <c r="AT2615">
        <v>3.242</v>
      </c>
      <c r="AX2615" t="str">
        <f>"E000330617"</f>
        <v>E000330617</v>
      </c>
      <c r="BD2615" t="str">
        <f>"ערן שלו"</f>
        <v>ערן שלו</v>
      </c>
    </row>
    <row r="2616" spans="1:56" x14ac:dyDescent="0.3">
      <c r="A2616" s="1">
        <v>44341</v>
      </c>
      <c r="B2616" t="str">
        <f>"SI216000743"</f>
        <v>SI216000743</v>
      </c>
      <c r="C2616" t="str">
        <f>"PR20000348"</f>
        <v>PR20000348</v>
      </c>
      <c r="E2616" t="str">
        <f>"Y"</f>
        <v>Y</v>
      </c>
      <c r="F2616" t="str">
        <f>"חשבוניות מרכזות"</f>
        <v>חשבוניות מרכזות</v>
      </c>
      <c r="G2616" t="str">
        <f>"700065"</f>
        <v>700065</v>
      </c>
      <c r="H2616" t="str">
        <f>"אלתא מערכות בע""מ"</f>
        <v>אלתא מערכות בע"מ</v>
      </c>
      <c r="I2616" t="str">
        <f>"10"</f>
        <v>10</v>
      </c>
      <c r="J2616" t="str">
        <f>"OP-AR01778"</f>
        <v>OP-AR01778</v>
      </c>
      <c r="K2616" t="str">
        <f>"2019F711-001 CONTROL BOX HARNESS"</f>
        <v>2019F711-001 CONTROL BOX HARNESS</v>
      </c>
      <c r="L2616">
        <v>2</v>
      </c>
      <c r="M2616" t="str">
        <f>"יח"</f>
        <v>יח</v>
      </c>
      <c r="N2616">
        <v>2</v>
      </c>
      <c r="O2616" t="str">
        <f>"יח"</f>
        <v>יח</v>
      </c>
      <c r="P2616" s="2">
        <v>2428.9899999999998</v>
      </c>
      <c r="Q2616" t="str">
        <f>"$"</f>
        <v>$</v>
      </c>
      <c r="R2616" t="str">
        <f>"הזמנה"</f>
        <v>הזמנה</v>
      </c>
      <c r="S2616">
        <v>0</v>
      </c>
      <c r="T2616" s="2">
        <v>4857.9799999999996</v>
      </c>
      <c r="U2616">
        <v>0</v>
      </c>
      <c r="V2616" s="2">
        <v>4857.9799999999996</v>
      </c>
      <c r="W2616" t="str">
        <f>"$"</f>
        <v>$</v>
      </c>
      <c r="X2616">
        <v>0</v>
      </c>
      <c r="Y2616">
        <v>0</v>
      </c>
      <c r="Z2616">
        <v>0</v>
      </c>
      <c r="AA2616" t="str">
        <f>"Y"</f>
        <v>Y</v>
      </c>
      <c r="AB2616" t="str">
        <f>"SO20000201"</f>
        <v>SO20000201</v>
      </c>
      <c r="AC2616">
        <v>44</v>
      </c>
      <c r="AD2616" s="1">
        <v>43970</v>
      </c>
      <c r="AE2616" t="str">
        <f>"SH21000792"</f>
        <v>SH21000792</v>
      </c>
      <c r="AF2616" t="str">
        <f>"משלוחים ללקוח"</f>
        <v>משלוחים ללקוח</v>
      </c>
      <c r="AG2616" s="1">
        <v>44341</v>
      </c>
      <c r="AM2616" t="str">
        <f>"10"</f>
        <v>10</v>
      </c>
      <c r="AN2616" t="str">
        <f>"500000"</f>
        <v>500000</v>
      </c>
      <c r="AO2616" t="str">
        <f>"הכנסות  מלקוחות"</f>
        <v>הכנסות  מלקוחות</v>
      </c>
      <c r="AQ2616" t="str">
        <f>"034"</f>
        <v>034</v>
      </c>
      <c r="AR2616">
        <v>0</v>
      </c>
      <c r="AS2616">
        <v>0</v>
      </c>
      <c r="AT2616">
        <v>3.242</v>
      </c>
      <c r="AX2616" t="str">
        <f>"E000311250"</f>
        <v>E000311250</v>
      </c>
      <c r="BD2616" t="str">
        <f>"ערן שלו"</f>
        <v>ערן שלו</v>
      </c>
    </row>
    <row r="2617" spans="1:56" x14ac:dyDescent="0.3">
      <c r="A2617" s="1">
        <v>44341</v>
      </c>
      <c r="B2617" t="str">
        <f>"SI216000742"</f>
        <v>SI216000742</v>
      </c>
      <c r="C2617" t="str">
        <f>"PR20000828"</f>
        <v>PR20000828</v>
      </c>
      <c r="E2617" t="str">
        <f>"Y"</f>
        <v>Y</v>
      </c>
      <c r="F2617" t="str">
        <f>"חשבוניות מרכזות"</f>
        <v>חשבוניות מרכזות</v>
      </c>
      <c r="G2617" t="str">
        <f>"700065"</f>
        <v>700065</v>
      </c>
      <c r="H2617" t="str">
        <f>"אלתא מערכות בע""מ"</f>
        <v>אלתא מערכות בע"מ</v>
      </c>
      <c r="I2617" t="str">
        <f>"10"</f>
        <v>10</v>
      </c>
      <c r="J2617" t="str">
        <f>"OP-AR02139"</f>
        <v>OP-AR02139</v>
      </c>
      <c r="K2617" t="str">
        <f>"1036U413-001/-   WP413 - POWER 320VDC PEDESTAL T"</f>
        <v>1036U413-001/-   WP413 - POWER 320VDC PEDESTAL T</v>
      </c>
      <c r="L2617">
        <v>14</v>
      </c>
      <c r="M2617" t="str">
        <f>"יח"</f>
        <v>יח</v>
      </c>
      <c r="N2617">
        <v>14</v>
      </c>
      <c r="O2617" t="str">
        <f>"יח"</f>
        <v>יח</v>
      </c>
      <c r="P2617">
        <v>634.89</v>
      </c>
      <c r="Q2617" t="str">
        <f>"$"</f>
        <v>$</v>
      </c>
      <c r="R2617" t="str">
        <f>"הזמנה"</f>
        <v>הזמנה</v>
      </c>
      <c r="S2617">
        <v>0</v>
      </c>
      <c r="T2617" s="2">
        <v>8888.4599999999991</v>
      </c>
      <c r="U2617">
        <v>2.2999999999999998</v>
      </c>
      <c r="V2617" s="2">
        <v>8684.0300000000007</v>
      </c>
      <c r="W2617" t="str">
        <f>"$"</f>
        <v>$</v>
      </c>
      <c r="X2617">
        <v>0</v>
      </c>
      <c r="Y2617">
        <v>0</v>
      </c>
      <c r="Z2617">
        <v>0</v>
      </c>
      <c r="AA2617" t="str">
        <f>"Y"</f>
        <v>Y</v>
      </c>
      <c r="AC2617">
        <v>0</v>
      </c>
      <c r="AM2617" t="str">
        <f>"10"</f>
        <v>10</v>
      </c>
      <c r="AN2617" t="str">
        <f>"500000"</f>
        <v>500000</v>
      </c>
      <c r="AO2617" t="str">
        <f>"הכנסות  מלקוחות"</f>
        <v>הכנסות  מלקוחות</v>
      </c>
      <c r="AQ2617" t="str">
        <f>"034"</f>
        <v>034</v>
      </c>
      <c r="AR2617">
        <v>0</v>
      </c>
      <c r="AS2617">
        <v>0</v>
      </c>
      <c r="AT2617">
        <v>3.242</v>
      </c>
      <c r="BB2617" t="str">
        <f>"Y"</f>
        <v>Y</v>
      </c>
      <c r="BD2617" t="str">
        <f>"ערן שלו"</f>
        <v>ערן שלו</v>
      </c>
    </row>
    <row r="2618" spans="1:56" x14ac:dyDescent="0.3">
      <c r="A2618" s="1">
        <v>44341</v>
      </c>
      <c r="B2618" t="str">
        <f>"SI216000742"</f>
        <v>SI216000742</v>
      </c>
      <c r="C2618" t="str">
        <f>"PR20000828"</f>
        <v>PR20000828</v>
      </c>
      <c r="E2618" t="str">
        <f>"Y"</f>
        <v>Y</v>
      </c>
      <c r="F2618" t="str">
        <f>"חשבוניות מרכזות"</f>
        <v>חשבוניות מרכזות</v>
      </c>
      <c r="G2618" t="str">
        <f>"700065"</f>
        <v>700065</v>
      </c>
      <c r="H2618" t="str">
        <f>"אלתא מערכות בע""מ"</f>
        <v>אלתא מערכות בע"מ</v>
      </c>
      <c r="I2618" t="str">
        <f>"10"</f>
        <v>10</v>
      </c>
      <c r="J2618" t="str">
        <f>"OP-AR02141"</f>
        <v>OP-AR02141</v>
      </c>
      <c r="K2618" t="str">
        <f>"1036U415-001/-   WP415 - POWER 320VDC PEDESTAL T"</f>
        <v>1036U415-001/-   WP415 - POWER 320VDC PEDESTAL T</v>
      </c>
      <c r="L2618">
        <v>14</v>
      </c>
      <c r="M2618" t="str">
        <f>"יח"</f>
        <v>יח</v>
      </c>
      <c r="N2618">
        <v>14</v>
      </c>
      <c r="O2618" t="str">
        <f>"יח"</f>
        <v>יח</v>
      </c>
      <c r="P2618">
        <v>648.77</v>
      </c>
      <c r="Q2618" t="str">
        <f>"$"</f>
        <v>$</v>
      </c>
      <c r="R2618" t="str">
        <f>"הזמנה"</f>
        <v>הזמנה</v>
      </c>
      <c r="S2618">
        <v>0</v>
      </c>
      <c r="T2618" s="2">
        <v>9082.7800000000007</v>
      </c>
      <c r="U2618">
        <v>2.2999999999999998</v>
      </c>
      <c r="V2618" s="2">
        <v>8873.8799999999992</v>
      </c>
      <c r="W2618" t="str">
        <f>"$"</f>
        <v>$</v>
      </c>
      <c r="X2618">
        <v>0</v>
      </c>
      <c r="Y2618">
        <v>0</v>
      </c>
      <c r="Z2618">
        <v>0</v>
      </c>
      <c r="AA2618" t="str">
        <f>"Y"</f>
        <v>Y</v>
      </c>
      <c r="AC2618">
        <v>0</v>
      </c>
      <c r="AM2618" t="str">
        <f>"10"</f>
        <v>10</v>
      </c>
      <c r="AN2618" t="str">
        <f>"500000"</f>
        <v>500000</v>
      </c>
      <c r="AO2618" t="str">
        <f>"הכנסות  מלקוחות"</f>
        <v>הכנסות  מלקוחות</v>
      </c>
      <c r="AQ2618" t="str">
        <f>"034"</f>
        <v>034</v>
      </c>
      <c r="AR2618">
        <v>0</v>
      </c>
      <c r="AS2618">
        <v>0</v>
      </c>
      <c r="AT2618">
        <v>3.242</v>
      </c>
      <c r="BB2618" t="str">
        <f>"Y"</f>
        <v>Y</v>
      </c>
      <c r="BD2618" t="str">
        <f>"ערן שלו"</f>
        <v>ערן שלו</v>
      </c>
    </row>
    <row r="2619" spans="1:56" x14ac:dyDescent="0.3">
      <c r="A2619" s="1">
        <v>44341</v>
      </c>
      <c r="B2619" t="str">
        <f>"SI216000742"</f>
        <v>SI216000742</v>
      </c>
      <c r="C2619" t="str">
        <f>"PR20000828"</f>
        <v>PR20000828</v>
      </c>
      <c r="E2619" t="str">
        <f>"Y"</f>
        <v>Y</v>
      </c>
      <c r="F2619" t="str">
        <f>"חשבוניות מרכזות"</f>
        <v>חשבוניות מרכזות</v>
      </c>
      <c r="G2619" t="str">
        <f>"700065"</f>
        <v>700065</v>
      </c>
      <c r="H2619" t="str">
        <f>"אלתא מערכות בע""מ"</f>
        <v>אלתא מערכות בע"מ</v>
      </c>
      <c r="I2619" t="str">
        <f>"10"</f>
        <v>10</v>
      </c>
      <c r="J2619" t="str">
        <f>"OP-AR02142"</f>
        <v>OP-AR02142</v>
      </c>
      <c r="K2619" t="str">
        <f>"1036U416-001/-   WP416 - POWER 320VDC PEDESTAL T"</f>
        <v>1036U416-001/-   WP416 - POWER 320VDC PEDESTAL T</v>
      </c>
      <c r="L2619">
        <v>14</v>
      </c>
      <c r="M2619" t="str">
        <f>"יח"</f>
        <v>יח</v>
      </c>
      <c r="N2619">
        <v>14</v>
      </c>
      <c r="O2619" t="str">
        <f>"יח"</f>
        <v>יח</v>
      </c>
      <c r="P2619">
        <v>636.94000000000005</v>
      </c>
      <c r="Q2619" t="str">
        <f>"$"</f>
        <v>$</v>
      </c>
      <c r="R2619" t="str">
        <f>"הזמנה"</f>
        <v>הזמנה</v>
      </c>
      <c r="S2619">
        <v>0</v>
      </c>
      <c r="T2619" s="2">
        <v>8917.16</v>
      </c>
      <c r="U2619">
        <v>2.2999999999999998</v>
      </c>
      <c r="V2619" s="2">
        <v>8712.07</v>
      </c>
      <c r="W2619" t="str">
        <f>"$"</f>
        <v>$</v>
      </c>
      <c r="X2619">
        <v>0</v>
      </c>
      <c r="Y2619">
        <v>0</v>
      </c>
      <c r="Z2619">
        <v>0</v>
      </c>
      <c r="AA2619" t="str">
        <f>"Y"</f>
        <v>Y</v>
      </c>
      <c r="AC2619">
        <v>0</v>
      </c>
      <c r="AM2619" t="str">
        <f>"10"</f>
        <v>10</v>
      </c>
      <c r="AN2619" t="str">
        <f>"500000"</f>
        <v>500000</v>
      </c>
      <c r="AO2619" t="str">
        <f>"הכנסות  מלקוחות"</f>
        <v>הכנסות  מלקוחות</v>
      </c>
      <c r="AQ2619" t="str">
        <f>"034"</f>
        <v>034</v>
      </c>
      <c r="AR2619">
        <v>0</v>
      </c>
      <c r="AS2619">
        <v>0</v>
      </c>
      <c r="AT2619">
        <v>3.242</v>
      </c>
      <c r="BB2619" t="str">
        <f>"Y"</f>
        <v>Y</v>
      </c>
      <c r="BD2619" t="str">
        <f>"ערן שלו"</f>
        <v>ערן שלו</v>
      </c>
    </row>
    <row r="2620" spans="1:56" x14ac:dyDescent="0.3">
      <c r="A2620" s="1">
        <v>44341</v>
      </c>
      <c r="B2620" t="str">
        <f>"SI216000741"</f>
        <v>SI216000741</v>
      </c>
      <c r="C2620" t="str">
        <f>"PR20000578"</f>
        <v>PR20000578</v>
      </c>
      <c r="E2620" t="str">
        <f>"Y"</f>
        <v>Y</v>
      </c>
      <c r="F2620" t="str">
        <f>"חשבוניות מרכזות"</f>
        <v>חשבוניות מרכזות</v>
      </c>
      <c r="G2620" t="str">
        <f>"700065"</f>
        <v>700065</v>
      </c>
      <c r="H2620" t="str">
        <f>"אלתא מערכות בע""מ"</f>
        <v>אלתא מערכות בע"מ</v>
      </c>
      <c r="I2620" t="str">
        <f>"10"</f>
        <v>10</v>
      </c>
      <c r="J2620" t="str">
        <f>"PS9900081"</f>
        <v>PS9900081</v>
      </c>
      <c r="K2620" t="str">
        <f>"מטען מצברים 1039V517-001 ירוק"</f>
        <v>מטען מצברים 1039V517-001 ירוק</v>
      </c>
      <c r="L2620">
        <v>2</v>
      </c>
      <c r="M2620" t="str">
        <f>"יח"</f>
        <v>יח</v>
      </c>
      <c r="N2620">
        <v>2</v>
      </c>
      <c r="O2620" t="str">
        <f>"יח"</f>
        <v>יח</v>
      </c>
      <c r="P2620" s="2">
        <v>5500</v>
      </c>
      <c r="Q2620" t="str">
        <f>"$"</f>
        <v>$</v>
      </c>
      <c r="R2620" t="str">
        <f>"הזמנה"</f>
        <v>הזמנה</v>
      </c>
      <c r="S2620">
        <v>0</v>
      </c>
      <c r="T2620" s="2">
        <v>11000</v>
      </c>
      <c r="U2620">
        <v>0</v>
      </c>
      <c r="V2620" s="2">
        <v>11000</v>
      </c>
      <c r="W2620" t="str">
        <f>"$"</f>
        <v>$</v>
      </c>
      <c r="X2620">
        <v>0</v>
      </c>
      <c r="Y2620">
        <v>0</v>
      </c>
      <c r="Z2620">
        <v>0</v>
      </c>
      <c r="AA2620" t="str">
        <f>"Y"</f>
        <v>Y</v>
      </c>
      <c r="AB2620" t="str">
        <f>"SO20000381"</f>
        <v>SO20000381</v>
      </c>
      <c r="AC2620">
        <v>3</v>
      </c>
      <c r="AD2620" s="1">
        <v>44073</v>
      </c>
      <c r="AE2620" t="str">
        <f>"SH21000791"</f>
        <v>SH21000791</v>
      </c>
      <c r="AF2620" t="str">
        <f>"משלוחים ללקוח"</f>
        <v>משלוחים ללקוח</v>
      </c>
      <c r="AG2620" s="1">
        <v>44341</v>
      </c>
      <c r="AM2620" t="str">
        <f>"10"</f>
        <v>10</v>
      </c>
      <c r="AN2620" t="str">
        <f>"500000"</f>
        <v>500000</v>
      </c>
      <c r="AO2620" t="str">
        <f>"הכנסות  מלקוחות"</f>
        <v>הכנסות  מלקוחות</v>
      </c>
      <c r="AQ2620" t="str">
        <f>"034"</f>
        <v>034</v>
      </c>
      <c r="AR2620">
        <v>0</v>
      </c>
      <c r="AS2620">
        <v>0</v>
      </c>
      <c r="AT2620">
        <v>3.242</v>
      </c>
      <c r="AX2620" t="str">
        <f>"E000319715"</f>
        <v>E000319715</v>
      </c>
      <c r="BD2620" t="str">
        <f>"ערן שלו"</f>
        <v>ערן שלו</v>
      </c>
    </row>
    <row r="2621" spans="1:56" x14ac:dyDescent="0.3">
      <c r="A2621" s="1">
        <v>44341</v>
      </c>
      <c r="B2621" t="str">
        <f>"SI216000741"</f>
        <v>SI216000741</v>
      </c>
      <c r="C2621" t="str">
        <f>"PR20000578"</f>
        <v>PR20000578</v>
      </c>
      <c r="E2621" t="str">
        <f>"Y"</f>
        <v>Y</v>
      </c>
      <c r="F2621" t="str">
        <f>"חשבוניות מרכזות"</f>
        <v>חשבוניות מרכזות</v>
      </c>
      <c r="G2621" t="str">
        <f>"700065"</f>
        <v>700065</v>
      </c>
      <c r="H2621" t="str">
        <f>"אלתא מערכות בע""מ"</f>
        <v>אלתא מערכות בע"מ</v>
      </c>
      <c r="I2621" t="str">
        <f>"10"</f>
        <v>10</v>
      </c>
      <c r="J2621" t="str">
        <f>"PS9900081"</f>
        <v>PS9900081</v>
      </c>
      <c r="K2621" t="str">
        <f>"מטען מצברים 1039V517-001 ירוק"</f>
        <v>מטען מצברים 1039V517-001 ירוק</v>
      </c>
      <c r="L2621">
        <v>2</v>
      </c>
      <c r="M2621" t="str">
        <f>"יח"</f>
        <v>יח</v>
      </c>
      <c r="N2621">
        <v>2</v>
      </c>
      <c r="O2621" t="str">
        <f>"יח"</f>
        <v>יח</v>
      </c>
      <c r="P2621" s="2">
        <v>5500</v>
      </c>
      <c r="Q2621" t="str">
        <f>"$"</f>
        <v>$</v>
      </c>
      <c r="R2621" t="str">
        <f>"הזמנה"</f>
        <v>הזמנה</v>
      </c>
      <c r="S2621">
        <v>0</v>
      </c>
      <c r="T2621" s="2">
        <v>11000</v>
      </c>
      <c r="U2621">
        <v>0</v>
      </c>
      <c r="V2621" s="2">
        <v>11000</v>
      </c>
      <c r="W2621" t="str">
        <f>"$"</f>
        <v>$</v>
      </c>
      <c r="X2621">
        <v>0</v>
      </c>
      <c r="Y2621">
        <v>0</v>
      </c>
      <c r="Z2621">
        <v>0</v>
      </c>
      <c r="AA2621" t="str">
        <f>"Y"</f>
        <v>Y</v>
      </c>
      <c r="AB2621" t="str">
        <f>"SO20000381"</f>
        <v>SO20000381</v>
      </c>
      <c r="AC2621">
        <v>4</v>
      </c>
      <c r="AD2621" s="1">
        <v>44073</v>
      </c>
      <c r="AE2621" t="str">
        <f>"SH21000791"</f>
        <v>SH21000791</v>
      </c>
      <c r="AF2621" t="str">
        <f>"משלוחים ללקוח"</f>
        <v>משלוחים ללקוח</v>
      </c>
      <c r="AG2621" s="1">
        <v>44341</v>
      </c>
      <c r="AM2621" t="str">
        <f>"10"</f>
        <v>10</v>
      </c>
      <c r="AN2621" t="str">
        <f>"500000"</f>
        <v>500000</v>
      </c>
      <c r="AO2621" t="str">
        <f>"הכנסות  מלקוחות"</f>
        <v>הכנסות  מלקוחות</v>
      </c>
      <c r="AQ2621" t="str">
        <f>"034"</f>
        <v>034</v>
      </c>
      <c r="AR2621">
        <v>0</v>
      </c>
      <c r="AS2621">
        <v>0</v>
      </c>
      <c r="AT2621">
        <v>3.242</v>
      </c>
      <c r="AX2621" t="str">
        <f>"E000319715"</f>
        <v>E000319715</v>
      </c>
      <c r="BD2621" t="str">
        <f>"ערן שלו"</f>
        <v>ערן שלו</v>
      </c>
    </row>
    <row r="2622" spans="1:56" x14ac:dyDescent="0.3">
      <c r="A2622" s="1">
        <v>44341</v>
      </c>
      <c r="B2622" t="str">
        <f>"SI216000740"</f>
        <v>SI216000740</v>
      </c>
      <c r="C2622" t="str">
        <f>"PR20000571"</f>
        <v>PR20000571</v>
      </c>
      <c r="D2622" t="str">
        <f>"PR20000571"</f>
        <v>PR20000571</v>
      </c>
      <c r="E2622" t="str">
        <f>"Y"</f>
        <v>Y</v>
      </c>
      <c r="F2622" t="str">
        <f>"חשבוניות מרכזות"</f>
        <v>חשבוניות מרכזות</v>
      </c>
      <c r="G2622" t="str">
        <f>"700065"</f>
        <v>700065</v>
      </c>
      <c r="H2622" t="str">
        <f>"אלתא מערכות בע""מ"</f>
        <v>אלתא מערכות בע"מ</v>
      </c>
      <c r="I2622" t="str">
        <f>"10"</f>
        <v>10</v>
      </c>
      <c r="J2622" t="str">
        <f>"OP-AR01902"</f>
        <v>OP-AR01902</v>
      </c>
      <c r="K2622" t="str">
        <f>"1039V964-001 - CABLE ASSY WR114"</f>
        <v>1039V964-001 - CABLE ASSY WR114</v>
      </c>
      <c r="L2622">
        <v>6</v>
      </c>
      <c r="M2622" t="str">
        <f>"יח"</f>
        <v>יח</v>
      </c>
      <c r="N2622">
        <v>6</v>
      </c>
      <c r="O2622" t="str">
        <f>"יח"</f>
        <v>יח</v>
      </c>
      <c r="P2622" s="2">
        <v>1722.54</v>
      </c>
      <c r="Q2622" t="str">
        <f>"$"</f>
        <v>$</v>
      </c>
      <c r="R2622" t="str">
        <f>"הזמנה"</f>
        <v>הזמנה</v>
      </c>
      <c r="S2622">
        <v>0</v>
      </c>
      <c r="T2622" s="2">
        <v>10335.24</v>
      </c>
      <c r="U2622">
        <v>0</v>
      </c>
      <c r="V2622" s="2">
        <v>10335.24</v>
      </c>
      <c r="W2622" t="str">
        <f>"$"</f>
        <v>$</v>
      </c>
      <c r="X2622">
        <v>0</v>
      </c>
      <c r="Y2622">
        <v>0</v>
      </c>
      <c r="Z2622">
        <v>0</v>
      </c>
      <c r="AA2622" t="str">
        <f>"Y"</f>
        <v>Y</v>
      </c>
      <c r="AB2622" t="str">
        <f>"SO20000375"</f>
        <v>SO20000375</v>
      </c>
      <c r="AC2622">
        <v>1</v>
      </c>
      <c r="AD2622" s="1">
        <v>44068</v>
      </c>
      <c r="AE2622" t="str">
        <f>"SH21000779"</f>
        <v>SH21000779</v>
      </c>
      <c r="AF2622" t="str">
        <f>"משלוחים ללקוח"</f>
        <v>משלוחים ללקוח</v>
      </c>
      <c r="AG2622" s="1">
        <v>44340</v>
      </c>
      <c r="AM2622" t="str">
        <f>"10"</f>
        <v>10</v>
      </c>
      <c r="AN2622" t="str">
        <f>"500000"</f>
        <v>500000</v>
      </c>
      <c r="AO2622" t="str">
        <f>"הכנסות  מלקוחות"</f>
        <v>הכנסות  מלקוחות</v>
      </c>
      <c r="AQ2622" t="str">
        <f>"034"</f>
        <v>034</v>
      </c>
      <c r="AR2622">
        <v>0</v>
      </c>
      <c r="AS2622">
        <v>0</v>
      </c>
      <c r="AT2622">
        <v>3.242</v>
      </c>
      <c r="AX2622" t="str">
        <f>"E000319640"</f>
        <v>E000319640</v>
      </c>
      <c r="BD2622" t="str">
        <f>"ערן שלו"</f>
        <v>ערן שלו</v>
      </c>
    </row>
    <row r="2623" spans="1:56" x14ac:dyDescent="0.3">
      <c r="A2623" s="1">
        <v>44341</v>
      </c>
      <c r="B2623" t="str">
        <f>"SI216000717"</f>
        <v>SI216000717</v>
      </c>
      <c r="C2623" t="str">
        <f>"PR21000144"</f>
        <v>PR21000144</v>
      </c>
      <c r="E2623" t="str">
        <f>"Y"</f>
        <v>Y</v>
      </c>
      <c r="F2623" t="str">
        <f>"חשבוניות מרכזות"</f>
        <v>חשבוניות מרכזות</v>
      </c>
      <c r="G2623" t="str">
        <f>"700065"</f>
        <v>700065</v>
      </c>
      <c r="H2623" t="str">
        <f>"אלתא מערכות בע""מ"</f>
        <v>אלתא מערכות בע"מ</v>
      </c>
      <c r="I2623" t="str">
        <f>"10"</f>
        <v>10</v>
      </c>
      <c r="J2623" t="str">
        <f>"OP-AR02312"</f>
        <v>OP-AR02312</v>
      </c>
      <c r="K2623" t="str">
        <f>"1033A442-001   CABLE ASSY W22 CONTROL PEDESTAL A"</f>
        <v>1033A442-001   CABLE ASSY W22 CONTROL PEDESTAL A</v>
      </c>
      <c r="L2623">
        <v>2</v>
      </c>
      <c r="M2623" t="str">
        <f>"יח"</f>
        <v>יח</v>
      </c>
      <c r="N2623">
        <v>2</v>
      </c>
      <c r="O2623" t="str">
        <f>"יח"</f>
        <v>יח</v>
      </c>
      <c r="P2623">
        <v>637.04999999999995</v>
      </c>
      <c r="Q2623" t="str">
        <f>"$"</f>
        <v>$</v>
      </c>
      <c r="R2623" t="str">
        <f>"הזמנה"</f>
        <v>הזמנה</v>
      </c>
      <c r="S2623">
        <v>0</v>
      </c>
      <c r="T2623" s="2">
        <v>1274.0999999999999</v>
      </c>
      <c r="U2623">
        <v>0</v>
      </c>
      <c r="V2623" s="2">
        <v>1274.0999999999999</v>
      </c>
      <c r="W2623" t="str">
        <f>"$"</f>
        <v>$</v>
      </c>
      <c r="X2623">
        <v>0</v>
      </c>
      <c r="Y2623">
        <v>0</v>
      </c>
      <c r="Z2623">
        <v>0</v>
      </c>
      <c r="AA2623" t="str">
        <f>"Y"</f>
        <v>Y</v>
      </c>
      <c r="AB2623" t="str">
        <f>"SO21000086"</f>
        <v>SO21000086</v>
      </c>
      <c r="AC2623">
        <v>8</v>
      </c>
      <c r="AD2623" s="1">
        <v>44248</v>
      </c>
      <c r="AE2623" t="str">
        <f>"SH21000762"</f>
        <v>SH21000762</v>
      </c>
      <c r="AF2623" t="str">
        <f>"משלוחים ללקוח"</f>
        <v>משלוחים ללקוח</v>
      </c>
      <c r="AG2623" s="1">
        <v>44334</v>
      </c>
      <c r="AM2623" t="str">
        <f>"10"</f>
        <v>10</v>
      </c>
      <c r="AN2623" t="str">
        <f>"500000"</f>
        <v>500000</v>
      </c>
      <c r="AO2623" t="str">
        <f>"הכנסות  מלקוחות"</f>
        <v>הכנסות  מלקוחות</v>
      </c>
      <c r="AQ2623" t="str">
        <f>"040"</f>
        <v>040</v>
      </c>
      <c r="AR2623">
        <v>0</v>
      </c>
      <c r="AS2623">
        <v>0</v>
      </c>
      <c r="AT2623">
        <v>3.2589999999999999</v>
      </c>
      <c r="AX2623" t="str">
        <f>"E000332301"</f>
        <v>E000332301</v>
      </c>
      <c r="BD2623" t="str">
        <f>"רחמים זרוק"</f>
        <v>רחמים זרוק</v>
      </c>
    </row>
    <row r="2624" spans="1:56" x14ac:dyDescent="0.3">
      <c r="A2624" s="1">
        <v>44341</v>
      </c>
      <c r="B2624" t="str">
        <f>"SI216000717"</f>
        <v>SI216000717</v>
      </c>
      <c r="C2624" t="str">
        <f>"PR21000144"</f>
        <v>PR21000144</v>
      </c>
      <c r="E2624" t="str">
        <f>"Y"</f>
        <v>Y</v>
      </c>
      <c r="F2624" t="str">
        <f>"חשבוניות מרכזות"</f>
        <v>חשבוניות מרכזות</v>
      </c>
      <c r="G2624" t="str">
        <f>"700065"</f>
        <v>700065</v>
      </c>
      <c r="H2624" t="str">
        <f>"אלתא מערכות בע""מ"</f>
        <v>אלתא מערכות בע"מ</v>
      </c>
      <c r="I2624" t="str">
        <f>"10"</f>
        <v>10</v>
      </c>
      <c r="J2624" t="str">
        <f>"OP-AR02312"</f>
        <v>OP-AR02312</v>
      </c>
      <c r="K2624" t="str">
        <f>"1033A442-001   CABLE ASSY W22 CONTROL PEDESTAL A"</f>
        <v>1033A442-001   CABLE ASSY W22 CONTROL PEDESTAL A</v>
      </c>
      <c r="L2624">
        <v>2</v>
      </c>
      <c r="M2624" t="str">
        <f>"יח"</f>
        <v>יח</v>
      </c>
      <c r="N2624">
        <v>2</v>
      </c>
      <c r="O2624" t="str">
        <f>"יח"</f>
        <v>יח</v>
      </c>
      <c r="P2624">
        <v>637.04999999999995</v>
      </c>
      <c r="Q2624" t="str">
        <f>"$"</f>
        <v>$</v>
      </c>
      <c r="R2624" t="str">
        <f>"הזמנה"</f>
        <v>הזמנה</v>
      </c>
      <c r="S2624">
        <v>0</v>
      </c>
      <c r="T2624" s="2">
        <v>1274.0999999999999</v>
      </c>
      <c r="U2624">
        <v>0</v>
      </c>
      <c r="V2624" s="2">
        <v>1274.0999999999999</v>
      </c>
      <c r="W2624" t="str">
        <f>"$"</f>
        <v>$</v>
      </c>
      <c r="X2624">
        <v>0</v>
      </c>
      <c r="Y2624">
        <v>0</v>
      </c>
      <c r="Z2624">
        <v>0</v>
      </c>
      <c r="AA2624" t="str">
        <f>"Y"</f>
        <v>Y</v>
      </c>
      <c r="AB2624" t="str">
        <f>"SO21000086"</f>
        <v>SO21000086</v>
      </c>
      <c r="AC2624">
        <v>9</v>
      </c>
      <c r="AD2624" s="1">
        <v>44248</v>
      </c>
      <c r="AE2624" t="str">
        <f>"SH21000762"</f>
        <v>SH21000762</v>
      </c>
      <c r="AF2624" t="str">
        <f>"משלוחים ללקוח"</f>
        <v>משלוחים ללקוח</v>
      </c>
      <c r="AG2624" s="1">
        <v>44334</v>
      </c>
      <c r="AM2624" t="str">
        <f>"10"</f>
        <v>10</v>
      </c>
      <c r="AN2624" t="str">
        <f>"500000"</f>
        <v>500000</v>
      </c>
      <c r="AO2624" t="str">
        <f>"הכנסות  מלקוחות"</f>
        <v>הכנסות  מלקוחות</v>
      </c>
      <c r="AQ2624" t="str">
        <f>"040"</f>
        <v>040</v>
      </c>
      <c r="AR2624">
        <v>0</v>
      </c>
      <c r="AS2624">
        <v>0</v>
      </c>
      <c r="AT2624">
        <v>3.2589999999999999</v>
      </c>
      <c r="AX2624" t="str">
        <f>"E000332301"</f>
        <v>E000332301</v>
      </c>
      <c r="BD2624" t="str">
        <f>"רחמים זרוק"</f>
        <v>רחמים זרוק</v>
      </c>
    </row>
    <row r="2625" spans="1:56" x14ac:dyDescent="0.3">
      <c r="A2625" s="1">
        <v>44340</v>
      </c>
      <c r="B2625" t="str">
        <f>"SI216000718"</f>
        <v>SI216000718</v>
      </c>
      <c r="C2625" t="str">
        <f>"PR21000144"</f>
        <v>PR21000144</v>
      </c>
      <c r="E2625" t="str">
        <f>"Y"</f>
        <v>Y</v>
      </c>
      <c r="F2625" t="str">
        <f>"חשבוניות מרכזות"</f>
        <v>חשבוניות מרכזות</v>
      </c>
      <c r="G2625" t="str">
        <f>"700065"</f>
        <v>700065</v>
      </c>
      <c r="H2625" t="str">
        <f>"אלתא מערכות בע""מ"</f>
        <v>אלתא מערכות בע"מ</v>
      </c>
      <c r="I2625" t="str">
        <f>"10"</f>
        <v>10</v>
      </c>
      <c r="J2625" t="str">
        <f>"OP-AR02308"</f>
        <v>OP-AR02308</v>
      </c>
      <c r="K2625" t="str">
        <f>"1019W276-001   CABLE ASSY W57 BATTERY BOX"</f>
        <v>1019W276-001   CABLE ASSY W57 BATTERY BOX</v>
      </c>
      <c r="L2625">
        <v>1</v>
      </c>
      <c r="M2625" t="str">
        <f>"יח"</f>
        <v>יח</v>
      </c>
      <c r="N2625">
        <v>1</v>
      </c>
      <c r="O2625" t="str">
        <f>"יח"</f>
        <v>יח</v>
      </c>
      <c r="P2625">
        <v>465.14</v>
      </c>
      <c r="Q2625" t="str">
        <f>"$"</f>
        <v>$</v>
      </c>
      <c r="R2625" t="str">
        <f>"הזמנה"</f>
        <v>הזמנה</v>
      </c>
      <c r="S2625">
        <v>0</v>
      </c>
      <c r="T2625">
        <v>465.14</v>
      </c>
      <c r="U2625">
        <v>0</v>
      </c>
      <c r="V2625">
        <v>465.14</v>
      </c>
      <c r="W2625" t="str">
        <f>"$"</f>
        <v>$</v>
      </c>
      <c r="X2625">
        <v>0</v>
      </c>
      <c r="Y2625">
        <v>0</v>
      </c>
      <c r="Z2625">
        <v>0</v>
      </c>
      <c r="AA2625" t="str">
        <f>"Y"</f>
        <v>Y</v>
      </c>
      <c r="AB2625" t="str">
        <f>"SO21000086"</f>
        <v>SO21000086</v>
      </c>
      <c r="AC2625">
        <v>1</v>
      </c>
      <c r="AD2625" s="1">
        <v>44248</v>
      </c>
      <c r="AE2625" t="str">
        <f>"SH21000758"</f>
        <v>SH21000758</v>
      </c>
      <c r="AF2625" t="str">
        <f>"משלוחים ללקוח"</f>
        <v>משלוחים ללקוח</v>
      </c>
      <c r="AG2625" s="1">
        <v>44334</v>
      </c>
      <c r="AM2625" t="str">
        <f>"10"</f>
        <v>10</v>
      </c>
      <c r="AN2625" t="str">
        <f>"500000"</f>
        <v>500000</v>
      </c>
      <c r="AO2625" t="str">
        <f>"הכנסות  מלקוחות"</f>
        <v>הכנסות  מלקוחות</v>
      </c>
      <c r="AQ2625" t="str">
        <f>"040"</f>
        <v>040</v>
      </c>
      <c r="AR2625">
        <v>0</v>
      </c>
      <c r="AS2625">
        <v>0</v>
      </c>
      <c r="AT2625">
        <v>3.2589999999999999</v>
      </c>
      <c r="AX2625" t="str">
        <f>"E000332301"</f>
        <v>E000332301</v>
      </c>
      <c r="BD2625" t="str">
        <f>"רחמים זרוק"</f>
        <v>רחמים זרוק</v>
      </c>
    </row>
    <row r="2626" spans="1:56" x14ac:dyDescent="0.3">
      <c r="A2626" s="1">
        <v>44334</v>
      </c>
      <c r="B2626" t="str">
        <f>"SI216000756"</f>
        <v>SI216000756</v>
      </c>
      <c r="C2626" t="str">
        <f>"PR21000106"</f>
        <v>PR21000106</v>
      </c>
      <c r="E2626" t="str">
        <f>"Y"</f>
        <v>Y</v>
      </c>
      <c r="F2626" t="str">
        <f>"חשבוניות מרכזות"</f>
        <v>חשבוניות מרכזות</v>
      </c>
      <c r="G2626" t="str">
        <f>"700065"</f>
        <v>700065</v>
      </c>
      <c r="H2626" t="str">
        <f>"אלתא מערכות בע""מ"</f>
        <v>אלתא מערכות בע"מ</v>
      </c>
      <c r="I2626" t="str">
        <f>"10"</f>
        <v>10</v>
      </c>
      <c r="J2626" t="str">
        <f>"OP-AR02262"</f>
        <v>OP-AR02262</v>
      </c>
      <c r="K2626" t="str">
        <f>"1038C462-001   WG462 - P.S TO BUSBAR GROUN"</f>
        <v>1038C462-001   WG462 - P.S TO BUSBAR GROUN</v>
      </c>
      <c r="L2626">
        <v>24</v>
      </c>
      <c r="M2626" t="str">
        <f>"יח"</f>
        <v>יח</v>
      </c>
      <c r="N2626">
        <v>24</v>
      </c>
      <c r="O2626" t="str">
        <f>"יח"</f>
        <v>יח</v>
      </c>
      <c r="P2626">
        <v>100.79</v>
      </c>
      <c r="Q2626" t="str">
        <f>"$"</f>
        <v>$</v>
      </c>
      <c r="R2626" t="str">
        <f>"הזמנה"</f>
        <v>הזמנה</v>
      </c>
      <c r="S2626">
        <v>0</v>
      </c>
      <c r="T2626" s="2">
        <v>2418.96</v>
      </c>
      <c r="U2626">
        <v>0</v>
      </c>
      <c r="V2626" s="2">
        <v>2418.96</v>
      </c>
      <c r="W2626" t="str">
        <f>"$"</f>
        <v>$</v>
      </c>
      <c r="X2626">
        <v>0</v>
      </c>
      <c r="Y2626">
        <v>0</v>
      </c>
      <c r="Z2626">
        <v>0</v>
      </c>
      <c r="AA2626" t="str">
        <f>"Y"</f>
        <v>Y</v>
      </c>
      <c r="AB2626" t="str">
        <f>"SO21000050"</f>
        <v>SO21000050</v>
      </c>
      <c r="AC2626">
        <v>2</v>
      </c>
      <c r="AD2626" s="1">
        <v>44222</v>
      </c>
      <c r="AE2626" t="str">
        <f>"SH21000761"</f>
        <v>SH21000761</v>
      </c>
      <c r="AF2626" t="str">
        <f>"משלוחים ללקוח"</f>
        <v>משלוחים ללקוח</v>
      </c>
      <c r="AG2626" s="1">
        <v>44334</v>
      </c>
      <c r="AM2626" t="str">
        <f>"10"</f>
        <v>10</v>
      </c>
      <c r="AN2626" t="str">
        <f>"500000"</f>
        <v>500000</v>
      </c>
      <c r="AO2626" t="str">
        <f>"הכנסות  מלקוחות"</f>
        <v>הכנסות  מלקוחות</v>
      </c>
      <c r="AQ2626" t="str">
        <f>"034"</f>
        <v>034</v>
      </c>
      <c r="AR2626">
        <v>0</v>
      </c>
      <c r="AS2626">
        <v>0</v>
      </c>
      <c r="AT2626">
        <v>3.2730000000000001</v>
      </c>
      <c r="AX2626" t="str">
        <f>"E000331244"</f>
        <v>E000331244</v>
      </c>
      <c r="BD2626" t="str">
        <f>"ערן שלו"</f>
        <v>ערן שלו</v>
      </c>
    </row>
    <row r="2627" spans="1:56" x14ac:dyDescent="0.3">
      <c r="A2627" s="1">
        <v>44334</v>
      </c>
      <c r="B2627" t="str">
        <f>"SI216000756"</f>
        <v>SI216000756</v>
      </c>
      <c r="C2627" t="str">
        <f>"PR21000106"</f>
        <v>PR21000106</v>
      </c>
      <c r="E2627" t="str">
        <f>"Y"</f>
        <v>Y</v>
      </c>
      <c r="F2627" t="str">
        <f>"חשבוניות מרכזות"</f>
        <v>חשבוניות מרכזות</v>
      </c>
      <c r="G2627" t="str">
        <f>"700065"</f>
        <v>700065</v>
      </c>
      <c r="H2627" t="str">
        <f>"אלתא מערכות בע""מ"</f>
        <v>אלתא מערכות בע"מ</v>
      </c>
      <c r="I2627" t="str">
        <f>"10"</f>
        <v>10</v>
      </c>
      <c r="J2627" t="str">
        <f>"OP-AR02263"</f>
        <v>OP-AR02263</v>
      </c>
      <c r="K2627" t="str">
        <f>"1038C463-001   WG463 - P.S TO BUSBAR GROUN"</f>
        <v>1038C463-001   WG463 - P.S TO BUSBAR GROUN</v>
      </c>
      <c r="L2627">
        <v>24</v>
      </c>
      <c r="M2627" t="str">
        <f>"יח"</f>
        <v>יח</v>
      </c>
      <c r="N2627">
        <v>24</v>
      </c>
      <c r="O2627" t="str">
        <f>"יח"</f>
        <v>יח</v>
      </c>
      <c r="P2627">
        <v>114.61</v>
      </c>
      <c r="Q2627" t="str">
        <f>"$"</f>
        <v>$</v>
      </c>
      <c r="R2627" t="str">
        <f>"הזמנה"</f>
        <v>הזמנה</v>
      </c>
      <c r="S2627">
        <v>0</v>
      </c>
      <c r="T2627" s="2">
        <v>2750.64</v>
      </c>
      <c r="U2627">
        <v>0</v>
      </c>
      <c r="V2627" s="2">
        <v>2750.64</v>
      </c>
      <c r="W2627" t="str">
        <f>"$"</f>
        <v>$</v>
      </c>
      <c r="X2627">
        <v>0</v>
      </c>
      <c r="Y2627">
        <v>0</v>
      </c>
      <c r="Z2627">
        <v>0</v>
      </c>
      <c r="AA2627" t="str">
        <f>"Y"</f>
        <v>Y</v>
      </c>
      <c r="AB2627" t="str">
        <f>"SO21000050"</f>
        <v>SO21000050</v>
      </c>
      <c r="AC2627">
        <v>3</v>
      </c>
      <c r="AD2627" s="1">
        <v>44222</v>
      </c>
      <c r="AE2627" t="str">
        <f>"SH21000761"</f>
        <v>SH21000761</v>
      </c>
      <c r="AF2627" t="str">
        <f>"משלוחים ללקוח"</f>
        <v>משלוחים ללקוח</v>
      </c>
      <c r="AG2627" s="1">
        <v>44334</v>
      </c>
      <c r="AM2627" t="str">
        <f>"10"</f>
        <v>10</v>
      </c>
      <c r="AN2627" t="str">
        <f>"500000"</f>
        <v>500000</v>
      </c>
      <c r="AO2627" t="str">
        <f>"הכנסות  מלקוחות"</f>
        <v>הכנסות  מלקוחות</v>
      </c>
      <c r="AQ2627" t="str">
        <f>"034"</f>
        <v>034</v>
      </c>
      <c r="AR2627">
        <v>0</v>
      </c>
      <c r="AS2627">
        <v>0</v>
      </c>
      <c r="AT2627">
        <v>3.2730000000000001</v>
      </c>
      <c r="AX2627" t="str">
        <f>"E000331244"</f>
        <v>E000331244</v>
      </c>
      <c r="BD2627" t="str">
        <f>"ערן שלו"</f>
        <v>ערן שלו</v>
      </c>
    </row>
    <row r="2628" spans="1:56" x14ac:dyDescent="0.3">
      <c r="A2628" s="1">
        <v>44334</v>
      </c>
      <c r="B2628" t="str">
        <f>"SI216000755"</f>
        <v>SI216000755</v>
      </c>
      <c r="C2628" t="str">
        <f>"PR21000123"</f>
        <v>PR21000123</v>
      </c>
      <c r="E2628" t="str">
        <f>"Y"</f>
        <v>Y</v>
      </c>
      <c r="F2628" t="str">
        <f>"חשבוניות מרכזות"</f>
        <v>חשבוניות מרכזות</v>
      </c>
      <c r="G2628" t="str">
        <f>"700065"</f>
        <v>700065</v>
      </c>
      <c r="H2628" t="str">
        <f>"אלתא מערכות בע""מ"</f>
        <v>אלתא מערכות בע"מ</v>
      </c>
      <c r="I2628" t="str">
        <f>"10"</f>
        <v>10</v>
      </c>
      <c r="J2628" t="str">
        <f>"OP-AR02256"</f>
        <v>OP-AR02256</v>
      </c>
      <c r="K2628" t="str">
        <f>"4040K732-001  HARNESS WK732 - KEY LOADER"</f>
        <v>4040K732-001  HARNESS WK732 - KEY LOADER</v>
      </c>
      <c r="L2628">
        <v>4</v>
      </c>
      <c r="M2628" t="str">
        <f>"יח"</f>
        <v>יח</v>
      </c>
      <c r="N2628">
        <v>4</v>
      </c>
      <c r="O2628" t="str">
        <f>"יח"</f>
        <v>יח</v>
      </c>
      <c r="P2628">
        <v>415.97</v>
      </c>
      <c r="Q2628" t="str">
        <f>"$"</f>
        <v>$</v>
      </c>
      <c r="R2628" t="str">
        <f>"הזמנה"</f>
        <v>הזמנה</v>
      </c>
      <c r="S2628">
        <v>0</v>
      </c>
      <c r="T2628" s="2">
        <v>1663.88</v>
      </c>
      <c r="U2628">
        <v>0</v>
      </c>
      <c r="V2628" s="2">
        <v>1663.88</v>
      </c>
      <c r="W2628" t="str">
        <f>"$"</f>
        <v>$</v>
      </c>
      <c r="X2628">
        <v>0</v>
      </c>
      <c r="Y2628">
        <v>0</v>
      </c>
      <c r="Z2628">
        <v>0</v>
      </c>
      <c r="AA2628" t="str">
        <f>"Y"</f>
        <v>Y</v>
      </c>
      <c r="AB2628" t="str">
        <f>"SO21000061"</f>
        <v>SO21000061</v>
      </c>
      <c r="AC2628">
        <v>1</v>
      </c>
      <c r="AD2628" s="1">
        <v>44231</v>
      </c>
      <c r="AE2628" t="str">
        <f>"SH21000760"</f>
        <v>SH21000760</v>
      </c>
      <c r="AF2628" t="str">
        <f>"משלוחים ללקוח"</f>
        <v>משלוחים ללקוח</v>
      </c>
      <c r="AG2628" s="1">
        <v>44334</v>
      </c>
      <c r="AM2628" t="str">
        <f>"10"</f>
        <v>10</v>
      </c>
      <c r="AN2628" t="str">
        <f>"500000"</f>
        <v>500000</v>
      </c>
      <c r="AO2628" t="str">
        <f>"הכנסות  מלקוחות"</f>
        <v>הכנסות  מלקוחות</v>
      </c>
      <c r="AQ2628" t="str">
        <f>"034"</f>
        <v>034</v>
      </c>
      <c r="AR2628">
        <v>0</v>
      </c>
      <c r="AS2628">
        <v>0</v>
      </c>
      <c r="AT2628">
        <v>3.2730000000000001</v>
      </c>
      <c r="AX2628" t="str">
        <f>"E000331977"</f>
        <v>E000331977</v>
      </c>
      <c r="BD2628" t="str">
        <f>"ערן שלו"</f>
        <v>ערן שלו</v>
      </c>
    </row>
    <row r="2629" spans="1:56" x14ac:dyDescent="0.3">
      <c r="A2629" s="1">
        <v>44334</v>
      </c>
      <c r="B2629" t="str">
        <f>"SI216000754"</f>
        <v>SI216000754</v>
      </c>
      <c r="C2629" t="str">
        <f>"PR20000788"</f>
        <v>PR20000788</v>
      </c>
      <c r="E2629" t="str">
        <f>"Y"</f>
        <v>Y</v>
      </c>
      <c r="F2629" t="str">
        <f>"חשבוניות מרכזות"</f>
        <v>חשבוניות מרכזות</v>
      </c>
      <c r="G2629" t="str">
        <f>"700065"</f>
        <v>700065</v>
      </c>
      <c r="H2629" t="str">
        <f>"אלתא מערכות בע""מ"</f>
        <v>אלתא מערכות בע"מ</v>
      </c>
      <c r="I2629" t="str">
        <f>"10"</f>
        <v>10</v>
      </c>
      <c r="J2629" t="str">
        <f>"OP-AR02071"</f>
        <v>OP-AR02071</v>
      </c>
      <c r="K2629" t="str">
        <f>"1031B011-001/-  W011 - PDB TO MSGU"</f>
        <v>1031B011-001/-  W011 - PDB TO MSGU</v>
      </c>
      <c r="L2629">
        <v>1</v>
      </c>
      <c r="M2629" t="str">
        <f>"יח"</f>
        <v>יח</v>
      </c>
      <c r="N2629">
        <v>1</v>
      </c>
      <c r="O2629" t="str">
        <f>"יח"</f>
        <v>יח</v>
      </c>
      <c r="P2629" s="2">
        <v>1030.8800000000001</v>
      </c>
      <c r="Q2629" t="str">
        <f>"$"</f>
        <v>$</v>
      </c>
      <c r="R2629" t="str">
        <f>"הזמנה"</f>
        <v>הזמנה</v>
      </c>
      <c r="S2629">
        <v>0</v>
      </c>
      <c r="T2629" s="2">
        <v>1030.8800000000001</v>
      </c>
      <c r="U2629">
        <v>2</v>
      </c>
      <c r="V2629" s="2">
        <v>1010.26</v>
      </c>
      <c r="W2629" t="str">
        <f>"$"</f>
        <v>$</v>
      </c>
      <c r="X2629">
        <v>0</v>
      </c>
      <c r="Y2629">
        <v>0</v>
      </c>
      <c r="Z2629">
        <v>0</v>
      </c>
      <c r="AA2629" t="str">
        <f>"Y"</f>
        <v>Y</v>
      </c>
      <c r="AC2629">
        <v>0</v>
      </c>
      <c r="AM2629" t="str">
        <f>"10"</f>
        <v>10</v>
      </c>
      <c r="AN2629" t="str">
        <f>"500000"</f>
        <v>500000</v>
      </c>
      <c r="AO2629" t="str">
        <f>"הכנסות  מלקוחות"</f>
        <v>הכנסות  מלקוחות</v>
      </c>
      <c r="AQ2629" t="str">
        <f>"034"</f>
        <v>034</v>
      </c>
      <c r="AR2629">
        <v>0</v>
      </c>
      <c r="AS2629">
        <v>0</v>
      </c>
      <c r="AT2629">
        <v>3.2730000000000001</v>
      </c>
      <c r="BB2629" t="str">
        <f>"Y"</f>
        <v>Y</v>
      </c>
      <c r="BD2629" t="str">
        <f>"ערן שלו"</f>
        <v>ערן שלו</v>
      </c>
    </row>
    <row r="2630" spans="1:56" x14ac:dyDescent="0.3">
      <c r="A2630" s="1">
        <v>44334</v>
      </c>
      <c r="B2630" t="str">
        <f>"SI216000754"</f>
        <v>SI216000754</v>
      </c>
      <c r="C2630" t="str">
        <f>"PR20000788"</f>
        <v>PR20000788</v>
      </c>
      <c r="E2630" t="str">
        <f>"Y"</f>
        <v>Y</v>
      </c>
      <c r="F2630" t="str">
        <f>"חשבוניות מרכזות"</f>
        <v>חשבוניות מרכזות</v>
      </c>
      <c r="G2630" t="str">
        <f>"700065"</f>
        <v>700065</v>
      </c>
      <c r="H2630" t="str">
        <f>"אלתא מערכות בע""מ"</f>
        <v>אלתא מערכות בע"מ</v>
      </c>
      <c r="I2630" t="str">
        <f>"10"</f>
        <v>10</v>
      </c>
      <c r="J2630" t="str">
        <f>"OP-AR02072"</f>
        <v>OP-AR02072</v>
      </c>
      <c r="K2630" t="str">
        <f>"1031B019-001/-   HARNESS W0019"</f>
        <v>1031B019-001/-   HARNESS W0019</v>
      </c>
      <c r="L2630">
        <v>1</v>
      </c>
      <c r="M2630" t="str">
        <f>"יח"</f>
        <v>יח</v>
      </c>
      <c r="N2630">
        <v>1</v>
      </c>
      <c r="O2630" t="str">
        <f>"יח"</f>
        <v>יח</v>
      </c>
      <c r="P2630" s="2">
        <v>1329.48</v>
      </c>
      <c r="Q2630" t="str">
        <f>"$"</f>
        <v>$</v>
      </c>
      <c r="R2630" t="str">
        <f>"הזמנה"</f>
        <v>הזמנה</v>
      </c>
      <c r="S2630">
        <v>0</v>
      </c>
      <c r="T2630" s="2">
        <v>1329.48</v>
      </c>
      <c r="U2630">
        <v>2</v>
      </c>
      <c r="V2630" s="2">
        <v>1302.8900000000001</v>
      </c>
      <c r="W2630" t="str">
        <f>"$"</f>
        <v>$</v>
      </c>
      <c r="X2630">
        <v>0</v>
      </c>
      <c r="Y2630">
        <v>0</v>
      </c>
      <c r="Z2630">
        <v>0</v>
      </c>
      <c r="AA2630" t="str">
        <f>"Y"</f>
        <v>Y</v>
      </c>
      <c r="AC2630">
        <v>0</v>
      </c>
      <c r="AM2630" t="str">
        <f>"10"</f>
        <v>10</v>
      </c>
      <c r="AN2630" t="str">
        <f>"500000"</f>
        <v>500000</v>
      </c>
      <c r="AO2630" t="str">
        <f>"הכנסות  מלקוחות"</f>
        <v>הכנסות  מלקוחות</v>
      </c>
      <c r="AQ2630" t="str">
        <f>"034"</f>
        <v>034</v>
      </c>
      <c r="AR2630">
        <v>0</v>
      </c>
      <c r="AS2630">
        <v>0</v>
      </c>
      <c r="AT2630">
        <v>3.2730000000000001</v>
      </c>
      <c r="BB2630" t="str">
        <f>"Y"</f>
        <v>Y</v>
      </c>
      <c r="BD2630" t="str">
        <f>"ערן שלו"</f>
        <v>ערן שלו</v>
      </c>
    </row>
    <row r="2631" spans="1:56" x14ac:dyDescent="0.3">
      <c r="A2631" s="1">
        <v>44334</v>
      </c>
      <c r="B2631" t="str">
        <f>"SI216000753"</f>
        <v>SI216000753</v>
      </c>
      <c r="C2631" t="str">
        <f>"PR21000102"</f>
        <v>PR21000102</v>
      </c>
      <c r="D2631" t="str">
        <f>"PR21000102"</f>
        <v>PR21000102</v>
      </c>
      <c r="E2631" t="str">
        <f>"Y"</f>
        <v>Y</v>
      </c>
      <c r="F2631" t="str">
        <f>"חשבוניות מרכזות"</f>
        <v>חשבוניות מרכזות</v>
      </c>
      <c r="G2631" t="str">
        <f>"700065"</f>
        <v>700065</v>
      </c>
      <c r="H2631" t="str">
        <f>"אלתא מערכות בע""מ"</f>
        <v>אלתא מערכות בע"מ</v>
      </c>
      <c r="I2631" t="str">
        <f>"10"</f>
        <v>10</v>
      </c>
      <c r="J2631" t="str">
        <f>"OP-AR02264"</f>
        <v>OP-AR02264</v>
      </c>
      <c r="K2631" t="str">
        <f>"1038N504-001   W3:DC POWER REC. TO AZ AND EL"</f>
        <v>1038N504-001   W3:DC POWER REC. TO AZ AND EL</v>
      </c>
      <c r="L2631">
        <v>1</v>
      </c>
      <c r="M2631" t="str">
        <f>"יח"</f>
        <v>יח</v>
      </c>
      <c r="N2631">
        <v>1</v>
      </c>
      <c r="O2631" t="str">
        <f>"יח"</f>
        <v>יח</v>
      </c>
      <c r="P2631">
        <v>451.31</v>
      </c>
      <c r="Q2631" t="str">
        <f>"$"</f>
        <v>$</v>
      </c>
      <c r="R2631" t="str">
        <f>"הזמנה"</f>
        <v>הזמנה</v>
      </c>
      <c r="S2631">
        <v>0</v>
      </c>
      <c r="T2631">
        <v>451.31</v>
      </c>
      <c r="U2631">
        <v>0</v>
      </c>
      <c r="V2631">
        <v>451.31</v>
      </c>
      <c r="W2631" t="str">
        <f>"$"</f>
        <v>$</v>
      </c>
      <c r="X2631">
        <v>0</v>
      </c>
      <c r="Y2631">
        <v>0</v>
      </c>
      <c r="Z2631">
        <v>0</v>
      </c>
      <c r="AA2631" t="str">
        <f>"Y"</f>
        <v>Y</v>
      </c>
      <c r="AB2631" t="str">
        <f>"SO21000049"</f>
        <v>SO21000049</v>
      </c>
      <c r="AC2631">
        <v>2</v>
      </c>
      <c r="AD2631" s="1">
        <v>44222</v>
      </c>
      <c r="AE2631" t="str">
        <f>"SH21000757"</f>
        <v>SH21000757</v>
      </c>
      <c r="AF2631" t="str">
        <f>"משלוחים ללקוח"</f>
        <v>משלוחים ללקוח</v>
      </c>
      <c r="AG2631" s="1">
        <v>44334</v>
      </c>
      <c r="AM2631" t="str">
        <f>"10"</f>
        <v>10</v>
      </c>
      <c r="AN2631" t="str">
        <f>"500000"</f>
        <v>500000</v>
      </c>
      <c r="AO2631" t="str">
        <f>"הכנסות  מלקוחות"</f>
        <v>הכנסות  מלקוחות</v>
      </c>
      <c r="AQ2631" t="str">
        <f>"034"</f>
        <v>034</v>
      </c>
      <c r="AR2631">
        <v>0</v>
      </c>
      <c r="AS2631">
        <v>0</v>
      </c>
      <c r="AT2631">
        <v>3.2730000000000001</v>
      </c>
      <c r="AX2631" t="str">
        <f>"E000330704"</f>
        <v>E000330704</v>
      </c>
      <c r="BD2631" t="str">
        <f>"ערן שלו"</f>
        <v>ערן שלו</v>
      </c>
    </row>
    <row r="2632" spans="1:56" x14ac:dyDescent="0.3">
      <c r="A2632" s="1">
        <v>44334</v>
      </c>
      <c r="B2632" t="str">
        <f>"SI216000753"</f>
        <v>SI216000753</v>
      </c>
      <c r="C2632" t="str">
        <f>"PR21000102"</f>
        <v>PR21000102</v>
      </c>
      <c r="D2632" t="str">
        <f>"PR21000102"</f>
        <v>PR21000102</v>
      </c>
      <c r="E2632" t="str">
        <f>"Y"</f>
        <v>Y</v>
      </c>
      <c r="F2632" t="str">
        <f>"חשבוניות מרכזות"</f>
        <v>חשבוניות מרכזות</v>
      </c>
      <c r="G2632" t="str">
        <f>"700065"</f>
        <v>700065</v>
      </c>
      <c r="H2632" t="str">
        <f>"אלתא מערכות בע""מ"</f>
        <v>אלתא מערכות בע"מ</v>
      </c>
      <c r="I2632" t="str">
        <f>"10"</f>
        <v>10</v>
      </c>
      <c r="J2632" t="str">
        <f>"OP-AR02264"</f>
        <v>OP-AR02264</v>
      </c>
      <c r="K2632" t="str">
        <f>"1038N504-001   W3:DC POWER REC. TO AZ AND EL"</f>
        <v>1038N504-001   W3:DC POWER REC. TO AZ AND EL</v>
      </c>
      <c r="L2632">
        <v>1</v>
      </c>
      <c r="M2632" t="str">
        <f>"יח"</f>
        <v>יח</v>
      </c>
      <c r="N2632">
        <v>1</v>
      </c>
      <c r="O2632" t="str">
        <f>"יח"</f>
        <v>יח</v>
      </c>
      <c r="P2632">
        <v>451.31</v>
      </c>
      <c r="Q2632" t="str">
        <f>"$"</f>
        <v>$</v>
      </c>
      <c r="R2632" t="str">
        <f>"הזמנה"</f>
        <v>הזמנה</v>
      </c>
      <c r="S2632">
        <v>0</v>
      </c>
      <c r="T2632">
        <v>451.31</v>
      </c>
      <c r="U2632">
        <v>0</v>
      </c>
      <c r="V2632">
        <v>451.31</v>
      </c>
      <c r="W2632" t="str">
        <f>"$"</f>
        <v>$</v>
      </c>
      <c r="X2632">
        <v>0</v>
      </c>
      <c r="Y2632">
        <v>0</v>
      </c>
      <c r="Z2632">
        <v>0</v>
      </c>
      <c r="AA2632" t="str">
        <f>"Y"</f>
        <v>Y</v>
      </c>
      <c r="AB2632" t="str">
        <f>"SO21000049"</f>
        <v>SO21000049</v>
      </c>
      <c r="AC2632">
        <v>3</v>
      </c>
      <c r="AD2632" s="1">
        <v>44222</v>
      </c>
      <c r="AE2632" t="str">
        <f>"SH21000757"</f>
        <v>SH21000757</v>
      </c>
      <c r="AF2632" t="str">
        <f>"משלוחים ללקוח"</f>
        <v>משלוחים ללקוח</v>
      </c>
      <c r="AG2632" s="1">
        <v>44334</v>
      </c>
      <c r="AM2632" t="str">
        <f>"10"</f>
        <v>10</v>
      </c>
      <c r="AN2632" t="str">
        <f>"500000"</f>
        <v>500000</v>
      </c>
      <c r="AO2632" t="str">
        <f>"הכנסות  מלקוחות"</f>
        <v>הכנסות  מלקוחות</v>
      </c>
      <c r="AQ2632" t="str">
        <f>"034"</f>
        <v>034</v>
      </c>
      <c r="AR2632">
        <v>0</v>
      </c>
      <c r="AS2632">
        <v>0</v>
      </c>
      <c r="AT2632">
        <v>3.2730000000000001</v>
      </c>
      <c r="AX2632" t="str">
        <f>"E000330704"</f>
        <v>E000330704</v>
      </c>
      <c r="BD2632" t="str">
        <f>"ערן שלו"</f>
        <v>ערן שלו</v>
      </c>
    </row>
    <row r="2633" spans="1:56" x14ac:dyDescent="0.3">
      <c r="A2633" s="1">
        <v>44334</v>
      </c>
      <c r="B2633" t="str">
        <f>"SI216000752"</f>
        <v>SI216000752</v>
      </c>
      <c r="C2633" t="str">
        <f>"PR20000891"</f>
        <v>PR20000891</v>
      </c>
      <c r="E2633" t="str">
        <f>"Y"</f>
        <v>Y</v>
      </c>
      <c r="F2633" t="str">
        <f>"חשבוניות מרכזות"</f>
        <v>חשבוניות מרכזות</v>
      </c>
      <c r="G2633" t="str">
        <f>"700065"</f>
        <v>700065</v>
      </c>
      <c r="H2633" t="str">
        <f>"אלתא מערכות בע""מ"</f>
        <v>אלתא מערכות בע"מ</v>
      </c>
      <c r="I2633" t="str">
        <f>"10"</f>
        <v>10</v>
      </c>
      <c r="J2633" t="str">
        <f>"OP-AR02204"</f>
        <v>OP-AR02204</v>
      </c>
      <c r="K2633" t="str">
        <f>"1034E877-001   HARNESS W877 - MAINTENANCE BURN"</f>
        <v>1034E877-001   HARNESS W877 - MAINTENANCE BURN</v>
      </c>
      <c r="L2633">
        <v>6</v>
      </c>
      <c r="M2633" t="str">
        <f>"יח"</f>
        <v>יח</v>
      </c>
      <c r="N2633">
        <v>6</v>
      </c>
      <c r="O2633" t="str">
        <f>"יח"</f>
        <v>יח</v>
      </c>
      <c r="P2633">
        <v>328.19</v>
      </c>
      <c r="Q2633" t="str">
        <f>"$"</f>
        <v>$</v>
      </c>
      <c r="R2633" t="str">
        <f>"הזמנה"</f>
        <v>הזמנה</v>
      </c>
      <c r="S2633">
        <v>0</v>
      </c>
      <c r="T2633" s="2">
        <v>1969.14</v>
      </c>
      <c r="U2633">
        <v>0</v>
      </c>
      <c r="V2633" s="2">
        <v>1969.14</v>
      </c>
      <c r="W2633" t="str">
        <f>"$"</f>
        <v>$</v>
      </c>
      <c r="X2633">
        <v>0</v>
      </c>
      <c r="Y2633">
        <v>0</v>
      </c>
      <c r="Z2633">
        <v>0</v>
      </c>
      <c r="AA2633" t="str">
        <f>"Y"</f>
        <v>Y</v>
      </c>
      <c r="AB2633" t="str">
        <f>"SO20000600"</f>
        <v>SO20000600</v>
      </c>
      <c r="AC2633">
        <v>2</v>
      </c>
      <c r="AD2633" s="1">
        <v>44185</v>
      </c>
      <c r="AE2633" t="str">
        <f>"SH21000756"</f>
        <v>SH21000756</v>
      </c>
      <c r="AF2633" t="str">
        <f>"משלוחים ללקוח"</f>
        <v>משלוחים ללקוח</v>
      </c>
      <c r="AG2633" s="1">
        <v>44334</v>
      </c>
      <c r="AM2633" t="str">
        <f>"10"</f>
        <v>10</v>
      </c>
      <c r="AN2633" t="str">
        <f>"500000"</f>
        <v>500000</v>
      </c>
      <c r="AO2633" t="str">
        <f>"הכנסות  מלקוחות"</f>
        <v>הכנסות  מלקוחות</v>
      </c>
      <c r="AQ2633" t="str">
        <f>"034"</f>
        <v>034</v>
      </c>
      <c r="AR2633">
        <v>0</v>
      </c>
      <c r="AS2633">
        <v>0</v>
      </c>
      <c r="AT2633">
        <v>3.2730000000000001</v>
      </c>
      <c r="AX2633" t="str">
        <f>"E000328464"</f>
        <v>E000328464</v>
      </c>
      <c r="BD2633" t="str">
        <f>"ערן שלו"</f>
        <v>ערן שלו</v>
      </c>
    </row>
    <row r="2634" spans="1:56" x14ac:dyDescent="0.3">
      <c r="A2634" s="1">
        <v>44334</v>
      </c>
      <c r="B2634" t="str">
        <f>"SI216000751"</f>
        <v>SI216000751</v>
      </c>
      <c r="C2634" t="str">
        <f>"PR20000828"</f>
        <v>PR20000828</v>
      </c>
      <c r="D2634" t="str">
        <f>"PR20000828"</f>
        <v>PR20000828</v>
      </c>
      <c r="E2634" t="str">
        <f>"Y"</f>
        <v>Y</v>
      </c>
      <c r="F2634" t="str">
        <f>"חשבוניות מרכזות"</f>
        <v>חשבוניות מרכזות</v>
      </c>
      <c r="G2634" t="str">
        <f>"700065"</f>
        <v>700065</v>
      </c>
      <c r="H2634" t="str">
        <f>"אלתא מערכות בע""מ"</f>
        <v>אלתא מערכות בע"מ</v>
      </c>
      <c r="I2634" t="str">
        <f>"10"</f>
        <v>10</v>
      </c>
      <c r="J2634" t="str">
        <f>"OP-AR02140"</f>
        <v>OP-AR02140</v>
      </c>
      <c r="K2634" t="str">
        <f>"1036U414-001/-   WP414 - POWER 320VDC PEDESTAL T"</f>
        <v>1036U414-001/-   WP414 - POWER 320VDC PEDESTAL T</v>
      </c>
      <c r="L2634">
        <v>14</v>
      </c>
      <c r="M2634" t="str">
        <f>"יח"</f>
        <v>יח</v>
      </c>
      <c r="N2634">
        <v>14</v>
      </c>
      <c r="O2634" t="str">
        <f>"יח"</f>
        <v>יח</v>
      </c>
      <c r="P2634">
        <v>641.83000000000004</v>
      </c>
      <c r="Q2634" t="str">
        <f>"$"</f>
        <v>$</v>
      </c>
      <c r="R2634" t="str">
        <f>"הזמנה"</f>
        <v>הזמנה</v>
      </c>
      <c r="S2634">
        <v>0</v>
      </c>
      <c r="T2634" s="2">
        <v>8985.6200000000008</v>
      </c>
      <c r="U2634">
        <v>2.2999999999999998</v>
      </c>
      <c r="V2634" s="2">
        <v>8778.9500000000007</v>
      </c>
      <c r="W2634" t="str">
        <f>"$"</f>
        <v>$</v>
      </c>
      <c r="X2634">
        <v>0</v>
      </c>
      <c r="Y2634">
        <v>0</v>
      </c>
      <c r="Z2634">
        <v>0</v>
      </c>
      <c r="AA2634" t="str">
        <f>"Y"</f>
        <v>Y</v>
      </c>
      <c r="AB2634" t="str">
        <f>"SO20000546"</f>
        <v>SO20000546</v>
      </c>
      <c r="AC2634">
        <v>5</v>
      </c>
      <c r="AD2634" s="1">
        <v>44160</v>
      </c>
      <c r="AE2634" t="str">
        <f>"SH21000755"</f>
        <v>SH21000755</v>
      </c>
      <c r="AF2634" t="str">
        <f>"משלוחים ללקוח"</f>
        <v>משלוחים ללקוח</v>
      </c>
      <c r="AG2634" s="1">
        <v>44334</v>
      </c>
      <c r="AM2634" t="str">
        <f>"10"</f>
        <v>10</v>
      </c>
      <c r="AN2634" t="str">
        <f>"500000"</f>
        <v>500000</v>
      </c>
      <c r="AO2634" t="str">
        <f>"הכנסות  מלקוחות"</f>
        <v>הכנסות  מלקוחות</v>
      </c>
      <c r="AQ2634" t="str">
        <f>"034"</f>
        <v>034</v>
      </c>
      <c r="AR2634">
        <v>0</v>
      </c>
      <c r="AS2634">
        <v>0</v>
      </c>
      <c r="AT2634">
        <v>3.2730000000000001</v>
      </c>
      <c r="AX2634" t="str">
        <f>"E000326044"</f>
        <v>E000326044</v>
      </c>
      <c r="BD2634" t="str">
        <f>"ערן שלו"</f>
        <v>ערן שלו</v>
      </c>
    </row>
    <row r="2635" spans="1:56" x14ac:dyDescent="0.3">
      <c r="A2635" s="1">
        <v>44334</v>
      </c>
      <c r="B2635" t="str">
        <f>"SI216000750"</f>
        <v>SI216000750</v>
      </c>
      <c r="C2635" t="str">
        <f>"PR20000654"</f>
        <v>PR20000654</v>
      </c>
      <c r="E2635" t="str">
        <f>"Y"</f>
        <v>Y</v>
      </c>
      <c r="F2635" t="str">
        <f>"חשבוניות מרכזות"</f>
        <v>חשבוניות מרכזות</v>
      </c>
      <c r="G2635" t="str">
        <f>"700065"</f>
        <v>700065</v>
      </c>
      <c r="H2635" t="str">
        <f>"אלתא מערכות בע""מ"</f>
        <v>אלתא מערכות בע"מ</v>
      </c>
      <c r="I2635" t="str">
        <f>"10"</f>
        <v>10</v>
      </c>
      <c r="J2635" t="str">
        <f>"OP-AR02042"</f>
        <v>OP-AR02042</v>
      </c>
      <c r="K2635" t="str">
        <f>"PDB2  1038C870-001"</f>
        <v>PDB2  1038C870-001</v>
      </c>
      <c r="L2635">
        <v>1</v>
      </c>
      <c r="M2635" t="str">
        <f>"יח"</f>
        <v>יח</v>
      </c>
      <c r="N2635">
        <v>1</v>
      </c>
      <c r="O2635" t="str">
        <f>"יח"</f>
        <v>יח</v>
      </c>
      <c r="P2635" s="2">
        <v>26985</v>
      </c>
      <c r="Q2635" t="str">
        <f>"$"</f>
        <v>$</v>
      </c>
      <c r="R2635" t="str">
        <f>"הזמנה"</f>
        <v>הזמנה</v>
      </c>
      <c r="S2635">
        <v>0</v>
      </c>
      <c r="T2635" s="2">
        <v>26985</v>
      </c>
      <c r="U2635">
        <v>0</v>
      </c>
      <c r="V2635" s="2">
        <v>26985</v>
      </c>
      <c r="W2635" t="str">
        <f>"$"</f>
        <v>$</v>
      </c>
      <c r="X2635">
        <v>0</v>
      </c>
      <c r="Y2635">
        <v>0</v>
      </c>
      <c r="Z2635">
        <v>0</v>
      </c>
      <c r="AA2635" t="str">
        <f>"Y"</f>
        <v>Y</v>
      </c>
      <c r="AB2635" t="str">
        <f>"SO20000418"</f>
        <v>SO20000418</v>
      </c>
      <c r="AC2635">
        <v>27</v>
      </c>
      <c r="AD2635" s="1">
        <v>44083</v>
      </c>
      <c r="AE2635" t="str">
        <f>"SH21000753"</f>
        <v>SH21000753</v>
      </c>
      <c r="AF2635" t="str">
        <f>"משלוחים ללקוח"</f>
        <v>משלוחים ללקוח</v>
      </c>
      <c r="AG2635" s="1">
        <v>44334</v>
      </c>
      <c r="AM2635" t="str">
        <f>"10"</f>
        <v>10</v>
      </c>
      <c r="AN2635" t="str">
        <f>"500000"</f>
        <v>500000</v>
      </c>
      <c r="AO2635" t="str">
        <f>"הכנסות  מלקוחות"</f>
        <v>הכנסות  מלקוחות</v>
      </c>
      <c r="AQ2635" t="str">
        <f>"034"</f>
        <v>034</v>
      </c>
      <c r="AR2635">
        <v>0</v>
      </c>
      <c r="AS2635">
        <v>0</v>
      </c>
      <c r="AT2635">
        <v>3.2730000000000001</v>
      </c>
      <c r="AX2635" t="str">
        <f>"E000320964"</f>
        <v>E000320964</v>
      </c>
      <c r="BD2635" t="str">
        <f>"ערן שלו"</f>
        <v>ערן שלו</v>
      </c>
    </row>
    <row r="2636" spans="1:56" x14ac:dyDescent="0.3">
      <c r="A2636" s="1">
        <v>44334</v>
      </c>
      <c r="B2636" t="str">
        <f>"SI216000749"</f>
        <v>SI216000749</v>
      </c>
      <c r="C2636" t="str">
        <f>"PR20000646"</f>
        <v>PR20000646</v>
      </c>
      <c r="E2636" t="str">
        <f>"Y"</f>
        <v>Y</v>
      </c>
      <c r="F2636" t="str">
        <f>"חשבוניות מרכזות"</f>
        <v>חשבוניות מרכזות</v>
      </c>
      <c r="G2636" t="str">
        <f>"700065"</f>
        <v>700065</v>
      </c>
      <c r="H2636" t="str">
        <f>"אלתא מערכות בע""מ"</f>
        <v>אלתא מערכות בע"מ</v>
      </c>
      <c r="I2636" t="str">
        <f>"10"</f>
        <v>10</v>
      </c>
      <c r="J2636" t="str">
        <f>"OP-AR02041"</f>
        <v>OP-AR02041</v>
      </c>
      <c r="K2636" t="str">
        <f>"PDB1 1038C860-001"</f>
        <v>PDB1 1038C860-001</v>
      </c>
      <c r="L2636">
        <v>1</v>
      </c>
      <c r="M2636" t="str">
        <f>"יח"</f>
        <v>יח</v>
      </c>
      <c r="N2636">
        <v>1</v>
      </c>
      <c r="O2636" t="str">
        <f>"יח"</f>
        <v>יח</v>
      </c>
      <c r="P2636" s="2">
        <v>38545</v>
      </c>
      <c r="Q2636" t="str">
        <f>"$"</f>
        <v>$</v>
      </c>
      <c r="R2636" t="str">
        <f>"הזמנה"</f>
        <v>הזמנה</v>
      </c>
      <c r="S2636">
        <v>0</v>
      </c>
      <c r="T2636" s="2">
        <v>38545</v>
      </c>
      <c r="U2636">
        <v>0</v>
      </c>
      <c r="V2636" s="2">
        <v>38545</v>
      </c>
      <c r="W2636" t="str">
        <f>"$"</f>
        <v>$</v>
      </c>
      <c r="X2636">
        <v>0</v>
      </c>
      <c r="Y2636">
        <v>0</v>
      </c>
      <c r="Z2636">
        <v>0</v>
      </c>
      <c r="AA2636" t="str">
        <f>"Y"</f>
        <v>Y</v>
      </c>
      <c r="AB2636" t="str">
        <f>"SO20000418"</f>
        <v>SO20000418</v>
      </c>
      <c r="AC2636">
        <v>18</v>
      </c>
      <c r="AD2636" s="1">
        <v>44083</v>
      </c>
      <c r="AE2636" t="str">
        <f>"SH21000752"</f>
        <v>SH21000752</v>
      </c>
      <c r="AF2636" t="str">
        <f>"משלוחים ללקוח"</f>
        <v>משלוחים ללקוח</v>
      </c>
      <c r="AG2636" s="1">
        <v>44334</v>
      </c>
      <c r="AM2636" t="str">
        <f>"10"</f>
        <v>10</v>
      </c>
      <c r="AN2636" t="str">
        <f>"500000"</f>
        <v>500000</v>
      </c>
      <c r="AO2636" t="str">
        <f>"הכנסות  מלקוחות"</f>
        <v>הכנסות  מלקוחות</v>
      </c>
      <c r="AQ2636" t="str">
        <f>"034"</f>
        <v>034</v>
      </c>
      <c r="AR2636">
        <v>0</v>
      </c>
      <c r="AS2636">
        <v>0</v>
      </c>
      <c r="AT2636">
        <v>3.2730000000000001</v>
      </c>
      <c r="AX2636" t="str">
        <f>"E000320964"</f>
        <v>E000320964</v>
      </c>
      <c r="BD2636" t="str">
        <f>"ערן שלו"</f>
        <v>ערן שלו</v>
      </c>
    </row>
    <row r="2637" spans="1:56" x14ac:dyDescent="0.3">
      <c r="A2637" s="1">
        <v>44326</v>
      </c>
      <c r="B2637" t="str">
        <f>"SI216000680"</f>
        <v>SI216000680</v>
      </c>
      <c r="C2637" t="str">
        <f>"PR21000128"</f>
        <v>PR21000128</v>
      </c>
      <c r="E2637" t="str">
        <f>"Y"</f>
        <v>Y</v>
      </c>
      <c r="F2637" t="str">
        <f>"חשבוניות מרכזות"</f>
        <v>חשבוניות מרכזות</v>
      </c>
      <c r="G2637" t="str">
        <f>"700065"</f>
        <v>700065</v>
      </c>
      <c r="H2637" t="str">
        <f>"אלתא מערכות בע""מ"</f>
        <v>אלתא מערכות בע"מ</v>
      </c>
      <c r="I2637" t="str">
        <f>"10"</f>
        <v>10</v>
      </c>
      <c r="J2637" t="str">
        <f>"OP-AR02288"</f>
        <v>OP-AR02288</v>
      </c>
      <c r="K2637" t="str">
        <f>"1040D373-001   HARNESS WC213"</f>
        <v>1040D373-001   HARNESS WC213</v>
      </c>
      <c r="L2637">
        <v>2</v>
      </c>
      <c r="M2637" t="str">
        <f>"יח"</f>
        <v>יח</v>
      </c>
      <c r="N2637">
        <v>2</v>
      </c>
      <c r="O2637" t="str">
        <f>"יח"</f>
        <v>יח</v>
      </c>
      <c r="P2637">
        <v>593.24</v>
      </c>
      <c r="Q2637" t="str">
        <f>"$"</f>
        <v>$</v>
      </c>
      <c r="R2637" t="str">
        <f>"הזמנה"</f>
        <v>הזמנה</v>
      </c>
      <c r="S2637">
        <v>0</v>
      </c>
      <c r="T2637" s="2">
        <v>1186.48</v>
      </c>
      <c r="U2637">
        <v>0</v>
      </c>
      <c r="V2637" s="2">
        <v>1186.48</v>
      </c>
      <c r="W2637" t="str">
        <f>"$"</f>
        <v>$</v>
      </c>
      <c r="X2637">
        <v>0</v>
      </c>
      <c r="Y2637">
        <v>0</v>
      </c>
      <c r="Z2637">
        <v>0</v>
      </c>
      <c r="AA2637" t="str">
        <f>"Y"</f>
        <v>Y</v>
      </c>
      <c r="AB2637" t="str">
        <f>"SO21000073"</f>
        <v>SO21000073</v>
      </c>
      <c r="AC2637">
        <v>2</v>
      </c>
      <c r="AD2637" s="1">
        <v>44237</v>
      </c>
      <c r="AE2637" t="str">
        <f>"SH21000727"</f>
        <v>SH21000727</v>
      </c>
      <c r="AF2637" t="str">
        <f>"משלוחים ללקוח"</f>
        <v>משלוחים ללקוח</v>
      </c>
      <c r="AG2637" s="1">
        <v>44325</v>
      </c>
      <c r="AM2637" t="str">
        <f>"10"</f>
        <v>10</v>
      </c>
      <c r="AN2637" t="str">
        <f>"500000"</f>
        <v>500000</v>
      </c>
      <c r="AO2637" t="str">
        <f>"הכנסות  מלקוחות"</f>
        <v>הכנסות  מלקוחות</v>
      </c>
      <c r="AQ2637" t="str">
        <f>"034"</f>
        <v>034</v>
      </c>
      <c r="AR2637">
        <v>0</v>
      </c>
      <c r="AS2637">
        <v>0</v>
      </c>
      <c r="AT2637">
        <v>3.2509999999999999</v>
      </c>
      <c r="AX2637" t="str">
        <f>"E000332914"</f>
        <v>E000332914</v>
      </c>
      <c r="BD2637" t="str">
        <f>"ערן שלו"</f>
        <v>ערן שלו</v>
      </c>
    </row>
    <row r="2638" spans="1:56" x14ac:dyDescent="0.3">
      <c r="A2638" s="1">
        <v>44326</v>
      </c>
      <c r="B2638" t="str">
        <f>"SI216000679"</f>
        <v>SI216000679</v>
      </c>
      <c r="C2638" t="str">
        <f>"PR20000851"</f>
        <v>PR20000851</v>
      </c>
      <c r="D2638" t="str">
        <f>"PR20000851"</f>
        <v>PR20000851</v>
      </c>
      <c r="E2638" t="str">
        <f>"Y"</f>
        <v>Y</v>
      </c>
      <c r="F2638" t="str">
        <f>"חשבוניות מרכזות"</f>
        <v>חשבוניות מרכזות</v>
      </c>
      <c r="G2638" t="str">
        <f>"700065"</f>
        <v>700065</v>
      </c>
      <c r="H2638" t="str">
        <f>"אלתא מערכות בע""מ"</f>
        <v>אלתא מערכות בע"מ</v>
      </c>
      <c r="I2638" t="str">
        <f>"10"</f>
        <v>10</v>
      </c>
      <c r="J2638" t="str">
        <f>"OP-AR02187"</f>
        <v>OP-AR02187</v>
      </c>
      <c r="K2638" t="str">
        <f>"1039H861-001/-   HARNESS WY061 - CU TO TRA1 AND"</f>
        <v>1039H861-001/-   HARNESS WY061 - CU TO TRA1 AND</v>
      </c>
      <c r="L2638">
        <v>1</v>
      </c>
      <c r="M2638" t="str">
        <f>"יח"</f>
        <v>יח</v>
      </c>
      <c r="N2638">
        <v>1</v>
      </c>
      <c r="O2638" t="str">
        <f>"יח"</f>
        <v>יח</v>
      </c>
      <c r="P2638" s="2">
        <v>1113.19</v>
      </c>
      <c r="Q2638" t="str">
        <f>"$"</f>
        <v>$</v>
      </c>
      <c r="R2638" t="str">
        <f>"הזמנה"</f>
        <v>הזמנה</v>
      </c>
      <c r="S2638">
        <v>0</v>
      </c>
      <c r="T2638" s="2">
        <v>1113.19</v>
      </c>
      <c r="U2638">
        <v>0</v>
      </c>
      <c r="V2638" s="2">
        <v>1113.19</v>
      </c>
      <c r="W2638" t="str">
        <f>"$"</f>
        <v>$</v>
      </c>
      <c r="X2638">
        <v>0</v>
      </c>
      <c r="Y2638">
        <v>0</v>
      </c>
      <c r="Z2638">
        <v>0</v>
      </c>
      <c r="AA2638" t="str">
        <f>"Y"</f>
        <v>Y</v>
      </c>
      <c r="AB2638" t="str">
        <f>"SO20000555"</f>
        <v>SO20000555</v>
      </c>
      <c r="AC2638">
        <v>34</v>
      </c>
      <c r="AD2638" s="1">
        <v>44166</v>
      </c>
      <c r="AE2638" t="str">
        <f>"SH21000726"</f>
        <v>SH21000726</v>
      </c>
      <c r="AF2638" t="str">
        <f>"משלוחים ללקוח"</f>
        <v>משלוחים ללקוח</v>
      </c>
      <c r="AG2638" s="1">
        <v>44325</v>
      </c>
      <c r="AM2638" t="str">
        <f>"10"</f>
        <v>10</v>
      </c>
      <c r="AN2638" t="str">
        <f>"500000"</f>
        <v>500000</v>
      </c>
      <c r="AO2638" t="str">
        <f>"הכנסות  מלקוחות"</f>
        <v>הכנסות  מלקוחות</v>
      </c>
      <c r="AQ2638" t="str">
        <f>"034"</f>
        <v>034</v>
      </c>
      <c r="AR2638">
        <v>0</v>
      </c>
      <c r="AS2638">
        <v>0</v>
      </c>
      <c r="AT2638">
        <v>3.2509999999999999</v>
      </c>
      <c r="AX2638" t="str">
        <f>"E000326481"</f>
        <v>E000326481</v>
      </c>
      <c r="BD2638" t="str">
        <f>"ערן שלו"</f>
        <v>ערן שלו</v>
      </c>
    </row>
    <row r="2639" spans="1:56" x14ac:dyDescent="0.3">
      <c r="A2639" s="1">
        <v>44326</v>
      </c>
      <c r="B2639" t="str">
        <f>"SI216000679"</f>
        <v>SI216000679</v>
      </c>
      <c r="C2639" t="str">
        <f>"PR20000851"</f>
        <v>PR20000851</v>
      </c>
      <c r="D2639" t="str">
        <f>"PR20000851"</f>
        <v>PR20000851</v>
      </c>
      <c r="E2639" t="str">
        <f>"Y"</f>
        <v>Y</v>
      </c>
      <c r="F2639" t="str">
        <f>"חשבוניות מרכזות"</f>
        <v>חשבוניות מרכזות</v>
      </c>
      <c r="G2639" t="str">
        <f>"700065"</f>
        <v>700065</v>
      </c>
      <c r="H2639" t="str">
        <f>"אלתא מערכות בע""מ"</f>
        <v>אלתא מערכות בע"מ</v>
      </c>
      <c r="I2639" t="str">
        <f>"10"</f>
        <v>10</v>
      </c>
      <c r="J2639" t="str">
        <f>"OP-AR02190"</f>
        <v>OP-AR02190</v>
      </c>
      <c r="K2639" t="str">
        <f>"1039H864-001/-   HARNESS WY064 - CU TO TRA4 AND"</f>
        <v>1039H864-001/-   HARNESS WY064 - CU TO TRA4 AND</v>
      </c>
      <c r="L2639">
        <v>1</v>
      </c>
      <c r="M2639" t="str">
        <f>"יח"</f>
        <v>יח</v>
      </c>
      <c r="N2639">
        <v>1</v>
      </c>
      <c r="O2639" t="str">
        <f>"יח"</f>
        <v>יח</v>
      </c>
      <c r="P2639" s="2">
        <v>1131.71</v>
      </c>
      <c r="Q2639" t="str">
        <f>"$"</f>
        <v>$</v>
      </c>
      <c r="R2639" t="str">
        <f>"הזמנה"</f>
        <v>הזמנה</v>
      </c>
      <c r="S2639">
        <v>0</v>
      </c>
      <c r="T2639" s="2">
        <v>1131.71</v>
      </c>
      <c r="U2639">
        <v>0</v>
      </c>
      <c r="V2639" s="2">
        <v>1131.71</v>
      </c>
      <c r="W2639" t="str">
        <f>"$"</f>
        <v>$</v>
      </c>
      <c r="X2639">
        <v>0</v>
      </c>
      <c r="Y2639">
        <v>0</v>
      </c>
      <c r="Z2639">
        <v>0</v>
      </c>
      <c r="AA2639" t="str">
        <f>"Y"</f>
        <v>Y</v>
      </c>
      <c r="AB2639" t="str">
        <f>"SO20000555"</f>
        <v>SO20000555</v>
      </c>
      <c r="AC2639">
        <v>37</v>
      </c>
      <c r="AD2639" s="1">
        <v>44166</v>
      </c>
      <c r="AE2639" t="str">
        <f>"SH21000726"</f>
        <v>SH21000726</v>
      </c>
      <c r="AF2639" t="str">
        <f>"משלוחים ללקוח"</f>
        <v>משלוחים ללקוח</v>
      </c>
      <c r="AG2639" s="1">
        <v>44325</v>
      </c>
      <c r="AM2639" t="str">
        <f>"10"</f>
        <v>10</v>
      </c>
      <c r="AN2639" t="str">
        <f>"500000"</f>
        <v>500000</v>
      </c>
      <c r="AO2639" t="str">
        <f>"הכנסות  מלקוחות"</f>
        <v>הכנסות  מלקוחות</v>
      </c>
      <c r="AQ2639" t="str">
        <f>"034"</f>
        <v>034</v>
      </c>
      <c r="AR2639">
        <v>0</v>
      </c>
      <c r="AS2639">
        <v>0</v>
      </c>
      <c r="AT2639">
        <v>3.2509999999999999</v>
      </c>
      <c r="AX2639" t="str">
        <f>"E000326481"</f>
        <v>E000326481</v>
      </c>
      <c r="BD2639" t="str">
        <f>"ערן שלו"</f>
        <v>ערן שלו</v>
      </c>
    </row>
    <row r="2640" spans="1:56" x14ac:dyDescent="0.3">
      <c r="A2640" s="1">
        <v>44325</v>
      </c>
      <c r="B2640" t="str">
        <f>"SI216000652"</f>
        <v>SI216000652</v>
      </c>
      <c r="C2640" t="str">
        <f>"PR20000538"</f>
        <v>PR20000538</v>
      </c>
      <c r="D2640" t="str">
        <f>"PR20000538"</f>
        <v>PR20000538</v>
      </c>
      <c r="E2640" t="str">
        <f>"Y"</f>
        <v>Y</v>
      </c>
      <c r="F2640" t="str">
        <f>"חשבוניות מרכזות"</f>
        <v>חשבוניות מרכזות</v>
      </c>
      <c r="G2640" t="str">
        <f>"700065"</f>
        <v>700065</v>
      </c>
      <c r="H2640" t="str">
        <f>"אלתא מערכות בע""מ"</f>
        <v>אלתא מערכות בע"מ</v>
      </c>
      <c r="I2640" t="str">
        <f>"10"</f>
        <v>10</v>
      </c>
      <c r="J2640" t="str">
        <f>"OP-AR01973"</f>
        <v>OP-AR01973</v>
      </c>
      <c r="K2640" t="str">
        <f>"NRE FOR E000318009"</f>
        <v>NRE FOR E000318009</v>
      </c>
      <c r="L2640">
        <v>1</v>
      </c>
      <c r="M2640" t="str">
        <f>"יח"</f>
        <v>יח</v>
      </c>
      <c r="N2640">
        <v>1</v>
      </c>
      <c r="O2640" t="str">
        <f>"יח"</f>
        <v>יח</v>
      </c>
      <c r="P2640">
        <v>325</v>
      </c>
      <c r="Q2640" t="str">
        <f>"$"</f>
        <v>$</v>
      </c>
      <c r="R2640" t="str">
        <f>"הזמנה"</f>
        <v>הזמנה</v>
      </c>
      <c r="S2640">
        <v>0</v>
      </c>
      <c r="T2640">
        <v>325</v>
      </c>
      <c r="U2640">
        <v>0</v>
      </c>
      <c r="V2640">
        <v>325</v>
      </c>
      <c r="W2640" t="str">
        <f>"$"</f>
        <v>$</v>
      </c>
      <c r="X2640">
        <v>0</v>
      </c>
      <c r="Y2640">
        <v>0</v>
      </c>
      <c r="Z2640">
        <v>0</v>
      </c>
      <c r="AA2640" t="str">
        <f>"Y"</f>
        <v>Y</v>
      </c>
      <c r="AB2640" t="str">
        <f>"SO20000365"</f>
        <v>SO20000365</v>
      </c>
      <c r="AC2640">
        <v>3</v>
      </c>
      <c r="AD2640" s="1">
        <v>44062</v>
      </c>
      <c r="AM2640" t="str">
        <f>"10"</f>
        <v>10</v>
      </c>
      <c r="AN2640" t="str">
        <f>"500000"</f>
        <v>500000</v>
      </c>
      <c r="AO2640" t="str">
        <f>"הכנסות  מלקוחות"</f>
        <v>הכנסות  מלקוחות</v>
      </c>
      <c r="AQ2640" t="str">
        <f>"034"</f>
        <v>034</v>
      </c>
      <c r="AR2640">
        <v>0</v>
      </c>
      <c r="AS2640">
        <v>0</v>
      </c>
      <c r="AT2640">
        <v>3.2610000000000001</v>
      </c>
      <c r="AX2640" t="str">
        <f>"E000318009"</f>
        <v>E000318009</v>
      </c>
      <c r="BD2640" t="str">
        <f>"ערן שלו"</f>
        <v>ערן שלו</v>
      </c>
    </row>
    <row r="2641" spans="1:56" x14ac:dyDescent="0.3">
      <c r="A2641" s="1">
        <v>44325</v>
      </c>
      <c r="B2641" t="str">
        <f>"SI216000651"</f>
        <v>SI216000651</v>
      </c>
      <c r="C2641" t="str">
        <f>"PR20000529"</f>
        <v>PR20000529</v>
      </c>
      <c r="D2641" t="str">
        <f>"PR20000529"</f>
        <v>PR20000529</v>
      </c>
      <c r="E2641" t="str">
        <f>"Y"</f>
        <v>Y</v>
      </c>
      <c r="F2641" t="str">
        <f>"חשבוניות מרכזות"</f>
        <v>חשבוניות מרכזות</v>
      </c>
      <c r="G2641" t="str">
        <f>"700065"</f>
        <v>700065</v>
      </c>
      <c r="H2641" t="str">
        <f>"אלתא מערכות בע""מ"</f>
        <v>אלתא מערכות בע"מ</v>
      </c>
      <c r="I2641" t="str">
        <f>"10"</f>
        <v>10</v>
      </c>
      <c r="J2641" t="str">
        <f>"OP-AR01968"</f>
        <v>OP-AR01968</v>
      </c>
      <c r="K2641" t="str">
        <f>"מתאמים למבדק  NRE FOR E000318002"</f>
        <v>מתאמים למבדק  NRE FOR E000318002</v>
      </c>
      <c r="L2641">
        <v>1</v>
      </c>
      <c r="M2641" t="str">
        <f>"יח"</f>
        <v>יח</v>
      </c>
      <c r="N2641">
        <v>1</v>
      </c>
      <c r="O2641" t="str">
        <f>"יח"</f>
        <v>יח</v>
      </c>
      <c r="P2641">
        <v>355</v>
      </c>
      <c r="Q2641" t="str">
        <f>"$"</f>
        <v>$</v>
      </c>
      <c r="R2641" t="str">
        <f>"הזמנה"</f>
        <v>הזמנה</v>
      </c>
      <c r="S2641">
        <v>0</v>
      </c>
      <c r="T2641">
        <v>355</v>
      </c>
      <c r="U2641">
        <v>0</v>
      </c>
      <c r="V2641">
        <v>355</v>
      </c>
      <c r="W2641" t="str">
        <f>"$"</f>
        <v>$</v>
      </c>
      <c r="X2641">
        <v>0</v>
      </c>
      <c r="Y2641">
        <v>0</v>
      </c>
      <c r="Z2641">
        <v>0</v>
      </c>
      <c r="AA2641" t="str">
        <f>"Y"</f>
        <v>Y</v>
      </c>
      <c r="AB2641" t="str">
        <f>"SO20000346"</f>
        <v>SO20000346</v>
      </c>
      <c r="AC2641">
        <v>2</v>
      </c>
      <c r="AD2641" s="1">
        <v>44052</v>
      </c>
      <c r="AM2641" t="str">
        <f>"10"</f>
        <v>10</v>
      </c>
      <c r="AN2641" t="str">
        <f>"500000"</f>
        <v>500000</v>
      </c>
      <c r="AO2641" t="str">
        <f>"הכנסות  מלקוחות"</f>
        <v>הכנסות  מלקוחות</v>
      </c>
      <c r="AQ2641" t="str">
        <f>"034"</f>
        <v>034</v>
      </c>
      <c r="AR2641">
        <v>0</v>
      </c>
      <c r="AS2641">
        <v>0</v>
      </c>
      <c r="AT2641">
        <v>3.2610000000000001</v>
      </c>
      <c r="AX2641" t="str">
        <f>"E000318002"</f>
        <v>E000318002</v>
      </c>
      <c r="BD2641" t="str">
        <f>"ערן שלו"</f>
        <v>ערן שלו</v>
      </c>
    </row>
    <row r="2642" spans="1:56" x14ac:dyDescent="0.3">
      <c r="A2642" s="1">
        <v>44325</v>
      </c>
      <c r="B2642" t="str">
        <f>"SI216000650"</f>
        <v>SI216000650</v>
      </c>
      <c r="E2642" t="str">
        <f>"Y"</f>
        <v>Y</v>
      </c>
      <c r="F2642" t="str">
        <f>"חשבוניות מרכזות"</f>
        <v>חשבוניות מרכזות</v>
      </c>
      <c r="G2642" t="str">
        <f>"700065"</f>
        <v>700065</v>
      </c>
      <c r="H2642" t="str">
        <f>"אלתא מערכות בע""מ"</f>
        <v>אלתא מערכות בע"מ</v>
      </c>
      <c r="I2642" t="str">
        <f>"10"</f>
        <v>10</v>
      </c>
      <c r="J2642" t="str">
        <f>"000"</f>
        <v>000</v>
      </c>
      <c r="K2642" t="str">
        <f>"שינויים ברתמות"</f>
        <v>שינויים ברתמות</v>
      </c>
      <c r="L2642">
        <v>1</v>
      </c>
      <c r="M2642" t="str">
        <f>"יח"</f>
        <v>יח</v>
      </c>
      <c r="N2642">
        <v>1</v>
      </c>
      <c r="O2642" t="str">
        <f>"יח"</f>
        <v>יח</v>
      </c>
      <c r="P2642" s="2">
        <v>1231</v>
      </c>
      <c r="Q2642" t="str">
        <f>"$"</f>
        <v>$</v>
      </c>
      <c r="R2642" t="str">
        <f>"הזמנה"</f>
        <v>הזמנה</v>
      </c>
      <c r="S2642">
        <v>0</v>
      </c>
      <c r="T2642" s="2">
        <v>1231</v>
      </c>
      <c r="U2642">
        <v>0</v>
      </c>
      <c r="V2642" s="2">
        <v>1231</v>
      </c>
      <c r="W2642" t="str">
        <f>"$"</f>
        <v>$</v>
      </c>
      <c r="X2642">
        <v>0</v>
      </c>
      <c r="Y2642">
        <v>0</v>
      </c>
      <c r="Z2642">
        <v>0</v>
      </c>
      <c r="AA2642" t="str">
        <f>"Y"</f>
        <v>Y</v>
      </c>
      <c r="AB2642" t="str">
        <f>"SO20000329"</f>
        <v>SO20000329</v>
      </c>
      <c r="AC2642">
        <v>12</v>
      </c>
      <c r="AD2642" s="1">
        <v>44035</v>
      </c>
      <c r="AM2642" t="str">
        <f>"10"</f>
        <v>10</v>
      </c>
      <c r="AN2642" t="str">
        <f>"500000"</f>
        <v>500000</v>
      </c>
      <c r="AO2642" t="str">
        <f>"הכנסות  מלקוחות"</f>
        <v>הכנסות  מלקוחות</v>
      </c>
      <c r="AQ2642" t="str">
        <f>"034"</f>
        <v>034</v>
      </c>
      <c r="AR2642">
        <v>0</v>
      </c>
      <c r="AS2642">
        <v>0</v>
      </c>
      <c r="AT2642">
        <v>3.2610000000000001</v>
      </c>
      <c r="AX2642" t="str">
        <f>"E000316426"</f>
        <v>E000316426</v>
      </c>
      <c r="BD2642" t="str">
        <f>"ערן שלו"</f>
        <v>ערן שלו</v>
      </c>
    </row>
    <row r="2643" spans="1:56" x14ac:dyDescent="0.3">
      <c r="A2643" s="1">
        <v>44325</v>
      </c>
      <c r="B2643" t="str">
        <f>"SI216000649"</f>
        <v>SI216000649</v>
      </c>
      <c r="C2643" t="str">
        <f>"PR20000505"</f>
        <v>PR20000505</v>
      </c>
      <c r="D2643" t="str">
        <f>"PR20000505"</f>
        <v>PR20000505</v>
      </c>
      <c r="E2643" t="str">
        <f>"Y"</f>
        <v>Y</v>
      </c>
      <c r="F2643" t="str">
        <f>"חשבוניות מרכזות"</f>
        <v>חשבוניות מרכזות</v>
      </c>
      <c r="G2643" t="str">
        <f>"700065"</f>
        <v>700065</v>
      </c>
      <c r="H2643" t="str">
        <f>"אלתא מערכות בע""מ"</f>
        <v>אלתא מערכות בע"מ</v>
      </c>
      <c r="I2643" t="str">
        <f>"10"</f>
        <v>10</v>
      </c>
      <c r="J2643" t="str">
        <f>"OP-AR01933"</f>
        <v>OP-AR01933</v>
      </c>
      <c r="K2643" t="str">
        <f>"NRE FOR E000316388"</f>
        <v>NRE FOR E000316388</v>
      </c>
      <c r="L2643">
        <v>1</v>
      </c>
      <c r="M2643" t="str">
        <f>"יח"</f>
        <v>יח</v>
      </c>
      <c r="N2643">
        <v>1</v>
      </c>
      <c r="O2643" t="str">
        <f>"יח"</f>
        <v>יח</v>
      </c>
      <c r="P2643">
        <v>520</v>
      </c>
      <c r="Q2643" t="str">
        <f>"$"</f>
        <v>$</v>
      </c>
      <c r="R2643" t="str">
        <f>"הזמנה"</f>
        <v>הזמנה</v>
      </c>
      <c r="S2643">
        <v>0</v>
      </c>
      <c r="T2643">
        <v>520</v>
      </c>
      <c r="U2643">
        <v>0</v>
      </c>
      <c r="V2643">
        <v>520</v>
      </c>
      <c r="W2643" t="str">
        <f>"$"</f>
        <v>$</v>
      </c>
      <c r="X2643">
        <v>0</v>
      </c>
      <c r="Y2643">
        <v>0</v>
      </c>
      <c r="Z2643">
        <v>0</v>
      </c>
      <c r="AA2643" t="str">
        <f>"Y"</f>
        <v>Y</v>
      </c>
      <c r="AB2643" t="str">
        <f>"SO20000311"</f>
        <v>SO20000311</v>
      </c>
      <c r="AC2643">
        <v>3</v>
      </c>
      <c r="AD2643" s="1">
        <v>44032</v>
      </c>
      <c r="AM2643" t="str">
        <f>"10"</f>
        <v>10</v>
      </c>
      <c r="AN2643" t="str">
        <f>"500000"</f>
        <v>500000</v>
      </c>
      <c r="AO2643" t="str">
        <f>"הכנסות  מלקוחות"</f>
        <v>הכנסות  מלקוחות</v>
      </c>
      <c r="AQ2643" t="str">
        <f>"034"</f>
        <v>034</v>
      </c>
      <c r="AR2643">
        <v>0</v>
      </c>
      <c r="AS2643">
        <v>0</v>
      </c>
      <c r="AT2643">
        <v>3.2610000000000001</v>
      </c>
      <c r="AX2643" t="str">
        <f>"E000316388"</f>
        <v>E000316388</v>
      </c>
      <c r="BD2643" t="str">
        <f>"ערן שלו"</f>
        <v>ערן שלו</v>
      </c>
    </row>
    <row r="2644" spans="1:56" x14ac:dyDescent="0.3">
      <c r="A2644" s="1">
        <v>44325</v>
      </c>
      <c r="B2644" t="str">
        <f>"SI216000648"</f>
        <v>SI216000648</v>
      </c>
      <c r="E2644" t="str">
        <f>"Y"</f>
        <v>Y</v>
      </c>
      <c r="F2644" t="str">
        <f>"חשבוניות מרכזות"</f>
        <v>חשבוניות מרכזות</v>
      </c>
      <c r="G2644" t="str">
        <f>"700065"</f>
        <v>700065</v>
      </c>
      <c r="H2644" t="str">
        <f>"אלתא מערכות בע""מ"</f>
        <v>אלתא מערכות בע"מ</v>
      </c>
      <c r="I2644" t="str">
        <f>"10"</f>
        <v>10</v>
      </c>
      <c r="J2644" t="str">
        <f>"OP-AR01829"</f>
        <v>OP-AR01829</v>
      </c>
      <c r="K2644" t="str">
        <f>"NRE FOR E000314064"</f>
        <v>NRE FOR E000314064</v>
      </c>
      <c r="L2644">
        <v>1</v>
      </c>
      <c r="M2644" t="str">
        <f>"יח"</f>
        <v>יח</v>
      </c>
      <c r="N2644">
        <v>1</v>
      </c>
      <c r="O2644" t="str">
        <f>"יח"</f>
        <v>יח</v>
      </c>
      <c r="P2644">
        <v>225</v>
      </c>
      <c r="Q2644" t="str">
        <f>"$"</f>
        <v>$</v>
      </c>
      <c r="R2644" t="str">
        <f>"הזמנה"</f>
        <v>הזמנה</v>
      </c>
      <c r="S2644">
        <v>0</v>
      </c>
      <c r="T2644">
        <v>225</v>
      </c>
      <c r="U2644">
        <v>0</v>
      </c>
      <c r="V2644">
        <v>225</v>
      </c>
      <c r="W2644" t="str">
        <f>"$"</f>
        <v>$</v>
      </c>
      <c r="X2644">
        <v>0</v>
      </c>
      <c r="Y2644">
        <v>0</v>
      </c>
      <c r="Z2644">
        <v>0</v>
      </c>
      <c r="AA2644" t="str">
        <f>"Y"</f>
        <v>Y</v>
      </c>
      <c r="AB2644" t="str">
        <f>"SO20000235"</f>
        <v>SO20000235</v>
      </c>
      <c r="AC2644">
        <v>2</v>
      </c>
      <c r="AD2644" s="1">
        <v>43990</v>
      </c>
      <c r="AM2644" t="str">
        <f>"10"</f>
        <v>10</v>
      </c>
      <c r="AN2644" t="str">
        <f>"500000"</f>
        <v>500000</v>
      </c>
      <c r="AO2644" t="str">
        <f>"הכנסות  מלקוחות"</f>
        <v>הכנסות  מלקוחות</v>
      </c>
      <c r="AQ2644" t="str">
        <f>"034"</f>
        <v>034</v>
      </c>
      <c r="AR2644">
        <v>0</v>
      </c>
      <c r="AS2644">
        <v>0</v>
      </c>
      <c r="AT2644">
        <v>3.2610000000000001</v>
      </c>
      <c r="AX2644" t="str">
        <f>"E000314064"</f>
        <v>E000314064</v>
      </c>
      <c r="BD2644" t="str">
        <f>"ערן שלו"</f>
        <v>ערן שלו</v>
      </c>
    </row>
    <row r="2645" spans="1:56" x14ac:dyDescent="0.3">
      <c r="A2645" s="1">
        <v>44325</v>
      </c>
      <c r="B2645" t="str">
        <f>"SI216000647"</f>
        <v>SI216000647</v>
      </c>
      <c r="C2645" t="str">
        <f>"PR20000210"</f>
        <v>PR20000210</v>
      </c>
      <c r="D2645" t="str">
        <f>"PR20000210"</f>
        <v>PR20000210</v>
      </c>
      <c r="E2645" t="str">
        <f>"Y"</f>
        <v>Y</v>
      </c>
      <c r="F2645" t="str">
        <f>"חשבוניות מרכזות"</f>
        <v>חשבוניות מרכזות</v>
      </c>
      <c r="G2645" t="str">
        <f>"700065"</f>
        <v>700065</v>
      </c>
      <c r="H2645" t="str">
        <f>"אלתא מערכות בע""מ"</f>
        <v>אלתא מערכות בע"מ</v>
      </c>
      <c r="I2645" t="str">
        <f>"10"</f>
        <v>10</v>
      </c>
      <c r="J2645" t="str">
        <f>"OP-AR01714"</f>
        <v>OP-AR01714</v>
      </c>
      <c r="K2645" t="str">
        <f>"שירות ל IFT - הזמנה E000309670 (מתאמים)"</f>
        <v>שירות ל IFT - הזמנה E000309670 (מתאמים)</v>
      </c>
      <c r="L2645">
        <v>1</v>
      </c>
      <c r="M2645" t="str">
        <f>"יח"</f>
        <v>יח</v>
      </c>
      <c r="N2645">
        <v>1</v>
      </c>
      <c r="O2645" t="str">
        <f>"יח"</f>
        <v>יח</v>
      </c>
      <c r="P2645" s="2">
        <v>2925.45</v>
      </c>
      <c r="Q2645" t="str">
        <f>"$"</f>
        <v>$</v>
      </c>
      <c r="R2645" t="str">
        <f>"הזמנה"</f>
        <v>הזמנה</v>
      </c>
      <c r="S2645">
        <v>0</v>
      </c>
      <c r="T2645" s="2">
        <v>2925.45</v>
      </c>
      <c r="U2645">
        <v>0</v>
      </c>
      <c r="V2645" s="2">
        <v>2925.45</v>
      </c>
      <c r="W2645" t="str">
        <f>"$"</f>
        <v>$</v>
      </c>
      <c r="X2645">
        <v>0</v>
      </c>
      <c r="Y2645">
        <v>0</v>
      </c>
      <c r="Z2645">
        <v>0</v>
      </c>
      <c r="AA2645" t="str">
        <f>"Y"</f>
        <v>Y</v>
      </c>
      <c r="AB2645" t="str">
        <f>"SO20000139"</f>
        <v>SO20000139</v>
      </c>
      <c r="AC2645">
        <v>12</v>
      </c>
      <c r="AD2645" s="1">
        <v>43940</v>
      </c>
      <c r="AM2645" t="str">
        <f>"10"</f>
        <v>10</v>
      </c>
      <c r="AN2645" t="str">
        <f>"500000"</f>
        <v>500000</v>
      </c>
      <c r="AO2645" t="str">
        <f>"הכנסות  מלקוחות"</f>
        <v>הכנסות  מלקוחות</v>
      </c>
      <c r="AQ2645" t="str">
        <f>"034"</f>
        <v>034</v>
      </c>
      <c r="AR2645">
        <v>0</v>
      </c>
      <c r="AS2645">
        <v>0</v>
      </c>
      <c r="AT2645">
        <v>3.2610000000000001</v>
      </c>
      <c r="AX2645" t="str">
        <f>"E000309670"</f>
        <v>E000309670</v>
      </c>
      <c r="BD2645" t="str">
        <f>"ערן שלו"</f>
        <v>ערן שלו</v>
      </c>
    </row>
    <row r="2646" spans="1:56" x14ac:dyDescent="0.3">
      <c r="A2646" s="1">
        <v>44325</v>
      </c>
      <c r="B2646" t="str">
        <f>"SI216000646"</f>
        <v>SI216000646</v>
      </c>
      <c r="C2646" t="str">
        <f>"PR20000567"</f>
        <v>PR20000567</v>
      </c>
      <c r="D2646" t="str">
        <f>"PR20000567"</f>
        <v>PR20000567</v>
      </c>
      <c r="E2646" t="str">
        <f>"Y"</f>
        <v>Y</v>
      </c>
      <c r="F2646" t="str">
        <f>"חשבוניות מרכזות"</f>
        <v>חשבוניות מרכזות</v>
      </c>
      <c r="G2646" t="str">
        <f>"700065"</f>
        <v>700065</v>
      </c>
      <c r="H2646" t="str">
        <f>"אלתא מערכות בע""מ"</f>
        <v>אלתא מערכות בע"מ</v>
      </c>
      <c r="I2646" t="str">
        <f>"10"</f>
        <v>10</v>
      </c>
      <c r="J2646" t="str">
        <f>"OP-AR01985"</f>
        <v>OP-AR01985</v>
      </c>
      <c r="K2646" t="str">
        <f>"NRE FOR E000319150"</f>
        <v>NRE FOR E000319150</v>
      </c>
      <c r="L2646">
        <v>1</v>
      </c>
      <c r="M2646" t="str">
        <f>"יח"</f>
        <v>יח</v>
      </c>
      <c r="N2646">
        <v>1</v>
      </c>
      <c r="O2646" t="str">
        <f>"יח"</f>
        <v>יח</v>
      </c>
      <c r="P2646">
        <v>248</v>
      </c>
      <c r="Q2646" t="str">
        <f>"$"</f>
        <v>$</v>
      </c>
      <c r="R2646" t="str">
        <f>"הזמנה"</f>
        <v>הזמנה</v>
      </c>
      <c r="S2646">
        <v>0</v>
      </c>
      <c r="T2646">
        <v>248</v>
      </c>
      <c r="U2646">
        <v>0</v>
      </c>
      <c r="V2646">
        <v>248</v>
      </c>
      <c r="W2646" t="str">
        <f>"$"</f>
        <v>$</v>
      </c>
      <c r="X2646">
        <v>0</v>
      </c>
      <c r="Y2646">
        <v>0</v>
      </c>
      <c r="Z2646">
        <v>0</v>
      </c>
      <c r="AA2646" t="str">
        <f>"Y"</f>
        <v>Y</v>
      </c>
      <c r="AB2646" t="str">
        <f>"SO20000373"</f>
        <v>SO20000373</v>
      </c>
      <c r="AC2646">
        <v>2</v>
      </c>
      <c r="AD2646" s="1">
        <v>44068</v>
      </c>
      <c r="AM2646" t="str">
        <f>"10"</f>
        <v>10</v>
      </c>
      <c r="AN2646" t="str">
        <f>"500000"</f>
        <v>500000</v>
      </c>
      <c r="AO2646" t="str">
        <f>"הכנסות  מלקוחות"</f>
        <v>הכנסות  מלקוחות</v>
      </c>
      <c r="AQ2646" t="str">
        <f>"034"</f>
        <v>034</v>
      </c>
      <c r="AR2646">
        <v>0</v>
      </c>
      <c r="AS2646">
        <v>0</v>
      </c>
      <c r="AT2646">
        <v>3.2610000000000001</v>
      </c>
      <c r="AX2646" t="str">
        <f>"E000319150"</f>
        <v>E000319150</v>
      </c>
      <c r="BD2646" t="str">
        <f>"ערן שלו"</f>
        <v>ערן שלו</v>
      </c>
    </row>
    <row r="2647" spans="1:56" x14ac:dyDescent="0.3">
      <c r="A2647" s="1">
        <v>44325</v>
      </c>
      <c r="B2647" t="str">
        <f>"SI216000645"</f>
        <v>SI216000645</v>
      </c>
      <c r="C2647" t="str">
        <f>"PR20000485"</f>
        <v>PR20000485</v>
      </c>
      <c r="D2647" t="str">
        <f>"PR20000485"</f>
        <v>PR20000485</v>
      </c>
      <c r="E2647" t="str">
        <f>"Y"</f>
        <v>Y</v>
      </c>
      <c r="F2647" t="str">
        <f>"חשבוניות מרכזות"</f>
        <v>חשבוניות מרכזות</v>
      </c>
      <c r="G2647" t="str">
        <f>"700065"</f>
        <v>700065</v>
      </c>
      <c r="H2647" t="str">
        <f>"אלתא מערכות בע""מ"</f>
        <v>אלתא מערכות בע"מ</v>
      </c>
      <c r="I2647" t="str">
        <f>"10"</f>
        <v>10</v>
      </c>
      <c r="J2647" t="str">
        <f>"OP-AR01879"</f>
        <v>OP-AR01879</v>
      </c>
      <c r="K2647" t="str">
        <f>"E000315794 עבור כבלי מטווח NRE"</f>
        <v>E000315794 עבור כבלי מטווח NRE</v>
      </c>
      <c r="L2647">
        <v>1</v>
      </c>
      <c r="M2647" t="str">
        <f>"יח"</f>
        <v>יח</v>
      </c>
      <c r="N2647">
        <v>1</v>
      </c>
      <c r="O2647" t="str">
        <f>"יח"</f>
        <v>יח</v>
      </c>
      <c r="P2647">
        <v>420</v>
      </c>
      <c r="Q2647" t="str">
        <f>"$"</f>
        <v>$</v>
      </c>
      <c r="R2647" t="str">
        <f>"הזמנה"</f>
        <v>הזמנה</v>
      </c>
      <c r="S2647">
        <v>0</v>
      </c>
      <c r="T2647">
        <v>420</v>
      </c>
      <c r="U2647">
        <v>0</v>
      </c>
      <c r="V2647">
        <v>420</v>
      </c>
      <c r="W2647" t="str">
        <f>"$"</f>
        <v>$</v>
      </c>
      <c r="X2647">
        <v>0</v>
      </c>
      <c r="Y2647">
        <v>0</v>
      </c>
      <c r="Z2647">
        <v>0</v>
      </c>
      <c r="AA2647" t="str">
        <f>"Y"</f>
        <v>Y</v>
      </c>
      <c r="AB2647" t="str">
        <f>"SO20000289"</f>
        <v>SO20000289</v>
      </c>
      <c r="AC2647">
        <v>1</v>
      </c>
      <c r="AD2647" s="1">
        <v>44019</v>
      </c>
      <c r="AM2647" t="str">
        <f>"10"</f>
        <v>10</v>
      </c>
      <c r="AN2647" t="str">
        <f>"500000"</f>
        <v>500000</v>
      </c>
      <c r="AO2647" t="str">
        <f>"הכנסות  מלקוחות"</f>
        <v>הכנסות  מלקוחות</v>
      </c>
      <c r="AQ2647" t="str">
        <f>"034"</f>
        <v>034</v>
      </c>
      <c r="AR2647">
        <v>0</v>
      </c>
      <c r="AS2647">
        <v>0</v>
      </c>
      <c r="AT2647">
        <v>3.2610000000000001</v>
      </c>
      <c r="AX2647" t="str">
        <f>"E000315794"</f>
        <v>E000315794</v>
      </c>
      <c r="BD2647" t="str">
        <f>"ערן שלו"</f>
        <v>ערן שלו</v>
      </c>
    </row>
    <row r="2648" spans="1:56" x14ac:dyDescent="0.3">
      <c r="A2648" s="1">
        <v>44325</v>
      </c>
      <c r="B2648" t="str">
        <f>"SI216000644"</f>
        <v>SI216000644</v>
      </c>
      <c r="C2648" t="str">
        <f>"PR20000609"</f>
        <v>PR20000609</v>
      </c>
      <c r="D2648" t="str">
        <f>"PR20000609"</f>
        <v>PR20000609</v>
      </c>
      <c r="E2648" t="str">
        <f>"Y"</f>
        <v>Y</v>
      </c>
      <c r="F2648" t="str">
        <f>"חשבוניות מרכזות"</f>
        <v>חשבוניות מרכזות</v>
      </c>
      <c r="G2648" t="str">
        <f>"700065"</f>
        <v>700065</v>
      </c>
      <c r="H2648" t="str">
        <f>"אלתא מערכות בע""מ"</f>
        <v>אלתא מערכות בע"מ</v>
      </c>
      <c r="I2648" t="str">
        <f>"10"</f>
        <v>10</v>
      </c>
      <c r="J2648" t="str">
        <f>"OP-AR02004"</f>
        <v>OP-AR02004</v>
      </c>
      <c r="K2648" t="str">
        <f>"NRE FOR E000319385"</f>
        <v>NRE FOR E000319385</v>
      </c>
      <c r="L2648">
        <v>1</v>
      </c>
      <c r="M2648" t="str">
        <f>"יח"</f>
        <v>יח</v>
      </c>
      <c r="N2648">
        <v>1</v>
      </c>
      <c r="O2648" t="str">
        <f>"יח"</f>
        <v>יח</v>
      </c>
      <c r="P2648" s="2">
        <v>1258</v>
      </c>
      <c r="Q2648" t="str">
        <f>"$"</f>
        <v>$</v>
      </c>
      <c r="R2648" t="str">
        <f>"הזמנה"</f>
        <v>הזמנה</v>
      </c>
      <c r="S2648">
        <v>0</v>
      </c>
      <c r="T2648" s="2">
        <v>1258</v>
      </c>
      <c r="U2648">
        <v>0</v>
      </c>
      <c r="V2648" s="2">
        <v>1258</v>
      </c>
      <c r="W2648" t="str">
        <f>"$"</f>
        <v>$</v>
      </c>
      <c r="X2648">
        <v>0</v>
      </c>
      <c r="Y2648">
        <v>0</v>
      </c>
      <c r="Z2648">
        <v>0</v>
      </c>
      <c r="AA2648" t="str">
        <f>"Y"</f>
        <v>Y</v>
      </c>
      <c r="AB2648" t="str">
        <f>"SO20000408"</f>
        <v>SO20000408</v>
      </c>
      <c r="AC2648">
        <v>9</v>
      </c>
      <c r="AD2648" s="1">
        <v>44081</v>
      </c>
      <c r="AM2648" t="str">
        <f>"10"</f>
        <v>10</v>
      </c>
      <c r="AN2648" t="str">
        <f>"500000"</f>
        <v>500000</v>
      </c>
      <c r="AO2648" t="str">
        <f>"הכנסות  מלקוחות"</f>
        <v>הכנסות  מלקוחות</v>
      </c>
      <c r="AQ2648" t="str">
        <f>"034"</f>
        <v>034</v>
      </c>
      <c r="AR2648">
        <v>0</v>
      </c>
      <c r="AS2648">
        <v>0</v>
      </c>
      <c r="AT2648">
        <v>3.2610000000000001</v>
      </c>
      <c r="AX2648" t="str">
        <f>"E000319385"</f>
        <v>E000319385</v>
      </c>
      <c r="BD2648" t="str">
        <f>"ערן שלו"</f>
        <v>ערן שלו</v>
      </c>
    </row>
    <row r="2649" spans="1:56" x14ac:dyDescent="0.3">
      <c r="A2649" s="1">
        <v>44318</v>
      </c>
      <c r="B2649" t="str">
        <f>"SI216000643"</f>
        <v>SI216000643</v>
      </c>
      <c r="C2649" t="str">
        <f>"PR20000620"</f>
        <v>PR20000620</v>
      </c>
      <c r="E2649" t="str">
        <f>"Y"</f>
        <v>Y</v>
      </c>
      <c r="F2649" t="str">
        <f>"חשבוניות מרכזות"</f>
        <v>חשבוניות מרכזות</v>
      </c>
      <c r="G2649" t="str">
        <f>"700065"</f>
        <v>700065</v>
      </c>
      <c r="H2649" t="str">
        <f>"אלתא מערכות בע""מ"</f>
        <v>אלתא מערכות בע"מ</v>
      </c>
      <c r="I2649" t="str">
        <f>"10"</f>
        <v>10</v>
      </c>
      <c r="J2649" t="str">
        <f>"OP-AR02015"</f>
        <v>OP-AR02015</v>
      </c>
      <c r="K2649" t="str">
        <f>"MOQ FOR 9028C03101"</f>
        <v>MOQ FOR 9028C03101</v>
      </c>
      <c r="L2649">
        <v>1</v>
      </c>
      <c r="M2649" t="str">
        <f>"יח"</f>
        <v>יח</v>
      </c>
      <c r="N2649">
        <v>1</v>
      </c>
      <c r="O2649" t="str">
        <f>"יח"</f>
        <v>יח</v>
      </c>
      <c r="P2649" s="2">
        <v>3629.72</v>
      </c>
      <c r="Q2649" t="str">
        <f>"$"</f>
        <v>$</v>
      </c>
      <c r="R2649" t="str">
        <f>"הזמנה"</f>
        <v>הזמנה</v>
      </c>
      <c r="S2649">
        <v>0</v>
      </c>
      <c r="T2649" s="2">
        <v>3629.72</v>
      </c>
      <c r="U2649">
        <v>0</v>
      </c>
      <c r="V2649" s="2">
        <v>3629.72</v>
      </c>
      <c r="W2649" t="str">
        <f>"$"</f>
        <v>$</v>
      </c>
      <c r="X2649">
        <v>0</v>
      </c>
      <c r="Y2649">
        <v>0</v>
      </c>
      <c r="Z2649">
        <v>0</v>
      </c>
      <c r="AA2649" t="str">
        <f>"Y"</f>
        <v>Y</v>
      </c>
      <c r="AC2649">
        <v>0</v>
      </c>
      <c r="AM2649" t="str">
        <f>"10"</f>
        <v>10</v>
      </c>
      <c r="AN2649" t="str">
        <f>"500000"</f>
        <v>500000</v>
      </c>
      <c r="AO2649" t="str">
        <f>"הכנסות  מלקוחות"</f>
        <v>הכנסות  מלקוחות</v>
      </c>
      <c r="AQ2649" t="str">
        <f>"034"</f>
        <v>034</v>
      </c>
      <c r="AR2649">
        <v>0</v>
      </c>
      <c r="AS2649">
        <v>0</v>
      </c>
      <c r="AT2649">
        <v>3.2469999999999999</v>
      </c>
      <c r="BB2649" t="str">
        <f>"Y"</f>
        <v>Y</v>
      </c>
      <c r="BD2649" t="str">
        <f>"ערן שלו"</f>
        <v>ערן שלו</v>
      </c>
    </row>
    <row r="2650" spans="1:56" x14ac:dyDescent="0.3">
      <c r="A2650" s="1">
        <v>44315</v>
      </c>
      <c r="B2650" t="str">
        <f>"SI216000621"</f>
        <v>SI216000621</v>
      </c>
      <c r="C2650" t="str">
        <f>"PR21000081"</f>
        <v>PR21000081</v>
      </c>
      <c r="E2650" t="str">
        <f>"Y"</f>
        <v>Y</v>
      </c>
      <c r="F2650" t="str">
        <f>"חשבוניות מרכזות"</f>
        <v>חשבוניות מרכזות</v>
      </c>
      <c r="G2650" t="str">
        <f>"700065"</f>
        <v>700065</v>
      </c>
      <c r="H2650" t="str">
        <f>"אלתא מערכות בע""מ"</f>
        <v>אלתא מערכות בע"מ</v>
      </c>
      <c r="I2650" t="str">
        <f>"10"</f>
        <v>10</v>
      </c>
      <c r="J2650" t="str">
        <f>"OP-AR02239"</f>
        <v>OP-AR02239</v>
      </c>
      <c r="K2650" t="str">
        <f>"1035K740-001    CABLE W16"</f>
        <v>1035K740-001    CABLE W16</v>
      </c>
      <c r="L2650">
        <v>4</v>
      </c>
      <c r="M2650" t="str">
        <f>"יח"</f>
        <v>יח</v>
      </c>
      <c r="N2650">
        <v>4</v>
      </c>
      <c r="O2650" t="str">
        <f>"יח"</f>
        <v>יח</v>
      </c>
      <c r="P2650" s="2">
        <v>1563.5</v>
      </c>
      <c r="Q2650" t="str">
        <f>"$"</f>
        <v>$</v>
      </c>
      <c r="R2650" t="str">
        <f>"הזמנה"</f>
        <v>הזמנה</v>
      </c>
      <c r="S2650">
        <v>0</v>
      </c>
      <c r="T2650" s="2">
        <v>6254</v>
      </c>
      <c r="U2650">
        <v>0</v>
      </c>
      <c r="V2650" s="2">
        <v>6254</v>
      </c>
      <c r="W2650" t="str">
        <f>"$"</f>
        <v>$</v>
      </c>
      <c r="X2650">
        <v>0</v>
      </c>
      <c r="Y2650">
        <v>0</v>
      </c>
      <c r="Z2650">
        <v>0</v>
      </c>
      <c r="AA2650" t="str">
        <f>"Y"</f>
        <v>Y</v>
      </c>
      <c r="AB2650" t="str">
        <f>"SO21000024"</f>
        <v>SO21000024</v>
      </c>
      <c r="AC2650">
        <v>1</v>
      </c>
      <c r="AD2650" s="1">
        <v>44215</v>
      </c>
      <c r="AE2650" t="str">
        <f>"SH21000663"</f>
        <v>SH21000663</v>
      </c>
      <c r="AF2650" t="str">
        <f>"משלוחים ללקוח"</f>
        <v>משלוחים ללקוח</v>
      </c>
      <c r="AG2650" s="1">
        <v>44314</v>
      </c>
      <c r="AM2650" t="str">
        <f>"10"</f>
        <v>10</v>
      </c>
      <c r="AN2650" t="str">
        <f>"500000"</f>
        <v>500000</v>
      </c>
      <c r="AO2650" t="str">
        <f>"הכנסות  מלקוחות"</f>
        <v>הכנסות  מלקוחות</v>
      </c>
      <c r="AQ2650" t="str">
        <f>"034"</f>
        <v>034</v>
      </c>
      <c r="AR2650">
        <v>0</v>
      </c>
      <c r="AS2650">
        <v>0</v>
      </c>
      <c r="AT2650">
        <v>3.246</v>
      </c>
      <c r="AX2650" t="str">
        <f>"E000330496"</f>
        <v>E000330496</v>
      </c>
      <c r="BD2650" t="str">
        <f>"ערן שלו"</f>
        <v>ערן שלו</v>
      </c>
    </row>
    <row r="2651" spans="1:56" x14ac:dyDescent="0.3">
      <c r="A2651" s="1">
        <v>44315</v>
      </c>
      <c r="B2651" t="str">
        <f>"SI216000606"</f>
        <v>SI216000606</v>
      </c>
      <c r="C2651" t="str">
        <f>"PR20000851"</f>
        <v>PR20000851</v>
      </c>
      <c r="D2651" t="str">
        <f>"PR20000851"</f>
        <v>PR20000851</v>
      </c>
      <c r="E2651" t="str">
        <f>"Y"</f>
        <v>Y</v>
      </c>
      <c r="F2651" t="str">
        <f>"חשבוניות מרכזות"</f>
        <v>חשבוניות מרכזות</v>
      </c>
      <c r="G2651" t="str">
        <f>"700065"</f>
        <v>700065</v>
      </c>
      <c r="H2651" t="str">
        <f>"אלתא מערכות בע""מ"</f>
        <v>אלתא מערכות בע"מ</v>
      </c>
      <c r="I2651" t="str">
        <f>"10"</f>
        <v>10</v>
      </c>
      <c r="J2651" t="str">
        <f>"OP-AR02153"</f>
        <v>OP-AR02153</v>
      </c>
      <c r="K2651" t="str">
        <f>"1039H801-001   HARNESS WY001 - PDU 1 POWER IN"</f>
        <v>1039H801-001   HARNESS WY001 - PDU 1 POWER IN</v>
      </c>
      <c r="L2651">
        <v>2</v>
      </c>
      <c r="M2651" t="str">
        <f>"יח"</f>
        <v>יח</v>
      </c>
      <c r="N2651">
        <v>2</v>
      </c>
      <c r="O2651" t="str">
        <f>"יח"</f>
        <v>יח</v>
      </c>
      <c r="P2651">
        <v>972.25</v>
      </c>
      <c r="Q2651" t="str">
        <f>"$"</f>
        <v>$</v>
      </c>
      <c r="R2651" t="str">
        <f>"הזמנה"</f>
        <v>הזמנה</v>
      </c>
      <c r="S2651">
        <v>0</v>
      </c>
      <c r="T2651" s="2">
        <v>1944.5</v>
      </c>
      <c r="U2651">
        <v>0</v>
      </c>
      <c r="V2651" s="2">
        <v>1944.5</v>
      </c>
      <c r="W2651" t="str">
        <f>"$"</f>
        <v>$</v>
      </c>
      <c r="X2651">
        <v>0</v>
      </c>
      <c r="Y2651">
        <v>0</v>
      </c>
      <c r="Z2651">
        <v>0</v>
      </c>
      <c r="AA2651" t="str">
        <f>"Y"</f>
        <v>Y</v>
      </c>
      <c r="AB2651" t="str">
        <f>"SO20000555"</f>
        <v>SO20000555</v>
      </c>
      <c r="AC2651">
        <v>1</v>
      </c>
      <c r="AD2651" s="1">
        <v>44166</v>
      </c>
      <c r="AE2651" t="str">
        <f>"SH21000675"</f>
        <v>SH21000675</v>
      </c>
      <c r="AF2651" t="str">
        <f>"משלוחים ללקוח"</f>
        <v>משלוחים ללקוח</v>
      </c>
      <c r="AG2651" s="1">
        <v>44315</v>
      </c>
      <c r="AM2651" t="str">
        <f>"10"</f>
        <v>10</v>
      </c>
      <c r="AN2651" t="str">
        <f>"500000"</f>
        <v>500000</v>
      </c>
      <c r="AO2651" t="str">
        <f>"הכנסות  מלקוחות"</f>
        <v>הכנסות  מלקוחות</v>
      </c>
      <c r="AQ2651" t="str">
        <f>"034"</f>
        <v>034</v>
      </c>
      <c r="AR2651">
        <v>0</v>
      </c>
      <c r="AS2651">
        <v>0</v>
      </c>
      <c r="AT2651">
        <v>3.246</v>
      </c>
      <c r="AX2651" t="str">
        <f>"E000326481"</f>
        <v>E000326481</v>
      </c>
      <c r="BD2651" t="str">
        <f>"ערן שלו"</f>
        <v>ערן שלו</v>
      </c>
    </row>
    <row r="2652" spans="1:56" x14ac:dyDescent="0.3">
      <c r="A2652" s="1">
        <v>44315</v>
      </c>
      <c r="B2652" t="str">
        <f>"SI216000606"</f>
        <v>SI216000606</v>
      </c>
      <c r="C2652" t="str">
        <f>"PR20000851"</f>
        <v>PR20000851</v>
      </c>
      <c r="D2652" t="str">
        <f>"PR20000851"</f>
        <v>PR20000851</v>
      </c>
      <c r="E2652" t="str">
        <f>"Y"</f>
        <v>Y</v>
      </c>
      <c r="F2652" t="str">
        <f>"חשבוניות מרכזות"</f>
        <v>חשבוניות מרכזות</v>
      </c>
      <c r="G2652" t="str">
        <f>"700065"</f>
        <v>700065</v>
      </c>
      <c r="H2652" t="str">
        <f>"אלתא מערכות בע""מ"</f>
        <v>אלתא מערכות בע"מ</v>
      </c>
      <c r="I2652" t="str">
        <f>"10"</f>
        <v>10</v>
      </c>
      <c r="J2652" t="str">
        <f>"OP-AR02166"</f>
        <v>OP-AR02166</v>
      </c>
      <c r="K2652" t="str">
        <f>"1039H822-001/-   HARNESS WY022 - PDU TO TRA2 EXT"</f>
        <v>1039H822-001/-   HARNESS WY022 - PDU TO TRA2 EXT</v>
      </c>
      <c r="L2652">
        <v>2</v>
      </c>
      <c r="M2652" t="str">
        <f>"יח"</f>
        <v>יח</v>
      </c>
      <c r="N2652">
        <v>2</v>
      </c>
      <c r="O2652" t="str">
        <f>"יח"</f>
        <v>יח</v>
      </c>
      <c r="P2652">
        <v>828.98</v>
      </c>
      <c r="Q2652" t="str">
        <f>"$"</f>
        <v>$</v>
      </c>
      <c r="R2652" t="str">
        <f>"הזמנה"</f>
        <v>הזמנה</v>
      </c>
      <c r="S2652">
        <v>0</v>
      </c>
      <c r="T2652" s="2">
        <v>1657.96</v>
      </c>
      <c r="U2652">
        <v>0</v>
      </c>
      <c r="V2652" s="2">
        <v>1657.96</v>
      </c>
      <c r="W2652" t="str">
        <f>"$"</f>
        <v>$</v>
      </c>
      <c r="X2652">
        <v>0</v>
      </c>
      <c r="Y2652">
        <v>0</v>
      </c>
      <c r="Z2652">
        <v>0</v>
      </c>
      <c r="AA2652" t="str">
        <f>"Y"</f>
        <v>Y</v>
      </c>
      <c r="AB2652" t="str">
        <f>"SO20000555"</f>
        <v>SO20000555</v>
      </c>
      <c r="AC2652">
        <v>13</v>
      </c>
      <c r="AD2652" s="1">
        <v>44166</v>
      </c>
      <c r="AE2652" t="str">
        <f>"SH21000675"</f>
        <v>SH21000675</v>
      </c>
      <c r="AF2652" t="str">
        <f>"משלוחים ללקוח"</f>
        <v>משלוחים ללקוח</v>
      </c>
      <c r="AG2652" s="1">
        <v>44315</v>
      </c>
      <c r="AM2652" t="str">
        <f>"10"</f>
        <v>10</v>
      </c>
      <c r="AN2652" t="str">
        <f>"500000"</f>
        <v>500000</v>
      </c>
      <c r="AO2652" t="str">
        <f>"הכנסות  מלקוחות"</f>
        <v>הכנסות  מלקוחות</v>
      </c>
      <c r="AQ2652" t="str">
        <f>"034"</f>
        <v>034</v>
      </c>
      <c r="AR2652">
        <v>0</v>
      </c>
      <c r="AS2652">
        <v>0</v>
      </c>
      <c r="AT2652">
        <v>3.246</v>
      </c>
      <c r="AX2652" t="str">
        <f>"E000326481"</f>
        <v>E000326481</v>
      </c>
      <c r="BD2652" t="str">
        <f>"ערן שלו"</f>
        <v>ערן שלו</v>
      </c>
    </row>
    <row r="2653" spans="1:56" x14ac:dyDescent="0.3">
      <c r="A2653" s="1">
        <v>44315</v>
      </c>
      <c r="B2653" t="str">
        <f>"SI216000606"</f>
        <v>SI216000606</v>
      </c>
      <c r="C2653" t="str">
        <f>"PR20000851"</f>
        <v>PR20000851</v>
      </c>
      <c r="D2653" t="str">
        <f>"PR20000851"</f>
        <v>PR20000851</v>
      </c>
      <c r="E2653" t="str">
        <f>"Y"</f>
        <v>Y</v>
      </c>
      <c r="F2653" t="str">
        <f>"חשבוניות מרכזות"</f>
        <v>חשבוניות מרכזות</v>
      </c>
      <c r="G2653" t="str">
        <f>"700065"</f>
        <v>700065</v>
      </c>
      <c r="H2653" t="str">
        <f>"אלתא מערכות בע""מ"</f>
        <v>אלתא מערכות בע"מ</v>
      </c>
      <c r="I2653" t="str">
        <f>"10"</f>
        <v>10</v>
      </c>
      <c r="J2653" t="str">
        <f>"OP-AR02187"</f>
        <v>OP-AR02187</v>
      </c>
      <c r="K2653" t="str">
        <f>"1039H861-001/-   HARNESS WY061 - CU TO TRA1 AND"</f>
        <v>1039H861-001/-   HARNESS WY061 - CU TO TRA1 AND</v>
      </c>
      <c r="L2653">
        <v>3</v>
      </c>
      <c r="M2653" t="str">
        <f>"יח"</f>
        <v>יח</v>
      </c>
      <c r="N2653">
        <v>3</v>
      </c>
      <c r="O2653" t="str">
        <f>"יח"</f>
        <v>יח</v>
      </c>
      <c r="P2653" s="2">
        <v>1113.19</v>
      </c>
      <c r="Q2653" t="str">
        <f>"$"</f>
        <v>$</v>
      </c>
      <c r="R2653" t="str">
        <f>"הזמנה"</f>
        <v>הזמנה</v>
      </c>
      <c r="S2653">
        <v>0</v>
      </c>
      <c r="T2653" s="2">
        <v>3339.57</v>
      </c>
      <c r="U2653">
        <v>0</v>
      </c>
      <c r="V2653" s="2">
        <v>3339.57</v>
      </c>
      <c r="W2653" t="str">
        <f>"$"</f>
        <v>$</v>
      </c>
      <c r="X2653">
        <v>0</v>
      </c>
      <c r="Y2653">
        <v>0</v>
      </c>
      <c r="Z2653">
        <v>0</v>
      </c>
      <c r="AA2653" t="str">
        <f>"Y"</f>
        <v>Y</v>
      </c>
      <c r="AB2653" t="str">
        <f>"SO20000555"</f>
        <v>SO20000555</v>
      </c>
      <c r="AC2653">
        <v>34</v>
      </c>
      <c r="AD2653" s="1">
        <v>44166</v>
      </c>
      <c r="AE2653" t="str">
        <f>"SH21000675"</f>
        <v>SH21000675</v>
      </c>
      <c r="AF2653" t="str">
        <f>"משלוחים ללקוח"</f>
        <v>משלוחים ללקוח</v>
      </c>
      <c r="AG2653" s="1">
        <v>44315</v>
      </c>
      <c r="AM2653" t="str">
        <f>"10"</f>
        <v>10</v>
      </c>
      <c r="AN2653" t="str">
        <f>"500000"</f>
        <v>500000</v>
      </c>
      <c r="AO2653" t="str">
        <f>"הכנסות  מלקוחות"</f>
        <v>הכנסות  מלקוחות</v>
      </c>
      <c r="AQ2653" t="str">
        <f>"034"</f>
        <v>034</v>
      </c>
      <c r="AR2653">
        <v>0</v>
      </c>
      <c r="AS2653">
        <v>0</v>
      </c>
      <c r="AT2653">
        <v>3.246</v>
      </c>
      <c r="AX2653" t="str">
        <f>"E000326481"</f>
        <v>E000326481</v>
      </c>
      <c r="BD2653" t="str">
        <f>"ערן שלו"</f>
        <v>ערן שלו</v>
      </c>
    </row>
    <row r="2654" spans="1:56" x14ac:dyDescent="0.3">
      <c r="A2654" s="1">
        <v>44315</v>
      </c>
      <c r="B2654" t="str">
        <f>"SI216000605"</f>
        <v>SI216000605</v>
      </c>
      <c r="C2654" t="str">
        <f>"PR20000851"</f>
        <v>PR20000851</v>
      </c>
      <c r="D2654" t="str">
        <f>"PR20000851"</f>
        <v>PR20000851</v>
      </c>
      <c r="E2654" t="str">
        <f>"Y"</f>
        <v>Y</v>
      </c>
      <c r="F2654" t="str">
        <f>"חשבוניות מרכזות"</f>
        <v>חשבוניות מרכזות</v>
      </c>
      <c r="G2654" t="str">
        <f>"700065"</f>
        <v>700065</v>
      </c>
      <c r="H2654" t="str">
        <f>"אלתא מערכות בע""מ"</f>
        <v>אלתא מערכות בע"מ</v>
      </c>
      <c r="I2654" t="str">
        <f>"10"</f>
        <v>10</v>
      </c>
      <c r="J2654" t="str">
        <f>"OP-AR02179"</f>
        <v>OP-AR02179</v>
      </c>
      <c r="K2654" t="str">
        <f>"1039H839-001/A   HARNESS WY039 - FAN"</f>
        <v>1039H839-001/A   HARNESS WY039 - FAN</v>
      </c>
      <c r="L2654">
        <v>16</v>
      </c>
      <c r="M2654" t="str">
        <f>"יח"</f>
        <v>יח</v>
      </c>
      <c r="N2654">
        <v>16</v>
      </c>
      <c r="O2654" t="str">
        <f>"יח"</f>
        <v>יח</v>
      </c>
      <c r="P2654">
        <v>82.92</v>
      </c>
      <c r="Q2654" t="str">
        <f>"$"</f>
        <v>$</v>
      </c>
      <c r="R2654" t="str">
        <f>"הזמנה"</f>
        <v>הזמנה</v>
      </c>
      <c r="S2654">
        <v>0</v>
      </c>
      <c r="T2654" s="2">
        <v>1326.72</v>
      </c>
      <c r="U2654">
        <v>0</v>
      </c>
      <c r="V2654" s="2">
        <v>1326.72</v>
      </c>
      <c r="W2654" t="str">
        <f>"$"</f>
        <v>$</v>
      </c>
      <c r="X2654">
        <v>0</v>
      </c>
      <c r="Y2654">
        <v>0</v>
      </c>
      <c r="Z2654">
        <v>0</v>
      </c>
      <c r="AA2654" t="str">
        <f>"Y"</f>
        <v>Y</v>
      </c>
      <c r="AB2654" t="str">
        <f>"SO20000555"</f>
        <v>SO20000555</v>
      </c>
      <c r="AC2654">
        <v>26</v>
      </c>
      <c r="AD2654" s="1">
        <v>44166</v>
      </c>
      <c r="AE2654" t="str">
        <f>"SH21000662"</f>
        <v>SH21000662</v>
      </c>
      <c r="AF2654" t="str">
        <f>"משלוחים ללקוח"</f>
        <v>משלוחים ללקוח</v>
      </c>
      <c r="AG2654" s="1">
        <v>44314</v>
      </c>
      <c r="AM2654" t="str">
        <f>"10"</f>
        <v>10</v>
      </c>
      <c r="AN2654" t="str">
        <f>"500000"</f>
        <v>500000</v>
      </c>
      <c r="AO2654" t="str">
        <f>"הכנסות  מלקוחות"</f>
        <v>הכנסות  מלקוחות</v>
      </c>
      <c r="AQ2654" t="str">
        <f>"034"</f>
        <v>034</v>
      </c>
      <c r="AR2654">
        <v>0</v>
      </c>
      <c r="AS2654">
        <v>0</v>
      </c>
      <c r="AT2654">
        <v>3.246</v>
      </c>
      <c r="AX2654" t="str">
        <f>"E000326481"</f>
        <v>E000326481</v>
      </c>
      <c r="BD2654" t="str">
        <f>"ערן שלו"</f>
        <v>ערן שלו</v>
      </c>
    </row>
    <row r="2655" spans="1:56" x14ac:dyDescent="0.3">
      <c r="A2655" s="1">
        <v>44315</v>
      </c>
      <c r="B2655" t="str">
        <f>"SI216000604"</f>
        <v>SI216000604</v>
      </c>
      <c r="C2655" t="str">
        <f>"PR20000620"</f>
        <v>PR20000620</v>
      </c>
      <c r="D2655" t="str">
        <f>"PR20000620"</f>
        <v>PR20000620</v>
      </c>
      <c r="E2655" t="str">
        <f>"Y"</f>
        <v>Y</v>
      </c>
      <c r="F2655" t="str">
        <f>"חשבוניות מרכזות"</f>
        <v>חשבוניות מרכזות</v>
      </c>
      <c r="G2655" t="str">
        <f>"700065"</f>
        <v>700065</v>
      </c>
      <c r="H2655" t="str">
        <f>"אלתא מערכות בע""מ"</f>
        <v>אלתא מערכות בע"מ</v>
      </c>
      <c r="I2655" t="str">
        <f>"10"</f>
        <v>10</v>
      </c>
      <c r="J2655" t="str">
        <f>"OP-AR02007"</f>
        <v>OP-AR02007</v>
      </c>
      <c r="K2655" t="str">
        <f>"1017C863-001/C  CABLE 220V AC RACK PANEL W63"</f>
        <v>1017C863-001/C  CABLE 220V AC RACK PANEL W63</v>
      </c>
      <c r="L2655">
        <v>6</v>
      </c>
      <c r="M2655" t="str">
        <f>"יח"</f>
        <v>יח</v>
      </c>
      <c r="N2655">
        <v>6</v>
      </c>
      <c r="O2655" t="str">
        <f>"יח"</f>
        <v>יח</v>
      </c>
      <c r="P2655" s="2">
        <v>1516.71</v>
      </c>
      <c r="Q2655" t="str">
        <f>"$"</f>
        <v>$</v>
      </c>
      <c r="R2655" t="str">
        <f>"הזמנה"</f>
        <v>הזמנה</v>
      </c>
      <c r="S2655">
        <v>0</v>
      </c>
      <c r="T2655" s="2">
        <v>9100.26</v>
      </c>
      <c r="U2655">
        <v>0</v>
      </c>
      <c r="V2655" s="2">
        <v>9100.26</v>
      </c>
      <c r="W2655" t="str">
        <f>"$"</f>
        <v>$</v>
      </c>
      <c r="X2655">
        <v>0</v>
      </c>
      <c r="Y2655">
        <v>0</v>
      </c>
      <c r="Z2655">
        <v>0</v>
      </c>
      <c r="AA2655" t="str">
        <f>"Y"</f>
        <v>Y</v>
      </c>
      <c r="AB2655" t="str">
        <f>"SO20000409"</f>
        <v>SO20000409</v>
      </c>
      <c r="AC2655">
        <v>3</v>
      </c>
      <c r="AD2655" s="1">
        <v>44082</v>
      </c>
      <c r="AE2655" t="str">
        <f>"SH21000674"</f>
        <v>SH21000674</v>
      </c>
      <c r="AF2655" t="str">
        <f>"משלוחים ללקוח"</f>
        <v>משלוחים ללקוח</v>
      </c>
      <c r="AG2655" s="1">
        <v>44315</v>
      </c>
      <c r="AM2655" t="str">
        <f>"10"</f>
        <v>10</v>
      </c>
      <c r="AN2655" t="str">
        <f>"500000"</f>
        <v>500000</v>
      </c>
      <c r="AO2655" t="str">
        <f>"הכנסות  מלקוחות"</f>
        <v>הכנסות  מלקוחות</v>
      </c>
      <c r="AQ2655" t="str">
        <f>"034"</f>
        <v>034</v>
      </c>
      <c r="AR2655">
        <v>0</v>
      </c>
      <c r="AS2655">
        <v>0</v>
      </c>
      <c r="AT2655">
        <v>3.246</v>
      </c>
      <c r="AX2655" t="str">
        <f>"E000320341"</f>
        <v>E000320341</v>
      </c>
      <c r="BD2655" t="str">
        <f>"ערן שלו"</f>
        <v>ערן שלו</v>
      </c>
    </row>
    <row r="2656" spans="1:56" x14ac:dyDescent="0.3">
      <c r="A2656" s="1">
        <v>44315</v>
      </c>
      <c r="B2656" t="str">
        <f>"SI216000604"</f>
        <v>SI216000604</v>
      </c>
      <c r="C2656" t="str">
        <f>"PR20000620"</f>
        <v>PR20000620</v>
      </c>
      <c r="D2656" t="str">
        <f>"PR20000620"</f>
        <v>PR20000620</v>
      </c>
      <c r="E2656" t="str">
        <f>"Y"</f>
        <v>Y</v>
      </c>
      <c r="F2656" t="str">
        <f>"חשבוניות מרכזות"</f>
        <v>חשבוניות מרכזות</v>
      </c>
      <c r="G2656" t="str">
        <f>"700065"</f>
        <v>700065</v>
      </c>
      <c r="H2656" t="str">
        <f>"אלתא מערכות בע""מ"</f>
        <v>אלתא מערכות בע"מ</v>
      </c>
      <c r="I2656" t="str">
        <f>"10"</f>
        <v>10</v>
      </c>
      <c r="J2656" t="str">
        <f>"OP-AR02008"</f>
        <v>OP-AR02008</v>
      </c>
      <c r="K2656" t="str">
        <f>"1016C803-001/E  W3 220V TO MEU AND TRANS CABLE"</f>
        <v>1016C803-001/E  W3 220V TO MEU AND TRANS CABLE</v>
      </c>
      <c r="L2656">
        <v>7</v>
      </c>
      <c r="M2656" t="str">
        <f>"יח"</f>
        <v>יח</v>
      </c>
      <c r="N2656">
        <v>7</v>
      </c>
      <c r="O2656" t="str">
        <f>"יח"</f>
        <v>יח</v>
      </c>
      <c r="P2656">
        <v>887.08</v>
      </c>
      <c r="Q2656" t="str">
        <f>"$"</f>
        <v>$</v>
      </c>
      <c r="R2656" t="str">
        <f>"הזמנה"</f>
        <v>הזמנה</v>
      </c>
      <c r="S2656">
        <v>0</v>
      </c>
      <c r="T2656" s="2">
        <v>6209.56</v>
      </c>
      <c r="U2656">
        <v>0</v>
      </c>
      <c r="V2656" s="2">
        <v>6209.56</v>
      </c>
      <c r="W2656" t="str">
        <f>"$"</f>
        <v>$</v>
      </c>
      <c r="X2656">
        <v>0</v>
      </c>
      <c r="Y2656">
        <v>0</v>
      </c>
      <c r="Z2656">
        <v>0</v>
      </c>
      <c r="AA2656" t="str">
        <f>"Y"</f>
        <v>Y</v>
      </c>
      <c r="AB2656" t="str">
        <f>"SO20000409"</f>
        <v>SO20000409</v>
      </c>
      <c r="AC2656">
        <v>7</v>
      </c>
      <c r="AD2656" s="1">
        <v>44082</v>
      </c>
      <c r="AE2656" t="str">
        <f>"SH21000674"</f>
        <v>SH21000674</v>
      </c>
      <c r="AF2656" t="str">
        <f>"משלוחים ללקוח"</f>
        <v>משלוחים ללקוח</v>
      </c>
      <c r="AG2656" s="1">
        <v>44315</v>
      </c>
      <c r="AM2656" t="str">
        <f>"10"</f>
        <v>10</v>
      </c>
      <c r="AN2656" t="str">
        <f>"500000"</f>
        <v>500000</v>
      </c>
      <c r="AO2656" t="str">
        <f>"הכנסות  מלקוחות"</f>
        <v>הכנסות  מלקוחות</v>
      </c>
      <c r="AQ2656" t="str">
        <f>"034"</f>
        <v>034</v>
      </c>
      <c r="AR2656">
        <v>0</v>
      </c>
      <c r="AS2656">
        <v>0</v>
      </c>
      <c r="AT2656">
        <v>3.246</v>
      </c>
      <c r="AX2656" t="str">
        <f>"E000320341"</f>
        <v>E000320341</v>
      </c>
      <c r="BD2656" t="str">
        <f>"ערן שלו"</f>
        <v>ערן שלו</v>
      </c>
    </row>
    <row r="2657" spans="1:56" x14ac:dyDescent="0.3">
      <c r="A2657" s="1">
        <v>44315</v>
      </c>
      <c r="B2657" t="str">
        <f>"SI216000604"</f>
        <v>SI216000604</v>
      </c>
      <c r="C2657" t="str">
        <f>"PR20000620"</f>
        <v>PR20000620</v>
      </c>
      <c r="D2657" t="str">
        <f>"PR20000620"</f>
        <v>PR20000620</v>
      </c>
      <c r="E2657" t="str">
        <f>"Y"</f>
        <v>Y</v>
      </c>
      <c r="F2657" t="str">
        <f>"חשבוניות מרכזות"</f>
        <v>חשבוניות מרכזות</v>
      </c>
      <c r="G2657" t="str">
        <f>"700065"</f>
        <v>700065</v>
      </c>
      <c r="H2657" t="str">
        <f>"אלתא מערכות בע""מ"</f>
        <v>אלתא מערכות בע"מ</v>
      </c>
      <c r="I2657" t="str">
        <f>"10"</f>
        <v>10</v>
      </c>
      <c r="J2657" t="str">
        <f>"PA1001607"</f>
        <v>PA1001607</v>
      </c>
      <c r="K2657" t="str">
        <f>"כבל 9028C03101  CABLE DOUBLE SHIELDED 3X12 AWG"</f>
        <v>כבל 9028C03101  CABLE DOUBLE SHIELDED 3X12 AWG</v>
      </c>
      <c r="L2657">
        <v>335</v>
      </c>
      <c r="M2657" t="str">
        <f>"מטר"</f>
        <v>מטר</v>
      </c>
      <c r="N2657">
        <v>335</v>
      </c>
      <c r="O2657" t="str">
        <f>"מטר"</f>
        <v>מטר</v>
      </c>
      <c r="P2657">
        <v>10.83</v>
      </c>
      <c r="Q2657" t="str">
        <f>"$"</f>
        <v>$</v>
      </c>
      <c r="R2657" t="str">
        <f>"הזמנה"</f>
        <v>הזמנה</v>
      </c>
      <c r="S2657">
        <v>0</v>
      </c>
      <c r="T2657" s="2">
        <v>3628.05</v>
      </c>
      <c r="U2657">
        <v>0</v>
      </c>
      <c r="V2657" s="2">
        <v>3628.05</v>
      </c>
      <c r="W2657" t="str">
        <f>"$"</f>
        <v>$</v>
      </c>
      <c r="X2657">
        <v>0</v>
      </c>
      <c r="Y2657">
        <v>0</v>
      </c>
      <c r="Z2657">
        <v>0</v>
      </c>
      <c r="AA2657" t="str">
        <f>"Y"</f>
        <v>Y</v>
      </c>
      <c r="AB2657" t="str">
        <f>"SO20000409"</f>
        <v>SO20000409</v>
      </c>
      <c r="AC2657">
        <v>13</v>
      </c>
      <c r="AD2657" s="1">
        <v>44082</v>
      </c>
      <c r="AE2657" t="str">
        <f>"SH21000674"</f>
        <v>SH21000674</v>
      </c>
      <c r="AF2657" t="str">
        <f>"משלוחים ללקוח"</f>
        <v>משלוחים ללקוח</v>
      </c>
      <c r="AG2657" s="1">
        <v>44315</v>
      </c>
      <c r="AM2657" t="str">
        <f>"10"</f>
        <v>10</v>
      </c>
      <c r="AN2657" t="str">
        <f>"500000"</f>
        <v>500000</v>
      </c>
      <c r="AO2657" t="str">
        <f>"הכנסות  מלקוחות"</f>
        <v>הכנסות  מלקוחות</v>
      </c>
      <c r="AQ2657" t="str">
        <f>"034"</f>
        <v>034</v>
      </c>
      <c r="AR2657">
        <v>0</v>
      </c>
      <c r="AS2657">
        <v>0</v>
      </c>
      <c r="AT2657">
        <v>3.246</v>
      </c>
      <c r="AX2657" t="str">
        <f>"E000320341"</f>
        <v>E000320341</v>
      </c>
      <c r="BD2657" t="str">
        <f>"ערן שלו"</f>
        <v>ערן שלו</v>
      </c>
    </row>
    <row r="2658" spans="1:56" x14ac:dyDescent="0.3">
      <c r="A2658" s="1">
        <v>44312</v>
      </c>
      <c r="B2658" t="str">
        <f>"SI216000588"</f>
        <v>SI216000588</v>
      </c>
      <c r="E2658" t="str">
        <f>"Y"</f>
        <v>Y</v>
      </c>
      <c r="F2658" t="str">
        <f>"חשבוניות מרכזות"</f>
        <v>חשבוניות מרכזות</v>
      </c>
      <c r="G2658" t="str">
        <f>"700065"</f>
        <v>700065</v>
      </c>
      <c r="H2658" t="str">
        <f>"אלתא מערכות בע""מ"</f>
        <v>אלתא מערכות בע"מ</v>
      </c>
      <c r="I2658" t="str">
        <f>"10"</f>
        <v>10</v>
      </c>
      <c r="J2658" t="str">
        <f>"999"</f>
        <v>999</v>
      </c>
      <c r="K2658" t="str">
        <f>"עדכוני תכולה עבור חטיבת +CU"</f>
        <v>עדכוני תכולה עבור חטיבת +CU</v>
      </c>
      <c r="L2658">
        <v>0.5</v>
      </c>
      <c r="M2658" t="str">
        <f>"חל"</f>
        <v>חל</v>
      </c>
      <c r="N2658">
        <v>0.5</v>
      </c>
      <c r="O2658" t="str">
        <f>"חל"</f>
        <v>חל</v>
      </c>
      <c r="P2658" s="2">
        <v>8153.74</v>
      </c>
      <c r="Q2658" t="str">
        <f>"$"</f>
        <v>$</v>
      </c>
      <c r="R2658" t="str">
        <f>"הזמנה"</f>
        <v>הזמנה</v>
      </c>
      <c r="S2658">
        <v>0</v>
      </c>
      <c r="T2658" s="2">
        <v>4076.87</v>
      </c>
      <c r="U2658">
        <v>0</v>
      </c>
      <c r="V2658" s="2">
        <v>4076.87</v>
      </c>
      <c r="W2658" t="str">
        <f>"$"</f>
        <v>$</v>
      </c>
      <c r="X2658">
        <v>0</v>
      </c>
      <c r="Y2658">
        <v>0</v>
      </c>
      <c r="Z2658">
        <v>0</v>
      </c>
      <c r="AA2658" t="str">
        <f>"Y"</f>
        <v>Y</v>
      </c>
      <c r="AB2658" t="str">
        <f>"SO20000219"</f>
        <v>SO20000219</v>
      </c>
      <c r="AC2658">
        <v>1</v>
      </c>
      <c r="AD2658" s="1">
        <v>43982</v>
      </c>
      <c r="AM2658" t="str">
        <f>"10"</f>
        <v>10</v>
      </c>
      <c r="AN2658" t="str">
        <f>"500000"</f>
        <v>500000</v>
      </c>
      <c r="AO2658" t="str">
        <f>"הכנסות  מלקוחות"</f>
        <v>הכנסות  מלקוחות</v>
      </c>
      <c r="AQ2658" t="str">
        <f>"034"</f>
        <v>034</v>
      </c>
      <c r="AR2658">
        <v>0</v>
      </c>
      <c r="AS2658">
        <v>0</v>
      </c>
      <c r="AT2658">
        <v>3.2549999999999999</v>
      </c>
      <c r="AX2658" t="str">
        <f>"E000312759"</f>
        <v>E000312759</v>
      </c>
      <c r="BD2658" t="str">
        <f>"ערן שלו"</f>
        <v>ערן שלו</v>
      </c>
    </row>
    <row r="2659" spans="1:56" x14ac:dyDescent="0.3">
      <c r="A2659" s="1">
        <v>44311</v>
      </c>
      <c r="B2659" t="str">
        <f>"SI216000587"</f>
        <v>SI216000587</v>
      </c>
      <c r="E2659" t="str">
        <f>"Y"</f>
        <v>Y</v>
      </c>
      <c r="F2659" t="str">
        <f>"חשבוניות מרכזות"</f>
        <v>חשבוניות מרכזות</v>
      </c>
      <c r="G2659" t="str">
        <f>"700065"</f>
        <v>700065</v>
      </c>
      <c r="H2659" t="str">
        <f>"אלתא מערכות בע""מ"</f>
        <v>אלתא מערכות בע"מ</v>
      </c>
      <c r="I2659" t="str">
        <f>"10"</f>
        <v>10</v>
      </c>
      <c r="J2659" t="str">
        <f>"999"</f>
        <v>999</v>
      </c>
      <c r="K2659" t="str">
        <f>"עדכוני תכולה עבור חטיבת +CU"</f>
        <v>עדכוני תכולה עבור חטיבת +CU</v>
      </c>
      <c r="L2659">
        <v>-1</v>
      </c>
      <c r="M2659" t="str">
        <f>"חל"</f>
        <v>חל</v>
      </c>
      <c r="N2659">
        <v>-1</v>
      </c>
      <c r="O2659" t="str">
        <f>"חל"</f>
        <v>חל</v>
      </c>
      <c r="P2659" s="2">
        <v>4076.87</v>
      </c>
      <c r="Q2659" t="str">
        <f>"$"</f>
        <v>$</v>
      </c>
      <c r="R2659" t="str">
        <f>"הזמנה"</f>
        <v>הזמנה</v>
      </c>
      <c r="S2659">
        <v>0</v>
      </c>
      <c r="T2659" s="2">
        <v>-4076.87</v>
      </c>
      <c r="U2659">
        <v>0</v>
      </c>
      <c r="V2659" s="2">
        <v>-4076.87</v>
      </c>
      <c r="W2659" t="str">
        <f>"$"</f>
        <v>$</v>
      </c>
      <c r="X2659">
        <v>0</v>
      </c>
      <c r="Y2659">
        <v>0</v>
      </c>
      <c r="Z2659">
        <v>0</v>
      </c>
      <c r="AC2659">
        <v>0</v>
      </c>
      <c r="AM2659" t="str">
        <f>"10"</f>
        <v>10</v>
      </c>
      <c r="AN2659" t="str">
        <f>"500001"</f>
        <v>500001</v>
      </c>
      <c r="AO2659" t="str">
        <f>"הכנסות פטורות מע""מ"</f>
        <v>הכנסות פטורות מע"מ</v>
      </c>
      <c r="AQ2659" t="str">
        <f>"034"</f>
        <v>034</v>
      </c>
      <c r="AR2659">
        <v>0</v>
      </c>
      <c r="AS2659">
        <v>0</v>
      </c>
      <c r="AT2659">
        <v>3.2549999999999999</v>
      </c>
      <c r="BB2659" t="str">
        <f>"Y"</f>
        <v>Y</v>
      </c>
      <c r="BD2659" t="str">
        <f>"ערן שלו"</f>
        <v>ערן שלו</v>
      </c>
    </row>
    <row r="2660" spans="1:56" x14ac:dyDescent="0.3">
      <c r="A2660" s="1">
        <v>44311</v>
      </c>
      <c r="B2660" t="str">
        <f>"SI216000572"</f>
        <v>SI216000572</v>
      </c>
      <c r="E2660" t="str">
        <f>"Y"</f>
        <v>Y</v>
      </c>
      <c r="F2660" t="str">
        <f>"חשבוניות מרכזות"</f>
        <v>חשבוניות מרכזות</v>
      </c>
      <c r="G2660" t="str">
        <f>"700065"</f>
        <v>700065</v>
      </c>
      <c r="H2660" t="str">
        <f>"אלתא מערכות בע""מ"</f>
        <v>אלתא מערכות בע"מ</v>
      </c>
      <c r="I2660" t="str">
        <f>"10"</f>
        <v>10</v>
      </c>
      <c r="J2660" t="str">
        <f>"999"</f>
        <v>999</v>
      </c>
      <c r="K2660" t="str">
        <f>"עדכוני תכולה עבור חטיבת +CU"</f>
        <v>עדכוני תכולה עבור חטיבת +CU</v>
      </c>
      <c r="L2660">
        <v>1</v>
      </c>
      <c r="M2660" t="str">
        <f>"חל"</f>
        <v>חל</v>
      </c>
      <c r="N2660">
        <v>1</v>
      </c>
      <c r="O2660" t="str">
        <f>"חל"</f>
        <v>חל</v>
      </c>
      <c r="P2660" s="2">
        <v>4076.87</v>
      </c>
      <c r="Q2660" t="str">
        <f>"$"</f>
        <v>$</v>
      </c>
      <c r="R2660" t="str">
        <f>"הזמנה"</f>
        <v>הזמנה</v>
      </c>
      <c r="S2660">
        <v>0</v>
      </c>
      <c r="T2660" s="2">
        <v>4076.87</v>
      </c>
      <c r="U2660">
        <v>0</v>
      </c>
      <c r="V2660" s="2">
        <v>4076.87</v>
      </c>
      <c r="W2660" t="str">
        <f>"$"</f>
        <v>$</v>
      </c>
      <c r="X2660">
        <v>0</v>
      </c>
      <c r="Y2660">
        <v>0</v>
      </c>
      <c r="Z2660">
        <v>0</v>
      </c>
      <c r="AC2660">
        <v>0</v>
      </c>
      <c r="AM2660" t="str">
        <f>"10"</f>
        <v>10</v>
      </c>
      <c r="AN2660" t="str">
        <f>"500001"</f>
        <v>500001</v>
      </c>
      <c r="AO2660" t="str">
        <f>"הכנסות פטורות מע""מ"</f>
        <v>הכנסות פטורות מע"מ</v>
      </c>
      <c r="AQ2660" t="str">
        <f>"034"</f>
        <v>034</v>
      </c>
      <c r="AR2660">
        <v>0</v>
      </c>
      <c r="AS2660">
        <v>0</v>
      </c>
      <c r="AT2660">
        <v>3.2549999999999999</v>
      </c>
      <c r="BB2660" t="str">
        <f>"Y"</f>
        <v>Y</v>
      </c>
      <c r="BD2660" t="str">
        <f>"ערן שלו"</f>
        <v>ערן שלו</v>
      </c>
    </row>
    <row r="2661" spans="1:56" x14ac:dyDescent="0.3">
      <c r="A2661" s="1">
        <v>44308</v>
      </c>
      <c r="B2661" t="str">
        <f>"SI216000585"</f>
        <v>SI216000585</v>
      </c>
      <c r="C2661" t="str">
        <f>"PR20000788"</f>
        <v>PR20000788</v>
      </c>
      <c r="D2661" t="str">
        <f>"PR20000788"</f>
        <v>PR20000788</v>
      </c>
      <c r="E2661" t="str">
        <f>"Y"</f>
        <v>Y</v>
      </c>
      <c r="F2661" t="str">
        <f>"חשבוניות מרכזות"</f>
        <v>חשבוניות מרכזות</v>
      </c>
      <c r="G2661" t="str">
        <f>"700065"</f>
        <v>700065</v>
      </c>
      <c r="H2661" t="str">
        <f>"אלתא מערכות בע""מ"</f>
        <v>אלתא מערכות בע"מ</v>
      </c>
      <c r="I2661" t="str">
        <f>"10"</f>
        <v>10</v>
      </c>
      <c r="J2661" t="str">
        <f>"OP-AR01955"</f>
        <v>OP-AR01955</v>
      </c>
      <c r="K2661" t="str">
        <f>"1031B109-001/- - CABLE ASSY W109"</f>
        <v>1031B109-001/- - CABLE ASSY W109</v>
      </c>
      <c r="L2661">
        <v>1</v>
      </c>
      <c r="M2661" t="str">
        <f>"יח"</f>
        <v>יח</v>
      </c>
      <c r="N2661">
        <v>1</v>
      </c>
      <c r="O2661" t="str">
        <f>"יח"</f>
        <v>יח</v>
      </c>
      <c r="P2661" s="2">
        <v>3334.61</v>
      </c>
      <c r="Q2661" t="str">
        <f>"$"</f>
        <v>$</v>
      </c>
      <c r="R2661" t="str">
        <f>"הזמנה"</f>
        <v>הזמנה</v>
      </c>
      <c r="S2661">
        <v>0</v>
      </c>
      <c r="T2661" s="2">
        <v>3334.61</v>
      </c>
      <c r="U2661">
        <v>2</v>
      </c>
      <c r="V2661" s="2">
        <v>3267.92</v>
      </c>
      <c r="W2661" t="str">
        <f>"$"</f>
        <v>$</v>
      </c>
      <c r="X2661">
        <v>0</v>
      </c>
      <c r="Y2661">
        <v>0</v>
      </c>
      <c r="Z2661">
        <v>0</v>
      </c>
      <c r="AA2661" t="str">
        <f>"Y"</f>
        <v>Y</v>
      </c>
      <c r="AB2661" t="str">
        <f>"SO20000519"</f>
        <v>SO20000519</v>
      </c>
      <c r="AC2661">
        <v>4</v>
      </c>
      <c r="AD2661" s="1">
        <v>44146</v>
      </c>
      <c r="AE2661" t="str">
        <f>"SH21000605"</f>
        <v>SH21000605</v>
      </c>
      <c r="AF2661" t="str">
        <f>"משלוחים ללקוח"</f>
        <v>משלוחים ללקוח</v>
      </c>
      <c r="AG2661" s="1">
        <v>44306</v>
      </c>
      <c r="AM2661" t="str">
        <f>"10"</f>
        <v>10</v>
      </c>
      <c r="AN2661" t="str">
        <f>"500000"</f>
        <v>500000</v>
      </c>
      <c r="AO2661" t="str">
        <f>"הכנסות  מלקוחות"</f>
        <v>הכנסות  מלקוחות</v>
      </c>
      <c r="AQ2661" t="str">
        <f>"034"</f>
        <v>034</v>
      </c>
      <c r="AR2661">
        <v>0</v>
      </c>
      <c r="AS2661">
        <v>0</v>
      </c>
      <c r="AT2661">
        <v>3.262</v>
      </c>
      <c r="AX2661" t="str">
        <f>"E000323818"</f>
        <v>E000323818</v>
      </c>
      <c r="BD2661" t="str">
        <f>"ערן שלו"</f>
        <v>ערן שלו</v>
      </c>
    </row>
    <row r="2662" spans="1:56" x14ac:dyDescent="0.3">
      <c r="A2662" s="1">
        <v>44308</v>
      </c>
      <c r="B2662" t="str">
        <f>"SI216000584"</f>
        <v>SI216000584</v>
      </c>
      <c r="C2662" t="str">
        <f>"PR20000669"</f>
        <v>PR20000669</v>
      </c>
      <c r="E2662" t="str">
        <f>"Y"</f>
        <v>Y</v>
      </c>
      <c r="F2662" t="str">
        <f>"חשבוניות מרכזות"</f>
        <v>חשבוניות מרכזות</v>
      </c>
      <c r="G2662" t="str">
        <f>"700065"</f>
        <v>700065</v>
      </c>
      <c r="H2662" t="str">
        <f>"אלתא מערכות בע""מ"</f>
        <v>אלתא מערכות בע"מ</v>
      </c>
      <c r="I2662" t="str">
        <f>"10"</f>
        <v>10</v>
      </c>
      <c r="J2662" t="str">
        <f>"OP-AR02031"</f>
        <v>OP-AR02031</v>
      </c>
      <c r="K2662" t="str">
        <f>"4030H112-001/- HARNESS W112"</f>
        <v>4030H112-001/- HARNESS W112</v>
      </c>
      <c r="L2662">
        <v>1</v>
      </c>
      <c r="M2662" t="str">
        <f>"יח"</f>
        <v>יח</v>
      </c>
      <c r="N2662">
        <v>1</v>
      </c>
      <c r="O2662" t="str">
        <f>"יח"</f>
        <v>יח</v>
      </c>
      <c r="P2662">
        <v>645.66</v>
      </c>
      <c r="Q2662" t="str">
        <f>"$"</f>
        <v>$</v>
      </c>
      <c r="R2662" t="str">
        <f>"הזמנה"</f>
        <v>הזמנה</v>
      </c>
      <c r="S2662">
        <v>0</v>
      </c>
      <c r="T2662">
        <v>645.66</v>
      </c>
      <c r="U2662">
        <v>0</v>
      </c>
      <c r="V2662">
        <v>645.66</v>
      </c>
      <c r="W2662" t="str">
        <f>"$"</f>
        <v>$</v>
      </c>
      <c r="X2662">
        <v>0</v>
      </c>
      <c r="Y2662">
        <v>0</v>
      </c>
      <c r="Z2662">
        <v>0</v>
      </c>
      <c r="AA2662" t="str">
        <f>"Y"</f>
        <v>Y</v>
      </c>
      <c r="AB2662" t="str">
        <f>"SO20000432"</f>
        <v>SO20000432</v>
      </c>
      <c r="AC2662">
        <v>2</v>
      </c>
      <c r="AD2662" s="1">
        <v>44097</v>
      </c>
      <c r="AE2662" t="str">
        <f>"SH21000602"</f>
        <v>SH21000602</v>
      </c>
      <c r="AF2662" t="str">
        <f>"משלוחים ללקוח"</f>
        <v>משלוחים ללקוח</v>
      </c>
      <c r="AG2662" s="1">
        <v>44306</v>
      </c>
      <c r="AM2662" t="str">
        <f>"10"</f>
        <v>10</v>
      </c>
      <c r="AN2662" t="str">
        <f>"500000"</f>
        <v>500000</v>
      </c>
      <c r="AO2662" t="str">
        <f>"הכנסות  מלקוחות"</f>
        <v>הכנסות  מלקוחות</v>
      </c>
      <c r="AQ2662" t="str">
        <f>"034"</f>
        <v>034</v>
      </c>
      <c r="AR2662">
        <v>0</v>
      </c>
      <c r="AS2662">
        <v>0</v>
      </c>
      <c r="AT2662">
        <v>3.262</v>
      </c>
      <c r="AX2662" t="str">
        <f>"E000321534"</f>
        <v>E000321534</v>
      </c>
      <c r="BD2662" t="str">
        <f>"ערן שלו"</f>
        <v>ערן שלו</v>
      </c>
    </row>
    <row r="2663" spans="1:56" x14ac:dyDescent="0.3">
      <c r="A2663" s="1">
        <v>44308</v>
      </c>
      <c r="B2663" t="str">
        <f>"SI216000583"</f>
        <v>SI216000583</v>
      </c>
      <c r="C2663" t="str">
        <f>"PR20000891"</f>
        <v>PR20000891</v>
      </c>
      <c r="E2663" t="str">
        <f>"Y"</f>
        <v>Y</v>
      </c>
      <c r="F2663" t="str">
        <f>"חשבוניות מרכזות"</f>
        <v>חשבוניות מרכזות</v>
      </c>
      <c r="G2663" t="str">
        <f>"700065"</f>
        <v>700065</v>
      </c>
      <c r="H2663" t="str">
        <f>"אלתא מערכות בע""מ"</f>
        <v>אלתא מערכות בע"מ</v>
      </c>
      <c r="I2663" t="str">
        <f>"10"</f>
        <v>10</v>
      </c>
      <c r="J2663" t="str">
        <f>"OP-AR02205"</f>
        <v>OP-AR02205</v>
      </c>
      <c r="K2663" t="str">
        <f>"1034E883-001   HARNESS W883 - POWER"</f>
        <v>1034E883-001   HARNESS W883 - POWER</v>
      </c>
      <c r="L2663">
        <v>6</v>
      </c>
      <c r="M2663" t="str">
        <f>"יח"</f>
        <v>יח</v>
      </c>
      <c r="N2663">
        <v>6</v>
      </c>
      <c r="O2663" t="str">
        <f>"יח"</f>
        <v>יח</v>
      </c>
      <c r="P2663">
        <v>323.57</v>
      </c>
      <c r="Q2663" t="str">
        <f>"$"</f>
        <v>$</v>
      </c>
      <c r="R2663" t="str">
        <f>"הזמנה"</f>
        <v>הזמנה</v>
      </c>
      <c r="S2663">
        <v>0</v>
      </c>
      <c r="T2663" s="2">
        <v>1941.42</v>
      </c>
      <c r="U2663">
        <v>0</v>
      </c>
      <c r="V2663" s="2">
        <v>1941.42</v>
      </c>
      <c r="W2663" t="str">
        <f>"$"</f>
        <v>$</v>
      </c>
      <c r="X2663">
        <v>0</v>
      </c>
      <c r="Y2663">
        <v>0</v>
      </c>
      <c r="Z2663">
        <v>0</v>
      </c>
      <c r="AA2663" t="str">
        <f>"Y"</f>
        <v>Y</v>
      </c>
      <c r="AB2663" t="str">
        <f>"SO20000600"</f>
        <v>SO20000600</v>
      </c>
      <c r="AC2663">
        <v>3</v>
      </c>
      <c r="AD2663" s="1">
        <v>44185</v>
      </c>
      <c r="AE2663" t="str">
        <f>"SH21000595"</f>
        <v>SH21000595</v>
      </c>
      <c r="AF2663" t="str">
        <f>"משלוחים ללקוח"</f>
        <v>משלוחים ללקוח</v>
      </c>
      <c r="AG2663" s="1">
        <v>44306</v>
      </c>
      <c r="AM2663" t="str">
        <f>"10"</f>
        <v>10</v>
      </c>
      <c r="AN2663" t="str">
        <f>"500000"</f>
        <v>500000</v>
      </c>
      <c r="AO2663" t="str">
        <f>"הכנסות  מלקוחות"</f>
        <v>הכנסות  מלקוחות</v>
      </c>
      <c r="AQ2663" t="str">
        <f>"034"</f>
        <v>034</v>
      </c>
      <c r="AR2663">
        <v>0</v>
      </c>
      <c r="AS2663">
        <v>0</v>
      </c>
      <c r="AT2663">
        <v>3.262</v>
      </c>
      <c r="AX2663" t="str">
        <f>"E000328464"</f>
        <v>E000328464</v>
      </c>
      <c r="BD2663" t="str">
        <f>"ערן שלו"</f>
        <v>ערן שלו</v>
      </c>
    </row>
    <row r="2664" spans="1:56" x14ac:dyDescent="0.3">
      <c r="A2664" s="1">
        <v>44308</v>
      </c>
      <c r="B2664" t="str">
        <f>"SI216000582"</f>
        <v>SI216000582</v>
      </c>
      <c r="C2664" t="str">
        <f>"PR20000788"</f>
        <v>PR20000788</v>
      </c>
      <c r="D2664" t="str">
        <f>"PR20000788"</f>
        <v>PR20000788</v>
      </c>
      <c r="E2664" t="str">
        <f>"Y"</f>
        <v>Y</v>
      </c>
      <c r="F2664" t="str">
        <f>"חשבוניות מרכזות"</f>
        <v>חשבוניות מרכזות</v>
      </c>
      <c r="G2664" t="str">
        <f>"700065"</f>
        <v>700065</v>
      </c>
      <c r="H2664" t="str">
        <f>"אלתא מערכות בע""מ"</f>
        <v>אלתא מערכות בע"מ</v>
      </c>
      <c r="I2664" t="str">
        <f>"10"</f>
        <v>10</v>
      </c>
      <c r="J2664" t="str">
        <f>"OP-AR01946"</f>
        <v>OP-AR01946</v>
      </c>
      <c r="K2664" t="str">
        <f>"1031B110-001/- - CABLE ASSY W110"</f>
        <v>1031B110-001/- - CABLE ASSY W110</v>
      </c>
      <c r="L2664">
        <v>1</v>
      </c>
      <c r="M2664" t="str">
        <f>"יח"</f>
        <v>יח</v>
      </c>
      <c r="N2664">
        <v>1</v>
      </c>
      <c r="O2664" t="str">
        <f>"יח"</f>
        <v>יח</v>
      </c>
      <c r="P2664" s="2">
        <v>3295.57</v>
      </c>
      <c r="Q2664" t="str">
        <f>"$"</f>
        <v>$</v>
      </c>
      <c r="R2664" t="str">
        <f>"הזמנה"</f>
        <v>הזמנה</v>
      </c>
      <c r="S2664">
        <v>0</v>
      </c>
      <c r="T2664" s="2">
        <v>3295.57</v>
      </c>
      <c r="U2664">
        <v>2</v>
      </c>
      <c r="V2664" s="2">
        <v>3229.66</v>
      </c>
      <c r="W2664" t="str">
        <f>"$"</f>
        <v>$</v>
      </c>
      <c r="X2664">
        <v>0</v>
      </c>
      <c r="Y2664">
        <v>0</v>
      </c>
      <c r="Z2664">
        <v>0</v>
      </c>
      <c r="AA2664" t="str">
        <f>"Y"</f>
        <v>Y</v>
      </c>
      <c r="AB2664" t="str">
        <f>"SO20000519"</f>
        <v>SO20000519</v>
      </c>
      <c r="AC2664">
        <v>5</v>
      </c>
      <c r="AD2664" s="1">
        <v>44146</v>
      </c>
      <c r="AE2664" t="str">
        <f>"SH21000619"</f>
        <v>SH21000619</v>
      </c>
      <c r="AF2664" t="str">
        <f>"משלוחים ללקוח"</f>
        <v>משלוחים ללקוח</v>
      </c>
      <c r="AG2664" s="1">
        <v>44307</v>
      </c>
      <c r="AM2664" t="str">
        <f>"10"</f>
        <v>10</v>
      </c>
      <c r="AN2664" t="str">
        <f>"500000"</f>
        <v>500000</v>
      </c>
      <c r="AO2664" t="str">
        <f>"הכנסות  מלקוחות"</f>
        <v>הכנסות  מלקוחות</v>
      </c>
      <c r="AQ2664" t="str">
        <f>"034"</f>
        <v>034</v>
      </c>
      <c r="AR2664">
        <v>0</v>
      </c>
      <c r="AS2664">
        <v>0</v>
      </c>
      <c r="AT2664">
        <v>3.262</v>
      </c>
      <c r="AX2664" t="str">
        <f>"E000323818"</f>
        <v>E000323818</v>
      </c>
      <c r="BD2664" t="str">
        <f>"ערן שלו"</f>
        <v>ערן שלו</v>
      </c>
    </row>
    <row r="2665" spans="1:56" x14ac:dyDescent="0.3">
      <c r="A2665" s="1">
        <v>44308</v>
      </c>
      <c r="B2665" t="str">
        <f>"SI216000581"</f>
        <v>SI216000581</v>
      </c>
      <c r="C2665" t="str">
        <f>"PR20000210"</f>
        <v>PR20000210</v>
      </c>
      <c r="D2665" t="str">
        <f>"PR20000210"</f>
        <v>PR20000210</v>
      </c>
      <c r="E2665" t="str">
        <f>"Y"</f>
        <v>Y</v>
      </c>
      <c r="F2665" t="str">
        <f>"חשבוניות מרכזות"</f>
        <v>חשבוניות מרכזות</v>
      </c>
      <c r="G2665" t="str">
        <f>"700065"</f>
        <v>700065</v>
      </c>
      <c r="H2665" t="str">
        <f>"אלתא מערכות בע""מ"</f>
        <v>אלתא מערכות בע"מ</v>
      </c>
      <c r="I2665" t="str">
        <f>"10"</f>
        <v>10</v>
      </c>
      <c r="J2665" t="str">
        <f>"OP-AR01707"</f>
        <v>OP-AR01707</v>
      </c>
      <c r="K2665" t="str">
        <f>"1022H886-001 W86-32CH VIDEO CABLE"</f>
        <v>1022H886-001 W86-32CH VIDEO CABLE</v>
      </c>
      <c r="L2665">
        <v>2</v>
      </c>
      <c r="M2665" t="str">
        <f>"יח"</f>
        <v>יח</v>
      </c>
      <c r="N2665">
        <v>2</v>
      </c>
      <c r="O2665" t="str">
        <f>"יח"</f>
        <v>יח</v>
      </c>
      <c r="P2665">
        <v>516.75</v>
      </c>
      <c r="Q2665" t="str">
        <f>"$"</f>
        <v>$</v>
      </c>
      <c r="R2665" t="str">
        <f>"הזמנה"</f>
        <v>הזמנה</v>
      </c>
      <c r="S2665">
        <v>0</v>
      </c>
      <c r="T2665" s="2">
        <v>1033.5</v>
      </c>
      <c r="U2665">
        <v>0</v>
      </c>
      <c r="V2665" s="2">
        <v>1033.5</v>
      </c>
      <c r="W2665" t="str">
        <f>"$"</f>
        <v>$</v>
      </c>
      <c r="X2665">
        <v>0</v>
      </c>
      <c r="Y2665">
        <v>0</v>
      </c>
      <c r="Z2665">
        <v>0</v>
      </c>
      <c r="AA2665" t="str">
        <f>"Y"</f>
        <v>Y</v>
      </c>
      <c r="AB2665" t="str">
        <f>"SO20000139"</f>
        <v>SO20000139</v>
      </c>
      <c r="AC2665">
        <v>3</v>
      </c>
      <c r="AD2665" s="1">
        <v>43940</v>
      </c>
      <c r="AE2665" t="str">
        <f>"SH21000601"</f>
        <v>SH21000601</v>
      </c>
      <c r="AF2665" t="str">
        <f>"משלוחים ללקוח"</f>
        <v>משלוחים ללקוח</v>
      </c>
      <c r="AG2665" s="1">
        <v>44306</v>
      </c>
      <c r="AM2665" t="str">
        <f>"10"</f>
        <v>10</v>
      </c>
      <c r="AN2665" t="str">
        <f>"500000"</f>
        <v>500000</v>
      </c>
      <c r="AO2665" t="str">
        <f>"הכנסות  מלקוחות"</f>
        <v>הכנסות  מלקוחות</v>
      </c>
      <c r="AQ2665" t="str">
        <f>"034"</f>
        <v>034</v>
      </c>
      <c r="AR2665">
        <v>0</v>
      </c>
      <c r="AS2665">
        <v>0</v>
      </c>
      <c r="AT2665">
        <v>3.262</v>
      </c>
      <c r="AX2665" t="str">
        <f>"E000309670"</f>
        <v>E000309670</v>
      </c>
      <c r="BD2665" t="str">
        <f>"ערן שלו"</f>
        <v>ערן שלו</v>
      </c>
    </row>
    <row r="2666" spans="1:56" x14ac:dyDescent="0.3">
      <c r="A2666" s="1">
        <v>44308</v>
      </c>
      <c r="B2666" t="str">
        <f>"SI216000580"</f>
        <v>SI216000580</v>
      </c>
      <c r="C2666" t="str">
        <f>"PR21000070"</f>
        <v>PR21000070</v>
      </c>
      <c r="E2666" t="str">
        <f>"Y"</f>
        <v>Y</v>
      </c>
      <c r="F2666" t="str">
        <f>"חשבוניות מרכזות"</f>
        <v>חשבוניות מרכזות</v>
      </c>
      <c r="G2666" t="str">
        <f>"700065"</f>
        <v>700065</v>
      </c>
      <c r="H2666" t="str">
        <f>"אלתא מערכות בע""מ"</f>
        <v>אלתא מערכות בע"מ</v>
      </c>
      <c r="I2666" t="str">
        <f>"10"</f>
        <v>10</v>
      </c>
      <c r="J2666" t="str">
        <f>"OP-AR02246"</f>
        <v>OP-AR02246</v>
      </c>
      <c r="K2666" t="str">
        <f>"1033A201-001   HARNESS W0001 - POWER - MAIN"</f>
        <v>1033A201-001   HARNESS W0001 - POWER - MAIN</v>
      </c>
      <c r="L2666">
        <v>2</v>
      </c>
      <c r="M2666" t="str">
        <f>"יח"</f>
        <v>יח</v>
      </c>
      <c r="N2666">
        <v>2</v>
      </c>
      <c r="O2666" t="str">
        <f>"יח"</f>
        <v>יח</v>
      </c>
      <c r="P2666" s="2">
        <v>1399.02</v>
      </c>
      <c r="Q2666" t="str">
        <f>"$"</f>
        <v>$</v>
      </c>
      <c r="R2666" t="str">
        <f>"הזמנה"</f>
        <v>הזמנה</v>
      </c>
      <c r="S2666">
        <v>0</v>
      </c>
      <c r="T2666" s="2">
        <v>2798.04</v>
      </c>
      <c r="U2666">
        <v>0</v>
      </c>
      <c r="V2666" s="2">
        <v>2798.04</v>
      </c>
      <c r="W2666" t="str">
        <f>"$"</f>
        <v>$</v>
      </c>
      <c r="X2666">
        <v>0</v>
      </c>
      <c r="Y2666">
        <v>0</v>
      </c>
      <c r="Z2666">
        <v>0</v>
      </c>
      <c r="AA2666" t="str">
        <f>"Y"</f>
        <v>Y</v>
      </c>
      <c r="AB2666" t="str">
        <f>"SO21000036"</f>
        <v>SO21000036</v>
      </c>
      <c r="AC2666">
        <v>4</v>
      </c>
      <c r="AD2666" s="1">
        <v>44217</v>
      </c>
      <c r="AE2666" t="str">
        <f>"SH21000604"</f>
        <v>SH21000604</v>
      </c>
      <c r="AF2666" t="str">
        <f>"משלוחים ללקוח"</f>
        <v>משלוחים ללקוח</v>
      </c>
      <c r="AG2666" s="1">
        <v>44306</v>
      </c>
      <c r="AM2666" t="str">
        <f>"10"</f>
        <v>10</v>
      </c>
      <c r="AN2666" t="str">
        <f>"500000"</f>
        <v>500000</v>
      </c>
      <c r="AO2666" t="str">
        <f>"הכנסות  מלקוחות"</f>
        <v>הכנסות  מלקוחות</v>
      </c>
      <c r="AQ2666" t="str">
        <f>"034"</f>
        <v>034</v>
      </c>
      <c r="AR2666">
        <v>0</v>
      </c>
      <c r="AS2666">
        <v>0</v>
      </c>
      <c r="AT2666">
        <v>3.262</v>
      </c>
      <c r="AX2666" t="str">
        <f>"E000330617"</f>
        <v>E000330617</v>
      </c>
      <c r="BD2666" t="str">
        <f>"ערן שלו"</f>
        <v>ערן שלו</v>
      </c>
    </row>
    <row r="2667" spans="1:56" x14ac:dyDescent="0.3">
      <c r="A2667" s="1">
        <v>44308</v>
      </c>
      <c r="B2667" t="str">
        <f>"SI216000579"</f>
        <v>SI216000579</v>
      </c>
      <c r="C2667" t="str">
        <f>"PR20000851"</f>
        <v>PR20000851</v>
      </c>
      <c r="D2667" t="str">
        <f>"PR20000851"</f>
        <v>PR20000851</v>
      </c>
      <c r="E2667" t="str">
        <f>"Y"</f>
        <v>Y</v>
      </c>
      <c r="F2667" t="str">
        <f>"חשבוניות מרכזות"</f>
        <v>חשבוניות מרכזות</v>
      </c>
      <c r="G2667" t="str">
        <f>"700065"</f>
        <v>700065</v>
      </c>
      <c r="H2667" t="str">
        <f>"אלתא מערכות בע""מ"</f>
        <v>אלתא מערכות בע"מ</v>
      </c>
      <c r="I2667" t="str">
        <f>"10"</f>
        <v>10</v>
      </c>
      <c r="J2667" t="str">
        <f>"OP-AR02189"</f>
        <v>OP-AR02189</v>
      </c>
      <c r="K2667" t="str">
        <f>"1039H863-001/-   HARNESS WY063 - CU TO TRA3 AND"</f>
        <v>1039H863-001/-   HARNESS WY063 - CU TO TRA3 AND</v>
      </c>
      <c r="L2667">
        <v>4</v>
      </c>
      <c r="M2667" t="str">
        <f>"יח"</f>
        <v>יח</v>
      </c>
      <c r="N2667">
        <v>4</v>
      </c>
      <c r="O2667" t="str">
        <f>"יח"</f>
        <v>יח</v>
      </c>
      <c r="P2667" s="2">
        <v>1123.4000000000001</v>
      </c>
      <c r="Q2667" t="str">
        <f>"$"</f>
        <v>$</v>
      </c>
      <c r="R2667" t="str">
        <f>"הזמנה"</f>
        <v>הזמנה</v>
      </c>
      <c r="S2667">
        <v>0</v>
      </c>
      <c r="T2667" s="2">
        <v>4493.6000000000004</v>
      </c>
      <c r="U2667">
        <v>0</v>
      </c>
      <c r="V2667" s="2">
        <v>4493.6000000000004</v>
      </c>
      <c r="W2667" t="str">
        <f>"$"</f>
        <v>$</v>
      </c>
      <c r="X2667">
        <v>0</v>
      </c>
      <c r="Y2667">
        <v>0</v>
      </c>
      <c r="Z2667">
        <v>0</v>
      </c>
      <c r="AA2667" t="str">
        <f>"Y"</f>
        <v>Y</v>
      </c>
      <c r="AB2667" t="str">
        <f>"SO20000555"</f>
        <v>SO20000555</v>
      </c>
      <c r="AC2667">
        <v>36</v>
      </c>
      <c r="AD2667" s="1">
        <v>44166</v>
      </c>
      <c r="AE2667" t="str">
        <f>"SH21000621"</f>
        <v>SH21000621</v>
      </c>
      <c r="AF2667" t="str">
        <f>"משלוחים ללקוח"</f>
        <v>משלוחים ללקוח</v>
      </c>
      <c r="AG2667" s="1">
        <v>44307</v>
      </c>
      <c r="AM2667" t="str">
        <f>"10"</f>
        <v>10</v>
      </c>
      <c r="AN2667" t="str">
        <f>"500000"</f>
        <v>500000</v>
      </c>
      <c r="AO2667" t="str">
        <f>"הכנסות  מלקוחות"</f>
        <v>הכנסות  מלקוחות</v>
      </c>
      <c r="AQ2667" t="str">
        <f>"034"</f>
        <v>034</v>
      </c>
      <c r="AR2667">
        <v>0</v>
      </c>
      <c r="AS2667">
        <v>0</v>
      </c>
      <c r="AT2667">
        <v>3.262</v>
      </c>
      <c r="AX2667" t="str">
        <f>"E000326481"</f>
        <v>E000326481</v>
      </c>
      <c r="BD2667" t="str">
        <f>"ערן שלו"</f>
        <v>ערן שלו</v>
      </c>
    </row>
    <row r="2668" spans="1:56" x14ac:dyDescent="0.3">
      <c r="A2668" s="1">
        <v>44308</v>
      </c>
      <c r="B2668" t="str">
        <f>"SI216000578"</f>
        <v>SI216000578</v>
      </c>
      <c r="C2668" t="str">
        <f>"PR20000851"</f>
        <v>PR20000851</v>
      </c>
      <c r="D2668" t="str">
        <f>"PR20000851"</f>
        <v>PR20000851</v>
      </c>
      <c r="E2668" t="str">
        <f>"Y"</f>
        <v>Y</v>
      </c>
      <c r="F2668" t="str">
        <f>"חשבוניות מרכזות"</f>
        <v>חשבוניות מרכזות</v>
      </c>
      <c r="G2668" t="str">
        <f>"700065"</f>
        <v>700065</v>
      </c>
      <c r="H2668" t="str">
        <f>"אלתא מערכות בע""מ"</f>
        <v>אלתא מערכות בע"מ</v>
      </c>
      <c r="I2668" t="str">
        <f>"10"</f>
        <v>10</v>
      </c>
      <c r="J2668" t="str">
        <f>"OP-AR02153"</f>
        <v>OP-AR02153</v>
      </c>
      <c r="K2668" t="str">
        <f>"1039H801-001   HARNESS WY001 - PDU 1 POWER IN"</f>
        <v>1039H801-001   HARNESS WY001 - PDU 1 POWER IN</v>
      </c>
      <c r="L2668">
        <v>2</v>
      </c>
      <c r="M2668" t="str">
        <f>"יח"</f>
        <v>יח</v>
      </c>
      <c r="N2668">
        <v>2</v>
      </c>
      <c r="O2668" t="str">
        <f>"יח"</f>
        <v>יח</v>
      </c>
      <c r="P2668">
        <v>972.25</v>
      </c>
      <c r="Q2668" t="str">
        <f>"$"</f>
        <v>$</v>
      </c>
      <c r="R2668" t="str">
        <f>"הזמנה"</f>
        <v>הזמנה</v>
      </c>
      <c r="S2668">
        <v>0</v>
      </c>
      <c r="T2668" s="2">
        <v>1944.5</v>
      </c>
      <c r="U2668">
        <v>0</v>
      </c>
      <c r="V2668" s="2">
        <v>1944.5</v>
      </c>
      <c r="W2668" t="str">
        <f>"$"</f>
        <v>$</v>
      </c>
      <c r="X2668">
        <v>0</v>
      </c>
      <c r="Y2668">
        <v>0</v>
      </c>
      <c r="Z2668">
        <v>0</v>
      </c>
      <c r="AA2668" t="str">
        <f>"Y"</f>
        <v>Y</v>
      </c>
      <c r="AB2668" t="str">
        <f>"SO20000555"</f>
        <v>SO20000555</v>
      </c>
      <c r="AC2668">
        <v>1</v>
      </c>
      <c r="AD2668" s="1">
        <v>44166</v>
      </c>
      <c r="AE2668" t="str">
        <f>"SH21000599"</f>
        <v>SH21000599</v>
      </c>
      <c r="AF2668" t="str">
        <f>"משלוחים ללקוח"</f>
        <v>משלוחים ללקוח</v>
      </c>
      <c r="AG2668" s="1">
        <v>44306</v>
      </c>
      <c r="AM2668" t="str">
        <f>"10"</f>
        <v>10</v>
      </c>
      <c r="AN2668" t="str">
        <f>"500000"</f>
        <v>500000</v>
      </c>
      <c r="AO2668" t="str">
        <f>"הכנסות  מלקוחות"</f>
        <v>הכנסות  מלקוחות</v>
      </c>
      <c r="AQ2668" t="str">
        <f>"034"</f>
        <v>034</v>
      </c>
      <c r="AR2668">
        <v>0</v>
      </c>
      <c r="AS2668">
        <v>0</v>
      </c>
      <c r="AT2668">
        <v>3.262</v>
      </c>
      <c r="AX2668" t="str">
        <f>"E000326481"</f>
        <v>E000326481</v>
      </c>
      <c r="BD2668" t="str">
        <f>"ערן שלו"</f>
        <v>ערן שלו</v>
      </c>
    </row>
    <row r="2669" spans="1:56" x14ac:dyDescent="0.3">
      <c r="A2669" s="1">
        <v>44308</v>
      </c>
      <c r="B2669" t="str">
        <f>"SI216000578"</f>
        <v>SI216000578</v>
      </c>
      <c r="C2669" t="str">
        <f>"PR20000851"</f>
        <v>PR20000851</v>
      </c>
      <c r="D2669" t="str">
        <f>"PR20000851"</f>
        <v>PR20000851</v>
      </c>
      <c r="E2669" t="str">
        <f>"Y"</f>
        <v>Y</v>
      </c>
      <c r="F2669" t="str">
        <f>"חשבוניות מרכזות"</f>
        <v>חשבוניות מרכזות</v>
      </c>
      <c r="G2669" t="str">
        <f>"700065"</f>
        <v>700065</v>
      </c>
      <c r="H2669" t="str">
        <f>"אלתא מערכות בע""מ"</f>
        <v>אלתא מערכות בע"מ</v>
      </c>
      <c r="I2669" t="str">
        <f>"10"</f>
        <v>10</v>
      </c>
      <c r="J2669" t="str">
        <f>"OP-AR02154"</f>
        <v>OP-AR02154</v>
      </c>
      <c r="K2669" t="str">
        <f>"1039H802-001   HARNESS WY002 - PDU 2 POWER IN"</f>
        <v>1039H802-001   HARNESS WY002 - PDU 2 POWER IN</v>
      </c>
      <c r="L2669">
        <v>4</v>
      </c>
      <c r="M2669" t="str">
        <f>"יח"</f>
        <v>יח</v>
      </c>
      <c r="N2669">
        <v>4</v>
      </c>
      <c r="O2669" t="str">
        <f>"יח"</f>
        <v>יח</v>
      </c>
      <c r="P2669">
        <v>969.65</v>
      </c>
      <c r="Q2669" t="str">
        <f>"$"</f>
        <v>$</v>
      </c>
      <c r="R2669" t="str">
        <f>"הזמנה"</f>
        <v>הזמנה</v>
      </c>
      <c r="S2669">
        <v>0</v>
      </c>
      <c r="T2669" s="2">
        <v>3878.6</v>
      </c>
      <c r="U2669">
        <v>0</v>
      </c>
      <c r="V2669" s="2">
        <v>3878.6</v>
      </c>
      <c r="W2669" t="str">
        <f>"$"</f>
        <v>$</v>
      </c>
      <c r="X2669">
        <v>0</v>
      </c>
      <c r="Y2669">
        <v>0</v>
      </c>
      <c r="Z2669">
        <v>0</v>
      </c>
      <c r="AA2669" t="str">
        <f>"Y"</f>
        <v>Y</v>
      </c>
      <c r="AB2669" t="str">
        <f>"SO20000555"</f>
        <v>SO20000555</v>
      </c>
      <c r="AC2669">
        <v>2</v>
      </c>
      <c r="AD2669" s="1">
        <v>44166</v>
      </c>
      <c r="AE2669" t="str">
        <f>"SH21000599"</f>
        <v>SH21000599</v>
      </c>
      <c r="AF2669" t="str">
        <f>"משלוחים ללקוח"</f>
        <v>משלוחים ללקוח</v>
      </c>
      <c r="AG2669" s="1">
        <v>44306</v>
      </c>
      <c r="AM2669" t="str">
        <f>"10"</f>
        <v>10</v>
      </c>
      <c r="AN2669" t="str">
        <f>"500000"</f>
        <v>500000</v>
      </c>
      <c r="AO2669" t="str">
        <f>"הכנסות  מלקוחות"</f>
        <v>הכנסות  מלקוחות</v>
      </c>
      <c r="AQ2669" t="str">
        <f>"034"</f>
        <v>034</v>
      </c>
      <c r="AR2669">
        <v>0</v>
      </c>
      <c r="AS2669">
        <v>0</v>
      </c>
      <c r="AT2669">
        <v>3.262</v>
      </c>
      <c r="AX2669" t="str">
        <f>"E000326481"</f>
        <v>E000326481</v>
      </c>
      <c r="BD2669" t="str">
        <f>"ערן שלו"</f>
        <v>ערן שלו</v>
      </c>
    </row>
    <row r="2670" spans="1:56" x14ac:dyDescent="0.3">
      <c r="A2670" s="1">
        <v>44308</v>
      </c>
      <c r="B2670" t="str">
        <f>"SI216000578"</f>
        <v>SI216000578</v>
      </c>
      <c r="C2670" t="str">
        <f>"PR20000851"</f>
        <v>PR20000851</v>
      </c>
      <c r="D2670" t="str">
        <f>"PR20000851"</f>
        <v>PR20000851</v>
      </c>
      <c r="E2670" t="str">
        <f>"Y"</f>
        <v>Y</v>
      </c>
      <c r="F2670" t="str">
        <f>"חשבוניות מרכזות"</f>
        <v>חשבוניות מרכזות</v>
      </c>
      <c r="G2670" t="str">
        <f>"700065"</f>
        <v>700065</v>
      </c>
      <c r="H2670" t="str">
        <f>"אלתא מערכות בע""מ"</f>
        <v>אלתא מערכות בע"מ</v>
      </c>
      <c r="I2670" t="str">
        <f>"10"</f>
        <v>10</v>
      </c>
      <c r="J2670" t="str">
        <f>"OP-AR02178"</f>
        <v>OP-AR02178</v>
      </c>
      <c r="K2670" t="str">
        <f>"1039H838-001/-   HARNESS WY038 - PDU TO IFF EXTE"</f>
        <v>1039H838-001/-   HARNESS WY038 - PDU TO IFF EXTE</v>
      </c>
      <c r="L2670">
        <v>1</v>
      </c>
      <c r="M2670" t="str">
        <f>"יח"</f>
        <v>יח</v>
      </c>
      <c r="N2670">
        <v>1</v>
      </c>
      <c r="O2670" t="str">
        <f>"יח"</f>
        <v>יח</v>
      </c>
      <c r="P2670">
        <v>345.38</v>
      </c>
      <c r="Q2670" t="str">
        <f>"$"</f>
        <v>$</v>
      </c>
      <c r="R2670" t="str">
        <f>"הזמנה"</f>
        <v>הזמנה</v>
      </c>
      <c r="S2670">
        <v>0</v>
      </c>
      <c r="T2670">
        <v>345.38</v>
      </c>
      <c r="U2670">
        <v>0</v>
      </c>
      <c r="V2670">
        <v>345.38</v>
      </c>
      <c r="W2670" t="str">
        <f>"$"</f>
        <v>$</v>
      </c>
      <c r="X2670">
        <v>0</v>
      </c>
      <c r="Y2670">
        <v>0</v>
      </c>
      <c r="Z2670">
        <v>0</v>
      </c>
      <c r="AA2670" t="str">
        <f>"Y"</f>
        <v>Y</v>
      </c>
      <c r="AB2670" t="str">
        <f>"SO20000555"</f>
        <v>SO20000555</v>
      </c>
      <c r="AC2670">
        <v>25</v>
      </c>
      <c r="AD2670" s="1">
        <v>44166</v>
      </c>
      <c r="AE2670" t="str">
        <f>"SH21000599"</f>
        <v>SH21000599</v>
      </c>
      <c r="AF2670" t="str">
        <f>"משלוחים ללקוח"</f>
        <v>משלוחים ללקוח</v>
      </c>
      <c r="AG2670" s="1">
        <v>44306</v>
      </c>
      <c r="AM2670" t="str">
        <f>"10"</f>
        <v>10</v>
      </c>
      <c r="AN2670" t="str">
        <f>"500000"</f>
        <v>500000</v>
      </c>
      <c r="AO2670" t="str">
        <f>"הכנסות  מלקוחות"</f>
        <v>הכנסות  מלקוחות</v>
      </c>
      <c r="AQ2670" t="str">
        <f>"034"</f>
        <v>034</v>
      </c>
      <c r="AR2670">
        <v>0</v>
      </c>
      <c r="AS2670">
        <v>0</v>
      </c>
      <c r="AT2670">
        <v>3.262</v>
      </c>
      <c r="AX2670" t="str">
        <f>"E000326481"</f>
        <v>E000326481</v>
      </c>
      <c r="BD2670" t="str">
        <f>"ערן שלו"</f>
        <v>ערן שלו</v>
      </c>
    </row>
    <row r="2671" spans="1:56" x14ac:dyDescent="0.3">
      <c r="A2671" s="1">
        <v>44308</v>
      </c>
      <c r="B2671" t="str">
        <f>"SI216000577"</f>
        <v>SI216000577</v>
      </c>
      <c r="C2671" t="str">
        <f>"PR20000828"</f>
        <v>PR20000828</v>
      </c>
      <c r="D2671" t="str">
        <f>"PR20000828"</f>
        <v>PR20000828</v>
      </c>
      <c r="E2671" t="str">
        <f>"Y"</f>
        <v>Y</v>
      </c>
      <c r="F2671" t="str">
        <f>"חשבוניות מרכזות"</f>
        <v>חשבוניות מרכזות</v>
      </c>
      <c r="G2671" t="str">
        <f>"700065"</f>
        <v>700065</v>
      </c>
      <c r="H2671" t="str">
        <f>"אלתא מערכות בע""מ"</f>
        <v>אלתא מערכות בע"מ</v>
      </c>
      <c r="I2671" t="str">
        <f>"10"</f>
        <v>10</v>
      </c>
      <c r="J2671" t="str">
        <f>"OP-AR02136"</f>
        <v>OP-AR02136</v>
      </c>
      <c r="K2671" t="str">
        <f>"1027C423-001/A   PDB1-P15 SHORT PLUG"</f>
        <v>1027C423-001/A   PDB1-P15 SHORT PLUG</v>
      </c>
      <c r="L2671">
        <v>4</v>
      </c>
      <c r="M2671" t="str">
        <f>"יח"</f>
        <v>יח</v>
      </c>
      <c r="N2671">
        <v>4</v>
      </c>
      <c r="O2671" t="str">
        <f>"יח"</f>
        <v>יח</v>
      </c>
      <c r="P2671">
        <v>123.36</v>
      </c>
      <c r="Q2671" t="str">
        <f>"$"</f>
        <v>$</v>
      </c>
      <c r="R2671" t="str">
        <f>"הזמנה"</f>
        <v>הזמנה</v>
      </c>
      <c r="S2671">
        <v>0</v>
      </c>
      <c r="T2671">
        <v>493.44</v>
      </c>
      <c r="U2671">
        <v>2.2999999999999998</v>
      </c>
      <c r="V2671">
        <v>482.09</v>
      </c>
      <c r="W2671" t="str">
        <f>"$"</f>
        <v>$</v>
      </c>
      <c r="X2671">
        <v>0</v>
      </c>
      <c r="Y2671">
        <v>0</v>
      </c>
      <c r="Z2671">
        <v>0</v>
      </c>
      <c r="AA2671" t="str">
        <f>"Y"</f>
        <v>Y</v>
      </c>
      <c r="AB2671" t="str">
        <f>"SO20000546"</f>
        <v>SO20000546</v>
      </c>
      <c r="AC2671">
        <v>1</v>
      </c>
      <c r="AD2671" s="1">
        <v>44160</v>
      </c>
      <c r="AE2671" t="str">
        <f>"SH21000603"</f>
        <v>SH21000603</v>
      </c>
      <c r="AF2671" t="str">
        <f>"משלוחים ללקוח"</f>
        <v>משלוחים ללקוח</v>
      </c>
      <c r="AG2671" s="1">
        <v>44306</v>
      </c>
      <c r="AM2671" t="str">
        <f>"10"</f>
        <v>10</v>
      </c>
      <c r="AN2671" t="str">
        <f>"500000"</f>
        <v>500000</v>
      </c>
      <c r="AO2671" t="str">
        <f>"הכנסות  מלקוחות"</f>
        <v>הכנסות  מלקוחות</v>
      </c>
      <c r="AQ2671" t="str">
        <f>"034"</f>
        <v>034</v>
      </c>
      <c r="AR2671">
        <v>0</v>
      </c>
      <c r="AS2671">
        <v>0</v>
      </c>
      <c r="AT2671">
        <v>3.262</v>
      </c>
      <c r="AX2671" t="str">
        <f>"E000326044"</f>
        <v>E000326044</v>
      </c>
      <c r="BD2671" t="str">
        <f>"ערן שלו"</f>
        <v>ערן שלו</v>
      </c>
    </row>
    <row r="2672" spans="1:56" x14ac:dyDescent="0.3">
      <c r="A2672" s="1">
        <v>44308</v>
      </c>
      <c r="B2672" t="str">
        <f>"SI216000576"</f>
        <v>SI216000576</v>
      </c>
      <c r="C2672" t="str">
        <f>"PR20000066"</f>
        <v>PR20000066</v>
      </c>
      <c r="D2672" t="str">
        <f>"PR20000066"</f>
        <v>PR20000066</v>
      </c>
      <c r="E2672" t="str">
        <f>"Y"</f>
        <v>Y</v>
      </c>
      <c r="F2672" t="str">
        <f>"חשבוניות מרכזות"</f>
        <v>חשבוניות מרכזות</v>
      </c>
      <c r="G2672" t="str">
        <f>"700065"</f>
        <v>700065</v>
      </c>
      <c r="H2672" t="str">
        <f>"אלתא מערכות בע""מ"</f>
        <v>אלתא מערכות בע"מ</v>
      </c>
      <c r="I2672" t="str">
        <f>"10"</f>
        <v>10</v>
      </c>
      <c r="J2672" t="str">
        <f>"OP-AR01631"</f>
        <v>OP-AR01631</v>
      </c>
      <c r="K2672" t="str">
        <f>"1041G113-001 W113-ANT LH SIDE FSC 30V PWR-cust"</f>
        <v>1041G113-001 W113-ANT LH SIDE FSC 30V PWR-cust</v>
      </c>
      <c r="L2672">
        <v>1</v>
      </c>
      <c r="M2672" t="str">
        <f>"יח"</f>
        <v>יח</v>
      </c>
      <c r="N2672">
        <v>1</v>
      </c>
      <c r="O2672" t="str">
        <f>"יח"</f>
        <v>יח</v>
      </c>
      <c r="P2672" s="2">
        <v>1596.18</v>
      </c>
      <c r="Q2672" t="str">
        <f>"$"</f>
        <v>$</v>
      </c>
      <c r="R2672" t="str">
        <f>"הזמנה"</f>
        <v>הזמנה</v>
      </c>
      <c r="S2672">
        <v>0</v>
      </c>
      <c r="T2672" s="2">
        <v>1596.18</v>
      </c>
      <c r="U2672">
        <v>0</v>
      </c>
      <c r="V2672" s="2">
        <v>1596.18</v>
      </c>
      <c r="W2672" t="str">
        <f>"$"</f>
        <v>$</v>
      </c>
      <c r="X2672">
        <v>0</v>
      </c>
      <c r="Y2672">
        <v>0</v>
      </c>
      <c r="Z2672">
        <v>0</v>
      </c>
      <c r="AA2672" t="str">
        <f>"Y"</f>
        <v>Y</v>
      </c>
      <c r="AB2672" t="str">
        <f>"SO20000062"</f>
        <v>SO20000062</v>
      </c>
      <c r="AC2672">
        <v>10</v>
      </c>
      <c r="AD2672" s="1">
        <v>43870</v>
      </c>
      <c r="AE2672" t="str">
        <f>"SH21000597"</f>
        <v>SH21000597</v>
      </c>
      <c r="AF2672" t="str">
        <f>"משלוחים ללקוח"</f>
        <v>משלוחים ללקוח</v>
      </c>
      <c r="AG2672" s="1">
        <v>44306</v>
      </c>
      <c r="AM2672" t="str">
        <f>"10"</f>
        <v>10</v>
      </c>
      <c r="AN2672" t="str">
        <f>"500000"</f>
        <v>500000</v>
      </c>
      <c r="AO2672" t="str">
        <f>"הכנסות  מלקוחות"</f>
        <v>הכנסות  מלקוחות</v>
      </c>
      <c r="AQ2672" t="str">
        <f>"034"</f>
        <v>034</v>
      </c>
      <c r="AR2672">
        <v>0</v>
      </c>
      <c r="AS2672">
        <v>0</v>
      </c>
      <c r="AT2672">
        <v>3.262</v>
      </c>
      <c r="AX2672" t="str">
        <f>"E000305063"</f>
        <v>E000305063</v>
      </c>
      <c r="BD2672" t="str">
        <f>"ערן שלו"</f>
        <v>ערן שלו</v>
      </c>
    </row>
    <row r="2673" spans="1:56" x14ac:dyDescent="0.3">
      <c r="A2673" s="1">
        <v>44308</v>
      </c>
      <c r="B2673" t="str">
        <f>"SI216000576"</f>
        <v>SI216000576</v>
      </c>
      <c r="C2673" t="str">
        <f>"PR20000066"</f>
        <v>PR20000066</v>
      </c>
      <c r="D2673" t="str">
        <f>"PR20000066"</f>
        <v>PR20000066</v>
      </c>
      <c r="E2673" t="str">
        <f>"Y"</f>
        <v>Y</v>
      </c>
      <c r="F2673" t="str">
        <f>"חשבוניות מרכזות"</f>
        <v>חשבוניות מרכזות</v>
      </c>
      <c r="G2673" t="str">
        <f>"700065"</f>
        <v>700065</v>
      </c>
      <c r="H2673" t="str">
        <f>"אלתא מערכות בע""מ"</f>
        <v>אלתא מערכות בע"מ</v>
      </c>
      <c r="I2673" t="str">
        <f>"10"</f>
        <v>10</v>
      </c>
      <c r="J2673" t="str">
        <f>"OP-AR02250"</f>
        <v>OP-AR02250</v>
      </c>
      <c r="K2673" t="str">
        <f>"1041G132-001 W132 : ANT PS HPLS CTRL FULL TK"</f>
        <v>1041G132-001 W132 : ANT PS HPLS CTRL FULL TK</v>
      </c>
      <c r="L2673">
        <v>1</v>
      </c>
      <c r="M2673" t="str">
        <f>"יח"</f>
        <v>יח</v>
      </c>
      <c r="N2673">
        <v>1</v>
      </c>
      <c r="O2673" t="str">
        <f>"יח"</f>
        <v>יח</v>
      </c>
      <c r="P2673" s="2">
        <v>2825.5</v>
      </c>
      <c r="Q2673" t="str">
        <f>"$"</f>
        <v>$</v>
      </c>
      <c r="R2673" t="str">
        <f>"הזמנה"</f>
        <v>הזמנה</v>
      </c>
      <c r="S2673">
        <v>0</v>
      </c>
      <c r="T2673" s="2">
        <v>2825.5</v>
      </c>
      <c r="U2673">
        <v>0</v>
      </c>
      <c r="V2673" s="2">
        <v>2825.5</v>
      </c>
      <c r="W2673" t="str">
        <f>"$"</f>
        <v>$</v>
      </c>
      <c r="X2673">
        <v>0</v>
      </c>
      <c r="Y2673">
        <v>0</v>
      </c>
      <c r="Z2673">
        <v>0</v>
      </c>
      <c r="AA2673" t="str">
        <f>"Y"</f>
        <v>Y</v>
      </c>
      <c r="AB2673" t="str">
        <f>"SO20000062"</f>
        <v>SO20000062</v>
      </c>
      <c r="AC2673">
        <v>25</v>
      </c>
      <c r="AD2673" s="1">
        <v>43870</v>
      </c>
      <c r="AE2673" t="str">
        <f>"SH21000597"</f>
        <v>SH21000597</v>
      </c>
      <c r="AF2673" t="str">
        <f>"משלוחים ללקוח"</f>
        <v>משלוחים ללקוח</v>
      </c>
      <c r="AG2673" s="1">
        <v>44306</v>
      </c>
      <c r="AM2673" t="str">
        <f>"10"</f>
        <v>10</v>
      </c>
      <c r="AN2673" t="str">
        <f>"500000"</f>
        <v>500000</v>
      </c>
      <c r="AO2673" t="str">
        <f>"הכנסות  מלקוחות"</f>
        <v>הכנסות  מלקוחות</v>
      </c>
      <c r="AQ2673" t="str">
        <f>"034"</f>
        <v>034</v>
      </c>
      <c r="AR2673">
        <v>0</v>
      </c>
      <c r="AS2673">
        <v>0</v>
      </c>
      <c r="AT2673">
        <v>3.262</v>
      </c>
      <c r="AX2673" t="str">
        <f>"E000305063"</f>
        <v>E000305063</v>
      </c>
      <c r="BD2673" t="str">
        <f>"ערן שלו"</f>
        <v>ערן שלו</v>
      </c>
    </row>
    <row r="2674" spans="1:56" x14ac:dyDescent="0.3">
      <c r="A2674" s="1">
        <v>44308</v>
      </c>
      <c r="B2674" t="str">
        <f>"SI216000575"</f>
        <v>SI216000575</v>
      </c>
      <c r="C2674" t="str">
        <f>"PR18000543"</f>
        <v>PR18000543</v>
      </c>
      <c r="E2674" t="str">
        <f>"Y"</f>
        <v>Y</v>
      </c>
      <c r="F2674" t="str">
        <f>"חשבוניות מרכזות"</f>
        <v>חשבוניות מרכזות</v>
      </c>
      <c r="G2674" t="str">
        <f>"700065"</f>
        <v>700065</v>
      </c>
      <c r="H2674" t="str">
        <f>"אלתא מערכות בע""מ"</f>
        <v>אלתא מערכות בע"מ</v>
      </c>
      <c r="I2674" t="str">
        <f>"10"</f>
        <v>10</v>
      </c>
      <c r="J2674" t="str">
        <f>"OP-AR01083"</f>
        <v>OP-AR01083</v>
      </c>
      <c r="K2674" t="str">
        <f>"1036C960-001 HVJB_N"</f>
        <v>1036C960-001 HVJB_N</v>
      </c>
      <c r="L2674">
        <v>2</v>
      </c>
      <c r="M2674" t="str">
        <f>"יח"</f>
        <v>יח</v>
      </c>
      <c r="N2674">
        <v>2</v>
      </c>
      <c r="O2674" t="str">
        <f>"יח"</f>
        <v>יח</v>
      </c>
      <c r="P2674" s="2">
        <v>6000</v>
      </c>
      <c r="Q2674" t="str">
        <f>"$"</f>
        <v>$</v>
      </c>
      <c r="R2674" t="str">
        <f>"הזמנה"</f>
        <v>הזמנה</v>
      </c>
      <c r="S2674">
        <v>0</v>
      </c>
      <c r="T2674" s="2">
        <v>12000</v>
      </c>
      <c r="U2674">
        <v>0</v>
      </c>
      <c r="V2674" s="2">
        <v>12000</v>
      </c>
      <c r="W2674" t="str">
        <f>"$"</f>
        <v>$</v>
      </c>
      <c r="X2674">
        <v>0</v>
      </c>
      <c r="Y2674">
        <v>0</v>
      </c>
      <c r="Z2674">
        <v>0</v>
      </c>
      <c r="AA2674" t="str">
        <f>"Y"</f>
        <v>Y</v>
      </c>
      <c r="AB2674" t="str">
        <f>"SO19000320"</f>
        <v>SO19000320</v>
      </c>
      <c r="AC2674">
        <v>6</v>
      </c>
      <c r="AD2674" s="1">
        <v>43667</v>
      </c>
      <c r="AE2674" t="str">
        <f>"SH21000613"</f>
        <v>SH21000613</v>
      </c>
      <c r="AF2674" t="str">
        <f>"משלוחים ללקוח"</f>
        <v>משלוחים ללקוח</v>
      </c>
      <c r="AG2674" s="1">
        <v>44307</v>
      </c>
      <c r="AM2674" t="str">
        <f>"10"</f>
        <v>10</v>
      </c>
      <c r="AN2674" t="str">
        <f>"500000"</f>
        <v>500000</v>
      </c>
      <c r="AO2674" t="str">
        <f>"הכנסות  מלקוחות"</f>
        <v>הכנסות  מלקוחות</v>
      </c>
      <c r="AQ2674" t="str">
        <f>"034"</f>
        <v>034</v>
      </c>
      <c r="AR2674">
        <v>0</v>
      </c>
      <c r="AS2674">
        <v>0</v>
      </c>
      <c r="AT2674">
        <v>3.262</v>
      </c>
      <c r="AX2674" t="str">
        <f>"E000290709"</f>
        <v>E000290709</v>
      </c>
      <c r="BD2674" t="str">
        <f>"ערן שלו"</f>
        <v>ערן שלו</v>
      </c>
    </row>
    <row r="2675" spans="1:56" x14ac:dyDescent="0.3">
      <c r="A2675" s="1">
        <v>44308</v>
      </c>
      <c r="B2675" t="str">
        <f>"SI216000575"</f>
        <v>SI216000575</v>
      </c>
      <c r="C2675" t="str">
        <f>"PR18000543"</f>
        <v>PR18000543</v>
      </c>
      <c r="E2675" t="str">
        <f>"Y"</f>
        <v>Y</v>
      </c>
      <c r="F2675" t="str">
        <f>"חשבוניות מרכזות"</f>
        <v>חשבוניות מרכזות</v>
      </c>
      <c r="G2675" t="str">
        <f>"700065"</f>
        <v>700065</v>
      </c>
      <c r="H2675" t="str">
        <f>"אלתא מערכות בע""מ"</f>
        <v>אלתא מערכות בע"מ</v>
      </c>
      <c r="I2675" t="str">
        <f>"10"</f>
        <v>10</v>
      </c>
      <c r="J2675" t="str">
        <f>"OP-AR01083"</f>
        <v>OP-AR01083</v>
      </c>
      <c r="K2675" t="str">
        <f>"1036C960-001 HVJB_N"</f>
        <v>1036C960-001 HVJB_N</v>
      </c>
      <c r="L2675">
        <v>5</v>
      </c>
      <c r="M2675" t="str">
        <f>"יח"</f>
        <v>יח</v>
      </c>
      <c r="N2675">
        <v>5</v>
      </c>
      <c r="O2675" t="str">
        <f>"יח"</f>
        <v>יח</v>
      </c>
      <c r="P2675" s="2">
        <v>6000</v>
      </c>
      <c r="Q2675" t="str">
        <f>"$"</f>
        <v>$</v>
      </c>
      <c r="R2675" t="str">
        <f>"הזמנה"</f>
        <v>הזמנה</v>
      </c>
      <c r="S2675">
        <v>0</v>
      </c>
      <c r="T2675" s="2">
        <v>30000</v>
      </c>
      <c r="U2675">
        <v>0</v>
      </c>
      <c r="V2675" s="2">
        <v>30000</v>
      </c>
      <c r="W2675" t="str">
        <f>"$"</f>
        <v>$</v>
      </c>
      <c r="X2675">
        <v>0</v>
      </c>
      <c r="Y2675">
        <v>0</v>
      </c>
      <c r="Z2675">
        <v>0</v>
      </c>
      <c r="AA2675" t="str">
        <f>"Y"</f>
        <v>Y</v>
      </c>
      <c r="AB2675" t="str">
        <f>"SO19000320"</f>
        <v>SO19000320</v>
      </c>
      <c r="AC2675">
        <v>9</v>
      </c>
      <c r="AD2675" s="1">
        <v>43667</v>
      </c>
      <c r="AE2675" t="str">
        <f>"SH21000613"</f>
        <v>SH21000613</v>
      </c>
      <c r="AF2675" t="str">
        <f>"משלוחים ללקוח"</f>
        <v>משלוחים ללקוח</v>
      </c>
      <c r="AG2675" s="1">
        <v>44307</v>
      </c>
      <c r="AM2675" t="str">
        <f>"10"</f>
        <v>10</v>
      </c>
      <c r="AN2675" t="str">
        <f>"500000"</f>
        <v>500000</v>
      </c>
      <c r="AO2675" t="str">
        <f>"הכנסות  מלקוחות"</f>
        <v>הכנסות  מלקוחות</v>
      </c>
      <c r="AQ2675" t="str">
        <f>"034"</f>
        <v>034</v>
      </c>
      <c r="AR2675">
        <v>0</v>
      </c>
      <c r="AS2675">
        <v>0</v>
      </c>
      <c r="AT2675">
        <v>3.262</v>
      </c>
      <c r="AX2675" t="str">
        <f>"E000290709"</f>
        <v>E000290709</v>
      </c>
      <c r="BD2675" t="str">
        <f>"ערן שלו"</f>
        <v>ערן שלו</v>
      </c>
    </row>
    <row r="2676" spans="1:56" x14ac:dyDescent="0.3">
      <c r="A2676" s="1">
        <v>44308</v>
      </c>
      <c r="B2676" t="str">
        <f>"SI216000574"</f>
        <v>SI216000574</v>
      </c>
      <c r="E2676" t="str">
        <f>"Y"</f>
        <v>Y</v>
      </c>
      <c r="F2676" t="str">
        <f>"חשבוניות מרכזות"</f>
        <v>חשבוניות מרכזות</v>
      </c>
      <c r="G2676" t="str">
        <f>"700065"</f>
        <v>700065</v>
      </c>
      <c r="H2676" t="str">
        <f>"אלתא מערכות בע""מ"</f>
        <v>אלתא מערכות בע"מ</v>
      </c>
      <c r="I2676" t="str">
        <f>"10"</f>
        <v>10</v>
      </c>
      <c r="J2676" t="str">
        <f>"OP-ML00184"</f>
        <v>OP-ML00184</v>
      </c>
      <c r="K2676" t="str">
        <f>"4020F160-001 RACK MECHANICAL"</f>
        <v>4020F160-001 RACK MECHANICAL</v>
      </c>
      <c r="L2676">
        <v>1</v>
      </c>
      <c r="M2676" t="str">
        <f>"יח"</f>
        <v>יח</v>
      </c>
      <c r="N2676">
        <v>1</v>
      </c>
      <c r="O2676" t="str">
        <f>"יח"</f>
        <v>יח</v>
      </c>
      <c r="P2676" s="2">
        <v>6510.33</v>
      </c>
      <c r="Q2676" t="str">
        <f>"$"</f>
        <v>$</v>
      </c>
      <c r="R2676" t="str">
        <f>"הזמנה"</f>
        <v>הזמנה</v>
      </c>
      <c r="S2676">
        <v>0</v>
      </c>
      <c r="T2676" s="2">
        <v>6510.33</v>
      </c>
      <c r="U2676">
        <v>0</v>
      </c>
      <c r="V2676" s="2">
        <v>6510.33</v>
      </c>
      <c r="W2676" t="str">
        <f>"$"</f>
        <v>$</v>
      </c>
      <c r="X2676">
        <v>0</v>
      </c>
      <c r="Y2676">
        <v>0</v>
      </c>
      <c r="Z2676">
        <v>0</v>
      </c>
      <c r="AA2676" t="str">
        <f>"Y"</f>
        <v>Y</v>
      </c>
      <c r="AB2676" t="str">
        <f>"SO20000412"</f>
        <v>SO20000412</v>
      </c>
      <c r="AC2676">
        <v>1</v>
      </c>
      <c r="AD2676" s="1">
        <v>44082</v>
      </c>
      <c r="AE2676" t="str">
        <f>"SH21000616"</f>
        <v>SH21000616</v>
      </c>
      <c r="AF2676" t="str">
        <f>"משלוחים ללקוח"</f>
        <v>משלוחים ללקוח</v>
      </c>
      <c r="AG2676" s="1">
        <v>44307</v>
      </c>
      <c r="AM2676" t="str">
        <f>"10"</f>
        <v>10</v>
      </c>
      <c r="AN2676" t="str">
        <f>"500000"</f>
        <v>500000</v>
      </c>
      <c r="AO2676" t="str">
        <f>"הכנסות  מלקוחות"</f>
        <v>הכנסות  מלקוחות</v>
      </c>
      <c r="AQ2676" t="str">
        <f>"034"</f>
        <v>034</v>
      </c>
      <c r="AR2676">
        <v>0</v>
      </c>
      <c r="AS2676">
        <v>0</v>
      </c>
      <c r="AT2676">
        <v>3.262</v>
      </c>
      <c r="AX2676" t="str">
        <f>"E000320917"</f>
        <v>E000320917</v>
      </c>
      <c r="BD2676" t="str">
        <f>"ערן שלו"</f>
        <v>ערן שלו</v>
      </c>
    </row>
    <row r="2677" spans="1:56" x14ac:dyDescent="0.3">
      <c r="A2677" s="1">
        <v>44308</v>
      </c>
      <c r="B2677" t="str">
        <f>"SI216000574"</f>
        <v>SI216000574</v>
      </c>
      <c r="E2677" t="str">
        <f>"Y"</f>
        <v>Y</v>
      </c>
      <c r="F2677" t="str">
        <f>"חשבוניות מרכזות"</f>
        <v>חשבוניות מרכזות</v>
      </c>
      <c r="G2677" t="str">
        <f>"700065"</f>
        <v>700065</v>
      </c>
      <c r="H2677" t="str">
        <f>"אלתא מערכות בע""מ"</f>
        <v>אלתא מערכות בע"מ</v>
      </c>
      <c r="I2677" t="str">
        <f>"10"</f>
        <v>10</v>
      </c>
      <c r="J2677" t="str">
        <f>"OP-ML00183"</f>
        <v>OP-ML00183</v>
      </c>
      <c r="K2677" t="str">
        <f>"4020F055-001 RACK MECHANICAL 2"</f>
        <v>4020F055-001 RACK MECHANICAL 2</v>
      </c>
      <c r="L2677">
        <v>1</v>
      </c>
      <c r="M2677" t="str">
        <f>"יח"</f>
        <v>יח</v>
      </c>
      <c r="N2677">
        <v>1</v>
      </c>
      <c r="O2677" t="str">
        <f>"יח"</f>
        <v>יח</v>
      </c>
      <c r="P2677" s="2">
        <v>13288.83</v>
      </c>
      <c r="Q2677" t="str">
        <f>"$"</f>
        <v>$</v>
      </c>
      <c r="R2677" t="str">
        <f>"הזמנה"</f>
        <v>הזמנה</v>
      </c>
      <c r="S2677">
        <v>0</v>
      </c>
      <c r="T2677" s="2">
        <v>13288.83</v>
      </c>
      <c r="U2677">
        <v>0</v>
      </c>
      <c r="V2677" s="2">
        <v>13288.83</v>
      </c>
      <c r="W2677" t="str">
        <f>"$"</f>
        <v>$</v>
      </c>
      <c r="X2677">
        <v>0</v>
      </c>
      <c r="Y2677">
        <v>0</v>
      </c>
      <c r="Z2677">
        <v>0</v>
      </c>
      <c r="AA2677" t="str">
        <f>"Y"</f>
        <v>Y</v>
      </c>
      <c r="AB2677" t="str">
        <f>"SO20000412"</f>
        <v>SO20000412</v>
      </c>
      <c r="AC2677">
        <v>2</v>
      </c>
      <c r="AD2677" s="1">
        <v>44082</v>
      </c>
      <c r="AE2677" t="str">
        <f>"SH21000616"</f>
        <v>SH21000616</v>
      </c>
      <c r="AF2677" t="str">
        <f>"משלוחים ללקוח"</f>
        <v>משלוחים ללקוח</v>
      </c>
      <c r="AG2677" s="1">
        <v>44307</v>
      </c>
      <c r="AM2677" t="str">
        <f>"10"</f>
        <v>10</v>
      </c>
      <c r="AN2677" t="str">
        <f>"500000"</f>
        <v>500000</v>
      </c>
      <c r="AO2677" t="str">
        <f>"הכנסות  מלקוחות"</f>
        <v>הכנסות  מלקוחות</v>
      </c>
      <c r="AQ2677" t="str">
        <f>"034"</f>
        <v>034</v>
      </c>
      <c r="AR2677">
        <v>0</v>
      </c>
      <c r="AS2677">
        <v>0</v>
      </c>
      <c r="AT2677">
        <v>3.262</v>
      </c>
      <c r="AX2677" t="str">
        <f>"E000320917"</f>
        <v>E000320917</v>
      </c>
      <c r="BD2677" t="str">
        <f>"ערן שלו"</f>
        <v>ערן שלו</v>
      </c>
    </row>
    <row r="2678" spans="1:56" x14ac:dyDescent="0.3">
      <c r="A2678" s="1">
        <v>44308</v>
      </c>
      <c r="B2678" t="str">
        <f>"SI216000573"</f>
        <v>SI216000573</v>
      </c>
      <c r="C2678" t="str">
        <f>"PR19000750"</f>
        <v>PR19000750</v>
      </c>
      <c r="D2678" t="str">
        <f>"PR19000750"</f>
        <v>PR19000750</v>
      </c>
      <c r="E2678" t="str">
        <f>"Y"</f>
        <v>Y</v>
      </c>
      <c r="F2678" t="str">
        <f>"חשבוניות מרכזות"</f>
        <v>חשבוניות מרכזות</v>
      </c>
      <c r="G2678" t="str">
        <f>"700065"</f>
        <v>700065</v>
      </c>
      <c r="H2678" t="str">
        <f>"אלתא מערכות בע""מ"</f>
        <v>אלתא מערכות בע"מ</v>
      </c>
      <c r="I2678" t="str">
        <f>"10"</f>
        <v>10</v>
      </c>
      <c r="J2678" t="str">
        <f>"OP-KT00096"</f>
        <v>OP-KT00096</v>
      </c>
      <c r="K2678" t="str">
        <f>"PDB SPARES O LEVEL"</f>
        <v>PDB SPARES O LEVEL</v>
      </c>
      <c r="L2678">
        <v>2</v>
      </c>
      <c r="M2678" t="str">
        <f>"יח"</f>
        <v>יח</v>
      </c>
      <c r="N2678">
        <v>2</v>
      </c>
      <c r="O2678" t="str">
        <f>"יח"</f>
        <v>יח</v>
      </c>
      <c r="P2678" s="2">
        <v>6574</v>
      </c>
      <c r="Q2678" t="str">
        <f>"$"</f>
        <v>$</v>
      </c>
      <c r="R2678" t="str">
        <f>"הזמנה"</f>
        <v>הזמנה</v>
      </c>
      <c r="S2678">
        <v>0</v>
      </c>
      <c r="T2678" s="2">
        <v>13148</v>
      </c>
      <c r="U2678">
        <v>0</v>
      </c>
      <c r="V2678" s="2">
        <v>13148</v>
      </c>
      <c r="W2678" t="str">
        <f>"$"</f>
        <v>$</v>
      </c>
      <c r="X2678">
        <v>0</v>
      </c>
      <c r="Y2678">
        <v>0</v>
      </c>
      <c r="Z2678">
        <v>0</v>
      </c>
      <c r="AA2678" t="str">
        <f>"Y"</f>
        <v>Y</v>
      </c>
      <c r="AB2678" t="str">
        <f>"SO19000535"</f>
        <v>SO19000535</v>
      </c>
      <c r="AC2678">
        <v>13</v>
      </c>
      <c r="AD2678" s="1">
        <v>43823</v>
      </c>
      <c r="AE2678" t="str">
        <f>"SH21000614"</f>
        <v>SH21000614</v>
      </c>
      <c r="AF2678" t="str">
        <f>"משלוחים ללקוח"</f>
        <v>משלוחים ללקוח</v>
      </c>
      <c r="AG2678" s="1">
        <v>44307</v>
      </c>
      <c r="AM2678" t="str">
        <f>"10"</f>
        <v>10</v>
      </c>
      <c r="AN2678" t="str">
        <f>"500000"</f>
        <v>500000</v>
      </c>
      <c r="AO2678" t="str">
        <f>"הכנסות  מלקוחות"</f>
        <v>הכנסות  מלקוחות</v>
      </c>
      <c r="AQ2678" t="str">
        <f>"034"</f>
        <v>034</v>
      </c>
      <c r="AR2678">
        <v>0</v>
      </c>
      <c r="AS2678">
        <v>0</v>
      </c>
      <c r="AT2678">
        <v>3.262</v>
      </c>
      <c r="AX2678" t="str">
        <f>"E000303378"</f>
        <v>E000303378</v>
      </c>
      <c r="BD2678" t="str">
        <f>"ערן שלו"</f>
        <v>ערן שלו</v>
      </c>
    </row>
    <row r="2679" spans="1:56" x14ac:dyDescent="0.3">
      <c r="A2679" s="1">
        <v>44308</v>
      </c>
      <c r="B2679" t="str">
        <f>"SI216000573"</f>
        <v>SI216000573</v>
      </c>
      <c r="C2679" t="str">
        <f>"PR19000750"</f>
        <v>PR19000750</v>
      </c>
      <c r="D2679" t="str">
        <f>"PR19000750"</f>
        <v>PR19000750</v>
      </c>
      <c r="E2679" t="str">
        <f>"Y"</f>
        <v>Y</v>
      </c>
      <c r="F2679" t="str">
        <f>"חשבוניות מרכזות"</f>
        <v>חשבוניות מרכזות</v>
      </c>
      <c r="G2679" t="str">
        <f>"700065"</f>
        <v>700065</v>
      </c>
      <c r="H2679" t="str">
        <f>"אלתא מערכות בע""מ"</f>
        <v>אלתא מערכות בע"מ</v>
      </c>
      <c r="I2679" t="str">
        <f>"10"</f>
        <v>10</v>
      </c>
      <c r="J2679" t="str">
        <f>"OP-KT00096"</f>
        <v>OP-KT00096</v>
      </c>
      <c r="K2679" t="str">
        <f>"PDB SPARES O LEVEL"</f>
        <v>PDB SPARES O LEVEL</v>
      </c>
      <c r="L2679">
        <v>2</v>
      </c>
      <c r="M2679" t="str">
        <f>"יח"</f>
        <v>יח</v>
      </c>
      <c r="N2679">
        <v>2</v>
      </c>
      <c r="O2679" t="str">
        <f>"יח"</f>
        <v>יח</v>
      </c>
      <c r="P2679" s="2">
        <v>6574</v>
      </c>
      <c r="Q2679" t="str">
        <f>"$"</f>
        <v>$</v>
      </c>
      <c r="R2679" t="str">
        <f>"הזמנה"</f>
        <v>הזמנה</v>
      </c>
      <c r="S2679">
        <v>0</v>
      </c>
      <c r="T2679" s="2">
        <v>13148</v>
      </c>
      <c r="U2679">
        <v>0</v>
      </c>
      <c r="V2679" s="2">
        <v>13148</v>
      </c>
      <c r="W2679" t="str">
        <f>"$"</f>
        <v>$</v>
      </c>
      <c r="X2679">
        <v>0</v>
      </c>
      <c r="Y2679">
        <v>0</v>
      </c>
      <c r="Z2679">
        <v>0</v>
      </c>
      <c r="AA2679" t="str">
        <f>"Y"</f>
        <v>Y</v>
      </c>
      <c r="AB2679" t="str">
        <f>"SO19000535"</f>
        <v>SO19000535</v>
      </c>
      <c r="AC2679">
        <v>16</v>
      </c>
      <c r="AD2679" s="1">
        <v>43823</v>
      </c>
      <c r="AE2679" t="str">
        <f>"SH21000614"</f>
        <v>SH21000614</v>
      </c>
      <c r="AF2679" t="str">
        <f>"משלוחים ללקוח"</f>
        <v>משלוחים ללקוח</v>
      </c>
      <c r="AG2679" s="1">
        <v>44307</v>
      </c>
      <c r="AM2679" t="str">
        <f>"10"</f>
        <v>10</v>
      </c>
      <c r="AN2679" t="str">
        <f>"500000"</f>
        <v>500000</v>
      </c>
      <c r="AO2679" t="str">
        <f>"הכנסות  מלקוחות"</f>
        <v>הכנסות  מלקוחות</v>
      </c>
      <c r="AQ2679" t="str">
        <f>"034"</f>
        <v>034</v>
      </c>
      <c r="AR2679">
        <v>0</v>
      </c>
      <c r="AS2679">
        <v>0</v>
      </c>
      <c r="AT2679">
        <v>3.262</v>
      </c>
      <c r="AX2679" t="str">
        <f>"E000303378"</f>
        <v>E000303378</v>
      </c>
      <c r="BD2679" t="str">
        <f>"ערן שלו"</f>
        <v>ערן שלו</v>
      </c>
    </row>
    <row r="2680" spans="1:56" x14ac:dyDescent="0.3">
      <c r="A2680" s="1">
        <v>44306</v>
      </c>
      <c r="B2680" t="str">
        <f>"SI216000570"</f>
        <v>SI216000570</v>
      </c>
      <c r="C2680" t="str">
        <f>"PR20000696"</f>
        <v>PR20000696</v>
      </c>
      <c r="E2680" t="str">
        <f>"Y"</f>
        <v>Y</v>
      </c>
      <c r="F2680" t="str">
        <f>"חשבוניות מרכזות"</f>
        <v>חשבוניות מרכזות</v>
      </c>
      <c r="G2680" t="str">
        <f>"700065"</f>
        <v>700065</v>
      </c>
      <c r="H2680" t="str">
        <f>"אלתא מערכות בע""מ"</f>
        <v>אלתא מערכות בע"מ</v>
      </c>
      <c r="I2680" t="str">
        <f>"10"</f>
        <v>10</v>
      </c>
      <c r="J2680" t="str">
        <f>"999"</f>
        <v>999</v>
      </c>
      <c r="K2680" t="str">
        <f>"מכאניקה עבור קוטמי מתח בPDB"</f>
        <v>מכאניקה עבור קוטמי מתח בPDB</v>
      </c>
      <c r="L2680">
        <v>-1</v>
      </c>
      <c r="M2680" t="str">
        <f>"חל"</f>
        <v>חל</v>
      </c>
      <c r="N2680">
        <v>-1</v>
      </c>
      <c r="O2680" t="str">
        <f>"חל"</f>
        <v>חל</v>
      </c>
      <c r="P2680" s="2">
        <v>9800</v>
      </c>
      <c r="Q2680" t="str">
        <f>"$"</f>
        <v>$</v>
      </c>
      <c r="R2680" t="str">
        <f>"הזמנה"</f>
        <v>הזמנה</v>
      </c>
      <c r="S2680">
        <v>0</v>
      </c>
      <c r="T2680" s="2">
        <v>-9800</v>
      </c>
      <c r="U2680">
        <v>0</v>
      </c>
      <c r="V2680" s="2">
        <v>-9800</v>
      </c>
      <c r="W2680" t="str">
        <f>"$"</f>
        <v>$</v>
      </c>
      <c r="X2680">
        <v>0</v>
      </c>
      <c r="Y2680">
        <v>0</v>
      </c>
      <c r="Z2680">
        <v>0</v>
      </c>
      <c r="AA2680" t="str">
        <f>"Y"</f>
        <v>Y</v>
      </c>
      <c r="AC2680">
        <v>0</v>
      </c>
      <c r="AM2680" t="str">
        <f>"10"</f>
        <v>10</v>
      </c>
      <c r="AN2680" t="str">
        <f>"500000"</f>
        <v>500000</v>
      </c>
      <c r="AO2680" t="str">
        <f>"הכנסות  מלקוחות"</f>
        <v>הכנסות  מלקוחות</v>
      </c>
      <c r="AQ2680" t="str">
        <f>"034"</f>
        <v>034</v>
      </c>
      <c r="AR2680">
        <v>0</v>
      </c>
      <c r="AS2680">
        <v>0</v>
      </c>
      <c r="AT2680">
        <v>3.2650000000000001</v>
      </c>
      <c r="BB2680" t="str">
        <f>"Y"</f>
        <v>Y</v>
      </c>
      <c r="BD2680" t="str">
        <f>"ערן שלו"</f>
        <v>ערן שלו</v>
      </c>
    </row>
    <row r="2681" spans="1:56" x14ac:dyDescent="0.3">
      <c r="A2681" s="1">
        <v>44306</v>
      </c>
      <c r="B2681" t="str">
        <f>"SI216000570"</f>
        <v>SI216000570</v>
      </c>
      <c r="C2681" t="str">
        <f>"PR20000696"</f>
        <v>PR20000696</v>
      </c>
      <c r="E2681" t="str">
        <f>"Y"</f>
        <v>Y</v>
      </c>
      <c r="F2681" t="str">
        <f>"חשבוניות מרכזות"</f>
        <v>חשבוניות מרכזות</v>
      </c>
      <c r="G2681" t="str">
        <f>"700065"</f>
        <v>700065</v>
      </c>
      <c r="H2681" t="str">
        <f>"אלתא מערכות בע""מ"</f>
        <v>אלתא מערכות בע"מ</v>
      </c>
      <c r="I2681" t="str">
        <f>"10"</f>
        <v>10</v>
      </c>
      <c r="J2681" t="str">
        <f>"000"</f>
        <v>000</v>
      </c>
      <c r="K2681" t="str">
        <f>"שדרוג באורנט"</f>
        <v>שדרוג באורנט</v>
      </c>
      <c r="L2681">
        <v>-1</v>
      </c>
      <c r="M2681" t="str">
        <f>"יח"</f>
        <v>יח</v>
      </c>
      <c r="N2681">
        <v>-1</v>
      </c>
      <c r="O2681" t="str">
        <f>"יח"</f>
        <v>יח</v>
      </c>
      <c r="P2681">
        <v>850</v>
      </c>
      <c r="Q2681" t="str">
        <f>"$"</f>
        <v>$</v>
      </c>
      <c r="R2681" t="str">
        <f>"הזמנה"</f>
        <v>הזמנה</v>
      </c>
      <c r="S2681">
        <v>0</v>
      </c>
      <c r="T2681">
        <v>-850</v>
      </c>
      <c r="U2681">
        <v>0</v>
      </c>
      <c r="V2681">
        <v>-850</v>
      </c>
      <c r="W2681" t="str">
        <f>"$"</f>
        <v>$</v>
      </c>
      <c r="X2681">
        <v>0</v>
      </c>
      <c r="Y2681">
        <v>0</v>
      </c>
      <c r="Z2681">
        <v>0</v>
      </c>
      <c r="AA2681" t="str">
        <f>"Y"</f>
        <v>Y</v>
      </c>
      <c r="AC2681">
        <v>0</v>
      </c>
      <c r="AM2681" t="str">
        <f>"10"</f>
        <v>10</v>
      </c>
      <c r="AN2681" t="str">
        <f>"500000"</f>
        <v>500000</v>
      </c>
      <c r="AO2681" t="str">
        <f>"הכנסות  מלקוחות"</f>
        <v>הכנסות  מלקוחות</v>
      </c>
      <c r="AQ2681" t="str">
        <f>"034"</f>
        <v>034</v>
      </c>
      <c r="AR2681">
        <v>0</v>
      </c>
      <c r="AS2681">
        <v>0</v>
      </c>
      <c r="AT2681">
        <v>3.2650000000000001</v>
      </c>
      <c r="BB2681" t="str">
        <f>"Y"</f>
        <v>Y</v>
      </c>
      <c r="BD2681" t="str">
        <f>"ערן שלו"</f>
        <v>ערן שלו</v>
      </c>
    </row>
    <row r="2682" spans="1:56" x14ac:dyDescent="0.3">
      <c r="A2682" s="1">
        <v>44306</v>
      </c>
      <c r="B2682" t="str">
        <f>"SI216000549"</f>
        <v>SI216000549</v>
      </c>
      <c r="C2682" t="str">
        <f>"PR20000696"</f>
        <v>PR20000696</v>
      </c>
      <c r="E2682" t="str">
        <f>"Y"</f>
        <v>Y</v>
      </c>
      <c r="F2682" t="str">
        <f>"חשבוניות מרכזות"</f>
        <v>חשבוניות מרכזות</v>
      </c>
      <c r="G2682" t="str">
        <f>"700065"</f>
        <v>700065</v>
      </c>
      <c r="H2682" t="str">
        <f>"אלתא מערכות בע""מ"</f>
        <v>אלתא מערכות בע"מ</v>
      </c>
      <c r="I2682" t="str">
        <f>"10"</f>
        <v>10</v>
      </c>
      <c r="J2682" t="str">
        <f>"999"</f>
        <v>999</v>
      </c>
      <c r="K2682" t="str">
        <f>"מכאניקה עבור קוטמי מתח בPDB"</f>
        <v>מכאניקה עבור קוטמי מתח בPDB</v>
      </c>
      <c r="L2682">
        <v>1</v>
      </c>
      <c r="M2682" t="str">
        <f>"חל"</f>
        <v>חל</v>
      </c>
      <c r="N2682">
        <v>1</v>
      </c>
      <c r="O2682" t="str">
        <f>"חל"</f>
        <v>חל</v>
      </c>
      <c r="P2682" s="2">
        <v>9800</v>
      </c>
      <c r="Q2682" t="str">
        <f>"$"</f>
        <v>$</v>
      </c>
      <c r="R2682" t="str">
        <f>"הזמנה"</f>
        <v>הזמנה</v>
      </c>
      <c r="S2682">
        <v>0</v>
      </c>
      <c r="T2682" s="2">
        <v>9800</v>
      </c>
      <c r="U2682">
        <v>0</v>
      </c>
      <c r="V2682" s="2">
        <v>9800</v>
      </c>
      <c r="W2682" t="str">
        <f>"$"</f>
        <v>$</v>
      </c>
      <c r="X2682">
        <v>0</v>
      </c>
      <c r="Y2682">
        <v>0</v>
      </c>
      <c r="Z2682">
        <v>0</v>
      </c>
      <c r="AA2682" t="str">
        <f>"Y"</f>
        <v>Y</v>
      </c>
      <c r="AC2682">
        <v>0</v>
      </c>
      <c r="AM2682" t="str">
        <f>"10"</f>
        <v>10</v>
      </c>
      <c r="AN2682" t="str">
        <f>"500000"</f>
        <v>500000</v>
      </c>
      <c r="AO2682" t="str">
        <f>"הכנסות  מלקוחות"</f>
        <v>הכנסות  מלקוחות</v>
      </c>
      <c r="AQ2682" t="str">
        <f>"034"</f>
        <v>034</v>
      </c>
      <c r="AR2682">
        <v>0</v>
      </c>
      <c r="AS2682">
        <v>0</v>
      </c>
      <c r="AT2682">
        <v>3.2650000000000001</v>
      </c>
      <c r="BB2682" t="str">
        <f>"Y"</f>
        <v>Y</v>
      </c>
      <c r="BD2682" t="str">
        <f>"ערן שלו"</f>
        <v>ערן שלו</v>
      </c>
    </row>
    <row r="2683" spans="1:56" x14ac:dyDescent="0.3">
      <c r="A2683" s="1">
        <v>44306</v>
      </c>
      <c r="B2683" t="str">
        <f>"SI216000549"</f>
        <v>SI216000549</v>
      </c>
      <c r="C2683" t="str">
        <f>"PR20000696"</f>
        <v>PR20000696</v>
      </c>
      <c r="E2683" t="str">
        <f>"Y"</f>
        <v>Y</v>
      </c>
      <c r="F2683" t="str">
        <f>"חשבוניות מרכזות"</f>
        <v>חשבוניות מרכזות</v>
      </c>
      <c r="G2683" t="str">
        <f>"700065"</f>
        <v>700065</v>
      </c>
      <c r="H2683" t="str">
        <f>"אלתא מערכות בע""מ"</f>
        <v>אלתא מערכות בע"מ</v>
      </c>
      <c r="I2683" t="str">
        <f>"10"</f>
        <v>10</v>
      </c>
      <c r="J2683" t="str">
        <f>"000"</f>
        <v>000</v>
      </c>
      <c r="K2683" t="str">
        <f>"שדרוג באורנט"</f>
        <v>שדרוג באורנט</v>
      </c>
      <c r="L2683">
        <v>1</v>
      </c>
      <c r="M2683" t="str">
        <f>"יח"</f>
        <v>יח</v>
      </c>
      <c r="N2683">
        <v>1</v>
      </c>
      <c r="O2683" t="str">
        <f>"יח"</f>
        <v>יח</v>
      </c>
      <c r="P2683">
        <v>850</v>
      </c>
      <c r="Q2683" t="str">
        <f>"$"</f>
        <v>$</v>
      </c>
      <c r="R2683" t="str">
        <f>"הזמנה"</f>
        <v>הזמנה</v>
      </c>
      <c r="S2683">
        <v>0</v>
      </c>
      <c r="T2683">
        <v>850</v>
      </c>
      <c r="U2683">
        <v>0</v>
      </c>
      <c r="V2683">
        <v>850</v>
      </c>
      <c r="W2683" t="str">
        <f>"$"</f>
        <v>$</v>
      </c>
      <c r="X2683">
        <v>0</v>
      </c>
      <c r="Y2683">
        <v>0</v>
      </c>
      <c r="Z2683">
        <v>0</v>
      </c>
      <c r="AA2683" t="str">
        <f>"Y"</f>
        <v>Y</v>
      </c>
      <c r="AC2683">
        <v>0</v>
      </c>
      <c r="AM2683" t="str">
        <f>"10"</f>
        <v>10</v>
      </c>
      <c r="AN2683" t="str">
        <f>"500000"</f>
        <v>500000</v>
      </c>
      <c r="AO2683" t="str">
        <f>"הכנסות  מלקוחות"</f>
        <v>הכנסות  מלקוחות</v>
      </c>
      <c r="AQ2683" t="str">
        <f>"034"</f>
        <v>034</v>
      </c>
      <c r="AR2683">
        <v>0</v>
      </c>
      <c r="AS2683">
        <v>0</v>
      </c>
      <c r="AT2683">
        <v>3.2650000000000001</v>
      </c>
      <c r="BB2683" t="str">
        <f>"Y"</f>
        <v>Y</v>
      </c>
      <c r="BD2683" t="str">
        <f>"ערן שלו"</f>
        <v>ערן שלו</v>
      </c>
    </row>
    <row r="2684" spans="1:56" x14ac:dyDescent="0.3">
      <c r="A2684" s="1">
        <v>44306</v>
      </c>
      <c r="B2684" t="str">
        <f>"SI216000547"</f>
        <v>SI216000547</v>
      </c>
      <c r="C2684" t="str">
        <f>"PR19000750"</f>
        <v>PR19000750</v>
      </c>
      <c r="D2684" t="str">
        <f>"PR19000750"</f>
        <v>PR19000750</v>
      </c>
      <c r="E2684" t="str">
        <f>"Y"</f>
        <v>Y</v>
      </c>
      <c r="F2684" t="str">
        <f>"חשבוניות מרכזות"</f>
        <v>חשבוניות מרכזות</v>
      </c>
      <c r="G2684" t="str">
        <f>"700065"</f>
        <v>700065</v>
      </c>
      <c r="H2684" t="str">
        <f>"אלתא מערכות בע""מ"</f>
        <v>אלתא מערכות בע"מ</v>
      </c>
      <c r="I2684" t="str">
        <f>"10"</f>
        <v>10</v>
      </c>
      <c r="J2684" t="str">
        <f>"000"</f>
        <v>000</v>
      </c>
      <c r="K2684" t="str">
        <f>"תוספת קיט 1037C837-001"</f>
        <v>תוספת קיט 1037C837-001</v>
      </c>
      <c r="L2684">
        <v>1</v>
      </c>
      <c r="M2684" t="str">
        <f>"יח"</f>
        <v>יח</v>
      </c>
      <c r="N2684">
        <v>1</v>
      </c>
      <c r="O2684" t="str">
        <f>"יח"</f>
        <v>יח</v>
      </c>
      <c r="P2684" s="2">
        <v>3026.99</v>
      </c>
      <c r="Q2684" t="str">
        <f>"$"</f>
        <v>$</v>
      </c>
      <c r="R2684" t="str">
        <f>"הזמנה"</f>
        <v>הזמנה</v>
      </c>
      <c r="S2684">
        <v>0</v>
      </c>
      <c r="T2684" s="2">
        <v>3026.99</v>
      </c>
      <c r="U2684">
        <v>0</v>
      </c>
      <c r="V2684" s="2">
        <v>3026.99</v>
      </c>
      <c r="W2684" t="str">
        <f>"$"</f>
        <v>$</v>
      </c>
      <c r="X2684">
        <v>0</v>
      </c>
      <c r="Y2684">
        <v>0</v>
      </c>
      <c r="Z2684">
        <v>0</v>
      </c>
      <c r="AA2684" t="str">
        <f>"Y"</f>
        <v>Y</v>
      </c>
      <c r="AB2684" t="str">
        <f>"SO20000290"</f>
        <v>SO20000290</v>
      </c>
      <c r="AC2684">
        <v>4</v>
      </c>
      <c r="AD2684" s="1">
        <v>44020</v>
      </c>
      <c r="AM2684" t="str">
        <f>"10"</f>
        <v>10</v>
      </c>
      <c r="AN2684" t="str">
        <f>"500000"</f>
        <v>500000</v>
      </c>
      <c r="AO2684" t="str">
        <f>"הכנסות  מלקוחות"</f>
        <v>הכנסות  מלקוחות</v>
      </c>
      <c r="AQ2684" t="str">
        <f>"034"</f>
        <v>034</v>
      </c>
      <c r="AR2684">
        <v>0</v>
      </c>
      <c r="AS2684">
        <v>0</v>
      </c>
      <c r="AT2684">
        <v>3.2650000000000001</v>
      </c>
      <c r="AX2684" t="str">
        <f>"E000316490"</f>
        <v>E000316490</v>
      </c>
      <c r="BD2684" t="str">
        <f>"ערן שלו"</f>
        <v>ערן שלו</v>
      </c>
    </row>
    <row r="2685" spans="1:56" x14ac:dyDescent="0.3">
      <c r="A2685" s="1">
        <v>44304</v>
      </c>
      <c r="B2685" t="str">
        <f>"SI216000571"</f>
        <v>SI216000571</v>
      </c>
      <c r="E2685" t="str">
        <f>"Y"</f>
        <v>Y</v>
      </c>
      <c r="F2685" t="str">
        <f>"חשבוניות מרכזות"</f>
        <v>חשבוניות מרכזות</v>
      </c>
      <c r="G2685" t="str">
        <f>"700065"</f>
        <v>700065</v>
      </c>
      <c r="H2685" t="str">
        <f>"אלתא מערכות בע""מ"</f>
        <v>אלתא מערכות בע"מ</v>
      </c>
      <c r="I2685" t="str">
        <f>"10"</f>
        <v>10</v>
      </c>
      <c r="J2685" t="str">
        <f>"999"</f>
        <v>999</v>
      </c>
      <c r="K2685" t="str">
        <f>"עדכוני תכולה עבור חטיבת +CU"</f>
        <v>עדכוני תכולה עבור חטיבת +CU</v>
      </c>
      <c r="L2685">
        <v>-1</v>
      </c>
      <c r="M2685" t="str">
        <f>"חל"</f>
        <v>חל</v>
      </c>
      <c r="N2685">
        <v>-1</v>
      </c>
      <c r="O2685" t="str">
        <f>"חל"</f>
        <v>חל</v>
      </c>
      <c r="P2685" s="2">
        <v>8153.74</v>
      </c>
      <c r="Q2685" t="str">
        <f>"$"</f>
        <v>$</v>
      </c>
      <c r="R2685" t="str">
        <f>"הזמנה"</f>
        <v>הזמנה</v>
      </c>
      <c r="S2685">
        <v>0</v>
      </c>
      <c r="T2685" s="2">
        <v>-8153.74</v>
      </c>
      <c r="U2685">
        <v>0</v>
      </c>
      <c r="V2685" s="2">
        <v>-8153.74</v>
      </c>
      <c r="W2685" t="str">
        <f>"$"</f>
        <v>$</v>
      </c>
      <c r="X2685">
        <v>0</v>
      </c>
      <c r="Y2685">
        <v>0</v>
      </c>
      <c r="Z2685">
        <v>0</v>
      </c>
      <c r="AA2685" t="str">
        <f>"Y"</f>
        <v>Y</v>
      </c>
      <c r="AC2685">
        <v>0</v>
      </c>
      <c r="AM2685" t="str">
        <f>"10"</f>
        <v>10</v>
      </c>
      <c r="AN2685" t="str">
        <f>"500000"</f>
        <v>500000</v>
      </c>
      <c r="AO2685" t="str">
        <f>"הכנסות  מלקוחות"</f>
        <v>הכנסות  מלקוחות</v>
      </c>
      <c r="AQ2685" t="str">
        <f>"034"</f>
        <v>034</v>
      </c>
      <c r="AR2685">
        <v>0</v>
      </c>
      <c r="AS2685">
        <v>0</v>
      </c>
      <c r="AT2685">
        <v>3.2810000000000001</v>
      </c>
      <c r="BB2685" t="str">
        <f>"Y"</f>
        <v>Y</v>
      </c>
      <c r="BD2685" t="str">
        <f>"ערן שלו"</f>
        <v>ערן שלו</v>
      </c>
    </row>
    <row r="2686" spans="1:56" x14ac:dyDescent="0.3">
      <c r="A2686" s="1">
        <v>44304</v>
      </c>
      <c r="B2686" t="str">
        <f>"SI216000531"</f>
        <v>SI216000531</v>
      </c>
      <c r="C2686" t="str">
        <f>"PR20000696"</f>
        <v>PR20000696</v>
      </c>
      <c r="D2686" t="str">
        <f>"PR20000696"</f>
        <v>PR20000696</v>
      </c>
      <c r="E2686" t="str">
        <f>"Y"</f>
        <v>Y</v>
      </c>
      <c r="F2686" t="str">
        <f>"חשבוניות מרכזות"</f>
        <v>חשבוניות מרכזות</v>
      </c>
      <c r="G2686" t="str">
        <f>"700065"</f>
        <v>700065</v>
      </c>
      <c r="H2686" t="str">
        <f>"אלתא מערכות בע""מ"</f>
        <v>אלתא מערכות בע"מ</v>
      </c>
      <c r="I2686" t="str">
        <f>"10"</f>
        <v>10</v>
      </c>
      <c r="J2686" t="str">
        <f>"999"</f>
        <v>999</v>
      </c>
      <c r="K2686" t="str">
        <f>"מכאניקה עבור קוטמי מתח בPDB"</f>
        <v>מכאניקה עבור קוטמי מתח בPDB</v>
      </c>
      <c r="L2686">
        <v>1</v>
      </c>
      <c r="M2686" t="str">
        <f>"חל"</f>
        <v>חל</v>
      </c>
      <c r="N2686">
        <v>1</v>
      </c>
      <c r="O2686" t="str">
        <f>"חל"</f>
        <v>חל</v>
      </c>
      <c r="P2686" s="2">
        <v>9800</v>
      </c>
      <c r="Q2686" t="str">
        <f>"$"</f>
        <v>$</v>
      </c>
      <c r="R2686" t="str">
        <f>"הזמנה"</f>
        <v>הזמנה</v>
      </c>
      <c r="S2686">
        <v>0</v>
      </c>
      <c r="T2686" s="2">
        <v>9800</v>
      </c>
      <c r="U2686">
        <v>0</v>
      </c>
      <c r="V2686" s="2">
        <v>9800</v>
      </c>
      <c r="W2686" t="str">
        <f>"$"</f>
        <v>$</v>
      </c>
      <c r="X2686">
        <v>0</v>
      </c>
      <c r="Y2686">
        <v>0</v>
      </c>
      <c r="Z2686">
        <v>0</v>
      </c>
      <c r="AA2686" t="str">
        <f>"Y"</f>
        <v>Y</v>
      </c>
      <c r="AB2686" t="str">
        <f>"SO20000526"</f>
        <v>SO20000526</v>
      </c>
      <c r="AC2686">
        <v>2</v>
      </c>
      <c r="AD2686" s="1">
        <v>44151</v>
      </c>
      <c r="AM2686" t="str">
        <f>"10"</f>
        <v>10</v>
      </c>
      <c r="AN2686" t="str">
        <f>"500000"</f>
        <v>500000</v>
      </c>
      <c r="AO2686" t="str">
        <f>"הכנסות  מלקוחות"</f>
        <v>הכנסות  מלקוחות</v>
      </c>
      <c r="AQ2686" t="str">
        <f>"034"</f>
        <v>034</v>
      </c>
      <c r="AR2686">
        <v>0</v>
      </c>
      <c r="AS2686">
        <v>0</v>
      </c>
      <c r="AT2686">
        <v>3.2810000000000001</v>
      </c>
      <c r="AX2686" t="str">
        <f>"E000326026"</f>
        <v>E000326026</v>
      </c>
      <c r="BD2686" t="str">
        <f>"ערן שלו"</f>
        <v>ערן שלו</v>
      </c>
    </row>
    <row r="2687" spans="1:56" x14ac:dyDescent="0.3">
      <c r="A2687" s="1">
        <v>44304</v>
      </c>
      <c r="B2687" t="str">
        <f>"SI216000531"</f>
        <v>SI216000531</v>
      </c>
      <c r="C2687" t="str">
        <f>"PR20000696"</f>
        <v>PR20000696</v>
      </c>
      <c r="D2687" t="str">
        <f>"PR20000696"</f>
        <v>PR20000696</v>
      </c>
      <c r="E2687" t="str">
        <f>"Y"</f>
        <v>Y</v>
      </c>
      <c r="F2687" t="str">
        <f>"חשבוניות מרכזות"</f>
        <v>חשבוניות מרכזות</v>
      </c>
      <c r="G2687" t="str">
        <f>"700065"</f>
        <v>700065</v>
      </c>
      <c r="H2687" t="str">
        <f>"אלתא מערכות בע""מ"</f>
        <v>אלתא מערכות בע"מ</v>
      </c>
      <c r="I2687" t="str">
        <f>"10"</f>
        <v>10</v>
      </c>
      <c r="J2687" t="str">
        <f>"000"</f>
        <v>000</v>
      </c>
      <c r="K2687" t="str">
        <f>"שדרוג באורנט"</f>
        <v>שדרוג באורנט</v>
      </c>
      <c r="L2687">
        <v>1</v>
      </c>
      <c r="M2687" t="str">
        <f>"יח"</f>
        <v>יח</v>
      </c>
      <c r="N2687">
        <v>1</v>
      </c>
      <c r="O2687" t="str">
        <f>"יח"</f>
        <v>יח</v>
      </c>
      <c r="P2687">
        <v>850</v>
      </c>
      <c r="Q2687" t="str">
        <f>"$"</f>
        <v>$</v>
      </c>
      <c r="R2687" t="str">
        <f>"הזמנה"</f>
        <v>הזמנה</v>
      </c>
      <c r="S2687">
        <v>0</v>
      </c>
      <c r="T2687">
        <v>850</v>
      </c>
      <c r="U2687">
        <v>0</v>
      </c>
      <c r="V2687">
        <v>850</v>
      </c>
      <c r="W2687" t="str">
        <f>"$"</f>
        <v>$</v>
      </c>
      <c r="X2687">
        <v>0</v>
      </c>
      <c r="Y2687">
        <v>0</v>
      </c>
      <c r="Z2687">
        <v>0</v>
      </c>
      <c r="AA2687" t="str">
        <f>"Y"</f>
        <v>Y</v>
      </c>
      <c r="AB2687" t="str">
        <f>"SO20000526"</f>
        <v>SO20000526</v>
      </c>
      <c r="AC2687">
        <v>3</v>
      </c>
      <c r="AD2687" s="1">
        <v>44151</v>
      </c>
      <c r="AM2687" t="str">
        <f>"10"</f>
        <v>10</v>
      </c>
      <c r="AN2687" t="str">
        <f>"500000"</f>
        <v>500000</v>
      </c>
      <c r="AO2687" t="str">
        <f>"הכנסות  מלקוחות"</f>
        <v>הכנסות  מלקוחות</v>
      </c>
      <c r="AQ2687" t="str">
        <f>"034"</f>
        <v>034</v>
      </c>
      <c r="AR2687">
        <v>0</v>
      </c>
      <c r="AS2687">
        <v>0</v>
      </c>
      <c r="AT2687">
        <v>3.2810000000000001</v>
      </c>
      <c r="AX2687" t="str">
        <f>"E000326026"</f>
        <v>E000326026</v>
      </c>
      <c r="BD2687" t="str">
        <f>"ערן שלו"</f>
        <v>ערן שלו</v>
      </c>
    </row>
    <row r="2688" spans="1:56" x14ac:dyDescent="0.3">
      <c r="A2688" s="1">
        <v>44304</v>
      </c>
      <c r="B2688" t="str">
        <f>"SI216000530"</f>
        <v>SI216000530</v>
      </c>
      <c r="C2688" t="str">
        <f>"PR20000576"</f>
        <v>PR20000576</v>
      </c>
      <c r="D2688" t="str">
        <f>"PR20000576"</f>
        <v>PR20000576</v>
      </c>
      <c r="E2688" t="str">
        <f>"Y"</f>
        <v>Y</v>
      </c>
      <c r="F2688" t="str">
        <f>"חשבוניות מרכזות"</f>
        <v>חשבוניות מרכזות</v>
      </c>
      <c r="G2688" t="str">
        <f>"700065"</f>
        <v>700065</v>
      </c>
      <c r="H2688" t="str">
        <f>"אלתא מערכות בע""מ"</f>
        <v>אלתא מערכות בע"מ</v>
      </c>
      <c r="I2688" t="str">
        <f>"10"</f>
        <v>10</v>
      </c>
      <c r="J2688" t="str">
        <f>"000"</f>
        <v>000</v>
      </c>
      <c r="K2688" t="str">
        <f>"NRE"</f>
        <v>NRE</v>
      </c>
      <c r="L2688">
        <v>1</v>
      </c>
      <c r="M2688" t="str">
        <f>"יח"</f>
        <v>יח</v>
      </c>
      <c r="N2688">
        <v>1</v>
      </c>
      <c r="O2688" t="str">
        <f>"יח"</f>
        <v>יח</v>
      </c>
      <c r="P2688" s="2">
        <v>3885</v>
      </c>
      <c r="Q2688" t="str">
        <f>"$"</f>
        <v>$</v>
      </c>
      <c r="R2688" t="str">
        <f>"הזמנה"</f>
        <v>הזמנה</v>
      </c>
      <c r="S2688">
        <v>0</v>
      </c>
      <c r="T2688" s="2">
        <v>3885</v>
      </c>
      <c r="U2688">
        <v>0</v>
      </c>
      <c r="V2688" s="2">
        <v>3885</v>
      </c>
      <c r="W2688" t="str">
        <f>"$"</f>
        <v>$</v>
      </c>
      <c r="X2688">
        <v>0</v>
      </c>
      <c r="Y2688">
        <v>0</v>
      </c>
      <c r="Z2688">
        <v>0</v>
      </c>
      <c r="AA2688" t="str">
        <f>"Y"</f>
        <v>Y</v>
      </c>
      <c r="AB2688" t="str">
        <f>"SO20000370"</f>
        <v>SO20000370</v>
      </c>
      <c r="AC2688">
        <v>1</v>
      </c>
      <c r="AD2688" s="1">
        <v>44067</v>
      </c>
      <c r="AM2688" t="str">
        <f>"10"</f>
        <v>10</v>
      </c>
      <c r="AN2688" t="str">
        <f>"500000"</f>
        <v>500000</v>
      </c>
      <c r="AO2688" t="str">
        <f>"הכנסות  מלקוחות"</f>
        <v>הכנסות  מלקוחות</v>
      </c>
      <c r="AQ2688" t="str">
        <f>"034"</f>
        <v>034</v>
      </c>
      <c r="AR2688">
        <v>0</v>
      </c>
      <c r="AS2688">
        <v>0</v>
      </c>
      <c r="AT2688">
        <v>3.2810000000000001</v>
      </c>
      <c r="AX2688" t="str">
        <f>"E000319967"</f>
        <v>E000319967</v>
      </c>
      <c r="BD2688" t="str">
        <f>"ערן שלו"</f>
        <v>ערן שלו</v>
      </c>
    </row>
    <row r="2689" spans="1:56" x14ac:dyDescent="0.3">
      <c r="A2689" s="1">
        <v>44304</v>
      </c>
      <c r="B2689" t="str">
        <f>"SI216000529"</f>
        <v>SI216000529</v>
      </c>
      <c r="C2689" t="str">
        <f>"PR20000576"</f>
        <v>PR20000576</v>
      </c>
      <c r="E2689" t="str">
        <f>"Y"</f>
        <v>Y</v>
      </c>
      <c r="F2689" t="str">
        <f>"חשבוניות מרכזות"</f>
        <v>חשבוניות מרכזות</v>
      </c>
      <c r="G2689" t="str">
        <f>"700065"</f>
        <v>700065</v>
      </c>
      <c r="H2689" t="str">
        <f>"אלתא מערכות בע""מ"</f>
        <v>אלתא מערכות בע"מ</v>
      </c>
      <c r="I2689" t="str">
        <f>"10"</f>
        <v>10</v>
      </c>
      <c r="J2689" t="str">
        <f>"000"</f>
        <v>000</v>
      </c>
      <c r="K2689" t="str">
        <f>"NRE"</f>
        <v>NRE</v>
      </c>
      <c r="L2689">
        <v>-1</v>
      </c>
      <c r="M2689" t="str">
        <f>"יח"</f>
        <v>יח</v>
      </c>
      <c r="N2689">
        <v>-1</v>
      </c>
      <c r="O2689" t="str">
        <f>"יח"</f>
        <v>יח</v>
      </c>
      <c r="P2689" s="2">
        <v>3885</v>
      </c>
      <c r="Q2689" t="str">
        <f>"$"</f>
        <v>$</v>
      </c>
      <c r="R2689" t="str">
        <f>"הזמנה"</f>
        <v>הזמנה</v>
      </c>
      <c r="S2689">
        <v>0</v>
      </c>
      <c r="T2689" s="2">
        <v>-3885</v>
      </c>
      <c r="U2689">
        <v>0</v>
      </c>
      <c r="V2689" s="2">
        <v>-3885</v>
      </c>
      <c r="W2689" t="str">
        <f>"$"</f>
        <v>$</v>
      </c>
      <c r="X2689">
        <v>0</v>
      </c>
      <c r="Y2689">
        <v>0</v>
      </c>
      <c r="Z2689">
        <v>0</v>
      </c>
      <c r="AA2689" t="str">
        <f>"Y"</f>
        <v>Y</v>
      </c>
      <c r="AC2689">
        <v>0</v>
      </c>
      <c r="AM2689" t="str">
        <f>"10"</f>
        <v>10</v>
      </c>
      <c r="AN2689" t="str">
        <f>"500000"</f>
        <v>500000</v>
      </c>
      <c r="AO2689" t="str">
        <f>"הכנסות  מלקוחות"</f>
        <v>הכנסות  מלקוחות</v>
      </c>
      <c r="AQ2689" t="str">
        <f>"034"</f>
        <v>034</v>
      </c>
      <c r="AR2689">
        <v>0</v>
      </c>
      <c r="AS2689">
        <v>0</v>
      </c>
      <c r="AT2689">
        <v>3.2810000000000001</v>
      </c>
      <c r="BB2689" t="str">
        <f>"Y"</f>
        <v>Y</v>
      </c>
      <c r="BD2689" t="str">
        <f>"ערן שלו"</f>
        <v>ערן שלו</v>
      </c>
    </row>
    <row r="2690" spans="1:56" x14ac:dyDescent="0.3">
      <c r="A2690" s="1">
        <v>44304</v>
      </c>
      <c r="B2690" t="str">
        <f>"SI216000528"</f>
        <v>SI216000528</v>
      </c>
      <c r="C2690" t="str">
        <f>"PR20000576"</f>
        <v>PR20000576</v>
      </c>
      <c r="E2690" t="str">
        <f>"Y"</f>
        <v>Y</v>
      </c>
      <c r="F2690" t="str">
        <f>"חשבוניות מרכזות"</f>
        <v>חשבוניות מרכזות</v>
      </c>
      <c r="G2690" t="str">
        <f>"700065"</f>
        <v>700065</v>
      </c>
      <c r="H2690" t="str">
        <f>"אלתא מערכות בע""מ"</f>
        <v>אלתא מערכות בע"מ</v>
      </c>
      <c r="I2690" t="str">
        <f>"10"</f>
        <v>10</v>
      </c>
      <c r="J2690" t="str">
        <f>"000"</f>
        <v>000</v>
      </c>
      <c r="K2690" t="str">
        <f>"NRE"</f>
        <v>NRE</v>
      </c>
      <c r="L2690">
        <v>1</v>
      </c>
      <c r="M2690" t="str">
        <f>"יח"</f>
        <v>יח</v>
      </c>
      <c r="N2690">
        <v>1</v>
      </c>
      <c r="O2690" t="str">
        <f>"יח"</f>
        <v>יח</v>
      </c>
      <c r="P2690" s="2">
        <v>3885</v>
      </c>
      <c r="Q2690" t="str">
        <f>"$"</f>
        <v>$</v>
      </c>
      <c r="R2690" t="str">
        <f>"הזמנה"</f>
        <v>הזמנה</v>
      </c>
      <c r="S2690">
        <v>0</v>
      </c>
      <c r="T2690" s="2">
        <v>3885</v>
      </c>
      <c r="U2690">
        <v>0</v>
      </c>
      <c r="V2690" s="2">
        <v>3885</v>
      </c>
      <c r="W2690" t="str">
        <f>"$"</f>
        <v>$</v>
      </c>
      <c r="X2690">
        <v>0</v>
      </c>
      <c r="Y2690">
        <v>0</v>
      </c>
      <c r="Z2690">
        <v>0</v>
      </c>
      <c r="AA2690" t="str">
        <f>"Y"</f>
        <v>Y</v>
      </c>
      <c r="AC2690">
        <v>0</v>
      </c>
      <c r="AM2690" t="str">
        <f>"10"</f>
        <v>10</v>
      </c>
      <c r="AN2690" t="str">
        <f>"500000"</f>
        <v>500000</v>
      </c>
      <c r="AO2690" t="str">
        <f>"הכנסות  מלקוחות"</f>
        <v>הכנסות  מלקוחות</v>
      </c>
      <c r="AQ2690" t="str">
        <f>"034"</f>
        <v>034</v>
      </c>
      <c r="AR2690">
        <v>0</v>
      </c>
      <c r="AS2690">
        <v>0</v>
      </c>
      <c r="AT2690">
        <v>3.2810000000000001</v>
      </c>
      <c r="BB2690" t="str">
        <f>"Y"</f>
        <v>Y</v>
      </c>
      <c r="BD2690" t="str">
        <f>"ערן שלו"</f>
        <v>ערן שלו</v>
      </c>
    </row>
    <row r="2691" spans="1:56" x14ac:dyDescent="0.3">
      <c r="A2691" s="1">
        <v>44304</v>
      </c>
      <c r="B2691" t="str">
        <f>"SI216000527"</f>
        <v>SI216000527</v>
      </c>
      <c r="E2691" t="str">
        <f>"Y"</f>
        <v>Y</v>
      </c>
      <c r="F2691" t="str">
        <f>"חשבוניות מרכזות"</f>
        <v>חשבוניות מרכזות</v>
      </c>
      <c r="G2691" t="str">
        <f>"700065"</f>
        <v>700065</v>
      </c>
      <c r="H2691" t="str">
        <f>"אלתא מערכות בע""מ"</f>
        <v>אלתא מערכות בע"מ</v>
      </c>
      <c r="I2691" t="str">
        <f>"10"</f>
        <v>10</v>
      </c>
      <c r="J2691" t="str">
        <f>"999"</f>
        <v>999</v>
      </c>
      <c r="K2691" t="str">
        <f>"עדכוני תכולה עבור חטיבת +CU"</f>
        <v>עדכוני תכולה עבור חטיבת +CU</v>
      </c>
      <c r="L2691">
        <v>1</v>
      </c>
      <c r="M2691" t="str">
        <f>"חל"</f>
        <v>חל</v>
      </c>
      <c r="N2691">
        <v>1</v>
      </c>
      <c r="O2691" t="str">
        <f>"חל"</f>
        <v>חל</v>
      </c>
      <c r="P2691" s="2">
        <v>8153.74</v>
      </c>
      <c r="Q2691" t="str">
        <f>"$"</f>
        <v>$</v>
      </c>
      <c r="R2691" t="str">
        <f>"הזמנה"</f>
        <v>הזמנה</v>
      </c>
      <c r="S2691">
        <v>0</v>
      </c>
      <c r="T2691" s="2">
        <v>8153.74</v>
      </c>
      <c r="U2691">
        <v>0</v>
      </c>
      <c r="V2691" s="2">
        <v>8153.74</v>
      </c>
      <c r="W2691" t="str">
        <f>"$"</f>
        <v>$</v>
      </c>
      <c r="X2691">
        <v>0</v>
      </c>
      <c r="Y2691">
        <v>0</v>
      </c>
      <c r="Z2691">
        <v>0</v>
      </c>
      <c r="AA2691" t="str">
        <f>"Y"</f>
        <v>Y</v>
      </c>
      <c r="AC2691">
        <v>0</v>
      </c>
      <c r="AM2691" t="str">
        <f>"10"</f>
        <v>10</v>
      </c>
      <c r="AN2691" t="str">
        <f>"500000"</f>
        <v>500000</v>
      </c>
      <c r="AO2691" t="str">
        <f>"הכנסות  מלקוחות"</f>
        <v>הכנסות  מלקוחות</v>
      </c>
      <c r="AQ2691" t="str">
        <f>"034"</f>
        <v>034</v>
      </c>
      <c r="AR2691">
        <v>0</v>
      </c>
      <c r="AS2691">
        <v>0</v>
      </c>
      <c r="AT2691">
        <v>3.2810000000000001</v>
      </c>
      <c r="BB2691" t="str">
        <f>"Y"</f>
        <v>Y</v>
      </c>
      <c r="BD2691" t="str">
        <f>"ערן שלו"</f>
        <v>ערן שלו</v>
      </c>
    </row>
    <row r="2692" spans="1:56" x14ac:dyDescent="0.3">
      <c r="A2692" s="1">
        <v>44297</v>
      </c>
      <c r="B2692" t="str">
        <f>"SI216000544"</f>
        <v>SI216000544</v>
      </c>
      <c r="C2692" t="str">
        <f>"PR21000070"</f>
        <v>PR21000070</v>
      </c>
      <c r="E2692" t="str">
        <f>"Y"</f>
        <v>Y</v>
      </c>
      <c r="F2692" t="str">
        <f>"חשבוניות מרכזות"</f>
        <v>חשבוניות מרכזות</v>
      </c>
      <c r="G2692" t="str">
        <f>"700065"</f>
        <v>700065</v>
      </c>
      <c r="H2692" t="str">
        <f>"אלתא מערכות בע""מ"</f>
        <v>אלתא מערכות בע"מ</v>
      </c>
      <c r="I2692" t="str">
        <f>"10"</f>
        <v>10</v>
      </c>
      <c r="J2692" t="str">
        <f>"OP-AR02243"</f>
        <v>OP-AR02243</v>
      </c>
      <c r="K2692" t="str">
        <f>"2211B044-001   WSTRU CABLE ASSY"</f>
        <v>2211B044-001   WSTRU CABLE ASSY</v>
      </c>
      <c r="L2692">
        <v>2</v>
      </c>
      <c r="M2692" t="str">
        <f>"יח"</f>
        <v>יח</v>
      </c>
      <c r="N2692">
        <v>2</v>
      </c>
      <c r="O2692" t="str">
        <f>"יח"</f>
        <v>יח</v>
      </c>
      <c r="P2692">
        <v>324.72000000000003</v>
      </c>
      <c r="Q2692" t="str">
        <f>"$"</f>
        <v>$</v>
      </c>
      <c r="R2692" t="str">
        <f>"הזמנה"</f>
        <v>הזמנה</v>
      </c>
      <c r="S2692">
        <v>0</v>
      </c>
      <c r="T2692">
        <v>649.44000000000005</v>
      </c>
      <c r="U2692">
        <v>0</v>
      </c>
      <c r="V2692">
        <v>649.44000000000005</v>
      </c>
      <c r="W2692" t="str">
        <f>"$"</f>
        <v>$</v>
      </c>
      <c r="X2692">
        <v>0</v>
      </c>
      <c r="Y2692">
        <v>0</v>
      </c>
      <c r="Z2692">
        <v>0</v>
      </c>
      <c r="AA2692" t="str">
        <f>"Y"</f>
        <v>Y</v>
      </c>
      <c r="AB2692" t="str">
        <f>"SO21000036"</f>
        <v>SO21000036</v>
      </c>
      <c r="AC2692">
        <v>1</v>
      </c>
      <c r="AD2692" s="1">
        <v>44217</v>
      </c>
      <c r="AE2692" t="str">
        <f>"SH21000511"</f>
        <v>SH21000511</v>
      </c>
      <c r="AF2692" t="str">
        <f>"משלוחים ללקוח"</f>
        <v>משלוחים ללקוח</v>
      </c>
      <c r="AG2692" s="1">
        <v>44291</v>
      </c>
      <c r="AM2692" t="str">
        <f>"10"</f>
        <v>10</v>
      </c>
      <c r="AN2692" t="str">
        <f>"500000"</f>
        <v>500000</v>
      </c>
      <c r="AO2692" t="str">
        <f>"הכנסות  מלקוחות"</f>
        <v>הכנסות  מלקוחות</v>
      </c>
      <c r="AQ2692" t="str">
        <f>"034"</f>
        <v>034</v>
      </c>
      <c r="AR2692">
        <v>0</v>
      </c>
      <c r="AS2692">
        <v>0</v>
      </c>
      <c r="AT2692">
        <v>3.2839999999999998</v>
      </c>
      <c r="AX2692" t="str">
        <f>"E000330617"</f>
        <v>E000330617</v>
      </c>
      <c r="BD2692" t="str">
        <f>"ערן שלו"</f>
        <v>ערן שלו</v>
      </c>
    </row>
    <row r="2693" spans="1:56" x14ac:dyDescent="0.3">
      <c r="A2693" s="1">
        <v>44297</v>
      </c>
      <c r="B2693" t="str">
        <f>"SI216000537"</f>
        <v>SI216000537</v>
      </c>
      <c r="C2693" t="str">
        <f>"PR20000851"</f>
        <v>PR20000851</v>
      </c>
      <c r="D2693" t="str">
        <f>"PR20000851"</f>
        <v>PR20000851</v>
      </c>
      <c r="E2693" t="str">
        <f>"Y"</f>
        <v>Y</v>
      </c>
      <c r="F2693" t="str">
        <f>"חשבוניות מרכזות"</f>
        <v>חשבוניות מרכזות</v>
      </c>
      <c r="G2693" t="str">
        <f>"700065"</f>
        <v>700065</v>
      </c>
      <c r="H2693" t="str">
        <f>"אלתא מערכות בע""מ"</f>
        <v>אלתא מערכות בע"מ</v>
      </c>
      <c r="I2693" t="str">
        <f>"10"</f>
        <v>10</v>
      </c>
      <c r="J2693" t="str">
        <f>"OP-AR02169"</f>
        <v>OP-AR02169</v>
      </c>
      <c r="K2693" t="str">
        <f>"1039H825-001/-   HARNESS WY025 - PDU TO CU EXTER"</f>
        <v>1039H825-001/-   HARNESS WY025 - PDU TO CU EXTER</v>
      </c>
      <c r="L2693">
        <v>3</v>
      </c>
      <c r="M2693" t="str">
        <f>"יח"</f>
        <v>יח</v>
      </c>
      <c r="N2693">
        <v>3</v>
      </c>
      <c r="O2693" t="str">
        <f>"יח"</f>
        <v>יח</v>
      </c>
      <c r="P2693">
        <v>514.77</v>
      </c>
      <c r="Q2693" t="str">
        <f>"$"</f>
        <v>$</v>
      </c>
      <c r="R2693" t="str">
        <f>"הזמנה"</f>
        <v>הזמנה</v>
      </c>
      <c r="S2693">
        <v>0</v>
      </c>
      <c r="T2693" s="2">
        <v>1544.31</v>
      </c>
      <c r="U2693">
        <v>0</v>
      </c>
      <c r="V2693" s="2">
        <v>1544.31</v>
      </c>
      <c r="W2693" t="str">
        <f>"$"</f>
        <v>$</v>
      </c>
      <c r="X2693">
        <v>0</v>
      </c>
      <c r="Y2693">
        <v>0</v>
      </c>
      <c r="Z2693">
        <v>0</v>
      </c>
      <c r="AA2693" t="str">
        <f>"Y"</f>
        <v>Y</v>
      </c>
      <c r="AB2693" t="str">
        <f>"SO20000555"</f>
        <v>SO20000555</v>
      </c>
      <c r="AC2693">
        <v>16</v>
      </c>
      <c r="AD2693" s="1">
        <v>44166</v>
      </c>
      <c r="AE2693" t="str">
        <f>"SH21000568"</f>
        <v>SH21000568</v>
      </c>
      <c r="AF2693" t="str">
        <f>"משלוחים ללקוח"</f>
        <v>משלוחים ללקוח</v>
      </c>
      <c r="AG2693" s="1">
        <v>44297</v>
      </c>
      <c r="AM2693" t="str">
        <f>"10"</f>
        <v>10</v>
      </c>
      <c r="AN2693" t="str">
        <f>"500000"</f>
        <v>500000</v>
      </c>
      <c r="AO2693" t="str">
        <f>"הכנסות  מלקוחות"</f>
        <v>הכנסות  מלקוחות</v>
      </c>
      <c r="AQ2693" t="str">
        <f>"034"</f>
        <v>034</v>
      </c>
      <c r="AR2693">
        <v>0</v>
      </c>
      <c r="AS2693">
        <v>0</v>
      </c>
      <c r="AT2693">
        <v>3.2839999999999998</v>
      </c>
      <c r="AX2693" t="str">
        <f>"E000326481"</f>
        <v>E000326481</v>
      </c>
      <c r="BD2693" t="str">
        <f>"ערן שלו"</f>
        <v>ערן שלו</v>
      </c>
    </row>
    <row r="2694" spans="1:56" x14ac:dyDescent="0.3">
      <c r="A2694" s="1">
        <v>44297</v>
      </c>
      <c r="B2694" t="str">
        <f>"SI216000537"</f>
        <v>SI216000537</v>
      </c>
      <c r="C2694" t="str">
        <f>"PR20000851"</f>
        <v>PR20000851</v>
      </c>
      <c r="D2694" t="str">
        <f>"PR20000851"</f>
        <v>PR20000851</v>
      </c>
      <c r="E2694" t="str">
        <f>"Y"</f>
        <v>Y</v>
      </c>
      <c r="F2694" t="str">
        <f>"חשבוניות מרכזות"</f>
        <v>חשבוניות מרכזות</v>
      </c>
      <c r="G2694" t="str">
        <f>"700065"</f>
        <v>700065</v>
      </c>
      <c r="H2694" t="str">
        <f>"אלתא מערכות בע""מ"</f>
        <v>אלתא מערכות בע"מ</v>
      </c>
      <c r="I2694" t="str">
        <f>"10"</f>
        <v>10</v>
      </c>
      <c r="J2694" t="str">
        <f>"OP-AR02186"</f>
        <v>OP-AR02186</v>
      </c>
      <c r="K2694" t="str">
        <f>"1039H852-001   HARNESS WY052 - PDU REMOTE TO U"</f>
        <v>1039H852-001   HARNESS WY052 - PDU REMOTE TO U</v>
      </c>
      <c r="L2694">
        <v>4</v>
      </c>
      <c r="M2694" t="str">
        <f>"יח"</f>
        <v>יח</v>
      </c>
      <c r="N2694">
        <v>4</v>
      </c>
      <c r="O2694" t="str">
        <f>"יח"</f>
        <v>יח</v>
      </c>
      <c r="P2694" s="2">
        <v>1168.03</v>
      </c>
      <c r="Q2694" t="str">
        <f>"$"</f>
        <v>$</v>
      </c>
      <c r="R2694" t="str">
        <f>"הזמנה"</f>
        <v>הזמנה</v>
      </c>
      <c r="S2694">
        <v>0</v>
      </c>
      <c r="T2694" s="2">
        <v>4672.12</v>
      </c>
      <c r="U2694">
        <v>0</v>
      </c>
      <c r="V2694" s="2">
        <v>4672.12</v>
      </c>
      <c r="W2694" t="str">
        <f>"$"</f>
        <v>$</v>
      </c>
      <c r="X2694">
        <v>0</v>
      </c>
      <c r="Y2694">
        <v>0</v>
      </c>
      <c r="Z2694">
        <v>0</v>
      </c>
      <c r="AA2694" t="str">
        <f>"Y"</f>
        <v>Y</v>
      </c>
      <c r="AB2694" t="str">
        <f>"SO20000555"</f>
        <v>SO20000555</v>
      </c>
      <c r="AC2694">
        <v>33</v>
      </c>
      <c r="AD2694" s="1">
        <v>44166</v>
      </c>
      <c r="AE2694" t="str">
        <f>"SH21000568"</f>
        <v>SH21000568</v>
      </c>
      <c r="AF2694" t="str">
        <f>"משלוחים ללקוח"</f>
        <v>משלוחים ללקוח</v>
      </c>
      <c r="AG2694" s="1">
        <v>44297</v>
      </c>
      <c r="AM2694" t="str">
        <f>"10"</f>
        <v>10</v>
      </c>
      <c r="AN2694" t="str">
        <f>"500000"</f>
        <v>500000</v>
      </c>
      <c r="AO2694" t="str">
        <f>"הכנסות  מלקוחות"</f>
        <v>הכנסות  מלקוחות</v>
      </c>
      <c r="AQ2694" t="str">
        <f>"034"</f>
        <v>034</v>
      </c>
      <c r="AR2694">
        <v>0</v>
      </c>
      <c r="AS2694">
        <v>0</v>
      </c>
      <c r="AT2694">
        <v>3.2839999999999998</v>
      </c>
      <c r="AX2694" t="str">
        <f>"E000326481"</f>
        <v>E000326481</v>
      </c>
      <c r="BD2694" t="str">
        <f>"ערן שלו"</f>
        <v>ערן שלו</v>
      </c>
    </row>
    <row r="2695" spans="1:56" x14ac:dyDescent="0.3">
      <c r="A2695" s="1">
        <v>44297</v>
      </c>
      <c r="B2695" t="str">
        <f>"SI216000536"</f>
        <v>SI216000536</v>
      </c>
      <c r="C2695" t="str">
        <f>"PR20000828"</f>
        <v>PR20000828</v>
      </c>
      <c r="D2695" t="str">
        <f>"PR20000828"</f>
        <v>PR20000828</v>
      </c>
      <c r="E2695" t="str">
        <f>"Y"</f>
        <v>Y</v>
      </c>
      <c r="F2695" t="str">
        <f>"חשבוניות מרכזות"</f>
        <v>חשבוניות מרכזות</v>
      </c>
      <c r="G2695" t="str">
        <f>"700065"</f>
        <v>700065</v>
      </c>
      <c r="H2695" t="str">
        <f>"אלתא מערכות בע""מ"</f>
        <v>אלתא מערכות בע"מ</v>
      </c>
      <c r="I2695" t="str">
        <f>"10"</f>
        <v>10</v>
      </c>
      <c r="J2695" t="str">
        <f>"OP-AR02138"</f>
        <v>OP-AR02138</v>
      </c>
      <c r="K2695" t="str">
        <f>"1036U412-001/-   WP412 - POWER AND CONTROL PEDES"</f>
        <v>1036U412-001/-   WP412 - POWER AND CONTROL PEDES</v>
      </c>
      <c r="L2695">
        <v>5</v>
      </c>
      <c r="M2695" t="str">
        <f>"יח"</f>
        <v>יח</v>
      </c>
      <c r="N2695">
        <v>5</v>
      </c>
      <c r="O2695" t="str">
        <f>"יח"</f>
        <v>יח</v>
      </c>
      <c r="P2695">
        <v>408.96</v>
      </c>
      <c r="Q2695" t="str">
        <f>"$"</f>
        <v>$</v>
      </c>
      <c r="R2695" t="str">
        <f>"הזמנה"</f>
        <v>הזמנה</v>
      </c>
      <c r="S2695">
        <v>0</v>
      </c>
      <c r="T2695" s="2">
        <v>2044.8</v>
      </c>
      <c r="U2695">
        <v>2.2999999999999998</v>
      </c>
      <c r="V2695" s="2">
        <v>1997.77</v>
      </c>
      <c r="W2695" t="str">
        <f>"$"</f>
        <v>$</v>
      </c>
      <c r="X2695">
        <v>0</v>
      </c>
      <c r="Y2695">
        <v>0</v>
      </c>
      <c r="Z2695">
        <v>0</v>
      </c>
      <c r="AA2695" t="str">
        <f>"Y"</f>
        <v>Y</v>
      </c>
      <c r="AB2695" t="str">
        <f>"SO20000546"</f>
        <v>SO20000546</v>
      </c>
      <c r="AC2695">
        <v>3</v>
      </c>
      <c r="AD2695" s="1">
        <v>44160</v>
      </c>
      <c r="AE2695" t="str">
        <f>"SH21000565"</f>
        <v>SH21000565</v>
      </c>
      <c r="AF2695" t="str">
        <f>"משלוחים ללקוח"</f>
        <v>משלוחים ללקוח</v>
      </c>
      <c r="AG2695" s="1">
        <v>44294</v>
      </c>
      <c r="AM2695" t="str">
        <f>"10"</f>
        <v>10</v>
      </c>
      <c r="AN2695" t="str">
        <f>"500000"</f>
        <v>500000</v>
      </c>
      <c r="AO2695" t="str">
        <f>"הכנסות  מלקוחות"</f>
        <v>הכנסות  מלקוחות</v>
      </c>
      <c r="AQ2695" t="str">
        <f>"034"</f>
        <v>034</v>
      </c>
      <c r="AR2695">
        <v>0</v>
      </c>
      <c r="AS2695">
        <v>0</v>
      </c>
      <c r="AT2695">
        <v>3.2839999999999998</v>
      </c>
      <c r="AX2695" t="str">
        <f>"E000326044"</f>
        <v>E000326044</v>
      </c>
      <c r="BD2695" t="str">
        <f>"ערן שלו"</f>
        <v>ערן שלו</v>
      </c>
    </row>
    <row r="2696" spans="1:56" x14ac:dyDescent="0.3">
      <c r="A2696" s="1">
        <v>44297</v>
      </c>
      <c r="B2696" t="str">
        <f>"SI216000535"</f>
        <v>SI216000535</v>
      </c>
      <c r="C2696" t="str">
        <f>"PR21000106"</f>
        <v>PR21000106</v>
      </c>
      <c r="E2696" t="str">
        <f>"Y"</f>
        <v>Y</v>
      </c>
      <c r="F2696" t="str">
        <f>"חשבוניות מרכזות"</f>
        <v>חשבוניות מרכזות</v>
      </c>
      <c r="G2696" t="str">
        <f>"700065"</f>
        <v>700065</v>
      </c>
      <c r="H2696" t="str">
        <f>"אלתא מערכות בע""מ"</f>
        <v>אלתא מערכות בע"מ</v>
      </c>
      <c r="I2696" t="str">
        <f>"10"</f>
        <v>10</v>
      </c>
      <c r="J2696" t="str">
        <f>"OP-AR02261"</f>
        <v>OP-AR02261</v>
      </c>
      <c r="K2696" t="str">
        <f>"1038C461-001   WG461 - PDB2 TO BUSBAR GROU"</f>
        <v>1038C461-001   WG461 - PDB2 TO BUSBAR GROU</v>
      </c>
      <c r="L2696">
        <v>16</v>
      </c>
      <c r="M2696" t="str">
        <f>"יח"</f>
        <v>יח</v>
      </c>
      <c r="N2696">
        <v>16</v>
      </c>
      <c r="O2696" t="str">
        <f>"יח"</f>
        <v>יח</v>
      </c>
      <c r="P2696">
        <v>278.70999999999998</v>
      </c>
      <c r="Q2696" t="str">
        <f>"$"</f>
        <v>$</v>
      </c>
      <c r="R2696" t="str">
        <f>"הזמנה"</f>
        <v>הזמנה</v>
      </c>
      <c r="S2696">
        <v>0</v>
      </c>
      <c r="T2696" s="2">
        <v>4459.3599999999997</v>
      </c>
      <c r="U2696">
        <v>0</v>
      </c>
      <c r="V2696" s="2">
        <v>4459.3599999999997</v>
      </c>
      <c r="W2696" t="str">
        <f>"$"</f>
        <v>$</v>
      </c>
      <c r="X2696">
        <v>0</v>
      </c>
      <c r="Y2696">
        <v>0</v>
      </c>
      <c r="Z2696">
        <v>0</v>
      </c>
      <c r="AA2696" t="str">
        <f>"Y"</f>
        <v>Y</v>
      </c>
      <c r="AB2696" t="str">
        <f>"SO21000050"</f>
        <v>SO21000050</v>
      </c>
      <c r="AC2696">
        <v>1</v>
      </c>
      <c r="AD2696" s="1">
        <v>44222</v>
      </c>
      <c r="AE2696" t="str">
        <f>"SH21000566"</f>
        <v>SH21000566</v>
      </c>
      <c r="AF2696" t="str">
        <f>"משלוחים ללקוח"</f>
        <v>משלוחים ללקוח</v>
      </c>
      <c r="AG2696" s="1">
        <v>44294</v>
      </c>
      <c r="AM2696" t="str">
        <f>"10"</f>
        <v>10</v>
      </c>
      <c r="AN2696" t="str">
        <f>"500000"</f>
        <v>500000</v>
      </c>
      <c r="AO2696" t="str">
        <f>"הכנסות  מלקוחות"</f>
        <v>הכנסות  מלקוחות</v>
      </c>
      <c r="AQ2696" t="str">
        <f>"034"</f>
        <v>034</v>
      </c>
      <c r="AR2696">
        <v>0</v>
      </c>
      <c r="AS2696">
        <v>0</v>
      </c>
      <c r="AT2696">
        <v>3.2839999999999998</v>
      </c>
      <c r="AX2696" t="str">
        <f>"E000331244"</f>
        <v>E000331244</v>
      </c>
      <c r="BD2696" t="str">
        <f>"ערן שלו"</f>
        <v>ערן שלו</v>
      </c>
    </row>
    <row r="2697" spans="1:56" x14ac:dyDescent="0.3">
      <c r="A2697" s="1">
        <v>44297</v>
      </c>
      <c r="B2697" t="str">
        <f>"SI216000534"</f>
        <v>SI216000534</v>
      </c>
      <c r="C2697" t="str">
        <f>"PR20000788"</f>
        <v>PR20000788</v>
      </c>
      <c r="D2697" t="str">
        <f>"PR20000788"</f>
        <v>PR20000788</v>
      </c>
      <c r="E2697" t="str">
        <f>"Y"</f>
        <v>Y</v>
      </c>
      <c r="F2697" t="str">
        <f>"חשבוניות מרכזות"</f>
        <v>חשבוניות מרכזות</v>
      </c>
      <c r="G2697" t="str">
        <f>"700065"</f>
        <v>700065</v>
      </c>
      <c r="H2697" t="str">
        <f>"אלתא מערכות בע""מ"</f>
        <v>אלתא מערכות בע"מ</v>
      </c>
      <c r="I2697" t="str">
        <f>"10"</f>
        <v>10</v>
      </c>
      <c r="J2697" t="str">
        <f>"OP-AR01949"</f>
        <v>OP-AR01949</v>
      </c>
      <c r="K2697" t="str">
        <f>"1031B131-001/A - CABLE ASSY W0131"</f>
        <v>1031B131-001/A - CABLE ASSY W0131</v>
      </c>
      <c r="L2697">
        <v>1</v>
      </c>
      <c r="M2697" t="str">
        <f>"יח"</f>
        <v>יח</v>
      </c>
      <c r="N2697">
        <v>1</v>
      </c>
      <c r="O2697" t="str">
        <f>"יח"</f>
        <v>יח</v>
      </c>
      <c r="P2697" s="2">
        <v>1952.04</v>
      </c>
      <c r="Q2697" t="str">
        <f>"$"</f>
        <v>$</v>
      </c>
      <c r="R2697" t="str">
        <f>"הזמנה"</f>
        <v>הזמנה</v>
      </c>
      <c r="S2697">
        <v>0</v>
      </c>
      <c r="T2697" s="2">
        <v>1952.04</v>
      </c>
      <c r="U2697">
        <v>2</v>
      </c>
      <c r="V2697" s="2">
        <v>1913</v>
      </c>
      <c r="W2697" t="str">
        <f>"$"</f>
        <v>$</v>
      </c>
      <c r="X2697">
        <v>0</v>
      </c>
      <c r="Y2697">
        <v>0</v>
      </c>
      <c r="Z2697">
        <v>0</v>
      </c>
      <c r="AA2697" t="str">
        <f>"Y"</f>
        <v>Y</v>
      </c>
      <c r="AB2697" t="str">
        <f>"SO20000519"</f>
        <v>SO20000519</v>
      </c>
      <c r="AC2697">
        <v>6</v>
      </c>
      <c r="AD2697" s="1">
        <v>44146</v>
      </c>
      <c r="AE2697" t="str">
        <f>"SH21000509"</f>
        <v>SH21000509</v>
      </c>
      <c r="AF2697" t="str">
        <f>"משלוחים ללקוח"</f>
        <v>משלוחים ללקוח</v>
      </c>
      <c r="AG2697" s="1">
        <v>44291</v>
      </c>
      <c r="AM2697" t="str">
        <f>"10"</f>
        <v>10</v>
      </c>
      <c r="AN2697" t="str">
        <f>"500000"</f>
        <v>500000</v>
      </c>
      <c r="AO2697" t="str">
        <f>"הכנסות  מלקוחות"</f>
        <v>הכנסות  מלקוחות</v>
      </c>
      <c r="AQ2697" t="str">
        <f>"034"</f>
        <v>034</v>
      </c>
      <c r="AR2697">
        <v>0</v>
      </c>
      <c r="AS2697">
        <v>0</v>
      </c>
      <c r="AT2697">
        <v>3.2839999999999998</v>
      </c>
      <c r="AX2697" t="str">
        <f>"E000323818"</f>
        <v>E000323818</v>
      </c>
      <c r="BD2697" t="str">
        <f>"ערן שלו"</f>
        <v>ערן שלו</v>
      </c>
    </row>
    <row r="2698" spans="1:56" x14ac:dyDescent="0.3">
      <c r="A2698" s="1">
        <v>44297</v>
      </c>
      <c r="B2698" t="str">
        <f>"SI216000533"</f>
        <v>SI216000533</v>
      </c>
      <c r="C2698" t="str">
        <f>"PR20000348"</f>
        <v>PR20000348</v>
      </c>
      <c r="E2698" t="str">
        <f>"Y"</f>
        <v>Y</v>
      </c>
      <c r="F2698" t="str">
        <f>"חשבוניות מרכזות"</f>
        <v>חשבוניות מרכזות</v>
      </c>
      <c r="G2698" t="str">
        <f>"700065"</f>
        <v>700065</v>
      </c>
      <c r="H2698" t="str">
        <f>"אלתא מערכות בע""מ"</f>
        <v>אלתא מערכות בע"מ</v>
      </c>
      <c r="I2698" t="str">
        <f>"10"</f>
        <v>10</v>
      </c>
      <c r="J2698" t="str">
        <f>"OP-AR01788"</f>
        <v>OP-AR01788</v>
      </c>
      <c r="K2698" t="str">
        <f>"1027L220-002 WR027 - MCS FANS DRAWER"</f>
        <v>1027L220-002 WR027 - MCS FANS DRAWER</v>
      </c>
      <c r="L2698">
        <v>1</v>
      </c>
      <c r="M2698" t="str">
        <f>"יח"</f>
        <v>יח</v>
      </c>
      <c r="N2698">
        <v>1</v>
      </c>
      <c r="O2698" t="str">
        <f>"יח"</f>
        <v>יח</v>
      </c>
      <c r="P2698">
        <v>147.51</v>
      </c>
      <c r="Q2698" t="str">
        <f>"$"</f>
        <v>$</v>
      </c>
      <c r="R2698" t="str">
        <f>"הזמנה"</f>
        <v>הזמנה</v>
      </c>
      <c r="S2698">
        <v>0</v>
      </c>
      <c r="T2698">
        <v>147.51</v>
      </c>
      <c r="U2698">
        <v>0</v>
      </c>
      <c r="V2698">
        <v>147.51</v>
      </c>
      <c r="W2698" t="str">
        <f>"$"</f>
        <v>$</v>
      </c>
      <c r="X2698">
        <v>0</v>
      </c>
      <c r="Y2698">
        <v>0</v>
      </c>
      <c r="Z2698">
        <v>0</v>
      </c>
      <c r="AA2698" t="str">
        <f>"Y"</f>
        <v>Y</v>
      </c>
      <c r="AB2698" t="str">
        <f>"SO20000201"</f>
        <v>SO20000201</v>
      </c>
      <c r="AC2698">
        <v>64</v>
      </c>
      <c r="AD2698" s="1">
        <v>43970</v>
      </c>
      <c r="AE2698" t="str">
        <f>"SH21000510"</f>
        <v>SH21000510</v>
      </c>
      <c r="AF2698" t="str">
        <f>"משלוחים ללקוח"</f>
        <v>משלוחים ללקוח</v>
      </c>
      <c r="AG2698" s="1">
        <v>44291</v>
      </c>
      <c r="AM2698" t="str">
        <f>"10"</f>
        <v>10</v>
      </c>
      <c r="AN2698" t="str">
        <f>"500000"</f>
        <v>500000</v>
      </c>
      <c r="AO2698" t="str">
        <f>"הכנסות  מלקוחות"</f>
        <v>הכנסות  מלקוחות</v>
      </c>
      <c r="AQ2698" t="str">
        <f>"034"</f>
        <v>034</v>
      </c>
      <c r="AR2698">
        <v>0</v>
      </c>
      <c r="AS2698">
        <v>0</v>
      </c>
      <c r="AT2698">
        <v>3.2839999999999998</v>
      </c>
      <c r="AX2698" t="str">
        <f>"E000311250"</f>
        <v>E000311250</v>
      </c>
      <c r="BD2698" t="str">
        <f>"ערן שלו"</f>
        <v>ערן שלו</v>
      </c>
    </row>
    <row r="2699" spans="1:56" x14ac:dyDescent="0.3">
      <c r="A2699" s="1">
        <v>44297</v>
      </c>
      <c r="B2699" t="str">
        <f>"SI216000533"</f>
        <v>SI216000533</v>
      </c>
      <c r="C2699" t="str">
        <f>"PR20000348"</f>
        <v>PR20000348</v>
      </c>
      <c r="E2699" t="str">
        <f>"Y"</f>
        <v>Y</v>
      </c>
      <c r="F2699" t="str">
        <f>"חשבוניות מרכזות"</f>
        <v>חשבוניות מרכזות</v>
      </c>
      <c r="G2699" t="str">
        <f>"700065"</f>
        <v>700065</v>
      </c>
      <c r="H2699" t="str">
        <f>"אלתא מערכות בע""מ"</f>
        <v>אלתא מערכות בע"מ</v>
      </c>
      <c r="I2699" t="str">
        <f>"10"</f>
        <v>10</v>
      </c>
      <c r="J2699" t="str">
        <f>"OP-AR01788"</f>
        <v>OP-AR01788</v>
      </c>
      <c r="K2699" t="str">
        <f>"1027L220-002 WR027 - MCS FANS DRAWER"</f>
        <v>1027L220-002 WR027 - MCS FANS DRAWER</v>
      </c>
      <c r="L2699">
        <v>3</v>
      </c>
      <c r="M2699" t="str">
        <f>"יח"</f>
        <v>יח</v>
      </c>
      <c r="N2699">
        <v>3</v>
      </c>
      <c r="O2699" t="str">
        <f>"יח"</f>
        <v>יח</v>
      </c>
      <c r="P2699">
        <v>147.51</v>
      </c>
      <c r="Q2699" t="str">
        <f>"$"</f>
        <v>$</v>
      </c>
      <c r="R2699" t="str">
        <f>"הזמנה"</f>
        <v>הזמנה</v>
      </c>
      <c r="S2699">
        <v>0</v>
      </c>
      <c r="T2699">
        <v>442.53</v>
      </c>
      <c r="U2699">
        <v>0</v>
      </c>
      <c r="V2699">
        <v>442.53</v>
      </c>
      <c r="W2699" t="str">
        <f>"$"</f>
        <v>$</v>
      </c>
      <c r="X2699">
        <v>0</v>
      </c>
      <c r="Y2699">
        <v>0</v>
      </c>
      <c r="Z2699">
        <v>0</v>
      </c>
      <c r="AA2699" t="str">
        <f>"Y"</f>
        <v>Y</v>
      </c>
      <c r="AB2699" t="str">
        <f>"SO20000201"</f>
        <v>SO20000201</v>
      </c>
      <c r="AC2699">
        <v>65</v>
      </c>
      <c r="AD2699" s="1">
        <v>43970</v>
      </c>
      <c r="AE2699" t="str">
        <f>"SH21000510"</f>
        <v>SH21000510</v>
      </c>
      <c r="AF2699" t="str">
        <f>"משלוחים ללקוח"</f>
        <v>משלוחים ללקוח</v>
      </c>
      <c r="AG2699" s="1">
        <v>44291</v>
      </c>
      <c r="AM2699" t="str">
        <f>"10"</f>
        <v>10</v>
      </c>
      <c r="AN2699" t="str">
        <f>"500000"</f>
        <v>500000</v>
      </c>
      <c r="AO2699" t="str">
        <f>"הכנסות  מלקוחות"</f>
        <v>הכנסות  מלקוחות</v>
      </c>
      <c r="AQ2699" t="str">
        <f>"034"</f>
        <v>034</v>
      </c>
      <c r="AR2699">
        <v>0</v>
      </c>
      <c r="AS2699">
        <v>0</v>
      </c>
      <c r="AT2699">
        <v>3.2839999999999998</v>
      </c>
      <c r="AX2699" t="str">
        <f>"E000311250"</f>
        <v>E000311250</v>
      </c>
      <c r="BD2699" t="str">
        <f>"ערן שלו"</f>
        <v>ערן שלו</v>
      </c>
    </row>
    <row r="2700" spans="1:56" x14ac:dyDescent="0.3">
      <c r="A2700" s="1">
        <v>44297</v>
      </c>
      <c r="B2700" t="str">
        <f>"SI216000532"</f>
        <v>SI216000532</v>
      </c>
      <c r="C2700" t="str">
        <f>"PR20000802"</f>
        <v>PR20000802</v>
      </c>
      <c r="E2700" t="str">
        <f>"Y"</f>
        <v>Y</v>
      </c>
      <c r="F2700" t="str">
        <f>"חשבוניות מרכזות"</f>
        <v>חשבוניות מרכזות</v>
      </c>
      <c r="G2700" t="str">
        <f>"700065"</f>
        <v>700065</v>
      </c>
      <c r="H2700" t="str">
        <f>"אלתא מערכות בע""מ"</f>
        <v>אלתא מערכות בע"מ</v>
      </c>
      <c r="I2700" t="str">
        <f>"10"</f>
        <v>10</v>
      </c>
      <c r="J2700" t="str">
        <f>"OP-AR02098"</f>
        <v>OP-AR02098</v>
      </c>
      <c r="K2700" t="str">
        <f>"1029P276-002/-  WM006 - POWER 230VAC TO IFF"</f>
        <v>1029P276-002/-  WM006 - POWER 230VAC TO IFF</v>
      </c>
      <c r="L2700">
        <v>4</v>
      </c>
      <c r="M2700" t="str">
        <f>"יח"</f>
        <v>יח</v>
      </c>
      <c r="N2700">
        <v>4</v>
      </c>
      <c r="O2700" t="str">
        <f>"יח"</f>
        <v>יח</v>
      </c>
      <c r="P2700">
        <v>244.78</v>
      </c>
      <c r="Q2700" t="str">
        <f>"$"</f>
        <v>$</v>
      </c>
      <c r="R2700" t="str">
        <f>"הזמנה"</f>
        <v>הזמנה</v>
      </c>
      <c r="S2700">
        <v>0</v>
      </c>
      <c r="T2700">
        <v>979.12</v>
      </c>
      <c r="U2700">
        <v>0</v>
      </c>
      <c r="V2700">
        <v>979.12</v>
      </c>
      <c r="W2700" t="str">
        <f>"$"</f>
        <v>$</v>
      </c>
      <c r="X2700">
        <v>0</v>
      </c>
      <c r="Y2700">
        <v>0</v>
      </c>
      <c r="Z2700">
        <v>0</v>
      </c>
      <c r="AA2700" t="str">
        <f>"Y"</f>
        <v>Y</v>
      </c>
      <c r="AB2700" t="str">
        <f>"SO12000013"</f>
        <v>SO12000013</v>
      </c>
      <c r="AC2700">
        <v>1</v>
      </c>
      <c r="AD2700" s="1">
        <v>41230</v>
      </c>
      <c r="AE2700" t="str">
        <f>"SH21000508"</f>
        <v>SH21000508</v>
      </c>
      <c r="AF2700" t="str">
        <f>"משלוחים ללקוח"</f>
        <v>משלוחים ללקוח</v>
      </c>
      <c r="AG2700" s="1">
        <v>44291</v>
      </c>
      <c r="AM2700" t="str">
        <f>"10"</f>
        <v>10</v>
      </c>
      <c r="AN2700" t="str">
        <f>"500000"</f>
        <v>500000</v>
      </c>
      <c r="AO2700" t="str">
        <f>"הכנסות  מלקוחות"</f>
        <v>הכנסות  מלקוחות</v>
      </c>
      <c r="AQ2700" t="str">
        <f>"034"</f>
        <v>034</v>
      </c>
      <c r="AR2700">
        <v>0</v>
      </c>
      <c r="AS2700">
        <v>0</v>
      </c>
      <c r="AT2700">
        <v>3.2839999999999998</v>
      </c>
      <c r="AX2700" t="str">
        <f>"E000326245"</f>
        <v>E000326245</v>
      </c>
      <c r="BD2700" t="str">
        <f>"ערן שלו"</f>
        <v>ערן שלו</v>
      </c>
    </row>
    <row r="2701" spans="1:56" x14ac:dyDescent="0.3">
      <c r="A2701" s="1">
        <v>44297</v>
      </c>
      <c r="B2701" t="str">
        <f>"SI216000532"</f>
        <v>SI216000532</v>
      </c>
      <c r="C2701" t="str">
        <f>"PR20000802"</f>
        <v>PR20000802</v>
      </c>
      <c r="E2701" t="str">
        <f>"Y"</f>
        <v>Y</v>
      </c>
      <c r="F2701" t="str">
        <f>"חשבוניות מרכזות"</f>
        <v>חשבוניות מרכזות</v>
      </c>
      <c r="G2701" t="str">
        <f>"700065"</f>
        <v>700065</v>
      </c>
      <c r="H2701" t="str">
        <f>"אלתא מערכות בע""מ"</f>
        <v>אלתא מערכות בע"מ</v>
      </c>
      <c r="I2701" t="str">
        <f>"10"</f>
        <v>10</v>
      </c>
      <c r="J2701" t="str">
        <f>"OP-AR02098"</f>
        <v>OP-AR02098</v>
      </c>
      <c r="K2701" t="str">
        <f>"1029P276-002/-  WM006 - POWER 230VAC TO IFF"</f>
        <v>1029P276-002/-  WM006 - POWER 230VAC TO IFF</v>
      </c>
      <c r="L2701">
        <v>3</v>
      </c>
      <c r="M2701" t="str">
        <f>"יח"</f>
        <v>יח</v>
      </c>
      <c r="N2701">
        <v>3</v>
      </c>
      <c r="O2701" t="str">
        <f>"יח"</f>
        <v>יח</v>
      </c>
      <c r="P2701">
        <v>244.78</v>
      </c>
      <c r="Q2701" t="str">
        <f>"$"</f>
        <v>$</v>
      </c>
      <c r="R2701" t="str">
        <f>"הזמנה"</f>
        <v>הזמנה</v>
      </c>
      <c r="S2701">
        <v>0</v>
      </c>
      <c r="T2701">
        <v>734.34</v>
      </c>
      <c r="U2701">
        <v>0</v>
      </c>
      <c r="V2701">
        <v>734.34</v>
      </c>
      <c r="W2701" t="str">
        <f>"$"</f>
        <v>$</v>
      </c>
      <c r="X2701">
        <v>0</v>
      </c>
      <c r="Y2701">
        <v>0</v>
      </c>
      <c r="Z2701">
        <v>0</v>
      </c>
      <c r="AA2701" t="str">
        <f>"Y"</f>
        <v>Y</v>
      </c>
      <c r="AB2701" t="str">
        <f>"SO12000013"</f>
        <v>SO12000013</v>
      </c>
      <c r="AC2701">
        <v>2</v>
      </c>
      <c r="AD2701" s="1">
        <v>41230</v>
      </c>
      <c r="AE2701" t="str">
        <f>"SH21000508"</f>
        <v>SH21000508</v>
      </c>
      <c r="AF2701" t="str">
        <f>"משלוחים ללקוח"</f>
        <v>משלוחים ללקוח</v>
      </c>
      <c r="AG2701" s="1">
        <v>44291</v>
      </c>
      <c r="AM2701" t="str">
        <f>"10"</f>
        <v>10</v>
      </c>
      <c r="AN2701" t="str">
        <f>"500000"</f>
        <v>500000</v>
      </c>
      <c r="AO2701" t="str">
        <f>"הכנסות  מלקוחות"</f>
        <v>הכנסות  מלקוחות</v>
      </c>
      <c r="AQ2701" t="str">
        <f>"034"</f>
        <v>034</v>
      </c>
      <c r="AR2701">
        <v>0</v>
      </c>
      <c r="AS2701">
        <v>0</v>
      </c>
      <c r="AT2701">
        <v>3.2839999999999998</v>
      </c>
      <c r="AX2701" t="str">
        <f>"E000326245"</f>
        <v>E000326245</v>
      </c>
      <c r="BD2701" t="str">
        <f>"ערן שלו"</f>
        <v>ערן שלו</v>
      </c>
    </row>
    <row r="2702" spans="1:56" x14ac:dyDescent="0.3">
      <c r="A2702" s="1">
        <v>44294</v>
      </c>
      <c r="B2702" t="str">
        <f>"SI216000502"</f>
        <v>SI216000502</v>
      </c>
      <c r="C2702" t="str">
        <f>"PR20000622"</f>
        <v>PR20000622</v>
      </c>
      <c r="D2702" t="str">
        <f>"PR20000622"</f>
        <v>PR20000622</v>
      </c>
      <c r="E2702" t="str">
        <f>"Y"</f>
        <v>Y</v>
      </c>
      <c r="F2702" t="str">
        <f>"חשבוניות מרכזות"</f>
        <v>חשבוניות מרכזות</v>
      </c>
      <c r="G2702" t="str">
        <f>"700065"</f>
        <v>700065</v>
      </c>
      <c r="H2702" t="str">
        <f>"אלתא מערכות בע""מ"</f>
        <v>אלתא מערכות בע"מ</v>
      </c>
      <c r="I2702" t="str">
        <f>"10"</f>
        <v>10</v>
      </c>
      <c r="J2702" t="str">
        <f>"OP-AR02016"</f>
        <v>OP-AR02016</v>
      </c>
      <c r="K2702" t="str">
        <f>"1096B462-001  DC HARNESS"</f>
        <v>1096B462-001  DC HARNESS</v>
      </c>
      <c r="L2702">
        <v>4</v>
      </c>
      <c r="M2702" t="str">
        <f>"יח"</f>
        <v>יח</v>
      </c>
      <c r="N2702">
        <v>4</v>
      </c>
      <c r="O2702" t="str">
        <f>"יח"</f>
        <v>יח</v>
      </c>
      <c r="P2702" s="2">
        <v>1175.45</v>
      </c>
      <c r="Q2702" t="str">
        <f>"$"</f>
        <v>$</v>
      </c>
      <c r="R2702" t="str">
        <f>"הזמנה"</f>
        <v>הזמנה</v>
      </c>
      <c r="S2702">
        <v>0</v>
      </c>
      <c r="T2702" s="2">
        <v>4701.8</v>
      </c>
      <c r="U2702">
        <v>0</v>
      </c>
      <c r="V2702" s="2">
        <v>4701.8</v>
      </c>
      <c r="W2702" t="str">
        <f>"$"</f>
        <v>$</v>
      </c>
      <c r="X2702">
        <v>0</v>
      </c>
      <c r="Y2702">
        <v>0</v>
      </c>
      <c r="Z2702">
        <v>0</v>
      </c>
      <c r="AA2702" t="str">
        <f>"Y"</f>
        <v>Y</v>
      </c>
      <c r="AB2702" t="str">
        <f>"SO20000414"</f>
        <v>SO20000414</v>
      </c>
      <c r="AC2702">
        <v>2</v>
      </c>
      <c r="AD2702" s="1">
        <v>44082</v>
      </c>
      <c r="AE2702" t="str">
        <f>"SH21000556"</f>
        <v>SH21000556</v>
      </c>
      <c r="AF2702" t="str">
        <f>"משלוחים ללקוח"</f>
        <v>משלוחים ללקוח</v>
      </c>
      <c r="AG2702" s="1">
        <v>44294</v>
      </c>
      <c r="AM2702" t="str">
        <f>"10"</f>
        <v>10</v>
      </c>
      <c r="AN2702" t="str">
        <f>"500000"</f>
        <v>500000</v>
      </c>
      <c r="AO2702" t="str">
        <f>"הכנסות  מלקוחות"</f>
        <v>הכנסות  מלקוחות</v>
      </c>
      <c r="AQ2702" t="str">
        <f>"034"</f>
        <v>034</v>
      </c>
      <c r="AR2702">
        <v>0</v>
      </c>
      <c r="AS2702">
        <v>0</v>
      </c>
      <c r="AT2702">
        <v>3.286</v>
      </c>
      <c r="AX2702" t="str">
        <f>"E000319937"</f>
        <v>E000319937</v>
      </c>
      <c r="BD2702" t="str">
        <f>"ערן שלו"</f>
        <v>ערן שלו</v>
      </c>
    </row>
    <row r="2703" spans="1:56" x14ac:dyDescent="0.3">
      <c r="A2703" s="1">
        <v>44292</v>
      </c>
      <c r="B2703" t="str">
        <f>"SI216000503"</f>
        <v>SI216000503</v>
      </c>
      <c r="C2703" t="str">
        <f>"PR20000851"</f>
        <v>PR20000851</v>
      </c>
      <c r="D2703" t="str">
        <f>"PR20000851"</f>
        <v>PR20000851</v>
      </c>
      <c r="E2703" t="str">
        <f>"Y"</f>
        <v>Y</v>
      </c>
      <c r="F2703" t="str">
        <f>"חשבוניות מרכזות"</f>
        <v>חשבוניות מרכזות</v>
      </c>
      <c r="G2703" t="str">
        <f>"700065"</f>
        <v>700065</v>
      </c>
      <c r="H2703" t="str">
        <f>"אלתא מערכות בע""מ"</f>
        <v>אלתא מערכות בע"מ</v>
      </c>
      <c r="I2703" t="str">
        <f>"10"</f>
        <v>10</v>
      </c>
      <c r="J2703" t="str">
        <f>"OP-AR02153"</f>
        <v>OP-AR02153</v>
      </c>
      <c r="K2703" t="str">
        <f>"1039H801-001   HARNESS WY001 - PDU 1 POWER IN"</f>
        <v>1039H801-001   HARNESS WY001 - PDU 1 POWER IN</v>
      </c>
      <c r="L2703">
        <v>1</v>
      </c>
      <c r="M2703" t="str">
        <f>"יח"</f>
        <v>יח</v>
      </c>
      <c r="N2703">
        <v>1</v>
      </c>
      <c r="O2703" t="str">
        <f>"יח"</f>
        <v>יח</v>
      </c>
      <c r="P2703">
        <v>972.25</v>
      </c>
      <c r="Q2703" t="str">
        <f>"$"</f>
        <v>$</v>
      </c>
      <c r="R2703" t="str">
        <f>"הזמנה"</f>
        <v>הזמנה</v>
      </c>
      <c r="S2703">
        <v>0</v>
      </c>
      <c r="T2703">
        <v>972.25</v>
      </c>
      <c r="U2703">
        <v>0</v>
      </c>
      <c r="V2703">
        <v>972.25</v>
      </c>
      <c r="W2703" t="str">
        <f>"$"</f>
        <v>$</v>
      </c>
      <c r="X2703">
        <v>0</v>
      </c>
      <c r="Y2703">
        <v>0</v>
      </c>
      <c r="Z2703">
        <v>0</v>
      </c>
      <c r="AA2703" t="str">
        <f>"Y"</f>
        <v>Y</v>
      </c>
      <c r="AB2703" t="str">
        <f>"SO20000555"</f>
        <v>SO20000555</v>
      </c>
      <c r="AC2703">
        <v>1</v>
      </c>
      <c r="AD2703" s="1">
        <v>44166</v>
      </c>
      <c r="AE2703" t="str">
        <f>"SH21000530"</f>
        <v>SH21000530</v>
      </c>
      <c r="AF2703" t="str">
        <f>"משלוחים ללקוח"</f>
        <v>משלוחים ללקוח</v>
      </c>
      <c r="AG2703" s="1">
        <v>44292</v>
      </c>
      <c r="AM2703" t="str">
        <f>"10"</f>
        <v>10</v>
      </c>
      <c r="AN2703" t="str">
        <f>"500000"</f>
        <v>500000</v>
      </c>
      <c r="AO2703" t="str">
        <f>"הכנסות  מלקוחות"</f>
        <v>הכנסות  מלקוחות</v>
      </c>
      <c r="AQ2703" t="str">
        <f>"034"</f>
        <v>034</v>
      </c>
      <c r="AR2703">
        <v>0</v>
      </c>
      <c r="AS2703">
        <v>0</v>
      </c>
      <c r="AT2703">
        <v>3.3090000000000002</v>
      </c>
      <c r="AX2703" t="str">
        <f>"E000326481"</f>
        <v>E000326481</v>
      </c>
      <c r="BD2703" t="str">
        <f>"ערן שלו"</f>
        <v>ערן שלו</v>
      </c>
    </row>
    <row r="2704" spans="1:56" x14ac:dyDescent="0.3">
      <c r="A2704" s="1">
        <v>44292</v>
      </c>
      <c r="B2704" t="str">
        <f>"SI216000503"</f>
        <v>SI216000503</v>
      </c>
      <c r="C2704" t="str">
        <f>"PR20000851"</f>
        <v>PR20000851</v>
      </c>
      <c r="D2704" t="str">
        <f>"PR20000851"</f>
        <v>PR20000851</v>
      </c>
      <c r="E2704" t="str">
        <f>"Y"</f>
        <v>Y</v>
      </c>
      <c r="F2704" t="str">
        <f>"חשבוניות מרכזות"</f>
        <v>חשבוניות מרכזות</v>
      </c>
      <c r="G2704" t="str">
        <f>"700065"</f>
        <v>700065</v>
      </c>
      <c r="H2704" t="str">
        <f>"אלתא מערכות בע""מ"</f>
        <v>אלתא מערכות בע"מ</v>
      </c>
      <c r="I2704" t="str">
        <f>"10"</f>
        <v>10</v>
      </c>
      <c r="J2704" t="str">
        <f>"OP-AR02154"</f>
        <v>OP-AR02154</v>
      </c>
      <c r="K2704" t="str">
        <f>"1039H802-001   HARNESS WY002 - PDU 2 POWER IN"</f>
        <v>1039H802-001   HARNESS WY002 - PDU 2 POWER IN</v>
      </c>
      <c r="L2704">
        <v>1</v>
      </c>
      <c r="M2704" t="str">
        <f>"יח"</f>
        <v>יח</v>
      </c>
      <c r="N2704">
        <v>1</v>
      </c>
      <c r="O2704" t="str">
        <f>"יח"</f>
        <v>יח</v>
      </c>
      <c r="P2704">
        <v>969.65</v>
      </c>
      <c r="Q2704" t="str">
        <f>"$"</f>
        <v>$</v>
      </c>
      <c r="R2704" t="str">
        <f>"הזמנה"</f>
        <v>הזמנה</v>
      </c>
      <c r="S2704">
        <v>0</v>
      </c>
      <c r="T2704">
        <v>969.65</v>
      </c>
      <c r="U2704">
        <v>0</v>
      </c>
      <c r="V2704">
        <v>969.65</v>
      </c>
      <c r="W2704" t="str">
        <f>"$"</f>
        <v>$</v>
      </c>
      <c r="X2704">
        <v>0</v>
      </c>
      <c r="Y2704">
        <v>0</v>
      </c>
      <c r="Z2704">
        <v>0</v>
      </c>
      <c r="AA2704" t="str">
        <f>"Y"</f>
        <v>Y</v>
      </c>
      <c r="AB2704" t="str">
        <f>"SO20000555"</f>
        <v>SO20000555</v>
      </c>
      <c r="AC2704">
        <v>2</v>
      </c>
      <c r="AD2704" s="1">
        <v>44166</v>
      </c>
      <c r="AE2704" t="str">
        <f>"SH21000530"</f>
        <v>SH21000530</v>
      </c>
      <c r="AF2704" t="str">
        <f>"משלוחים ללקוח"</f>
        <v>משלוחים ללקוח</v>
      </c>
      <c r="AG2704" s="1">
        <v>44292</v>
      </c>
      <c r="AM2704" t="str">
        <f>"10"</f>
        <v>10</v>
      </c>
      <c r="AN2704" t="str">
        <f>"500000"</f>
        <v>500000</v>
      </c>
      <c r="AO2704" t="str">
        <f>"הכנסות  מלקוחות"</f>
        <v>הכנסות  מלקוחות</v>
      </c>
      <c r="AQ2704" t="str">
        <f>"034"</f>
        <v>034</v>
      </c>
      <c r="AR2704">
        <v>0</v>
      </c>
      <c r="AS2704">
        <v>0</v>
      </c>
      <c r="AT2704">
        <v>3.3090000000000002</v>
      </c>
      <c r="AX2704" t="str">
        <f>"E000326481"</f>
        <v>E000326481</v>
      </c>
      <c r="BD2704" t="str">
        <f>"ערן שלו"</f>
        <v>ערן שלו</v>
      </c>
    </row>
    <row r="2705" spans="1:56" x14ac:dyDescent="0.3">
      <c r="A2705" s="1">
        <v>44285</v>
      </c>
      <c r="B2705" t="str">
        <f>"SI216000424"</f>
        <v>SI216000424</v>
      </c>
      <c r="E2705" t="str">
        <f>"Y"</f>
        <v>Y</v>
      </c>
      <c r="F2705" t="str">
        <f>"חשבוניות מרכזות"</f>
        <v>חשבוניות מרכזות</v>
      </c>
      <c r="G2705" t="str">
        <f>"700065"</f>
        <v>700065</v>
      </c>
      <c r="H2705" t="str">
        <f>"אלתא מערכות בע""מ"</f>
        <v>אלתא מערכות בע"מ</v>
      </c>
      <c r="I2705" t="str">
        <f>"10"</f>
        <v>10</v>
      </c>
      <c r="J2705" t="str">
        <f>"999"</f>
        <v>999</v>
      </c>
      <c r="K2705" t="str">
        <f>"תוספת בגין שינויים ב 1037C508-001- עבור BEL- 4"</f>
        <v>תוספת בגין שינויים ב 1037C508-001- עבור BEL- 4</v>
      </c>
      <c r="L2705">
        <v>0.25</v>
      </c>
      <c r="M2705" t="str">
        <f>"חל"</f>
        <v>חל</v>
      </c>
      <c r="N2705">
        <v>0.25</v>
      </c>
      <c r="O2705" t="str">
        <f>"חל"</f>
        <v>חל</v>
      </c>
      <c r="P2705" s="2">
        <v>73508</v>
      </c>
      <c r="Q2705" t="str">
        <f>"$"</f>
        <v>$</v>
      </c>
      <c r="R2705" t="str">
        <f>"הזמנה"</f>
        <v>הזמנה</v>
      </c>
      <c r="S2705">
        <v>0</v>
      </c>
      <c r="T2705" s="2">
        <v>18377</v>
      </c>
      <c r="U2705">
        <v>0</v>
      </c>
      <c r="V2705" s="2">
        <v>18377</v>
      </c>
      <c r="W2705" t="str">
        <f>"$"</f>
        <v>$</v>
      </c>
      <c r="X2705">
        <v>0</v>
      </c>
      <c r="Y2705">
        <v>0</v>
      </c>
      <c r="Z2705">
        <v>0</v>
      </c>
      <c r="AA2705" t="str">
        <f>"Y"</f>
        <v>Y</v>
      </c>
      <c r="AB2705" t="str">
        <f>"SO19000481"</f>
        <v>SO19000481</v>
      </c>
      <c r="AC2705">
        <v>4</v>
      </c>
      <c r="AD2705" s="1">
        <v>43782</v>
      </c>
      <c r="AM2705" t="str">
        <f>"10"</f>
        <v>10</v>
      </c>
      <c r="AN2705" t="str">
        <f>"500000"</f>
        <v>500000</v>
      </c>
      <c r="AO2705" t="str">
        <f>"הכנסות  מלקוחות"</f>
        <v>הכנסות  מלקוחות</v>
      </c>
      <c r="AQ2705" t="str">
        <f>"034"</f>
        <v>034</v>
      </c>
      <c r="AR2705">
        <v>0</v>
      </c>
      <c r="AS2705">
        <v>0</v>
      </c>
      <c r="AT2705">
        <v>3.3420000000000001</v>
      </c>
      <c r="AX2705" t="str">
        <f>"E000298440"</f>
        <v>E000298440</v>
      </c>
      <c r="BD2705" t="str">
        <f>"ערן שלו"</f>
        <v>ערן שלו</v>
      </c>
    </row>
    <row r="2706" spans="1:56" x14ac:dyDescent="0.3">
      <c r="A2706" s="1">
        <v>44280</v>
      </c>
      <c r="B2706" t="str">
        <f>"SI216000483"</f>
        <v>SI216000483</v>
      </c>
      <c r="C2706" t="str">
        <f>"PR20000789"</f>
        <v>PR20000789</v>
      </c>
      <c r="D2706" t="str">
        <f>"PR20000789"</f>
        <v>PR20000789</v>
      </c>
      <c r="E2706" t="str">
        <f>"Y"</f>
        <v>Y</v>
      </c>
      <c r="F2706" t="str">
        <f>"חשבוניות מרכזות"</f>
        <v>חשבוניות מרכזות</v>
      </c>
      <c r="G2706" t="str">
        <f>"700065"</f>
        <v>700065</v>
      </c>
      <c r="H2706" t="str">
        <f>"אלתא מערכות בע""מ"</f>
        <v>אלתא מערכות בע"מ</v>
      </c>
      <c r="I2706" t="str">
        <f>"10"</f>
        <v>10</v>
      </c>
      <c r="J2706" t="str">
        <f>"OP-AR02086"</f>
        <v>OP-AR02086</v>
      </c>
      <c r="K2706" t="str">
        <f>"2060B171-001  CABLE ASSY CRW22"</f>
        <v>2060B171-001  CABLE ASSY CRW22</v>
      </c>
      <c r="L2706">
        <v>1</v>
      </c>
      <c r="M2706" t="str">
        <f>"יח"</f>
        <v>יח</v>
      </c>
      <c r="N2706">
        <v>1</v>
      </c>
      <c r="O2706" t="str">
        <f>"יח"</f>
        <v>יח</v>
      </c>
      <c r="P2706">
        <v>623.46</v>
      </c>
      <c r="Q2706" t="str">
        <f>"$"</f>
        <v>$</v>
      </c>
      <c r="R2706" t="str">
        <f>"הזמנה"</f>
        <v>הזמנה</v>
      </c>
      <c r="S2706">
        <v>0</v>
      </c>
      <c r="T2706">
        <v>623.46</v>
      </c>
      <c r="U2706">
        <v>0</v>
      </c>
      <c r="V2706">
        <v>623.46</v>
      </c>
      <c r="W2706" t="str">
        <f>"$"</f>
        <v>$</v>
      </c>
      <c r="X2706">
        <v>0</v>
      </c>
      <c r="Y2706">
        <v>0</v>
      </c>
      <c r="Z2706">
        <v>0</v>
      </c>
      <c r="AA2706" t="str">
        <f>"Y"</f>
        <v>Y</v>
      </c>
      <c r="AB2706" t="str">
        <f>"SO20000518"</f>
        <v>SO20000518</v>
      </c>
      <c r="AC2706">
        <v>1</v>
      </c>
      <c r="AD2706" s="1">
        <v>44145</v>
      </c>
      <c r="AE2706" t="str">
        <f>"SH21000439"</f>
        <v>SH21000439</v>
      </c>
      <c r="AF2706" t="str">
        <f>"משלוחים ללקוח"</f>
        <v>משלוחים ללקוח</v>
      </c>
      <c r="AG2706" s="1">
        <v>44276</v>
      </c>
      <c r="AM2706" t="str">
        <f>"10"</f>
        <v>10</v>
      </c>
      <c r="AN2706" t="str">
        <f>"500000"</f>
        <v>500000</v>
      </c>
      <c r="AO2706" t="str">
        <f>"הכנסות  מלקוחות"</f>
        <v>הכנסות  מלקוחות</v>
      </c>
      <c r="AQ2706" t="str">
        <f>"034"</f>
        <v>034</v>
      </c>
      <c r="AR2706">
        <v>0</v>
      </c>
      <c r="AS2706">
        <v>0</v>
      </c>
      <c r="AT2706">
        <v>3.31</v>
      </c>
      <c r="AX2706" t="str">
        <f>"E000324732"</f>
        <v>E000324732</v>
      </c>
      <c r="BD2706" t="str">
        <f>"ערן שלו"</f>
        <v>ערן שלו</v>
      </c>
    </row>
    <row r="2707" spans="1:56" x14ac:dyDescent="0.3">
      <c r="A2707" s="1">
        <v>44280</v>
      </c>
      <c r="B2707" t="str">
        <f>"SI216000482"</f>
        <v>SI216000482</v>
      </c>
      <c r="C2707" t="str">
        <f>"PR20000851"</f>
        <v>PR20000851</v>
      </c>
      <c r="D2707" t="str">
        <f>"PR20000851"</f>
        <v>PR20000851</v>
      </c>
      <c r="E2707" t="str">
        <f>"Y"</f>
        <v>Y</v>
      </c>
      <c r="F2707" t="str">
        <f>"חשבוניות מרכזות"</f>
        <v>חשבוניות מרכזות</v>
      </c>
      <c r="G2707" t="str">
        <f>"700065"</f>
        <v>700065</v>
      </c>
      <c r="H2707" t="str">
        <f>"אלתא מערכות בע""מ"</f>
        <v>אלתא מערכות בע"מ</v>
      </c>
      <c r="I2707" t="str">
        <f>"10"</f>
        <v>10</v>
      </c>
      <c r="J2707" t="str">
        <f>"OP-AR02157"</f>
        <v>OP-AR02157</v>
      </c>
      <c r="K2707" t="str">
        <f>"1039H812-001   HARNESS WY012 - PDU TO TRA2 SHE"</f>
        <v>1039H812-001   HARNESS WY012 - PDU TO TRA2 SHE</v>
      </c>
      <c r="L2707">
        <v>1</v>
      </c>
      <c r="M2707" t="str">
        <f>"יח"</f>
        <v>יח</v>
      </c>
      <c r="N2707">
        <v>1</v>
      </c>
      <c r="O2707" t="str">
        <f>"יח"</f>
        <v>יח</v>
      </c>
      <c r="P2707">
        <v>441.92</v>
      </c>
      <c r="Q2707" t="str">
        <f>"$"</f>
        <v>$</v>
      </c>
      <c r="R2707" t="str">
        <f>"הזמנה"</f>
        <v>הזמנה</v>
      </c>
      <c r="S2707">
        <v>0</v>
      </c>
      <c r="T2707">
        <v>441.92</v>
      </c>
      <c r="U2707">
        <v>0</v>
      </c>
      <c r="V2707">
        <v>441.92</v>
      </c>
      <c r="W2707" t="str">
        <f>"$"</f>
        <v>$</v>
      </c>
      <c r="X2707">
        <v>0</v>
      </c>
      <c r="Y2707">
        <v>0</v>
      </c>
      <c r="Z2707">
        <v>0</v>
      </c>
      <c r="AA2707" t="str">
        <f>"Y"</f>
        <v>Y</v>
      </c>
      <c r="AB2707" t="str">
        <f>"SO20000555"</f>
        <v>SO20000555</v>
      </c>
      <c r="AC2707">
        <v>5</v>
      </c>
      <c r="AD2707" s="1">
        <v>44166</v>
      </c>
      <c r="AE2707" t="str">
        <f>"SH21000456"</f>
        <v>SH21000456</v>
      </c>
      <c r="AF2707" t="str">
        <f>"משלוחים ללקוח"</f>
        <v>משלוחים ללקוח</v>
      </c>
      <c r="AG2707" s="1">
        <v>44279</v>
      </c>
      <c r="AM2707" t="str">
        <f>"10"</f>
        <v>10</v>
      </c>
      <c r="AN2707" t="str">
        <f>"500000"</f>
        <v>500000</v>
      </c>
      <c r="AO2707" t="str">
        <f>"הכנסות  מלקוחות"</f>
        <v>הכנסות  מלקוחות</v>
      </c>
      <c r="AQ2707" t="str">
        <f>"034"</f>
        <v>034</v>
      </c>
      <c r="AR2707">
        <v>0</v>
      </c>
      <c r="AS2707">
        <v>0</v>
      </c>
      <c r="AT2707">
        <v>3.31</v>
      </c>
      <c r="AX2707" t="str">
        <f>"E000326481"</f>
        <v>E000326481</v>
      </c>
      <c r="BD2707" t="str">
        <f>"ערן שלו"</f>
        <v>ערן שלו</v>
      </c>
    </row>
    <row r="2708" spans="1:56" x14ac:dyDescent="0.3">
      <c r="A2708" s="1">
        <v>44280</v>
      </c>
      <c r="B2708" t="str">
        <f>"SI216000482"</f>
        <v>SI216000482</v>
      </c>
      <c r="C2708" t="str">
        <f>"PR20000851"</f>
        <v>PR20000851</v>
      </c>
      <c r="D2708" t="str">
        <f>"PR20000851"</f>
        <v>PR20000851</v>
      </c>
      <c r="E2708" t="str">
        <f>"Y"</f>
        <v>Y</v>
      </c>
      <c r="F2708" t="str">
        <f>"חשבוניות מרכזות"</f>
        <v>חשבוניות מרכזות</v>
      </c>
      <c r="G2708" t="str">
        <f>"700065"</f>
        <v>700065</v>
      </c>
      <c r="H2708" t="str">
        <f>"אלתא מערכות בע""מ"</f>
        <v>אלתא מערכות בע"מ</v>
      </c>
      <c r="I2708" t="str">
        <f>"10"</f>
        <v>10</v>
      </c>
      <c r="J2708" t="str">
        <f>"OP-AR02162"</f>
        <v>OP-AR02162</v>
      </c>
      <c r="K2708" t="str">
        <f>"1039H817-001   HARNESS WY017 - PDU TO FANS SHE"</f>
        <v>1039H817-001   HARNESS WY017 - PDU TO FANS SHE</v>
      </c>
      <c r="L2708">
        <v>1</v>
      </c>
      <c r="M2708" t="str">
        <f>"יח"</f>
        <v>יח</v>
      </c>
      <c r="N2708">
        <v>1</v>
      </c>
      <c r="O2708" t="str">
        <f>"יח"</f>
        <v>יח</v>
      </c>
      <c r="P2708">
        <v>285.45</v>
      </c>
      <c r="Q2708" t="str">
        <f>"$"</f>
        <v>$</v>
      </c>
      <c r="R2708" t="str">
        <f>"הזמנה"</f>
        <v>הזמנה</v>
      </c>
      <c r="S2708">
        <v>0</v>
      </c>
      <c r="T2708">
        <v>285.45</v>
      </c>
      <c r="U2708">
        <v>0</v>
      </c>
      <c r="V2708">
        <v>285.45</v>
      </c>
      <c r="W2708" t="str">
        <f>"$"</f>
        <v>$</v>
      </c>
      <c r="X2708">
        <v>0</v>
      </c>
      <c r="Y2708">
        <v>0</v>
      </c>
      <c r="Z2708">
        <v>0</v>
      </c>
      <c r="AA2708" t="str">
        <f>"Y"</f>
        <v>Y</v>
      </c>
      <c r="AB2708" t="str">
        <f>"SO20000555"</f>
        <v>SO20000555</v>
      </c>
      <c r="AC2708">
        <v>10</v>
      </c>
      <c r="AD2708" s="1">
        <v>44166</v>
      </c>
      <c r="AE2708" t="str">
        <f>"SH21000456"</f>
        <v>SH21000456</v>
      </c>
      <c r="AF2708" t="str">
        <f>"משלוחים ללקוח"</f>
        <v>משלוחים ללקוח</v>
      </c>
      <c r="AG2708" s="1">
        <v>44279</v>
      </c>
      <c r="AM2708" t="str">
        <f>"10"</f>
        <v>10</v>
      </c>
      <c r="AN2708" t="str">
        <f>"500000"</f>
        <v>500000</v>
      </c>
      <c r="AO2708" t="str">
        <f>"הכנסות  מלקוחות"</f>
        <v>הכנסות  מלקוחות</v>
      </c>
      <c r="AQ2708" t="str">
        <f>"034"</f>
        <v>034</v>
      </c>
      <c r="AR2708">
        <v>0</v>
      </c>
      <c r="AS2708">
        <v>0</v>
      </c>
      <c r="AT2708">
        <v>3.31</v>
      </c>
      <c r="AX2708" t="str">
        <f>"E000326481"</f>
        <v>E000326481</v>
      </c>
      <c r="BD2708" t="str">
        <f>"ערן שלו"</f>
        <v>ערן שלו</v>
      </c>
    </row>
    <row r="2709" spans="1:56" x14ac:dyDescent="0.3">
      <c r="A2709" s="1">
        <v>44280</v>
      </c>
      <c r="B2709" t="str">
        <f>"SI216000482"</f>
        <v>SI216000482</v>
      </c>
      <c r="C2709" t="str">
        <f>"PR20000851"</f>
        <v>PR20000851</v>
      </c>
      <c r="D2709" t="str">
        <f>"PR20000851"</f>
        <v>PR20000851</v>
      </c>
      <c r="E2709" t="str">
        <f>"Y"</f>
        <v>Y</v>
      </c>
      <c r="F2709" t="str">
        <f>"חשבוניות מרכזות"</f>
        <v>חשבוניות מרכזות</v>
      </c>
      <c r="G2709" t="str">
        <f>"700065"</f>
        <v>700065</v>
      </c>
      <c r="H2709" t="str">
        <f>"אלתא מערכות בע""מ"</f>
        <v>אלתא מערכות בע"מ</v>
      </c>
      <c r="I2709" t="str">
        <f>"10"</f>
        <v>10</v>
      </c>
      <c r="J2709" t="str">
        <f>"OP-AR02163"</f>
        <v>OP-AR02163</v>
      </c>
      <c r="K2709" t="str">
        <f>"1039H818-001   HARNESS WY018 - PDU TO IFF SHEL"</f>
        <v>1039H818-001   HARNESS WY018 - PDU TO IFF SHEL</v>
      </c>
      <c r="L2709">
        <v>1</v>
      </c>
      <c r="M2709" t="str">
        <f>"יח"</f>
        <v>יח</v>
      </c>
      <c r="N2709">
        <v>1</v>
      </c>
      <c r="O2709" t="str">
        <f>"יח"</f>
        <v>יח</v>
      </c>
      <c r="P2709">
        <v>298.01</v>
      </c>
      <c r="Q2709" t="str">
        <f>"$"</f>
        <v>$</v>
      </c>
      <c r="R2709" t="str">
        <f>"הזמנה"</f>
        <v>הזמנה</v>
      </c>
      <c r="S2709">
        <v>0</v>
      </c>
      <c r="T2709">
        <v>298.01</v>
      </c>
      <c r="U2709">
        <v>0</v>
      </c>
      <c r="V2709">
        <v>298.01</v>
      </c>
      <c r="W2709" t="str">
        <f>"$"</f>
        <v>$</v>
      </c>
      <c r="X2709">
        <v>0</v>
      </c>
      <c r="Y2709">
        <v>0</v>
      </c>
      <c r="Z2709">
        <v>0</v>
      </c>
      <c r="AA2709" t="str">
        <f>"Y"</f>
        <v>Y</v>
      </c>
      <c r="AB2709" t="str">
        <f>"SO20000555"</f>
        <v>SO20000555</v>
      </c>
      <c r="AC2709">
        <v>11</v>
      </c>
      <c r="AD2709" s="1">
        <v>44166</v>
      </c>
      <c r="AE2709" t="str">
        <f>"SH21000456"</f>
        <v>SH21000456</v>
      </c>
      <c r="AF2709" t="str">
        <f>"משלוחים ללקוח"</f>
        <v>משלוחים ללקוח</v>
      </c>
      <c r="AG2709" s="1">
        <v>44279</v>
      </c>
      <c r="AM2709" t="str">
        <f>"10"</f>
        <v>10</v>
      </c>
      <c r="AN2709" t="str">
        <f>"500000"</f>
        <v>500000</v>
      </c>
      <c r="AO2709" t="str">
        <f>"הכנסות  מלקוחות"</f>
        <v>הכנסות  מלקוחות</v>
      </c>
      <c r="AQ2709" t="str">
        <f>"034"</f>
        <v>034</v>
      </c>
      <c r="AR2709">
        <v>0</v>
      </c>
      <c r="AS2709">
        <v>0</v>
      </c>
      <c r="AT2709">
        <v>3.31</v>
      </c>
      <c r="AX2709" t="str">
        <f>"E000326481"</f>
        <v>E000326481</v>
      </c>
      <c r="BD2709" t="str">
        <f>"ערן שלו"</f>
        <v>ערן שלו</v>
      </c>
    </row>
    <row r="2710" spans="1:56" x14ac:dyDescent="0.3">
      <c r="A2710" s="1">
        <v>44280</v>
      </c>
      <c r="B2710" t="str">
        <f>"SI216000482"</f>
        <v>SI216000482</v>
      </c>
      <c r="C2710" t="str">
        <f>"PR20000851"</f>
        <v>PR20000851</v>
      </c>
      <c r="D2710" t="str">
        <f>"PR20000851"</f>
        <v>PR20000851</v>
      </c>
      <c r="E2710" t="str">
        <f>"Y"</f>
        <v>Y</v>
      </c>
      <c r="F2710" t="str">
        <f>"חשבוניות מרכזות"</f>
        <v>חשבוניות מרכזות</v>
      </c>
      <c r="G2710" t="str">
        <f>"700065"</f>
        <v>700065</v>
      </c>
      <c r="H2710" t="str">
        <f>"אלתא מערכות בע""מ"</f>
        <v>אלתא מערכות בע"מ</v>
      </c>
      <c r="I2710" t="str">
        <f>"10"</f>
        <v>10</v>
      </c>
      <c r="J2710" t="str">
        <f>"OP-AR02176"</f>
        <v>OP-AR02176</v>
      </c>
      <c r="K2710" t="str">
        <f>"1039H834-001/-   HARNESS WY034 - PDU TO TRA4 EXT"</f>
        <v>1039H834-001/-   HARNESS WY034 - PDU TO TRA4 EXT</v>
      </c>
      <c r="L2710">
        <v>1</v>
      </c>
      <c r="M2710" t="str">
        <f>"יח"</f>
        <v>יח</v>
      </c>
      <c r="N2710">
        <v>1</v>
      </c>
      <c r="O2710" t="str">
        <f>"יח"</f>
        <v>יח</v>
      </c>
      <c r="P2710" s="2">
        <v>1370.19</v>
      </c>
      <c r="Q2710" t="str">
        <f>"$"</f>
        <v>$</v>
      </c>
      <c r="R2710" t="str">
        <f>"הזמנה"</f>
        <v>הזמנה</v>
      </c>
      <c r="S2710">
        <v>0</v>
      </c>
      <c r="T2710" s="2">
        <v>1370.19</v>
      </c>
      <c r="U2710">
        <v>0</v>
      </c>
      <c r="V2710" s="2">
        <v>1370.19</v>
      </c>
      <c r="W2710" t="str">
        <f>"$"</f>
        <v>$</v>
      </c>
      <c r="X2710">
        <v>0</v>
      </c>
      <c r="Y2710">
        <v>0</v>
      </c>
      <c r="Z2710">
        <v>0</v>
      </c>
      <c r="AA2710" t="str">
        <f>"Y"</f>
        <v>Y</v>
      </c>
      <c r="AB2710" t="str">
        <f>"SO20000555"</f>
        <v>SO20000555</v>
      </c>
      <c r="AC2710">
        <v>23</v>
      </c>
      <c r="AD2710" s="1">
        <v>44166</v>
      </c>
      <c r="AE2710" t="str">
        <f>"SH21000456"</f>
        <v>SH21000456</v>
      </c>
      <c r="AF2710" t="str">
        <f>"משלוחים ללקוח"</f>
        <v>משלוחים ללקוח</v>
      </c>
      <c r="AG2710" s="1">
        <v>44279</v>
      </c>
      <c r="AM2710" t="str">
        <f>"10"</f>
        <v>10</v>
      </c>
      <c r="AN2710" t="str">
        <f>"500000"</f>
        <v>500000</v>
      </c>
      <c r="AO2710" t="str">
        <f>"הכנסות  מלקוחות"</f>
        <v>הכנסות  מלקוחות</v>
      </c>
      <c r="AQ2710" t="str">
        <f>"034"</f>
        <v>034</v>
      </c>
      <c r="AR2710">
        <v>0</v>
      </c>
      <c r="AS2710">
        <v>0</v>
      </c>
      <c r="AT2710">
        <v>3.31</v>
      </c>
      <c r="AX2710" t="str">
        <f>"E000326481"</f>
        <v>E000326481</v>
      </c>
      <c r="BD2710" t="str">
        <f>"ערן שלו"</f>
        <v>ערן שלו</v>
      </c>
    </row>
    <row r="2711" spans="1:56" x14ac:dyDescent="0.3">
      <c r="A2711" s="1">
        <v>44280</v>
      </c>
      <c r="B2711" t="str">
        <f>"SI216000482"</f>
        <v>SI216000482</v>
      </c>
      <c r="C2711" t="str">
        <f>"PR20000851"</f>
        <v>PR20000851</v>
      </c>
      <c r="D2711" t="str">
        <f>"PR20000851"</f>
        <v>PR20000851</v>
      </c>
      <c r="E2711" t="str">
        <f>"Y"</f>
        <v>Y</v>
      </c>
      <c r="F2711" t="str">
        <f>"חשבוניות מרכזות"</f>
        <v>חשבוניות מרכזות</v>
      </c>
      <c r="G2711" t="str">
        <f>"700065"</f>
        <v>700065</v>
      </c>
      <c r="H2711" t="str">
        <f>"אלתא מערכות בע""מ"</f>
        <v>אלתא מערכות בע"מ</v>
      </c>
      <c r="I2711" t="str">
        <f>"10"</f>
        <v>10</v>
      </c>
      <c r="J2711" t="str">
        <f>"OP-AR02177"</f>
        <v>OP-AR02177</v>
      </c>
      <c r="K2711" t="str">
        <f>"1039H837-001/-   HARNESS WY037 - PDU TO FANS EXT"</f>
        <v>1039H837-001/-   HARNESS WY037 - PDU TO FANS EXT</v>
      </c>
      <c r="L2711">
        <v>1</v>
      </c>
      <c r="M2711" t="str">
        <f>"יח"</f>
        <v>יח</v>
      </c>
      <c r="N2711">
        <v>1</v>
      </c>
      <c r="O2711" t="str">
        <f>"יח"</f>
        <v>יח</v>
      </c>
      <c r="P2711">
        <v>758.41</v>
      </c>
      <c r="Q2711" t="str">
        <f>"$"</f>
        <v>$</v>
      </c>
      <c r="R2711" t="str">
        <f>"הזמנה"</f>
        <v>הזמנה</v>
      </c>
      <c r="S2711">
        <v>0</v>
      </c>
      <c r="T2711">
        <v>758.41</v>
      </c>
      <c r="U2711">
        <v>0</v>
      </c>
      <c r="V2711">
        <v>758.41</v>
      </c>
      <c r="W2711" t="str">
        <f>"$"</f>
        <v>$</v>
      </c>
      <c r="X2711">
        <v>0</v>
      </c>
      <c r="Y2711">
        <v>0</v>
      </c>
      <c r="Z2711">
        <v>0</v>
      </c>
      <c r="AA2711" t="str">
        <f>"Y"</f>
        <v>Y</v>
      </c>
      <c r="AB2711" t="str">
        <f>"SO20000555"</f>
        <v>SO20000555</v>
      </c>
      <c r="AC2711">
        <v>24</v>
      </c>
      <c r="AD2711" s="1">
        <v>44166</v>
      </c>
      <c r="AE2711" t="str">
        <f>"SH21000456"</f>
        <v>SH21000456</v>
      </c>
      <c r="AF2711" t="str">
        <f>"משלוחים ללקוח"</f>
        <v>משלוחים ללקוח</v>
      </c>
      <c r="AG2711" s="1">
        <v>44279</v>
      </c>
      <c r="AM2711" t="str">
        <f>"10"</f>
        <v>10</v>
      </c>
      <c r="AN2711" t="str">
        <f>"500000"</f>
        <v>500000</v>
      </c>
      <c r="AO2711" t="str">
        <f>"הכנסות  מלקוחות"</f>
        <v>הכנסות  מלקוחות</v>
      </c>
      <c r="AQ2711" t="str">
        <f>"034"</f>
        <v>034</v>
      </c>
      <c r="AR2711">
        <v>0</v>
      </c>
      <c r="AS2711">
        <v>0</v>
      </c>
      <c r="AT2711">
        <v>3.31</v>
      </c>
      <c r="AX2711" t="str">
        <f>"E000326481"</f>
        <v>E000326481</v>
      </c>
      <c r="BD2711" t="str">
        <f>"ערן שלו"</f>
        <v>ערן שלו</v>
      </c>
    </row>
    <row r="2712" spans="1:56" x14ac:dyDescent="0.3">
      <c r="A2712" s="1">
        <v>44280</v>
      </c>
      <c r="B2712" t="str">
        <f>"SI216000482"</f>
        <v>SI216000482</v>
      </c>
      <c r="C2712" t="str">
        <f>"PR20000851"</f>
        <v>PR20000851</v>
      </c>
      <c r="D2712" t="str">
        <f>"PR20000851"</f>
        <v>PR20000851</v>
      </c>
      <c r="E2712" t="str">
        <f>"Y"</f>
        <v>Y</v>
      </c>
      <c r="F2712" t="str">
        <f>"חשבוניות מרכזות"</f>
        <v>חשבוניות מרכזות</v>
      </c>
      <c r="G2712" t="str">
        <f>"700065"</f>
        <v>700065</v>
      </c>
      <c r="H2712" t="str">
        <f>"אלתא מערכות בע""מ"</f>
        <v>אלתא מערכות בע"מ</v>
      </c>
      <c r="I2712" t="str">
        <f>"10"</f>
        <v>10</v>
      </c>
      <c r="J2712" t="str">
        <f>"OP-AR02186"</f>
        <v>OP-AR02186</v>
      </c>
      <c r="K2712" t="str">
        <f>"1039H852-001   HARNESS WY052 - PDU REMOTE TO U"</f>
        <v>1039H852-001   HARNESS WY052 - PDU REMOTE TO U</v>
      </c>
      <c r="L2712">
        <v>1</v>
      </c>
      <c r="M2712" t="str">
        <f>"יח"</f>
        <v>יח</v>
      </c>
      <c r="N2712">
        <v>1</v>
      </c>
      <c r="O2712" t="str">
        <f>"יח"</f>
        <v>יח</v>
      </c>
      <c r="P2712" s="2">
        <v>1168.03</v>
      </c>
      <c r="Q2712" t="str">
        <f>"$"</f>
        <v>$</v>
      </c>
      <c r="R2712" t="str">
        <f>"הזמנה"</f>
        <v>הזמנה</v>
      </c>
      <c r="S2712">
        <v>0</v>
      </c>
      <c r="T2712" s="2">
        <v>1168.03</v>
      </c>
      <c r="U2712">
        <v>0</v>
      </c>
      <c r="V2712" s="2">
        <v>1168.03</v>
      </c>
      <c r="W2712" t="str">
        <f>"$"</f>
        <v>$</v>
      </c>
      <c r="X2712">
        <v>0</v>
      </c>
      <c r="Y2712">
        <v>0</v>
      </c>
      <c r="Z2712">
        <v>0</v>
      </c>
      <c r="AA2712" t="str">
        <f>"Y"</f>
        <v>Y</v>
      </c>
      <c r="AB2712" t="str">
        <f>"SO20000555"</f>
        <v>SO20000555</v>
      </c>
      <c r="AC2712">
        <v>33</v>
      </c>
      <c r="AD2712" s="1">
        <v>44166</v>
      </c>
      <c r="AE2712" t="str">
        <f>"SH21000456"</f>
        <v>SH21000456</v>
      </c>
      <c r="AF2712" t="str">
        <f>"משלוחים ללקוח"</f>
        <v>משלוחים ללקוח</v>
      </c>
      <c r="AG2712" s="1">
        <v>44279</v>
      </c>
      <c r="AM2712" t="str">
        <f>"10"</f>
        <v>10</v>
      </c>
      <c r="AN2712" t="str">
        <f>"500000"</f>
        <v>500000</v>
      </c>
      <c r="AO2712" t="str">
        <f>"הכנסות  מלקוחות"</f>
        <v>הכנסות  מלקוחות</v>
      </c>
      <c r="AQ2712" t="str">
        <f>"034"</f>
        <v>034</v>
      </c>
      <c r="AR2712">
        <v>0</v>
      </c>
      <c r="AS2712">
        <v>0</v>
      </c>
      <c r="AT2712">
        <v>3.31</v>
      </c>
      <c r="AX2712" t="str">
        <f>"E000326481"</f>
        <v>E000326481</v>
      </c>
      <c r="BD2712" t="str">
        <f>"ערן שלו"</f>
        <v>ערן שלו</v>
      </c>
    </row>
    <row r="2713" spans="1:56" x14ac:dyDescent="0.3">
      <c r="A2713" s="1">
        <v>44280</v>
      </c>
      <c r="B2713" t="str">
        <f>"SI216000482"</f>
        <v>SI216000482</v>
      </c>
      <c r="C2713" t="str">
        <f>"PR20000851"</f>
        <v>PR20000851</v>
      </c>
      <c r="D2713" t="str">
        <f>"PR20000851"</f>
        <v>PR20000851</v>
      </c>
      <c r="E2713" t="str">
        <f>"Y"</f>
        <v>Y</v>
      </c>
      <c r="F2713" t="str">
        <f>"חשבוניות מרכזות"</f>
        <v>חשבוניות מרכזות</v>
      </c>
      <c r="G2713" t="str">
        <f>"700065"</f>
        <v>700065</v>
      </c>
      <c r="H2713" t="str">
        <f>"אלתא מערכות בע""מ"</f>
        <v>אלתא מערכות בע"מ</v>
      </c>
      <c r="I2713" t="str">
        <f>"10"</f>
        <v>10</v>
      </c>
      <c r="J2713" t="str">
        <f>"OP-AR02187"</f>
        <v>OP-AR02187</v>
      </c>
      <c r="K2713" t="str">
        <f>"1039H861-001/-   HARNESS WY061 - CU TO TRA1 AND"</f>
        <v>1039H861-001/-   HARNESS WY061 - CU TO TRA1 AND</v>
      </c>
      <c r="L2713">
        <v>1</v>
      </c>
      <c r="M2713" t="str">
        <f>"יח"</f>
        <v>יח</v>
      </c>
      <c r="N2713">
        <v>1</v>
      </c>
      <c r="O2713" t="str">
        <f>"יח"</f>
        <v>יח</v>
      </c>
      <c r="P2713" s="2">
        <v>1113.19</v>
      </c>
      <c r="Q2713" t="str">
        <f>"$"</f>
        <v>$</v>
      </c>
      <c r="R2713" t="str">
        <f>"הזמנה"</f>
        <v>הזמנה</v>
      </c>
      <c r="S2713">
        <v>0</v>
      </c>
      <c r="T2713" s="2">
        <v>1113.19</v>
      </c>
      <c r="U2713">
        <v>0</v>
      </c>
      <c r="V2713" s="2">
        <v>1113.19</v>
      </c>
      <c r="W2713" t="str">
        <f>"$"</f>
        <v>$</v>
      </c>
      <c r="X2713">
        <v>0</v>
      </c>
      <c r="Y2713">
        <v>0</v>
      </c>
      <c r="Z2713">
        <v>0</v>
      </c>
      <c r="AA2713" t="str">
        <f>"Y"</f>
        <v>Y</v>
      </c>
      <c r="AB2713" t="str">
        <f>"SO20000555"</f>
        <v>SO20000555</v>
      </c>
      <c r="AC2713">
        <v>34</v>
      </c>
      <c r="AD2713" s="1">
        <v>44166</v>
      </c>
      <c r="AE2713" t="str">
        <f>"SH21000456"</f>
        <v>SH21000456</v>
      </c>
      <c r="AF2713" t="str">
        <f>"משלוחים ללקוח"</f>
        <v>משלוחים ללקוח</v>
      </c>
      <c r="AG2713" s="1">
        <v>44279</v>
      </c>
      <c r="AM2713" t="str">
        <f>"10"</f>
        <v>10</v>
      </c>
      <c r="AN2713" t="str">
        <f>"500000"</f>
        <v>500000</v>
      </c>
      <c r="AO2713" t="str">
        <f>"הכנסות  מלקוחות"</f>
        <v>הכנסות  מלקוחות</v>
      </c>
      <c r="AQ2713" t="str">
        <f>"034"</f>
        <v>034</v>
      </c>
      <c r="AR2713">
        <v>0</v>
      </c>
      <c r="AS2713">
        <v>0</v>
      </c>
      <c r="AT2713">
        <v>3.31</v>
      </c>
      <c r="AX2713" t="str">
        <f>"E000326481"</f>
        <v>E000326481</v>
      </c>
      <c r="BD2713" t="str">
        <f>"ערן שלו"</f>
        <v>ערן שלו</v>
      </c>
    </row>
    <row r="2714" spans="1:56" x14ac:dyDescent="0.3">
      <c r="A2714" s="1">
        <v>44280</v>
      </c>
      <c r="B2714" t="str">
        <f>"SI216000482"</f>
        <v>SI216000482</v>
      </c>
      <c r="C2714" t="str">
        <f>"PR20000851"</f>
        <v>PR20000851</v>
      </c>
      <c r="D2714" t="str">
        <f>"PR20000851"</f>
        <v>PR20000851</v>
      </c>
      <c r="E2714" t="str">
        <f>"Y"</f>
        <v>Y</v>
      </c>
      <c r="F2714" t="str">
        <f>"חשבוניות מרכזות"</f>
        <v>חשבוניות מרכזות</v>
      </c>
      <c r="G2714" t="str">
        <f>"700065"</f>
        <v>700065</v>
      </c>
      <c r="H2714" t="str">
        <f>"אלתא מערכות בע""מ"</f>
        <v>אלתא מערכות בע"מ</v>
      </c>
      <c r="I2714" t="str">
        <f>"10"</f>
        <v>10</v>
      </c>
      <c r="J2714" t="str">
        <f>"OP-AR02189"</f>
        <v>OP-AR02189</v>
      </c>
      <c r="K2714" t="str">
        <f>"1039H863-001/-   HARNESS WY063 - CU TO TRA3 AND"</f>
        <v>1039H863-001/-   HARNESS WY063 - CU TO TRA3 AND</v>
      </c>
      <c r="L2714">
        <v>1</v>
      </c>
      <c r="M2714" t="str">
        <f>"יח"</f>
        <v>יח</v>
      </c>
      <c r="N2714">
        <v>1</v>
      </c>
      <c r="O2714" t="str">
        <f>"יח"</f>
        <v>יח</v>
      </c>
      <c r="P2714" s="2">
        <v>1123.4000000000001</v>
      </c>
      <c r="Q2714" t="str">
        <f>"$"</f>
        <v>$</v>
      </c>
      <c r="R2714" t="str">
        <f>"הזמנה"</f>
        <v>הזמנה</v>
      </c>
      <c r="S2714">
        <v>0</v>
      </c>
      <c r="T2714" s="2">
        <v>1123.4000000000001</v>
      </c>
      <c r="U2714">
        <v>0</v>
      </c>
      <c r="V2714" s="2">
        <v>1123.4000000000001</v>
      </c>
      <c r="W2714" t="str">
        <f>"$"</f>
        <v>$</v>
      </c>
      <c r="X2714">
        <v>0</v>
      </c>
      <c r="Y2714">
        <v>0</v>
      </c>
      <c r="Z2714">
        <v>0</v>
      </c>
      <c r="AA2714" t="str">
        <f>"Y"</f>
        <v>Y</v>
      </c>
      <c r="AB2714" t="str">
        <f>"SO20000555"</f>
        <v>SO20000555</v>
      </c>
      <c r="AC2714">
        <v>36</v>
      </c>
      <c r="AD2714" s="1">
        <v>44166</v>
      </c>
      <c r="AE2714" t="str">
        <f>"SH21000456"</f>
        <v>SH21000456</v>
      </c>
      <c r="AF2714" t="str">
        <f>"משלוחים ללקוח"</f>
        <v>משלוחים ללקוח</v>
      </c>
      <c r="AG2714" s="1">
        <v>44279</v>
      </c>
      <c r="AM2714" t="str">
        <f>"10"</f>
        <v>10</v>
      </c>
      <c r="AN2714" t="str">
        <f>"500000"</f>
        <v>500000</v>
      </c>
      <c r="AO2714" t="str">
        <f>"הכנסות  מלקוחות"</f>
        <v>הכנסות  מלקוחות</v>
      </c>
      <c r="AQ2714" t="str">
        <f>"034"</f>
        <v>034</v>
      </c>
      <c r="AR2714">
        <v>0</v>
      </c>
      <c r="AS2714">
        <v>0</v>
      </c>
      <c r="AT2714">
        <v>3.31</v>
      </c>
      <c r="AX2714" t="str">
        <f>"E000326481"</f>
        <v>E000326481</v>
      </c>
      <c r="BD2714" t="str">
        <f>"ערן שלו"</f>
        <v>ערן שלו</v>
      </c>
    </row>
    <row r="2715" spans="1:56" x14ac:dyDescent="0.3">
      <c r="A2715" s="1">
        <v>44280</v>
      </c>
      <c r="B2715" t="str">
        <f>"SI216000481"</f>
        <v>SI216000481</v>
      </c>
      <c r="C2715" t="str">
        <f>"PR20000895"</f>
        <v>PR20000895</v>
      </c>
      <c r="E2715" t="str">
        <f>"Y"</f>
        <v>Y</v>
      </c>
      <c r="F2715" t="str">
        <f>"חשבוניות מרכזות"</f>
        <v>חשבוניות מרכזות</v>
      </c>
      <c r="G2715" t="str">
        <f>"700065"</f>
        <v>700065</v>
      </c>
      <c r="H2715" t="str">
        <f>"אלתא מערכות בע""מ"</f>
        <v>אלתא מערכות בע"מ</v>
      </c>
      <c r="I2715" t="str">
        <f>"10"</f>
        <v>10</v>
      </c>
      <c r="J2715" t="str">
        <f>"OP-AR02197"</f>
        <v>OP-AR02197</v>
      </c>
      <c r="K2715" t="str">
        <f>"2120B112-001   CABLE ASSY WCAB"</f>
        <v>2120B112-001   CABLE ASSY WCAB</v>
      </c>
      <c r="L2715">
        <v>1</v>
      </c>
      <c r="M2715" t="str">
        <f>"יח"</f>
        <v>יח</v>
      </c>
      <c r="N2715">
        <v>1</v>
      </c>
      <c r="O2715" t="str">
        <f>"יח"</f>
        <v>יח</v>
      </c>
      <c r="P2715">
        <v>696.6</v>
      </c>
      <c r="Q2715" t="str">
        <f>"$"</f>
        <v>$</v>
      </c>
      <c r="R2715" t="str">
        <f>"הזמנה"</f>
        <v>הזמנה</v>
      </c>
      <c r="S2715">
        <v>0</v>
      </c>
      <c r="T2715">
        <v>696.6</v>
      </c>
      <c r="U2715">
        <v>0</v>
      </c>
      <c r="V2715">
        <v>696.6</v>
      </c>
      <c r="W2715" t="str">
        <f>"$"</f>
        <v>$</v>
      </c>
      <c r="X2715">
        <v>0</v>
      </c>
      <c r="Y2715">
        <v>0</v>
      </c>
      <c r="Z2715">
        <v>0</v>
      </c>
      <c r="AA2715" t="str">
        <f>"Y"</f>
        <v>Y</v>
      </c>
      <c r="AB2715" t="str">
        <f>"SO20000582"</f>
        <v>SO20000582</v>
      </c>
      <c r="AC2715">
        <v>3</v>
      </c>
      <c r="AD2715" s="1">
        <v>44175</v>
      </c>
      <c r="AE2715" t="str">
        <f>"SH21000458"</f>
        <v>SH21000458</v>
      </c>
      <c r="AF2715" t="str">
        <f>"משלוחים ללקוח"</f>
        <v>משלוחים ללקוח</v>
      </c>
      <c r="AG2715" s="1">
        <v>44279</v>
      </c>
      <c r="AM2715" t="str">
        <f>"10"</f>
        <v>10</v>
      </c>
      <c r="AN2715" t="str">
        <f>"500000"</f>
        <v>500000</v>
      </c>
      <c r="AO2715" t="str">
        <f>"הכנסות  מלקוחות"</f>
        <v>הכנסות  מלקוחות</v>
      </c>
      <c r="AQ2715" t="str">
        <f>"034"</f>
        <v>034</v>
      </c>
      <c r="AR2715">
        <v>0</v>
      </c>
      <c r="AS2715">
        <v>0</v>
      </c>
      <c r="AT2715">
        <v>3.31</v>
      </c>
      <c r="AX2715" t="str">
        <f>"E000327893"</f>
        <v>E000327893</v>
      </c>
      <c r="BD2715" t="str">
        <f>"ערן שלו"</f>
        <v>ערן שלו</v>
      </c>
    </row>
    <row r="2716" spans="1:56" x14ac:dyDescent="0.3">
      <c r="A2716" s="1">
        <v>44280</v>
      </c>
      <c r="B2716" t="str">
        <f>"SI216000480"</f>
        <v>SI216000480</v>
      </c>
      <c r="C2716" t="str">
        <f>"PR19000454"</f>
        <v>PR19000454</v>
      </c>
      <c r="E2716" t="str">
        <f>"Y"</f>
        <v>Y</v>
      </c>
      <c r="F2716" t="str">
        <f>"חשבוניות מרכזות"</f>
        <v>חשבוניות מרכזות</v>
      </c>
      <c r="G2716" t="str">
        <f>"700065"</f>
        <v>700065</v>
      </c>
      <c r="H2716" t="str">
        <f>"אלתא מערכות בע""מ"</f>
        <v>אלתא מערכות בע"מ</v>
      </c>
      <c r="I2716" t="str">
        <f>"10"</f>
        <v>10</v>
      </c>
      <c r="J2716" t="str">
        <f>"OP-AR01297"</f>
        <v>OP-AR01297</v>
      </c>
      <c r="K2716" t="str">
        <f>"שדרוג יחידה LB PDB"</f>
        <v>שדרוג יחידה LB PDB</v>
      </c>
      <c r="L2716">
        <v>1</v>
      </c>
      <c r="M2716" t="str">
        <f>"יח"</f>
        <v>יח</v>
      </c>
      <c r="N2716">
        <v>1</v>
      </c>
      <c r="O2716" t="str">
        <f>"יח"</f>
        <v>יח</v>
      </c>
      <c r="P2716" s="2">
        <v>2549</v>
      </c>
      <c r="Q2716" t="str">
        <f>"$"</f>
        <v>$</v>
      </c>
      <c r="R2716" t="str">
        <f>"הזמנה"</f>
        <v>הזמנה</v>
      </c>
      <c r="S2716">
        <v>0</v>
      </c>
      <c r="T2716" s="2">
        <v>2549</v>
      </c>
      <c r="U2716">
        <v>0</v>
      </c>
      <c r="V2716" s="2">
        <v>2549</v>
      </c>
      <c r="W2716" t="str">
        <f>"$"</f>
        <v>$</v>
      </c>
      <c r="X2716">
        <v>0</v>
      </c>
      <c r="Y2716">
        <v>0</v>
      </c>
      <c r="Z2716">
        <v>0</v>
      </c>
      <c r="AA2716" t="str">
        <f>"Y"</f>
        <v>Y</v>
      </c>
      <c r="AB2716" t="str">
        <f>"SO21000012"</f>
        <v>SO21000012</v>
      </c>
      <c r="AC2716">
        <v>1</v>
      </c>
      <c r="AD2716" s="1">
        <v>44206</v>
      </c>
      <c r="AE2716" t="str">
        <f>"SH21000461"</f>
        <v>SH21000461</v>
      </c>
      <c r="AF2716" t="str">
        <f>"משלוחים ללקוח"</f>
        <v>משלוחים ללקוח</v>
      </c>
      <c r="AG2716" s="1">
        <v>44279</v>
      </c>
      <c r="AM2716" t="str">
        <f>"10"</f>
        <v>10</v>
      </c>
      <c r="AN2716" t="str">
        <f>"500000"</f>
        <v>500000</v>
      </c>
      <c r="AO2716" t="str">
        <f>"הכנסות  מלקוחות"</f>
        <v>הכנסות  מלקוחות</v>
      </c>
      <c r="AQ2716" t="str">
        <f>"034"</f>
        <v>034</v>
      </c>
      <c r="AR2716">
        <v>0</v>
      </c>
      <c r="AS2716">
        <v>0</v>
      </c>
      <c r="AT2716">
        <v>3.31</v>
      </c>
      <c r="AX2716" t="str">
        <f>"E000330501"</f>
        <v>E000330501</v>
      </c>
      <c r="BD2716" t="str">
        <f>"ערן שלו"</f>
        <v>ערן שלו</v>
      </c>
    </row>
    <row r="2717" spans="1:56" x14ac:dyDescent="0.3">
      <c r="A2717" s="1">
        <v>44280</v>
      </c>
      <c r="B2717" t="str">
        <f>"SI216000479"</f>
        <v>SI216000479</v>
      </c>
      <c r="C2717" t="str">
        <f>"PR19000454"</f>
        <v>PR19000454</v>
      </c>
      <c r="E2717" t="str">
        <f>"Y"</f>
        <v>Y</v>
      </c>
      <c r="F2717" t="str">
        <f>"חשבוניות מרכזות"</f>
        <v>חשבוניות מרכזות</v>
      </c>
      <c r="G2717" t="str">
        <f>"700065"</f>
        <v>700065</v>
      </c>
      <c r="H2717" t="str">
        <f>"אלתא מערכות בע""מ"</f>
        <v>אלתא מערכות בע"מ</v>
      </c>
      <c r="I2717" t="str">
        <f>"10"</f>
        <v>10</v>
      </c>
      <c r="J2717" t="str">
        <f>"OP-AR01297"</f>
        <v>OP-AR01297</v>
      </c>
      <c r="K2717" t="str">
        <f>"שדרוג יחידה LB PDB"</f>
        <v>שדרוג יחידה LB PDB</v>
      </c>
      <c r="L2717">
        <v>1</v>
      </c>
      <c r="M2717" t="str">
        <f>"יח"</f>
        <v>יח</v>
      </c>
      <c r="N2717">
        <v>1</v>
      </c>
      <c r="O2717" t="str">
        <f>"יח"</f>
        <v>יח</v>
      </c>
      <c r="P2717" s="2">
        <v>2549</v>
      </c>
      <c r="Q2717" t="str">
        <f>"$"</f>
        <v>$</v>
      </c>
      <c r="R2717" t="str">
        <f>"הזמנה"</f>
        <v>הזמנה</v>
      </c>
      <c r="S2717">
        <v>0</v>
      </c>
      <c r="T2717" s="2">
        <v>2549</v>
      </c>
      <c r="U2717">
        <v>0</v>
      </c>
      <c r="V2717" s="2">
        <v>2549</v>
      </c>
      <c r="W2717" t="str">
        <f>"$"</f>
        <v>$</v>
      </c>
      <c r="X2717">
        <v>0</v>
      </c>
      <c r="Y2717">
        <v>0</v>
      </c>
      <c r="Z2717">
        <v>0</v>
      </c>
      <c r="AA2717" t="str">
        <f>"Y"</f>
        <v>Y</v>
      </c>
      <c r="AC2717">
        <v>0</v>
      </c>
      <c r="AM2717" t="str">
        <f>"10"</f>
        <v>10</v>
      </c>
      <c r="AN2717" t="str">
        <f>"500000"</f>
        <v>500000</v>
      </c>
      <c r="AO2717" t="str">
        <f>"הכנסות  מלקוחות"</f>
        <v>הכנסות  מלקוחות</v>
      </c>
      <c r="AQ2717" t="str">
        <f>"034"</f>
        <v>034</v>
      </c>
      <c r="AR2717">
        <v>0</v>
      </c>
      <c r="AS2717">
        <v>0</v>
      </c>
      <c r="AT2717">
        <v>3.31</v>
      </c>
      <c r="BB2717" t="str">
        <f>"Y"</f>
        <v>Y</v>
      </c>
      <c r="BD2717" t="str">
        <f>"ערן שלו"</f>
        <v>ערן שלו</v>
      </c>
    </row>
    <row r="2718" spans="1:56" x14ac:dyDescent="0.3">
      <c r="A2718" s="1">
        <v>44280</v>
      </c>
      <c r="B2718" t="str">
        <f>"SI216000478"</f>
        <v>SI216000478</v>
      </c>
      <c r="C2718" t="str">
        <f>"PR18000543"</f>
        <v>PR18000543</v>
      </c>
      <c r="E2718" t="str">
        <f>"Y"</f>
        <v>Y</v>
      </c>
      <c r="F2718" t="str">
        <f>"חשבוניות מרכזות"</f>
        <v>חשבוניות מרכזות</v>
      </c>
      <c r="G2718" t="str">
        <f>"700065"</f>
        <v>700065</v>
      </c>
      <c r="H2718" t="str">
        <f>"אלתא מערכות בע""מ"</f>
        <v>אלתא מערכות בע"מ</v>
      </c>
      <c r="I2718" t="str">
        <f>"10"</f>
        <v>10</v>
      </c>
      <c r="J2718" t="str">
        <f>"OP-AR01083"</f>
        <v>OP-AR01083</v>
      </c>
      <c r="K2718" t="str">
        <f>"1036C960-001 HVJB_N"</f>
        <v>1036C960-001 HVJB_N</v>
      </c>
      <c r="L2718">
        <v>1</v>
      </c>
      <c r="M2718" t="str">
        <f>"יח"</f>
        <v>יח</v>
      </c>
      <c r="N2718">
        <v>1</v>
      </c>
      <c r="O2718" t="str">
        <f>"יח"</f>
        <v>יח</v>
      </c>
      <c r="P2718" s="2">
        <v>6000</v>
      </c>
      <c r="Q2718" t="str">
        <f>"$"</f>
        <v>$</v>
      </c>
      <c r="R2718" t="str">
        <f>"הזמנה"</f>
        <v>הזמנה</v>
      </c>
      <c r="S2718">
        <v>0</v>
      </c>
      <c r="T2718" s="2">
        <v>6000</v>
      </c>
      <c r="U2718">
        <v>0</v>
      </c>
      <c r="V2718" s="2">
        <v>6000</v>
      </c>
      <c r="W2718" t="str">
        <f>"$"</f>
        <v>$</v>
      </c>
      <c r="X2718">
        <v>0</v>
      </c>
      <c r="Y2718">
        <v>0</v>
      </c>
      <c r="Z2718">
        <v>0</v>
      </c>
      <c r="AA2718" t="str">
        <f>"Y"</f>
        <v>Y</v>
      </c>
      <c r="AB2718" t="str">
        <f>"SO19000320"</f>
        <v>SO19000320</v>
      </c>
      <c r="AC2718">
        <v>9</v>
      </c>
      <c r="AD2718" s="1">
        <v>43667</v>
      </c>
      <c r="AE2718" t="str">
        <f>"SH21000463"</f>
        <v>SH21000463</v>
      </c>
      <c r="AF2718" t="str">
        <f>"משלוחים ללקוח"</f>
        <v>משלוחים ללקוח</v>
      </c>
      <c r="AG2718" s="1">
        <v>44279</v>
      </c>
      <c r="AM2718" t="str">
        <f>"10"</f>
        <v>10</v>
      </c>
      <c r="AN2718" t="str">
        <f>"500000"</f>
        <v>500000</v>
      </c>
      <c r="AO2718" t="str">
        <f>"הכנסות  מלקוחות"</f>
        <v>הכנסות  מלקוחות</v>
      </c>
      <c r="AQ2718" t="str">
        <f>"034"</f>
        <v>034</v>
      </c>
      <c r="AR2718">
        <v>0</v>
      </c>
      <c r="AS2718">
        <v>0</v>
      </c>
      <c r="AT2718">
        <v>3.31</v>
      </c>
      <c r="AX2718" t="str">
        <f>"E000290709"</f>
        <v>E000290709</v>
      </c>
      <c r="BD2718" t="str">
        <f>"ערן שלו"</f>
        <v>ערן שלו</v>
      </c>
    </row>
    <row r="2719" spans="1:56" x14ac:dyDescent="0.3">
      <c r="A2719" s="1">
        <v>44280</v>
      </c>
      <c r="B2719" t="str">
        <f>"SI216000477"</f>
        <v>SI216000477</v>
      </c>
      <c r="C2719" t="str">
        <f>"PR20000878"</f>
        <v>PR20000878</v>
      </c>
      <c r="E2719" t="str">
        <f>"Y"</f>
        <v>Y</v>
      </c>
      <c r="F2719" t="str">
        <f>"חשבוניות מרכזות"</f>
        <v>חשבוניות מרכזות</v>
      </c>
      <c r="G2719" t="str">
        <f>"700065"</f>
        <v>700065</v>
      </c>
      <c r="H2719" t="str">
        <f>"אלתא מערכות בע""מ"</f>
        <v>אלתא מערכות בע"מ</v>
      </c>
      <c r="I2719" t="str">
        <f>"10"</f>
        <v>10</v>
      </c>
      <c r="J2719" t="str">
        <f>"PS0400019.02"</f>
        <v>PS0400019.02</v>
      </c>
      <c r="K2719" t="str">
        <f>"P331030000 Module MEDIA"</f>
        <v>P331030000 Module MEDIA</v>
      </c>
      <c r="L2719">
        <v>2</v>
      </c>
      <c r="M2719" t="str">
        <f>"יח"</f>
        <v>יח</v>
      </c>
      <c r="N2719">
        <v>2</v>
      </c>
      <c r="O2719" t="str">
        <f>"יח"</f>
        <v>יח</v>
      </c>
      <c r="P2719" s="2">
        <v>3550</v>
      </c>
      <c r="Q2719" t="str">
        <f>"$"</f>
        <v>$</v>
      </c>
      <c r="R2719" t="str">
        <f>"הזמנה"</f>
        <v>הזמנה</v>
      </c>
      <c r="S2719">
        <v>0</v>
      </c>
      <c r="T2719" s="2">
        <v>7100</v>
      </c>
      <c r="U2719">
        <v>0</v>
      </c>
      <c r="V2719" s="2">
        <v>7100</v>
      </c>
      <c r="W2719" t="str">
        <f>"$"</f>
        <v>$</v>
      </c>
      <c r="X2719">
        <v>0</v>
      </c>
      <c r="Y2719">
        <v>0</v>
      </c>
      <c r="Z2719">
        <v>0</v>
      </c>
      <c r="AA2719" t="str">
        <f>"Y"</f>
        <v>Y</v>
      </c>
      <c r="AB2719" t="str">
        <f>"SO20000580"</f>
        <v>SO20000580</v>
      </c>
      <c r="AC2719">
        <v>1</v>
      </c>
      <c r="AD2719" s="1">
        <v>44174</v>
      </c>
      <c r="AE2719" t="str">
        <f>"SH21000464"</f>
        <v>SH21000464</v>
      </c>
      <c r="AF2719" t="str">
        <f>"משלוחים ללקוח"</f>
        <v>משלוחים ללקוח</v>
      </c>
      <c r="AG2719" s="1">
        <v>44279</v>
      </c>
      <c r="AM2719" t="str">
        <f>"10"</f>
        <v>10</v>
      </c>
      <c r="AN2719" t="str">
        <f>"500000"</f>
        <v>500000</v>
      </c>
      <c r="AO2719" t="str">
        <f>"הכנסות  מלקוחות"</f>
        <v>הכנסות  מלקוחות</v>
      </c>
      <c r="AQ2719" t="str">
        <f>"034"</f>
        <v>034</v>
      </c>
      <c r="AR2719">
        <v>0</v>
      </c>
      <c r="AS2719">
        <v>0</v>
      </c>
      <c r="AT2719">
        <v>3.31</v>
      </c>
      <c r="AX2719" t="str">
        <f>"E000327817"</f>
        <v>E000327817</v>
      </c>
      <c r="BD2719" t="str">
        <f>"ערן שלו"</f>
        <v>ערן שלו</v>
      </c>
    </row>
    <row r="2720" spans="1:56" x14ac:dyDescent="0.3">
      <c r="A2720" s="1">
        <v>44280</v>
      </c>
      <c r="B2720" t="str">
        <f>"SI216000476"</f>
        <v>SI216000476</v>
      </c>
      <c r="C2720" t="str">
        <f>"PR19000110"</f>
        <v>PR19000110</v>
      </c>
      <c r="E2720" t="str">
        <f>"Y"</f>
        <v>Y</v>
      </c>
      <c r="F2720" t="str">
        <f>"חשבוניות מרכזות"</f>
        <v>חשבוניות מרכזות</v>
      </c>
      <c r="G2720" t="str">
        <f>"700065"</f>
        <v>700065</v>
      </c>
      <c r="H2720" t="str">
        <f>"אלתא מערכות בע""מ"</f>
        <v>אלתא מערכות בע"מ</v>
      </c>
      <c r="I2720" t="str">
        <f>"05"</f>
        <v>05</v>
      </c>
      <c r="J2720" t="str">
        <f>"OP-PD02881"</f>
        <v>OP-PD02881</v>
      </c>
      <c r="K2720" t="str">
        <f>"POWER DISTRIBUTION BOARD 09-SOCD"</f>
        <v>POWER DISTRIBUTION BOARD 09-SOCD</v>
      </c>
      <c r="L2720">
        <v>1</v>
      </c>
      <c r="M2720" t="str">
        <f>"יח"</f>
        <v>יח</v>
      </c>
      <c r="N2720">
        <v>1</v>
      </c>
      <c r="O2720" t="str">
        <f>"יח"</f>
        <v>יח</v>
      </c>
      <c r="P2720" s="2">
        <v>43010</v>
      </c>
      <c r="Q2720" t="str">
        <f>"$"</f>
        <v>$</v>
      </c>
      <c r="R2720" t="str">
        <f>"הזמנה"</f>
        <v>הזמנה</v>
      </c>
      <c r="S2720">
        <v>0</v>
      </c>
      <c r="T2720" s="2">
        <v>43010</v>
      </c>
      <c r="U2720">
        <v>0</v>
      </c>
      <c r="V2720" s="2">
        <v>43010</v>
      </c>
      <c r="W2720" t="str">
        <f>"$"</f>
        <v>$</v>
      </c>
      <c r="X2720">
        <v>0</v>
      </c>
      <c r="Y2720">
        <v>0</v>
      </c>
      <c r="Z2720">
        <v>0</v>
      </c>
      <c r="AA2720" t="str">
        <f>"Y"</f>
        <v>Y</v>
      </c>
      <c r="AB2720" t="str">
        <f>"SO19000156"</f>
        <v>SO19000156</v>
      </c>
      <c r="AC2720">
        <v>11</v>
      </c>
      <c r="AD2720" s="1">
        <v>43562</v>
      </c>
      <c r="AE2720" t="str">
        <f>"SH21000483"</f>
        <v>SH21000483</v>
      </c>
      <c r="AF2720" t="str">
        <f>"משלוחים ללקוח"</f>
        <v>משלוחים ללקוח</v>
      </c>
      <c r="AG2720" s="1">
        <v>44280</v>
      </c>
      <c r="AM2720" t="str">
        <f>"10"</f>
        <v>10</v>
      </c>
      <c r="AN2720" t="str">
        <f>"500000"</f>
        <v>500000</v>
      </c>
      <c r="AO2720" t="str">
        <f>"הכנסות  מלקוחות"</f>
        <v>הכנסות  מלקוחות</v>
      </c>
      <c r="AQ2720" t="str">
        <f>"034"</f>
        <v>034</v>
      </c>
      <c r="AR2720">
        <v>0</v>
      </c>
      <c r="AS2720">
        <v>0</v>
      </c>
      <c r="AT2720">
        <v>3.31</v>
      </c>
      <c r="AX2720" t="str">
        <f>"E000270896"</f>
        <v>E000270896</v>
      </c>
      <c r="BD2720" t="str">
        <f>"ערן שלו"</f>
        <v>ערן שלו</v>
      </c>
    </row>
    <row r="2721" spans="1:56" x14ac:dyDescent="0.3">
      <c r="A2721" s="1">
        <v>44280</v>
      </c>
      <c r="B2721" t="str">
        <f>"SI216000475"</f>
        <v>SI216000475</v>
      </c>
      <c r="C2721" t="str">
        <f>"PR19000111"</f>
        <v>PR19000111</v>
      </c>
      <c r="E2721" t="str">
        <f>"Y"</f>
        <v>Y</v>
      </c>
      <c r="F2721" t="str">
        <f>"חשבוניות מרכזות"</f>
        <v>חשבוניות מרכזות</v>
      </c>
      <c r="G2721" t="str">
        <f>"700065"</f>
        <v>700065</v>
      </c>
      <c r="H2721" t="str">
        <f>"אלתא מערכות בע""מ"</f>
        <v>אלתא מערכות בע"מ</v>
      </c>
      <c r="I2721" t="str">
        <f>"05"</f>
        <v>05</v>
      </c>
      <c r="J2721" t="str">
        <f>"OP-PD02882"</f>
        <v>OP-PD02882</v>
      </c>
      <c r="K2721" t="str">
        <f>"ISOLATION TRANSFORMER UNIT 200KVA"</f>
        <v>ISOLATION TRANSFORMER UNIT 200KVA</v>
      </c>
      <c r="L2721">
        <v>2</v>
      </c>
      <c r="M2721" t="str">
        <f>"יח"</f>
        <v>יח</v>
      </c>
      <c r="N2721">
        <v>2</v>
      </c>
      <c r="O2721" t="str">
        <f>"יח"</f>
        <v>יח</v>
      </c>
      <c r="P2721" s="2">
        <v>38000</v>
      </c>
      <c r="Q2721" t="str">
        <f>"$"</f>
        <v>$</v>
      </c>
      <c r="R2721" t="str">
        <f>"הזמנה"</f>
        <v>הזמנה</v>
      </c>
      <c r="S2721">
        <v>0</v>
      </c>
      <c r="T2721" s="2">
        <v>76000</v>
      </c>
      <c r="U2721">
        <v>0</v>
      </c>
      <c r="V2721" s="2">
        <v>76000</v>
      </c>
      <c r="W2721" t="str">
        <f>"$"</f>
        <v>$</v>
      </c>
      <c r="X2721">
        <v>0</v>
      </c>
      <c r="Y2721">
        <v>0</v>
      </c>
      <c r="Z2721">
        <v>0</v>
      </c>
      <c r="AA2721" t="str">
        <f>"Y"</f>
        <v>Y</v>
      </c>
      <c r="AB2721" t="str">
        <f>"SO19000156"</f>
        <v>SO19000156</v>
      </c>
      <c r="AC2721">
        <v>16</v>
      </c>
      <c r="AD2721" s="1">
        <v>43562</v>
      </c>
      <c r="AE2721" t="str">
        <f>"SH21000484"</f>
        <v>SH21000484</v>
      </c>
      <c r="AF2721" t="str">
        <f>"משלוחים ללקוח"</f>
        <v>משלוחים ללקוח</v>
      </c>
      <c r="AG2721" s="1">
        <v>44280</v>
      </c>
      <c r="AM2721" t="str">
        <f>"10"</f>
        <v>10</v>
      </c>
      <c r="AN2721" t="str">
        <f>"500000"</f>
        <v>500000</v>
      </c>
      <c r="AO2721" t="str">
        <f>"הכנסות  מלקוחות"</f>
        <v>הכנסות  מלקוחות</v>
      </c>
      <c r="AQ2721" t="str">
        <f>"034"</f>
        <v>034</v>
      </c>
      <c r="AR2721">
        <v>0</v>
      </c>
      <c r="AS2721">
        <v>0</v>
      </c>
      <c r="AT2721">
        <v>3.31</v>
      </c>
      <c r="AX2721" t="str">
        <f>"E000270896"</f>
        <v>E000270896</v>
      </c>
      <c r="BD2721" t="str">
        <f>"ערן שלו"</f>
        <v>ערן שלו</v>
      </c>
    </row>
    <row r="2722" spans="1:56" x14ac:dyDescent="0.3">
      <c r="A2722" s="1">
        <v>44280</v>
      </c>
      <c r="B2722" t="str">
        <f>"SI216000474"</f>
        <v>SI216000474</v>
      </c>
      <c r="C2722" t="str">
        <f>"PR19000108"</f>
        <v>PR19000108</v>
      </c>
      <c r="E2722" t="str">
        <f>"Y"</f>
        <v>Y</v>
      </c>
      <c r="F2722" t="str">
        <f>"חשבוניות מרכזות"</f>
        <v>חשבוניות מרכזות</v>
      </c>
      <c r="G2722" t="str">
        <f>"700065"</f>
        <v>700065</v>
      </c>
      <c r="H2722" t="str">
        <f>"אלתא מערכות בע""מ"</f>
        <v>אלתא מערכות בע"מ</v>
      </c>
      <c r="I2722" t="str">
        <f>"05"</f>
        <v>05</v>
      </c>
      <c r="J2722" t="str">
        <f>"OP-PD02880"</f>
        <v>OP-PD02880</v>
      </c>
      <c r="K2722" t="str">
        <f>"POWER DISTRIBUTION BOARD 06/07-SOCD"</f>
        <v>POWER DISTRIBUTION BOARD 06/07-SOCD</v>
      </c>
      <c r="L2722">
        <v>2</v>
      </c>
      <c r="M2722" t="str">
        <f>"יח"</f>
        <v>יח</v>
      </c>
      <c r="N2722">
        <v>2</v>
      </c>
      <c r="O2722" t="str">
        <f>"יח"</f>
        <v>יח</v>
      </c>
      <c r="P2722" s="2">
        <v>50800</v>
      </c>
      <c r="Q2722" t="str">
        <f>"$"</f>
        <v>$</v>
      </c>
      <c r="R2722" t="str">
        <f>"הזמנה"</f>
        <v>הזמנה</v>
      </c>
      <c r="S2722">
        <v>0</v>
      </c>
      <c r="T2722" s="2">
        <v>101600</v>
      </c>
      <c r="U2722">
        <v>0</v>
      </c>
      <c r="V2722" s="2">
        <v>101600</v>
      </c>
      <c r="W2722" t="str">
        <f>"$"</f>
        <v>$</v>
      </c>
      <c r="X2722">
        <v>0</v>
      </c>
      <c r="Y2722">
        <v>0</v>
      </c>
      <c r="Z2722">
        <v>0</v>
      </c>
      <c r="AA2722" t="str">
        <f>"Y"</f>
        <v>Y</v>
      </c>
      <c r="AB2722" t="str">
        <f>"SO19000156"</f>
        <v>SO19000156</v>
      </c>
      <c r="AC2722">
        <v>6</v>
      </c>
      <c r="AD2722" s="1">
        <v>43562</v>
      </c>
      <c r="AE2722" t="str">
        <f>"SH21000482"</f>
        <v>SH21000482</v>
      </c>
      <c r="AF2722" t="str">
        <f>"משלוחים ללקוח"</f>
        <v>משלוחים ללקוח</v>
      </c>
      <c r="AG2722" s="1">
        <v>44280</v>
      </c>
      <c r="AM2722" t="str">
        <f>"10"</f>
        <v>10</v>
      </c>
      <c r="AN2722" t="str">
        <f>"500000"</f>
        <v>500000</v>
      </c>
      <c r="AO2722" t="str">
        <f>"הכנסות  מלקוחות"</f>
        <v>הכנסות  מלקוחות</v>
      </c>
      <c r="AQ2722" t="str">
        <f>"034"</f>
        <v>034</v>
      </c>
      <c r="AR2722">
        <v>0</v>
      </c>
      <c r="AS2722">
        <v>0</v>
      </c>
      <c r="AT2722">
        <v>3.31</v>
      </c>
      <c r="AX2722" t="str">
        <f>"E000270896"</f>
        <v>E000270896</v>
      </c>
      <c r="BD2722" t="str">
        <f>"ערן שלו"</f>
        <v>ערן שלו</v>
      </c>
    </row>
    <row r="2723" spans="1:56" x14ac:dyDescent="0.3">
      <c r="A2723" s="1">
        <v>44280</v>
      </c>
      <c r="B2723" t="str">
        <f>"SI216000473"</f>
        <v>SI216000473</v>
      </c>
      <c r="C2723" t="str">
        <f>"PR19000283"</f>
        <v>PR19000283</v>
      </c>
      <c r="D2723" t="str">
        <f>"PR19000283"</f>
        <v>PR19000283</v>
      </c>
      <c r="E2723" t="str">
        <f>"Y"</f>
        <v>Y</v>
      </c>
      <c r="F2723" t="str">
        <f>"חשבוניות מרכזות"</f>
        <v>חשבוניות מרכזות</v>
      </c>
      <c r="G2723" t="str">
        <f>"700065"</f>
        <v>700065</v>
      </c>
      <c r="H2723" t="str">
        <f>"אלתא מערכות בע""מ"</f>
        <v>אלתא מערכות בע"מ</v>
      </c>
      <c r="I2723" t="str">
        <f>"10"</f>
        <v>10</v>
      </c>
      <c r="J2723" t="str">
        <f>"OP-AR01289"</f>
        <v>OP-AR01289</v>
      </c>
      <c r="K2723" t="str">
        <f>"TRANSFORMETER UNIT"</f>
        <v>TRANSFORMETER UNIT</v>
      </c>
      <c r="L2723">
        <v>1</v>
      </c>
      <c r="M2723" t="str">
        <f>"יח"</f>
        <v>יח</v>
      </c>
      <c r="N2723">
        <v>1</v>
      </c>
      <c r="O2723" t="str">
        <f>"יח"</f>
        <v>יח</v>
      </c>
      <c r="P2723" s="2">
        <v>18000</v>
      </c>
      <c r="Q2723" t="str">
        <f>"$"</f>
        <v>$</v>
      </c>
      <c r="R2723" t="str">
        <f>"הזמנה"</f>
        <v>הזמנה</v>
      </c>
      <c r="S2723">
        <v>0</v>
      </c>
      <c r="T2723" s="2">
        <v>18000</v>
      </c>
      <c r="U2723">
        <v>0</v>
      </c>
      <c r="V2723" s="2">
        <v>18000</v>
      </c>
      <c r="W2723" t="str">
        <f>"$"</f>
        <v>$</v>
      </c>
      <c r="X2723">
        <v>0</v>
      </c>
      <c r="Y2723">
        <v>0</v>
      </c>
      <c r="Z2723">
        <v>0</v>
      </c>
      <c r="AA2723" t="str">
        <f>"Y"</f>
        <v>Y</v>
      </c>
      <c r="AB2723" t="str">
        <f>"SO19000226"</f>
        <v>SO19000226</v>
      </c>
      <c r="AC2723">
        <v>1</v>
      </c>
      <c r="AD2723" s="1">
        <v>43611</v>
      </c>
      <c r="AE2723" t="str">
        <f>"SH21000465"</f>
        <v>SH21000465</v>
      </c>
      <c r="AF2723" t="str">
        <f>"משלוחים ללקוח"</f>
        <v>משלוחים ללקוח</v>
      </c>
      <c r="AG2723" s="1">
        <v>44279</v>
      </c>
      <c r="AM2723" t="str">
        <f>"10"</f>
        <v>10</v>
      </c>
      <c r="AN2723" t="str">
        <f>"500000"</f>
        <v>500000</v>
      </c>
      <c r="AO2723" t="str">
        <f>"הכנסות  מלקוחות"</f>
        <v>הכנסות  מלקוחות</v>
      </c>
      <c r="AQ2723" t="str">
        <f>"034"</f>
        <v>034</v>
      </c>
      <c r="AR2723">
        <v>0</v>
      </c>
      <c r="AS2723">
        <v>0</v>
      </c>
      <c r="AT2723">
        <v>3.31</v>
      </c>
      <c r="AX2723" t="str">
        <f>"E000286337"</f>
        <v>E000286337</v>
      </c>
      <c r="BD2723" t="str">
        <f>"ערן שלו"</f>
        <v>ערן שלו</v>
      </c>
    </row>
    <row r="2724" spans="1:56" x14ac:dyDescent="0.3">
      <c r="A2724" s="1">
        <v>44280</v>
      </c>
      <c r="B2724" t="str">
        <f>"SI216000472"</f>
        <v>SI216000472</v>
      </c>
      <c r="C2724" t="str">
        <f>"PR19000112"</f>
        <v>PR19000112</v>
      </c>
      <c r="E2724" t="str">
        <f>"Y"</f>
        <v>Y</v>
      </c>
      <c r="F2724" t="str">
        <f>"חשבוניות מרכזות"</f>
        <v>חשבוניות מרכזות</v>
      </c>
      <c r="G2724" t="str">
        <f>"700065"</f>
        <v>700065</v>
      </c>
      <c r="H2724" t="str">
        <f>"אלתא מערכות בע""מ"</f>
        <v>אלתא מערכות בע"מ</v>
      </c>
      <c r="I2724" t="str">
        <f>"05"</f>
        <v>05</v>
      </c>
      <c r="J2724" t="str">
        <f>"OP-PD02883"</f>
        <v>OP-PD02883</v>
      </c>
      <c r="K2724" t="str">
        <f>"ISOLATION TRANSFORMER UNIT 70KVA"</f>
        <v>ISOLATION TRANSFORMER UNIT 70KVA</v>
      </c>
      <c r="L2724">
        <v>1</v>
      </c>
      <c r="M2724" t="str">
        <f>"יח"</f>
        <v>יח</v>
      </c>
      <c r="N2724">
        <v>1</v>
      </c>
      <c r="O2724" t="str">
        <f>"יח"</f>
        <v>יח</v>
      </c>
      <c r="P2724" s="2">
        <v>19000</v>
      </c>
      <c r="Q2724" t="str">
        <f>"$"</f>
        <v>$</v>
      </c>
      <c r="R2724" t="str">
        <f>"הזמנה"</f>
        <v>הזמנה</v>
      </c>
      <c r="S2724">
        <v>0</v>
      </c>
      <c r="T2724" s="2">
        <v>19000</v>
      </c>
      <c r="U2724">
        <v>0</v>
      </c>
      <c r="V2724" s="2">
        <v>19000</v>
      </c>
      <c r="W2724" t="str">
        <f>"$"</f>
        <v>$</v>
      </c>
      <c r="X2724">
        <v>0</v>
      </c>
      <c r="Y2724">
        <v>0</v>
      </c>
      <c r="Z2724">
        <v>0</v>
      </c>
      <c r="AA2724" t="str">
        <f>"Y"</f>
        <v>Y</v>
      </c>
      <c r="AB2724" t="str">
        <f>"SO19000156"</f>
        <v>SO19000156</v>
      </c>
      <c r="AC2724">
        <v>21</v>
      </c>
      <c r="AD2724" s="1">
        <v>43562</v>
      </c>
      <c r="AE2724" t="str">
        <f>"SH21000476"</f>
        <v>SH21000476</v>
      </c>
      <c r="AF2724" t="str">
        <f>"משלוחים ללקוח"</f>
        <v>משלוחים ללקוח</v>
      </c>
      <c r="AG2724" s="1">
        <v>44280</v>
      </c>
      <c r="AM2724" t="str">
        <f>"10"</f>
        <v>10</v>
      </c>
      <c r="AN2724" t="str">
        <f>"500000"</f>
        <v>500000</v>
      </c>
      <c r="AO2724" t="str">
        <f>"הכנסות  מלקוחות"</f>
        <v>הכנסות  מלקוחות</v>
      </c>
      <c r="AQ2724" t="str">
        <f>"034"</f>
        <v>034</v>
      </c>
      <c r="AR2724">
        <v>0</v>
      </c>
      <c r="AS2724">
        <v>0</v>
      </c>
      <c r="AT2724">
        <v>3.31</v>
      </c>
      <c r="AX2724" t="str">
        <f>"E000270896"</f>
        <v>E000270896</v>
      </c>
      <c r="BD2724" t="str">
        <f>"ערן שלו"</f>
        <v>ערן שלו</v>
      </c>
    </row>
    <row r="2725" spans="1:56" x14ac:dyDescent="0.3">
      <c r="A2725" s="1">
        <v>44280</v>
      </c>
      <c r="B2725" t="str">
        <f>"SI216000442"</f>
        <v>SI216000442</v>
      </c>
      <c r="C2725" t="str">
        <f>"PR20000878"</f>
        <v>PR20000878</v>
      </c>
      <c r="E2725" t="str">
        <f>"Y"</f>
        <v>Y</v>
      </c>
      <c r="F2725" t="str">
        <f>"חשבוניות מרכזות"</f>
        <v>חשבוניות מרכזות</v>
      </c>
      <c r="G2725" t="str">
        <f>"700065"</f>
        <v>700065</v>
      </c>
      <c r="H2725" t="str">
        <f>"אלתא מערכות בע""מ"</f>
        <v>אלתא מערכות בע"מ</v>
      </c>
      <c r="I2725" t="str">
        <f>"10"</f>
        <v>10</v>
      </c>
      <c r="J2725" t="str">
        <f>"PS0400019.02"</f>
        <v>PS0400019.02</v>
      </c>
      <c r="K2725" t="str">
        <f>"P331030000 Module MEDIA"</f>
        <v>P331030000 Module MEDIA</v>
      </c>
      <c r="L2725">
        <v>-2</v>
      </c>
      <c r="M2725" t="str">
        <f>"יח"</f>
        <v>יח</v>
      </c>
      <c r="N2725">
        <v>-2</v>
      </c>
      <c r="O2725" t="str">
        <f>"יח"</f>
        <v>יח</v>
      </c>
      <c r="P2725" s="2">
        <v>3550</v>
      </c>
      <c r="Q2725" t="str">
        <f>"$"</f>
        <v>$</v>
      </c>
      <c r="R2725" t="str">
        <f>"הזמנה"</f>
        <v>הזמנה</v>
      </c>
      <c r="S2725">
        <v>0</v>
      </c>
      <c r="T2725" s="2">
        <v>-7100</v>
      </c>
      <c r="U2725">
        <v>0</v>
      </c>
      <c r="V2725" s="2">
        <v>-7100</v>
      </c>
      <c r="W2725" t="str">
        <f>"$"</f>
        <v>$</v>
      </c>
      <c r="X2725">
        <v>0</v>
      </c>
      <c r="Y2725">
        <v>0</v>
      </c>
      <c r="Z2725">
        <v>0</v>
      </c>
      <c r="AA2725" t="str">
        <f>"Y"</f>
        <v>Y</v>
      </c>
      <c r="AC2725">
        <v>0</v>
      </c>
      <c r="AM2725" t="str">
        <f>"10"</f>
        <v>10</v>
      </c>
      <c r="AN2725" t="str">
        <f>"500000"</f>
        <v>500000</v>
      </c>
      <c r="AO2725" t="str">
        <f>"הכנסות  מלקוחות"</f>
        <v>הכנסות  מלקוחות</v>
      </c>
      <c r="AQ2725" t="str">
        <f>"034"</f>
        <v>034</v>
      </c>
      <c r="AR2725">
        <v>0</v>
      </c>
      <c r="AS2725">
        <v>0</v>
      </c>
      <c r="AT2725">
        <v>3.3330000000000002</v>
      </c>
      <c r="BB2725" t="str">
        <f>"Y"</f>
        <v>Y</v>
      </c>
      <c r="BD2725" t="str">
        <f>"ערן שלו"</f>
        <v>ערן שלו</v>
      </c>
    </row>
    <row r="2726" spans="1:56" x14ac:dyDescent="0.3">
      <c r="A2726" s="1">
        <v>44280</v>
      </c>
      <c r="B2726" t="str">
        <f>"SI216000441"</f>
        <v>SI216000441</v>
      </c>
      <c r="C2726" t="str">
        <f>"PR19000110"</f>
        <v>PR19000110</v>
      </c>
      <c r="E2726" t="str">
        <f>"Y"</f>
        <v>Y</v>
      </c>
      <c r="F2726" t="str">
        <f>"חשבוניות מרכזות"</f>
        <v>חשבוניות מרכזות</v>
      </c>
      <c r="G2726" t="str">
        <f>"700065"</f>
        <v>700065</v>
      </c>
      <c r="H2726" t="str">
        <f>"אלתא מערכות בע""מ"</f>
        <v>אלתא מערכות בע"מ</v>
      </c>
      <c r="I2726" t="str">
        <f>"05"</f>
        <v>05</v>
      </c>
      <c r="J2726" t="str">
        <f>"OP-PD02881"</f>
        <v>OP-PD02881</v>
      </c>
      <c r="K2726" t="str">
        <f>"POWER DISTRIBUTION BOARD 09-SOCD"</f>
        <v>POWER DISTRIBUTION BOARD 09-SOCD</v>
      </c>
      <c r="L2726">
        <v>-1</v>
      </c>
      <c r="M2726" t="str">
        <f>"יח"</f>
        <v>יח</v>
      </c>
      <c r="N2726">
        <v>-1</v>
      </c>
      <c r="O2726" t="str">
        <f>"יח"</f>
        <v>יח</v>
      </c>
      <c r="P2726" s="2">
        <v>43010</v>
      </c>
      <c r="Q2726" t="str">
        <f>"$"</f>
        <v>$</v>
      </c>
      <c r="R2726" t="str">
        <f>"הזמנה"</f>
        <v>הזמנה</v>
      </c>
      <c r="S2726">
        <v>0</v>
      </c>
      <c r="T2726" s="2">
        <v>-43010</v>
      </c>
      <c r="U2726">
        <v>0</v>
      </c>
      <c r="V2726" s="2">
        <v>-43010</v>
      </c>
      <c r="W2726" t="str">
        <f>"$"</f>
        <v>$</v>
      </c>
      <c r="X2726">
        <v>0</v>
      </c>
      <c r="Y2726">
        <v>0</v>
      </c>
      <c r="Z2726">
        <v>0</v>
      </c>
      <c r="AA2726" t="str">
        <f>"Y"</f>
        <v>Y</v>
      </c>
      <c r="AC2726">
        <v>0</v>
      </c>
      <c r="AM2726" t="str">
        <f>"10"</f>
        <v>10</v>
      </c>
      <c r="AN2726" t="str">
        <f>"500000"</f>
        <v>500000</v>
      </c>
      <c r="AO2726" t="str">
        <f>"הכנסות  מלקוחות"</f>
        <v>הכנסות  מלקוחות</v>
      </c>
      <c r="AQ2726" t="str">
        <f>"034"</f>
        <v>034</v>
      </c>
      <c r="AR2726">
        <v>0</v>
      </c>
      <c r="AS2726">
        <v>0</v>
      </c>
      <c r="AT2726">
        <v>3.3330000000000002</v>
      </c>
      <c r="BB2726" t="str">
        <f>"Y"</f>
        <v>Y</v>
      </c>
      <c r="BD2726" t="str">
        <f>"ערן שלו"</f>
        <v>ערן שלו</v>
      </c>
    </row>
    <row r="2727" spans="1:56" x14ac:dyDescent="0.3">
      <c r="A2727" s="1">
        <v>44280</v>
      </c>
      <c r="B2727" t="str">
        <f>"SI216000440"</f>
        <v>SI216000440</v>
      </c>
      <c r="C2727" t="str">
        <f>"PR19000111"</f>
        <v>PR19000111</v>
      </c>
      <c r="E2727" t="str">
        <f>"Y"</f>
        <v>Y</v>
      </c>
      <c r="F2727" t="str">
        <f>"חשבוניות מרכזות"</f>
        <v>חשבוניות מרכזות</v>
      </c>
      <c r="G2727" t="str">
        <f>"700065"</f>
        <v>700065</v>
      </c>
      <c r="H2727" t="str">
        <f>"אלתא מערכות בע""מ"</f>
        <v>אלתא מערכות בע"מ</v>
      </c>
      <c r="I2727" t="str">
        <f>"05"</f>
        <v>05</v>
      </c>
      <c r="J2727" t="str">
        <f>"OP-PD02882"</f>
        <v>OP-PD02882</v>
      </c>
      <c r="K2727" t="str">
        <f>"ISOLATION TRANSFORMER UNIT 200KVA"</f>
        <v>ISOLATION TRANSFORMER UNIT 200KVA</v>
      </c>
      <c r="L2727">
        <v>-2</v>
      </c>
      <c r="M2727" t="str">
        <f>"יח"</f>
        <v>יח</v>
      </c>
      <c r="N2727">
        <v>-2</v>
      </c>
      <c r="O2727" t="str">
        <f>"יח"</f>
        <v>יח</v>
      </c>
      <c r="P2727" s="2">
        <v>38000</v>
      </c>
      <c r="Q2727" t="str">
        <f>"$"</f>
        <v>$</v>
      </c>
      <c r="R2727" t="str">
        <f>"הזמנה"</f>
        <v>הזמנה</v>
      </c>
      <c r="S2727">
        <v>0</v>
      </c>
      <c r="T2727" s="2">
        <v>-76000</v>
      </c>
      <c r="U2727">
        <v>0</v>
      </c>
      <c r="V2727" s="2">
        <v>-76000</v>
      </c>
      <c r="W2727" t="str">
        <f>"$"</f>
        <v>$</v>
      </c>
      <c r="X2727">
        <v>0</v>
      </c>
      <c r="Y2727">
        <v>0</v>
      </c>
      <c r="Z2727">
        <v>0</v>
      </c>
      <c r="AA2727" t="str">
        <f>"Y"</f>
        <v>Y</v>
      </c>
      <c r="AC2727">
        <v>0</v>
      </c>
      <c r="AM2727" t="str">
        <f>"10"</f>
        <v>10</v>
      </c>
      <c r="AN2727" t="str">
        <f>"500000"</f>
        <v>500000</v>
      </c>
      <c r="AO2727" t="str">
        <f>"הכנסות  מלקוחות"</f>
        <v>הכנסות  מלקוחות</v>
      </c>
      <c r="AQ2727" t="str">
        <f>"034"</f>
        <v>034</v>
      </c>
      <c r="AR2727">
        <v>0</v>
      </c>
      <c r="AS2727">
        <v>0</v>
      </c>
      <c r="AT2727">
        <v>3.3330000000000002</v>
      </c>
      <c r="BB2727" t="str">
        <f>"Y"</f>
        <v>Y</v>
      </c>
      <c r="BD2727" t="str">
        <f>"ערן שלו"</f>
        <v>ערן שלו</v>
      </c>
    </row>
    <row r="2728" spans="1:56" x14ac:dyDescent="0.3">
      <c r="A2728" s="1">
        <v>44280</v>
      </c>
      <c r="B2728" t="str">
        <f>"SI216000439"</f>
        <v>SI216000439</v>
      </c>
      <c r="C2728" t="str">
        <f>"PR19000108"</f>
        <v>PR19000108</v>
      </c>
      <c r="E2728" t="str">
        <f>"Y"</f>
        <v>Y</v>
      </c>
      <c r="F2728" t="str">
        <f>"חשבוניות מרכזות"</f>
        <v>חשבוניות מרכזות</v>
      </c>
      <c r="G2728" t="str">
        <f>"700065"</f>
        <v>700065</v>
      </c>
      <c r="H2728" t="str">
        <f>"אלתא מערכות בע""מ"</f>
        <v>אלתא מערכות בע"מ</v>
      </c>
      <c r="I2728" t="str">
        <f>"05"</f>
        <v>05</v>
      </c>
      <c r="J2728" t="str">
        <f>"OP-PD02880"</f>
        <v>OP-PD02880</v>
      </c>
      <c r="K2728" t="str">
        <f>"POWER DISTRIBUTION BOARD 06/07-SOCD"</f>
        <v>POWER DISTRIBUTION BOARD 06/07-SOCD</v>
      </c>
      <c r="L2728">
        <v>-2</v>
      </c>
      <c r="M2728" t="str">
        <f>"יח"</f>
        <v>יח</v>
      </c>
      <c r="N2728">
        <v>-2</v>
      </c>
      <c r="O2728" t="str">
        <f>"יח"</f>
        <v>יח</v>
      </c>
      <c r="P2728" s="2">
        <v>50800</v>
      </c>
      <c r="Q2728" t="str">
        <f>"$"</f>
        <v>$</v>
      </c>
      <c r="R2728" t="str">
        <f>"הזמנה"</f>
        <v>הזמנה</v>
      </c>
      <c r="S2728">
        <v>0</v>
      </c>
      <c r="T2728" s="2">
        <v>-101600</v>
      </c>
      <c r="U2728">
        <v>0</v>
      </c>
      <c r="V2728" s="2">
        <v>-101600</v>
      </c>
      <c r="W2728" t="str">
        <f>"$"</f>
        <v>$</v>
      </c>
      <c r="X2728">
        <v>0</v>
      </c>
      <c r="Y2728">
        <v>0</v>
      </c>
      <c r="Z2728">
        <v>0</v>
      </c>
      <c r="AA2728" t="str">
        <f>"Y"</f>
        <v>Y</v>
      </c>
      <c r="AC2728">
        <v>0</v>
      </c>
      <c r="AM2728" t="str">
        <f>"10"</f>
        <v>10</v>
      </c>
      <c r="AN2728" t="str">
        <f>"500000"</f>
        <v>500000</v>
      </c>
      <c r="AO2728" t="str">
        <f>"הכנסות  מלקוחות"</f>
        <v>הכנסות  מלקוחות</v>
      </c>
      <c r="AQ2728" t="str">
        <f>"034"</f>
        <v>034</v>
      </c>
      <c r="AR2728">
        <v>0</v>
      </c>
      <c r="AS2728">
        <v>0</v>
      </c>
      <c r="AT2728">
        <v>3.3330000000000002</v>
      </c>
      <c r="BB2728" t="str">
        <f>"Y"</f>
        <v>Y</v>
      </c>
      <c r="BD2728" t="str">
        <f>"ערן שלו"</f>
        <v>ערן שלו</v>
      </c>
    </row>
    <row r="2729" spans="1:56" x14ac:dyDescent="0.3">
      <c r="A2729" s="1">
        <v>44280</v>
      </c>
      <c r="B2729" t="str">
        <f>"SI216000438"</f>
        <v>SI216000438</v>
      </c>
      <c r="C2729" t="str">
        <f>"PR19000283"</f>
        <v>PR19000283</v>
      </c>
      <c r="E2729" t="str">
        <f>"Y"</f>
        <v>Y</v>
      </c>
      <c r="F2729" t="str">
        <f>"חשבוניות מרכזות"</f>
        <v>חשבוניות מרכזות</v>
      </c>
      <c r="G2729" t="str">
        <f>"700065"</f>
        <v>700065</v>
      </c>
      <c r="H2729" t="str">
        <f>"אלתא מערכות בע""מ"</f>
        <v>אלתא מערכות בע"מ</v>
      </c>
      <c r="I2729" t="str">
        <f>"10"</f>
        <v>10</v>
      </c>
      <c r="J2729" t="str">
        <f>"OP-AR01289"</f>
        <v>OP-AR01289</v>
      </c>
      <c r="K2729" t="str">
        <f>"TRANSFORMETER UNIT"</f>
        <v>TRANSFORMETER UNIT</v>
      </c>
      <c r="L2729">
        <v>-1</v>
      </c>
      <c r="M2729" t="str">
        <f>"יח"</f>
        <v>יח</v>
      </c>
      <c r="N2729">
        <v>-1</v>
      </c>
      <c r="O2729" t="str">
        <f>"יח"</f>
        <v>יח</v>
      </c>
      <c r="P2729" s="2">
        <v>18000</v>
      </c>
      <c r="Q2729" t="str">
        <f>"$"</f>
        <v>$</v>
      </c>
      <c r="R2729" t="str">
        <f>"הזמנה"</f>
        <v>הזמנה</v>
      </c>
      <c r="S2729">
        <v>0</v>
      </c>
      <c r="T2729" s="2">
        <v>-18000</v>
      </c>
      <c r="U2729">
        <v>0</v>
      </c>
      <c r="V2729" s="2">
        <v>-18000</v>
      </c>
      <c r="W2729" t="str">
        <f>"$"</f>
        <v>$</v>
      </c>
      <c r="X2729">
        <v>0</v>
      </c>
      <c r="Y2729">
        <v>0</v>
      </c>
      <c r="Z2729">
        <v>0</v>
      </c>
      <c r="AA2729" t="str">
        <f>"Y"</f>
        <v>Y</v>
      </c>
      <c r="AC2729">
        <v>0</v>
      </c>
      <c r="AM2729" t="str">
        <f>"10"</f>
        <v>10</v>
      </c>
      <c r="AN2729" t="str">
        <f>"500000"</f>
        <v>500000</v>
      </c>
      <c r="AO2729" t="str">
        <f>"הכנסות  מלקוחות"</f>
        <v>הכנסות  מלקוחות</v>
      </c>
      <c r="AQ2729" t="str">
        <f>"034"</f>
        <v>034</v>
      </c>
      <c r="AR2729">
        <v>0</v>
      </c>
      <c r="AS2729">
        <v>0</v>
      </c>
      <c r="AT2729">
        <v>3.3330000000000002</v>
      </c>
      <c r="BB2729" t="str">
        <f>"Y"</f>
        <v>Y</v>
      </c>
      <c r="BD2729" t="str">
        <f>"ערן שלו"</f>
        <v>ערן שלו</v>
      </c>
    </row>
    <row r="2730" spans="1:56" x14ac:dyDescent="0.3">
      <c r="A2730" s="1">
        <v>44280</v>
      </c>
      <c r="B2730" t="str">
        <f>"SI216000437"</f>
        <v>SI216000437</v>
      </c>
      <c r="C2730" t="str">
        <f>"PR19000112"</f>
        <v>PR19000112</v>
      </c>
      <c r="E2730" t="str">
        <f>"Y"</f>
        <v>Y</v>
      </c>
      <c r="F2730" t="str">
        <f>"חשבוניות מרכזות"</f>
        <v>חשבוניות מרכזות</v>
      </c>
      <c r="G2730" t="str">
        <f>"700065"</f>
        <v>700065</v>
      </c>
      <c r="H2730" t="str">
        <f>"אלתא מערכות בע""מ"</f>
        <v>אלתא מערכות בע"מ</v>
      </c>
      <c r="I2730" t="str">
        <f>"05"</f>
        <v>05</v>
      </c>
      <c r="J2730" t="str">
        <f>"OP-PD02883"</f>
        <v>OP-PD02883</v>
      </c>
      <c r="K2730" t="str">
        <f>"ISOLATION TRANSFORMER UNIT 70KVA"</f>
        <v>ISOLATION TRANSFORMER UNIT 70KVA</v>
      </c>
      <c r="L2730">
        <v>-1</v>
      </c>
      <c r="M2730" t="str">
        <f>"יח"</f>
        <v>יח</v>
      </c>
      <c r="N2730">
        <v>-1</v>
      </c>
      <c r="O2730" t="str">
        <f>"יח"</f>
        <v>יח</v>
      </c>
      <c r="P2730" s="2">
        <v>19000</v>
      </c>
      <c r="Q2730" t="str">
        <f>"$"</f>
        <v>$</v>
      </c>
      <c r="R2730" t="str">
        <f>"הזמנה"</f>
        <v>הזמנה</v>
      </c>
      <c r="S2730">
        <v>0</v>
      </c>
      <c r="T2730" s="2">
        <v>-19000</v>
      </c>
      <c r="U2730">
        <v>0</v>
      </c>
      <c r="V2730" s="2">
        <v>-19000</v>
      </c>
      <c r="W2730" t="str">
        <f>"$"</f>
        <v>$</v>
      </c>
      <c r="X2730">
        <v>0</v>
      </c>
      <c r="Y2730">
        <v>0</v>
      </c>
      <c r="Z2730">
        <v>0</v>
      </c>
      <c r="AA2730" t="str">
        <f>"Y"</f>
        <v>Y</v>
      </c>
      <c r="AC2730">
        <v>0</v>
      </c>
      <c r="AM2730" t="str">
        <f>"10"</f>
        <v>10</v>
      </c>
      <c r="AN2730" t="str">
        <f>"500000"</f>
        <v>500000</v>
      </c>
      <c r="AO2730" t="str">
        <f>"הכנסות  מלקוחות"</f>
        <v>הכנסות  מלקוחות</v>
      </c>
      <c r="AQ2730" t="str">
        <f>"034"</f>
        <v>034</v>
      </c>
      <c r="AR2730">
        <v>0</v>
      </c>
      <c r="AS2730">
        <v>0</v>
      </c>
      <c r="AT2730">
        <v>3.3330000000000002</v>
      </c>
      <c r="BB2730" t="str">
        <f>"Y"</f>
        <v>Y</v>
      </c>
      <c r="BD2730" t="str">
        <f>"ערן שלו"</f>
        <v>ערן שלו</v>
      </c>
    </row>
    <row r="2731" spans="1:56" x14ac:dyDescent="0.3">
      <c r="A2731" s="1">
        <v>44280</v>
      </c>
      <c r="B2731" t="str">
        <f>"SI216000430"</f>
        <v>SI216000430</v>
      </c>
      <c r="C2731" t="str">
        <f>"PR20000878"</f>
        <v>PR20000878</v>
      </c>
      <c r="E2731" t="str">
        <f>"Y"</f>
        <v>Y</v>
      </c>
      <c r="F2731" t="str">
        <f>"חשבוניות מרכזות"</f>
        <v>חשבוניות מרכזות</v>
      </c>
      <c r="G2731" t="str">
        <f>"700065"</f>
        <v>700065</v>
      </c>
      <c r="H2731" t="str">
        <f>"אלתא מערכות בע""מ"</f>
        <v>אלתא מערכות בע"מ</v>
      </c>
      <c r="I2731" t="str">
        <f>"10"</f>
        <v>10</v>
      </c>
      <c r="J2731" t="str">
        <f>"PS0400019.02"</f>
        <v>PS0400019.02</v>
      </c>
      <c r="K2731" t="str">
        <f>"P331030000 Module MEDIA"</f>
        <v>P331030000 Module MEDIA</v>
      </c>
      <c r="L2731">
        <v>2</v>
      </c>
      <c r="M2731" t="str">
        <f>"יח"</f>
        <v>יח</v>
      </c>
      <c r="N2731">
        <v>2</v>
      </c>
      <c r="O2731" t="str">
        <f>"יח"</f>
        <v>יח</v>
      </c>
      <c r="P2731" s="2">
        <v>3550</v>
      </c>
      <c r="Q2731" t="str">
        <f>"$"</f>
        <v>$</v>
      </c>
      <c r="R2731" t="str">
        <f>"הזמנה"</f>
        <v>הזמנה</v>
      </c>
      <c r="S2731">
        <v>0</v>
      </c>
      <c r="T2731" s="2">
        <v>7100</v>
      </c>
      <c r="U2731">
        <v>0</v>
      </c>
      <c r="V2731" s="2">
        <v>7100</v>
      </c>
      <c r="W2731" t="str">
        <f>"$"</f>
        <v>$</v>
      </c>
      <c r="X2731">
        <v>0</v>
      </c>
      <c r="Y2731">
        <v>0</v>
      </c>
      <c r="Z2731">
        <v>0</v>
      </c>
      <c r="AA2731" t="str">
        <f>"Y"</f>
        <v>Y</v>
      </c>
      <c r="AC2731">
        <v>0</v>
      </c>
      <c r="AM2731" t="str">
        <f>"10"</f>
        <v>10</v>
      </c>
      <c r="AN2731" t="str">
        <f>"500000"</f>
        <v>500000</v>
      </c>
      <c r="AO2731" t="str">
        <f>"הכנסות  מלקוחות"</f>
        <v>הכנסות  מלקוחות</v>
      </c>
      <c r="AQ2731" t="str">
        <f>"034"</f>
        <v>034</v>
      </c>
      <c r="AR2731">
        <v>0</v>
      </c>
      <c r="AS2731">
        <v>0</v>
      </c>
      <c r="AT2731">
        <v>3.3330000000000002</v>
      </c>
      <c r="BB2731" t="str">
        <f>"Y"</f>
        <v>Y</v>
      </c>
      <c r="BD2731" t="str">
        <f>"ערן שלו"</f>
        <v>ערן שלו</v>
      </c>
    </row>
    <row r="2732" spans="1:56" x14ac:dyDescent="0.3">
      <c r="A2732" s="1">
        <v>44280</v>
      </c>
      <c r="B2732" t="str">
        <f>"SI216000429"</f>
        <v>SI216000429</v>
      </c>
      <c r="C2732" t="str">
        <f>"PR19000283"</f>
        <v>PR19000283</v>
      </c>
      <c r="E2732" t="str">
        <f>"Y"</f>
        <v>Y</v>
      </c>
      <c r="F2732" t="str">
        <f>"חשבוניות מרכזות"</f>
        <v>חשבוניות מרכזות</v>
      </c>
      <c r="G2732" t="str">
        <f>"700065"</f>
        <v>700065</v>
      </c>
      <c r="H2732" t="str">
        <f>"אלתא מערכות בע""מ"</f>
        <v>אלתא מערכות בע"מ</v>
      </c>
      <c r="I2732" t="str">
        <f>"10"</f>
        <v>10</v>
      </c>
      <c r="J2732" t="str">
        <f>"OP-AR01289"</f>
        <v>OP-AR01289</v>
      </c>
      <c r="K2732" t="str">
        <f>"TRANSFORMETER UNIT"</f>
        <v>TRANSFORMETER UNIT</v>
      </c>
      <c r="L2732">
        <v>1</v>
      </c>
      <c r="M2732" t="str">
        <f>"יח"</f>
        <v>יח</v>
      </c>
      <c r="N2732">
        <v>1</v>
      </c>
      <c r="O2732" t="str">
        <f>"יח"</f>
        <v>יח</v>
      </c>
      <c r="P2732" s="2">
        <v>18000</v>
      </c>
      <c r="Q2732" t="str">
        <f>"$"</f>
        <v>$</v>
      </c>
      <c r="R2732" t="str">
        <f>"הזמנה"</f>
        <v>הזמנה</v>
      </c>
      <c r="S2732">
        <v>0</v>
      </c>
      <c r="T2732" s="2">
        <v>18000</v>
      </c>
      <c r="U2732">
        <v>0</v>
      </c>
      <c r="V2732" s="2">
        <v>18000</v>
      </c>
      <c r="W2732" t="str">
        <f>"$"</f>
        <v>$</v>
      </c>
      <c r="X2732">
        <v>0</v>
      </c>
      <c r="Y2732">
        <v>0</v>
      </c>
      <c r="Z2732">
        <v>0</v>
      </c>
      <c r="AA2732" t="str">
        <f>"Y"</f>
        <v>Y</v>
      </c>
      <c r="AC2732">
        <v>0</v>
      </c>
      <c r="AM2732" t="str">
        <f>"10"</f>
        <v>10</v>
      </c>
      <c r="AN2732" t="str">
        <f>"500000"</f>
        <v>500000</v>
      </c>
      <c r="AO2732" t="str">
        <f>"הכנסות  מלקוחות"</f>
        <v>הכנסות  מלקוחות</v>
      </c>
      <c r="AQ2732" t="str">
        <f>"034"</f>
        <v>034</v>
      </c>
      <c r="AR2732">
        <v>0</v>
      </c>
      <c r="AS2732">
        <v>0</v>
      </c>
      <c r="AT2732">
        <v>3.3330000000000002</v>
      </c>
      <c r="BB2732" t="str">
        <f>"Y"</f>
        <v>Y</v>
      </c>
      <c r="BD2732" t="str">
        <f>"ערן שלו"</f>
        <v>ערן שלו</v>
      </c>
    </row>
    <row r="2733" spans="1:56" x14ac:dyDescent="0.3">
      <c r="A2733" s="1">
        <v>44280</v>
      </c>
      <c r="B2733" t="str">
        <f>"SI216000428"</f>
        <v>SI216000428</v>
      </c>
      <c r="C2733" t="str">
        <f>"PR19000112"</f>
        <v>PR19000112</v>
      </c>
      <c r="E2733" t="str">
        <f>"Y"</f>
        <v>Y</v>
      </c>
      <c r="F2733" t="str">
        <f>"חשבוניות מרכזות"</f>
        <v>חשבוניות מרכזות</v>
      </c>
      <c r="G2733" t="str">
        <f>"700065"</f>
        <v>700065</v>
      </c>
      <c r="H2733" t="str">
        <f>"אלתא מערכות בע""מ"</f>
        <v>אלתא מערכות בע"מ</v>
      </c>
      <c r="I2733" t="str">
        <f>"05"</f>
        <v>05</v>
      </c>
      <c r="J2733" t="str">
        <f>"OP-PD02883"</f>
        <v>OP-PD02883</v>
      </c>
      <c r="K2733" t="str">
        <f>"ISOLATION TRANSFORMER UNIT 70KVA"</f>
        <v>ISOLATION TRANSFORMER UNIT 70KVA</v>
      </c>
      <c r="L2733">
        <v>1</v>
      </c>
      <c r="M2733" t="str">
        <f>"יח"</f>
        <v>יח</v>
      </c>
      <c r="N2733">
        <v>1</v>
      </c>
      <c r="O2733" t="str">
        <f>"יח"</f>
        <v>יח</v>
      </c>
      <c r="P2733" s="2">
        <v>19000</v>
      </c>
      <c r="Q2733" t="str">
        <f>"$"</f>
        <v>$</v>
      </c>
      <c r="R2733" t="str">
        <f>"הזמנה"</f>
        <v>הזמנה</v>
      </c>
      <c r="S2733">
        <v>0</v>
      </c>
      <c r="T2733" s="2">
        <v>19000</v>
      </c>
      <c r="U2733">
        <v>0</v>
      </c>
      <c r="V2733" s="2">
        <v>19000</v>
      </c>
      <c r="W2733" t="str">
        <f>"$"</f>
        <v>$</v>
      </c>
      <c r="X2733">
        <v>0</v>
      </c>
      <c r="Y2733">
        <v>0</v>
      </c>
      <c r="Z2733">
        <v>0</v>
      </c>
      <c r="AA2733" t="str">
        <f>"Y"</f>
        <v>Y</v>
      </c>
      <c r="AC2733">
        <v>0</v>
      </c>
      <c r="AM2733" t="str">
        <f>"10"</f>
        <v>10</v>
      </c>
      <c r="AN2733" t="str">
        <f>"500000"</f>
        <v>500000</v>
      </c>
      <c r="AO2733" t="str">
        <f>"הכנסות  מלקוחות"</f>
        <v>הכנסות  מלקוחות</v>
      </c>
      <c r="AQ2733" t="str">
        <f>"034"</f>
        <v>034</v>
      </c>
      <c r="AR2733">
        <v>0</v>
      </c>
      <c r="AS2733">
        <v>0</v>
      </c>
      <c r="AT2733">
        <v>3.3330000000000002</v>
      </c>
      <c r="BB2733" t="str">
        <f>"Y"</f>
        <v>Y</v>
      </c>
      <c r="BD2733" t="str">
        <f>"ערן שלו"</f>
        <v>ערן שלו</v>
      </c>
    </row>
    <row r="2734" spans="1:56" x14ac:dyDescent="0.3">
      <c r="A2734" s="1">
        <v>44280</v>
      </c>
      <c r="B2734" t="str">
        <f>"SI216000427"</f>
        <v>SI216000427</v>
      </c>
      <c r="C2734" t="str">
        <f>"PR19000110"</f>
        <v>PR19000110</v>
      </c>
      <c r="E2734" t="str">
        <f>"Y"</f>
        <v>Y</v>
      </c>
      <c r="F2734" t="str">
        <f>"חשבוניות מרכזות"</f>
        <v>חשבוניות מרכזות</v>
      </c>
      <c r="G2734" t="str">
        <f>"700065"</f>
        <v>700065</v>
      </c>
      <c r="H2734" t="str">
        <f>"אלתא מערכות בע""מ"</f>
        <v>אלתא מערכות בע"מ</v>
      </c>
      <c r="I2734" t="str">
        <f>"05"</f>
        <v>05</v>
      </c>
      <c r="J2734" t="str">
        <f>"OP-PD02881"</f>
        <v>OP-PD02881</v>
      </c>
      <c r="K2734" t="str">
        <f>"POWER DISTRIBUTION BOARD 09-SOCD"</f>
        <v>POWER DISTRIBUTION BOARD 09-SOCD</v>
      </c>
      <c r="L2734">
        <v>1</v>
      </c>
      <c r="M2734" t="str">
        <f>"יח"</f>
        <v>יח</v>
      </c>
      <c r="N2734">
        <v>1</v>
      </c>
      <c r="O2734" t="str">
        <f>"יח"</f>
        <v>יח</v>
      </c>
      <c r="P2734" s="2">
        <v>43010</v>
      </c>
      <c r="Q2734" t="str">
        <f>"$"</f>
        <v>$</v>
      </c>
      <c r="R2734" t="str">
        <f>"הזמנה"</f>
        <v>הזמנה</v>
      </c>
      <c r="S2734">
        <v>0</v>
      </c>
      <c r="T2734" s="2">
        <v>43010</v>
      </c>
      <c r="U2734">
        <v>0</v>
      </c>
      <c r="V2734" s="2">
        <v>43010</v>
      </c>
      <c r="W2734" t="str">
        <f>"$"</f>
        <v>$</v>
      </c>
      <c r="X2734">
        <v>0</v>
      </c>
      <c r="Y2734">
        <v>0</v>
      </c>
      <c r="Z2734">
        <v>0</v>
      </c>
      <c r="AA2734" t="str">
        <f>"Y"</f>
        <v>Y</v>
      </c>
      <c r="AC2734">
        <v>0</v>
      </c>
      <c r="AM2734" t="str">
        <f>"10"</f>
        <v>10</v>
      </c>
      <c r="AN2734" t="str">
        <f>"500000"</f>
        <v>500000</v>
      </c>
      <c r="AO2734" t="str">
        <f>"הכנסות  מלקוחות"</f>
        <v>הכנסות  מלקוחות</v>
      </c>
      <c r="AQ2734" t="str">
        <f>"034"</f>
        <v>034</v>
      </c>
      <c r="AR2734">
        <v>0</v>
      </c>
      <c r="AS2734">
        <v>0</v>
      </c>
      <c r="AT2734">
        <v>3.3330000000000002</v>
      </c>
      <c r="BB2734" t="str">
        <f>"Y"</f>
        <v>Y</v>
      </c>
      <c r="BD2734" t="str">
        <f>"ערן שלו"</f>
        <v>ערן שלו</v>
      </c>
    </row>
    <row r="2735" spans="1:56" x14ac:dyDescent="0.3">
      <c r="A2735" s="1">
        <v>44280</v>
      </c>
      <c r="B2735" t="str">
        <f>"SI216000426"</f>
        <v>SI216000426</v>
      </c>
      <c r="C2735" t="str">
        <f>"PR19000111"</f>
        <v>PR19000111</v>
      </c>
      <c r="E2735" t="str">
        <f>"Y"</f>
        <v>Y</v>
      </c>
      <c r="F2735" t="str">
        <f>"חשבוניות מרכזות"</f>
        <v>חשבוניות מרכזות</v>
      </c>
      <c r="G2735" t="str">
        <f>"700065"</f>
        <v>700065</v>
      </c>
      <c r="H2735" t="str">
        <f>"אלתא מערכות בע""מ"</f>
        <v>אלתא מערכות בע"מ</v>
      </c>
      <c r="I2735" t="str">
        <f>"05"</f>
        <v>05</v>
      </c>
      <c r="J2735" t="str">
        <f>"OP-PD02882"</f>
        <v>OP-PD02882</v>
      </c>
      <c r="K2735" t="str">
        <f>"ISOLATION TRANSFORMER UNIT 200KVA"</f>
        <v>ISOLATION TRANSFORMER UNIT 200KVA</v>
      </c>
      <c r="L2735">
        <v>2</v>
      </c>
      <c r="M2735" t="str">
        <f>"יח"</f>
        <v>יח</v>
      </c>
      <c r="N2735">
        <v>2</v>
      </c>
      <c r="O2735" t="str">
        <f>"יח"</f>
        <v>יח</v>
      </c>
      <c r="P2735" s="2">
        <v>38000</v>
      </c>
      <c r="Q2735" t="str">
        <f>"$"</f>
        <v>$</v>
      </c>
      <c r="R2735" t="str">
        <f>"הזמנה"</f>
        <v>הזמנה</v>
      </c>
      <c r="S2735">
        <v>0</v>
      </c>
      <c r="T2735" s="2">
        <v>76000</v>
      </c>
      <c r="U2735">
        <v>0</v>
      </c>
      <c r="V2735" s="2">
        <v>76000</v>
      </c>
      <c r="W2735" t="str">
        <f>"$"</f>
        <v>$</v>
      </c>
      <c r="X2735">
        <v>0</v>
      </c>
      <c r="Y2735">
        <v>0</v>
      </c>
      <c r="Z2735">
        <v>0</v>
      </c>
      <c r="AA2735" t="str">
        <f>"Y"</f>
        <v>Y</v>
      </c>
      <c r="AC2735">
        <v>0</v>
      </c>
      <c r="AM2735" t="str">
        <f>"10"</f>
        <v>10</v>
      </c>
      <c r="AN2735" t="str">
        <f>"500000"</f>
        <v>500000</v>
      </c>
      <c r="AO2735" t="str">
        <f>"הכנסות  מלקוחות"</f>
        <v>הכנסות  מלקוחות</v>
      </c>
      <c r="AQ2735" t="str">
        <f>"034"</f>
        <v>034</v>
      </c>
      <c r="AR2735">
        <v>0</v>
      </c>
      <c r="AS2735">
        <v>0</v>
      </c>
      <c r="AT2735">
        <v>3.3330000000000002</v>
      </c>
      <c r="BB2735" t="str">
        <f>"Y"</f>
        <v>Y</v>
      </c>
      <c r="BD2735" t="str">
        <f>"ערן שלו"</f>
        <v>ערן שלו</v>
      </c>
    </row>
    <row r="2736" spans="1:56" x14ac:dyDescent="0.3">
      <c r="A2736" s="1">
        <v>44280</v>
      </c>
      <c r="B2736" t="str">
        <f>"SI216000425"</f>
        <v>SI216000425</v>
      </c>
      <c r="C2736" t="str">
        <f>"PR19000108"</f>
        <v>PR19000108</v>
      </c>
      <c r="E2736" t="str">
        <f>"Y"</f>
        <v>Y</v>
      </c>
      <c r="F2736" t="str">
        <f>"חשבוניות מרכזות"</f>
        <v>חשבוניות מרכזות</v>
      </c>
      <c r="G2736" t="str">
        <f>"700065"</f>
        <v>700065</v>
      </c>
      <c r="H2736" t="str">
        <f>"אלתא מערכות בע""מ"</f>
        <v>אלתא מערכות בע"מ</v>
      </c>
      <c r="I2736" t="str">
        <f>"05"</f>
        <v>05</v>
      </c>
      <c r="J2736" t="str">
        <f>"OP-PD02880"</f>
        <v>OP-PD02880</v>
      </c>
      <c r="K2736" t="str">
        <f>"POWER DISTRIBUTION BOARD 06/07-SOCD"</f>
        <v>POWER DISTRIBUTION BOARD 06/07-SOCD</v>
      </c>
      <c r="L2736">
        <v>2</v>
      </c>
      <c r="M2736" t="str">
        <f>"יח"</f>
        <v>יח</v>
      </c>
      <c r="N2736">
        <v>2</v>
      </c>
      <c r="O2736" t="str">
        <f>"יח"</f>
        <v>יח</v>
      </c>
      <c r="P2736" s="2">
        <v>50800</v>
      </c>
      <c r="Q2736" t="str">
        <f>"$"</f>
        <v>$</v>
      </c>
      <c r="R2736" t="str">
        <f>"הזמנה"</f>
        <v>הזמנה</v>
      </c>
      <c r="S2736">
        <v>0</v>
      </c>
      <c r="T2736" s="2">
        <v>101600</v>
      </c>
      <c r="U2736">
        <v>0</v>
      </c>
      <c r="V2736" s="2">
        <v>101600</v>
      </c>
      <c r="W2736" t="str">
        <f>"$"</f>
        <v>$</v>
      </c>
      <c r="X2736">
        <v>0</v>
      </c>
      <c r="Y2736">
        <v>0</v>
      </c>
      <c r="Z2736">
        <v>0</v>
      </c>
      <c r="AA2736" t="str">
        <f>"Y"</f>
        <v>Y</v>
      </c>
      <c r="AC2736">
        <v>0</v>
      </c>
      <c r="AM2736" t="str">
        <f>"10"</f>
        <v>10</v>
      </c>
      <c r="AN2736" t="str">
        <f>"500000"</f>
        <v>500000</v>
      </c>
      <c r="AO2736" t="str">
        <f>"הכנסות  מלקוחות"</f>
        <v>הכנסות  מלקוחות</v>
      </c>
      <c r="AQ2736" t="str">
        <f>"034"</f>
        <v>034</v>
      </c>
      <c r="AR2736">
        <v>0</v>
      </c>
      <c r="AS2736">
        <v>0</v>
      </c>
      <c r="AT2736">
        <v>3.3330000000000002</v>
      </c>
      <c r="BB2736" t="str">
        <f>"Y"</f>
        <v>Y</v>
      </c>
      <c r="BD2736" t="str">
        <f>"ערן שלו"</f>
        <v>ערן שלו</v>
      </c>
    </row>
    <row r="2737" spans="1:56" x14ac:dyDescent="0.3">
      <c r="A2737" s="1">
        <v>44280</v>
      </c>
      <c r="B2737" t="str">
        <f>"SI216000423"</f>
        <v>SI216000423</v>
      </c>
      <c r="C2737" t="str">
        <f>"PR19000109"</f>
        <v>PR19000109</v>
      </c>
      <c r="E2737" t="str">
        <f>"Y"</f>
        <v>Y</v>
      </c>
      <c r="F2737" t="str">
        <f>"חשבוניות מרכזות"</f>
        <v>חשבוניות מרכזות</v>
      </c>
      <c r="G2737" t="str">
        <f>"700065"</f>
        <v>700065</v>
      </c>
      <c r="H2737" t="str">
        <f>"אלתא מערכות בע""מ"</f>
        <v>אלתא מערכות בע"מ</v>
      </c>
      <c r="I2737" t="str">
        <f>"05"</f>
        <v>05</v>
      </c>
      <c r="J2737" t="str">
        <f>"OP-PD02884"</f>
        <v>OP-PD02884</v>
      </c>
      <c r="K2737" t="str">
        <f>"MAIN EPS PLC CONTROL PANEL - P15B"</f>
        <v>MAIN EPS PLC CONTROL PANEL - P15B</v>
      </c>
      <c r="L2737">
        <v>1</v>
      </c>
      <c r="M2737" t="str">
        <f>"יח"</f>
        <v>יח</v>
      </c>
      <c r="N2737">
        <v>1</v>
      </c>
      <c r="O2737" t="str">
        <f>"יח"</f>
        <v>יח</v>
      </c>
      <c r="P2737" s="2">
        <v>25400</v>
      </c>
      <c r="Q2737" t="str">
        <f>"$"</f>
        <v>$</v>
      </c>
      <c r="R2737" t="str">
        <f>"הזמנה"</f>
        <v>הזמנה</v>
      </c>
      <c r="S2737">
        <v>0</v>
      </c>
      <c r="T2737" s="2">
        <v>25400</v>
      </c>
      <c r="U2737">
        <v>0</v>
      </c>
      <c r="V2737" s="2">
        <v>25400</v>
      </c>
      <c r="W2737" t="str">
        <f>"$"</f>
        <v>$</v>
      </c>
      <c r="X2737">
        <v>0</v>
      </c>
      <c r="Y2737">
        <v>0</v>
      </c>
      <c r="Z2737">
        <v>0</v>
      </c>
      <c r="AA2737" t="str">
        <f>"Y"</f>
        <v>Y</v>
      </c>
      <c r="AB2737" t="str">
        <f>"SO19000156"</f>
        <v>SO19000156</v>
      </c>
      <c r="AC2737">
        <v>22</v>
      </c>
      <c r="AD2737" s="1">
        <v>43562</v>
      </c>
      <c r="AE2737" t="str">
        <f>"SH20000254"</f>
        <v>SH20000254</v>
      </c>
      <c r="AF2737" t="str">
        <f>"משלוחים ללקוח"</f>
        <v>משלוחים ללקוח</v>
      </c>
      <c r="AG2737" s="1">
        <v>43884</v>
      </c>
      <c r="AM2737" t="str">
        <f>"10"</f>
        <v>10</v>
      </c>
      <c r="AN2737" t="str">
        <f>"500000"</f>
        <v>500000</v>
      </c>
      <c r="AO2737" t="str">
        <f>"הכנסות  מלקוחות"</f>
        <v>הכנסות  מלקוחות</v>
      </c>
      <c r="AQ2737" t="str">
        <f>"034"</f>
        <v>034</v>
      </c>
      <c r="AR2737">
        <v>0</v>
      </c>
      <c r="AS2737">
        <v>0</v>
      </c>
      <c r="AT2737">
        <v>3.31</v>
      </c>
      <c r="AX2737" t="str">
        <f>"E000270896"</f>
        <v>E000270896</v>
      </c>
      <c r="BD2737" t="str">
        <f>"ערן שלו"</f>
        <v>ערן שלו</v>
      </c>
    </row>
    <row r="2738" spans="1:56" x14ac:dyDescent="0.3">
      <c r="A2738" s="1">
        <v>44280</v>
      </c>
      <c r="B2738" t="str">
        <f>"SI216000422"</f>
        <v>SI216000422</v>
      </c>
      <c r="C2738" t="str">
        <f>"PR19000109"</f>
        <v>PR19000109</v>
      </c>
      <c r="E2738" t="str">
        <f>"Y"</f>
        <v>Y</v>
      </c>
      <c r="F2738" t="str">
        <f>"חשבוניות מרכזות"</f>
        <v>חשבוניות מרכזות</v>
      </c>
      <c r="G2738" t="str">
        <f>"700065"</f>
        <v>700065</v>
      </c>
      <c r="H2738" t="str">
        <f>"אלתא מערכות בע""מ"</f>
        <v>אלתא מערכות בע"מ</v>
      </c>
      <c r="I2738" t="str">
        <f>"05"</f>
        <v>05</v>
      </c>
      <c r="J2738" t="str">
        <f>"OP-PD02884"</f>
        <v>OP-PD02884</v>
      </c>
      <c r="K2738" t="str">
        <f>"MAIN EPS PLC CONTROL PANEL - P15B"</f>
        <v>MAIN EPS PLC CONTROL PANEL - P15B</v>
      </c>
      <c r="L2738">
        <v>-1</v>
      </c>
      <c r="M2738" t="str">
        <f>"יח"</f>
        <v>יח</v>
      </c>
      <c r="N2738">
        <v>-1</v>
      </c>
      <c r="O2738" t="str">
        <f>"יח"</f>
        <v>יח</v>
      </c>
      <c r="P2738" s="2">
        <v>25400</v>
      </c>
      <c r="Q2738" t="str">
        <f>"$"</f>
        <v>$</v>
      </c>
      <c r="R2738" t="str">
        <f>"הזמנה"</f>
        <v>הזמנה</v>
      </c>
      <c r="S2738">
        <v>0</v>
      </c>
      <c r="T2738" s="2">
        <v>-25400</v>
      </c>
      <c r="U2738">
        <v>0</v>
      </c>
      <c r="V2738" s="2">
        <v>-25400</v>
      </c>
      <c r="W2738" t="str">
        <f>"$"</f>
        <v>$</v>
      </c>
      <c r="X2738">
        <v>0</v>
      </c>
      <c r="Y2738">
        <v>0</v>
      </c>
      <c r="Z2738">
        <v>0</v>
      </c>
      <c r="AA2738" t="str">
        <f>"Y"</f>
        <v>Y</v>
      </c>
      <c r="AC2738">
        <v>0</v>
      </c>
      <c r="AM2738" t="str">
        <f>"10"</f>
        <v>10</v>
      </c>
      <c r="AN2738" t="str">
        <f>"500000"</f>
        <v>500000</v>
      </c>
      <c r="AO2738" t="str">
        <f>"הכנסות  מלקוחות"</f>
        <v>הכנסות  מלקוחות</v>
      </c>
      <c r="AQ2738" t="str">
        <f>"034"</f>
        <v>034</v>
      </c>
      <c r="AR2738">
        <v>0</v>
      </c>
      <c r="AS2738">
        <v>0</v>
      </c>
      <c r="AT2738">
        <v>3.3029999999999999</v>
      </c>
      <c r="BB2738" t="str">
        <f>"Y"</f>
        <v>Y</v>
      </c>
      <c r="BD2738" t="str">
        <f>"ערן שלו"</f>
        <v>ערן שלו</v>
      </c>
    </row>
    <row r="2739" spans="1:56" x14ac:dyDescent="0.3">
      <c r="A2739" s="1">
        <v>44280</v>
      </c>
      <c r="B2739" t="str">
        <f>"SI216000421"</f>
        <v>SI216000421</v>
      </c>
      <c r="C2739" t="str">
        <f>"PR19000109"</f>
        <v>PR19000109</v>
      </c>
      <c r="E2739" t="str">
        <f>"Y"</f>
        <v>Y</v>
      </c>
      <c r="F2739" t="str">
        <f>"חשבוניות מרכזות"</f>
        <v>חשבוניות מרכזות</v>
      </c>
      <c r="G2739" t="str">
        <f>"700065"</f>
        <v>700065</v>
      </c>
      <c r="H2739" t="str">
        <f>"אלתא מערכות בע""מ"</f>
        <v>אלתא מערכות בע"מ</v>
      </c>
      <c r="I2739" t="str">
        <f>"05"</f>
        <v>05</v>
      </c>
      <c r="J2739" t="str">
        <f>"OP-PD02884"</f>
        <v>OP-PD02884</v>
      </c>
      <c r="K2739" t="str">
        <f>"MAIN EPS PLC CONTROL PANEL - P15B"</f>
        <v>MAIN EPS PLC CONTROL PANEL - P15B</v>
      </c>
      <c r="L2739">
        <v>1</v>
      </c>
      <c r="M2739" t="str">
        <f>"יח"</f>
        <v>יח</v>
      </c>
      <c r="N2739">
        <v>1</v>
      </c>
      <c r="O2739" t="str">
        <f>"יח"</f>
        <v>יח</v>
      </c>
      <c r="P2739" s="2">
        <v>25400</v>
      </c>
      <c r="Q2739" t="str">
        <f>"$"</f>
        <v>$</v>
      </c>
      <c r="R2739" t="str">
        <f>"הזמנה"</f>
        <v>הזמנה</v>
      </c>
      <c r="S2739">
        <v>0</v>
      </c>
      <c r="T2739" s="2">
        <v>25400</v>
      </c>
      <c r="U2739">
        <v>0</v>
      </c>
      <c r="V2739" s="2">
        <v>25400</v>
      </c>
      <c r="W2739" t="str">
        <f>"$"</f>
        <v>$</v>
      </c>
      <c r="X2739">
        <v>0</v>
      </c>
      <c r="Y2739">
        <v>0</v>
      </c>
      <c r="Z2739">
        <v>0</v>
      </c>
      <c r="AA2739" t="str">
        <f>"Y"</f>
        <v>Y</v>
      </c>
      <c r="AC2739">
        <v>0</v>
      </c>
      <c r="AM2739" t="str">
        <f>"10"</f>
        <v>10</v>
      </c>
      <c r="AN2739" t="str">
        <f>"500000"</f>
        <v>500000</v>
      </c>
      <c r="AO2739" t="str">
        <f>"הכנסות  מלקוחות"</f>
        <v>הכנסות  מלקוחות</v>
      </c>
      <c r="AQ2739" t="str">
        <f>"034"</f>
        <v>034</v>
      </c>
      <c r="AR2739">
        <v>0</v>
      </c>
      <c r="AS2739">
        <v>0</v>
      </c>
      <c r="AT2739">
        <v>3.3029999999999999</v>
      </c>
      <c r="BB2739" t="str">
        <f>"Y"</f>
        <v>Y</v>
      </c>
      <c r="BD2739" t="str">
        <f>"ערן שלו"</f>
        <v>ערן שלו</v>
      </c>
    </row>
    <row r="2740" spans="1:56" x14ac:dyDescent="0.3">
      <c r="A2740" s="1">
        <v>44279</v>
      </c>
      <c r="B2740" t="str">
        <f>"SI216000418"</f>
        <v>SI216000418</v>
      </c>
      <c r="C2740" t="str">
        <f>"PR19000109"</f>
        <v>PR19000109</v>
      </c>
      <c r="E2740" t="str">
        <f>"Y"</f>
        <v>Y</v>
      </c>
      <c r="F2740" t="str">
        <f>"חשבוניות מרכזות"</f>
        <v>חשבוניות מרכזות</v>
      </c>
      <c r="G2740" t="str">
        <f>"700065"</f>
        <v>700065</v>
      </c>
      <c r="H2740" t="str">
        <f>"אלתא מערכות בע""מ"</f>
        <v>אלתא מערכות בע"מ</v>
      </c>
      <c r="I2740" t="str">
        <f>"05"</f>
        <v>05</v>
      </c>
      <c r="J2740" t="str">
        <f>"999"</f>
        <v>999</v>
      </c>
      <c r="K2740" t="str">
        <f>"TECHNICAL MANUALS P15B"</f>
        <v>TECHNICAL MANUALS P15B</v>
      </c>
      <c r="L2740">
        <v>1</v>
      </c>
      <c r="M2740" t="str">
        <f>"חל"</f>
        <v>חל</v>
      </c>
      <c r="N2740">
        <v>1</v>
      </c>
      <c r="O2740" t="str">
        <f>"חל"</f>
        <v>חל</v>
      </c>
      <c r="P2740">
        <v>144</v>
      </c>
      <c r="Q2740" t="str">
        <f>"$"</f>
        <v>$</v>
      </c>
      <c r="R2740" t="str">
        <f>"הזמנה"</f>
        <v>הזמנה</v>
      </c>
      <c r="S2740">
        <v>0</v>
      </c>
      <c r="T2740">
        <v>144</v>
      </c>
      <c r="U2740">
        <v>0</v>
      </c>
      <c r="V2740">
        <v>144</v>
      </c>
      <c r="W2740" t="str">
        <f>"$"</f>
        <v>$</v>
      </c>
      <c r="X2740">
        <v>0</v>
      </c>
      <c r="Y2740">
        <v>0</v>
      </c>
      <c r="Z2740">
        <v>0</v>
      </c>
      <c r="AA2740" t="str">
        <f>"Y"</f>
        <v>Y</v>
      </c>
      <c r="AB2740" t="str">
        <f>"SO19000156"</f>
        <v>SO19000156</v>
      </c>
      <c r="AC2740">
        <v>31</v>
      </c>
      <c r="AD2740" s="1">
        <v>43562</v>
      </c>
      <c r="AE2740" t="str">
        <f>"SH19001761"</f>
        <v>SH19001761</v>
      </c>
      <c r="AF2740" t="str">
        <f>"משלוחים ללקוח"</f>
        <v>משלוחים ללקוח</v>
      </c>
      <c r="AG2740" s="1">
        <v>43815</v>
      </c>
      <c r="AM2740" t="str">
        <f>"10"</f>
        <v>10</v>
      </c>
      <c r="AN2740" t="str">
        <f>"500000"</f>
        <v>500000</v>
      </c>
      <c r="AO2740" t="str">
        <f>"הכנסות  מלקוחות"</f>
        <v>הכנסות  מלקוחות</v>
      </c>
      <c r="AQ2740" t="str">
        <f>"034"</f>
        <v>034</v>
      </c>
      <c r="AR2740">
        <v>0</v>
      </c>
      <c r="AS2740">
        <v>0</v>
      </c>
      <c r="AT2740">
        <v>3.3029999999999999</v>
      </c>
      <c r="AX2740" t="str">
        <f>"E000270896"</f>
        <v>E000270896</v>
      </c>
      <c r="BD2740" t="str">
        <f>"ערן שלו"</f>
        <v>ערן שלו</v>
      </c>
    </row>
    <row r="2741" spans="1:56" x14ac:dyDescent="0.3">
      <c r="A2741" s="1">
        <v>44279</v>
      </c>
      <c r="B2741" t="str">
        <f>"SI216000418"</f>
        <v>SI216000418</v>
      </c>
      <c r="C2741" t="str">
        <f>"PR19000109"</f>
        <v>PR19000109</v>
      </c>
      <c r="E2741" t="str">
        <f>"Y"</f>
        <v>Y</v>
      </c>
      <c r="F2741" t="str">
        <f>"חשבוניות מרכזות"</f>
        <v>חשבוניות מרכזות</v>
      </c>
      <c r="G2741" t="str">
        <f>"700065"</f>
        <v>700065</v>
      </c>
      <c r="H2741" t="str">
        <f>"אלתא מערכות בע""מ"</f>
        <v>אלתא מערכות בע"מ</v>
      </c>
      <c r="I2741" t="str">
        <f>"05"</f>
        <v>05</v>
      </c>
      <c r="J2741" t="str">
        <f>"999"</f>
        <v>999</v>
      </c>
      <c r="K2741" t="str">
        <f>"CDR-חיוב בסוף הפרויקט"</f>
        <v>CDR-חיוב בסוף הפרויקט</v>
      </c>
      <c r="L2741">
        <v>1</v>
      </c>
      <c r="M2741" t="str">
        <f>"חל"</f>
        <v>חל</v>
      </c>
      <c r="N2741">
        <v>1</v>
      </c>
      <c r="O2741" t="str">
        <f>"חל"</f>
        <v>חל</v>
      </c>
      <c r="P2741" s="2">
        <v>73500</v>
      </c>
      <c r="Q2741" t="str">
        <f>"$"</f>
        <v>$</v>
      </c>
      <c r="R2741" t="str">
        <f>"הזמנה"</f>
        <v>הזמנה</v>
      </c>
      <c r="S2741">
        <v>0</v>
      </c>
      <c r="T2741" s="2">
        <v>73500</v>
      </c>
      <c r="U2741">
        <v>0</v>
      </c>
      <c r="V2741" s="2">
        <v>73500</v>
      </c>
      <c r="W2741" t="str">
        <f>"$"</f>
        <v>$</v>
      </c>
      <c r="X2741">
        <v>0</v>
      </c>
      <c r="Y2741">
        <v>0</v>
      </c>
      <c r="Z2741">
        <v>0</v>
      </c>
      <c r="AA2741" t="str">
        <f>"Y"</f>
        <v>Y</v>
      </c>
      <c r="AB2741" t="str">
        <f>"SO19000156"</f>
        <v>SO19000156</v>
      </c>
      <c r="AC2741">
        <v>34</v>
      </c>
      <c r="AD2741" s="1">
        <v>43562</v>
      </c>
      <c r="AE2741" t="str">
        <f>"SH19001761"</f>
        <v>SH19001761</v>
      </c>
      <c r="AF2741" t="str">
        <f>"משלוחים ללקוח"</f>
        <v>משלוחים ללקוח</v>
      </c>
      <c r="AG2741" s="1">
        <v>43815</v>
      </c>
      <c r="AM2741" t="str">
        <f>"10"</f>
        <v>10</v>
      </c>
      <c r="AN2741" t="str">
        <f>"500000"</f>
        <v>500000</v>
      </c>
      <c r="AO2741" t="str">
        <f>"הכנסות  מלקוחות"</f>
        <v>הכנסות  מלקוחות</v>
      </c>
      <c r="AQ2741" t="str">
        <f>"034"</f>
        <v>034</v>
      </c>
      <c r="AR2741">
        <v>0</v>
      </c>
      <c r="AS2741">
        <v>0</v>
      </c>
      <c r="AT2741">
        <v>3.3029999999999999</v>
      </c>
      <c r="AX2741" t="str">
        <f>"E000270896"</f>
        <v>E000270896</v>
      </c>
      <c r="BD2741" t="str">
        <f>"ערן שלו"</f>
        <v>ערן שלו</v>
      </c>
    </row>
    <row r="2742" spans="1:56" x14ac:dyDescent="0.3">
      <c r="A2742" s="1">
        <v>44276</v>
      </c>
      <c r="B2742" t="str">
        <f>"SI216000405"</f>
        <v>SI216000405</v>
      </c>
      <c r="C2742" t="str">
        <f>"PR20000527"</f>
        <v>PR20000527</v>
      </c>
      <c r="E2742" t="str">
        <f>"Y"</f>
        <v>Y</v>
      </c>
      <c r="F2742" t="str">
        <f>"חשבוניות מרכזות"</f>
        <v>חשבוניות מרכזות</v>
      </c>
      <c r="G2742" t="str">
        <f>"700065"</f>
        <v>700065</v>
      </c>
      <c r="H2742" t="str">
        <f>"אלתא מערכות בע""מ"</f>
        <v>אלתא מערכות בע"מ</v>
      </c>
      <c r="I2742" t="str">
        <f>"10"</f>
        <v>10</v>
      </c>
      <c r="J2742" t="str">
        <f>"OP-AR00468"</f>
        <v>OP-AR00468</v>
      </c>
      <c r="K2742" t="str">
        <f>"208V/25A/3PH AC PCU CONTROL BOX"</f>
        <v>208V/25A/3PH AC PCU CONTROL BOX</v>
      </c>
      <c r="L2742">
        <v>1</v>
      </c>
      <c r="M2742" t="str">
        <f>"יח"</f>
        <v>יח</v>
      </c>
      <c r="N2742">
        <v>1</v>
      </c>
      <c r="O2742" t="str">
        <f>"יח"</f>
        <v>יח</v>
      </c>
      <c r="P2742" s="2">
        <v>4250</v>
      </c>
      <c r="Q2742" t="str">
        <f>"$"</f>
        <v>$</v>
      </c>
      <c r="R2742" t="str">
        <f>"הזמנה"</f>
        <v>הזמנה</v>
      </c>
      <c r="S2742">
        <v>0</v>
      </c>
      <c r="T2742" s="2">
        <v>4250</v>
      </c>
      <c r="U2742">
        <v>0</v>
      </c>
      <c r="V2742" s="2">
        <v>4250</v>
      </c>
      <c r="W2742" t="str">
        <f>"$"</f>
        <v>$</v>
      </c>
      <c r="X2742">
        <v>0</v>
      </c>
      <c r="Y2742">
        <v>0</v>
      </c>
      <c r="Z2742">
        <v>0</v>
      </c>
      <c r="AA2742" t="str">
        <f>"Y"</f>
        <v>Y</v>
      </c>
      <c r="AB2742" t="str">
        <f>"SO20000328"</f>
        <v>SO20000328</v>
      </c>
      <c r="AC2742">
        <v>2</v>
      </c>
      <c r="AD2742" s="1">
        <v>44035</v>
      </c>
      <c r="AE2742" t="str">
        <f>"SH21000436"</f>
        <v>SH21000436</v>
      </c>
      <c r="AF2742" t="str">
        <f>"משלוחים ללקוח"</f>
        <v>משלוחים ללקוח</v>
      </c>
      <c r="AG2742" s="1">
        <v>44276</v>
      </c>
      <c r="AM2742" t="str">
        <f>"10"</f>
        <v>10</v>
      </c>
      <c r="AN2742" t="str">
        <f>"500000"</f>
        <v>500000</v>
      </c>
      <c r="AO2742" t="str">
        <f>"הכנסות  מלקוחות"</f>
        <v>הכנסות  מלקוחות</v>
      </c>
      <c r="AQ2742" t="str">
        <f>"034"</f>
        <v>034</v>
      </c>
      <c r="AR2742">
        <v>0</v>
      </c>
      <c r="AS2742">
        <v>0</v>
      </c>
      <c r="AT2742">
        <v>3.2890000000000001</v>
      </c>
      <c r="AX2742" t="str">
        <f>"E000317576"</f>
        <v>E000317576</v>
      </c>
      <c r="BD2742" t="str">
        <f>"ערן שלו"</f>
        <v>ערן שלו</v>
      </c>
    </row>
    <row r="2743" spans="1:56" x14ac:dyDescent="0.3">
      <c r="A2743" s="1">
        <v>44276</v>
      </c>
      <c r="B2743" t="str">
        <f>"SI216000404"</f>
        <v>SI216000404</v>
      </c>
      <c r="C2743" t="str">
        <f>"PR20000755"</f>
        <v>PR20000755</v>
      </c>
      <c r="D2743" t="str">
        <f>"PR20000755"</f>
        <v>PR20000755</v>
      </c>
      <c r="E2743" t="str">
        <f>"Y"</f>
        <v>Y</v>
      </c>
      <c r="F2743" t="str">
        <f>"חשבוניות מרכזות"</f>
        <v>חשבוניות מרכזות</v>
      </c>
      <c r="G2743" t="str">
        <f>"700065"</f>
        <v>700065</v>
      </c>
      <c r="H2743" t="str">
        <f>"אלתא מערכות בע""מ"</f>
        <v>אלתא מערכות בע"מ</v>
      </c>
      <c r="I2743" t="str">
        <f>"10"</f>
        <v>10</v>
      </c>
      <c r="J2743" t="str">
        <f>"OP-AR02068"</f>
        <v>OP-AR02068</v>
      </c>
      <c r="K2743" t="str">
        <f>"תיקון CU PDU"</f>
        <v>תיקון CU PDU</v>
      </c>
      <c r="L2743">
        <v>1</v>
      </c>
      <c r="M2743" t="str">
        <f>"יח"</f>
        <v>יח</v>
      </c>
      <c r="N2743">
        <v>1</v>
      </c>
      <c r="O2743" t="str">
        <f>"יח"</f>
        <v>יח</v>
      </c>
      <c r="P2743">
        <v>450</v>
      </c>
      <c r="Q2743" t="str">
        <f>"$"</f>
        <v>$</v>
      </c>
      <c r="R2743" t="str">
        <f>"הזמנה"</f>
        <v>הזמנה</v>
      </c>
      <c r="S2743">
        <v>0</v>
      </c>
      <c r="T2743">
        <v>450</v>
      </c>
      <c r="U2743">
        <v>0</v>
      </c>
      <c r="V2743">
        <v>450</v>
      </c>
      <c r="W2743" t="str">
        <f>"$"</f>
        <v>$</v>
      </c>
      <c r="X2743">
        <v>0</v>
      </c>
      <c r="Y2743">
        <v>0</v>
      </c>
      <c r="Z2743">
        <v>0</v>
      </c>
      <c r="AA2743" t="str">
        <f>"Y"</f>
        <v>Y</v>
      </c>
      <c r="AB2743" t="str">
        <f>"SO20000505"</f>
        <v>SO20000505</v>
      </c>
      <c r="AC2743">
        <v>1</v>
      </c>
      <c r="AD2743" s="1">
        <v>44139</v>
      </c>
      <c r="AE2743" t="str">
        <f>"SH21000438"</f>
        <v>SH21000438</v>
      </c>
      <c r="AF2743" t="str">
        <f>"משלוחים ללקוח"</f>
        <v>משלוחים ללקוח</v>
      </c>
      <c r="AG2743" s="1">
        <v>44276</v>
      </c>
      <c r="AM2743" t="str">
        <f>"10"</f>
        <v>10</v>
      </c>
      <c r="AN2743" t="str">
        <f>"500000"</f>
        <v>500000</v>
      </c>
      <c r="AO2743" t="str">
        <f>"הכנסות  מלקוחות"</f>
        <v>הכנסות  מלקוחות</v>
      </c>
      <c r="AQ2743" t="str">
        <f>"034"</f>
        <v>034</v>
      </c>
      <c r="AR2743">
        <v>0</v>
      </c>
      <c r="AS2743">
        <v>0</v>
      </c>
      <c r="AT2743">
        <v>3.2890000000000001</v>
      </c>
      <c r="AX2743" t="str">
        <f>"E000325199"</f>
        <v>E000325199</v>
      </c>
      <c r="BD2743" t="str">
        <f>"ערן שלו"</f>
        <v>ערן שלו</v>
      </c>
    </row>
    <row r="2744" spans="1:56" x14ac:dyDescent="0.3">
      <c r="A2744" s="1">
        <v>44276</v>
      </c>
      <c r="B2744" t="str">
        <f>"SI216000403"</f>
        <v>SI216000403</v>
      </c>
      <c r="C2744" t="str">
        <f>"PR20000851"</f>
        <v>PR20000851</v>
      </c>
      <c r="D2744" t="str">
        <f>"PR20000851"</f>
        <v>PR20000851</v>
      </c>
      <c r="E2744" t="str">
        <f>"Y"</f>
        <v>Y</v>
      </c>
      <c r="F2744" t="str">
        <f>"חשבוניות מרכזות"</f>
        <v>חשבוניות מרכזות</v>
      </c>
      <c r="G2744" t="str">
        <f>"700065"</f>
        <v>700065</v>
      </c>
      <c r="H2744" t="str">
        <f>"אלתא מערכות בע""מ"</f>
        <v>אלתא מערכות בע"מ</v>
      </c>
      <c r="I2744" t="str">
        <f>"10"</f>
        <v>10</v>
      </c>
      <c r="J2744" t="str">
        <f>"OP-AR02165"</f>
        <v>OP-AR02165</v>
      </c>
      <c r="K2744" t="str">
        <f>"1039H821-001/-   HARNESS WY021 - PDU TO TRA1 EXT"</f>
        <v>1039H821-001/-   HARNESS WY021 - PDU TO TRA1 EXT</v>
      </c>
      <c r="L2744">
        <v>1</v>
      </c>
      <c r="M2744" t="str">
        <f>"יח"</f>
        <v>יח</v>
      </c>
      <c r="N2744">
        <v>1</v>
      </c>
      <c r="O2744" t="str">
        <f>"יח"</f>
        <v>יח</v>
      </c>
      <c r="P2744">
        <v>828.98</v>
      </c>
      <c r="Q2744" t="str">
        <f>"$"</f>
        <v>$</v>
      </c>
      <c r="R2744" t="str">
        <f>"הזמנה"</f>
        <v>הזמנה</v>
      </c>
      <c r="S2744">
        <v>0</v>
      </c>
      <c r="T2744">
        <v>828.98</v>
      </c>
      <c r="U2744">
        <v>0</v>
      </c>
      <c r="V2744">
        <v>828.98</v>
      </c>
      <c r="W2744" t="str">
        <f>"$"</f>
        <v>$</v>
      </c>
      <c r="X2744">
        <v>0</v>
      </c>
      <c r="Y2744">
        <v>0</v>
      </c>
      <c r="Z2744">
        <v>0</v>
      </c>
      <c r="AA2744" t="str">
        <f>"Y"</f>
        <v>Y</v>
      </c>
      <c r="AB2744" t="str">
        <f>"SO20000555"</f>
        <v>SO20000555</v>
      </c>
      <c r="AC2744">
        <v>12</v>
      </c>
      <c r="AD2744" s="1">
        <v>44166</v>
      </c>
      <c r="AE2744" t="str">
        <f>"SH21000441"</f>
        <v>SH21000441</v>
      </c>
      <c r="AF2744" t="str">
        <f>"משלוחים ללקוח"</f>
        <v>משלוחים ללקוח</v>
      </c>
      <c r="AG2744" s="1">
        <v>44276</v>
      </c>
      <c r="AM2744" t="str">
        <f>"10"</f>
        <v>10</v>
      </c>
      <c r="AN2744" t="str">
        <f>"500000"</f>
        <v>500000</v>
      </c>
      <c r="AO2744" t="str">
        <f>"הכנסות  מלקוחות"</f>
        <v>הכנסות  מלקוחות</v>
      </c>
      <c r="AQ2744" t="str">
        <f>"034"</f>
        <v>034</v>
      </c>
      <c r="AR2744">
        <v>0</v>
      </c>
      <c r="AS2744">
        <v>0</v>
      </c>
      <c r="AT2744">
        <v>3.2890000000000001</v>
      </c>
      <c r="AX2744" t="str">
        <f>"E000326481"</f>
        <v>E000326481</v>
      </c>
      <c r="BD2744" t="str">
        <f>"ערן שלו"</f>
        <v>ערן שלו</v>
      </c>
    </row>
    <row r="2745" spans="1:56" x14ac:dyDescent="0.3">
      <c r="A2745" s="1">
        <v>44276</v>
      </c>
      <c r="B2745" t="str">
        <f>"SI216000402"</f>
        <v>SI216000402</v>
      </c>
      <c r="C2745" t="str">
        <f>"PR20000348"</f>
        <v>PR20000348</v>
      </c>
      <c r="E2745" t="str">
        <f>"Y"</f>
        <v>Y</v>
      </c>
      <c r="F2745" t="str">
        <f>"חשבוניות מרכזות"</f>
        <v>חשבוניות מרכזות</v>
      </c>
      <c r="G2745" t="str">
        <f>"700065"</f>
        <v>700065</v>
      </c>
      <c r="H2745" t="str">
        <f>"אלתא מערכות בע""מ"</f>
        <v>אלתא מערכות בע"מ</v>
      </c>
      <c r="I2745" t="str">
        <f>"10"</f>
        <v>10</v>
      </c>
      <c r="J2745" t="str">
        <f>"OP-AR01770"</f>
        <v>OP-AR01770</v>
      </c>
      <c r="K2745" t="str">
        <f>"1036U451-001 WP451 - POWER 400VAC PDB TO LRCU"</f>
        <v>1036U451-001 WP451 - POWER 400VAC PDB TO LRCU</v>
      </c>
      <c r="L2745">
        <v>1</v>
      </c>
      <c r="M2745" t="str">
        <f>"יח"</f>
        <v>יח</v>
      </c>
      <c r="N2745">
        <v>1</v>
      </c>
      <c r="O2745" t="str">
        <f>"יח"</f>
        <v>יח</v>
      </c>
      <c r="P2745" s="2">
        <v>2395.77</v>
      </c>
      <c r="Q2745" t="str">
        <f>"$"</f>
        <v>$</v>
      </c>
      <c r="R2745" t="str">
        <f>"הזמנה"</f>
        <v>הזמנה</v>
      </c>
      <c r="S2745">
        <v>0</v>
      </c>
      <c r="T2745" s="2">
        <v>2395.77</v>
      </c>
      <c r="U2745">
        <v>0</v>
      </c>
      <c r="V2745" s="2">
        <v>2395.77</v>
      </c>
      <c r="W2745" t="str">
        <f>"$"</f>
        <v>$</v>
      </c>
      <c r="X2745">
        <v>0</v>
      </c>
      <c r="Y2745">
        <v>0</v>
      </c>
      <c r="Z2745">
        <v>0</v>
      </c>
      <c r="AA2745" t="str">
        <f>"Y"</f>
        <v>Y</v>
      </c>
      <c r="AB2745" t="str">
        <f>"SO20000201"</f>
        <v>SO20000201</v>
      </c>
      <c r="AC2745">
        <v>36</v>
      </c>
      <c r="AD2745" s="1">
        <v>43970</v>
      </c>
      <c r="AE2745" t="str">
        <f>"SH21000432"</f>
        <v>SH21000432</v>
      </c>
      <c r="AF2745" t="str">
        <f>"משלוחים ללקוח"</f>
        <v>משלוחים ללקוח</v>
      </c>
      <c r="AG2745" s="1">
        <v>44276</v>
      </c>
      <c r="AM2745" t="str">
        <f>"10"</f>
        <v>10</v>
      </c>
      <c r="AN2745" t="str">
        <f>"500000"</f>
        <v>500000</v>
      </c>
      <c r="AO2745" t="str">
        <f>"הכנסות  מלקוחות"</f>
        <v>הכנסות  מלקוחות</v>
      </c>
      <c r="AQ2745" t="str">
        <f>"034"</f>
        <v>034</v>
      </c>
      <c r="AR2745">
        <v>0</v>
      </c>
      <c r="AS2745">
        <v>0</v>
      </c>
      <c r="AT2745">
        <v>3.2890000000000001</v>
      </c>
      <c r="AX2745" t="str">
        <f>"E000311250"</f>
        <v>E000311250</v>
      </c>
      <c r="BD2745" t="str">
        <f>"ערן שלו"</f>
        <v>ערן שלו</v>
      </c>
    </row>
    <row r="2746" spans="1:56" x14ac:dyDescent="0.3">
      <c r="A2746" s="1">
        <v>44276</v>
      </c>
      <c r="B2746" t="str">
        <f>"SI216000401"</f>
        <v>SI216000401</v>
      </c>
      <c r="C2746" t="str">
        <f>"PR20000894"</f>
        <v>PR20000894</v>
      </c>
      <c r="E2746" t="str">
        <f>"Y"</f>
        <v>Y</v>
      </c>
      <c r="F2746" t="str">
        <f>"חשבוניות מרכזות"</f>
        <v>חשבוניות מרכזות</v>
      </c>
      <c r="G2746" t="str">
        <f>"700065"</f>
        <v>700065</v>
      </c>
      <c r="H2746" t="str">
        <f>"אלתא מערכות בע""מ"</f>
        <v>אלתא מערכות בע"מ</v>
      </c>
      <c r="I2746" t="str">
        <f>"10"</f>
        <v>10</v>
      </c>
      <c r="J2746" t="str">
        <f>"OP-AR02199"</f>
        <v>OP-AR02199</v>
      </c>
      <c r="K2746" t="str">
        <f>"9008C161-001   HARNESS WT161 - DAU CONTROL CABIN"</f>
        <v>9008C161-001   HARNESS WT161 - DAU CONTROL CABIN</v>
      </c>
      <c r="L2746">
        <v>1</v>
      </c>
      <c r="M2746" t="str">
        <f>"יח"</f>
        <v>יח</v>
      </c>
      <c r="N2746">
        <v>1</v>
      </c>
      <c r="O2746" t="str">
        <f>"יח"</f>
        <v>יח</v>
      </c>
      <c r="P2746">
        <v>552.73</v>
      </c>
      <c r="Q2746" t="str">
        <f>"$"</f>
        <v>$</v>
      </c>
      <c r="R2746" t="str">
        <f>"הזמנה"</f>
        <v>הזמנה</v>
      </c>
      <c r="S2746">
        <v>0</v>
      </c>
      <c r="T2746">
        <v>552.73</v>
      </c>
      <c r="U2746">
        <v>0</v>
      </c>
      <c r="V2746">
        <v>552.73</v>
      </c>
      <c r="W2746" t="str">
        <f>"$"</f>
        <v>$</v>
      </c>
      <c r="X2746">
        <v>0</v>
      </c>
      <c r="Y2746">
        <v>0</v>
      </c>
      <c r="Z2746">
        <v>0</v>
      </c>
      <c r="AA2746" t="str">
        <f>"Y"</f>
        <v>Y</v>
      </c>
      <c r="AB2746" t="str">
        <f>"SO20000601"</f>
        <v>SO20000601</v>
      </c>
      <c r="AC2746">
        <v>1</v>
      </c>
      <c r="AD2746" s="1">
        <v>44185</v>
      </c>
      <c r="AE2746" t="str">
        <f>"SH21000431"</f>
        <v>SH21000431</v>
      </c>
      <c r="AF2746" t="str">
        <f>"משלוחים ללקוח"</f>
        <v>משלוחים ללקוח</v>
      </c>
      <c r="AG2746" s="1">
        <v>44276</v>
      </c>
      <c r="AM2746" t="str">
        <f>"10"</f>
        <v>10</v>
      </c>
      <c r="AN2746" t="str">
        <f>"500000"</f>
        <v>500000</v>
      </c>
      <c r="AO2746" t="str">
        <f>"הכנסות  מלקוחות"</f>
        <v>הכנסות  מלקוחות</v>
      </c>
      <c r="AQ2746" t="str">
        <f>"034"</f>
        <v>034</v>
      </c>
      <c r="AR2746">
        <v>0</v>
      </c>
      <c r="AS2746">
        <v>0</v>
      </c>
      <c r="AT2746">
        <v>3.2890000000000001</v>
      </c>
      <c r="AX2746" t="str">
        <f>"E000328999"</f>
        <v>E000328999</v>
      </c>
      <c r="BD2746" t="str">
        <f>"ערן שלו"</f>
        <v>ערן שלו</v>
      </c>
    </row>
    <row r="2747" spans="1:56" x14ac:dyDescent="0.3">
      <c r="A2747" s="1">
        <v>44276</v>
      </c>
      <c r="B2747" t="str">
        <f>"SI216000401"</f>
        <v>SI216000401</v>
      </c>
      <c r="C2747" t="str">
        <f>"PR20000894"</f>
        <v>PR20000894</v>
      </c>
      <c r="E2747" t="str">
        <f>"Y"</f>
        <v>Y</v>
      </c>
      <c r="F2747" t="str">
        <f>"חשבוניות מרכזות"</f>
        <v>חשבוניות מרכזות</v>
      </c>
      <c r="G2747" t="str">
        <f>"700065"</f>
        <v>700065</v>
      </c>
      <c r="H2747" t="str">
        <f>"אלתא מערכות בע""מ"</f>
        <v>אלתא מערכות בע"מ</v>
      </c>
      <c r="I2747" t="str">
        <f>"10"</f>
        <v>10</v>
      </c>
      <c r="J2747" t="str">
        <f>"OP-AR02201"</f>
        <v>OP-AR02201</v>
      </c>
      <c r="K2747" t="str">
        <f>"9008C163-001   HARNESS WT163 - DAU TO PEDESTAL"</f>
        <v>9008C163-001   HARNESS WT163 - DAU TO PEDESTAL</v>
      </c>
      <c r="L2747">
        <v>1</v>
      </c>
      <c r="M2747" t="str">
        <f>"יח"</f>
        <v>יח</v>
      </c>
      <c r="N2747">
        <v>1</v>
      </c>
      <c r="O2747" t="str">
        <f>"יח"</f>
        <v>יח</v>
      </c>
      <c r="P2747">
        <v>563.91</v>
      </c>
      <c r="Q2747" t="str">
        <f>"$"</f>
        <v>$</v>
      </c>
      <c r="R2747" t="str">
        <f>"הזמנה"</f>
        <v>הזמנה</v>
      </c>
      <c r="S2747">
        <v>0</v>
      </c>
      <c r="T2747">
        <v>563.91</v>
      </c>
      <c r="U2747">
        <v>0</v>
      </c>
      <c r="V2747">
        <v>563.91</v>
      </c>
      <c r="W2747" t="str">
        <f>"$"</f>
        <v>$</v>
      </c>
      <c r="X2747">
        <v>0</v>
      </c>
      <c r="Y2747">
        <v>0</v>
      </c>
      <c r="Z2747">
        <v>0</v>
      </c>
      <c r="AA2747" t="str">
        <f>"Y"</f>
        <v>Y</v>
      </c>
      <c r="AB2747" t="str">
        <f>"SO20000601"</f>
        <v>SO20000601</v>
      </c>
      <c r="AC2747">
        <v>3</v>
      </c>
      <c r="AD2747" s="1">
        <v>44185</v>
      </c>
      <c r="AE2747" t="str">
        <f>"SH21000431"</f>
        <v>SH21000431</v>
      </c>
      <c r="AF2747" t="str">
        <f>"משלוחים ללקוח"</f>
        <v>משלוחים ללקוח</v>
      </c>
      <c r="AG2747" s="1">
        <v>44276</v>
      </c>
      <c r="AM2747" t="str">
        <f>"10"</f>
        <v>10</v>
      </c>
      <c r="AN2747" t="str">
        <f>"500000"</f>
        <v>500000</v>
      </c>
      <c r="AO2747" t="str">
        <f>"הכנסות  מלקוחות"</f>
        <v>הכנסות  מלקוחות</v>
      </c>
      <c r="AQ2747" t="str">
        <f>"034"</f>
        <v>034</v>
      </c>
      <c r="AR2747">
        <v>0</v>
      </c>
      <c r="AS2747">
        <v>0</v>
      </c>
      <c r="AT2747">
        <v>3.2890000000000001</v>
      </c>
      <c r="AX2747" t="str">
        <f>"E000328999"</f>
        <v>E000328999</v>
      </c>
      <c r="BD2747" t="str">
        <f>"ערן שלו"</f>
        <v>ערן שלו</v>
      </c>
    </row>
    <row r="2748" spans="1:56" x14ac:dyDescent="0.3">
      <c r="A2748" s="1">
        <v>44276</v>
      </c>
      <c r="B2748" t="str">
        <f>"SI216000401"</f>
        <v>SI216000401</v>
      </c>
      <c r="C2748" t="str">
        <f>"PR20000894"</f>
        <v>PR20000894</v>
      </c>
      <c r="E2748" t="str">
        <f>"Y"</f>
        <v>Y</v>
      </c>
      <c r="F2748" t="str">
        <f>"חשבוניות מרכזות"</f>
        <v>חשבוניות מרכזות</v>
      </c>
      <c r="G2748" t="str">
        <f>"700065"</f>
        <v>700065</v>
      </c>
      <c r="H2748" t="str">
        <f>"אלתא מערכות בע""מ"</f>
        <v>אלתא מערכות בע"מ</v>
      </c>
      <c r="I2748" t="str">
        <f>"10"</f>
        <v>10</v>
      </c>
      <c r="J2748" t="str">
        <f>"OP-AR02202"</f>
        <v>OP-AR02202</v>
      </c>
      <c r="K2748" t="str">
        <f>"9008C164-001   HARNESS WT164 - DAU CONTROL CABIN"</f>
        <v>9008C164-001   HARNESS WT164 - DAU CONTROL CABIN</v>
      </c>
      <c r="L2748">
        <v>1</v>
      </c>
      <c r="M2748" t="str">
        <f>"יח"</f>
        <v>יח</v>
      </c>
      <c r="N2748">
        <v>1</v>
      </c>
      <c r="O2748" t="str">
        <f>"יח"</f>
        <v>יח</v>
      </c>
      <c r="P2748">
        <v>640.42999999999995</v>
      </c>
      <c r="Q2748" t="str">
        <f>"$"</f>
        <v>$</v>
      </c>
      <c r="R2748" t="str">
        <f>"הזמנה"</f>
        <v>הזמנה</v>
      </c>
      <c r="S2748">
        <v>0</v>
      </c>
      <c r="T2748">
        <v>640.42999999999995</v>
      </c>
      <c r="U2748">
        <v>0</v>
      </c>
      <c r="V2748">
        <v>640.42999999999995</v>
      </c>
      <c r="W2748" t="str">
        <f>"$"</f>
        <v>$</v>
      </c>
      <c r="X2748">
        <v>0</v>
      </c>
      <c r="Y2748">
        <v>0</v>
      </c>
      <c r="Z2748">
        <v>0</v>
      </c>
      <c r="AA2748" t="str">
        <f>"Y"</f>
        <v>Y</v>
      </c>
      <c r="AB2748" t="str">
        <f>"SO20000601"</f>
        <v>SO20000601</v>
      </c>
      <c r="AC2748">
        <v>4</v>
      </c>
      <c r="AD2748" s="1">
        <v>44185</v>
      </c>
      <c r="AE2748" t="str">
        <f>"SH21000431"</f>
        <v>SH21000431</v>
      </c>
      <c r="AF2748" t="str">
        <f>"משלוחים ללקוח"</f>
        <v>משלוחים ללקוח</v>
      </c>
      <c r="AG2748" s="1">
        <v>44276</v>
      </c>
      <c r="AM2748" t="str">
        <f>"10"</f>
        <v>10</v>
      </c>
      <c r="AN2748" t="str">
        <f>"500000"</f>
        <v>500000</v>
      </c>
      <c r="AO2748" t="str">
        <f>"הכנסות  מלקוחות"</f>
        <v>הכנסות  מלקוחות</v>
      </c>
      <c r="AQ2748" t="str">
        <f>"034"</f>
        <v>034</v>
      </c>
      <c r="AR2748">
        <v>0</v>
      </c>
      <c r="AS2748">
        <v>0</v>
      </c>
      <c r="AT2748">
        <v>3.2890000000000001</v>
      </c>
      <c r="AX2748" t="str">
        <f>"E000328999"</f>
        <v>E000328999</v>
      </c>
      <c r="BD2748" t="str">
        <f>"ערן שלו"</f>
        <v>ערן שלו</v>
      </c>
    </row>
    <row r="2749" spans="1:56" x14ac:dyDescent="0.3">
      <c r="A2749" s="1">
        <v>44276</v>
      </c>
      <c r="B2749" t="str">
        <f>"SI216000400"</f>
        <v>SI216000400</v>
      </c>
      <c r="C2749" t="str">
        <f>"PR20000669"</f>
        <v>PR20000669</v>
      </c>
      <c r="E2749" t="str">
        <f>"Y"</f>
        <v>Y</v>
      </c>
      <c r="F2749" t="str">
        <f>"חשבוניות מרכזות"</f>
        <v>חשבוניות מרכזות</v>
      </c>
      <c r="G2749" t="str">
        <f>"700065"</f>
        <v>700065</v>
      </c>
      <c r="H2749" t="str">
        <f>"אלתא מערכות בע""מ"</f>
        <v>אלתא מערכות בע"מ</v>
      </c>
      <c r="I2749" t="str">
        <f>"10"</f>
        <v>10</v>
      </c>
      <c r="J2749" t="str">
        <f>"OP-AR02030"</f>
        <v>OP-AR02030</v>
      </c>
      <c r="K2749" t="str">
        <f>"4030H111-001/- HARNESS W111 - MAIN"</f>
        <v>4030H111-001/- HARNESS W111 - MAIN</v>
      </c>
      <c r="L2749">
        <v>1</v>
      </c>
      <c r="M2749" t="str">
        <f>"יח"</f>
        <v>יח</v>
      </c>
      <c r="N2749">
        <v>1</v>
      </c>
      <c r="O2749" t="str">
        <f>"יח"</f>
        <v>יח</v>
      </c>
      <c r="P2749" s="2">
        <v>1840.43</v>
      </c>
      <c r="Q2749" t="str">
        <f>"$"</f>
        <v>$</v>
      </c>
      <c r="R2749" t="str">
        <f>"הזמנה"</f>
        <v>הזמנה</v>
      </c>
      <c r="S2749">
        <v>0</v>
      </c>
      <c r="T2749" s="2">
        <v>1840.43</v>
      </c>
      <c r="U2749">
        <v>0</v>
      </c>
      <c r="V2749" s="2">
        <v>1840.43</v>
      </c>
      <c r="W2749" t="str">
        <f>"$"</f>
        <v>$</v>
      </c>
      <c r="X2749">
        <v>0</v>
      </c>
      <c r="Y2749">
        <v>0</v>
      </c>
      <c r="Z2749">
        <v>0</v>
      </c>
      <c r="AA2749" t="str">
        <f>"Y"</f>
        <v>Y</v>
      </c>
      <c r="AB2749" t="str">
        <f>"SO20000432"</f>
        <v>SO20000432</v>
      </c>
      <c r="AC2749">
        <v>1</v>
      </c>
      <c r="AD2749" s="1">
        <v>44097</v>
      </c>
      <c r="AE2749" t="str">
        <f>"SH21000442"</f>
        <v>SH21000442</v>
      </c>
      <c r="AF2749" t="str">
        <f>"משלוחים ללקוח"</f>
        <v>משלוחים ללקוח</v>
      </c>
      <c r="AG2749" s="1">
        <v>44276</v>
      </c>
      <c r="AM2749" t="str">
        <f>"10"</f>
        <v>10</v>
      </c>
      <c r="AN2749" t="str">
        <f>"500000"</f>
        <v>500000</v>
      </c>
      <c r="AO2749" t="str">
        <f>"הכנסות  מלקוחות"</f>
        <v>הכנסות  מלקוחות</v>
      </c>
      <c r="AQ2749" t="str">
        <f>"034"</f>
        <v>034</v>
      </c>
      <c r="AR2749">
        <v>0</v>
      </c>
      <c r="AS2749">
        <v>0</v>
      </c>
      <c r="AT2749">
        <v>3.2890000000000001</v>
      </c>
      <c r="AX2749" t="str">
        <f>"E000321534"</f>
        <v>E000321534</v>
      </c>
      <c r="BD2749" t="str">
        <f>"ערן שלו"</f>
        <v>ערן שלו</v>
      </c>
    </row>
    <row r="2750" spans="1:56" x14ac:dyDescent="0.3">
      <c r="A2750" s="1">
        <v>44276</v>
      </c>
      <c r="B2750" t="str">
        <f>"SI216000399"</f>
        <v>SI216000399</v>
      </c>
      <c r="C2750" t="str">
        <f>"PR20000895"</f>
        <v>PR20000895</v>
      </c>
      <c r="E2750" t="str">
        <f>"Y"</f>
        <v>Y</v>
      </c>
      <c r="F2750" t="str">
        <f>"חשבוניות מרכזות"</f>
        <v>חשבוניות מרכזות</v>
      </c>
      <c r="G2750" t="str">
        <f>"700065"</f>
        <v>700065</v>
      </c>
      <c r="H2750" t="str">
        <f>"אלתא מערכות בע""מ"</f>
        <v>אלתא מערכות בע"מ</v>
      </c>
      <c r="I2750" t="str">
        <f>"10"</f>
        <v>10</v>
      </c>
      <c r="J2750" t="str">
        <f>"OP-AR02198"</f>
        <v>OP-AR02198</v>
      </c>
      <c r="K2750" t="str">
        <f>"2120B114-001   CABLE ASSY WP.SW"</f>
        <v>2120B114-001   CABLE ASSY WP.SW</v>
      </c>
      <c r="L2750">
        <v>1</v>
      </c>
      <c r="M2750" t="str">
        <f>"יח"</f>
        <v>יח</v>
      </c>
      <c r="N2750">
        <v>1</v>
      </c>
      <c r="O2750" t="str">
        <f>"יח"</f>
        <v>יח</v>
      </c>
      <c r="P2750">
        <v>649.65</v>
      </c>
      <c r="Q2750" t="str">
        <f>"$"</f>
        <v>$</v>
      </c>
      <c r="R2750" t="str">
        <f>"הזמנה"</f>
        <v>הזמנה</v>
      </c>
      <c r="S2750">
        <v>0</v>
      </c>
      <c r="T2750">
        <v>649.65</v>
      </c>
      <c r="U2750">
        <v>0</v>
      </c>
      <c r="V2750">
        <v>649.65</v>
      </c>
      <c r="W2750" t="str">
        <f>"$"</f>
        <v>$</v>
      </c>
      <c r="X2750">
        <v>0</v>
      </c>
      <c r="Y2750">
        <v>0</v>
      </c>
      <c r="Z2750">
        <v>0</v>
      </c>
      <c r="AA2750" t="str">
        <f>"Y"</f>
        <v>Y</v>
      </c>
      <c r="AB2750" t="str">
        <f>"SO20000582"</f>
        <v>SO20000582</v>
      </c>
      <c r="AC2750">
        <v>4</v>
      </c>
      <c r="AD2750" s="1">
        <v>44175</v>
      </c>
      <c r="AE2750" t="str">
        <f>"SH21000440"</f>
        <v>SH21000440</v>
      </c>
      <c r="AF2750" t="str">
        <f>"משלוחים ללקוח"</f>
        <v>משלוחים ללקוח</v>
      </c>
      <c r="AG2750" s="1">
        <v>44276</v>
      </c>
      <c r="AM2750" t="str">
        <f>"10"</f>
        <v>10</v>
      </c>
      <c r="AN2750" t="str">
        <f>"500000"</f>
        <v>500000</v>
      </c>
      <c r="AO2750" t="str">
        <f>"הכנסות  מלקוחות"</f>
        <v>הכנסות  מלקוחות</v>
      </c>
      <c r="AQ2750" t="str">
        <f>"034"</f>
        <v>034</v>
      </c>
      <c r="AR2750">
        <v>0</v>
      </c>
      <c r="AS2750">
        <v>0</v>
      </c>
      <c r="AT2750">
        <v>3.2890000000000001</v>
      </c>
      <c r="AX2750" t="str">
        <f>"E000327893"</f>
        <v>E000327893</v>
      </c>
      <c r="BD2750" t="str">
        <f>"ערן שלו"</f>
        <v>ערן שלו</v>
      </c>
    </row>
    <row r="2751" spans="1:56" x14ac:dyDescent="0.3">
      <c r="A2751" s="1">
        <v>44276</v>
      </c>
      <c r="B2751" t="str">
        <f>"SI216000398"</f>
        <v>SI216000398</v>
      </c>
      <c r="C2751" t="str">
        <f>"PR20000895"</f>
        <v>PR20000895</v>
      </c>
      <c r="E2751" t="str">
        <f>"Y"</f>
        <v>Y</v>
      </c>
      <c r="F2751" t="str">
        <f>"חשבוניות מרכזות"</f>
        <v>חשבוניות מרכזות</v>
      </c>
      <c r="G2751" t="str">
        <f>"700065"</f>
        <v>700065</v>
      </c>
      <c r="H2751" t="str">
        <f>"אלתא מערכות בע""מ"</f>
        <v>אלתא מערכות בע"מ</v>
      </c>
      <c r="I2751" t="str">
        <f>"10"</f>
        <v>10</v>
      </c>
      <c r="J2751" t="str">
        <f>"OP-AR02196"</f>
        <v>OP-AR02196</v>
      </c>
      <c r="K2751" t="str">
        <f>"2120B094-001   CABLE ASSY WGPM"</f>
        <v>2120B094-001   CABLE ASSY WGPM</v>
      </c>
      <c r="L2751">
        <v>1</v>
      </c>
      <c r="M2751" t="str">
        <f>"יח"</f>
        <v>יח</v>
      </c>
      <c r="N2751">
        <v>1</v>
      </c>
      <c r="O2751" t="str">
        <f>"יח"</f>
        <v>יח</v>
      </c>
      <c r="P2751">
        <v>659.61</v>
      </c>
      <c r="Q2751" t="str">
        <f>"$"</f>
        <v>$</v>
      </c>
      <c r="R2751" t="str">
        <f>"הזמנה"</f>
        <v>הזמנה</v>
      </c>
      <c r="S2751">
        <v>0</v>
      </c>
      <c r="T2751">
        <v>659.61</v>
      </c>
      <c r="U2751">
        <v>0</v>
      </c>
      <c r="V2751">
        <v>659.61</v>
      </c>
      <c r="W2751" t="str">
        <f>"$"</f>
        <v>$</v>
      </c>
      <c r="X2751">
        <v>0</v>
      </c>
      <c r="Y2751">
        <v>0</v>
      </c>
      <c r="Z2751">
        <v>0</v>
      </c>
      <c r="AA2751" t="str">
        <f>"Y"</f>
        <v>Y</v>
      </c>
      <c r="AB2751" t="str">
        <f>"SO20000582"</f>
        <v>SO20000582</v>
      </c>
      <c r="AC2751">
        <v>2</v>
      </c>
      <c r="AD2751" s="1">
        <v>44175</v>
      </c>
      <c r="AE2751" t="str">
        <f>"SH21000430"</f>
        <v>SH21000430</v>
      </c>
      <c r="AF2751" t="str">
        <f>"משלוחים ללקוח"</f>
        <v>משלוחים ללקוח</v>
      </c>
      <c r="AG2751" s="1">
        <v>44276</v>
      </c>
      <c r="AM2751" t="str">
        <f>"10"</f>
        <v>10</v>
      </c>
      <c r="AN2751" t="str">
        <f>"500000"</f>
        <v>500000</v>
      </c>
      <c r="AO2751" t="str">
        <f>"הכנסות  מלקוחות"</f>
        <v>הכנסות  מלקוחות</v>
      </c>
      <c r="AQ2751" t="str">
        <f>"034"</f>
        <v>034</v>
      </c>
      <c r="AR2751">
        <v>0</v>
      </c>
      <c r="AS2751">
        <v>0</v>
      </c>
      <c r="AT2751">
        <v>3.2890000000000001</v>
      </c>
      <c r="AX2751" t="str">
        <f>"E000327893"</f>
        <v>E000327893</v>
      </c>
      <c r="BD2751" t="str">
        <f>"ערן שלו"</f>
        <v>ערן שלו</v>
      </c>
    </row>
    <row r="2752" spans="1:56" x14ac:dyDescent="0.3">
      <c r="A2752" s="1">
        <v>44276</v>
      </c>
      <c r="B2752" t="str">
        <f>"SI216000397"</f>
        <v>SI216000397</v>
      </c>
      <c r="C2752" t="str">
        <f>"PR20000879"</f>
        <v>PR20000879</v>
      </c>
      <c r="D2752" t="str">
        <f>"PR20000879"</f>
        <v>PR20000879</v>
      </c>
      <c r="E2752" t="str">
        <f>"Y"</f>
        <v>Y</v>
      </c>
      <c r="F2752" t="str">
        <f>"חשבוניות מרכזות"</f>
        <v>חשבוניות מרכזות</v>
      </c>
      <c r="G2752" t="str">
        <f>"700065"</f>
        <v>700065</v>
      </c>
      <c r="H2752" t="str">
        <f>"אלתא מערכות בע""מ"</f>
        <v>אלתא מערכות בע"מ</v>
      </c>
      <c r="I2752" t="str">
        <f>"10"</f>
        <v>10</v>
      </c>
      <c r="J2752" t="str">
        <f>"OP-AR02193"</f>
        <v>OP-AR02193</v>
      </c>
      <c r="K2752" t="str">
        <f>"2209B127-001  ASW322 CTRL CABLE ASSY"</f>
        <v>2209B127-001  ASW322 CTRL CABLE ASSY</v>
      </c>
      <c r="L2752">
        <v>1</v>
      </c>
      <c r="M2752" t="str">
        <f>"יח"</f>
        <v>יח</v>
      </c>
      <c r="N2752">
        <v>1</v>
      </c>
      <c r="O2752" t="str">
        <f>"יח"</f>
        <v>יח</v>
      </c>
      <c r="P2752">
        <v>698.39</v>
      </c>
      <c r="Q2752" t="str">
        <f>"$"</f>
        <v>$</v>
      </c>
      <c r="R2752" t="str">
        <f>"הזמנה"</f>
        <v>הזמנה</v>
      </c>
      <c r="S2752">
        <v>0</v>
      </c>
      <c r="T2752">
        <v>698.39</v>
      </c>
      <c r="U2752">
        <v>0</v>
      </c>
      <c r="V2752">
        <v>698.39</v>
      </c>
      <c r="W2752" t="str">
        <f>"$"</f>
        <v>$</v>
      </c>
      <c r="X2752">
        <v>0</v>
      </c>
      <c r="Y2752">
        <v>0</v>
      </c>
      <c r="Z2752">
        <v>0</v>
      </c>
      <c r="AA2752" t="str">
        <f>"Y"</f>
        <v>Y</v>
      </c>
      <c r="AB2752" t="str">
        <f>"SO20000584"</f>
        <v>SO20000584</v>
      </c>
      <c r="AC2752">
        <v>1</v>
      </c>
      <c r="AD2752" s="1">
        <v>44175</v>
      </c>
      <c r="AE2752" t="str">
        <f>"SH21000434"</f>
        <v>SH21000434</v>
      </c>
      <c r="AF2752" t="str">
        <f>"משלוחים ללקוח"</f>
        <v>משלוחים ללקוח</v>
      </c>
      <c r="AG2752" s="1">
        <v>44276</v>
      </c>
      <c r="AM2752" t="str">
        <f>"10"</f>
        <v>10</v>
      </c>
      <c r="AN2752" t="str">
        <f>"500000"</f>
        <v>500000</v>
      </c>
      <c r="AO2752" t="str">
        <f>"הכנסות  מלקוחות"</f>
        <v>הכנסות  מלקוחות</v>
      </c>
      <c r="AQ2752" t="str">
        <f>"034"</f>
        <v>034</v>
      </c>
      <c r="AR2752">
        <v>0</v>
      </c>
      <c r="AS2752">
        <v>0</v>
      </c>
      <c r="AT2752">
        <v>3.2890000000000001</v>
      </c>
      <c r="AX2752" t="str">
        <f>"E000327859"</f>
        <v>E000327859</v>
      </c>
      <c r="BD2752" t="str">
        <f>"ערן שלו"</f>
        <v>ערן שלו</v>
      </c>
    </row>
    <row r="2753" spans="1:56" x14ac:dyDescent="0.3">
      <c r="A2753" s="1">
        <v>44276</v>
      </c>
      <c r="B2753" t="str">
        <f>"SI216000396"</f>
        <v>SI216000396</v>
      </c>
      <c r="C2753" t="str">
        <f>"PR20000850"</f>
        <v>PR20000850</v>
      </c>
      <c r="E2753" t="str">
        <f>"Y"</f>
        <v>Y</v>
      </c>
      <c r="F2753" t="str">
        <f>"חשבוניות מרכזות"</f>
        <v>חשבוניות מרכזות</v>
      </c>
      <c r="G2753" t="str">
        <f>"700065"</f>
        <v>700065</v>
      </c>
      <c r="H2753" t="str">
        <f>"אלתא מערכות בע""מ"</f>
        <v>אלתא מערכות בע"מ</v>
      </c>
      <c r="I2753" t="str">
        <f>"10"</f>
        <v>10</v>
      </c>
      <c r="J2753" t="str">
        <f>"OP-AR02151"</f>
        <v>OP-AR02151</v>
      </c>
      <c r="K2753" t="str">
        <f>"4040K386-001   HARNESS WK386 - DATA AND SIGNALS"</f>
        <v>4040K386-001   HARNESS WK386 - DATA AND SIGNALS</v>
      </c>
      <c r="L2753">
        <v>1</v>
      </c>
      <c r="M2753" t="str">
        <f>"יח"</f>
        <v>יח</v>
      </c>
      <c r="N2753">
        <v>1</v>
      </c>
      <c r="O2753" t="str">
        <f>"יח"</f>
        <v>יח</v>
      </c>
      <c r="P2753">
        <v>381.01</v>
      </c>
      <c r="Q2753" t="str">
        <f>"$"</f>
        <v>$</v>
      </c>
      <c r="R2753" t="str">
        <f>"הזמנה"</f>
        <v>הזמנה</v>
      </c>
      <c r="S2753">
        <v>0</v>
      </c>
      <c r="T2753">
        <v>381.01</v>
      </c>
      <c r="U2753">
        <v>0</v>
      </c>
      <c r="V2753">
        <v>381.01</v>
      </c>
      <c r="W2753" t="str">
        <f>"$"</f>
        <v>$</v>
      </c>
      <c r="X2753">
        <v>0</v>
      </c>
      <c r="Y2753">
        <v>0</v>
      </c>
      <c r="Z2753">
        <v>0</v>
      </c>
      <c r="AA2753" t="str">
        <f>"Y"</f>
        <v>Y</v>
      </c>
      <c r="AB2753" t="str">
        <f>"SO20000554"</f>
        <v>SO20000554</v>
      </c>
      <c r="AC2753">
        <v>1</v>
      </c>
      <c r="AD2753" s="1">
        <v>44166</v>
      </c>
      <c r="AE2753" t="str">
        <f>"SH21000433"</f>
        <v>SH21000433</v>
      </c>
      <c r="AF2753" t="str">
        <f>"משלוחים ללקוח"</f>
        <v>משלוחים ללקוח</v>
      </c>
      <c r="AG2753" s="1">
        <v>44276</v>
      </c>
      <c r="AM2753" t="str">
        <f>"10"</f>
        <v>10</v>
      </c>
      <c r="AN2753" t="str">
        <f>"500000"</f>
        <v>500000</v>
      </c>
      <c r="AO2753" t="str">
        <f>"הכנסות  מלקוחות"</f>
        <v>הכנסות  מלקוחות</v>
      </c>
      <c r="AQ2753" t="str">
        <f>"034"</f>
        <v>034</v>
      </c>
      <c r="AR2753">
        <v>0</v>
      </c>
      <c r="AS2753">
        <v>0</v>
      </c>
      <c r="AT2753">
        <v>3.2890000000000001</v>
      </c>
      <c r="AX2753" t="str">
        <f>"E000327174"</f>
        <v>E000327174</v>
      </c>
      <c r="BD2753" t="str">
        <f>"ערן שלו"</f>
        <v>ערן שלו</v>
      </c>
    </row>
    <row r="2754" spans="1:56" x14ac:dyDescent="0.3">
      <c r="A2754" s="1">
        <v>44273</v>
      </c>
      <c r="B2754" t="str">
        <f>"SI216000432"</f>
        <v>SI216000432</v>
      </c>
      <c r="C2754" t="str">
        <f>"PR20000851"</f>
        <v>PR20000851</v>
      </c>
      <c r="D2754" t="str">
        <f>"PR20000851"</f>
        <v>PR20000851</v>
      </c>
      <c r="E2754" t="str">
        <f>"Y"</f>
        <v>Y</v>
      </c>
      <c r="F2754" t="str">
        <f>"חשבוניות מרכזות"</f>
        <v>חשבוניות מרכזות</v>
      </c>
      <c r="G2754" t="str">
        <f>"700065"</f>
        <v>700065</v>
      </c>
      <c r="H2754" t="str">
        <f>"אלתא מערכות בע""מ"</f>
        <v>אלתא מערכות בע"מ</v>
      </c>
      <c r="I2754" t="str">
        <f>"10"</f>
        <v>10</v>
      </c>
      <c r="J2754" t="str">
        <f>"OP-AR02155"</f>
        <v>OP-AR02155</v>
      </c>
      <c r="K2754" t="str">
        <f>"1039H803-001/-   HARNESS WY003 - MAST POWER IN"</f>
        <v>1039H803-001/-   HARNESS WY003 - MAST POWER IN</v>
      </c>
      <c r="L2754">
        <v>1</v>
      </c>
      <c r="M2754" t="str">
        <f>"יח"</f>
        <v>יח</v>
      </c>
      <c r="N2754">
        <v>1</v>
      </c>
      <c r="O2754" t="str">
        <f>"יח"</f>
        <v>יח</v>
      </c>
      <c r="P2754">
        <v>414.74</v>
      </c>
      <c r="Q2754" t="str">
        <f>"$"</f>
        <v>$</v>
      </c>
      <c r="R2754" t="str">
        <f>"הזמנה"</f>
        <v>הזמנה</v>
      </c>
      <c r="S2754">
        <v>0</v>
      </c>
      <c r="T2754">
        <v>414.74</v>
      </c>
      <c r="U2754">
        <v>0</v>
      </c>
      <c r="V2754">
        <v>414.74</v>
      </c>
      <c r="W2754" t="str">
        <f>"$"</f>
        <v>$</v>
      </c>
      <c r="X2754">
        <v>0</v>
      </c>
      <c r="Y2754">
        <v>0</v>
      </c>
      <c r="Z2754">
        <v>0</v>
      </c>
      <c r="AA2754" t="str">
        <f>"Y"</f>
        <v>Y</v>
      </c>
      <c r="AB2754" t="str">
        <f>"SO20000555"</f>
        <v>SO20000555</v>
      </c>
      <c r="AC2754">
        <v>3</v>
      </c>
      <c r="AD2754" s="1">
        <v>44166</v>
      </c>
      <c r="AE2754" t="str">
        <f>"SH21000420"</f>
        <v>SH21000420</v>
      </c>
      <c r="AF2754" t="str">
        <f>"משלוחים ללקוח"</f>
        <v>משלוחים ללקוח</v>
      </c>
      <c r="AG2754" s="1">
        <v>44273</v>
      </c>
      <c r="AM2754" t="str">
        <f>"10"</f>
        <v>10</v>
      </c>
      <c r="AN2754" t="str">
        <f>"500000"</f>
        <v>500000</v>
      </c>
      <c r="AO2754" t="str">
        <f>"הכנסות  מלקוחות"</f>
        <v>הכנסות  מלקוחות</v>
      </c>
      <c r="AQ2754" t="str">
        <f>"034"</f>
        <v>034</v>
      </c>
      <c r="AR2754">
        <v>0</v>
      </c>
      <c r="AS2754">
        <v>0</v>
      </c>
      <c r="AT2754">
        <v>3.2970000000000002</v>
      </c>
      <c r="AX2754" t="str">
        <f>"E000326481"</f>
        <v>E000326481</v>
      </c>
      <c r="BD2754" t="str">
        <f>"ערן שלו"</f>
        <v>ערן שלו</v>
      </c>
    </row>
    <row r="2755" spans="1:56" x14ac:dyDescent="0.3">
      <c r="A2755" s="1">
        <v>44273</v>
      </c>
      <c r="B2755" t="str">
        <f>"SI216000432"</f>
        <v>SI216000432</v>
      </c>
      <c r="C2755" t="str">
        <f>"PR20000851"</f>
        <v>PR20000851</v>
      </c>
      <c r="D2755" t="str">
        <f>"PR20000851"</f>
        <v>PR20000851</v>
      </c>
      <c r="E2755" t="str">
        <f>"Y"</f>
        <v>Y</v>
      </c>
      <c r="F2755" t="str">
        <f>"חשבוניות מרכזות"</f>
        <v>חשבוניות מרכזות</v>
      </c>
      <c r="G2755" t="str">
        <f>"700065"</f>
        <v>700065</v>
      </c>
      <c r="H2755" t="str">
        <f>"אלתא מערכות בע""מ"</f>
        <v>אלתא מערכות בע"מ</v>
      </c>
      <c r="I2755" t="str">
        <f>"10"</f>
        <v>10</v>
      </c>
      <c r="J2755" t="str">
        <f>"OP-AR02156"</f>
        <v>OP-AR02156</v>
      </c>
      <c r="K2755" t="str">
        <f>"1039H811-001   HARNESS WY011 - PDU TO TRA1 SHE"</f>
        <v>1039H811-001   HARNESS WY011 - PDU TO TRA1 SHE</v>
      </c>
      <c r="L2755">
        <v>1</v>
      </c>
      <c r="M2755" t="str">
        <f>"יח"</f>
        <v>יח</v>
      </c>
      <c r="N2755">
        <v>1</v>
      </c>
      <c r="O2755" t="str">
        <f>"יח"</f>
        <v>יח</v>
      </c>
      <c r="P2755">
        <v>434.16</v>
      </c>
      <c r="Q2755" t="str">
        <f>"$"</f>
        <v>$</v>
      </c>
      <c r="R2755" t="str">
        <f>"הזמנה"</f>
        <v>הזמנה</v>
      </c>
      <c r="S2755">
        <v>0</v>
      </c>
      <c r="T2755">
        <v>434.16</v>
      </c>
      <c r="U2755">
        <v>0</v>
      </c>
      <c r="V2755">
        <v>434.16</v>
      </c>
      <c r="W2755" t="str">
        <f>"$"</f>
        <v>$</v>
      </c>
      <c r="X2755">
        <v>0</v>
      </c>
      <c r="Y2755">
        <v>0</v>
      </c>
      <c r="Z2755">
        <v>0</v>
      </c>
      <c r="AA2755" t="str">
        <f>"Y"</f>
        <v>Y</v>
      </c>
      <c r="AB2755" t="str">
        <f>"SO20000555"</f>
        <v>SO20000555</v>
      </c>
      <c r="AC2755">
        <v>4</v>
      </c>
      <c r="AD2755" s="1">
        <v>44166</v>
      </c>
      <c r="AE2755" t="str">
        <f>"SH21000420"</f>
        <v>SH21000420</v>
      </c>
      <c r="AF2755" t="str">
        <f>"משלוחים ללקוח"</f>
        <v>משלוחים ללקוח</v>
      </c>
      <c r="AG2755" s="1">
        <v>44273</v>
      </c>
      <c r="AM2755" t="str">
        <f>"10"</f>
        <v>10</v>
      </c>
      <c r="AN2755" t="str">
        <f>"500000"</f>
        <v>500000</v>
      </c>
      <c r="AO2755" t="str">
        <f>"הכנסות  מלקוחות"</f>
        <v>הכנסות  מלקוחות</v>
      </c>
      <c r="AQ2755" t="str">
        <f>"034"</f>
        <v>034</v>
      </c>
      <c r="AR2755">
        <v>0</v>
      </c>
      <c r="AS2755">
        <v>0</v>
      </c>
      <c r="AT2755">
        <v>3.2970000000000002</v>
      </c>
      <c r="AX2755" t="str">
        <f>"E000326481"</f>
        <v>E000326481</v>
      </c>
      <c r="BD2755" t="str">
        <f>"ערן שלו"</f>
        <v>ערן שלו</v>
      </c>
    </row>
    <row r="2756" spans="1:56" x14ac:dyDescent="0.3">
      <c r="A2756" s="1">
        <v>44273</v>
      </c>
      <c r="B2756" t="str">
        <f>"SI216000432"</f>
        <v>SI216000432</v>
      </c>
      <c r="C2756" t="str">
        <f>"PR20000851"</f>
        <v>PR20000851</v>
      </c>
      <c r="D2756" t="str">
        <f>"PR20000851"</f>
        <v>PR20000851</v>
      </c>
      <c r="E2756" t="str">
        <f>"Y"</f>
        <v>Y</v>
      </c>
      <c r="F2756" t="str">
        <f>"חשבוניות מרכזות"</f>
        <v>חשבוניות מרכזות</v>
      </c>
      <c r="G2756" t="str">
        <f>"700065"</f>
        <v>700065</v>
      </c>
      <c r="H2756" t="str">
        <f>"אלתא מערכות בע""מ"</f>
        <v>אלתא מערכות בע"מ</v>
      </c>
      <c r="I2756" t="str">
        <f>"10"</f>
        <v>10</v>
      </c>
      <c r="J2756" t="str">
        <f>"OP-AR02158"</f>
        <v>OP-AR02158</v>
      </c>
      <c r="K2756" t="str">
        <f>"1039H813-001   HARNESS WY013 - PDU TO TRA3 SHE"</f>
        <v>1039H813-001   HARNESS WY013 - PDU TO TRA3 SHE</v>
      </c>
      <c r="L2756">
        <v>1</v>
      </c>
      <c r="M2756" t="str">
        <f>"יח"</f>
        <v>יח</v>
      </c>
      <c r="N2756">
        <v>1</v>
      </c>
      <c r="O2756" t="str">
        <f>"יח"</f>
        <v>יח</v>
      </c>
      <c r="P2756">
        <v>432.4</v>
      </c>
      <c r="Q2756" t="str">
        <f>"$"</f>
        <v>$</v>
      </c>
      <c r="R2756" t="str">
        <f>"הזמנה"</f>
        <v>הזמנה</v>
      </c>
      <c r="S2756">
        <v>0</v>
      </c>
      <c r="T2756">
        <v>432.4</v>
      </c>
      <c r="U2756">
        <v>0</v>
      </c>
      <c r="V2756">
        <v>432.4</v>
      </c>
      <c r="W2756" t="str">
        <f>"$"</f>
        <v>$</v>
      </c>
      <c r="X2756">
        <v>0</v>
      </c>
      <c r="Y2756">
        <v>0</v>
      </c>
      <c r="Z2756">
        <v>0</v>
      </c>
      <c r="AA2756" t="str">
        <f>"Y"</f>
        <v>Y</v>
      </c>
      <c r="AB2756" t="str">
        <f>"SO20000555"</f>
        <v>SO20000555</v>
      </c>
      <c r="AC2756">
        <v>6</v>
      </c>
      <c r="AD2756" s="1">
        <v>44166</v>
      </c>
      <c r="AE2756" t="str">
        <f>"SH21000420"</f>
        <v>SH21000420</v>
      </c>
      <c r="AF2756" t="str">
        <f>"משלוחים ללקוח"</f>
        <v>משלוחים ללקוח</v>
      </c>
      <c r="AG2756" s="1">
        <v>44273</v>
      </c>
      <c r="AM2756" t="str">
        <f>"10"</f>
        <v>10</v>
      </c>
      <c r="AN2756" t="str">
        <f>"500000"</f>
        <v>500000</v>
      </c>
      <c r="AO2756" t="str">
        <f>"הכנסות  מלקוחות"</f>
        <v>הכנסות  מלקוחות</v>
      </c>
      <c r="AQ2756" t="str">
        <f>"034"</f>
        <v>034</v>
      </c>
      <c r="AR2756">
        <v>0</v>
      </c>
      <c r="AS2756">
        <v>0</v>
      </c>
      <c r="AT2756">
        <v>3.2970000000000002</v>
      </c>
      <c r="AX2756" t="str">
        <f>"E000326481"</f>
        <v>E000326481</v>
      </c>
      <c r="BD2756" t="str">
        <f>"ערן שלו"</f>
        <v>ערן שלו</v>
      </c>
    </row>
    <row r="2757" spans="1:56" x14ac:dyDescent="0.3">
      <c r="A2757" s="1">
        <v>44273</v>
      </c>
      <c r="B2757" t="str">
        <f>"SI216000432"</f>
        <v>SI216000432</v>
      </c>
      <c r="C2757" t="str">
        <f>"PR20000851"</f>
        <v>PR20000851</v>
      </c>
      <c r="D2757" t="str">
        <f>"PR20000851"</f>
        <v>PR20000851</v>
      </c>
      <c r="E2757" t="str">
        <f>"Y"</f>
        <v>Y</v>
      </c>
      <c r="F2757" t="str">
        <f>"חשבוניות מרכזות"</f>
        <v>חשבוניות מרכזות</v>
      </c>
      <c r="G2757" t="str">
        <f>"700065"</f>
        <v>700065</v>
      </c>
      <c r="H2757" t="str">
        <f>"אלתא מערכות בע""מ"</f>
        <v>אלתא מערכות בע"מ</v>
      </c>
      <c r="I2757" t="str">
        <f>"10"</f>
        <v>10</v>
      </c>
      <c r="J2757" t="str">
        <f>"OP-AR02159"</f>
        <v>OP-AR02159</v>
      </c>
      <c r="K2757" t="str">
        <f>"1039H814-001   HARNESS WY014 - PDU TO TRA4 SHE"</f>
        <v>1039H814-001   HARNESS WY014 - PDU TO TRA4 SHE</v>
      </c>
      <c r="L2757">
        <v>1</v>
      </c>
      <c r="M2757" t="str">
        <f>"יח"</f>
        <v>יח</v>
      </c>
      <c r="N2757">
        <v>1</v>
      </c>
      <c r="O2757" t="str">
        <f>"יח"</f>
        <v>יח</v>
      </c>
      <c r="P2757">
        <v>441.92</v>
      </c>
      <c r="Q2757" t="str">
        <f>"$"</f>
        <v>$</v>
      </c>
      <c r="R2757" t="str">
        <f>"הזמנה"</f>
        <v>הזמנה</v>
      </c>
      <c r="S2757">
        <v>0</v>
      </c>
      <c r="T2757">
        <v>441.92</v>
      </c>
      <c r="U2757">
        <v>0</v>
      </c>
      <c r="V2757">
        <v>441.92</v>
      </c>
      <c r="W2757" t="str">
        <f>"$"</f>
        <v>$</v>
      </c>
      <c r="X2757">
        <v>0</v>
      </c>
      <c r="Y2757">
        <v>0</v>
      </c>
      <c r="Z2757">
        <v>0</v>
      </c>
      <c r="AA2757" t="str">
        <f>"Y"</f>
        <v>Y</v>
      </c>
      <c r="AB2757" t="str">
        <f>"SO20000555"</f>
        <v>SO20000555</v>
      </c>
      <c r="AC2757">
        <v>7</v>
      </c>
      <c r="AD2757" s="1">
        <v>44166</v>
      </c>
      <c r="AE2757" t="str">
        <f>"SH21000420"</f>
        <v>SH21000420</v>
      </c>
      <c r="AF2757" t="str">
        <f>"משלוחים ללקוח"</f>
        <v>משלוחים ללקוח</v>
      </c>
      <c r="AG2757" s="1">
        <v>44273</v>
      </c>
      <c r="AM2757" t="str">
        <f>"10"</f>
        <v>10</v>
      </c>
      <c r="AN2757" t="str">
        <f>"500000"</f>
        <v>500000</v>
      </c>
      <c r="AO2757" t="str">
        <f>"הכנסות  מלקוחות"</f>
        <v>הכנסות  מלקוחות</v>
      </c>
      <c r="AQ2757" t="str">
        <f>"034"</f>
        <v>034</v>
      </c>
      <c r="AR2757">
        <v>0</v>
      </c>
      <c r="AS2757">
        <v>0</v>
      </c>
      <c r="AT2757">
        <v>3.2970000000000002</v>
      </c>
      <c r="AX2757" t="str">
        <f>"E000326481"</f>
        <v>E000326481</v>
      </c>
      <c r="BD2757" t="str">
        <f>"ערן שלו"</f>
        <v>ערן שלו</v>
      </c>
    </row>
    <row r="2758" spans="1:56" x14ac:dyDescent="0.3">
      <c r="A2758" s="1">
        <v>44273</v>
      </c>
      <c r="B2758" t="str">
        <f>"SI216000432"</f>
        <v>SI216000432</v>
      </c>
      <c r="C2758" t="str">
        <f>"PR20000851"</f>
        <v>PR20000851</v>
      </c>
      <c r="D2758" t="str">
        <f>"PR20000851"</f>
        <v>PR20000851</v>
      </c>
      <c r="E2758" t="str">
        <f>"Y"</f>
        <v>Y</v>
      </c>
      <c r="F2758" t="str">
        <f>"חשבוניות מרכזות"</f>
        <v>חשבוניות מרכזות</v>
      </c>
      <c r="G2758" t="str">
        <f>"700065"</f>
        <v>700065</v>
      </c>
      <c r="H2758" t="str">
        <f>"אלתא מערכות בע""מ"</f>
        <v>אלתא מערכות בע"מ</v>
      </c>
      <c r="I2758" t="str">
        <f>"10"</f>
        <v>10</v>
      </c>
      <c r="J2758" t="str">
        <f>"OP-AR02161"</f>
        <v>OP-AR02161</v>
      </c>
      <c r="K2758" t="str">
        <f>"1039H816-001   HARNESS WY016 - PDU TO MAST SHE"</f>
        <v>1039H816-001   HARNESS WY016 - PDU TO MAST SHE</v>
      </c>
      <c r="L2758">
        <v>5</v>
      </c>
      <c r="M2758" t="str">
        <f>"יח"</f>
        <v>יח</v>
      </c>
      <c r="N2758">
        <v>5</v>
      </c>
      <c r="O2758" t="str">
        <f>"יח"</f>
        <v>יח</v>
      </c>
      <c r="P2758">
        <v>225.74</v>
      </c>
      <c r="Q2758" t="str">
        <f>"$"</f>
        <v>$</v>
      </c>
      <c r="R2758" t="str">
        <f>"הזמנה"</f>
        <v>הזמנה</v>
      </c>
      <c r="S2758">
        <v>0</v>
      </c>
      <c r="T2758" s="2">
        <v>1128.7</v>
      </c>
      <c r="U2758">
        <v>0</v>
      </c>
      <c r="V2758" s="2">
        <v>1128.7</v>
      </c>
      <c r="W2758" t="str">
        <f>"$"</f>
        <v>$</v>
      </c>
      <c r="X2758">
        <v>0</v>
      </c>
      <c r="Y2758">
        <v>0</v>
      </c>
      <c r="Z2758">
        <v>0</v>
      </c>
      <c r="AA2758" t="str">
        <f>"Y"</f>
        <v>Y</v>
      </c>
      <c r="AB2758" t="str">
        <f>"SO20000555"</f>
        <v>SO20000555</v>
      </c>
      <c r="AC2758">
        <v>9</v>
      </c>
      <c r="AD2758" s="1">
        <v>44166</v>
      </c>
      <c r="AE2758" t="str">
        <f>"SH21000420"</f>
        <v>SH21000420</v>
      </c>
      <c r="AF2758" t="str">
        <f>"משלוחים ללקוח"</f>
        <v>משלוחים ללקוח</v>
      </c>
      <c r="AG2758" s="1">
        <v>44273</v>
      </c>
      <c r="AM2758" t="str">
        <f>"10"</f>
        <v>10</v>
      </c>
      <c r="AN2758" t="str">
        <f>"500000"</f>
        <v>500000</v>
      </c>
      <c r="AO2758" t="str">
        <f>"הכנסות  מלקוחות"</f>
        <v>הכנסות  מלקוחות</v>
      </c>
      <c r="AQ2758" t="str">
        <f>"034"</f>
        <v>034</v>
      </c>
      <c r="AR2758">
        <v>0</v>
      </c>
      <c r="AS2758">
        <v>0</v>
      </c>
      <c r="AT2758">
        <v>3.2970000000000002</v>
      </c>
      <c r="AX2758" t="str">
        <f>"E000326481"</f>
        <v>E000326481</v>
      </c>
      <c r="BD2758" t="str">
        <f>"ערן שלו"</f>
        <v>ערן שלו</v>
      </c>
    </row>
    <row r="2759" spans="1:56" x14ac:dyDescent="0.3">
      <c r="A2759" s="1">
        <v>44273</v>
      </c>
      <c r="B2759" t="str">
        <f>"SI216000432"</f>
        <v>SI216000432</v>
      </c>
      <c r="C2759" t="str">
        <f>"PR20000851"</f>
        <v>PR20000851</v>
      </c>
      <c r="D2759" t="str">
        <f>"PR20000851"</f>
        <v>PR20000851</v>
      </c>
      <c r="E2759" t="str">
        <f>"Y"</f>
        <v>Y</v>
      </c>
      <c r="F2759" t="str">
        <f>"חשבוניות מרכזות"</f>
        <v>חשבוניות מרכזות</v>
      </c>
      <c r="G2759" t="str">
        <f>"700065"</f>
        <v>700065</v>
      </c>
      <c r="H2759" t="str">
        <f>"אלתא מערכות בע""מ"</f>
        <v>אלתא מערכות בע"מ</v>
      </c>
      <c r="I2759" t="str">
        <f>"10"</f>
        <v>10</v>
      </c>
      <c r="J2759" t="str">
        <f>"OP-AR02166"</f>
        <v>OP-AR02166</v>
      </c>
      <c r="K2759" t="str">
        <f>"1039H822-001/-   HARNESS WY022 - PDU TO TRA2 EXT"</f>
        <v>1039H822-001/-   HARNESS WY022 - PDU TO TRA2 EXT</v>
      </c>
      <c r="L2759">
        <v>1</v>
      </c>
      <c r="M2759" t="str">
        <f>"יח"</f>
        <v>יח</v>
      </c>
      <c r="N2759">
        <v>1</v>
      </c>
      <c r="O2759" t="str">
        <f>"יח"</f>
        <v>יח</v>
      </c>
      <c r="P2759">
        <v>828.98</v>
      </c>
      <c r="Q2759" t="str">
        <f>"$"</f>
        <v>$</v>
      </c>
      <c r="R2759" t="str">
        <f>"הזמנה"</f>
        <v>הזמנה</v>
      </c>
      <c r="S2759">
        <v>0</v>
      </c>
      <c r="T2759">
        <v>828.98</v>
      </c>
      <c r="U2759">
        <v>0</v>
      </c>
      <c r="V2759">
        <v>828.98</v>
      </c>
      <c r="W2759" t="str">
        <f>"$"</f>
        <v>$</v>
      </c>
      <c r="X2759">
        <v>0</v>
      </c>
      <c r="Y2759">
        <v>0</v>
      </c>
      <c r="Z2759">
        <v>0</v>
      </c>
      <c r="AA2759" t="str">
        <f>"Y"</f>
        <v>Y</v>
      </c>
      <c r="AB2759" t="str">
        <f>"SO20000555"</f>
        <v>SO20000555</v>
      </c>
      <c r="AC2759">
        <v>13</v>
      </c>
      <c r="AD2759" s="1">
        <v>44166</v>
      </c>
      <c r="AE2759" t="str">
        <f>"SH21000420"</f>
        <v>SH21000420</v>
      </c>
      <c r="AF2759" t="str">
        <f>"משלוחים ללקוח"</f>
        <v>משלוחים ללקוח</v>
      </c>
      <c r="AG2759" s="1">
        <v>44273</v>
      </c>
      <c r="AM2759" t="str">
        <f>"10"</f>
        <v>10</v>
      </c>
      <c r="AN2759" t="str">
        <f>"500000"</f>
        <v>500000</v>
      </c>
      <c r="AO2759" t="str">
        <f>"הכנסות  מלקוחות"</f>
        <v>הכנסות  מלקוחות</v>
      </c>
      <c r="AQ2759" t="str">
        <f>"034"</f>
        <v>034</v>
      </c>
      <c r="AR2759">
        <v>0</v>
      </c>
      <c r="AS2759">
        <v>0</v>
      </c>
      <c r="AT2759">
        <v>3.2970000000000002</v>
      </c>
      <c r="AX2759" t="str">
        <f>"E000326481"</f>
        <v>E000326481</v>
      </c>
      <c r="BD2759" t="str">
        <f>"ערן שלו"</f>
        <v>ערן שלו</v>
      </c>
    </row>
    <row r="2760" spans="1:56" x14ac:dyDescent="0.3">
      <c r="A2760" s="1">
        <v>44273</v>
      </c>
      <c r="B2760" t="str">
        <f>"SI216000432"</f>
        <v>SI216000432</v>
      </c>
      <c r="C2760" t="str">
        <f>"PR20000851"</f>
        <v>PR20000851</v>
      </c>
      <c r="D2760" t="str">
        <f>"PR20000851"</f>
        <v>PR20000851</v>
      </c>
      <c r="E2760" t="str">
        <f>"Y"</f>
        <v>Y</v>
      </c>
      <c r="F2760" t="str">
        <f>"חשבוניות מרכזות"</f>
        <v>חשבוניות מרכזות</v>
      </c>
      <c r="G2760" t="str">
        <f>"700065"</f>
        <v>700065</v>
      </c>
      <c r="H2760" t="str">
        <f>"אלתא מערכות בע""מ"</f>
        <v>אלתא מערכות בע"מ</v>
      </c>
      <c r="I2760" t="str">
        <f>"10"</f>
        <v>10</v>
      </c>
      <c r="J2760" t="str">
        <f>"OP-AR02167"</f>
        <v>OP-AR02167</v>
      </c>
      <c r="K2760" t="str">
        <f>"1039H823-001/-   HARNESS WY023 - PDU TO TRA3 EXT"</f>
        <v>1039H823-001/-   HARNESS WY023 - PDU TO TRA3 EXT</v>
      </c>
      <c r="L2760">
        <v>1</v>
      </c>
      <c r="M2760" t="str">
        <f>"יח"</f>
        <v>יח</v>
      </c>
      <c r="N2760">
        <v>1</v>
      </c>
      <c r="O2760" t="str">
        <f>"יח"</f>
        <v>יח</v>
      </c>
      <c r="P2760">
        <v>828.98</v>
      </c>
      <c r="Q2760" t="str">
        <f>"$"</f>
        <v>$</v>
      </c>
      <c r="R2760" t="str">
        <f>"הזמנה"</f>
        <v>הזמנה</v>
      </c>
      <c r="S2760">
        <v>0</v>
      </c>
      <c r="T2760">
        <v>828.98</v>
      </c>
      <c r="U2760">
        <v>0</v>
      </c>
      <c r="V2760">
        <v>828.98</v>
      </c>
      <c r="W2760" t="str">
        <f>"$"</f>
        <v>$</v>
      </c>
      <c r="X2760">
        <v>0</v>
      </c>
      <c r="Y2760">
        <v>0</v>
      </c>
      <c r="Z2760">
        <v>0</v>
      </c>
      <c r="AA2760" t="str">
        <f>"Y"</f>
        <v>Y</v>
      </c>
      <c r="AB2760" t="str">
        <f>"SO20000555"</f>
        <v>SO20000555</v>
      </c>
      <c r="AC2760">
        <v>14</v>
      </c>
      <c r="AD2760" s="1">
        <v>44166</v>
      </c>
      <c r="AE2760" t="str">
        <f>"SH21000420"</f>
        <v>SH21000420</v>
      </c>
      <c r="AF2760" t="str">
        <f>"משלוחים ללקוח"</f>
        <v>משלוחים ללקוח</v>
      </c>
      <c r="AG2760" s="1">
        <v>44273</v>
      </c>
      <c r="AM2760" t="str">
        <f>"10"</f>
        <v>10</v>
      </c>
      <c r="AN2760" t="str">
        <f>"500000"</f>
        <v>500000</v>
      </c>
      <c r="AO2760" t="str">
        <f>"הכנסות  מלקוחות"</f>
        <v>הכנסות  מלקוחות</v>
      </c>
      <c r="AQ2760" t="str">
        <f>"034"</f>
        <v>034</v>
      </c>
      <c r="AR2760">
        <v>0</v>
      </c>
      <c r="AS2760">
        <v>0</v>
      </c>
      <c r="AT2760">
        <v>3.2970000000000002</v>
      </c>
      <c r="AX2760" t="str">
        <f>"E000326481"</f>
        <v>E000326481</v>
      </c>
      <c r="BD2760" t="str">
        <f>"ערן שלו"</f>
        <v>ערן שלו</v>
      </c>
    </row>
    <row r="2761" spans="1:56" x14ac:dyDescent="0.3">
      <c r="A2761" s="1">
        <v>44273</v>
      </c>
      <c r="B2761" t="str">
        <f>"SI216000432"</f>
        <v>SI216000432</v>
      </c>
      <c r="C2761" t="str">
        <f>"PR20000851"</f>
        <v>PR20000851</v>
      </c>
      <c r="D2761" t="str">
        <f>"PR20000851"</f>
        <v>PR20000851</v>
      </c>
      <c r="E2761" t="str">
        <f>"Y"</f>
        <v>Y</v>
      </c>
      <c r="F2761" t="str">
        <f>"חשבוניות מרכזות"</f>
        <v>חשבוניות מרכזות</v>
      </c>
      <c r="G2761" t="str">
        <f>"700065"</f>
        <v>700065</v>
      </c>
      <c r="H2761" t="str">
        <f>"אלתא מערכות בע""מ"</f>
        <v>אלתא מערכות בע"מ</v>
      </c>
      <c r="I2761" t="str">
        <f>"10"</f>
        <v>10</v>
      </c>
      <c r="J2761" t="str">
        <f>"OP-AR02168"</f>
        <v>OP-AR02168</v>
      </c>
      <c r="K2761" t="str">
        <f>"1039H824-001/-   HARNESS WY024 - PDU TO TRA4 EXT"</f>
        <v>1039H824-001/-   HARNESS WY024 - PDU TO TRA4 EXT</v>
      </c>
      <c r="L2761">
        <v>1</v>
      </c>
      <c r="M2761" t="str">
        <f>"יח"</f>
        <v>יח</v>
      </c>
      <c r="N2761">
        <v>1</v>
      </c>
      <c r="O2761" t="str">
        <f>"יח"</f>
        <v>יח</v>
      </c>
      <c r="P2761">
        <v>822.5</v>
      </c>
      <c r="Q2761" t="str">
        <f>"$"</f>
        <v>$</v>
      </c>
      <c r="R2761" t="str">
        <f>"הזמנה"</f>
        <v>הזמנה</v>
      </c>
      <c r="S2761">
        <v>0</v>
      </c>
      <c r="T2761">
        <v>822.5</v>
      </c>
      <c r="U2761">
        <v>0</v>
      </c>
      <c r="V2761">
        <v>822.5</v>
      </c>
      <c r="W2761" t="str">
        <f>"$"</f>
        <v>$</v>
      </c>
      <c r="X2761">
        <v>0</v>
      </c>
      <c r="Y2761">
        <v>0</v>
      </c>
      <c r="Z2761">
        <v>0</v>
      </c>
      <c r="AA2761" t="str">
        <f>"Y"</f>
        <v>Y</v>
      </c>
      <c r="AB2761" t="str">
        <f>"SO20000555"</f>
        <v>SO20000555</v>
      </c>
      <c r="AC2761">
        <v>15</v>
      </c>
      <c r="AD2761" s="1">
        <v>44166</v>
      </c>
      <c r="AE2761" t="str">
        <f>"SH21000420"</f>
        <v>SH21000420</v>
      </c>
      <c r="AF2761" t="str">
        <f>"משלוחים ללקוח"</f>
        <v>משלוחים ללקוח</v>
      </c>
      <c r="AG2761" s="1">
        <v>44273</v>
      </c>
      <c r="AM2761" t="str">
        <f>"10"</f>
        <v>10</v>
      </c>
      <c r="AN2761" t="str">
        <f>"500000"</f>
        <v>500000</v>
      </c>
      <c r="AO2761" t="str">
        <f>"הכנסות  מלקוחות"</f>
        <v>הכנסות  מלקוחות</v>
      </c>
      <c r="AQ2761" t="str">
        <f>"034"</f>
        <v>034</v>
      </c>
      <c r="AR2761">
        <v>0</v>
      </c>
      <c r="AS2761">
        <v>0</v>
      </c>
      <c r="AT2761">
        <v>3.2970000000000002</v>
      </c>
      <c r="AX2761" t="str">
        <f>"E000326481"</f>
        <v>E000326481</v>
      </c>
      <c r="BD2761" t="str">
        <f>"ערן שלו"</f>
        <v>ערן שלו</v>
      </c>
    </row>
    <row r="2762" spans="1:56" x14ac:dyDescent="0.3">
      <c r="A2762" s="1">
        <v>44273</v>
      </c>
      <c r="B2762" t="str">
        <f>"SI216000432"</f>
        <v>SI216000432</v>
      </c>
      <c r="C2762" t="str">
        <f>"PR20000851"</f>
        <v>PR20000851</v>
      </c>
      <c r="D2762" t="str">
        <f>"PR20000851"</f>
        <v>PR20000851</v>
      </c>
      <c r="E2762" t="str">
        <f>"Y"</f>
        <v>Y</v>
      </c>
      <c r="F2762" t="str">
        <f>"חשבוניות מרכזות"</f>
        <v>חשבוניות מרכזות</v>
      </c>
      <c r="G2762" t="str">
        <f>"700065"</f>
        <v>700065</v>
      </c>
      <c r="H2762" t="str">
        <f>"אלתא מערכות בע""מ"</f>
        <v>אלתא מערכות בע"מ</v>
      </c>
      <c r="I2762" t="str">
        <f>"10"</f>
        <v>10</v>
      </c>
      <c r="J2762" t="str">
        <f>"OP-AR02169"</f>
        <v>OP-AR02169</v>
      </c>
      <c r="K2762" t="str">
        <f>"1039H825-001/-   HARNESS WY025 - PDU TO CU EXTER"</f>
        <v>1039H825-001/-   HARNESS WY025 - PDU TO CU EXTER</v>
      </c>
      <c r="L2762">
        <v>2</v>
      </c>
      <c r="M2762" t="str">
        <f>"יח"</f>
        <v>יח</v>
      </c>
      <c r="N2762">
        <v>2</v>
      </c>
      <c r="O2762" t="str">
        <f>"יח"</f>
        <v>יח</v>
      </c>
      <c r="P2762">
        <v>514.77</v>
      </c>
      <c r="Q2762" t="str">
        <f>"$"</f>
        <v>$</v>
      </c>
      <c r="R2762" t="str">
        <f>"הזמנה"</f>
        <v>הזמנה</v>
      </c>
      <c r="S2762">
        <v>0</v>
      </c>
      <c r="T2762" s="2">
        <v>1029.54</v>
      </c>
      <c r="U2762">
        <v>0</v>
      </c>
      <c r="V2762" s="2">
        <v>1029.54</v>
      </c>
      <c r="W2762" t="str">
        <f>"$"</f>
        <v>$</v>
      </c>
      <c r="X2762">
        <v>0</v>
      </c>
      <c r="Y2762">
        <v>0</v>
      </c>
      <c r="Z2762">
        <v>0</v>
      </c>
      <c r="AA2762" t="str">
        <f>"Y"</f>
        <v>Y</v>
      </c>
      <c r="AB2762" t="str">
        <f>"SO20000555"</f>
        <v>SO20000555</v>
      </c>
      <c r="AC2762">
        <v>16</v>
      </c>
      <c r="AD2762" s="1">
        <v>44166</v>
      </c>
      <c r="AE2762" t="str">
        <f>"SH21000420"</f>
        <v>SH21000420</v>
      </c>
      <c r="AF2762" t="str">
        <f>"משלוחים ללקוח"</f>
        <v>משלוחים ללקוח</v>
      </c>
      <c r="AG2762" s="1">
        <v>44273</v>
      </c>
      <c r="AM2762" t="str">
        <f>"10"</f>
        <v>10</v>
      </c>
      <c r="AN2762" t="str">
        <f>"500000"</f>
        <v>500000</v>
      </c>
      <c r="AO2762" t="str">
        <f>"הכנסות  מלקוחות"</f>
        <v>הכנסות  מלקוחות</v>
      </c>
      <c r="AQ2762" t="str">
        <f>"034"</f>
        <v>034</v>
      </c>
      <c r="AR2762">
        <v>0</v>
      </c>
      <c r="AS2762">
        <v>0</v>
      </c>
      <c r="AT2762">
        <v>3.2970000000000002</v>
      </c>
      <c r="AX2762" t="str">
        <f>"E000326481"</f>
        <v>E000326481</v>
      </c>
      <c r="BD2762" t="str">
        <f>"ערן שלו"</f>
        <v>ערן שלו</v>
      </c>
    </row>
    <row r="2763" spans="1:56" x14ac:dyDescent="0.3">
      <c r="A2763" s="1">
        <v>44273</v>
      </c>
      <c r="B2763" t="str">
        <f>"SI216000432"</f>
        <v>SI216000432</v>
      </c>
      <c r="C2763" t="str">
        <f>"PR20000851"</f>
        <v>PR20000851</v>
      </c>
      <c r="D2763" t="str">
        <f>"PR20000851"</f>
        <v>PR20000851</v>
      </c>
      <c r="E2763" t="str">
        <f>"Y"</f>
        <v>Y</v>
      </c>
      <c r="F2763" t="str">
        <f>"חשבוניות מרכזות"</f>
        <v>חשבוניות מרכזות</v>
      </c>
      <c r="G2763" t="str">
        <f>"700065"</f>
        <v>700065</v>
      </c>
      <c r="H2763" t="str">
        <f>"אלתא מערכות בע""מ"</f>
        <v>אלתא מערכות בע"מ</v>
      </c>
      <c r="I2763" t="str">
        <f>"10"</f>
        <v>10</v>
      </c>
      <c r="J2763" t="str">
        <f>"OP-AR02170"</f>
        <v>OP-AR02170</v>
      </c>
      <c r="K2763" t="str">
        <f>"1039H826-001/-   HARNESS WY026 - PDU TO MAST EXT"</f>
        <v>1039H826-001/-   HARNESS WY026 - PDU TO MAST EXT</v>
      </c>
      <c r="L2763">
        <v>1</v>
      </c>
      <c r="M2763" t="str">
        <f>"יח"</f>
        <v>יח</v>
      </c>
      <c r="N2763">
        <v>1</v>
      </c>
      <c r="O2763" t="str">
        <f>"יח"</f>
        <v>יח</v>
      </c>
      <c r="P2763">
        <v>391.28</v>
      </c>
      <c r="Q2763" t="str">
        <f>"$"</f>
        <v>$</v>
      </c>
      <c r="R2763" t="str">
        <f>"הזמנה"</f>
        <v>הזמנה</v>
      </c>
      <c r="S2763">
        <v>0</v>
      </c>
      <c r="T2763">
        <v>391.28</v>
      </c>
      <c r="U2763">
        <v>0</v>
      </c>
      <c r="V2763">
        <v>391.28</v>
      </c>
      <c r="W2763" t="str">
        <f>"$"</f>
        <v>$</v>
      </c>
      <c r="X2763">
        <v>0</v>
      </c>
      <c r="Y2763">
        <v>0</v>
      </c>
      <c r="Z2763">
        <v>0</v>
      </c>
      <c r="AA2763" t="str">
        <f>"Y"</f>
        <v>Y</v>
      </c>
      <c r="AB2763" t="str">
        <f>"SO20000555"</f>
        <v>SO20000555</v>
      </c>
      <c r="AC2763">
        <v>17</v>
      </c>
      <c r="AD2763" s="1">
        <v>44166</v>
      </c>
      <c r="AE2763" t="str">
        <f>"SH21000420"</f>
        <v>SH21000420</v>
      </c>
      <c r="AF2763" t="str">
        <f>"משלוחים ללקוח"</f>
        <v>משלוחים ללקוח</v>
      </c>
      <c r="AG2763" s="1">
        <v>44273</v>
      </c>
      <c r="AM2763" t="str">
        <f>"10"</f>
        <v>10</v>
      </c>
      <c r="AN2763" t="str">
        <f>"500000"</f>
        <v>500000</v>
      </c>
      <c r="AO2763" t="str">
        <f>"הכנסות  מלקוחות"</f>
        <v>הכנסות  מלקוחות</v>
      </c>
      <c r="AQ2763" t="str">
        <f>"034"</f>
        <v>034</v>
      </c>
      <c r="AR2763">
        <v>0</v>
      </c>
      <c r="AS2763">
        <v>0</v>
      </c>
      <c r="AT2763">
        <v>3.2970000000000002</v>
      </c>
      <c r="AX2763" t="str">
        <f>"E000326481"</f>
        <v>E000326481</v>
      </c>
      <c r="BD2763" t="str">
        <f>"ערן שלו"</f>
        <v>ערן שלו</v>
      </c>
    </row>
    <row r="2764" spans="1:56" x14ac:dyDescent="0.3">
      <c r="A2764" s="1">
        <v>44273</v>
      </c>
      <c r="B2764" t="str">
        <f>"SI216000432"</f>
        <v>SI216000432</v>
      </c>
      <c r="C2764" t="str">
        <f>"PR20000851"</f>
        <v>PR20000851</v>
      </c>
      <c r="D2764" t="str">
        <f>"PR20000851"</f>
        <v>PR20000851</v>
      </c>
      <c r="E2764" t="str">
        <f>"Y"</f>
        <v>Y</v>
      </c>
      <c r="F2764" t="str">
        <f>"חשבוניות מרכזות"</f>
        <v>חשבוניות מרכזות</v>
      </c>
      <c r="G2764" t="str">
        <f>"700065"</f>
        <v>700065</v>
      </c>
      <c r="H2764" t="str">
        <f>"אלתא מערכות בע""מ"</f>
        <v>אלתא מערכות בע"מ</v>
      </c>
      <c r="I2764" t="str">
        <f>"10"</f>
        <v>10</v>
      </c>
      <c r="J2764" t="str">
        <f>"OP-AR02171"</f>
        <v>OP-AR02171</v>
      </c>
      <c r="K2764" t="str">
        <f>"1039H827-001/-   HARNESS WY027 - PDU TO FANS EXT"</f>
        <v>1039H827-001/-   HARNESS WY027 - PDU TO FANS EXT</v>
      </c>
      <c r="L2764">
        <v>1</v>
      </c>
      <c r="M2764" t="str">
        <f>"יח"</f>
        <v>יח</v>
      </c>
      <c r="N2764">
        <v>1</v>
      </c>
      <c r="O2764" t="str">
        <f>"יח"</f>
        <v>יח</v>
      </c>
      <c r="P2764">
        <v>635.34</v>
      </c>
      <c r="Q2764" t="str">
        <f>"$"</f>
        <v>$</v>
      </c>
      <c r="R2764" t="str">
        <f>"הזמנה"</f>
        <v>הזמנה</v>
      </c>
      <c r="S2764">
        <v>0</v>
      </c>
      <c r="T2764">
        <v>635.34</v>
      </c>
      <c r="U2764">
        <v>0</v>
      </c>
      <c r="V2764">
        <v>635.34</v>
      </c>
      <c r="W2764" t="str">
        <f>"$"</f>
        <v>$</v>
      </c>
      <c r="X2764">
        <v>0</v>
      </c>
      <c r="Y2764">
        <v>0</v>
      </c>
      <c r="Z2764">
        <v>0</v>
      </c>
      <c r="AA2764" t="str">
        <f>"Y"</f>
        <v>Y</v>
      </c>
      <c r="AB2764" t="str">
        <f>"SO20000555"</f>
        <v>SO20000555</v>
      </c>
      <c r="AC2764">
        <v>18</v>
      </c>
      <c r="AD2764" s="1">
        <v>44166</v>
      </c>
      <c r="AE2764" t="str">
        <f>"SH21000420"</f>
        <v>SH21000420</v>
      </c>
      <c r="AF2764" t="str">
        <f>"משלוחים ללקוח"</f>
        <v>משלוחים ללקוח</v>
      </c>
      <c r="AG2764" s="1">
        <v>44273</v>
      </c>
      <c r="AM2764" t="str">
        <f>"10"</f>
        <v>10</v>
      </c>
      <c r="AN2764" t="str">
        <f>"500000"</f>
        <v>500000</v>
      </c>
      <c r="AO2764" t="str">
        <f>"הכנסות  מלקוחות"</f>
        <v>הכנסות  מלקוחות</v>
      </c>
      <c r="AQ2764" t="str">
        <f>"034"</f>
        <v>034</v>
      </c>
      <c r="AR2764">
        <v>0</v>
      </c>
      <c r="AS2764">
        <v>0</v>
      </c>
      <c r="AT2764">
        <v>3.2970000000000002</v>
      </c>
      <c r="AX2764" t="str">
        <f>"E000326481"</f>
        <v>E000326481</v>
      </c>
      <c r="BD2764" t="str">
        <f>"ערן שלו"</f>
        <v>ערן שלו</v>
      </c>
    </row>
    <row r="2765" spans="1:56" x14ac:dyDescent="0.3">
      <c r="A2765" s="1">
        <v>44273</v>
      </c>
      <c r="B2765" t="str">
        <f>"SI216000432"</f>
        <v>SI216000432</v>
      </c>
      <c r="C2765" t="str">
        <f>"PR20000851"</f>
        <v>PR20000851</v>
      </c>
      <c r="D2765" t="str">
        <f>"PR20000851"</f>
        <v>PR20000851</v>
      </c>
      <c r="E2765" t="str">
        <f>"Y"</f>
        <v>Y</v>
      </c>
      <c r="F2765" t="str">
        <f>"חשבוניות מרכזות"</f>
        <v>חשבוניות מרכזות</v>
      </c>
      <c r="G2765" t="str">
        <f>"700065"</f>
        <v>700065</v>
      </c>
      <c r="H2765" t="str">
        <f>"אלתא מערכות בע""מ"</f>
        <v>אלתא מערכות בע"מ</v>
      </c>
      <c r="I2765" t="str">
        <f>"10"</f>
        <v>10</v>
      </c>
      <c r="J2765" t="str">
        <f>"OP-AR02172"</f>
        <v>OP-AR02172</v>
      </c>
      <c r="K2765" t="str">
        <f>"1039H828-001/-   HARNESS WY028 - PDU TO IFF EXTE"</f>
        <v>1039H828-001/-   HARNESS WY028 - PDU TO IFF EXTE</v>
      </c>
      <c r="L2765">
        <v>1</v>
      </c>
      <c r="M2765" t="str">
        <f>"יח"</f>
        <v>יח</v>
      </c>
      <c r="N2765">
        <v>1</v>
      </c>
      <c r="O2765" t="str">
        <f>"יח"</f>
        <v>יח</v>
      </c>
      <c r="P2765">
        <v>593.54999999999995</v>
      </c>
      <c r="Q2765" t="str">
        <f>"$"</f>
        <v>$</v>
      </c>
      <c r="R2765" t="str">
        <f>"הזמנה"</f>
        <v>הזמנה</v>
      </c>
      <c r="S2765">
        <v>0</v>
      </c>
      <c r="T2765">
        <v>593.54999999999995</v>
      </c>
      <c r="U2765">
        <v>0</v>
      </c>
      <c r="V2765">
        <v>593.54999999999995</v>
      </c>
      <c r="W2765" t="str">
        <f>"$"</f>
        <v>$</v>
      </c>
      <c r="X2765">
        <v>0</v>
      </c>
      <c r="Y2765">
        <v>0</v>
      </c>
      <c r="Z2765">
        <v>0</v>
      </c>
      <c r="AA2765" t="str">
        <f>"Y"</f>
        <v>Y</v>
      </c>
      <c r="AB2765" t="str">
        <f>"SO20000555"</f>
        <v>SO20000555</v>
      </c>
      <c r="AC2765">
        <v>19</v>
      </c>
      <c r="AD2765" s="1">
        <v>44166</v>
      </c>
      <c r="AE2765" t="str">
        <f>"SH21000420"</f>
        <v>SH21000420</v>
      </c>
      <c r="AF2765" t="str">
        <f>"משלוחים ללקוח"</f>
        <v>משלוחים ללקוח</v>
      </c>
      <c r="AG2765" s="1">
        <v>44273</v>
      </c>
      <c r="AM2765" t="str">
        <f>"10"</f>
        <v>10</v>
      </c>
      <c r="AN2765" t="str">
        <f>"500000"</f>
        <v>500000</v>
      </c>
      <c r="AO2765" t="str">
        <f>"הכנסות  מלקוחות"</f>
        <v>הכנסות  מלקוחות</v>
      </c>
      <c r="AQ2765" t="str">
        <f>"034"</f>
        <v>034</v>
      </c>
      <c r="AR2765">
        <v>0</v>
      </c>
      <c r="AS2765">
        <v>0</v>
      </c>
      <c r="AT2765">
        <v>3.2970000000000002</v>
      </c>
      <c r="AX2765" t="str">
        <f>"E000326481"</f>
        <v>E000326481</v>
      </c>
      <c r="BD2765" t="str">
        <f>"ערן שלו"</f>
        <v>ערן שלו</v>
      </c>
    </row>
    <row r="2766" spans="1:56" x14ac:dyDescent="0.3">
      <c r="A2766" s="1">
        <v>44273</v>
      </c>
      <c r="B2766" t="str">
        <f>"SI216000432"</f>
        <v>SI216000432</v>
      </c>
      <c r="C2766" t="str">
        <f>"PR20000851"</f>
        <v>PR20000851</v>
      </c>
      <c r="D2766" t="str">
        <f>"PR20000851"</f>
        <v>PR20000851</v>
      </c>
      <c r="E2766" t="str">
        <f>"Y"</f>
        <v>Y</v>
      </c>
      <c r="F2766" t="str">
        <f>"חשבוניות מרכזות"</f>
        <v>חשבוניות מרכזות</v>
      </c>
      <c r="G2766" t="str">
        <f>"700065"</f>
        <v>700065</v>
      </c>
      <c r="H2766" t="str">
        <f>"אלתא מערכות בע""מ"</f>
        <v>אלתא מערכות בע"מ</v>
      </c>
      <c r="I2766" t="str">
        <f>"10"</f>
        <v>10</v>
      </c>
      <c r="J2766" t="str">
        <f>"OP-AR02173"</f>
        <v>OP-AR02173</v>
      </c>
      <c r="K2766" t="str">
        <f>"1039H831-001/-   HARNESS WY031 - PDU TO TRA1 EXT"</f>
        <v>1039H831-001/-   HARNESS WY031 - PDU TO TRA1 EXT</v>
      </c>
      <c r="L2766">
        <v>1</v>
      </c>
      <c r="M2766" t="str">
        <f>"יח"</f>
        <v>יח</v>
      </c>
      <c r="N2766">
        <v>1</v>
      </c>
      <c r="O2766" t="str">
        <f>"יח"</f>
        <v>יח</v>
      </c>
      <c r="P2766" s="2">
        <v>1350.76</v>
      </c>
      <c r="Q2766" t="str">
        <f>"$"</f>
        <v>$</v>
      </c>
      <c r="R2766" t="str">
        <f>"הזמנה"</f>
        <v>הזמנה</v>
      </c>
      <c r="S2766">
        <v>0</v>
      </c>
      <c r="T2766" s="2">
        <v>1350.76</v>
      </c>
      <c r="U2766">
        <v>0</v>
      </c>
      <c r="V2766" s="2">
        <v>1350.76</v>
      </c>
      <c r="W2766" t="str">
        <f>"$"</f>
        <v>$</v>
      </c>
      <c r="X2766">
        <v>0</v>
      </c>
      <c r="Y2766">
        <v>0</v>
      </c>
      <c r="Z2766">
        <v>0</v>
      </c>
      <c r="AA2766" t="str">
        <f>"Y"</f>
        <v>Y</v>
      </c>
      <c r="AB2766" t="str">
        <f>"SO20000555"</f>
        <v>SO20000555</v>
      </c>
      <c r="AC2766">
        <v>20</v>
      </c>
      <c r="AD2766" s="1">
        <v>44166</v>
      </c>
      <c r="AE2766" t="str">
        <f>"SH21000420"</f>
        <v>SH21000420</v>
      </c>
      <c r="AF2766" t="str">
        <f>"משלוחים ללקוח"</f>
        <v>משלוחים ללקוח</v>
      </c>
      <c r="AG2766" s="1">
        <v>44273</v>
      </c>
      <c r="AM2766" t="str">
        <f>"10"</f>
        <v>10</v>
      </c>
      <c r="AN2766" t="str">
        <f>"500000"</f>
        <v>500000</v>
      </c>
      <c r="AO2766" t="str">
        <f>"הכנסות  מלקוחות"</f>
        <v>הכנסות  מלקוחות</v>
      </c>
      <c r="AQ2766" t="str">
        <f>"034"</f>
        <v>034</v>
      </c>
      <c r="AR2766">
        <v>0</v>
      </c>
      <c r="AS2766">
        <v>0</v>
      </c>
      <c r="AT2766">
        <v>3.2970000000000002</v>
      </c>
      <c r="AX2766" t="str">
        <f>"E000326481"</f>
        <v>E000326481</v>
      </c>
      <c r="BD2766" t="str">
        <f>"ערן שלו"</f>
        <v>ערן שלו</v>
      </c>
    </row>
    <row r="2767" spans="1:56" x14ac:dyDescent="0.3">
      <c r="A2767" s="1">
        <v>44273</v>
      </c>
      <c r="B2767" t="str">
        <f>"SI216000432"</f>
        <v>SI216000432</v>
      </c>
      <c r="C2767" t="str">
        <f>"PR20000851"</f>
        <v>PR20000851</v>
      </c>
      <c r="D2767" t="str">
        <f>"PR20000851"</f>
        <v>PR20000851</v>
      </c>
      <c r="E2767" t="str">
        <f>"Y"</f>
        <v>Y</v>
      </c>
      <c r="F2767" t="str">
        <f>"חשבוניות מרכזות"</f>
        <v>חשבוניות מרכזות</v>
      </c>
      <c r="G2767" t="str">
        <f>"700065"</f>
        <v>700065</v>
      </c>
      <c r="H2767" t="str">
        <f>"אלתא מערכות בע""מ"</f>
        <v>אלתא מערכות בע"מ</v>
      </c>
      <c r="I2767" t="str">
        <f>"10"</f>
        <v>10</v>
      </c>
      <c r="J2767" t="str">
        <f>"OP-AR02174"</f>
        <v>OP-AR02174</v>
      </c>
      <c r="K2767" t="str">
        <f>"1039H832-001/-   HARNESS WY032 - PDU TO TRA2 EXT"</f>
        <v>1039H832-001/-   HARNESS WY032 - PDU TO TRA2 EXT</v>
      </c>
      <c r="L2767">
        <v>1</v>
      </c>
      <c r="M2767" t="str">
        <f>"יח"</f>
        <v>יח</v>
      </c>
      <c r="N2767">
        <v>1</v>
      </c>
      <c r="O2767" t="str">
        <f>"יח"</f>
        <v>יח</v>
      </c>
      <c r="P2767" s="2">
        <v>1328.07</v>
      </c>
      <c r="Q2767" t="str">
        <f>"$"</f>
        <v>$</v>
      </c>
      <c r="R2767" t="str">
        <f>"הזמנה"</f>
        <v>הזמנה</v>
      </c>
      <c r="S2767">
        <v>0</v>
      </c>
      <c r="T2767" s="2">
        <v>1328.07</v>
      </c>
      <c r="U2767">
        <v>0</v>
      </c>
      <c r="V2767" s="2">
        <v>1328.07</v>
      </c>
      <c r="W2767" t="str">
        <f>"$"</f>
        <v>$</v>
      </c>
      <c r="X2767">
        <v>0</v>
      </c>
      <c r="Y2767">
        <v>0</v>
      </c>
      <c r="Z2767">
        <v>0</v>
      </c>
      <c r="AA2767" t="str">
        <f>"Y"</f>
        <v>Y</v>
      </c>
      <c r="AB2767" t="str">
        <f>"SO20000555"</f>
        <v>SO20000555</v>
      </c>
      <c r="AC2767">
        <v>21</v>
      </c>
      <c r="AD2767" s="1">
        <v>44166</v>
      </c>
      <c r="AE2767" t="str">
        <f>"SH21000420"</f>
        <v>SH21000420</v>
      </c>
      <c r="AF2767" t="str">
        <f>"משלוחים ללקוח"</f>
        <v>משלוחים ללקוח</v>
      </c>
      <c r="AG2767" s="1">
        <v>44273</v>
      </c>
      <c r="AM2767" t="str">
        <f>"10"</f>
        <v>10</v>
      </c>
      <c r="AN2767" t="str">
        <f>"500000"</f>
        <v>500000</v>
      </c>
      <c r="AO2767" t="str">
        <f>"הכנסות  מלקוחות"</f>
        <v>הכנסות  מלקוחות</v>
      </c>
      <c r="AQ2767" t="str">
        <f>"034"</f>
        <v>034</v>
      </c>
      <c r="AR2767">
        <v>0</v>
      </c>
      <c r="AS2767">
        <v>0</v>
      </c>
      <c r="AT2767">
        <v>3.2970000000000002</v>
      </c>
      <c r="AX2767" t="str">
        <f>"E000326481"</f>
        <v>E000326481</v>
      </c>
      <c r="BD2767" t="str">
        <f>"ערן שלו"</f>
        <v>ערן שלו</v>
      </c>
    </row>
    <row r="2768" spans="1:56" x14ac:dyDescent="0.3">
      <c r="A2768" s="1">
        <v>44273</v>
      </c>
      <c r="B2768" t="str">
        <f>"SI216000432"</f>
        <v>SI216000432</v>
      </c>
      <c r="C2768" t="str">
        <f>"PR20000851"</f>
        <v>PR20000851</v>
      </c>
      <c r="D2768" t="str">
        <f>"PR20000851"</f>
        <v>PR20000851</v>
      </c>
      <c r="E2768" t="str">
        <f>"Y"</f>
        <v>Y</v>
      </c>
      <c r="F2768" t="str">
        <f>"חשבוניות מרכזות"</f>
        <v>חשבוניות מרכזות</v>
      </c>
      <c r="G2768" t="str">
        <f>"700065"</f>
        <v>700065</v>
      </c>
      <c r="H2768" t="str">
        <f>"אלתא מערכות בע""מ"</f>
        <v>אלתא מערכות בע"מ</v>
      </c>
      <c r="I2768" t="str">
        <f>"10"</f>
        <v>10</v>
      </c>
      <c r="J2768" t="str">
        <f>"OP-AR02175"</f>
        <v>OP-AR02175</v>
      </c>
      <c r="K2768" t="str">
        <f>"1039H833-001/-   HARNESS WY033 - PDU TO TRA3 EXT"</f>
        <v>1039H833-001/-   HARNESS WY033 - PDU TO TRA3 EXT</v>
      </c>
      <c r="L2768">
        <v>1</v>
      </c>
      <c r="M2768" t="str">
        <f>"יח"</f>
        <v>יח</v>
      </c>
      <c r="N2768">
        <v>1</v>
      </c>
      <c r="O2768" t="str">
        <f>"יח"</f>
        <v>יח</v>
      </c>
      <c r="P2768" s="2">
        <v>1348.85</v>
      </c>
      <c r="Q2768" t="str">
        <f>"$"</f>
        <v>$</v>
      </c>
      <c r="R2768" t="str">
        <f>"הזמנה"</f>
        <v>הזמנה</v>
      </c>
      <c r="S2768">
        <v>0</v>
      </c>
      <c r="T2768" s="2">
        <v>1348.85</v>
      </c>
      <c r="U2768">
        <v>0</v>
      </c>
      <c r="V2768" s="2">
        <v>1348.85</v>
      </c>
      <c r="W2768" t="str">
        <f>"$"</f>
        <v>$</v>
      </c>
      <c r="X2768">
        <v>0</v>
      </c>
      <c r="Y2768">
        <v>0</v>
      </c>
      <c r="Z2768">
        <v>0</v>
      </c>
      <c r="AA2768" t="str">
        <f>"Y"</f>
        <v>Y</v>
      </c>
      <c r="AB2768" t="str">
        <f>"SO20000555"</f>
        <v>SO20000555</v>
      </c>
      <c r="AC2768">
        <v>22</v>
      </c>
      <c r="AD2768" s="1">
        <v>44166</v>
      </c>
      <c r="AE2768" t="str">
        <f>"SH21000420"</f>
        <v>SH21000420</v>
      </c>
      <c r="AF2768" t="str">
        <f>"משלוחים ללקוח"</f>
        <v>משלוחים ללקוח</v>
      </c>
      <c r="AG2768" s="1">
        <v>44273</v>
      </c>
      <c r="AM2768" t="str">
        <f>"10"</f>
        <v>10</v>
      </c>
      <c r="AN2768" t="str">
        <f>"500000"</f>
        <v>500000</v>
      </c>
      <c r="AO2768" t="str">
        <f>"הכנסות  מלקוחות"</f>
        <v>הכנסות  מלקוחות</v>
      </c>
      <c r="AQ2768" t="str">
        <f>"034"</f>
        <v>034</v>
      </c>
      <c r="AR2768">
        <v>0</v>
      </c>
      <c r="AS2768">
        <v>0</v>
      </c>
      <c r="AT2768">
        <v>3.2970000000000002</v>
      </c>
      <c r="AX2768" t="str">
        <f>"E000326481"</f>
        <v>E000326481</v>
      </c>
      <c r="BD2768" t="str">
        <f>"ערן שלו"</f>
        <v>ערן שלו</v>
      </c>
    </row>
    <row r="2769" spans="1:56" x14ac:dyDescent="0.3">
      <c r="A2769" s="1">
        <v>44273</v>
      </c>
      <c r="B2769" t="str">
        <f>"SI216000432"</f>
        <v>SI216000432</v>
      </c>
      <c r="C2769" t="str">
        <f>"PR20000851"</f>
        <v>PR20000851</v>
      </c>
      <c r="D2769" t="str">
        <f>"PR20000851"</f>
        <v>PR20000851</v>
      </c>
      <c r="E2769" t="str">
        <f>"Y"</f>
        <v>Y</v>
      </c>
      <c r="F2769" t="str">
        <f>"חשבוניות מרכזות"</f>
        <v>חשבוניות מרכזות</v>
      </c>
      <c r="G2769" t="str">
        <f>"700065"</f>
        <v>700065</v>
      </c>
      <c r="H2769" t="str">
        <f>"אלתא מערכות בע""מ"</f>
        <v>אלתא מערכות בע"מ</v>
      </c>
      <c r="I2769" t="str">
        <f>"10"</f>
        <v>10</v>
      </c>
      <c r="J2769" t="str">
        <f>"OP-AR02181"</f>
        <v>OP-AR02181</v>
      </c>
      <c r="K2769" t="str">
        <f>"1039H842-001   HARNESS WY042 - PDU REMOTE TO U"</f>
        <v>1039H842-001   HARNESS WY042 - PDU REMOTE TO U</v>
      </c>
      <c r="L2769">
        <v>1</v>
      </c>
      <c r="M2769" t="str">
        <f>"יח"</f>
        <v>יח</v>
      </c>
      <c r="N2769">
        <v>1</v>
      </c>
      <c r="O2769" t="str">
        <f>"יח"</f>
        <v>יח</v>
      </c>
      <c r="P2769">
        <v>449.8</v>
      </c>
      <c r="Q2769" t="str">
        <f>"$"</f>
        <v>$</v>
      </c>
      <c r="R2769" t="str">
        <f>"הזמנה"</f>
        <v>הזמנה</v>
      </c>
      <c r="S2769">
        <v>0</v>
      </c>
      <c r="T2769">
        <v>449.8</v>
      </c>
      <c r="U2769">
        <v>0</v>
      </c>
      <c r="V2769">
        <v>449.8</v>
      </c>
      <c r="W2769" t="str">
        <f>"$"</f>
        <v>$</v>
      </c>
      <c r="X2769">
        <v>0</v>
      </c>
      <c r="Y2769">
        <v>0</v>
      </c>
      <c r="Z2769">
        <v>0</v>
      </c>
      <c r="AA2769" t="str">
        <f>"Y"</f>
        <v>Y</v>
      </c>
      <c r="AB2769" t="str">
        <f>"SO20000555"</f>
        <v>SO20000555</v>
      </c>
      <c r="AC2769">
        <v>28</v>
      </c>
      <c r="AD2769" s="1">
        <v>44166</v>
      </c>
      <c r="AE2769" t="str">
        <f>"SH21000420"</f>
        <v>SH21000420</v>
      </c>
      <c r="AF2769" t="str">
        <f>"משלוחים ללקוח"</f>
        <v>משלוחים ללקוח</v>
      </c>
      <c r="AG2769" s="1">
        <v>44273</v>
      </c>
      <c r="AM2769" t="str">
        <f>"10"</f>
        <v>10</v>
      </c>
      <c r="AN2769" t="str">
        <f>"500000"</f>
        <v>500000</v>
      </c>
      <c r="AO2769" t="str">
        <f>"הכנסות  מלקוחות"</f>
        <v>הכנסות  מלקוחות</v>
      </c>
      <c r="AQ2769" t="str">
        <f>"034"</f>
        <v>034</v>
      </c>
      <c r="AR2769">
        <v>0</v>
      </c>
      <c r="AS2769">
        <v>0</v>
      </c>
      <c r="AT2769">
        <v>3.2970000000000002</v>
      </c>
      <c r="AX2769" t="str">
        <f>"E000326481"</f>
        <v>E000326481</v>
      </c>
      <c r="BD2769" t="str">
        <f>"ערן שלו"</f>
        <v>ערן שלו</v>
      </c>
    </row>
    <row r="2770" spans="1:56" x14ac:dyDescent="0.3">
      <c r="A2770" s="1">
        <v>44273</v>
      </c>
      <c r="B2770" t="str">
        <f>"SI216000432"</f>
        <v>SI216000432</v>
      </c>
      <c r="C2770" t="str">
        <f>"PR20000851"</f>
        <v>PR20000851</v>
      </c>
      <c r="D2770" t="str">
        <f>"PR20000851"</f>
        <v>PR20000851</v>
      </c>
      <c r="E2770" t="str">
        <f>"Y"</f>
        <v>Y</v>
      </c>
      <c r="F2770" t="str">
        <f>"חשבוניות מרכזות"</f>
        <v>חשבוניות מרכזות</v>
      </c>
      <c r="G2770" t="str">
        <f>"700065"</f>
        <v>700065</v>
      </c>
      <c r="H2770" t="str">
        <f>"אלתא מערכות בע""מ"</f>
        <v>אלתא מערכות בע"מ</v>
      </c>
      <c r="I2770" t="str">
        <f>"10"</f>
        <v>10</v>
      </c>
      <c r="J2770" t="str">
        <f>"OP-AR02183"</f>
        <v>OP-AR02183</v>
      </c>
      <c r="K2770" t="str">
        <f>"1039H844-001   HARNESS WY044 - LAN SW TO SHELT"</f>
        <v>1039H844-001   HARNESS WY044 - LAN SW TO SHELT</v>
      </c>
      <c r="L2770">
        <v>1</v>
      </c>
      <c r="M2770" t="str">
        <f>"יח"</f>
        <v>יח</v>
      </c>
      <c r="N2770">
        <v>1</v>
      </c>
      <c r="O2770" t="str">
        <f>"יח"</f>
        <v>יח</v>
      </c>
      <c r="P2770">
        <v>176.7</v>
      </c>
      <c r="Q2770" t="str">
        <f>"$"</f>
        <v>$</v>
      </c>
      <c r="R2770" t="str">
        <f>"הזמנה"</f>
        <v>הזמנה</v>
      </c>
      <c r="S2770">
        <v>0</v>
      </c>
      <c r="T2770">
        <v>176.7</v>
      </c>
      <c r="U2770">
        <v>0</v>
      </c>
      <c r="V2770">
        <v>176.7</v>
      </c>
      <c r="W2770" t="str">
        <f>"$"</f>
        <v>$</v>
      </c>
      <c r="X2770">
        <v>0</v>
      </c>
      <c r="Y2770">
        <v>0</v>
      </c>
      <c r="Z2770">
        <v>0</v>
      </c>
      <c r="AA2770" t="str">
        <f>"Y"</f>
        <v>Y</v>
      </c>
      <c r="AB2770" t="str">
        <f>"SO20000555"</f>
        <v>SO20000555</v>
      </c>
      <c r="AC2770">
        <v>30</v>
      </c>
      <c r="AD2770" s="1">
        <v>44166</v>
      </c>
      <c r="AE2770" t="str">
        <f>"SH21000420"</f>
        <v>SH21000420</v>
      </c>
      <c r="AF2770" t="str">
        <f>"משלוחים ללקוח"</f>
        <v>משלוחים ללקוח</v>
      </c>
      <c r="AG2770" s="1">
        <v>44273</v>
      </c>
      <c r="AM2770" t="str">
        <f>"10"</f>
        <v>10</v>
      </c>
      <c r="AN2770" t="str">
        <f>"500000"</f>
        <v>500000</v>
      </c>
      <c r="AO2770" t="str">
        <f>"הכנסות  מלקוחות"</f>
        <v>הכנסות  מלקוחות</v>
      </c>
      <c r="AQ2770" t="str">
        <f>"034"</f>
        <v>034</v>
      </c>
      <c r="AR2770">
        <v>0</v>
      </c>
      <c r="AS2770">
        <v>0</v>
      </c>
      <c r="AT2770">
        <v>3.2970000000000002</v>
      </c>
      <c r="AX2770" t="str">
        <f>"E000326481"</f>
        <v>E000326481</v>
      </c>
      <c r="BD2770" t="str">
        <f>"ערן שלו"</f>
        <v>ערן שלו</v>
      </c>
    </row>
    <row r="2771" spans="1:56" x14ac:dyDescent="0.3">
      <c r="A2771" s="1">
        <v>44273</v>
      </c>
      <c r="B2771" t="str">
        <f>"SI216000432"</f>
        <v>SI216000432</v>
      </c>
      <c r="C2771" t="str">
        <f>"PR20000851"</f>
        <v>PR20000851</v>
      </c>
      <c r="D2771" t="str">
        <f>"PR20000851"</f>
        <v>PR20000851</v>
      </c>
      <c r="E2771" t="str">
        <f>"Y"</f>
        <v>Y</v>
      </c>
      <c r="F2771" t="str">
        <f>"חשבוניות מרכזות"</f>
        <v>חשבוניות מרכזות</v>
      </c>
      <c r="G2771" t="str">
        <f>"700065"</f>
        <v>700065</v>
      </c>
      <c r="H2771" t="str">
        <f>"אלתא מערכות בע""מ"</f>
        <v>אלתא מערכות בע"מ</v>
      </c>
      <c r="I2771" t="str">
        <f>"10"</f>
        <v>10</v>
      </c>
      <c r="J2771" t="str">
        <f>"OP-AR02188"</f>
        <v>OP-AR02188</v>
      </c>
      <c r="K2771" t="str">
        <f>"1039H862-001/-   HARNESS WY062 - CU TO TRA2 AND"</f>
        <v>1039H862-001/-   HARNESS WY062 - CU TO TRA2 AND</v>
      </c>
      <c r="L2771">
        <v>1</v>
      </c>
      <c r="M2771" t="str">
        <f>"יח"</f>
        <v>יח</v>
      </c>
      <c r="N2771">
        <v>1</v>
      </c>
      <c r="O2771" t="str">
        <f>"יח"</f>
        <v>יח</v>
      </c>
      <c r="P2771" s="2">
        <v>1110.94</v>
      </c>
      <c r="Q2771" t="str">
        <f>"$"</f>
        <v>$</v>
      </c>
      <c r="R2771" t="str">
        <f>"הזמנה"</f>
        <v>הזמנה</v>
      </c>
      <c r="S2771">
        <v>0</v>
      </c>
      <c r="T2771" s="2">
        <v>1110.94</v>
      </c>
      <c r="U2771">
        <v>0</v>
      </c>
      <c r="V2771" s="2">
        <v>1110.94</v>
      </c>
      <c r="W2771" t="str">
        <f>"$"</f>
        <v>$</v>
      </c>
      <c r="X2771">
        <v>0</v>
      </c>
      <c r="Y2771">
        <v>0</v>
      </c>
      <c r="Z2771">
        <v>0</v>
      </c>
      <c r="AA2771" t="str">
        <f>"Y"</f>
        <v>Y</v>
      </c>
      <c r="AB2771" t="str">
        <f>"SO20000555"</f>
        <v>SO20000555</v>
      </c>
      <c r="AC2771">
        <v>35</v>
      </c>
      <c r="AD2771" s="1">
        <v>44166</v>
      </c>
      <c r="AE2771" t="str">
        <f>"SH21000420"</f>
        <v>SH21000420</v>
      </c>
      <c r="AF2771" t="str">
        <f>"משלוחים ללקוח"</f>
        <v>משלוחים ללקוח</v>
      </c>
      <c r="AG2771" s="1">
        <v>44273</v>
      </c>
      <c r="AM2771" t="str">
        <f>"10"</f>
        <v>10</v>
      </c>
      <c r="AN2771" t="str">
        <f>"500000"</f>
        <v>500000</v>
      </c>
      <c r="AO2771" t="str">
        <f>"הכנסות  מלקוחות"</f>
        <v>הכנסות  מלקוחות</v>
      </c>
      <c r="AQ2771" t="str">
        <f>"034"</f>
        <v>034</v>
      </c>
      <c r="AR2771">
        <v>0</v>
      </c>
      <c r="AS2771">
        <v>0</v>
      </c>
      <c r="AT2771">
        <v>3.2970000000000002</v>
      </c>
      <c r="AX2771" t="str">
        <f>"E000326481"</f>
        <v>E000326481</v>
      </c>
      <c r="BD2771" t="str">
        <f>"ערן שלו"</f>
        <v>ערן שלו</v>
      </c>
    </row>
    <row r="2772" spans="1:56" x14ac:dyDescent="0.3">
      <c r="A2772" s="1">
        <v>44273</v>
      </c>
      <c r="B2772" t="str">
        <f>"SI216000431"</f>
        <v>SI216000431</v>
      </c>
      <c r="C2772" t="str">
        <f>"PR20000851"</f>
        <v>PR20000851</v>
      </c>
      <c r="E2772" t="str">
        <f>"Y"</f>
        <v>Y</v>
      </c>
      <c r="F2772" t="str">
        <f>"חשבוניות מרכזות"</f>
        <v>חשבוניות מרכזות</v>
      </c>
      <c r="G2772" t="str">
        <f>"700065"</f>
        <v>700065</v>
      </c>
      <c r="H2772" t="str">
        <f>"אלתא מערכות בע""מ"</f>
        <v>אלתא מערכות בע"מ</v>
      </c>
      <c r="I2772" t="str">
        <f>"10"</f>
        <v>10</v>
      </c>
      <c r="J2772" t="str">
        <f>"OP-AR02155"</f>
        <v>OP-AR02155</v>
      </c>
      <c r="K2772" t="str">
        <f>"1039H803-001/-   HARNESS WY003 - MAST POWER IN"</f>
        <v>1039H803-001/-   HARNESS WY003 - MAST POWER IN</v>
      </c>
      <c r="L2772">
        <v>-1</v>
      </c>
      <c r="M2772" t="str">
        <f>"יח"</f>
        <v>יח</v>
      </c>
      <c r="N2772">
        <v>-1</v>
      </c>
      <c r="O2772" t="str">
        <f>"יח"</f>
        <v>יח</v>
      </c>
      <c r="P2772">
        <v>414.74</v>
      </c>
      <c r="Q2772" t="str">
        <f>"$"</f>
        <v>$</v>
      </c>
      <c r="R2772" t="str">
        <f>"הזמנה"</f>
        <v>הזמנה</v>
      </c>
      <c r="S2772">
        <v>0</v>
      </c>
      <c r="T2772">
        <v>-414.74</v>
      </c>
      <c r="U2772">
        <v>0</v>
      </c>
      <c r="V2772">
        <v>-414.74</v>
      </c>
      <c r="W2772" t="str">
        <f>"$"</f>
        <v>$</v>
      </c>
      <c r="X2772">
        <v>0</v>
      </c>
      <c r="Y2772">
        <v>0</v>
      </c>
      <c r="Z2772">
        <v>0</v>
      </c>
      <c r="AA2772" t="str">
        <f>"Y"</f>
        <v>Y</v>
      </c>
      <c r="AC2772">
        <v>0</v>
      </c>
      <c r="AM2772" t="str">
        <f>"10"</f>
        <v>10</v>
      </c>
      <c r="AN2772" t="str">
        <f>"500000"</f>
        <v>500000</v>
      </c>
      <c r="AO2772" t="str">
        <f>"הכנסות  מלקוחות"</f>
        <v>הכנסות  מלקוחות</v>
      </c>
      <c r="AQ2772" t="str">
        <f>"034"</f>
        <v>034</v>
      </c>
      <c r="AR2772">
        <v>0</v>
      </c>
      <c r="AS2772">
        <v>0</v>
      </c>
      <c r="AT2772">
        <v>3.2970000000000002</v>
      </c>
      <c r="BB2772" t="str">
        <f>"Y"</f>
        <v>Y</v>
      </c>
      <c r="BD2772" t="str">
        <f>"ערן שלו"</f>
        <v>ערן שלו</v>
      </c>
    </row>
    <row r="2773" spans="1:56" x14ac:dyDescent="0.3">
      <c r="A2773" s="1">
        <v>44273</v>
      </c>
      <c r="B2773" t="str">
        <f>"SI216000431"</f>
        <v>SI216000431</v>
      </c>
      <c r="C2773" t="str">
        <f>"PR20000851"</f>
        <v>PR20000851</v>
      </c>
      <c r="E2773" t="str">
        <f>"Y"</f>
        <v>Y</v>
      </c>
      <c r="F2773" t="str">
        <f>"חשבוניות מרכזות"</f>
        <v>חשבוניות מרכזות</v>
      </c>
      <c r="G2773" t="str">
        <f>"700065"</f>
        <v>700065</v>
      </c>
      <c r="H2773" t="str">
        <f>"אלתא מערכות בע""מ"</f>
        <v>אלתא מערכות בע"מ</v>
      </c>
      <c r="I2773" t="str">
        <f>"10"</f>
        <v>10</v>
      </c>
      <c r="J2773" t="str">
        <f>"OP-AR02156"</f>
        <v>OP-AR02156</v>
      </c>
      <c r="K2773" t="str">
        <f>"1039H811-001   HARNESS WY011 - PDU TO TRA1 SHE"</f>
        <v>1039H811-001   HARNESS WY011 - PDU TO TRA1 SHE</v>
      </c>
      <c r="L2773">
        <v>-1</v>
      </c>
      <c r="M2773" t="str">
        <f>"יח"</f>
        <v>יח</v>
      </c>
      <c r="N2773">
        <v>-1</v>
      </c>
      <c r="O2773" t="str">
        <f>"יח"</f>
        <v>יח</v>
      </c>
      <c r="P2773">
        <v>434.16</v>
      </c>
      <c r="Q2773" t="str">
        <f>"$"</f>
        <v>$</v>
      </c>
      <c r="R2773" t="str">
        <f>"הזמנה"</f>
        <v>הזמנה</v>
      </c>
      <c r="S2773">
        <v>0</v>
      </c>
      <c r="T2773">
        <v>-434.16</v>
      </c>
      <c r="U2773">
        <v>0</v>
      </c>
      <c r="V2773">
        <v>-434.16</v>
      </c>
      <c r="W2773" t="str">
        <f>"$"</f>
        <v>$</v>
      </c>
      <c r="X2773">
        <v>0</v>
      </c>
      <c r="Y2773">
        <v>0</v>
      </c>
      <c r="Z2773">
        <v>0</v>
      </c>
      <c r="AA2773" t="str">
        <f>"Y"</f>
        <v>Y</v>
      </c>
      <c r="AC2773">
        <v>0</v>
      </c>
      <c r="AM2773" t="str">
        <f>"10"</f>
        <v>10</v>
      </c>
      <c r="AN2773" t="str">
        <f>"500000"</f>
        <v>500000</v>
      </c>
      <c r="AO2773" t="str">
        <f>"הכנסות  מלקוחות"</f>
        <v>הכנסות  מלקוחות</v>
      </c>
      <c r="AQ2773" t="str">
        <f>"034"</f>
        <v>034</v>
      </c>
      <c r="AR2773">
        <v>0</v>
      </c>
      <c r="AS2773">
        <v>0</v>
      </c>
      <c r="AT2773">
        <v>3.2970000000000002</v>
      </c>
      <c r="BB2773" t="str">
        <f>"Y"</f>
        <v>Y</v>
      </c>
      <c r="BD2773" t="str">
        <f>"ערן שלו"</f>
        <v>ערן שלו</v>
      </c>
    </row>
    <row r="2774" spans="1:56" x14ac:dyDescent="0.3">
      <c r="A2774" s="1">
        <v>44273</v>
      </c>
      <c r="B2774" t="str">
        <f>"SI216000431"</f>
        <v>SI216000431</v>
      </c>
      <c r="C2774" t="str">
        <f>"PR20000851"</f>
        <v>PR20000851</v>
      </c>
      <c r="E2774" t="str">
        <f>"Y"</f>
        <v>Y</v>
      </c>
      <c r="F2774" t="str">
        <f>"חשבוניות מרכזות"</f>
        <v>חשבוניות מרכזות</v>
      </c>
      <c r="G2774" t="str">
        <f>"700065"</f>
        <v>700065</v>
      </c>
      <c r="H2774" t="str">
        <f>"אלתא מערכות בע""מ"</f>
        <v>אלתא מערכות בע"מ</v>
      </c>
      <c r="I2774" t="str">
        <f>"10"</f>
        <v>10</v>
      </c>
      <c r="J2774" t="str">
        <f>"OP-AR02158"</f>
        <v>OP-AR02158</v>
      </c>
      <c r="K2774" t="str">
        <f>"1039H813-001   HARNESS WY013 - PDU TO TRA3 SHE"</f>
        <v>1039H813-001   HARNESS WY013 - PDU TO TRA3 SHE</v>
      </c>
      <c r="L2774">
        <v>-1</v>
      </c>
      <c r="M2774" t="str">
        <f>"יח"</f>
        <v>יח</v>
      </c>
      <c r="N2774">
        <v>-1</v>
      </c>
      <c r="O2774" t="str">
        <f>"יח"</f>
        <v>יח</v>
      </c>
      <c r="P2774">
        <v>432.4</v>
      </c>
      <c r="Q2774" t="str">
        <f>"$"</f>
        <v>$</v>
      </c>
      <c r="R2774" t="str">
        <f>"הזמנה"</f>
        <v>הזמנה</v>
      </c>
      <c r="S2774">
        <v>0</v>
      </c>
      <c r="T2774">
        <v>-432.4</v>
      </c>
      <c r="U2774">
        <v>0</v>
      </c>
      <c r="V2774">
        <v>-432.4</v>
      </c>
      <c r="W2774" t="str">
        <f>"$"</f>
        <v>$</v>
      </c>
      <c r="X2774">
        <v>0</v>
      </c>
      <c r="Y2774">
        <v>0</v>
      </c>
      <c r="Z2774">
        <v>0</v>
      </c>
      <c r="AA2774" t="str">
        <f>"Y"</f>
        <v>Y</v>
      </c>
      <c r="AC2774">
        <v>0</v>
      </c>
      <c r="AM2774" t="str">
        <f>"10"</f>
        <v>10</v>
      </c>
      <c r="AN2774" t="str">
        <f>"500000"</f>
        <v>500000</v>
      </c>
      <c r="AO2774" t="str">
        <f>"הכנסות  מלקוחות"</f>
        <v>הכנסות  מלקוחות</v>
      </c>
      <c r="AQ2774" t="str">
        <f>"034"</f>
        <v>034</v>
      </c>
      <c r="AR2774">
        <v>0</v>
      </c>
      <c r="AS2774">
        <v>0</v>
      </c>
      <c r="AT2774">
        <v>3.2970000000000002</v>
      </c>
      <c r="BB2774" t="str">
        <f>"Y"</f>
        <v>Y</v>
      </c>
      <c r="BD2774" t="str">
        <f>"ערן שלו"</f>
        <v>ערן שלו</v>
      </c>
    </row>
    <row r="2775" spans="1:56" x14ac:dyDescent="0.3">
      <c r="A2775" s="1">
        <v>44273</v>
      </c>
      <c r="B2775" t="str">
        <f>"SI216000431"</f>
        <v>SI216000431</v>
      </c>
      <c r="C2775" t="str">
        <f>"PR20000851"</f>
        <v>PR20000851</v>
      </c>
      <c r="E2775" t="str">
        <f>"Y"</f>
        <v>Y</v>
      </c>
      <c r="F2775" t="str">
        <f>"חשבוניות מרכזות"</f>
        <v>חשבוניות מרכזות</v>
      </c>
      <c r="G2775" t="str">
        <f>"700065"</f>
        <v>700065</v>
      </c>
      <c r="H2775" t="str">
        <f>"אלתא מערכות בע""מ"</f>
        <v>אלתא מערכות בע"מ</v>
      </c>
      <c r="I2775" t="str">
        <f>"10"</f>
        <v>10</v>
      </c>
      <c r="J2775" t="str">
        <f>"OP-AR02159"</f>
        <v>OP-AR02159</v>
      </c>
      <c r="K2775" t="str">
        <f>"1039H814-001   HARNESS WY014 - PDU TO TRA4 SHE"</f>
        <v>1039H814-001   HARNESS WY014 - PDU TO TRA4 SHE</v>
      </c>
      <c r="L2775">
        <v>-1</v>
      </c>
      <c r="M2775" t="str">
        <f>"יח"</f>
        <v>יח</v>
      </c>
      <c r="N2775">
        <v>-1</v>
      </c>
      <c r="O2775" t="str">
        <f>"יח"</f>
        <v>יח</v>
      </c>
      <c r="P2775">
        <v>441.92</v>
      </c>
      <c r="Q2775" t="str">
        <f>"$"</f>
        <v>$</v>
      </c>
      <c r="R2775" t="str">
        <f>"הזמנה"</f>
        <v>הזמנה</v>
      </c>
      <c r="S2775">
        <v>0</v>
      </c>
      <c r="T2775">
        <v>-441.92</v>
      </c>
      <c r="U2775">
        <v>0</v>
      </c>
      <c r="V2775">
        <v>-441.92</v>
      </c>
      <c r="W2775" t="str">
        <f>"$"</f>
        <v>$</v>
      </c>
      <c r="X2775">
        <v>0</v>
      </c>
      <c r="Y2775">
        <v>0</v>
      </c>
      <c r="Z2775">
        <v>0</v>
      </c>
      <c r="AA2775" t="str">
        <f>"Y"</f>
        <v>Y</v>
      </c>
      <c r="AC2775">
        <v>0</v>
      </c>
      <c r="AM2775" t="str">
        <f>"10"</f>
        <v>10</v>
      </c>
      <c r="AN2775" t="str">
        <f>"500000"</f>
        <v>500000</v>
      </c>
      <c r="AO2775" t="str">
        <f>"הכנסות  מלקוחות"</f>
        <v>הכנסות  מלקוחות</v>
      </c>
      <c r="AQ2775" t="str">
        <f>"034"</f>
        <v>034</v>
      </c>
      <c r="AR2775">
        <v>0</v>
      </c>
      <c r="AS2775">
        <v>0</v>
      </c>
      <c r="AT2775">
        <v>3.2970000000000002</v>
      </c>
      <c r="BB2775" t="str">
        <f>"Y"</f>
        <v>Y</v>
      </c>
      <c r="BD2775" t="str">
        <f>"ערן שלו"</f>
        <v>ערן שלו</v>
      </c>
    </row>
    <row r="2776" spans="1:56" x14ac:dyDescent="0.3">
      <c r="A2776" s="1">
        <v>44273</v>
      </c>
      <c r="B2776" t="str">
        <f>"SI216000431"</f>
        <v>SI216000431</v>
      </c>
      <c r="C2776" t="str">
        <f>"PR20000851"</f>
        <v>PR20000851</v>
      </c>
      <c r="E2776" t="str">
        <f>"Y"</f>
        <v>Y</v>
      </c>
      <c r="F2776" t="str">
        <f>"חשבוניות מרכזות"</f>
        <v>חשבוניות מרכזות</v>
      </c>
      <c r="G2776" t="str">
        <f>"700065"</f>
        <v>700065</v>
      </c>
      <c r="H2776" t="str">
        <f>"אלתא מערכות בע""מ"</f>
        <v>אלתא מערכות בע"מ</v>
      </c>
      <c r="I2776" t="str">
        <f>"10"</f>
        <v>10</v>
      </c>
      <c r="J2776" t="str">
        <f>"OP-AR02161"</f>
        <v>OP-AR02161</v>
      </c>
      <c r="K2776" t="str">
        <f>"1039H816-001   HARNESS WY016 - PDU TO MAST SHE"</f>
        <v>1039H816-001   HARNESS WY016 - PDU TO MAST SHE</v>
      </c>
      <c r="L2776">
        <v>-5</v>
      </c>
      <c r="M2776" t="str">
        <f>"יח"</f>
        <v>יח</v>
      </c>
      <c r="N2776">
        <v>-5</v>
      </c>
      <c r="O2776" t="str">
        <f>"יח"</f>
        <v>יח</v>
      </c>
      <c r="P2776">
        <v>225.71</v>
      </c>
      <c r="Q2776" t="str">
        <f>"$"</f>
        <v>$</v>
      </c>
      <c r="R2776" t="str">
        <f>"הזמנה"</f>
        <v>הזמנה</v>
      </c>
      <c r="S2776">
        <v>0</v>
      </c>
      <c r="T2776" s="2">
        <v>-1128.55</v>
      </c>
      <c r="U2776">
        <v>0</v>
      </c>
      <c r="V2776" s="2">
        <v>-1128.55</v>
      </c>
      <c r="W2776" t="str">
        <f>"$"</f>
        <v>$</v>
      </c>
      <c r="X2776">
        <v>0</v>
      </c>
      <c r="Y2776">
        <v>0</v>
      </c>
      <c r="Z2776">
        <v>0</v>
      </c>
      <c r="AA2776" t="str">
        <f>"Y"</f>
        <v>Y</v>
      </c>
      <c r="AC2776">
        <v>0</v>
      </c>
      <c r="AM2776" t="str">
        <f>"10"</f>
        <v>10</v>
      </c>
      <c r="AN2776" t="str">
        <f>"500000"</f>
        <v>500000</v>
      </c>
      <c r="AO2776" t="str">
        <f>"הכנסות  מלקוחות"</f>
        <v>הכנסות  מלקוחות</v>
      </c>
      <c r="AQ2776" t="str">
        <f>"034"</f>
        <v>034</v>
      </c>
      <c r="AR2776">
        <v>0</v>
      </c>
      <c r="AS2776">
        <v>0</v>
      </c>
      <c r="AT2776">
        <v>3.2970000000000002</v>
      </c>
      <c r="BB2776" t="str">
        <f>"Y"</f>
        <v>Y</v>
      </c>
      <c r="BD2776" t="str">
        <f>"ערן שלו"</f>
        <v>ערן שלו</v>
      </c>
    </row>
    <row r="2777" spans="1:56" x14ac:dyDescent="0.3">
      <c r="A2777" s="1">
        <v>44273</v>
      </c>
      <c r="B2777" t="str">
        <f>"SI216000431"</f>
        <v>SI216000431</v>
      </c>
      <c r="C2777" t="str">
        <f>"PR20000851"</f>
        <v>PR20000851</v>
      </c>
      <c r="E2777" t="str">
        <f>"Y"</f>
        <v>Y</v>
      </c>
      <c r="F2777" t="str">
        <f>"חשבוניות מרכזות"</f>
        <v>חשבוניות מרכזות</v>
      </c>
      <c r="G2777" t="str">
        <f>"700065"</f>
        <v>700065</v>
      </c>
      <c r="H2777" t="str">
        <f>"אלתא מערכות בע""מ"</f>
        <v>אלתא מערכות בע"מ</v>
      </c>
      <c r="I2777" t="str">
        <f>"10"</f>
        <v>10</v>
      </c>
      <c r="J2777" t="str">
        <f>"OP-AR02166"</f>
        <v>OP-AR02166</v>
      </c>
      <c r="K2777" t="str">
        <f>"1039H822-001/-   HARNESS WY022 - PDU TO TRA2 EXT"</f>
        <v>1039H822-001/-   HARNESS WY022 - PDU TO TRA2 EXT</v>
      </c>
      <c r="L2777">
        <v>-1</v>
      </c>
      <c r="M2777" t="str">
        <f>"יח"</f>
        <v>יח</v>
      </c>
      <c r="N2777">
        <v>-1</v>
      </c>
      <c r="O2777" t="str">
        <f>"יח"</f>
        <v>יח</v>
      </c>
      <c r="P2777">
        <v>828.98</v>
      </c>
      <c r="Q2777" t="str">
        <f>"$"</f>
        <v>$</v>
      </c>
      <c r="R2777" t="str">
        <f>"הזמנה"</f>
        <v>הזמנה</v>
      </c>
      <c r="S2777">
        <v>0</v>
      </c>
      <c r="T2777">
        <v>-828.98</v>
      </c>
      <c r="U2777">
        <v>0</v>
      </c>
      <c r="V2777">
        <v>-828.98</v>
      </c>
      <c r="W2777" t="str">
        <f>"$"</f>
        <v>$</v>
      </c>
      <c r="X2777">
        <v>0</v>
      </c>
      <c r="Y2777">
        <v>0</v>
      </c>
      <c r="Z2777">
        <v>0</v>
      </c>
      <c r="AA2777" t="str">
        <f>"Y"</f>
        <v>Y</v>
      </c>
      <c r="AC2777">
        <v>0</v>
      </c>
      <c r="AM2777" t="str">
        <f>"10"</f>
        <v>10</v>
      </c>
      <c r="AN2777" t="str">
        <f>"500000"</f>
        <v>500000</v>
      </c>
      <c r="AO2777" t="str">
        <f>"הכנסות  מלקוחות"</f>
        <v>הכנסות  מלקוחות</v>
      </c>
      <c r="AQ2777" t="str">
        <f>"034"</f>
        <v>034</v>
      </c>
      <c r="AR2777">
        <v>0</v>
      </c>
      <c r="AS2777">
        <v>0</v>
      </c>
      <c r="AT2777">
        <v>3.2970000000000002</v>
      </c>
      <c r="BB2777" t="str">
        <f>"Y"</f>
        <v>Y</v>
      </c>
      <c r="BD2777" t="str">
        <f>"ערן שלו"</f>
        <v>ערן שלו</v>
      </c>
    </row>
    <row r="2778" spans="1:56" x14ac:dyDescent="0.3">
      <c r="A2778" s="1">
        <v>44273</v>
      </c>
      <c r="B2778" t="str">
        <f>"SI216000431"</f>
        <v>SI216000431</v>
      </c>
      <c r="C2778" t="str">
        <f>"PR20000851"</f>
        <v>PR20000851</v>
      </c>
      <c r="E2778" t="str">
        <f>"Y"</f>
        <v>Y</v>
      </c>
      <c r="F2778" t="str">
        <f>"חשבוניות מרכזות"</f>
        <v>חשבוניות מרכזות</v>
      </c>
      <c r="G2778" t="str">
        <f>"700065"</f>
        <v>700065</v>
      </c>
      <c r="H2778" t="str">
        <f>"אלתא מערכות בע""מ"</f>
        <v>אלתא מערכות בע"מ</v>
      </c>
      <c r="I2778" t="str">
        <f>"10"</f>
        <v>10</v>
      </c>
      <c r="J2778" t="str">
        <f>"OP-AR02167"</f>
        <v>OP-AR02167</v>
      </c>
      <c r="K2778" t="str">
        <f>"1039H823-001/-   HARNESS WY023 - PDU TO TRA3 EXT"</f>
        <v>1039H823-001/-   HARNESS WY023 - PDU TO TRA3 EXT</v>
      </c>
      <c r="L2778">
        <v>-1</v>
      </c>
      <c r="M2778" t="str">
        <f>"יח"</f>
        <v>יח</v>
      </c>
      <c r="N2778">
        <v>-1</v>
      </c>
      <c r="O2778" t="str">
        <f>"יח"</f>
        <v>יח</v>
      </c>
      <c r="P2778">
        <v>828.98</v>
      </c>
      <c r="Q2778" t="str">
        <f>"$"</f>
        <v>$</v>
      </c>
      <c r="R2778" t="str">
        <f>"הזמנה"</f>
        <v>הזמנה</v>
      </c>
      <c r="S2778">
        <v>0</v>
      </c>
      <c r="T2778">
        <v>-828.98</v>
      </c>
      <c r="U2778">
        <v>0</v>
      </c>
      <c r="V2778">
        <v>-828.98</v>
      </c>
      <c r="W2778" t="str">
        <f>"$"</f>
        <v>$</v>
      </c>
      <c r="X2778">
        <v>0</v>
      </c>
      <c r="Y2778">
        <v>0</v>
      </c>
      <c r="Z2778">
        <v>0</v>
      </c>
      <c r="AA2778" t="str">
        <f>"Y"</f>
        <v>Y</v>
      </c>
      <c r="AC2778">
        <v>0</v>
      </c>
      <c r="AM2778" t="str">
        <f>"10"</f>
        <v>10</v>
      </c>
      <c r="AN2778" t="str">
        <f>"500000"</f>
        <v>500000</v>
      </c>
      <c r="AO2778" t="str">
        <f>"הכנסות  מלקוחות"</f>
        <v>הכנסות  מלקוחות</v>
      </c>
      <c r="AQ2778" t="str">
        <f>"034"</f>
        <v>034</v>
      </c>
      <c r="AR2778">
        <v>0</v>
      </c>
      <c r="AS2778">
        <v>0</v>
      </c>
      <c r="AT2778">
        <v>3.2970000000000002</v>
      </c>
      <c r="BB2778" t="str">
        <f>"Y"</f>
        <v>Y</v>
      </c>
      <c r="BD2778" t="str">
        <f>"ערן שלו"</f>
        <v>ערן שלו</v>
      </c>
    </row>
    <row r="2779" spans="1:56" x14ac:dyDescent="0.3">
      <c r="A2779" s="1">
        <v>44273</v>
      </c>
      <c r="B2779" t="str">
        <f>"SI216000431"</f>
        <v>SI216000431</v>
      </c>
      <c r="C2779" t="str">
        <f>"PR20000851"</f>
        <v>PR20000851</v>
      </c>
      <c r="E2779" t="str">
        <f>"Y"</f>
        <v>Y</v>
      </c>
      <c r="F2779" t="str">
        <f>"חשבוניות מרכזות"</f>
        <v>חשבוניות מרכזות</v>
      </c>
      <c r="G2779" t="str">
        <f>"700065"</f>
        <v>700065</v>
      </c>
      <c r="H2779" t="str">
        <f>"אלתא מערכות בע""מ"</f>
        <v>אלתא מערכות בע"מ</v>
      </c>
      <c r="I2779" t="str">
        <f>"10"</f>
        <v>10</v>
      </c>
      <c r="J2779" t="str">
        <f>"OP-AR02168"</f>
        <v>OP-AR02168</v>
      </c>
      <c r="K2779" t="str">
        <f>"1039H824-001/-   HARNESS WY024 - PDU TO TRA4 EXT"</f>
        <v>1039H824-001/-   HARNESS WY024 - PDU TO TRA4 EXT</v>
      </c>
      <c r="L2779">
        <v>-1</v>
      </c>
      <c r="M2779" t="str">
        <f>"יח"</f>
        <v>יח</v>
      </c>
      <c r="N2779">
        <v>-1</v>
      </c>
      <c r="O2779" t="str">
        <f>"יח"</f>
        <v>יח</v>
      </c>
      <c r="P2779">
        <v>822.5</v>
      </c>
      <c r="Q2779" t="str">
        <f>"$"</f>
        <v>$</v>
      </c>
      <c r="R2779" t="str">
        <f>"הזמנה"</f>
        <v>הזמנה</v>
      </c>
      <c r="S2779">
        <v>0</v>
      </c>
      <c r="T2779">
        <v>-822.5</v>
      </c>
      <c r="U2779">
        <v>0</v>
      </c>
      <c r="V2779">
        <v>-822.5</v>
      </c>
      <c r="W2779" t="str">
        <f>"$"</f>
        <v>$</v>
      </c>
      <c r="X2779">
        <v>0</v>
      </c>
      <c r="Y2779">
        <v>0</v>
      </c>
      <c r="Z2779">
        <v>0</v>
      </c>
      <c r="AA2779" t="str">
        <f>"Y"</f>
        <v>Y</v>
      </c>
      <c r="AC2779">
        <v>0</v>
      </c>
      <c r="AM2779" t="str">
        <f>"10"</f>
        <v>10</v>
      </c>
      <c r="AN2779" t="str">
        <f>"500000"</f>
        <v>500000</v>
      </c>
      <c r="AO2779" t="str">
        <f>"הכנסות  מלקוחות"</f>
        <v>הכנסות  מלקוחות</v>
      </c>
      <c r="AQ2779" t="str">
        <f>"034"</f>
        <v>034</v>
      </c>
      <c r="AR2779">
        <v>0</v>
      </c>
      <c r="AS2779">
        <v>0</v>
      </c>
      <c r="AT2779">
        <v>3.2970000000000002</v>
      </c>
      <c r="BB2779" t="str">
        <f>"Y"</f>
        <v>Y</v>
      </c>
      <c r="BD2779" t="str">
        <f>"ערן שלו"</f>
        <v>ערן שלו</v>
      </c>
    </row>
    <row r="2780" spans="1:56" x14ac:dyDescent="0.3">
      <c r="A2780" s="1">
        <v>44273</v>
      </c>
      <c r="B2780" t="str">
        <f>"SI216000431"</f>
        <v>SI216000431</v>
      </c>
      <c r="C2780" t="str">
        <f>"PR20000851"</f>
        <v>PR20000851</v>
      </c>
      <c r="E2780" t="str">
        <f>"Y"</f>
        <v>Y</v>
      </c>
      <c r="F2780" t="str">
        <f>"חשבוניות מרכזות"</f>
        <v>חשבוניות מרכזות</v>
      </c>
      <c r="G2780" t="str">
        <f>"700065"</f>
        <v>700065</v>
      </c>
      <c r="H2780" t="str">
        <f>"אלתא מערכות בע""מ"</f>
        <v>אלתא מערכות בע"מ</v>
      </c>
      <c r="I2780" t="str">
        <f>"10"</f>
        <v>10</v>
      </c>
      <c r="J2780" t="str">
        <f>"OP-AR02169"</f>
        <v>OP-AR02169</v>
      </c>
      <c r="K2780" t="str">
        <f>"1039H825-001/-   HARNESS WY025 - PDU TO CU EXTER"</f>
        <v>1039H825-001/-   HARNESS WY025 - PDU TO CU EXTER</v>
      </c>
      <c r="L2780">
        <v>-2</v>
      </c>
      <c r="M2780" t="str">
        <f>"יח"</f>
        <v>יח</v>
      </c>
      <c r="N2780">
        <v>-2</v>
      </c>
      <c r="O2780" t="str">
        <f>"יח"</f>
        <v>יח</v>
      </c>
      <c r="P2780">
        <v>514.77</v>
      </c>
      <c r="Q2780" t="str">
        <f>"$"</f>
        <v>$</v>
      </c>
      <c r="R2780" t="str">
        <f>"הזמנה"</f>
        <v>הזמנה</v>
      </c>
      <c r="S2780">
        <v>0</v>
      </c>
      <c r="T2780" s="2">
        <v>-1029.54</v>
      </c>
      <c r="U2780">
        <v>0</v>
      </c>
      <c r="V2780" s="2">
        <v>-1029.54</v>
      </c>
      <c r="W2780" t="str">
        <f>"$"</f>
        <v>$</v>
      </c>
      <c r="X2780">
        <v>0</v>
      </c>
      <c r="Y2780">
        <v>0</v>
      </c>
      <c r="Z2780">
        <v>0</v>
      </c>
      <c r="AA2780" t="str">
        <f>"Y"</f>
        <v>Y</v>
      </c>
      <c r="AC2780">
        <v>0</v>
      </c>
      <c r="AM2780" t="str">
        <f>"10"</f>
        <v>10</v>
      </c>
      <c r="AN2780" t="str">
        <f>"500000"</f>
        <v>500000</v>
      </c>
      <c r="AO2780" t="str">
        <f>"הכנסות  מלקוחות"</f>
        <v>הכנסות  מלקוחות</v>
      </c>
      <c r="AQ2780" t="str">
        <f>"034"</f>
        <v>034</v>
      </c>
      <c r="AR2780">
        <v>0</v>
      </c>
      <c r="AS2780">
        <v>0</v>
      </c>
      <c r="AT2780">
        <v>3.2970000000000002</v>
      </c>
      <c r="BB2780" t="str">
        <f>"Y"</f>
        <v>Y</v>
      </c>
      <c r="BD2780" t="str">
        <f>"ערן שלו"</f>
        <v>ערן שלו</v>
      </c>
    </row>
    <row r="2781" spans="1:56" x14ac:dyDescent="0.3">
      <c r="A2781" s="1">
        <v>44273</v>
      </c>
      <c r="B2781" t="str">
        <f>"SI216000431"</f>
        <v>SI216000431</v>
      </c>
      <c r="C2781" t="str">
        <f>"PR20000851"</f>
        <v>PR20000851</v>
      </c>
      <c r="E2781" t="str">
        <f>"Y"</f>
        <v>Y</v>
      </c>
      <c r="F2781" t="str">
        <f>"חשבוניות מרכזות"</f>
        <v>חשבוניות מרכזות</v>
      </c>
      <c r="G2781" t="str">
        <f>"700065"</f>
        <v>700065</v>
      </c>
      <c r="H2781" t="str">
        <f>"אלתא מערכות בע""מ"</f>
        <v>אלתא מערכות בע"מ</v>
      </c>
      <c r="I2781" t="str">
        <f>"10"</f>
        <v>10</v>
      </c>
      <c r="J2781" t="str">
        <f>"OP-AR02170"</f>
        <v>OP-AR02170</v>
      </c>
      <c r="K2781" t="str">
        <f>"1039H826-001/-   HARNESS WY026 - PDU TO MAST EXT"</f>
        <v>1039H826-001/-   HARNESS WY026 - PDU TO MAST EXT</v>
      </c>
      <c r="L2781">
        <v>-1</v>
      </c>
      <c r="M2781" t="str">
        <f>"יח"</f>
        <v>יח</v>
      </c>
      <c r="N2781">
        <v>-1</v>
      </c>
      <c r="O2781" t="str">
        <f>"יח"</f>
        <v>יח</v>
      </c>
      <c r="P2781">
        <v>321.27999999999997</v>
      </c>
      <c r="Q2781" t="str">
        <f>"$"</f>
        <v>$</v>
      </c>
      <c r="R2781" t="str">
        <f>"הזמנה"</f>
        <v>הזמנה</v>
      </c>
      <c r="S2781">
        <v>0</v>
      </c>
      <c r="T2781">
        <v>-321.27999999999997</v>
      </c>
      <c r="U2781">
        <v>0</v>
      </c>
      <c r="V2781">
        <v>-321.27999999999997</v>
      </c>
      <c r="W2781" t="str">
        <f>"$"</f>
        <v>$</v>
      </c>
      <c r="X2781">
        <v>0</v>
      </c>
      <c r="Y2781">
        <v>0</v>
      </c>
      <c r="Z2781">
        <v>0</v>
      </c>
      <c r="AA2781" t="str">
        <f>"Y"</f>
        <v>Y</v>
      </c>
      <c r="AC2781">
        <v>0</v>
      </c>
      <c r="AM2781" t="str">
        <f>"10"</f>
        <v>10</v>
      </c>
      <c r="AN2781" t="str">
        <f>"500000"</f>
        <v>500000</v>
      </c>
      <c r="AO2781" t="str">
        <f>"הכנסות  מלקוחות"</f>
        <v>הכנסות  מלקוחות</v>
      </c>
      <c r="AQ2781" t="str">
        <f>"034"</f>
        <v>034</v>
      </c>
      <c r="AR2781">
        <v>0</v>
      </c>
      <c r="AS2781">
        <v>0</v>
      </c>
      <c r="AT2781">
        <v>3.2970000000000002</v>
      </c>
      <c r="BB2781" t="str">
        <f>"Y"</f>
        <v>Y</v>
      </c>
      <c r="BD2781" t="str">
        <f>"ערן שלו"</f>
        <v>ערן שלו</v>
      </c>
    </row>
    <row r="2782" spans="1:56" x14ac:dyDescent="0.3">
      <c r="A2782" s="1">
        <v>44273</v>
      </c>
      <c r="B2782" t="str">
        <f>"SI216000431"</f>
        <v>SI216000431</v>
      </c>
      <c r="C2782" t="str">
        <f>"PR20000851"</f>
        <v>PR20000851</v>
      </c>
      <c r="E2782" t="str">
        <f>"Y"</f>
        <v>Y</v>
      </c>
      <c r="F2782" t="str">
        <f>"חשבוניות מרכזות"</f>
        <v>חשבוניות מרכזות</v>
      </c>
      <c r="G2782" t="str">
        <f>"700065"</f>
        <v>700065</v>
      </c>
      <c r="H2782" t="str">
        <f>"אלתא מערכות בע""מ"</f>
        <v>אלתא מערכות בע"מ</v>
      </c>
      <c r="I2782" t="str">
        <f>"10"</f>
        <v>10</v>
      </c>
      <c r="J2782" t="str">
        <f>"OP-AR02171"</f>
        <v>OP-AR02171</v>
      </c>
      <c r="K2782" t="str">
        <f>"1039H827-001/-   HARNESS WY027 - PDU TO FANS EXT"</f>
        <v>1039H827-001/-   HARNESS WY027 - PDU TO FANS EXT</v>
      </c>
      <c r="L2782">
        <v>-1</v>
      </c>
      <c r="M2782" t="str">
        <f>"יח"</f>
        <v>יח</v>
      </c>
      <c r="N2782">
        <v>-1</v>
      </c>
      <c r="O2782" t="str">
        <f>"יח"</f>
        <v>יח</v>
      </c>
      <c r="P2782">
        <v>635.34</v>
      </c>
      <c r="Q2782" t="str">
        <f>"$"</f>
        <v>$</v>
      </c>
      <c r="R2782" t="str">
        <f>"הזמנה"</f>
        <v>הזמנה</v>
      </c>
      <c r="S2782">
        <v>0</v>
      </c>
      <c r="T2782">
        <v>-635.34</v>
      </c>
      <c r="U2782">
        <v>0</v>
      </c>
      <c r="V2782">
        <v>-635.34</v>
      </c>
      <c r="W2782" t="str">
        <f>"$"</f>
        <v>$</v>
      </c>
      <c r="X2782">
        <v>0</v>
      </c>
      <c r="Y2782">
        <v>0</v>
      </c>
      <c r="Z2782">
        <v>0</v>
      </c>
      <c r="AA2782" t="str">
        <f>"Y"</f>
        <v>Y</v>
      </c>
      <c r="AC2782">
        <v>0</v>
      </c>
      <c r="AM2782" t="str">
        <f>"10"</f>
        <v>10</v>
      </c>
      <c r="AN2782" t="str">
        <f>"500000"</f>
        <v>500000</v>
      </c>
      <c r="AO2782" t="str">
        <f>"הכנסות  מלקוחות"</f>
        <v>הכנסות  מלקוחות</v>
      </c>
      <c r="AQ2782" t="str">
        <f>"034"</f>
        <v>034</v>
      </c>
      <c r="AR2782">
        <v>0</v>
      </c>
      <c r="AS2782">
        <v>0</v>
      </c>
      <c r="AT2782">
        <v>3.2970000000000002</v>
      </c>
      <c r="BB2782" t="str">
        <f>"Y"</f>
        <v>Y</v>
      </c>
      <c r="BD2782" t="str">
        <f>"ערן שלו"</f>
        <v>ערן שלו</v>
      </c>
    </row>
    <row r="2783" spans="1:56" x14ac:dyDescent="0.3">
      <c r="A2783" s="1">
        <v>44273</v>
      </c>
      <c r="B2783" t="str">
        <f>"SI216000431"</f>
        <v>SI216000431</v>
      </c>
      <c r="C2783" t="str">
        <f>"PR20000851"</f>
        <v>PR20000851</v>
      </c>
      <c r="E2783" t="str">
        <f>"Y"</f>
        <v>Y</v>
      </c>
      <c r="F2783" t="str">
        <f>"חשבוניות מרכזות"</f>
        <v>חשבוניות מרכזות</v>
      </c>
      <c r="G2783" t="str">
        <f>"700065"</f>
        <v>700065</v>
      </c>
      <c r="H2783" t="str">
        <f>"אלתא מערכות בע""מ"</f>
        <v>אלתא מערכות בע"מ</v>
      </c>
      <c r="I2783" t="str">
        <f>"10"</f>
        <v>10</v>
      </c>
      <c r="J2783" t="str">
        <f>"OP-AR02172"</f>
        <v>OP-AR02172</v>
      </c>
      <c r="K2783" t="str">
        <f>"1039H828-001/-   HARNESS WY028 - PDU TO IFF EXTE"</f>
        <v>1039H828-001/-   HARNESS WY028 - PDU TO IFF EXTE</v>
      </c>
      <c r="L2783">
        <v>-1</v>
      </c>
      <c r="M2783" t="str">
        <f>"יח"</f>
        <v>יח</v>
      </c>
      <c r="N2783">
        <v>-1</v>
      </c>
      <c r="O2783" t="str">
        <f>"יח"</f>
        <v>יח</v>
      </c>
      <c r="P2783">
        <v>593.54999999999995</v>
      </c>
      <c r="Q2783" t="str">
        <f>"$"</f>
        <v>$</v>
      </c>
      <c r="R2783" t="str">
        <f>"הזמנה"</f>
        <v>הזמנה</v>
      </c>
      <c r="S2783">
        <v>0</v>
      </c>
      <c r="T2783">
        <v>-593.54999999999995</v>
      </c>
      <c r="U2783">
        <v>0</v>
      </c>
      <c r="V2783">
        <v>-593.54999999999995</v>
      </c>
      <c r="W2783" t="str">
        <f>"$"</f>
        <v>$</v>
      </c>
      <c r="X2783">
        <v>0</v>
      </c>
      <c r="Y2783">
        <v>0</v>
      </c>
      <c r="Z2783">
        <v>0</v>
      </c>
      <c r="AA2783" t="str">
        <f>"Y"</f>
        <v>Y</v>
      </c>
      <c r="AC2783">
        <v>0</v>
      </c>
      <c r="AM2783" t="str">
        <f>"10"</f>
        <v>10</v>
      </c>
      <c r="AN2783" t="str">
        <f>"500000"</f>
        <v>500000</v>
      </c>
      <c r="AO2783" t="str">
        <f>"הכנסות  מלקוחות"</f>
        <v>הכנסות  מלקוחות</v>
      </c>
      <c r="AQ2783" t="str">
        <f>"034"</f>
        <v>034</v>
      </c>
      <c r="AR2783">
        <v>0</v>
      </c>
      <c r="AS2783">
        <v>0</v>
      </c>
      <c r="AT2783">
        <v>3.2970000000000002</v>
      </c>
      <c r="BB2783" t="str">
        <f>"Y"</f>
        <v>Y</v>
      </c>
      <c r="BD2783" t="str">
        <f>"ערן שלו"</f>
        <v>ערן שלו</v>
      </c>
    </row>
    <row r="2784" spans="1:56" x14ac:dyDescent="0.3">
      <c r="A2784" s="1">
        <v>44273</v>
      </c>
      <c r="B2784" t="str">
        <f>"SI216000431"</f>
        <v>SI216000431</v>
      </c>
      <c r="C2784" t="str">
        <f>"PR20000851"</f>
        <v>PR20000851</v>
      </c>
      <c r="E2784" t="str">
        <f>"Y"</f>
        <v>Y</v>
      </c>
      <c r="F2784" t="str">
        <f>"חשבוניות מרכזות"</f>
        <v>חשבוניות מרכזות</v>
      </c>
      <c r="G2784" t="str">
        <f>"700065"</f>
        <v>700065</v>
      </c>
      <c r="H2784" t="str">
        <f>"אלתא מערכות בע""מ"</f>
        <v>אלתא מערכות בע"מ</v>
      </c>
      <c r="I2784" t="str">
        <f>"10"</f>
        <v>10</v>
      </c>
      <c r="J2784" t="str">
        <f>"OP-AR02173"</f>
        <v>OP-AR02173</v>
      </c>
      <c r="K2784" t="str">
        <f>"1039H831-001/-   HARNESS WY031 - PDU TO TRA1 EXT"</f>
        <v>1039H831-001/-   HARNESS WY031 - PDU TO TRA1 EXT</v>
      </c>
      <c r="L2784">
        <v>-1</v>
      </c>
      <c r="M2784" t="str">
        <f>"יח"</f>
        <v>יח</v>
      </c>
      <c r="N2784">
        <v>-1</v>
      </c>
      <c r="O2784" t="str">
        <f>"יח"</f>
        <v>יח</v>
      </c>
      <c r="P2784" s="2">
        <v>1350.76</v>
      </c>
      <c r="Q2784" t="str">
        <f>"$"</f>
        <v>$</v>
      </c>
      <c r="R2784" t="str">
        <f>"הזמנה"</f>
        <v>הזמנה</v>
      </c>
      <c r="S2784">
        <v>0</v>
      </c>
      <c r="T2784" s="2">
        <v>-1350.76</v>
      </c>
      <c r="U2784">
        <v>0</v>
      </c>
      <c r="V2784" s="2">
        <v>-1350.76</v>
      </c>
      <c r="W2784" t="str">
        <f>"$"</f>
        <v>$</v>
      </c>
      <c r="X2784">
        <v>0</v>
      </c>
      <c r="Y2784">
        <v>0</v>
      </c>
      <c r="Z2784">
        <v>0</v>
      </c>
      <c r="AA2784" t="str">
        <f>"Y"</f>
        <v>Y</v>
      </c>
      <c r="AC2784">
        <v>0</v>
      </c>
      <c r="AM2784" t="str">
        <f>"10"</f>
        <v>10</v>
      </c>
      <c r="AN2784" t="str">
        <f>"500000"</f>
        <v>500000</v>
      </c>
      <c r="AO2784" t="str">
        <f>"הכנסות  מלקוחות"</f>
        <v>הכנסות  מלקוחות</v>
      </c>
      <c r="AQ2784" t="str">
        <f>"034"</f>
        <v>034</v>
      </c>
      <c r="AR2784">
        <v>0</v>
      </c>
      <c r="AS2784">
        <v>0</v>
      </c>
      <c r="AT2784">
        <v>3.2970000000000002</v>
      </c>
      <c r="BB2784" t="str">
        <f>"Y"</f>
        <v>Y</v>
      </c>
      <c r="BD2784" t="str">
        <f>"ערן שלו"</f>
        <v>ערן שלו</v>
      </c>
    </row>
    <row r="2785" spans="1:56" x14ac:dyDescent="0.3">
      <c r="A2785" s="1">
        <v>44273</v>
      </c>
      <c r="B2785" t="str">
        <f>"SI216000431"</f>
        <v>SI216000431</v>
      </c>
      <c r="C2785" t="str">
        <f>"PR20000851"</f>
        <v>PR20000851</v>
      </c>
      <c r="E2785" t="str">
        <f>"Y"</f>
        <v>Y</v>
      </c>
      <c r="F2785" t="str">
        <f>"חשבוניות מרכזות"</f>
        <v>חשבוניות מרכזות</v>
      </c>
      <c r="G2785" t="str">
        <f>"700065"</f>
        <v>700065</v>
      </c>
      <c r="H2785" t="str">
        <f>"אלתא מערכות בע""מ"</f>
        <v>אלתא מערכות בע"מ</v>
      </c>
      <c r="I2785" t="str">
        <f>"10"</f>
        <v>10</v>
      </c>
      <c r="J2785" t="str">
        <f>"OP-AR02174"</f>
        <v>OP-AR02174</v>
      </c>
      <c r="K2785" t="str">
        <f>"1039H832-001/-   HARNESS WY032 - PDU TO TRA2 EXT"</f>
        <v>1039H832-001/-   HARNESS WY032 - PDU TO TRA2 EXT</v>
      </c>
      <c r="L2785">
        <v>-1</v>
      </c>
      <c r="M2785" t="str">
        <f>"יח"</f>
        <v>יח</v>
      </c>
      <c r="N2785">
        <v>-1</v>
      </c>
      <c r="O2785" t="str">
        <f>"יח"</f>
        <v>יח</v>
      </c>
      <c r="P2785" s="2">
        <v>1328.07</v>
      </c>
      <c r="Q2785" t="str">
        <f>"$"</f>
        <v>$</v>
      </c>
      <c r="R2785" t="str">
        <f>"הזמנה"</f>
        <v>הזמנה</v>
      </c>
      <c r="S2785">
        <v>0</v>
      </c>
      <c r="T2785" s="2">
        <v>-1328.07</v>
      </c>
      <c r="U2785">
        <v>0</v>
      </c>
      <c r="V2785" s="2">
        <v>-1328.07</v>
      </c>
      <c r="W2785" t="str">
        <f>"$"</f>
        <v>$</v>
      </c>
      <c r="X2785">
        <v>0</v>
      </c>
      <c r="Y2785">
        <v>0</v>
      </c>
      <c r="Z2785">
        <v>0</v>
      </c>
      <c r="AA2785" t="str">
        <f>"Y"</f>
        <v>Y</v>
      </c>
      <c r="AC2785">
        <v>0</v>
      </c>
      <c r="AM2785" t="str">
        <f>"10"</f>
        <v>10</v>
      </c>
      <c r="AN2785" t="str">
        <f>"500000"</f>
        <v>500000</v>
      </c>
      <c r="AO2785" t="str">
        <f>"הכנסות  מלקוחות"</f>
        <v>הכנסות  מלקוחות</v>
      </c>
      <c r="AQ2785" t="str">
        <f>"034"</f>
        <v>034</v>
      </c>
      <c r="AR2785">
        <v>0</v>
      </c>
      <c r="AS2785">
        <v>0</v>
      </c>
      <c r="AT2785">
        <v>3.2970000000000002</v>
      </c>
      <c r="BB2785" t="str">
        <f>"Y"</f>
        <v>Y</v>
      </c>
      <c r="BD2785" t="str">
        <f>"ערן שלו"</f>
        <v>ערן שלו</v>
      </c>
    </row>
    <row r="2786" spans="1:56" x14ac:dyDescent="0.3">
      <c r="A2786" s="1">
        <v>44273</v>
      </c>
      <c r="B2786" t="str">
        <f>"SI216000431"</f>
        <v>SI216000431</v>
      </c>
      <c r="C2786" t="str">
        <f>"PR20000851"</f>
        <v>PR20000851</v>
      </c>
      <c r="E2786" t="str">
        <f>"Y"</f>
        <v>Y</v>
      </c>
      <c r="F2786" t="str">
        <f>"חשבוניות מרכזות"</f>
        <v>חשבוניות מרכזות</v>
      </c>
      <c r="G2786" t="str">
        <f>"700065"</f>
        <v>700065</v>
      </c>
      <c r="H2786" t="str">
        <f>"אלתא מערכות בע""מ"</f>
        <v>אלתא מערכות בע"מ</v>
      </c>
      <c r="I2786" t="str">
        <f>"10"</f>
        <v>10</v>
      </c>
      <c r="J2786" t="str">
        <f>"OP-AR02175"</f>
        <v>OP-AR02175</v>
      </c>
      <c r="K2786" t="str">
        <f>"1039H833-001/-   HARNESS WY033 - PDU TO TRA3 EXT"</f>
        <v>1039H833-001/-   HARNESS WY033 - PDU TO TRA3 EXT</v>
      </c>
      <c r="L2786">
        <v>-1</v>
      </c>
      <c r="M2786" t="str">
        <f>"יח"</f>
        <v>יח</v>
      </c>
      <c r="N2786">
        <v>-1</v>
      </c>
      <c r="O2786" t="str">
        <f>"יח"</f>
        <v>יח</v>
      </c>
      <c r="P2786" s="2">
        <v>1348.85</v>
      </c>
      <c r="Q2786" t="str">
        <f>"$"</f>
        <v>$</v>
      </c>
      <c r="R2786" t="str">
        <f>"הזמנה"</f>
        <v>הזמנה</v>
      </c>
      <c r="S2786">
        <v>0</v>
      </c>
      <c r="T2786" s="2">
        <v>-1348.85</v>
      </c>
      <c r="U2786">
        <v>0</v>
      </c>
      <c r="V2786" s="2">
        <v>-1348.85</v>
      </c>
      <c r="W2786" t="str">
        <f>"$"</f>
        <v>$</v>
      </c>
      <c r="X2786">
        <v>0</v>
      </c>
      <c r="Y2786">
        <v>0</v>
      </c>
      <c r="Z2786">
        <v>0</v>
      </c>
      <c r="AA2786" t="str">
        <f>"Y"</f>
        <v>Y</v>
      </c>
      <c r="AC2786">
        <v>0</v>
      </c>
      <c r="AM2786" t="str">
        <f>"10"</f>
        <v>10</v>
      </c>
      <c r="AN2786" t="str">
        <f>"500000"</f>
        <v>500000</v>
      </c>
      <c r="AO2786" t="str">
        <f>"הכנסות  מלקוחות"</f>
        <v>הכנסות  מלקוחות</v>
      </c>
      <c r="AQ2786" t="str">
        <f>"034"</f>
        <v>034</v>
      </c>
      <c r="AR2786">
        <v>0</v>
      </c>
      <c r="AS2786">
        <v>0</v>
      </c>
      <c r="AT2786">
        <v>3.2970000000000002</v>
      </c>
      <c r="BB2786" t="str">
        <f>"Y"</f>
        <v>Y</v>
      </c>
      <c r="BD2786" t="str">
        <f>"ערן שלו"</f>
        <v>ערן שלו</v>
      </c>
    </row>
    <row r="2787" spans="1:56" x14ac:dyDescent="0.3">
      <c r="A2787" s="1">
        <v>44273</v>
      </c>
      <c r="B2787" t="str">
        <f>"SI216000431"</f>
        <v>SI216000431</v>
      </c>
      <c r="C2787" t="str">
        <f>"PR20000851"</f>
        <v>PR20000851</v>
      </c>
      <c r="E2787" t="str">
        <f>"Y"</f>
        <v>Y</v>
      </c>
      <c r="F2787" t="str">
        <f>"חשבוניות מרכזות"</f>
        <v>חשבוניות מרכזות</v>
      </c>
      <c r="G2787" t="str">
        <f>"700065"</f>
        <v>700065</v>
      </c>
      <c r="H2787" t="str">
        <f>"אלתא מערכות בע""מ"</f>
        <v>אלתא מערכות בע"מ</v>
      </c>
      <c r="I2787" t="str">
        <f>"10"</f>
        <v>10</v>
      </c>
      <c r="J2787" t="str">
        <f>"OP-AR02181"</f>
        <v>OP-AR02181</v>
      </c>
      <c r="K2787" t="str">
        <f>"1039H842-001   HARNESS WY042 - PDU REMOTE TO U"</f>
        <v>1039H842-001   HARNESS WY042 - PDU REMOTE TO U</v>
      </c>
      <c r="L2787">
        <v>-1</v>
      </c>
      <c r="M2787" t="str">
        <f>"יח"</f>
        <v>יח</v>
      </c>
      <c r="N2787">
        <v>-1</v>
      </c>
      <c r="O2787" t="str">
        <f>"יח"</f>
        <v>יח</v>
      </c>
      <c r="P2787">
        <v>449.8</v>
      </c>
      <c r="Q2787" t="str">
        <f>"$"</f>
        <v>$</v>
      </c>
      <c r="R2787" t="str">
        <f>"הזמנה"</f>
        <v>הזמנה</v>
      </c>
      <c r="S2787">
        <v>0</v>
      </c>
      <c r="T2787">
        <v>-449.8</v>
      </c>
      <c r="U2787">
        <v>0</v>
      </c>
      <c r="V2787">
        <v>-449.8</v>
      </c>
      <c r="W2787" t="str">
        <f>"$"</f>
        <v>$</v>
      </c>
      <c r="X2787">
        <v>0</v>
      </c>
      <c r="Y2787">
        <v>0</v>
      </c>
      <c r="Z2787">
        <v>0</v>
      </c>
      <c r="AA2787" t="str">
        <f>"Y"</f>
        <v>Y</v>
      </c>
      <c r="AC2787">
        <v>0</v>
      </c>
      <c r="AM2787" t="str">
        <f>"10"</f>
        <v>10</v>
      </c>
      <c r="AN2787" t="str">
        <f>"500000"</f>
        <v>500000</v>
      </c>
      <c r="AO2787" t="str">
        <f>"הכנסות  מלקוחות"</f>
        <v>הכנסות  מלקוחות</v>
      </c>
      <c r="AQ2787" t="str">
        <f>"034"</f>
        <v>034</v>
      </c>
      <c r="AR2787">
        <v>0</v>
      </c>
      <c r="AS2787">
        <v>0</v>
      </c>
      <c r="AT2787">
        <v>3.2970000000000002</v>
      </c>
      <c r="BB2787" t="str">
        <f>"Y"</f>
        <v>Y</v>
      </c>
      <c r="BD2787" t="str">
        <f>"ערן שלו"</f>
        <v>ערן שלו</v>
      </c>
    </row>
    <row r="2788" spans="1:56" x14ac:dyDescent="0.3">
      <c r="A2788" s="1">
        <v>44273</v>
      </c>
      <c r="B2788" t="str">
        <f>"SI216000431"</f>
        <v>SI216000431</v>
      </c>
      <c r="C2788" t="str">
        <f>"PR20000851"</f>
        <v>PR20000851</v>
      </c>
      <c r="E2788" t="str">
        <f>"Y"</f>
        <v>Y</v>
      </c>
      <c r="F2788" t="str">
        <f>"חשבוניות מרכזות"</f>
        <v>חשבוניות מרכזות</v>
      </c>
      <c r="G2788" t="str">
        <f>"700065"</f>
        <v>700065</v>
      </c>
      <c r="H2788" t="str">
        <f>"אלתא מערכות בע""מ"</f>
        <v>אלתא מערכות בע"מ</v>
      </c>
      <c r="I2788" t="str">
        <f>"10"</f>
        <v>10</v>
      </c>
      <c r="J2788" t="str">
        <f>"OP-AR02183"</f>
        <v>OP-AR02183</v>
      </c>
      <c r="K2788" t="str">
        <f>"1039H844-001   HARNESS WY044 - LAN SW TO SHELT"</f>
        <v>1039H844-001   HARNESS WY044 - LAN SW TO SHELT</v>
      </c>
      <c r="L2788">
        <v>-1</v>
      </c>
      <c r="M2788" t="str">
        <f>"יח"</f>
        <v>יח</v>
      </c>
      <c r="N2788">
        <v>-1</v>
      </c>
      <c r="O2788" t="str">
        <f>"יח"</f>
        <v>יח</v>
      </c>
      <c r="P2788">
        <v>176.7</v>
      </c>
      <c r="Q2788" t="str">
        <f>"$"</f>
        <v>$</v>
      </c>
      <c r="R2788" t="str">
        <f>"הזמנה"</f>
        <v>הזמנה</v>
      </c>
      <c r="S2788">
        <v>0</v>
      </c>
      <c r="T2788">
        <v>-176.7</v>
      </c>
      <c r="U2788">
        <v>0</v>
      </c>
      <c r="V2788">
        <v>-176.7</v>
      </c>
      <c r="W2788" t="str">
        <f>"$"</f>
        <v>$</v>
      </c>
      <c r="X2788">
        <v>0</v>
      </c>
      <c r="Y2788">
        <v>0</v>
      </c>
      <c r="Z2788">
        <v>0</v>
      </c>
      <c r="AA2788" t="str">
        <f>"Y"</f>
        <v>Y</v>
      </c>
      <c r="AC2788">
        <v>0</v>
      </c>
      <c r="AM2788" t="str">
        <f>"10"</f>
        <v>10</v>
      </c>
      <c r="AN2788" t="str">
        <f>"500000"</f>
        <v>500000</v>
      </c>
      <c r="AO2788" t="str">
        <f>"הכנסות  מלקוחות"</f>
        <v>הכנסות  מלקוחות</v>
      </c>
      <c r="AQ2788" t="str">
        <f>"034"</f>
        <v>034</v>
      </c>
      <c r="AR2788">
        <v>0</v>
      </c>
      <c r="AS2788">
        <v>0</v>
      </c>
      <c r="AT2788">
        <v>3.2970000000000002</v>
      </c>
      <c r="BB2788" t="str">
        <f>"Y"</f>
        <v>Y</v>
      </c>
      <c r="BD2788" t="str">
        <f>"ערן שלו"</f>
        <v>ערן שלו</v>
      </c>
    </row>
    <row r="2789" spans="1:56" x14ac:dyDescent="0.3">
      <c r="A2789" s="1">
        <v>44273</v>
      </c>
      <c r="B2789" t="str">
        <f>"SI216000431"</f>
        <v>SI216000431</v>
      </c>
      <c r="C2789" t="str">
        <f>"PR20000851"</f>
        <v>PR20000851</v>
      </c>
      <c r="E2789" t="str">
        <f>"Y"</f>
        <v>Y</v>
      </c>
      <c r="F2789" t="str">
        <f>"חשבוניות מרכזות"</f>
        <v>חשבוניות מרכזות</v>
      </c>
      <c r="G2789" t="str">
        <f>"700065"</f>
        <v>700065</v>
      </c>
      <c r="H2789" t="str">
        <f>"אלתא מערכות בע""מ"</f>
        <v>אלתא מערכות בע"מ</v>
      </c>
      <c r="I2789" t="str">
        <f>"10"</f>
        <v>10</v>
      </c>
      <c r="J2789" t="str">
        <f>"OP-AR02188"</f>
        <v>OP-AR02188</v>
      </c>
      <c r="K2789" t="str">
        <f>"1039H862-001/-   HARNESS WY062 - CU TO TRA2 AND"</f>
        <v>1039H862-001/-   HARNESS WY062 - CU TO TRA2 AND</v>
      </c>
      <c r="L2789">
        <v>-1</v>
      </c>
      <c r="M2789" t="str">
        <f>"יח"</f>
        <v>יח</v>
      </c>
      <c r="N2789">
        <v>-1</v>
      </c>
      <c r="O2789" t="str">
        <f>"יח"</f>
        <v>יח</v>
      </c>
      <c r="P2789" s="2">
        <v>1110.94</v>
      </c>
      <c r="Q2789" t="str">
        <f>"$"</f>
        <v>$</v>
      </c>
      <c r="R2789" t="str">
        <f>"הזמנה"</f>
        <v>הזמנה</v>
      </c>
      <c r="S2789">
        <v>0</v>
      </c>
      <c r="T2789" s="2">
        <v>-1110.94</v>
      </c>
      <c r="U2789">
        <v>0</v>
      </c>
      <c r="V2789" s="2">
        <v>-1110.94</v>
      </c>
      <c r="W2789" t="str">
        <f>"$"</f>
        <v>$</v>
      </c>
      <c r="X2789">
        <v>0</v>
      </c>
      <c r="Y2789">
        <v>0</v>
      </c>
      <c r="Z2789">
        <v>0</v>
      </c>
      <c r="AA2789" t="str">
        <f>"Y"</f>
        <v>Y</v>
      </c>
      <c r="AC2789">
        <v>0</v>
      </c>
      <c r="AM2789" t="str">
        <f>"10"</f>
        <v>10</v>
      </c>
      <c r="AN2789" t="str">
        <f>"500000"</f>
        <v>500000</v>
      </c>
      <c r="AO2789" t="str">
        <f>"הכנסות  מלקוחות"</f>
        <v>הכנסות  מלקוחות</v>
      </c>
      <c r="AQ2789" t="str">
        <f>"034"</f>
        <v>034</v>
      </c>
      <c r="AR2789">
        <v>0</v>
      </c>
      <c r="AS2789">
        <v>0</v>
      </c>
      <c r="AT2789">
        <v>3.2970000000000002</v>
      </c>
      <c r="BB2789" t="str">
        <f>"Y"</f>
        <v>Y</v>
      </c>
      <c r="BD2789" t="str">
        <f>"ערן שלו"</f>
        <v>ערן שלו</v>
      </c>
    </row>
    <row r="2790" spans="1:56" x14ac:dyDescent="0.3">
      <c r="A2790" s="1">
        <v>44273</v>
      </c>
      <c r="B2790" t="str">
        <f>"SI216000412"</f>
        <v>SI216000412</v>
      </c>
      <c r="C2790" t="str">
        <f>"PR20000851"</f>
        <v>PR20000851</v>
      </c>
      <c r="E2790" t="str">
        <f>"Y"</f>
        <v>Y</v>
      </c>
      <c r="F2790" t="str">
        <f>"חשבוניות מרכזות"</f>
        <v>חשבוניות מרכזות</v>
      </c>
      <c r="G2790" t="str">
        <f>"700065"</f>
        <v>700065</v>
      </c>
      <c r="H2790" t="str">
        <f>"אלתא מערכות בע""מ"</f>
        <v>אלתא מערכות בע"מ</v>
      </c>
      <c r="I2790" t="str">
        <f>"10"</f>
        <v>10</v>
      </c>
      <c r="J2790" t="str">
        <f>"OP-AR02155"</f>
        <v>OP-AR02155</v>
      </c>
      <c r="K2790" t="str">
        <f>"1039H803-001/-   HARNESS WY003 - MAST POWER IN"</f>
        <v>1039H803-001/-   HARNESS WY003 - MAST POWER IN</v>
      </c>
      <c r="L2790">
        <v>1</v>
      </c>
      <c r="M2790" t="str">
        <f>"יח"</f>
        <v>יח</v>
      </c>
      <c r="N2790">
        <v>1</v>
      </c>
      <c r="O2790" t="str">
        <f>"יח"</f>
        <v>יח</v>
      </c>
      <c r="P2790">
        <v>414.74</v>
      </c>
      <c r="Q2790" t="str">
        <f>"$"</f>
        <v>$</v>
      </c>
      <c r="R2790" t="str">
        <f>"הזמנה"</f>
        <v>הזמנה</v>
      </c>
      <c r="S2790">
        <v>0</v>
      </c>
      <c r="T2790">
        <v>414.74</v>
      </c>
      <c r="U2790">
        <v>0</v>
      </c>
      <c r="V2790">
        <v>414.74</v>
      </c>
      <c r="W2790" t="str">
        <f>"$"</f>
        <v>$</v>
      </c>
      <c r="X2790">
        <v>0</v>
      </c>
      <c r="Y2790">
        <v>0</v>
      </c>
      <c r="Z2790">
        <v>0</v>
      </c>
      <c r="AA2790" t="str">
        <f>"Y"</f>
        <v>Y</v>
      </c>
      <c r="AC2790">
        <v>0</v>
      </c>
      <c r="AM2790" t="str">
        <f>"10"</f>
        <v>10</v>
      </c>
      <c r="AN2790" t="str">
        <f>"500000"</f>
        <v>500000</v>
      </c>
      <c r="AO2790" t="str">
        <f>"הכנסות  מלקוחות"</f>
        <v>הכנסות  מלקוחות</v>
      </c>
      <c r="AQ2790" t="str">
        <f>"034"</f>
        <v>034</v>
      </c>
      <c r="AR2790">
        <v>0</v>
      </c>
      <c r="AS2790">
        <v>0</v>
      </c>
      <c r="AT2790">
        <v>3.2970000000000002</v>
      </c>
      <c r="BB2790" t="str">
        <f>"Y"</f>
        <v>Y</v>
      </c>
      <c r="BD2790" t="str">
        <f>"ערן שלו"</f>
        <v>ערן שלו</v>
      </c>
    </row>
    <row r="2791" spans="1:56" x14ac:dyDescent="0.3">
      <c r="A2791" s="1">
        <v>44273</v>
      </c>
      <c r="B2791" t="str">
        <f>"SI216000412"</f>
        <v>SI216000412</v>
      </c>
      <c r="C2791" t="str">
        <f>"PR20000851"</f>
        <v>PR20000851</v>
      </c>
      <c r="E2791" t="str">
        <f>"Y"</f>
        <v>Y</v>
      </c>
      <c r="F2791" t="str">
        <f>"חשבוניות מרכזות"</f>
        <v>חשבוניות מרכזות</v>
      </c>
      <c r="G2791" t="str">
        <f>"700065"</f>
        <v>700065</v>
      </c>
      <c r="H2791" t="str">
        <f>"אלתא מערכות בע""מ"</f>
        <v>אלתא מערכות בע"מ</v>
      </c>
      <c r="I2791" t="str">
        <f>"10"</f>
        <v>10</v>
      </c>
      <c r="J2791" t="str">
        <f>"OP-AR02156"</f>
        <v>OP-AR02156</v>
      </c>
      <c r="K2791" t="str">
        <f>"1039H811-001   HARNESS WY011 - PDU TO TRA1 SHE"</f>
        <v>1039H811-001   HARNESS WY011 - PDU TO TRA1 SHE</v>
      </c>
      <c r="L2791">
        <v>1</v>
      </c>
      <c r="M2791" t="str">
        <f>"יח"</f>
        <v>יח</v>
      </c>
      <c r="N2791">
        <v>1</v>
      </c>
      <c r="O2791" t="str">
        <f>"יח"</f>
        <v>יח</v>
      </c>
      <c r="P2791">
        <v>434.16</v>
      </c>
      <c r="Q2791" t="str">
        <f>"$"</f>
        <v>$</v>
      </c>
      <c r="R2791" t="str">
        <f>"הזמנה"</f>
        <v>הזמנה</v>
      </c>
      <c r="S2791">
        <v>0</v>
      </c>
      <c r="T2791">
        <v>434.16</v>
      </c>
      <c r="U2791">
        <v>0</v>
      </c>
      <c r="V2791">
        <v>434.16</v>
      </c>
      <c r="W2791" t="str">
        <f>"$"</f>
        <v>$</v>
      </c>
      <c r="X2791">
        <v>0</v>
      </c>
      <c r="Y2791">
        <v>0</v>
      </c>
      <c r="Z2791">
        <v>0</v>
      </c>
      <c r="AA2791" t="str">
        <f>"Y"</f>
        <v>Y</v>
      </c>
      <c r="AC2791">
        <v>0</v>
      </c>
      <c r="AM2791" t="str">
        <f>"10"</f>
        <v>10</v>
      </c>
      <c r="AN2791" t="str">
        <f>"500000"</f>
        <v>500000</v>
      </c>
      <c r="AO2791" t="str">
        <f>"הכנסות  מלקוחות"</f>
        <v>הכנסות  מלקוחות</v>
      </c>
      <c r="AQ2791" t="str">
        <f>"034"</f>
        <v>034</v>
      </c>
      <c r="AR2791">
        <v>0</v>
      </c>
      <c r="AS2791">
        <v>0</v>
      </c>
      <c r="AT2791">
        <v>3.2970000000000002</v>
      </c>
      <c r="BB2791" t="str">
        <f>"Y"</f>
        <v>Y</v>
      </c>
      <c r="BD2791" t="str">
        <f>"ערן שלו"</f>
        <v>ערן שלו</v>
      </c>
    </row>
    <row r="2792" spans="1:56" x14ac:dyDescent="0.3">
      <c r="A2792" s="1">
        <v>44273</v>
      </c>
      <c r="B2792" t="str">
        <f>"SI216000412"</f>
        <v>SI216000412</v>
      </c>
      <c r="C2792" t="str">
        <f>"PR20000851"</f>
        <v>PR20000851</v>
      </c>
      <c r="E2792" t="str">
        <f>"Y"</f>
        <v>Y</v>
      </c>
      <c r="F2792" t="str">
        <f>"חשבוניות מרכזות"</f>
        <v>חשבוניות מרכזות</v>
      </c>
      <c r="G2792" t="str">
        <f>"700065"</f>
        <v>700065</v>
      </c>
      <c r="H2792" t="str">
        <f>"אלתא מערכות בע""מ"</f>
        <v>אלתא מערכות בע"מ</v>
      </c>
      <c r="I2792" t="str">
        <f>"10"</f>
        <v>10</v>
      </c>
      <c r="J2792" t="str">
        <f>"OP-AR02158"</f>
        <v>OP-AR02158</v>
      </c>
      <c r="K2792" t="str">
        <f>"1039H813-001   HARNESS WY013 - PDU TO TRA3 SHE"</f>
        <v>1039H813-001   HARNESS WY013 - PDU TO TRA3 SHE</v>
      </c>
      <c r="L2792">
        <v>1</v>
      </c>
      <c r="M2792" t="str">
        <f>"יח"</f>
        <v>יח</v>
      </c>
      <c r="N2792">
        <v>1</v>
      </c>
      <c r="O2792" t="str">
        <f>"יח"</f>
        <v>יח</v>
      </c>
      <c r="P2792">
        <v>432.4</v>
      </c>
      <c r="Q2792" t="str">
        <f>"$"</f>
        <v>$</v>
      </c>
      <c r="R2792" t="str">
        <f>"הזמנה"</f>
        <v>הזמנה</v>
      </c>
      <c r="S2792">
        <v>0</v>
      </c>
      <c r="T2792">
        <v>432.4</v>
      </c>
      <c r="U2792">
        <v>0</v>
      </c>
      <c r="V2792">
        <v>432.4</v>
      </c>
      <c r="W2792" t="str">
        <f>"$"</f>
        <v>$</v>
      </c>
      <c r="X2792">
        <v>0</v>
      </c>
      <c r="Y2792">
        <v>0</v>
      </c>
      <c r="Z2792">
        <v>0</v>
      </c>
      <c r="AA2792" t="str">
        <f>"Y"</f>
        <v>Y</v>
      </c>
      <c r="AC2792">
        <v>0</v>
      </c>
      <c r="AM2792" t="str">
        <f>"10"</f>
        <v>10</v>
      </c>
      <c r="AN2792" t="str">
        <f>"500000"</f>
        <v>500000</v>
      </c>
      <c r="AO2792" t="str">
        <f>"הכנסות  מלקוחות"</f>
        <v>הכנסות  מלקוחות</v>
      </c>
      <c r="AQ2792" t="str">
        <f>"034"</f>
        <v>034</v>
      </c>
      <c r="AR2792">
        <v>0</v>
      </c>
      <c r="AS2792">
        <v>0</v>
      </c>
      <c r="AT2792">
        <v>3.2970000000000002</v>
      </c>
      <c r="BB2792" t="str">
        <f>"Y"</f>
        <v>Y</v>
      </c>
      <c r="BD2792" t="str">
        <f>"ערן שלו"</f>
        <v>ערן שלו</v>
      </c>
    </row>
    <row r="2793" spans="1:56" x14ac:dyDescent="0.3">
      <c r="A2793" s="1">
        <v>44273</v>
      </c>
      <c r="B2793" t="str">
        <f>"SI216000412"</f>
        <v>SI216000412</v>
      </c>
      <c r="C2793" t="str">
        <f>"PR20000851"</f>
        <v>PR20000851</v>
      </c>
      <c r="E2793" t="str">
        <f>"Y"</f>
        <v>Y</v>
      </c>
      <c r="F2793" t="str">
        <f>"חשבוניות מרכזות"</f>
        <v>חשבוניות מרכזות</v>
      </c>
      <c r="G2793" t="str">
        <f>"700065"</f>
        <v>700065</v>
      </c>
      <c r="H2793" t="str">
        <f>"אלתא מערכות בע""מ"</f>
        <v>אלתא מערכות בע"מ</v>
      </c>
      <c r="I2793" t="str">
        <f>"10"</f>
        <v>10</v>
      </c>
      <c r="J2793" t="str">
        <f>"OP-AR02159"</f>
        <v>OP-AR02159</v>
      </c>
      <c r="K2793" t="str">
        <f>"1039H814-001   HARNESS WY014 - PDU TO TRA4 SHE"</f>
        <v>1039H814-001   HARNESS WY014 - PDU TO TRA4 SHE</v>
      </c>
      <c r="L2793">
        <v>1</v>
      </c>
      <c r="M2793" t="str">
        <f>"יח"</f>
        <v>יח</v>
      </c>
      <c r="N2793">
        <v>1</v>
      </c>
      <c r="O2793" t="str">
        <f>"יח"</f>
        <v>יח</v>
      </c>
      <c r="P2793">
        <v>441.92</v>
      </c>
      <c r="Q2793" t="str">
        <f>"$"</f>
        <v>$</v>
      </c>
      <c r="R2793" t="str">
        <f>"הזמנה"</f>
        <v>הזמנה</v>
      </c>
      <c r="S2793">
        <v>0</v>
      </c>
      <c r="T2793">
        <v>441.92</v>
      </c>
      <c r="U2793">
        <v>0</v>
      </c>
      <c r="V2793">
        <v>441.92</v>
      </c>
      <c r="W2793" t="str">
        <f>"$"</f>
        <v>$</v>
      </c>
      <c r="X2793">
        <v>0</v>
      </c>
      <c r="Y2793">
        <v>0</v>
      </c>
      <c r="Z2793">
        <v>0</v>
      </c>
      <c r="AA2793" t="str">
        <f>"Y"</f>
        <v>Y</v>
      </c>
      <c r="AC2793">
        <v>0</v>
      </c>
      <c r="AM2793" t="str">
        <f>"10"</f>
        <v>10</v>
      </c>
      <c r="AN2793" t="str">
        <f>"500000"</f>
        <v>500000</v>
      </c>
      <c r="AO2793" t="str">
        <f>"הכנסות  מלקוחות"</f>
        <v>הכנסות  מלקוחות</v>
      </c>
      <c r="AQ2793" t="str">
        <f>"034"</f>
        <v>034</v>
      </c>
      <c r="AR2793">
        <v>0</v>
      </c>
      <c r="AS2793">
        <v>0</v>
      </c>
      <c r="AT2793">
        <v>3.2970000000000002</v>
      </c>
      <c r="BB2793" t="str">
        <f>"Y"</f>
        <v>Y</v>
      </c>
      <c r="BD2793" t="str">
        <f>"ערן שלו"</f>
        <v>ערן שלו</v>
      </c>
    </row>
    <row r="2794" spans="1:56" x14ac:dyDescent="0.3">
      <c r="A2794" s="1">
        <v>44273</v>
      </c>
      <c r="B2794" t="str">
        <f>"SI216000412"</f>
        <v>SI216000412</v>
      </c>
      <c r="C2794" t="str">
        <f>"PR20000851"</f>
        <v>PR20000851</v>
      </c>
      <c r="E2794" t="str">
        <f>"Y"</f>
        <v>Y</v>
      </c>
      <c r="F2794" t="str">
        <f>"חשבוניות מרכזות"</f>
        <v>חשבוניות מרכזות</v>
      </c>
      <c r="G2794" t="str">
        <f>"700065"</f>
        <v>700065</v>
      </c>
      <c r="H2794" t="str">
        <f>"אלתא מערכות בע""מ"</f>
        <v>אלתא מערכות בע"מ</v>
      </c>
      <c r="I2794" t="str">
        <f>"10"</f>
        <v>10</v>
      </c>
      <c r="J2794" t="str">
        <f>"OP-AR02161"</f>
        <v>OP-AR02161</v>
      </c>
      <c r="K2794" t="str">
        <f>"1039H816-001   HARNESS WY016 - PDU TO MAST SHE"</f>
        <v>1039H816-001   HARNESS WY016 - PDU TO MAST SHE</v>
      </c>
      <c r="L2794">
        <v>5</v>
      </c>
      <c r="M2794" t="str">
        <f>"יח"</f>
        <v>יח</v>
      </c>
      <c r="N2794">
        <v>5</v>
      </c>
      <c r="O2794" t="str">
        <f>"יח"</f>
        <v>יח</v>
      </c>
      <c r="P2794">
        <v>225.71</v>
      </c>
      <c r="Q2794" t="str">
        <f>"$"</f>
        <v>$</v>
      </c>
      <c r="R2794" t="str">
        <f>"הזמנה"</f>
        <v>הזמנה</v>
      </c>
      <c r="S2794">
        <v>0</v>
      </c>
      <c r="T2794" s="2">
        <v>1128.55</v>
      </c>
      <c r="U2794">
        <v>0</v>
      </c>
      <c r="V2794" s="2">
        <v>1128.55</v>
      </c>
      <c r="W2794" t="str">
        <f>"$"</f>
        <v>$</v>
      </c>
      <c r="X2794">
        <v>0</v>
      </c>
      <c r="Y2794">
        <v>0</v>
      </c>
      <c r="Z2794">
        <v>0</v>
      </c>
      <c r="AA2794" t="str">
        <f>"Y"</f>
        <v>Y</v>
      </c>
      <c r="AC2794">
        <v>0</v>
      </c>
      <c r="AM2794" t="str">
        <f>"10"</f>
        <v>10</v>
      </c>
      <c r="AN2794" t="str">
        <f>"500000"</f>
        <v>500000</v>
      </c>
      <c r="AO2794" t="str">
        <f>"הכנסות  מלקוחות"</f>
        <v>הכנסות  מלקוחות</v>
      </c>
      <c r="AQ2794" t="str">
        <f>"034"</f>
        <v>034</v>
      </c>
      <c r="AR2794">
        <v>0</v>
      </c>
      <c r="AS2794">
        <v>0</v>
      </c>
      <c r="AT2794">
        <v>3.2970000000000002</v>
      </c>
      <c r="BB2794" t="str">
        <f>"Y"</f>
        <v>Y</v>
      </c>
      <c r="BD2794" t="str">
        <f>"ערן שלו"</f>
        <v>ערן שלו</v>
      </c>
    </row>
    <row r="2795" spans="1:56" x14ac:dyDescent="0.3">
      <c r="A2795" s="1">
        <v>44273</v>
      </c>
      <c r="B2795" t="str">
        <f>"SI216000412"</f>
        <v>SI216000412</v>
      </c>
      <c r="C2795" t="str">
        <f>"PR20000851"</f>
        <v>PR20000851</v>
      </c>
      <c r="E2795" t="str">
        <f>"Y"</f>
        <v>Y</v>
      </c>
      <c r="F2795" t="str">
        <f>"חשבוניות מרכזות"</f>
        <v>חשבוניות מרכזות</v>
      </c>
      <c r="G2795" t="str">
        <f>"700065"</f>
        <v>700065</v>
      </c>
      <c r="H2795" t="str">
        <f>"אלתא מערכות בע""מ"</f>
        <v>אלתא מערכות בע"מ</v>
      </c>
      <c r="I2795" t="str">
        <f>"10"</f>
        <v>10</v>
      </c>
      <c r="J2795" t="str">
        <f>"OP-AR02166"</f>
        <v>OP-AR02166</v>
      </c>
      <c r="K2795" t="str">
        <f>"1039H822-001/-   HARNESS WY022 - PDU TO TRA2 EXT"</f>
        <v>1039H822-001/-   HARNESS WY022 - PDU TO TRA2 EXT</v>
      </c>
      <c r="L2795">
        <v>1</v>
      </c>
      <c r="M2795" t="str">
        <f>"יח"</f>
        <v>יח</v>
      </c>
      <c r="N2795">
        <v>1</v>
      </c>
      <c r="O2795" t="str">
        <f>"יח"</f>
        <v>יח</v>
      </c>
      <c r="P2795">
        <v>828.98</v>
      </c>
      <c r="Q2795" t="str">
        <f>"$"</f>
        <v>$</v>
      </c>
      <c r="R2795" t="str">
        <f>"הזמנה"</f>
        <v>הזמנה</v>
      </c>
      <c r="S2795">
        <v>0</v>
      </c>
      <c r="T2795">
        <v>828.98</v>
      </c>
      <c r="U2795">
        <v>0</v>
      </c>
      <c r="V2795">
        <v>828.98</v>
      </c>
      <c r="W2795" t="str">
        <f>"$"</f>
        <v>$</v>
      </c>
      <c r="X2795">
        <v>0</v>
      </c>
      <c r="Y2795">
        <v>0</v>
      </c>
      <c r="Z2795">
        <v>0</v>
      </c>
      <c r="AA2795" t="str">
        <f>"Y"</f>
        <v>Y</v>
      </c>
      <c r="AC2795">
        <v>0</v>
      </c>
      <c r="AM2795" t="str">
        <f>"10"</f>
        <v>10</v>
      </c>
      <c r="AN2795" t="str">
        <f>"500000"</f>
        <v>500000</v>
      </c>
      <c r="AO2795" t="str">
        <f>"הכנסות  מלקוחות"</f>
        <v>הכנסות  מלקוחות</v>
      </c>
      <c r="AQ2795" t="str">
        <f>"034"</f>
        <v>034</v>
      </c>
      <c r="AR2795">
        <v>0</v>
      </c>
      <c r="AS2795">
        <v>0</v>
      </c>
      <c r="AT2795">
        <v>3.2970000000000002</v>
      </c>
      <c r="BB2795" t="str">
        <f>"Y"</f>
        <v>Y</v>
      </c>
      <c r="BD2795" t="str">
        <f>"ערן שלו"</f>
        <v>ערן שלו</v>
      </c>
    </row>
    <row r="2796" spans="1:56" x14ac:dyDescent="0.3">
      <c r="A2796" s="1">
        <v>44273</v>
      </c>
      <c r="B2796" t="str">
        <f>"SI216000412"</f>
        <v>SI216000412</v>
      </c>
      <c r="C2796" t="str">
        <f>"PR20000851"</f>
        <v>PR20000851</v>
      </c>
      <c r="E2796" t="str">
        <f>"Y"</f>
        <v>Y</v>
      </c>
      <c r="F2796" t="str">
        <f>"חשבוניות מרכזות"</f>
        <v>חשבוניות מרכזות</v>
      </c>
      <c r="G2796" t="str">
        <f>"700065"</f>
        <v>700065</v>
      </c>
      <c r="H2796" t="str">
        <f>"אלתא מערכות בע""מ"</f>
        <v>אלתא מערכות בע"מ</v>
      </c>
      <c r="I2796" t="str">
        <f>"10"</f>
        <v>10</v>
      </c>
      <c r="J2796" t="str">
        <f>"OP-AR02167"</f>
        <v>OP-AR02167</v>
      </c>
      <c r="K2796" t="str">
        <f>"1039H823-001/-   HARNESS WY023 - PDU TO TRA3 EXT"</f>
        <v>1039H823-001/-   HARNESS WY023 - PDU TO TRA3 EXT</v>
      </c>
      <c r="L2796">
        <v>1</v>
      </c>
      <c r="M2796" t="str">
        <f>"יח"</f>
        <v>יח</v>
      </c>
      <c r="N2796">
        <v>1</v>
      </c>
      <c r="O2796" t="str">
        <f>"יח"</f>
        <v>יח</v>
      </c>
      <c r="P2796">
        <v>828.98</v>
      </c>
      <c r="Q2796" t="str">
        <f>"$"</f>
        <v>$</v>
      </c>
      <c r="R2796" t="str">
        <f>"הזמנה"</f>
        <v>הזמנה</v>
      </c>
      <c r="S2796">
        <v>0</v>
      </c>
      <c r="T2796">
        <v>828.98</v>
      </c>
      <c r="U2796">
        <v>0</v>
      </c>
      <c r="V2796">
        <v>828.98</v>
      </c>
      <c r="W2796" t="str">
        <f>"$"</f>
        <v>$</v>
      </c>
      <c r="X2796">
        <v>0</v>
      </c>
      <c r="Y2796">
        <v>0</v>
      </c>
      <c r="Z2796">
        <v>0</v>
      </c>
      <c r="AA2796" t="str">
        <f>"Y"</f>
        <v>Y</v>
      </c>
      <c r="AC2796">
        <v>0</v>
      </c>
      <c r="AM2796" t="str">
        <f>"10"</f>
        <v>10</v>
      </c>
      <c r="AN2796" t="str">
        <f>"500000"</f>
        <v>500000</v>
      </c>
      <c r="AO2796" t="str">
        <f>"הכנסות  מלקוחות"</f>
        <v>הכנסות  מלקוחות</v>
      </c>
      <c r="AQ2796" t="str">
        <f>"034"</f>
        <v>034</v>
      </c>
      <c r="AR2796">
        <v>0</v>
      </c>
      <c r="AS2796">
        <v>0</v>
      </c>
      <c r="AT2796">
        <v>3.2970000000000002</v>
      </c>
      <c r="BB2796" t="str">
        <f>"Y"</f>
        <v>Y</v>
      </c>
      <c r="BD2796" t="str">
        <f>"ערן שלו"</f>
        <v>ערן שלו</v>
      </c>
    </row>
    <row r="2797" spans="1:56" x14ac:dyDescent="0.3">
      <c r="A2797" s="1">
        <v>44273</v>
      </c>
      <c r="B2797" t="str">
        <f>"SI216000412"</f>
        <v>SI216000412</v>
      </c>
      <c r="C2797" t="str">
        <f>"PR20000851"</f>
        <v>PR20000851</v>
      </c>
      <c r="E2797" t="str">
        <f>"Y"</f>
        <v>Y</v>
      </c>
      <c r="F2797" t="str">
        <f>"חשבוניות מרכזות"</f>
        <v>חשבוניות מרכזות</v>
      </c>
      <c r="G2797" t="str">
        <f>"700065"</f>
        <v>700065</v>
      </c>
      <c r="H2797" t="str">
        <f>"אלתא מערכות בע""מ"</f>
        <v>אלתא מערכות בע"מ</v>
      </c>
      <c r="I2797" t="str">
        <f>"10"</f>
        <v>10</v>
      </c>
      <c r="J2797" t="str">
        <f>"OP-AR02168"</f>
        <v>OP-AR02168</v>
      </c>
      <c r="K2797" t="str">
        <f>"1039H824-001/-   HARNESS WY024 - PDU TO TRA4 EXT"</f>
        <v>1039H824-001/-   HARNESS WY024 - PDU TO TRA4 EXT</v>
      </c>
      <c r="L2797">
        <v>1</v>
      </c>
      <c r="M2797" t="str">
        <f>"יח"</f>
        <v>יח</v>
      </c>
      <c r="N2797">
        <v>1</v>
      </c>
      <c r="O2797" t="str">
        <f>"יח"</f>
        <v>יח</v>
      </c>
      <c r="P2797">
        <v>822.5</v>
      </c>
      <c r="Q2797" t="str">
        <f>"$"</f>
        <v>$</v>
      </c>
      <c r="R2797" t="str">
        <f>"הזמנה"</f>
        <v>הזמנה</v>
      </c>
      <c r="S2797">
        <v>0</v>
      </c>
      <c r="T2797">
        <v>822.5</v>
      </c>
      <c r="U2797">
        <v>0</v>
      </c>
      <c r="V2797">
        <v>822.5</v>
      </c>
      <c r="W2797" t="str">
        <f>"$"</f>
        <v>$</v>
      </c>
      <c r="X2797">
        <v>0</v>
      </c>
      <c r="Y2797">
        <v>0</v>
      </c>
      <c r="Z2797">
        <v>0</v>
      </c>
      <c r="AA2797" t="str">
        <f>"Y"</f>
        <v>Y</v>
      </c>
      <c r="AC2797">
        <v>0</v>
      </c>
      <c r="AM2797" t="str">
        <f>"10"</f>
        <v>10</v>
      </c>
      <c r="AN2797" t="str">
        <f>"500000"</f>
        <v>500000</v>
      </c>
      <c r="AO2797" t="str">
        <f>"הכנסות  מלקוחות"</f>
        <v>הכנסות  מלקוחות</v>
      </c>
      <c r="AQ2797" t="str">
        <f>"034"</f>
        <v>034</v>
      </c>
      <c r="AR2797">
        <v>0</v>
      </c>
      <c r="AS2797">
        <v>0</v>
      </c>
      <c r="AT2797">
        <v>3.2970000000000002</v>
      </c>
      <c r="BB2797" t="str">
        <f>"Y"</f>
        <v>Y</v>
      </c>
      <c r="BD2797" t="str">
        <f>"ערן שלו"</f>
        <v>ערן שלו</v>
      </c>
    </row>
    <row r="2798" spans="1:56" x14ac:dyDescent="0.3">
      <c r="A2798" s="1">
        <v>44273</v>
      </c>
      <c r="B2798" t="str">
        <f>"SI216000412"</f>
        <v>SI216000412</v>
      </c>
      <c r="C2798" t="str">
        <f>"PR20000851"</f>
        <v>PR20000851</v>
      </c>
      <c r="E2798" t="str">
        <f>"Y"</f>
        <v>Y</v>
      </c>
      <c r="F2798" t="str">
        <f>"חשבוניות מרכזות"</f>
        <v>חשבוניות מרכזות</v>
      </c>
      <c r="G2798" t="str">
        <f>"700065"</f>
        <v>700065</v>
      </c>
      <c r="H2798" t="str">
        <f>"אלתא מערכות בע""מ"</f>
        <v>אלתא מערכות בע"מ</v>
      </c>
      <c r="I2798" t="str">
        <f>"10"</f>
        <v>10</v>
      </c>
      <c r="J2798" t="str">
        <f>"OP-AR02169"</f>
        <v>OP-AR02169</v>
      </c>
      <c r="K2798" t="str">
        <f>"1039H825-001/-   HARNESS WY025 - PDU TO CU EXTER"</f>
        <v>1039H825-001/-   HARNESS WY025 - PDU TO CU EXTER</v>
      </c>
      <c r="L2798">
        <v>2</v>
      </c>
      <c r="M2798" t="str">
        <f>"יח"</f>
        <v>יח</v>
      </c>
      <c r="N2798">
        <v>2</v>
      </c>
      <c r="O2798" t="str">
        <f>"יח"</f>
        <v>יח</v>
      </c>
      <c r="P2798">
        <v>514.77</v>
      </c>
      <c r="Q2798" t="str">
        <f>"$"</f>
        <v>$</v>
      </c>
      <c r="R2798" t="str">
        <f>"הזמנה"</f>
        <v>הזמנה</v>
      </c>
      <c r="S2798">
        <v>0</v>
      </c>
      <c r="T2798" s="2">
        <v>1029.54</v>
      </c>
      <c r="U2798">
        <v>0</v>
      </c>
      <c r="V2798" s="2">
        <v>1029.54</v>
      </c>
      <c r="W2798" t="str">
        <f>"$"</f>
        <v>$</v>
      </c>
      <c r="X2798">
        <v>0</v>
      </c>
      <c r="Y2798">
        <v>0</v>
      </c>
      <c r="Z2798">
        <v>0</v>
      </c>
      <c r="AA2798" t="str">
        <f>"Y"</f>
        <v>Y</v>
      </c>
      <c r="AC2798">
        <v>0</v>
      </c>
      <c r="AM2798" t="str">
        <f>"10"</f>
        <v>10</v>
      </c>
      <c r="AN2798" t="str">
        <f>"500000"</f>
        <v>500000</v>
      </c>
      <c r="AO2798" t="str">
        <f>"הכנסות  מלקוחות"</f>
        <v>הכנסות  מלקוחות</v>
      </c>
      <c r="AQ2798" t="str">
        <f>"034"</f>
        <v>034</v>
      </c>
      <c r="AR2798">
        <v>0</v>
      </c>
      <c r="AS2798">
        <v>0</v>
      </c>
      <c r="AT2798">
        <v>3.2970000000000002</v>
      </c>
      <c r="BB2798" t="str">
        <f>"Y"</f>
        <v>Y</v>
      </c>
      <c r="BD2798" t="str">
        <f>"ערן שלו"</f>
        <v>ערן שלו</v>
      </c>
    </row>
    <row r="2799" spans="1:56" x14ac:dyDescent="0.3">
      <c r="A2799" s="1">
        <v>44273</v>
      </c>
      <c r="B2799" t="str">
        <f>"SI216000412"</f>
        <v>SI216000412</v>
      </c>
      <c r="C2799" t="str">
        <f>"PR20000851"</f>
        <v>PR20000851</v>
      </c>
      <c r="E2799" t="str">
        <f>"Y"</f>
        <v>Y</v>
      </c>
      <c r="F2799" t="str">
        <f>"חשבוניות מרכזות"</f>
        <v>חשבוניות מרכזות</v>
      </c>
      <c r="G2799" t="str">
        <f>"700065"</f>
        <v>700065</v>
      </c>
      <c r="H2799" t="str">
        <f>"אלתא מערכות בע""מ"</f>
        <v>אלתא מערכות בע"מ</v>
      </c>
      <c r="I2799" t="str">
        <f>"10"</f>
        <v>10</v>
      </c>
      <c r="J2799" t="str">
        <f>"OP-AR02170"</f>
        <v>OP-AR02170</v>
      </c>
      <c r="K2799" t="str">
        <f>"1039H826-001/-   HARNESS WY026 - PDU TO MAST EXT"</f>
        <v>1039H826-001/-   HARNESS WY026 - PDU TO MAST EXT</v>
      </c>
      <c r="L2799">
        <v>1</v>
      </c>
      <c r="M2799" t="str">
        <f>"יח"</f>
        <v>יח</v>
      </c>
      <c r="N2799">
        <v>1</v>
      </c>
      <c r="O2799" t="str">
        <f>"יח"</f>
        <v>יח</v>
      </c>
      <c r="P2799">
        <v>321.27999999999997</v>
      </c>
      <c r="Q2799" t="str">
        <f>"$"</f>
        <v>$</v>
      </c>
      <c r="R2799" t="str">
        <f>"הזמנה"</f>
        <v>הזמנה</v>
      </c>
      <c r="S2799">
        <v>0</v>
      </c>
      <c r="T2799">
        <v>321.27999999999997</v>
      </c>
      <c r="U2799">
        <v>0</v>
      </c>
      <c r="V2799">
        <v>321.27999999999997</v>
      </c>
      <c r="W2799" t="str">
        <f>"$"</f>
        <v>$</v>
      </c>
      <c r="X2799">
        <v>0</v>
      </c>
      <c r="Y2799">
        <v>0</v>
      </c>
      <c r="Z2799">
        <v>0</v>
      </c>
      <c r="AA2799" t="str">
        <f>"Y"</f>
        <v>Y</v>
      </c>
      <c r="AC2799">
        <v>0</v>
      </c>
      <c r="AM2799" t="str">
        <f>"10"</f>
        <v>10</v>
      </c>
      <c r="AN2799" t="str">
        <f>"500000"</f>
        <v>500000</v>
      </c>
      <c r="AO2799" t="str">
        <f>"הכנסות  מלקוחות"</f>
        <v>הכנסות  מלקוחות</v>
      </c>
      <c r="AQ2799" t="str">
        <f>"034"</f>
        <v>034</v>
      </c>
      <c r="AR2799">
        <v>0</v>
      </c>
      <c r="AS2799">
        <v>0</v>
      </c>
      <c r="AT2799">
        <v>3.2970000000000002</v>
      </c>
      <c r="BB2799" t="str">
        <f>"Y"</f>
        <v>Y</v>
      </c>
      <c r="BD2799" t="str">
        <f>"ערן שלו"</f>
        <v>ערן שלו</v>
      </c>
    </row>
    <row r="2800" spans="1:56" x14ac:dyDescent="0.3">
      <c r="A2800" s="1">
        <v>44273</v>
      </c>
      <c r="B2800" t="str">
        <f>"SI216000412"</f>
        <v>SI216000412</v>
      </c>
      <c r="C2800" t="str">
        <f>"PR20000851"</f>
        <v>PR20000851</v>
      </c>
      <c r="E2800" t="str">
        <f>"Y"</f>
        <v>Y</v>
      </c>
      <c r="F2800" t="str">
        <f>"חשבוניות מרכזות"</f>
        <v>חשבוניות מרכזות</v>
      </c>
      <c r="G2800" t="str">
        <f>"700065"</f>
        <v>700065</v>
      </c>
      <c r="H2800" t="str">
        <f>"אלתא מערכות בע""מ"</f>
        <v>אלתא מערכות בע"מ</v>
      </c>
      <c r="I2800" t="str">
        <f>"10"</f>
        <v>10</v>
      </c>
      <c r="J2800" t="str">
        <f>"OP-AR02171"</f>
        <v>OP-AR02171</v>
      </c>
      <c r="K2800" t="str">
        <f>"1039H827-001/-   HARNESS WY027 - PDU TO FANS EXT"</f>
        <v>1039H827-001/-   HARNESS WY027 - PDU TO FANS EXT</v>
      </c>
      <c r="L2800">
        <v>1</v>
      </c>
      <c r="M2800" t="str">
        <f>"יח"</f>
        <v>יח</v>
      </c>
      <c r="N2800">
        <v>1</v>
      </c>
      <c r="O2800" t="str">
        <f>"יח"</f>
        <v>יח</v>
      </c>
      <c r="P2800">
        <v>635.34</v>
      </c>
      <c r="Q2800" t="str">
        <f>"$"</f>
        <v>$</v>
      </c>
      <c r="R2800" t="str">
        <f>"הזמנה"</f>
        <v>הזמנה</v>
      </c>
      <c r="S2800">
        <v>0</v>
      </c>
      <c r="T2800">
        <v>635.34</v>
      </c>
      <c r="U2800">
        <v>0</v>
      </c>
      <c r="V2800">
        <v>635.34</v>
      </c>
      <c r="W2800" t="str">
        <f>"$"</f>
        <v>$</v>
      </c>
      <c r="X2800">
        <v>0</v>
      </c>
      <c r="Y2800">
        <v>0</v>
      </c>
      <c r="Z2800">
        <v>0</v>
      </c>
      <c r="AA2800" t="str">
        <f>"Y"</f>
        <v>Y</v>
      </c>
      <c r="AC2800">
        <v>0</v>
      </c>
      <c r="AM2800" t="str">
        <f>"10"</f>
        <v>10</v>
      </c>
      <c r="AN2800" t="str">
        <f>"500000"</f>
        <v>500000</v>
      </c>
      <c r="AO2800" t="str">
        <f>"הכנסות  מלקוחות"</f>
        <v>הכנסות  מלקוחות</v>
      </c>
      <c r="AQ2800" t="str">
        <f>"034"</f>
        <v>034</v>
      </c>
      <c r="AR2800">
        <v>0</v>
      </c>
      <c r="AS2800">
        <v>0</v>
      </c>
      <c r="AT2800">
        <v>3.2970000000000002</v>
      </c>
      <c r="BB2800" t="str">
        <f>"Y"</f>
        <v>Y</v>
      </c>
      <c r="BD2800" t="str">
        <f>"ערן שלו"</f>
        <v>ערן שלו</v>
      </c>
    </row>
    <row r="2801" spans="1:56" x14ac:dyDescent="0.3">
      <c r="A2801" s="1">
        <v>44273</v>
      </c>
      <c r="B2801" t="str">
        <f>"SI216000412"</f>
        <v>SI216000412</v>
      </c>
      <c r="C2801" t="str">
        <f>"PR20000851"</f>
        <v>PR20000851</v>
      </c>
      <c r="E2801" t="str">
        <f>"Y"</f>
        <v>Y</v>
      </c>
      <c r="F2801" t="str">
        <f>"חשבוניות מרכזות"</f>
        <v>חשבוניות מרכזות</v>
      </c>
      <c r="G2801" t="str">
        <f>"700065"</f>
        <v>700065</v>
      </c>
      <c r="H2801" t="str">
        <f>"אלתא מערכות בע""מ"</f>
        <v>אלתא מערכות בע"מ</v>
      </c>
      <c r="I2801" t="str">
        <f>"10"</f>
        <v>10</v>
      </c>
      <c r="J2801" t="str">
        <f>"OP-AR02172"</f>
        <v>OP-AR02172</v>
      </c>
      <c r="K2801" t="str">
        <f>"1039H828-001/-   HARNESS WY028 - PDU TO IFF EXTE"</f>
        <v>1039H828-001/-   HARNESS WY028 - PDU TO IFF EXTE</v>
      </c>
      <c r="L2801">
        <v>1</v>
      </c>
      <c r="M2801" t="str">
        <f>"יח"</f>
        <v>יח</v>
      </c>
      <c r="N2801">
        <v>1</v>
      </c>
      <c r="O2801" t="str">
        <f>"יח"</f>
        <v>יח</v>
      </c>
      <c r="P2801">
        <v>593.54999999999995</v>
      </c>
      <c r="Q2801" t="str">
        <f>"$"</f>
        <v>$</v>
      </c>
      <c r="R2801" t="str">
        <f>"הזמנה"</f>
        <v>הזמנה</v>
      </c>
      <c r="S2801">
        <v>0</v>
      </c>
      <c r="T2801">
        <v>593.54999999999995</v>
      </c>
      <c r="U2801">
        <v>0</v>
      </c>
      <c r="V2801">
        <v>593.54999999999995</v>
      </c>
      <c r="W2801" t="str">
        <f>"$"</f>
        <v>$</v>
      </c>
      <c r="X2801">
        <v>0</v>
      </c>
      <c r="Y2801">
        <v>0</v>
      </c>
      <c r="Z2801">
        <v>0</v>
      </c>
      <c r="AA2801" t="str">
        <f>"Y"</f>
        <v>Y</v>
      </c>
      <c r="AC2801">
        <v>0</v>
      </c>
      <c r="AM2801" t="str">
        <f>"10"</f>
        <v>10</v>
      </c>
      <c r="AN2801" t="str">
        <f>"500000"</f>
        <v>500000</v>
      </c>
      <c r="AO2801" t="str">
        <f>"הכנסות  מלקוחות"</f>
        <v>הכנסות  מלקוחות</v>
      </c>
      <c r="AQ2801" t="str">
        <f>"034"</f>
        <v>034</v>
      </c>
      <c r="AR2801">
        <v>0</v>
      </c>
      <c r="AS2801">
        <v>0</v>
      </c>
      <c r="AT2801">
        <v>3.2970000000000002</v>
      </c>
      <c r="BB2801" t="str">
        <f>"Y"</f>
        <v>Y</v>
      </c>
      <c r="BD2801" t="str">
        <f>"ערן שלו"</f>
        <v>ערן שלו</v>
      </c>
    </row>
    <row r="2802" spans="1:56" x14ac:dyDescent="0.3">
      <c r="A2802" s="1">
        <v>44273</v>
      </c>
      <c r="B2802" t="str">
        <f>"SI216000412"</f>
        <v>SI216000412</v>
      </c>
      <c r="C2802" t="str">
        <f>"PR20000851"</f>
        <v>PR20000851</v>
      </c>
      <c r="E2802" t="str">
        <f>"Y"</f>
        <v>Y</v>
      </c>
      <c r="F2802" t="str">
        <f>"חשבוניות מרכזות"</f>
        <v>חשבוניות מרכזות</v>
      </c>
      <c r="G2802" t="str">
        <f>"700065"</f>
        <v>700065</v>
      </c>
      <c r="H2802" t="str">
        <f>"אלתא מערכות בע""מ"</f>
        <v>אלתא מערכות בע"מ</v>
      </c>
      <c r="I2802" t="str">
        <f>"10"</f>
        <v>10</v>
      </c>
      <c r="J2802" t="str">
        <f>"OP-AR02173"</f>
        <v>OP-AR02173</v>
      </c>
      <c r="K2802" t="str">
        <f>"1039H831-001/-   HARNESS WY031 - PDU TO TRA1 EXT"</f>
        <v>1039H831-001/-   HARNESS WY031 - PDU TO TRA1 EXT</v>
      </c>
      <c r="L2802">
        <v>1</v>
      </c>
      <c r="M2802" t="str">
        <f>"יח"</f>
        <v>יח</v>
      </c>
      <c r="N2802">
        <v>1</v>
      </c>
      <c r="O2802" t="str">
        <f>"יח"</f>
        <v>יח</v>
      </c>
      <c r="P2802" s="2">
        <v>1350.76</v>
      </c>
      <c r="Q2802" t="str">
        <f>"$"</f>
        <v>$</v>
      </c>
      <c r="R2802" t="str">
        <f>"הזמנה"</f>
        <v>הזמנה</v>
      </c>
      <c r="S2802">
        <v>0</v>
      </c>
      <c r="T2802" s="2">
        <v>1350.76</v>
      </c>
      <c r="U2802">
        <v>0</v>
      </c>
      <c r="V2802" s="2">
        <v>1350.76</v>
      </c>
      <c r="W2802" t="str">
        <f>"$"</f>
        <v>$</v>
      </c>
      <c r="X2802">
        <v>0</v>
      </c>
      <c r="Y2802">
        <v>0</v>
      </c>
      <c r="Z2802">
        <v>0</v>
      </c>
      <c r="AA2802" t="str">
        <f>"Y"</f>
        <v>Y</v>
      </c>
      <c r="AC2802">
        <v>0</v>
      </c>
      <c r="AM2802" t="str">
        <f>"10"</f>
        <v>10</v>
      </c>
      <c r="AN2802" t="str">
        <f>"500000"</f>
        <v>500000</v>
      </c>
      <c r="AO2802" t="str">
        <f>"הכנסות  מלקוחות"</f>
        <v>הכנסות  מלקוחות</v>
      </c>
      <c r="AQ2802" t="str">
        <f>"034"</f>
        <v>034</v>
      </c>
      <c r="AR2802">
        <v>0</v>
      </c>
      <c r="AS2802">
        <v>0</v>
      </c>
      <c r="AT2802">
        <v>3.2970000000000002</v>
      </c>
      <c r="BB2802" t="str">
        <f>"Y"</f>
        <v>Y</v>
      </c>
      <c r="BD2802" t="str">
        <f>"ערן שלו"</f>
        <v>ערן שלו</v>
      </c>
    </row>
    <row r="2803" spans="1:56" x14ac:dyDescent="0.3">
      <c r="A2803" s="1">
        <v>44273</v>
      </c>
      <c r="B2803" t="str">
        <f>"SI216000412"</f>
        <v>SI216000412</v>
      </c>
      <c r="C2803" t="str">
        <f>"PR20000851"</f>
        <v>PR20000851</v>
      </c>
      <c r="E2803" t="str">
        <f>"Y"</f>
        <v>Y</v>
      </c>
      <c r="F2803" t="str">
        <f>"חשבוניות מרכזות"</f>
        <v>חשבוניות מרכזות</v>
      </c>
      <c r="G2803" t="str">
        <f>"700065"</f>
        <v>700065</v>
      </c>
      <c r="H2803" t="str">
        <f>"אלתא מערכות בע""מ"</f>
        <v>אלתא מערכות בע"מ</v>
      </c>
      <c r="I2803" t="str">
        <f>"10"</f>
        <v>10</v>
      </c>
      <c r="J2803" t="str">
        <f>"OP-AR02174"</f>
        <v>OP-AR02174</v>
      </c>
      <c r="K2803" t="str">
        <f>"1039H832-001/-   HARNESS WY032 - PDU TO TRA2 EXT"</f>
        <v>1039H832-001/-   HARNESS WY032 - PDU TO TRA2 EXT</v>
      </c>
      <c r="L2803">
        <v>1</v>
      </c>
      <c r="M2803" t="str">
        <f>"יח"</f>
        <v>יח</v>
      </c>
      <c r="N2803">
        <v>1</v>
      </c>
      <c r="O2803" t="str">
        <f>"יח"</f>
        <v>יח</v>
      </c>
      <c r="P2803" s="2">
        <v>1328.07</v>
      </c>
      <c r="Q2803" t="str">
        <f>"$"</f>
        <v>$</v>
      </c>
      <c r="R2803" t="str">
        <f>"הזמנה"</f>
        <v>הזמנה</v>
      </c>
      <c r="S2803">
        <v>0</v>
      </c>
      <c r="T2803" s="2">
        <v>1328.07</v>
      </c>
      <c r="U2803">
        <v>0</v>
      </c>
      <c r="V2803" s="2">
        <v>1328.07</v>
      </c>
      <c r="W2803" t="str">
        <f>"$"</f>
        <v>$</v>
      </c>
      <c r="X2803">
        <v>0</v>
      </c>
      <c r="Y2803">
        <v>0</v>
      </c>
      <c r="Z2803">
        <v>0</v>
      </c>
      <c r="AA2803" t="str">
        <f>"Y"</f>
        <v>Y</v>
      </c>
      <c r="AC2803">
        <v>0</v>
      </c>
      <c r="AM2803" t="str">
        <f>"10"</f>
        <v>10</v>
      </c>
      <c r="AN2803" t="str">
        <f>"500000"</f>
        <v>500000</v>
      </c>
      <c r="AO2803" t="str">
        <f>"הכנסות  מלקוחות"</f>
        <v>הכנסות  מלקוחות</v>
      </c>
      <c r="AQ2803" t="str">
        <f>"034"</f>
        <v>034</v>
      </c>
      <c r="AR2803">
        <v>0</v>
      </c>
      <c r="AS2803">
        <v>0</v>
      </c>
      <c r="AT2803">
        <v>3.2970000000000002</v>
      </c>
      <c r="BB2803" t="str">
        <f>"Y"</f>
        <v>Y</v>
      </c>
      <c r="BD2803" t="str">
        <f>"ערן שלו"</f>
        <v>ערן שלו</v>
      </c>
    </row>
    <row r="2804" spans="1:56" x14ac:dyDescent="0.3">
      <c r="A2804" s="1">
        <v>44273</v>
      </c>
      <c r="B2804" t="str">
        <f>"SI216000412"</f>
        <v>SI216000412</v>
      </c>
      <c r="C2804" t="str">
        <f>"PR20000851"</f>
        <v>PR20000851</v>
      </c>
      <c r="E2804" t="str">
        <f>"Y"</f>
        <v>Y</v>
      </c>
      <c r="F2804" t="str">
        <f>"חשבוניות מרכזות"</f>
        <v>חשבוניות מרכזות</v>
      </c>
      <c r="G2804" t="str">
        <f>"700065"</f>
        <v>700065</v>
      </c>
      <c r="H2804" t="str">
        <f>"אלתא מערכות בע""מ"</f>
        <v>אלתא מערכות בע"מ</v>
      </c>
      <c r="I2804" t="str">
        <f>"10"</f>
        <v>10</v>
      </c>
      <c r="J2804" t="str">
        <f>"OP-AR02175"</f>
        <v>OP-AR02175</v>
      </c>
      <c r="K2804" t="str">
        <f>"1039H833-001/-   HARNESS WY033 - PDU TO TRA3 EXT"</f>
        <v>1039H833-001/-   HARNESS WY033 - PDU TO TRA3 EXT</v>
      </c>
      <c r="L2804">
        <v>1</v>
      </c>
      <c r="M2804" t="str">
        <f>"יח"</f>
        <v>יח</v>
      </c>
      <c r="N2804">
        <v>1</v>
      </c>
      <c r="O2804" t="str">
        <f>"יח"</f>
        <v>יח</v>
      </c>
      <c r="P2804" s="2">
        <v>1348.85</v>
      </c>
      <c r="Q2804" t="str">
        <f>"$"</f>
        <v>$</v>
      </c>
      <c r="R2804" t="str">
        <f>"הזמנה"</f>
        <v>הזמנה</v>
      </c>
      <c r="S2804">
        <v>0</v>
      </c>
      <c r="T2804" s="2">
        <v>1348.85</v>
      </c>
      <c r="U2804">
        <v>0</v>
      </c>
      <c r="V2804" s="2">
        <v>1348.85</v>
      </c>
      <c r="W2804" t="str">
        <f>"$"</f>
        <v>$</v>
      </c>
      <c r="X2804">
        <v>0</v>
      </c>
      <c r="Y2804">
        <v>0</v>
      </c>
      <c r="Z2804">
        <v>0</v>
      </c>
      <c r="AA2804" t="str">
        <f>"Y"</f>
        <v>Y</v>
      </c>
      <c r="AC2804">
        <v>0</v>
      </c>
      <c r="AM2804" t="str">
        <f>"10"</f>
        <v>10</v>
      </c>
      <c r="AN2804" t="str">
        <f>"500000"</f>
        <v>500000</v>
      </c>
      <c r="AO2804" t="str">
        <f>"הכנסות  מלקוחות"</f>
        <v>הכנסות  מלקוחות</v>
      </c>
      <c r="AQ2804" t="str">
        <f>"034"</f>
        <v>034</v>
      </c>
      <c r="AR2804">
        <v>0</v>
      </c>
      <c r="AS2804">
        <v>0</v>
      </c>
      <c r="AT2804">
        <v>3.2970000000000002</v>
      </c>
      <c r="BB2804" t="str">
        <f>"Y"</f>
        <v>Y</v>
      </c>
      <c r="BD2804" t="str">
        <f>"ערן שלו"</f>
        <v>ערן שלו</v>
      </c>
    </row>
    <row r="2805" spans="1:56" x14ac:dyDescent="0.3">
      <c r="A2805" s="1">
        <v>44273</v>
      </c>
      <c r="B2805" t="str">
        <f>"SI216000412"</f>
        <v>SI216000412</v>
      </c>
      <c r="C2805" t="str">
        <f>"PR20000851"</f>
        <v>PR20000851</v>
      </c>
      <c r="E2805" t="str">
        <f>"Y"</f>
        <v>Y</v>
      </c>
      <c r="F2805" t="str">
        <f>"חשבוניות מרכזות"</f>
        <v>חשבוניות מרכזות</v>
      </c>
      <c r="G2805" t="str">
        <f>"700065"</f>
        <v>700065</v>
      </c>
      <c r="H2805" t="str">
        <f>"אלתא מערכות בע""מ"</f>
        <v>אלתא מערכות בע"מ</v>
      </c>
      <c r="I2805" t="str">
        <f>"10"</f>
        <v>10</v>
      </c>
      <c r="J2805" t="str">
        <f>"OP-AR02181"</f>
        <v>OP-AR02181</v>
      </c>
      <c r="K2805" t="str">
        <f>"1039H842-001   HARNESS WY042 - PDU REMOTE TO U"</f>
        <v>1039H842-001   HARNESS WY042 - PDU REMOTE TO U</v>
      </c>
      <c r="L2805">
        <v>1</v>
      </c>
      <c r="M2805" t="str">
        <f>"יח"</f>
        <v>יח</v>
      </c>
      <c r="N2805">
        <v>1</v>
      </c>
      <c r="O2805" t="str">
        <f>"יח"</f>
        <v>יח</v>
      </c>
      <c r="P2805">
        <v>449.8</v>
      </c>
      <c r="Q2805" t="str">
        <f>"$"</f>
        <v>$</v>
      </c>
      <c r="R2805" t="str">
        <f>"הזמנה"</f>
        <v>הזמנה</v>
      </c>
      <c r="S2805">
        <v>0</v>
      </c>
      <c r="T2805">
        <v>449.8</v>
      </c>
      <c r="U2805">
        <v>0</v>
      </c>
      <c r="V2805">
        <v>449.8</v>
      </c>
      <c r="W2805" t="str">
        <f>"$"</f>
        <v>$</v>
      </c>
      <c r="X2805">
        <v>0</v>
      </c>
      <c r="Y2805">
        <v>0</v>
      </c>
      <c r="Z2805">
        <v>0</v>
      </c>
      <c r="AA2805" t="str">
        <f>"Y"</f>
        <v>Y</v>
      </c>
      <c r="AC2805">
        <v>0</v>
      </c>
      <c r="AM2805" t="str">
        <f>"10"</f>
        <v>10</v>
      </c>
      <c r="AN2805" t="str">
        <f>"500000"</f>
        <v>500000</v>
      </c>
      <c r="AO2805" t="str">
        <f>"הכנסות  מלקוחות"</f>
        <v>הכנסות  מלקוחות</v>
      </c>
      <c r="AQ2805" t="str">
        <f>"034"</f>
        <v>034</v>
      </c>
      <c r="AR2805">
        <v>0</v>
      </c>
      <c r="AS2805">
        <v>0</v>
      </c>
      <c r="AT2805">
        <v>3.2970000000000002</v>
      </c>
      <c r="BB2805" t="str">
        <f>"Y"</f>
        <v>Y</v>
      </c>
      <c r="BD2805" t="str">
        <f>"ערן שלו"</f>
        <v>ערן שלו</v>
      </c>
    </row>
    <row r="2806" spans="1:56" x14ac:dyDescent="0.3">
      <c r="A2806" s="1">
        <v>44273</v>
      </c>
      <c r="B2806" t="str">
        <f>"SI216000412"</f>
        <v>SI216000412</v>
      </c>
      <c r="C2806" t="str">
        <f>"PR20000851"</f>
        <v>PR20000851</v>
      </c>
      <c r="E2806" t="str">
        <f>"Y"</f>
        <v>Y</v>
      </c>
      <c r="F2806" t="str">
        <f>"חשבוניות מרכזות"</f>
        <v>חשבוניות מרכזות</v>
      </c>
      <c r="G2806" t="str">
        <f>"700065"</f>
        <v>700065</v>
      </c>
      <c r="H2806" t="str">
        <f>"אלתא מערכות בע""מ"</f>
        <v>אלתא מערכות בע"מ</v>
      </c>
      <c r="I2806" t="str">
        <f>"10"</f>
        <v>10</v>
      </c>
      <c r="J2806" t="str">
        <f>"OP-AR02183"</f>
        <v>OP-AR02183</v>
      </c>
      <c r="K2806" t="str">
        <f>"1039H844-001   HARNESS WY044 - LAN SW TO SHELT"</f>
        <v>1039H844-001   HARNESS WY044 - LAN SW TO SHELT</v>
      </c>
      <c r="L2806">
        <v>1</v>
      </c>
      <c r="M2806" t="str">
        <f>"יח"</f>
        <v>יח</v>
      </c>
      <c r="N2806">
        <v>1</v>
      </c>
      <c r="O2806" t="str">
        <f>"יח"</f>
        <v>יח</v>
      </c>
      <c r="P2806">
        <v>176.7</v>
      </c>
      <c r="Q2806" t="str">
        <f>"$"</f>
        <v>$</v>
      </c>
      <c r="R2806" t="str">
        <f>"הזמנה"</f>
        <v>הזמנה</v>
      </c>
      <c r="S2806">
        <v>0</v>
      </c>
      <c r="T2806">
        <v>176.7</v>
      </c>
      <c r="U2806">
        <v>0</v>
      </c>
      <c r="V2806">
        <v>176.7</v>
      </c>
      <c r="W2806" t="str">
        <f>"$"</f>
        <v>$</v>
      </c>
      <c r="X2806">
        <v>0</v>
      </c>
      <c r="Y2806">
        <v>0</v>
      </c>
      <c r="Z2806">
        <v>0</v>
      </c>
      <c r="AA2806" t="str">
        <f>"Y"</f>
        <v>Y</v>
      </c>
      <c r="AC2806">
        <v>0</v>
      </c>
      <c r="AM2806" t="str">
        <f>"10"</f>
        <v>10</v>
      </c>
      <c r="AN2806" t="str">
        <f>"500000"</f>
        <v>500000</v>
      </c>
      <c r="AO2806" t="str">
        <f>"הכנסות  מלקוחות"</f>
        <v>הכנסות  מלקוחות</v>
      </c>
      <c r="AQ2806" t="str">
        <f>"034"</f>
        <v>034</v>
      </c>
      <c r="AR2806">
        <v>0</v>
      </c>
      <c r="AS2806">
        <v>0</v>
      </c>
      <c r="AT2806">
        <v>3.2970000000000002</v>
      </c>
      <c r="BB2806" t="str">
        <f>"Y"</f>
        <v>Y</v>
      </c>
      <c r="BD2806" t="str">
        <f>"ערן שלו"</f>
        <v>ערן שלו</v>
      </c>
    </row>
    <row r="2807" spans="1:56" x14ac:dyDescent="0.3">
      <c r="A2807" s="1">
        <v>44273</v>
      </c>
      <c r="B2807" t="str">
        <f>"SI216000412"</f>
        <v>SI216000412</v>
      </c>
      <c r="C2807" t="str">
        <f>"PR20000851"</f>
        <v>PR20000851</v>
      </c>
      <c r="E2807" t="str">
        <f>"Y"</f>
        <v>Y</v>
      </c>
      <c r="F2807" t="str">
        <f>"חשבוניות מרכזות"</f>
        <v>חשבוניות מרכזות</v>
      </c>
      <c r="G2807" t="str">
        <f>"700065"</f>
        <v>700065</v>
      </c>
      <c r="H2807" t="str">
        <f>"אלתא מערכות בע""מ"</f>
        <v>אלתא מערכות בע"מ</v>
      </c>
      <c r="I2807" t="str">
        <f>"10"</f>
        <v>10</v>
      </c>
      <c r="J2807" t="str">
        <f>"OP-AR02188"</f>
        <v>OP-AR02188</v>
      </c>
      <c r="K2807" t="str">
        <f>"1039H862-001/-   HARNESS WY062 - CU TO TRA2 AND"</f>
        <v>1039H862-001/-   HARNESS WY062 - CU TO TRA2 AND</v>
      </c>
      <c r="L2807">
        <v>1</v>
      </c>
      <c r="M2807" t="str">
        <f>"יח"</f>
        <v>יח</v>
      </c>
      <c r="N2807">
        <v>1</v>
      </c>
      <c r="O2807" t="str">
        <f>"יח"</f>
        <v>יח</v>
      </c>
      <c r="P2807" s="2">
        <v>1110.94</v>
      </c>
      <c r="Q2807" t="str">
        <f>"$"</f>
        <v>$</v>
      </c>
      <c r="R2807" t="str">
        <f>"הזמנה"</f>
        <v>הזמנה</v>
      </c>
      <c r="S2807">
        <v>0</v>
      </c>
      <c r="T2807" s="2">
        <v>1110.94</v>
      </c>
      <c r="U2807">
        <v>0</v>
      </c>
      <c r="V2807" s="2">
        <v>1110.94</v>
      </c>
      <c r="W2807" t="str">
        <f>"$"</f>
        <v>$</v>
      </c>
      <c r="X2807">
        <v>0</v>
      </c>
      <c r="Y2807">
        <v>0</v>
      </c>
      <c r="Z2807">
        <v>0</v>
      </c>
      <c r="AA2807" t="str">
        <f>"Y"</f>
        <v>Y</v>
      </c>
      <c r="AC2807">
        <v>0</v>
      </c>
      <c r="AM2807" t="str">
        <f>"10"</f>
        <v>10</v>
      </c>
      <c r="AN2807" t="str">
        <f>"500000"</f>
        <v>500000</v>
      </c>
      <c r="AO2807" t="str">
        <f>"הכנסות  מלקוחות"</f>
        <v>הכנסות  מלקוחות</v>
      </c>
      <c r="AQ2807" t="str">
        <f>"034"</f>
        <v>034</v>
      </c>
      <c r="AR2807">
        <v>0</v>
      </c>
      <c r="AS2807">
        <v>0</v>
      </c>
      <c r="AT2807">
        <v>3.2970000000000002</v>
      </c>
      <c r="BB2807" t="str">
        <f>"Y"</f>
        <v>Y</v>
      </c>
      <c r="BD2807" t="str">
        <f>"ערן שלו"</f>
        <v>ערן שלו</v>
      </c>
    </row>
    <row r="2808" spans="1:56" x14ac:dyDescent="0.3">
      <c r="A2808" s="1">
        <v>44273</v>
      </c>
      <c r="B2808" t="str">
        <f>"CR217000001"</f>
        <v>CR217000001</v>
      </c>
      <c r="C2808" t="str">
        <f>"PR20000531"</f>
        <v>PR20000531</v>
      </c>
      <c r="E2808" t="str">
        <f>"Y"</f>
        <v>Y</v>
      </c>
      <c r="F2808" t="str">
        <f>"חשבוניות זיכוי"</f>
        <v>חשבוניות זיכוי</v>
      </c>
      <c r="G2808" t="str">
        <f>"700065"</f>
        <v>700065</v>
      </c>
      <c r="H2808" t="str">
        <f>"אלתא מערכות בע""מ"</f>
        <v>אלתא מערכות בע"מ</v>
      </c>
      <c r="I2808" t="str">
        <f>"10"</f>
        <v>10</v>
      </c>
      <c r="J2808" t="str">
        <f>"PA1000608"</f>
        <v>PA1000608</v>
      </c>
      <c r="K2808" t="str">
        <f>"מתאם לפלאג RQND-40AB-S-1506-SB"</f>
        <v>מתאם לפלאג RQND-40AB-S-1506-SB</v>
      </c>
      <c r="L2808">
        <v>1</v>
      </c>
      <c r="M2808" t="str">
        <f>"יח"</f>
        <v>יח</v>
      </c>
      <c r="N2808">
        <v>1</v>
      </c>
      <c r="O2808" t="str">
        <f>"יח"</f>
        <v>יח</v>
      </c>
      <c r="P2808" s="2">
        <v>1118.8800000000001</v>
      </c>
      <c r="Q2808" t="str">
        <f>"$"</f>
        <v>$</v>
      </c>
      <c r="R2808" t="str">
        <f>"הזמנה"</f>
        <v>הזמנה</v>
      </c>
      <c r="S2808">
        <v>0</v>
      </c>
      <c r="T2808" s="2">
        <v>1118.8800000000001</v>
      </c>
      <c r="U2808">
        <v>0</v>
      </c>
      <c r="V2808" s="2">
        <v>1118.8800000000001</v>
      </c>
      <c r="W2808" t="str">
        <f>"$"</f>
        <v>$</v>
      </c>
      <c r="X2808">
        <v>0</v>
      </c>
      <c r="Y2808">
        <v>0</v>
      </c>
      <c r="Z2808">
        <v>0</v>
      </c>
      <c r="AA2808" t="str">
        <f>"Y"</f>
        <v>Y</v>
      </c>
      <c r="AC2808">
        <v>0</v>
      </c>
      <c r="AM2808" t="str">
        <f>"10"</f>
        <v>10</v>
      </c>
      <c r="AN2808" t="str">
        <f>"500000"</f>
        <v>500000</v>
      </c>
      <c r="AO2808" t="str">
        <f>"הכנסות  מלקוחות"</f>
        <v>הכנסות  מלקוחות</v>
      </c>
      <c r="AQ2808" t="str">
        <f>"034"</f>
        <v>034</v>
      </c>
      <c r="AR2808">
        <v>0</v>
      </c>
      <c r="AS2808">
        <v>0</v>
      </c>
      <c r="AT2808">
        <v>3.21</v>
      </c>
      <c r="BB2808" t="str">
        <f>"Y"</f>
        <v>Y</v>
      </c>
      <c r="BD2808" t="str">
        <f>"ערן שלו"</f>
        <v>ערן שלו</v>
      </c>
    </row>
    <row r="2809" spans="1:56" x14ac:dyDescent="0.3">
      <c r="A2809" s="1">
        <v>44264</v>
      </c>
      <c r="B2809" t="str">
        <f>"SI216000362"</f>
        <v>SI216000362</v>
      </c>
      <c r="C2809" t="str">
        <f>"PR20000570"</f>
        <v>PR20000570</v>
      </c>
      <c r="D2809" t="str">
        <f>"PR20000570"</f>
        <v>PR20000570</v>
      </c>
      <c r="E2809" t="str">
        <f>"Y"</f>
        <v>Y</v>
      </c>
      <c r="F2809" t="str">
        <f>"חשבוניות מרכזות"</f>
        <v>חשבוניות מרכזות</v>
      </c>
      <c r="G2809" t="str">
        <f>"700065"</f>
        <v>700065</v>
      </c>
      <c r="H2809" t="str">
        <f>"אלתא מערכות בע""מ"</f>
        <v>אלתא מערכות בע"מ</v>
      </c>
      <c r="I2809" t="str">
        <f>"10"</f>
        <v>10</v>
      </c>
      <c r="J2809" t="str">
        <f>"OP-AR01770"</f>
        <v>OP-AR01770</v>
      </c>
      <c r="K2809" t="str">
        <f>"1036U451-001 WP451 - POWER 400VAC PDB TO LRCU"</f>
        <v>1036U451-001 WP451 - POWER 400VAC PDB TO LRCU</v>
      </c>
      <c r="L2809">
        <v>1</v>
      </c>
      <c r="M2809" t="str">
        <f>"יח"</f>
        <v>יח</v>
      </c>
      <c r="N2809">
        <v>1</v>
      </c>
      <c r="O2809" t="str">
        <f>"יח"</f>
        <v>יח</v>
      </c>
      <c r="P2809" s="2">
        <v>2395.77</v>
      </c>
      <c r="Q2809" t="str">
        <f>"$"</f>
        <v>$</v>
      </c>
      <c r="R2809" t="str">
        <f>"הזמנה"</f>
        <v>הזמנה</v>
      </c>
      <c r="S2809">
        <v>0</v>
      </c>
      <c r="T2809" s="2">
        <v>2395.77</v>
      </c>
      <c r="U2809">
        <v>0</v>
      </c>
      <c r="V2809" s="2">
        <v>2395.77</v>
      </c>
      <c r="W2809" t="str">
        <f>"$"</f>
        <v>$</v>
      </c>
      <c r="X2809">
        <v>0</v>
      </c>
      <c r="Y2809">
        <v>0</v>
      </c>
      <c r="Z2809">
        <v>0</v>
      </c>
      <c r="AA2809" t="str">
        <f>"Y"</f>
        <v>Y</v>
      </c>
      <c r="AB2809" t="str">
        <f>"SO20000367"</f>
        <v>SO20000367</v>
      </c>
      <c r="AC2809">
        <v>9</v>
      </c>
      <c r="AD2809" s="1">
        <v>44067</v>
      </c>
      <c r="AE2809" t="str">
        <f>"SH21000367"</f>
        <v>SH21000367</v>
      </c>
      <c r="AF2809" t="str">
        <f>"משלוחים ללקוח"</f>
        <v>משלוחים ללקוח</v>
      </c>
      <c r="AG2809" s="1">
        <v>44264</v>
      </c>
      <c r="AM2809" t="str">
        <f>"10"</f>
        <v>10</v>
      </c>
      <c r="AN2809" t="str">
        <f>"500000"</f>
        <v>500000</v>
      </c>
      <c r="AO2809" t="str">
        <f>"הכנסות  מלקוחות"</f>
        <v>הכנסות  מלקוחות</v>
      </c>
      <c r="AQ2809" t="str">
        <f>"034"</f>
        <v>034</v>
      </c>
      <c r="AR2809">
        <v>0</v>
      </c>
      <c r="AS2809">
        <v>0</v>
      </c>
      <c r="AT2809">
        <v>3.3290000000000002</v>
      </c>
      <c r="AX2809" t="str">
        <f>"E000319026"</f>
        <v>E000319026</v>
      </c>
      <c r="BD2809" t="str">
        <f>"ערן שלו"</f>
        <v>ערן שלו</v>
      </c>
    </row>
    <row r="2810" spans="1:56" x14ac:dyDescent="0.3">
      <c r="A2810" s="1">
        <v>44263</v>
      </c>
      <c r="B2810" t="str">
        <f>"SI216000378"</f>
        <v>SI216000378</v>
      </c>
      <c r="E2810" t="str">
        <f>"Y"</f>
        <v>Y</v>
      </c>
      <c r="F2810" t="str">
        <f>"חשבוניות מרכזות"</f>
        <v>חשבוניות מרכזות</v>
      </c>
      <c r="G2810" t="str">
        <f>"700065"</f>
        <v>700065</v>
      </c>
      <c r="H2810" t="str">
        <f>"אלתא מערכות בע""מ"</f>
        <v>אלתא מערכות בע"מ</v>
      </c>
      <c r="I2810" t="str">
        <f>"10"</f>
        <v>10</v>
      </c>
      <c r="J2810" t="str">
        <f>"PD0201519"</f>
        <v>PD0201519</v>
      </c>
      <c r="K2810" t="str">
        <f>"מא""ז 2X32 10K ABB S202M-C32UC"</f>
        <v>מא"ז 2X32 10K ABB S202M-C32UC</v>
      </c>
      <c r="L2810">
        <v>7</v>
      </c>
      <c r="M2810" t="str">
        <f>"יח"</f>
        <v>יח</v>
      </c>
      <c r="N2810">
        <v>7</v>
      </c>
      <c r="O2810" t="str">
        <f>"יח"</f>
        <v>יח</v>
      </c>
      <c r="P2810">
        <v>75</v>
      </c>
      <c r="Q2810" t="str">
        <f>"$"</f>
        <v>$</v>
      </c>
      <c r="R2810" t="str">
        <f>"ידני"</f>
        <v>ידני</v>
      </c>
      <c r="S2810">
        <v>0</v>
      </c>
      <c r="T2810">
        <v>525</v>
      </c>
      <c r="U2810">
        <v>0</v>
      </c>
      <c r="V2810">
        <v>525</v>
      </c>
      <c r="W2810" t="str">
        <f>"$"</f>
        <v>$</v>
      </c>
      <c r="X2810">
        <v>0</v>
      </c>
      <c r="Y2810">
        <v>0</v>
      </c>
      <c r="Z2810">
        <v>0</v>
      </c>
      <c r="AA2810" t="str">
        <f>"Y"</f>
        <v>Y</v>
      </c>
      <c r="AB2810" t="str">
        <f>"SO21000108"</f>
        <v>SO21000108</v>
      </c>
      <c r="AC2810">
        <v>1</v>
      </c>
      <c r="AD2810" s="1">
        <v>44263</v>
      </c>
      <c r="AE2810" t="str">
        <f>"SH21000365"</f>
        <v>SH21000365</v>
      </c>
      <c r="AF2810" t="str">
        <f>"משלוחים ללקוח"</f>
        <v>משלוחים ללקוח</v>
      </c>
      <c r="AG2810" s="1">
        <v>44263</v>
      </c>
      <c r="AM2810" t="str">
        <f>"10"</f>
        <v>10</v>
      </c>
      <c r="AN2810" t="str">
        <f>"500000"</f>
        <v>500000</v>
      </c>
      <c r="AO2810" t="str">
        <f>"הכנסות  מלקוחות"</f>
        <v>הכנסות  מלקוחות</v>
      </c>
      <c r="AQ2810" t="str">
        <f>"034"</f>
        <v>034</v>
      </c>
      <c r="AR2810">
        <v>0</v>
      </c>
      <c r="AS2810">
        <v>0</v>
      </c>
      <c r="AT2810">
        <v>3.3319999999999999</v>
      </c>
      <c r="AX2810" t="str">
        <f>"E000335388"</f>
        <v>E000335388</v>
      </c>
      <c r="BD2810" t="str">
        <f>"ערן שלו"</f>
        <v>ערן שלו</v>
      </c>
    </row>
    <row r="2811" spans="1:56" x14ac:dyDescent="0.3">
      <c r="A2811" s="1">
        <v>44263</v>
      </c>
      <c r="B2811" t="str">
        <f>"SI216000348"</f>
        <v>SI216000348</v>
      </c>
      <c r="C2811" t="str">
        <f>"PR20000667"</f>
        <v>PR20000667</v>
      </c>
      <c r="E2811" t="str">
        <f>"Y"</f>
        <v>Y</v>
      </c>
      <c r="F2811" t="str">
        <f>"חשבוניות מרכזות"</f>
        <v>חשבוניות מרכזות</v>
      </c>
      <c r="G2811" t="str">
        <f>"700065"</f>
        <v>700065</v>
      </c>
      <c r="H2811" t="str">
        <f>"אלתא מערכות בע""מ"</f>
        <v>אלתא מערכות בע"מ</v>
      </c>
      <c r="I2811" t="str">
        <f>"10"</f>
        <v>10</v>
      </c>
      <c r="J2811" t="str">
        <f>"OP-AR02038"</f>
        <v>OP-AR02038</v>
      </c>
      <c r="K2811" t="str">
        <f>"9003T403-001/B  HARNESS WC103 - CTRL - PNL 101 T"</f>
        <v>9003T403-001/B  HARNESS WC103 - CTRL - PNL 101 T</v>
      </c>
      <c r="L2811">
        <v>1</v>
      </c>
      <c r="M2811" t="str">
        <f>"יח"</f>
        <v>יח</v>
      </c>
      <c r="N2811">
        <v>1</v>
      </c>
      <c r="O2811" t="str">
        <f>"יח"</f>
        <v>יח</v>
      </c>
      <c r="P2811" s="2">
        <v>1875.16</v>
      </c>
      <c r="Q2811" t="str">
        <f>"$"</f>
        <v>$</v>
      </c>
      <c r="R2811" t="str">
        <f>"הזמנה"</f>
        <v>הזמנה</v>
      </c>
      <c r="S2811">
        <v>0</v>
      </c>
      <c r="T2811" s="2">
        <v>1875.16</v>
      </c>
      <c r="U2811">
        <v>0</v>
      </c>
      <c r="V2811" s="2">
        <v>1875.16</v>
      </c>
      <c r="W2811" t="str">
        <f>"$"</f>
        <v>$</v>
      </c>
      <c r="X2811">
        <v>0</v>
      </c>
      <c r="Y2811">
        <v>0</v>
      </c>
      <c r="Z2811">
        <v>0</v>
      </c>
      <c r="AA2811" t="str">
        <f>"Y"</f>
        <v>Y</v>
      </c>
      <c r="AB2811" t="str">
        <f>"SO20000431"</f>
        <v>SO20000431</v>
      </c>
      <c r="AC2811">
        <v>3</v>
      </c>
      <c r="AD2811" s="1">
        <v>44097</v>
      </c>
      <c r="AE2811" t="str">
        <f>"SH21000357"</f>
        <v>SH21000357</v>
      </c>
      <c r="AF2811" t="str">
        <f>"משלוחים ללקוח"</f>
        <v>משלוחים ללקוח</v>
      </c>
      <c r="AG2811" s="1">
        <v>44262</v>
      </c>
      <c r="AM2811" t="str">
        <f>"10"</f>
        <v>10</v>
      </c>
      <c r="AN2811" t="str">
        <f>"500000"</f>
        <v>500000</v>
      </c>
      <c r="AO2811" t="str">
        <f>"הכנסות  מלקוחות"</f>
        <v>הכנסות  מלקוחות</v>
      </c>
      <c r="AQ2811" t="str">
        <f>"034"</f>
        <v>034</v>
      </c>
      <c r="AR2811">
        <v>0</v>
      </c>
      <c r="AS2811">
        <v>0</v>
      </c>
      <c r="AT2811">
        <v>3.3319999999999999</v>
      </c>
      <c r="AX2811" t="str">
        <f>"E000321546"</f>
        <v>E000321546</v>
      </c>
      <c r="BD2811" t="str">
        <f>"ערן שלו"</f>
        <v>ערן שלו</v>
      </c>
    </row>
    <row r="2812" spans="1:56" x14ac:dyDescent="0.3">
      <c r="A2812" s="1">
        <v>44263</v>
      </c>
      <c r="B2812" t="str">
        <f>"SI216000347"</f>
        <v>SI216000347</v>
      </c>
      <c r="C2812" t="str">
        <f>"PR20000530"</f>
        <v>PR20000530</v>
      </c>
      <c r="D2812" t="str">
        <f>"PR20000530"</f>
        <v>PR20000530</v>
      </c>
      <c r="E2812" t="str">
        <f>"Y"</f>
        <v>Y</v>
      </c>
      <c r="F2812" t="str">
        <f>"חשבוניות מרכזות"</f>
        <v>חשבוניות מרכזות</v>
      </c>
      <c r="G2812" t="str">
        <f>"700065"</f>
        <v>700065</v>
      </c>
      <c r="H2812" t="str">
        <f>"אלתא מערכות בע""מ"</f>
        <v>אלתא מערכות בע"מ</v>
      </c>
      <c r="I2812" t="str">
        <f>"10"</f>
        <v>10</v>
      </c>
      <c r="J2812" t="str">
        <f>"OP-AR01963"</f>
        <v>OP-AR01963</v>
      </c>
      <c r="K2812" t="str">
        <f>"1031Y617-001/A - CABLE ASSY W101A"</f>
        <v>1031Y617-001/A - CABLE ASSY W101A</v>
      </c>
      <c r="L2812">
        <v>1</v>
      </c>
      <c r="M2812" t="str">
        <f>"יח"</f>
        <v>יח</v>
      </c>
      <c r="N2812">
        <v>1</v>
      </c>
      <c r="O2812" t="str">
        <f>"יח"</f>
        <v>יח</v>
      </c>
      <c r="P2812" s="2">
        <v>2984.8</v>
      </c>
      <c r="Q2812" t="str">
        <f>"$"</f>
        <v>$</v>
      </c>
      <c r="R2812" t="str">
        <f>"הזמנה"</f>
        <v>הזמנה</v>
      </c>
      <c r="S2812">
        <v>0</v>
      </c>
      <c r="T2812" s="2">
        <v>2984.8</v>
      </c>
      <c r="U2812">
        <v>0</v>
      </c>
      <c r="V2812" s="2">
        <v>2984.8</v>
      </c>
      <c r="W2812" t="str">
        <f>"$"</f>
        <v>$</v>
      </c>
      <c r="X2812">
        <v>0</v>
      </c>
      <c r="Y2812">
        <v>0</v>
      </c>
      <c r="Z2812">
        <v>0</v>
      </c>
      <c r="AA2812" t="str">
        <f>"Y"</f>
        <v>Y</v>
      </c>
      <c r="AB2812" t="str">
        <f>"SO20000337"</f>
        <v>SO20000337</v>
      </c>
      <c r="AC2812">
        <v>1</v>
      </c>
      <c r="AD2812" s="1">
        <v>44045</v>
      </c>
      <c r="AE2812" t="str">
        <f>"SH21000359"</f>
        <v>SH21000359</v>
      </c>
      <c r="AF2812" t="str">
        <f>"משלוחים ללקוח"</f>
        <v>משלוחים ללקוח</v>
      </c>
      <c r="AG2812" s="1">
        <v>44262</v>
      </c>
      <c r="AM2812" t="str">
        <f>"10"</f>
        <v>10</v>
      </c>
      <c r="AN2812" t="str">
        <f>"500000"</f>
        <v>500000</v>
      </c>
      <c r="AO2812" t="str">
        <f>"הכנסות  מלקוחות"</f>
        <v>הכנסות  מלקוחות</v>
      </c>
      <c r="AQ2812" t="str">
        <f>"034"</f>
        <v>034</v>
      </c>
      <c r="AR2812">
        <v>0</v>
      </c>
      <c r="AS2812">
        <v>0</v>
      </c>
      <c r="AT2812">
        <v>3.3319999999999999</v>
      </c>
      <c r="AX2812" t="str">
        <f>"E000317142"</f>
        <v>E000317142</v>
      </c>
      <c r="BD2812" t="str">
        <f>"ערן שלו"</f>
        <v>ערן שלו</v>
      </c>
    </row>
    <row r="2813" spans="1:56" x14ac:dyDescent="0.3">
      <c r="A2813" s="1">
        <v>44263</v>
      </c>
      <c r="B2813" t="str">
        <f>"SI216000346"</f>
        <v>SI216000346</v>
      </c>
      <c r="C2813" t="str">
        <f>"PR20000894"</f>
        <v>PR20000894</v>
      </c>
      <c r="E2813" t="str">
        <f>"Y"</f>
        <v>Y</v>
      </c>
      <c r="F2813" t="str">
        <f>"חשבוניות מרכזות"</f>
        <v>חשבוניות מרכזות</v>
      </c>
      <c r="G2813" t="str">
        <f>"700065"</f>
        <v>700065</v>
      </c>
      <c r="H2813" t="str">
        <f>"אלתא מערכות בע""מ"</f>
        <v>אלתא מערכות בע"מ</v>
      </c>
      <c r="I2813" t="str">
        <f>"10"</f>
        <v>10</v>
      </c>
      <c r="J2813" t="str">
        <f>"OP-AR02200"</f>
        <v>OP-AR02200</v>
      </c>
      <c r="K2813" t="str">
        <f>"9008C162-001   HARNESS WT162 - DAU CONTROL NOSE"</f>
        <v>9008C162-001   HARNESS WT162 - DAU CONTROL NOSE</v>
      </c>
      <c r="L2813">
        <v>1</v>
      </c>
      <c r="M2813" t="str">
        <f>"יח"</f>
        <v>יח</v>
      </c>
      <c r="N2813">
        <v>1</v>
      </c>
      <c r="O2813" t="str">
        <f>"יח"</f>
        <v>יח</v>
      </c>
      <c r="P2813">
        <v>735.23</v>
      </c>
      <c r="Q2813" t="str">
        <f>"$"</f>
        <v>$</v>
      </c>
      <c r="R2813" t="str">
        <f>"הזמנה"</f>
        <v>הזמנה</v>
      </c>
      <c r="S2813">
        <v>0</v>
      </c>
      <c r="T2813">
        <v>735.23</v>
      </c>
      <c r="U2813">
        <v>0</v>
      </c>
      <c r="V2813">
        <v>735.23</v>
      </c>
      <c r="W2813" t="str">
        <f>"$"</f>
        <v>$</v>
      </c>
      <c r="X2813">
        <v>0</v>
      </c>
      <c r="Y2813">
        <v>0</v>
      </c>
      <c r="Z2813">
        <v>0</v>
      </c>
      <c r="AA2813" t="str">
        <f>"Y"</f>
        <v>Y</v>
      </c>
      <c r="AB2813" t="str">
        <f>"SO20000601"</f>
        <v>SO20000601</v>
      </c>
      <c r="AC2813">
        <v>2</v>
      </c>
      <c r="AD2813" s="1">
        <v>44185</v>
      </c>
      <c r="AE2813" t="str">
        <f>"SH21000360"</f>
        <v>SH21000360</v>
      </c>
      <c r="AF2813" t="str">
        <f>"משלוחים ללקוח"</f>
        <v>משלוחים ללקוח</v>
      </c>
      <c r="AG2813" s="1">
        <v>44262</v>
      </c>
      <c r="AM2813" t="str">
        <f>"10"</f>
        <v>10</v>
      </c>
      <c r="AN2813" t="str">
        <f>"500000"</f>
        <v>500000</v>
      </c>
      <c r="AO2813" t="str">
        <f>"הכנסות  מלקוחות"</f>
        <v>הכנסות  מלקוחות</v>
      </c>
      <c r="AQ2813" t="str">
        <f>"034"</f>
        <v>034</v>
      </c>
      <c r="AR2813">
        <v>0</v>
      </c>
      <c r="AS2813">
        <v>0</v>
      </c>
      <c r="AT2813">
        <v>3.3319999999999999</v>
      </c>
      <c r="AX2813" t="str">
        <f>"E000328999"</f>
        <v>E000328999</v>
      </c>
      <c r="BD2813" t="str">
        <f>"ערן שלו"</f>
        <v>ערן שלו</v>
      </c>
    </row>
    <row r="2814" spans="1:56" x14ac:dyDescent="0.3">
      <c r="A2814" s="1">
        <v>44263</v>
      </c>
      <c r="B2814" t="str">
        <f>"SI216000345"</f>
        <v>SI216000345</v>
      </c>
      <c r="C2814" t="str">
        <f>"PR20000620"</f>
        <v>PR20000620</v>
      </c>
      <c r="D2814" t="str">
        <f>"PR20000620"</f>
        <v>PR20000620</v>
      </c>
      <c r="E2814" t="str">
        <f>"Y"</f>
        <v>Y</v>
      </c>
      <c r="F2814" t="str">
        <f>"חשבוניות מרכזות"</f>
        <v>חשבוניות מרכזות</v>
      </c>
      <c r="G2814" t="str">
        <f>"700065"</f>
        <v>700065</v>
      </c>
      <c r="H2814" t="str">
        <f>"אלתא מערכות בע""מ"</f>
        <v>אלתא מערכות בע"מ</v>
      </c>
      <c r="I2814" t="str">
        <f>"10"</f>
        <v>10</v>
      </c>
      <c r="J2814" t="str">
        <f>"OP-AR02008"</f>
        <v>OP-AR02008</v>
      </c>
      <c r="K2814" t="str">
        <f>"1016C803-001/E  W3 220V TO MEU AND TRANS CABLE"</f>
        <v>1016C803-001/E  W3 220V TO MEU AND TRANS CABLE</v>
      </c>
      <c r="L2814">
        <v>1</v>
      </c>
      <c r="M2814" t="str">
        <f>"יח"</f>
        <v>יח</v>
      </c>
      <c r="N2814">
        <v>1</v>
      </c>
      <c r="O2814" t="str">
        <f>"יח"</f>
        <v>יח</v>
      </c>
      <c r="P2814">
        <v>887.08</v>
      </c>
      <c r="Q2814" t="str">
        <f>"$"</f>
        <v>$</v>
      </c>
      <c r="R2814" t="str">
        <f>"הזמנה"</f>
        <v>הזמנה</v>
      </c>
      <c r="S2814">
        <v>0</v>
      </c>
      <c r="T2814">
        <v>887.08</v>
      </c>
      <c r="U2814">
        <v>0</v>
      </c>
      <c r="V2814">
        <v>887.08</v>
      </c>
      <c r="W2814" t="str">
        <f>"$"</f>
        <v>$</v>
      </c>
      <c r="X2814">
        <v>0</v>
      </c>
      <c r="Y2814">
        <v>0</v>
      </c>
      <c r="Z2814">
        <v>0</v>
      </c>
      <c r="AA2814" t="str">
        <f>"Y"</f>
        <v>Y</v>
      </c>
      <c r="AB2814" t="str">
        <f>"SO20000409"</f>
        <v>SO20000409</v>
      </c>
      <c r="AC2814">
        <v>4</v>
      </c>
      <c r="AD2814" s="1">
        <v>44082</v>
      </c>
      <c r="AE2814" t="str">
        <f>"SH21000356"</f>
        <v>SH21000356</v>
      </c>
      <c r="AF2814" t="str">
        <f>"משלוחים ללקוח"</f>
        <v>משלוחים ללקוח</v>
      </c>
      <c r="AG2814" s="1">
        <v>44262</v>
      </c>
      <c r="AM2814" t="str">
        <f>"10"</f>
        <v>10</v>
      </c>
      <c r="AN2814" t="str">
        <f>"500000"</f>
        <v>500000</v>
      </c>
      <c r="AO2814" t="str">
        <f>"הכנסות  מלקוחות"</f>
        <v>הכנסות  מלקוחות</v>
      </c>
      <c r="AQ2814" t="str">
        <f>"034"</f>
        <v>034</v>
      </c>
      <c r="AR2814">
        <v>0</v>
      </c>
      <c r="AS2814">
        <v>0</v>
      </c>
      <c r="AT2814">
        <v>3.3319999999999999</v>
      </c>
      <c r="AX2814" t="str">
        <f>"E000320341"</f>
        <v>E000320341</v>
      </c>
      <c r="BD2814" t="str">
        <f>"ערן שלו"</f>
        <v>ערן שלו</v>
      </c>
    </row>
    <row r="2815" spans="1:56" x14ac:dyDescent="0.3">
      <c r="A2815" s="1">
        <v>44263</v>
      </c>
      <c r="B2815" t="str">
        <f>"SI216000344"</f>
        <v>SI216000344</v>
      </c>
      <c r="C2815" t="str">
        <f>"PR20000803"</f>
        <v>PR20000803</v>
      </c>
      <c r="E2815" t="str">
        <f>"Y"</f>
        <v>Y</v>
      </c>
      <c r="F2815" t="str">
        <f>"חשבוניות מרכזות"</f>
        <v>חשבוניות מרכזות</v>
      </c>
      <c r="G2815" t="str">
        <f>"700065"</f>
        <v>700065</v>
      </c>
      <c r="H2815" t="str">
        <f>"אלתא מערכות בע""מ"</f>
        <v>אלתא מערכות בע"מ</v>
      </c>
      <c r="I2815" t="str">
        <f>"10"</f>
        <v>10</v>
      </c>
      <c r="J2815" t="str">
        <f>"OP-AR02100"</f>
        <v>OP-AR02100</v>
      </c>
      <c r="K2815" t="str">
        <f>"4019B121-001/-  BURN CABLE ASSY"</f>
        <v>4019B121-001/-  BURN CABLE ASSY</v>
      </c>
      <c r="L2815">
        <v>4</v>
      </c>
      <c r="M2815" t="str">
        <f>"יח"</f>
        <v>יח</v>
      </c>
      <c r="N2815">
        <v>4</v>
      </c>
      <c r="O2815" t="str">
        <f>"יח"</f>
        <v>יח</v>
      </c>
      <c r="P2815">
        <v>419.74</v>
      </c>
      <c r="Q2815" t="str">
        <f>"$"</f>
        <v>$</v>
      </c>
      <c r="R2815" t="str">
        <f>"הזמנה"</f>
        <v>הזמנה</v>
      </c>
      <c r="S2815">
        <v>0</v>
      </c>
      <c r="T2815" s="2">
        <v>1678.96</v>
      </c>
      <c r="U2815">
        <v>0</v>
      </c>
      <c r="V2815" s="2">
        <v>1678.96</v>
      </c>
      <c r="W2815" t="str">
        <f>"$"</f>
        <v>$</v>
      </c>
      <c r="X2815">
        <v>0</v>
      </c>
      <c r="Y2815">
        <v>0</v>
      </c>
      <c r="Z2815">
        <v>0</v>
      </c>
      <c r="AA2815" t="str">
        <f>"Y"</f>
        <v>Y</v>
      </c>
      <c r="AB2815" t="str">
        <f>"SO20000534"</f>
        <v>SO20000534</v>
      </c>
      <c r="AC2815">
        <v>1</v>
      </c>
      <c r="AD2815" s="1">
        <v>44154</v>
      </c>
      <c r="AE2815" t="str">
        <f>"SH21000358"</f>
        <v>SH21000358</v>
      </c>
      <c r="AF2815" t="str">
        <f>"משלוחים ללקוח"</f>
        <v>משלוחים ללקוח</v>
      </c>
      <c r="AG2815" s="1">
        <v>44262</v>
      </c>
      <c r="AM2815" t="str">
        <f>"10"</f>
        <v>10</v>
      </c>
      <c r="AN2815" t="str">
        <f>"500000"</f>
        <v>500000</v>
      </c>
      <c r="AO2815" t="str">
        <f>"הכנסות  מלקוחות"</f>
        <v>הכנסות  מלקוחות</v>
      </c>
      <c r="AQ2815" t="str">
        <f>"034"</f>
        <v>034</v>
      </c>
      <c r="AR2815">
        <v>0</v>
      </c>
      <c r="AS2815">
        <v>0</v>
      </c>
      <c r="AT2815">
        <v>3.3319999999999999</v>
      </c>
      <c r="AX2815" t="str">
        <f>"E000326268"</f>
        <v>E000326268</v>
      </c>
      <c r="BD2815" t="str">
        <f>"ערן שלו"</f>
        <v>ערן שלו</v>
      </c>
    </row>
    <row r="2816" spans="1:56" x14ac:dyDescent="0.3">
      <c r="A2816" s="1">
        <v>44263</v>
      </c>
      <c r="B2816" t="str">
        <f>"SI216000343"</f>
        <v>SI216000343</v>
      </c>
      <c r="C2816" t="str">
        <f>"PR20000533"</f>
        <v>PR20000533</v>
      </c>
      <c r="D2816" t="str">
        <f>"PR20000533"</f>
        <v>PR20000533</v>
      </c>
      <c r="E2816" t="str">
        <f>"Y"</f>
        <v>Y</v>
      </c>
      <c r="F2816" t="str">
        <f>"חשבוניות מרכזות"</f>
        <v>חשבוניות מרכזות</v>
      </c>
      <c r="G2816" t="str">
        <f>"700065"</f>
        <v>700065</v>
      </c>
      <c r="H2816" t="str">
        <f>"אלתא מערכות בע""מ"</f>
        <v>אלתא מערכות בע"מ</v>
      </c>
      <c r="I2816" t="str">
        <f>"10"</f>
        <v>10</v>
      </c>
      <c r="J2816" t="str">
        <f>"OP-AR01946"</f>
        <v>OP-AR01946</v>
      </c>
      <c r="K2816" t="str">
        <f>"1031B110-001/- - CABLE ASSY W110"</f>
        <v>1031B110-001/- - CABLE ASSY W110</v>
      </c>
      <c r="L2816">
        <v>1</v>
      </c>
      <c r="M2816" t="str">
        <f>"יח"</f>
        <v>יח</v>
      </c>
      <c r="N2816">
        <v>1</v>
      </c>
      <c r="O2816" t="str">
        <f>"יח"</f>
        <v>יח</v>
      </c>
      <c r="P2816" s="2">
        <v>3314.97</v>
      </c>
      <c r="Q2816" t="str">
        <f>"$"</f>
        <v>$</v>
      </c>
      <c r="R2816" t="str">
        <f>"הזמנה"</f>
        <v>הזמנה</v>
      </c>
      <c r="S2816">
        <v>0</v>
      </c>
      <c r="T2816" s="2">
        <v>3314.97</v>
      </c>
      <c r="U2816">
        <v>0</v>
      </c>
      <c r="V2816" s="2">
        <v>3314.97</v>
      </c>
      <c r="W2816" t="str">
        <f>"$"</f>
        <v>$</v>
      </c>
      <c r="X2816">
        <v>0</v>
      </c>
      <c r="Y2816">
        <v>0</v>
      </c>
      <c r="Z2816">
        <v>0</v>
      </c>
      <c r="AA2816" t="str">
        <f>"Y"</f>
        <v>Y</v>
      </c>
      <c r="AB2816" t="str">
        <f>"SO20000319"</f>
        <v>SO20000319</v>
      </c>
      <c r="AC2816">
        <v>2</v>
      </c>
      <c r="AD2816" s="1">
        <v>44034</v>
      </c>
      <c r="AE2816" t="str">
        <f>"SH21000355"</f>
        <v>SH21000355</v>
      </c>
      <c r="AF2816" t="str">
        <f>"משלוחים ללקוח"</f>
        <v>משלוחים ללקוח</v>
      </c>
      <c r="AG2816" s="1">
        <v>44262</v>
      </c>
      <c r="AM2816" t="str">
        <f>"10"</f>
        <v>10</v>
      </c>
      <c r="AN2816" t="str">
        <f>"500000"</f>
        <v>500000</v>
      </c>
      <c r="AO2816" t="str">
        <f>"הכנסות  מלקוחות"</f>
        <v>הכנסות  מלקוחות</v>
      </c>
      <c r="AQ2816" t="str">
        <f>"034"</f>
        <v>034</v>
      </c>
      <c r="AR2816">
        <v>0</v>
      </c>
      <c r="AS2816">
        <v>0</v>
      </c>
      <c r="AT2816">
        <v>3.3319999999999999</v>
      </c>
      <c r="AX2816" t="str">
        <f>"E000316766"</f>
        <v>E000316766</v>
      </c>
      <c r="BD2816" t="str">
        <f>"ערן שלו"</f>
        <v>ערן שלו</v>
      </c>
    </row>
    <row r="2817" spans="1:56" x14ac:dyDescent="0.3">
      <c r="A2817" s="1">
        <v>44263</v>
      </c>
      <c r="B2817" t="str">
        <f>"SI216000343"</f>
        <v>SI216000343</v>
      </c>
      <c r="C2817" t="str">
        <f>"PR20000533"</f>
        <v>PR20000533</v>
      </c>
      <c r="D2817" t="str">
        <f>"PR20000533"</f>
        <v>PR20000533</v>
      </c>
      <c r="E2817" t="str">
        <f>"Y"</f>
        <v>Y</v>
      </c>
      <c r="F2817" t="str">
        <f>"חשבוניות מרכזות"</f>
        <v>חשבוניות מרכזות</v>
      </c>
      <c r="G2817" t="str">
        <f>"700065"</f>
        <v>700065</v>
      </c>
      <c r="H2817" t="str">
        <f>"אלתא מערכות בע""מ"</f>
        <v>אלתא מערכות בע"מ</v>
      </c>
      <c r="I2817" t="str">
        <f>"10"</f>
        <v>10</v>
      </c>
      <c r="J2817" t="str">
        <f>"OP-AR01948"</f>
        <v>OP-AR01948</v>
      </c>
      <c r="K2817" t="str">
        <f>"1031B020-001/- - CABLE ASSY W0020"</f>
        <v>1031B020-001/- - CABLE ASSY W0020</v>
      </c>
      <c r="L2817">
        <v>1</v>
      </c>
      <c r="M2817" t="str">
        <f>"יח"</f>
        <v>יח</v>
      </c>
      <c r="N2817">
        <v>1</v>
      </c>
      <c r="O2817" t="str">
        <f>"יח"</f>
        <v>יח</v>
      </c>
      <c r="P2817" s="2">
        <v>2550.11</v>
      </c>
      <c r="Q2817" t="str">
        <f>"$"</f>
        <v>$</v>
      </c>
      <c r="R2817" t="str">
        <f>"הזמנה"</f>
        <v>הזמנה</v>
      </c>
      <c r="S2817">
        <v>0</v>
      </c>
      <c r="T2817" s="2">
        <v>2550.11</v>
      </c>
      <c r="U2817">
        <v>0</v>
      </c>
      <c r="V2817" s="2">
        <v>2550.11</v>
      </c>
      <c r="W2817" t="str">
        <f>"$"</f>
        <v>$</v>
      </c>
      <c r="X2817">
        <v>0</v>
      </c>
      <c r="Y2817">
        <v>0</v>
      </c>
      <c r="Z2817">
        <v>0</v>
      </c>
      <c r="AA2817" t="str">
        <f>"Y"</f>
        <v>Y</v>
      </c>
      <c r="AB2817" t="str">
        <f>"SO20000319"</f>
        <v>SO20000319</v>
      </c>
      <c r="AC2817">
        <v>4</v>
      </c>
      <c r="AD2817" s="1">
        <v>44034</v>
      </c>
      <c r="AE2817" t="str">
        <f>"SH21000355"</f>
        <v>SH21000355</v>
      </c>
      <c r="AF2817" t="str">
        <f>"משלוחים ללקוח"</f>
        <v>משלוחים ללקוח</v>
      </c>
      <c r="AG2817" s="1">
        <v>44262</v>
      </c>
      <c r="AM2817" t="str">
        <f>"10"</f>
        <v>10</v>
      </c>
      <c r="AN2817" t="str">
        <f>"500000"</f>
        <v>500000</v>
      </c>
      <c r="AO2817" t="str">
        <f>"הכנסות  מלקוחות"</f>
        <v>הכנסות  מלקוחות</v>
      </c>
      <c r="AQ2817" t="str">
        <f>"034"</f>
        <v>034</v>
      </c>
      <c r="AR2817">
        <v>0</v>
      </c>
      <c r="AS2817">
        <v>0</v>
      </c>
      <c r="AT2817">
        <v>3.3319999999999999</v>
      </c>
      <c r="AX2817" t="str">
        <f>"E000316766"</f>
        <v>E000316766</v>
      </c>
      <c r="BD2817" t="str">
        <f>"ערן שלו"</f>
        <v>ערן שלו</v>
      </c>
    </row>
    <row r="2818" spans="1:56" x14ac:dyDescent="0.3">
      <c r="A2818" s="1">
        <v>44263</v>
      </c>
      <c r="B2818" t="str">
        <f>"SI216000343"</f>
        <v>SI216000343</v>
      </c>
      <c r="C2818" t="str">
        <f>"PR20000533"</f>
        <v>PR20000533</v>
      </c>
      <c r="D2818" t="str">
        <f>"PR20000533"</f>
        <v>PR20000533</v>
      </c>
      <c r="E2818" t="str">
        <f>"Y"</f>
        <v>Y</v>
      </c>
      <c r="F2818" t="str">
        <f>"חשבוניות מרכזות"</f>
        <v>חשבוניות מרכזות</v>
      </c>
      <c r="G2818" t="str">
        <f>"700065"</f>
        <v>700065</v>
      </c>
      <c r="H2818" t="str">
        <f>"אלתא מערכות בע""מ"</f>
        <v>אלתא מערכות בע"מ</v>
      </c>
      <c r="I2818" t="str">
        <f>"10"</f>
        <v>10</v>
      </c>
      <c r="J2818" t="str">
        <f>"OP-AR01949"</f>
        <v>OP-AR01949</v>
      </c>
      <c r="K2818" t="str">
        <f>"1031B131-001/A - CABLE ASSY W0131"</f>
        <v>1031B131-001/A - CABLE ASSY W0131</v>
      </c>
      <c r="L2818">
        <v>1</v>
      </c>
      <c r="M2818" t="str">
        <f>"יח"</f>
        <v>יח</v>
      </c>
      <c r="N2818">
        <v>1</v>
      </c>
      <c r="O2818" t="str">
        <f>"יח"</f>
        <v>יח</v>
      </c>
      <c r="P2818" s="2">
        <v>1927.78</v>
      </c>
      <c r="Q2818" t="str">
        <f>"$"</f>
        <v>$</v>
      </c>
      <c r="R2818" t="str">
        <f>"הזמנה"</f>
        <v>הזמנה</v>
      </c>
      <c r="S2818">
        <v>0</v>
      </c>
      <c r="T2818" s="2">
        <v>1927.78</v>
      </c>
      <c r="U2818">
        <v>0</v>
      </c>
      <c r="V2818" s="2">
        <v>1927.78</v>
      </c>
      <c r="W2818" t="str">
        <f>"$"</f>
        <v>$</v>
      </c>
      <c r="X2818">
        <v>0</v>
      </c>
      <c r="Y2818">
        <v>0</v>
      </c>
      <c r="Z2818">
        <v>0</v>
      </c>
      <c r="AA2818" t="str">
        <f>"Y"</f>
        <v>Y</v>
      </c>
      <c r="AB2818" t="str">
        <f>"SO20000319"</f>
        <v>SO20000319</v>
      </c>
      <c r="AC2818">
        <v>5</v>
      </c>
      <c r="AD2818" s="1">
        <v>44034</v>
      </c>
      <c r="AE2818" t="str">
        <f>"SH21000355"</f>
        <v>SH21000355</v>
      </c>
      <c r="AF2818" t="str">
        <f>"משלוחים ללקוח"</f>
        <v>משלוחים ללקוח</v>
      </c>
      <c r="AG2818" s="1">
        <v>44262</v>
      </c>
      <c r="AM2818" t="str">
        <f>"10"</f>
        <v>10</v>
      </c>
      <c r="AN2818" t="str">
        <f>"500000"</f>
        <v>500000</v>
      </c>
      <c r="AO2818" t="str">
        <f>"הכנסות  מלקוחות"</f>
        <v>הכנסות  מלקוחות</v>
      </c>
      <c r="AQ2818" t="str">
        <f>"034"</f>
        <v>034</v>
      </c>
      <c r="AR2818">
        <v>0</v>
      </c>
      <c r="AS2818">
        <v>0</v>
      </c>
      <c r="AT2818">
        <v>3.3319999999999999</v>
      </c>
      <c r="AX2818" t="str">
        <f>"E000316766"</f>
        <v>E000316766</v>
      </c>
      <c r="BD2818" t="str">
        <f>"ערן שלו"</f>
        <v>ערן שלו</v>
      </c>
    </row>
    <row r="2819" spans="1:56" x14ac:dyDescent="0.3">
      <c r="A2819" s="1">
        <v>44263</v>
      </c>
      <c r="B2819" t="str">
        <f>"SI216000343"</f>
        <v>SI216000343</v>
      </c>
      <c r="C2819" t="str">
        <f>"PR20000533"</f>
        <v>PR20000533</v>
      </c>
      <c r="D2819" t="str">
        <f>"PR20000533"</f>
        <v>PR20000533</v>
      </c>
      <c r="E2819" t="str">
        <f>"Y"</f>
        <v>Y</v>
      </c>
      <c r="F2819" t="str">
        <f>"חשבוניות מרכזות"</f>
        <v>חשבוניות מרכזות</v>
      </c>
      <c r="G2819" t="str">
        <f>"700065"</f>
        <v>700065</v>
      </c>
      <c r="H2819" t="str">
        <f>"אלתא מערכות בע""מ"</f>
        <v>אלתא מערכות בע"מ</v>
      </c>
      <c r="I2819" t="str">
        <f>"10"</f>
        <v>10</v>
      </c>
      <c r="J2819" t="str">
        <f>"OP-AR01957"</f>
        <v>OP-AR01957</v>
      </c>
      <c r="K2819" t="str">
        <f>"1031B114-001/- - CABLE ASSY W114"</f>
        <v>1031B114-001/- - CABLE ASSY W114</v>
      </c>
      <c r="L2819">
        <v>1</v>
      </c>
      <c r="M2819" t="str">
        <f>"יח"</f>
        <v>יח</v>
      </c>
      <c r="N2819">
        <v>1</v>
      </c>
      <c r="O2819" t="str">
        <f>"יח"</f>
        <v>יח</v>
      </c>
      <c r="P2819" s="2">
        <v>2664.31</v>
      </c>
      <c r="Q2819" t="str">
        <f>"$"</f>
        <v>$</v>
      </c>
      <c r="R2819" t="str">
        <f>"הזמנה"</f>
        <v>הזמנה</v>
      </c>
      <c r="S2819">
        <v>0</v>
      </c>
      <c r="T2819" s="2">
        <v>2664.31</v>
      </c>
      <c r="U2819">
        <v>0</v>
      </c>
      <c r="V2819" s="2">
        <v>2664.31</v>
      </c>
      <c r="W2819" t="str">
        <f>"$"</f>
        <v>$</v>
      </c>
      <c r="X2819">
        <v>0</v>
      </c>
      <c r="Y2819">
        <v>0</v>
      </c>
      <c r="Z2819">
        <v>0</v>
      </c>
      <c r="AA2819" t="str">
        <f>"Y"</f>
        <v>Y</v>
      </c>
      <c r="AB2819" t="str">
        <f>"SO20000319"</f>
        <v>SO20000319</v>
      </c>
      <c r="AC2819">
        <v>10</v>
      </c>
      <c r="AD2819" s="1">
        <v>44034</v>
      </c>
      <c r="AE2819" t="str">
        <f>"SH21000355"</f>
        <v>SH21000355</v>
      </c>
      <c r="AF2819" t="str">
        <f>"משלוחים ללקוח"</f>
        <v>משלוחים ללקוח</v>
      </c>
      <c r="AG2819" s="1">
        <v>44262</v>
      </c>
      <c r="AM2819" t="str">
        <f>"10"</f>
        <v>10</v>
      </c>
      <c r="AN2819" t="str">
        <f>"500000"</f>
        <v>500000</v>
      </c>
      <c r="AO2819" t="str">
        <f>"הכנסות  מלקוחות"</f>
        <v>הכנסות  מלקוחות</v>
      </c>
      <c r="AQ2819" t="str">
        <f>"034"</f>
        <v>034</v>
      </c>
      <c r="AR2819">
        <v>0</v>
      </c>
      <c r="AS2819">
        <v>0</v>
      </c>
      <c r="AT2819">
        <v>3.3319999999999999</v>
      </c>
      <c r="AX2819" t="str">
        <f>"E000316766"</f>
        <v>E000316766</v>
      </c>
      <c r="BD2819" t="str">
        <f>"ערן שלו"</f>
        <v>ערן שלו</v>
      </c>
    </row>
    <row r="2820" spans="1:56" x14ac:dyDescent="0.3">
      <c r="A2820" s="1">
        <v>44263</v>
      </c>
      <c r="B2820" t="str">
        <f>"SI216000343"</f>
        <v>SI216000343</v>
      </c>
      <c r="C2820" t="str">
        <f>"PR20000533"</f>
        <v>PR20000533</v>
      </c>
      <c r="D2820" t="str">
        <f>"PR20000533"</f>
        <v>PR20000533</v>
      </c>
      <c r="E2820" t="str">
        <f>"Y"</f>
        <v>Y</v>
      </c>
      <c r="F2820" t="str">
        <f>"חשבוניות מרכזות"</f>
        <v>חשבוניות מרכזות</v>
      </c>
      <c r="G2820" t="str">
        <f>"700065"</f>
        <v>700065</v>
      </c>
      <c r="H2820" t="str">
        <f>"אלתא מערכות בע""מ"</f>
        <v>אלתא מערכות בע"מ</v>
      </c>
      <c r="I2820" t="str">
        <f>"10"</f>
        <v>10</v>
      </c>
      <c r="J2820" t="str">
        <f>"OP-AR01956"</f>
        <v>OP-AR01956</v>
      </c>
      <c r="K2820" t="str">
        <f>"1031B112-001/- - CABLE ASSY W112"</f>
        <v>1031B112-001/- - CABLE ASSY W112</v>
      </c>
      <c r="L2820">
        <v>1</v>
      </c>
      <c r="M2820" t="str">
        <f>"יח"</f>
        <v>יח</v>
      </c>
      <c r="N2820">
        <v>1</v>
      </c>
      <c r="O2820" t="str">
        <f>"יח"</f>
        <v>יח</v>
      </c>
      <c r="P2820" s="2">
        <v>5050.6899999999996</v>
      </c>
      <c r="Q2820" t="str">
        <f>"$"</f>
        <v>$</v>
      </c>
      <c r="R2820" t="str">
        <f>"הזמנה"</f>
        <v>הזמנה</v>
      </c>
      <c r="S2820">
        <v>0</v>
      </c>
      <c r="T2820" s="2">
        <v>5050.6899999999996</v>
      </c>
      <c r="U2820">
        <v>0</v>
      </c>
      <c r="V2820" s="2">
        <v>5050.6899999999996</v>
      </c>
      <c r="W2820" t="str">
        <f>"$"</f>
        <v>$</v>
      </c>
      <c r="X2820">
        <v>0</v>
      </c>
      <c r="Y2820">
        <v>0</v>
      </c>
      <c r="Z2820">
        <v>0</v>
      </c>
      <c r="AA2820" t="str">
        <f>"Y"</f>
        <v>Y</v>
      </c>
      <c r="AB2820" t="str">
        <f>"SO20000319"</f>
        <v>SO20000319</v>
      </c>
      <c r="AC2820">
        <v>11</v>
      </c>
      <c r="AD2820" s="1">
        <v>44034</v>
      </c>
      <c r="AE2820" t="str">
        <f>"SH21000355"</f>
        <v>SH21000355</v>
      </c>
      <c r="AF2820" t="str">
        <f>"משלוחים ללקוח"</f>
        <v>משלוחים ללקוח</v>
      </c>
      <c r="AG2820" s="1">
        <v>44262</v>
      </c>
      <c r="AM2820" t="str">
        <f>"10"</f>
        <v>10</v>
      </c>
      <c r="AN2820" t="str">
        <f>"500000"</f>
        <v>500000</v>
      </c>
      <c r="AO2820" t="str">
        <f>"הכנסות  מלקוחות"</f>
        <v>הכנסות  מלקוחות</v>
      </c>
      <c r="AQ2820" t="str">
        <f>"034"</f>
        <v>034</v>
      </c>
      <c r="AR2820">
        <v>0</v>
      </c>
      <c r="AS2820">
        <v>0</v>
      </c>
      <c r="AT2820">
        <v>3.3319999999999999</v>
      </c>
      <c r="AX2820" t="str">
        <f>"E000316766"</f>
        <v>E000316766</v>
      </c>
      <c r="BD2820" t="str">
        <f>"ערן שלו"</f>
        <v>ערן שלו</v>
      </c>
    </row>
    <row r="2821" spans="1:56" x14ac:dyDescent="0.3">
      <c r="A2821" s="1">
        <v>44263</v>
      </c>
      <c r="B2821" t="str">
        <f>"SI216000343"</f>
        <v>SI216000343</v>
      </c>
      <c r="C2821" t="str">
        <f>"PR20000533"</f>
        <v>PR20000533</v>
      </c>
      <c r="D2821" t="str">
        <f>"PR20000533"</f>
        <v>PR20000533</v>
      </c>
      <c r="E2821" t="str">
        <f>"Y"</f>
        <v>Y</v>
      </c>
      <c r="F2821" t="str">
        <f>"חשבוניות מרכזות"</f>
        <v>חשבוניות מרכזות</v>
      </c>
      <c r="G2821" t="str">
        <f>"700065"</f>
        <v>700065</v>
      </c>
      <c r="H2821" t="str">
        <f>"אלתא מערכות בע""מ"</f>
        <v>אלתא מערכות בע"מ</v>
      </c>
      <c r="I2821" t="str">
        <f>"10"</f>
        <v>10</v>
      </c>
      <c r="J2821" t="str">
        <f>"OP-AR01955"</f>
        <v>OP-AR01955</v>
      </c>
      <c r="K2821" t="str">
        <f>"1031B109-001/- - CABLE ASSY W109"</f>
        <v>1031B109-001/- - CABLE ASSY W109</v>
      </c>
      <c r="L2821">
        <v>1</v>
      </c>
      <c r="M2821" t="str">
        <f>"יח"</f>
        <v>יח</v>
      </c>
      <c r="N2821">
        <v>1</v>
      </c>
      <c r="O2821" t="str">
        <f>"יח"</f>
        <v>יח</v>
      </c>
      <c r="P2821" s="2">
        <v>3333.09</v>
      </c>
      <c r="Q2821" t="str">
        <f>"$"</f>
        <v>$</v>
      </c>
      <c r="R2821" t="str">
        <f>"הזמנה"</f>
        <v>הזמנה</v>
      </c>
      <c r="S2821">
        <v>0</v>
      </c>
      <c r="T2821" s="2">
        <v>3333.09</v>
      </c>
      <c r="U2821">
        <v>0</v>
      </c>
      <c r="V2821" s="2">
        <v>3333.09</v>
      </c>
      <c r="W2821" t="str">
        <f>"$"</f>
        <v>$</v>
      </c>
      <c r="X2821">
        <v>0</v>
      </c>
      <c r="Y2821">
        <v>0</v>
      </c>
      <c r="Z2821">
        <v>0</v>
      </c>
      <c r="AA2821" t="str">
        <f>"Y"</f>
        <v>Y</v>
      </c>
      <c r="AB2821" t="str">
        <f>"SO20000319"</f>
        <v>SO20000319</v>
      </c>
      <c r="AC2821">
        <v>13</v>
      </c>
      <c r="AD2821" s="1">
        <v>44034</v>
      </c>
      <c r="AE2821" t="str">
        <f>"SH21000355"</f>
        <v>SH21000355</v>
      </c>
      <c r="AF2821" t="str">
        <f>"משלוחים ללקוח"</f>
        <v>משלוחים ללקוח</v>
      </c>
      <c r="AG2821" s="1">
        <v>44262</v>
      </c>
      <c r="AM2821" t="str">
        <f>"10"</f>
        <v>10</v>
      </c>
      <c r="AN2821" t="str">
        <f>"500000"</f>
        <v>500000</v>
      </c>
      <c r="AO2821" t="str">
        <f>"הכנסות  מלקוחות"</f>
        <v>הכנסות  מלקוחות</v>
      </c>
      <c r="AQ2821" t="str">
        <f>"034"</f>
        <v>034</v>
      </c>
      <c r="AR2821">
        <v>0</v>
      </c>
      <c r="AS2821">
        <v>0</v>
      </c>
      <c r="AT2821">
        <v>3.3319999999999999</v>
      </c>
      <c r="AX2821" t="str">
        <f>"E000316766"</f>
        <v>E000316766</v>
      </c>
      <c r="BD2821" t="str">
        <f>"ערן שלו"</f>
        <v>ערן שלו</v>
      </c>
    </row>
    <row r="2822" spans="1:56" x14ac:dyDescent="0.3">
      <c r="A2822" s="1">
        <v>44263</v>
      </c>
      <c r="B2822" t="str">
        <f>"SI216000343"</f>
        <v>SI216000343</v>
      </c>
      <c r="C2822" t="str">
        <f>"PR20000533"</f>
        <v>PR20000533</v>
      </c>
      <c r="D2822" t="str">
        <f>"PR20000533"</f>
        <v>PR20000533</v>
      </c>
      <c r="E2822" t="str">
        <f>"Y"</f>
        <v>Y</v>
      </c>
      <c r="F2822" t="str">
        <f>"חשבוניות מרכזות"</f>
        <v>חשבוניות מרכזות</v>
      </c>
      <c r="G2822" t="str">
        <f>"700065"</f>
        <v>700065</v>
      </c>
      <c r="H2822" t="str">
        <f>"אלתא מערכות בע""מ"</f>
        <v>אלתא מערכות בע"מ</v>
      </c>
      <c r="I2822" t="str">
        <f>"10"</f>
        <v>10</v>
      </c>
      <c r="J2822" t="str">
        <f>"OP-AR01958"</f>
        <v>OP-AR01958</v>
      </c>
      <c r="K2822" t="str">
        <f>"1031B121-001/- - CABLE ASSY W121"</f>
        <v>1031B121-001/- - CABLE ASSY W121</v>
      </c>
      <c r="L2822">
        <v>1</v>
      </c>
      <c r="M2822" t="str">
        <f>"יח"</f>
        <v>יח</v>
      </c>
      <c r="N2822">
        <v>1</v>
      </c>
      <c r="O2822" t="str">
        <f>"יח"</f>
        <v>יח</v>
      </c>
      <c r="P2822" s="2">
        <v>2043.07</v>
      </c>
      <c r="Q2822" t="str">
        <f>"$"</f>
        <v>$</v>
      </c>
      <c r="R2822" t="str">
        <f>"הזמנה"</f>
        <v>הזמנה</v>
      </c>
      <c r="S2822">
        <v>0</v>
      </c>
      <c r="T2822" s="2">
        <v>2043.07</v>
      </c>
      <c r="U2822">
        <v>0</v>
      </c>
      <c r="V2822" s="2">
        <v>2043.07</v>
      </c>
      <c r="W2822" t="str">
        <f>"$"</f>
        <v>$</v>
      </c>
      <c r="X2822">
        <v>0</v>
      </c>
      <c r="Y2822">
        <v>0</v>
      </c>
      <c r="Z2822">
        <v>0</v>
      </c>
      <c r="AA2822" t="str">
        <f>"Y"</f>
        <v>Y</v>
      </c>
      <c r="AB2822" t="str">
        <f>"SO20000319"</f>
        <v>SO20000319</v>
      </c>
      <c r="AC2822">
        <v>14</v>
      </c>
      <c r="AD2822" s="1">
        <v>44034</v>
      </c>
      <c r="AE2822" t="str">
        <f>"SH21000355"</f>
        <v>SH21000355</v>
      </c>
      <c r="AF2822" t="str">
        <f>"משלוחים ללקוח"</f>
        <v>משלוחים ללקוח</v>
      </c>
      <c r="AG2822" s="1">
        <v>44262</v>
      </c>
      <c r="AM2822" t="str">
        <f>"10"</f>
        <v>10</v>
      </c>
      <c r="AN2822" t="str">
        <f>"500000"</f>
        <v>500000</v>
      </c>
      <c r="AO2822" t="str">
        <f>"הכנסות  מלקוחות"</f>
        <v>הכנסות  מלקוחות</v>
      </c>
      <c r="AQ2822" t="str">
        <f>"034"</f>
        <v>034</v>
      </c>
      <c r="AR2822">
        <v>0</v>
      </c>
      <c r="AS2822">
        <v>0</v>
      </c>
      <c r="AT2822">
        <v>3.3319999999999999</v>
      </c>
      <c r="AX2822" t="str">
        <f>"E000316766"</f>
        <v>E000316766</v>
      </c>
      <c r="BD2822" t="str">
        <f>"ערן שלו"</f>
        <v>ערן שלו</v>
      </c>
    </row>
    <row r="2823" spans="1:56" x14ac:dyDescent="0.3">
      <c r="A2823" s="1">
        <v>44263</v>
      </c>
      <c r="B2823" t="str">
        <f>"SI216000343"</f>
        <v>SI216000343</v>
      </c>
      <c r="C2823" t="str">
        <f>"PR20000533"</f>
        <v>PR20000533</v>
      </c>
      <c r="D2823" t="str">
        <f>"PR20000533"</f>
        <v>PR20000533</v>
      </c>
      <c r="E2823" t="str">
        <f>"Y"</f>
        <v>Y</v>
      </c>
      <c r="F2823" t="str">
        <f>"חשבוניות מרכזות"</f>
        <v>חשבוניות מרכזות</v>
      </c>
      <c r="G2823" t="str">
        <f>"700065"</f>
        <v>700065</v>
      </c>
      <c r="H2823" t="str">
        <f>"אלתא מערכות בע""מ"</f>
        <v>אלתא מערכות בע"מ</v>
      </c>
      <c r="I2823" t="str">
        <f>"10"</f>
        <v>10</v>
      </c>
      <c r="J2823" t="str">
        <f>"OP-AR01959"</f>
        <v>OP-AR01959</v>
      </c>
      <c r="K2823" t="str">
        <f>"1031B124-001/- - CABLE ASSY W124"</f>
        <v>1031B124-001/- - CABLE ASSY W124</v>
      </c>
      <c r="L2823">
        <v>1</v>
      </c>
      <c r="M2823" t="str">
        <f>"יח"</f>
        <v>יח</v>
      </c>
      <c r="N2823">
        <v>1</v>
      </c>
      <c r="O2823" t="str">
        <f>"יח"</f>
        <v>יח</v>
      </c>
      <c r="P2823" s="2">
        <v>2551.77</v>
      </c>
      <c r="Q2823" t="str">
        <f>"$"</f>
        <v>$</v>
      </c>
      <c r="R2823" t="str">
        <f>"הזמנה"</f>
        <v>הזמנה</v>
      </c>
      <c r="S2823">
        <v>0</v>
      </c>
      <c r="T2823" s="2">
        <v>2551.77</v>
      </c>
      <c r="U2823">
        <v>0</v>
      </c>
      <c r="V2823" s="2">
        <v>2551.77</v>
      </c>
      <c r="W2823" t="str">
        <f>"$"</f>
        <v>$</v>
      </c>
      <c r="X2823">
        <v>0</v>
      </c>
      <c r="Y2823">
        <v>0</v>
      </c>
      <c r="Z2823">
        <v>0</v>
      </c>
      <c r="AA2823" t="str">
        <f>"Y"</f>
        <v>Y</v>
      </c>
      <c r="AB2823" t="str">
        <f>"SO20000319"</f>
        <v>SO20000319</v>
      </c>
      <c r="AC2823">
        <v>15</v>
      </c>
      <c r="AD2823" s="1">
        <v>44034</v>
      </c>
      <c r="AE2823" t="str">
        <f>"SH21000355"</f>
        <v>SH21000355</v>
      </c>
      <c r="AF2823" t="str">
        <f>"משלוחים ללקוח"</f>
        <v>משלוחים ללקוח</v>
      </c>
      <c r="AG2823" s="1">
        <v>44262</v>
      </c>
      <c r="AM2823" t="str">
        <f>"10"</f>
        <v>10</v>
      </c>
      <c r="AN2823" t="str">
        <f>"500000"</f>
        <v>500000</v>
      </c>
      <c r="AO2823" t="str">
        <f>"הכנסות  מלקוחות"</f>
        <v>הכנסות  מלקוחות</v>
      </c>
      <c r="AQ2823" t="str">
        <f>"034"</f>
        <v>034</v>
      </c>
      <c r="AR2823">
        <v>0</v>
      </c>
      <c r="AS2823">
        <v>0</v>
      </c>
      <c r="AT2823">
        <v>3.3319999999999999</v>
      </c>
      <c r="AX2823" t="str">
        <f>"E000316766"</f>
        <v>E000316766</v>
      </c>
      <c r="BD2823" t="str">
        <f>"ערן שלו"</f>
        <v>ערן שלו</v>
      </c>
    </row>
    <row r="2824" spans="1:56" x14ac:dyDescent="0.3">
      <c r="A2824" s="1">
        <v>44263</v>
      </c>
      <c r="B2824" t="str">
        <f>"SI216000342"</f>
        <v>SI216000342</v>
      </c>
      <c r="C2824" t="str">
        <f>"PR20000570"</f>
        <v>PR20000570</v>
      </c>
      <c r="D2824" t="str">
        <f>"PR20000570"</f>
        <v>PR20000570</v>
      </c>
      <c r="E2824" t="str">
        <f>"Y"</f>
        <v>Y</v>
      </c>
      <c r="F2824" t="str">
        <f>"חשבוניות מרכזות"</f>
        <v>חשבוניות מרכזות</v>
      </c>
      <c r="G2824" t="str">
        <f>"700065"</f>
        <v>700065</v>
      </c>
      <c r="H2824" t="str">
        <f>"אלתא מערכות בע""מ"</f>
        <v>אלתא מערכות בע"מ</v>
      </c>
      <c r="I2824" t="str">
        <f>"10"</f>
        <v>10</v>
      </c>
      <c r="J2824" t="str">
        <f>"OP-AR01770"</f>
        <v>OP-AR01770</v>
      </c>
      <c r="K2824" t="str">
        <f>"1036U451-001 WP451 - POWER 400VAC PDB TO LRCU"</f>
        <v>1036U451-001 WP451 - POWER 400VAC PDB TO LRCU</v>
      </c>
      <c r="L2824">
        <v>3</v>
      </c>
      <c r="M2824" t="str">
        <f>"יח"</f>
        <v>יח</v>
      </c>
      <c r="N2824">
        <v>3</v>
      </c>
      <c r="O2824" t="str">
        <f>"יח"</f>
        <v>יח</v>
      </c>
      <c r="P2824" s="2">
        <v>2395.77</v>
      </c>
      <c r="Q2824" t="str">
        <f>"$"</f>
        <v>$</v>
      </c>
      <c r="R2824" t="str">
        <f>"הזמנה"</f>
        <v>הזמנה</v>
      </c>
      <c r="S2824">
        <v>0</v>
      </c>
      <c r="T2824" s="2">
        <v>7187.31</v>
      </c>
      <c r="U2824">
        <v>0</v>
      </c>
      <c r="V2824" s="2">
        <v>7187.31</v>
      </c>
      <c r="W2824" t="str">
        <f>"$"</f>
        <v>$</v>
      </c>
      <c r="X2824">
        <v>0</v>
      </c>
      <c r="Y2824">
        <v>0</v>
      </c>
      <c r="Z2824">
        <v>0</v>
      </c>
      <c r="AA2824" t="str">
        <f>"Y"</f>
        <v>Y</v>
      </c>
      <c r="AB2824" t="str">
        <f>"SO20000367"</f>
        <v>SO20000367</v>
      </c>
      <c r="AC2824">
        <v>9</v>
      </c>
      <c r="AD2824" s="1">
        <v>44067</v>
      </c>
      <c r="AE2824" t="str">
        <f>"SH21000363"</f>
        <v>SH21000363</v>
      </c>
      <c r="AF2824" t="str">
        <f>"משלוחים ללקוח"</f>
        <v>משלוחים ללקוח</v>
      </c>
      <c r="AG2824" s="1">
        <v>44262</v>
      </c>
      <c r="AM2824" t="str">
        <f>"10"</f>
        <v>10</v>
      </c>
      <c r="AN2824" t="str">
        <f>"500000"</f>
        <v>500000</v>
      </c>
      <c r="AO2824" t="str">
        <f>"הכנסות  מלקוחות"</f>
        <v>הכנסות  מלקוחות</v>
      </c>
      <c r="AQ2824" t="str">
        <f>"034"</f>
        <v>034</v>
      </c>
      <c r="AR2824">
        <v>0</v>
      </c>
      <c r="AS2824">
        <v>0</v>
      </c>
      <c r="AT2824">
        <v>3.3319999999999999</v>
      </c>
      <c r="AX2824" t="str">
        <f>"E000319026"</f>
        <v>E000319026</v>
      </c>
      <c r="BD2824" t="str">
        <f>"ערן שלו"</f>
        <v>ערן שלו</v>
      </c>
    </row>
    <row r="2825" spans="1:56" x14ac:dyDescent="0.3">
      <c r="A2825" s="1">
        <v>44263</v>
      </c>
      <c r="B2825" t="str">
        <f>"SI216000341"</f>
        <v>SI216000341</v>
      </c>
      <c r="C2825" t="str">
        <f>"PR20000796"</f>
        <v>PR20000796</v>
      </c>
      <c r="E2825" t="str">
        <f>"Y"</f>
        <v>Y</v>
      </c>
      <c r="F2825" t="str">
        <f>"חשבוניות מרכזות"</f>
        <v>חשבוניות מרכזות</v>
      </c>
      <c r="G2825" t="str">
        <f>"700065"</f>
        <v>700065</v>
      </c>
      <c r="H2825" t="str">
        <f>"אלתא מערכות בע""מ"</f>
        <v>אלתא מערכות בע"מ</v>
      </c>
      <c r="I2825" t="str">
        <f>"10"</f>
        <v>10</v>
      </c>
      <c r="J2825" t="str">
        <f>"OP-AR02076"</f>
        <v>OP-AR02076</v>
      </c>
      <c r="K2825" t="str">
        <f>"1027H563-001/-  HARNESS WH003 - DATA AND CONTROL"</f>
        <v>1027H563-001/-  HARNESS WH003 - DATA AND CONTROL</v>
      </c>
      <c r="L2825">
        <v>1</v>
      </c>
      <c r="M2825" t="str">
        <f>"יח"</f>
        <v>יח</v>
      </c>
      <c r="N2825">
        <v>1</v>
      </c>
      <c r="O2825" t="str">
        <f>"יח"</f>
        <v>יח</v>
      </c>
      <c r="P2825">
        <v>614</v>
      </c>
      <c r="Q2825" t="str">
        <f>"$"</f>
        <v>$</v>
      </c>
      <c r="R2825" t="str">
        <f>"הזמנה"</f>
        <v>הזמנה</v>
      </c>
      <c r="S2825">
        <v>0</v>
      </c>
      <c r="T2825">
        <v>614</v>
      </c>
      <c r="U2825">
        <v>0</v>
      </c>
      <c r="V2825">
        <v>614</v>
      </c>
      <c r="W2825" t="str">
        <f>"$"</f>
        <v>$</v>
      </c>
      <c r="X2825">
        <v>0</v>
      </c>
      <c r="Y2825">
        <v>0</v>
      </c>
      <c r="Z2825">
        <v>0</v>
      </c>
      <c r="AA2825" t="str">
        <f>"Y"</f>
        <v>Y</v>
      </c>
      <c r="AC2825">
        <v>0</v>
      </c>
      <c r="AM2825" t="str">
        <f>"10"</f>
        <v>10</v>
      </c>
      <c r="AN2825" t="str">
        <f>"500000"</f>
        <v>500000</v>
      </c>
      <c r="AO2825" t="str">
        <f>"הכנסות  מלקוחות"</f>
        <v>הכנסות  מלקוחות</v>
      </c>
      <c r="AQ2825" t="str">
        <f>"034"</f>
        <v>034</v>
      </c>
      <c r="AR2825">
        <v>0</v>
      </c>
      <c r="AS2825">
        <v>0</v>
      </c>
      <c r="AT2825">
        <v>3.3319999999999999</v>
      </c>
      <c r="BB2825" t="str">
        <f>"Y"</f>
        <v>Y</v>
      </c>
      <c r="BD2825" t="str">
        <f>"ערן שלו"</f>
        <v>ערן שלו</v>
      </c>
    </row>
    <row r="2826" spans="1:56" x14ac:dyDescent="0.3">
      <c r="A2826" s="1">
        <v>44263</v>
      </c>
      <c r="B2826" t="str">
        <f>"SI216000341"</f>
        <v>SI216000341</v>
      </c>
      <c r="C2826" t="str">
        <f>"PR20000796"</f>
        <v>PR20000796</v>
      </c>
      <c r="E2826" t="str">
        <f>"Y"</f>
        <v>Y</v>
      </c>
      <c r="F2826" t="str">
        <f>"חשבוניות מרכזות"</f>
        <v>חשבוניות מרכזות</v>
      </c>
      <c r="G2826" t="str">
        <f>"700065"</f>
        <v>700065</v>
      </c>
      <c r="H2826" t="str">
        <f>"אלתא מערכות בע""מ"</f>
        <v>אלתא מערכות בע"מ</v>
      </c>
      <c r="I2826" t="str">
        <f>"10"</f>
        <v>10</v>
      </c>
      <c r="J2826" t="str">
        <f>"OP-AR02078"</f>
        <v>OP-AR02078</v>
      </c>
      <c r="K2826" t="str">
        <f>"1027H565-001/-  HARNESS WH005 - ACP/ARP TO IFF/E"</f>
        <v>1027H565-001/-  HARNESS WH005 - ACP/ARP TO IFF/E</v>
      </c>
      <c r="L2826">
        <v>1</v>
      </c>
      <c r="M2826" t="str">
        <f>"יח"</f>
        <v>יח</v>
      </c>
      <c r="N2826">
        <v>1</v>
      </c>
      <c r="O2826" t="str">
        <f>"יח"</f>
        <v>יח</v>
      </c>
      <c r="P2826" s="2">
        <v>1845</v>
      </c>
      <c r="Q2826" t="str">
        <f>"$"</f>
        <v>$</v>
      </c>
      <c r="R2826" t="str">
        <f>"הזמנה"</f>
        <v>הזמנה</v>
      </c>
      <c r="S2826">
        <v>0</v>
      </c>
      <c r="T2826" s="2">
        <v>1845</v>
      </c>
      <c r="U2826">
        <v>0</v>
      </c>
      <c r="V2826" s="2">
        <v>1845</v>
      </c>
      <c r="W2826" t="str">
        <f>"$"</f>
        <v>$</v>
      </c>
      <c r="X2826">
        <v>0</v>
      </c>
      <c r="Y2826">
        <v>0</v>
      </c>
      <c r="Z2826">
        <v>0</v>
      </c>
      <c r="AA2826" t="str">
        <f>"Y"</f>
        <v>Y</v>
      </c>
      <c r="AC2826">
        <v>0</v>
      </c>
      <c r="AM2826" t="str">
        <f>"10"</f>
        <v>10</v>
      </c>
      <c r="AN2826" t="str">
        <f>"500000"</f>
        <v>500000</v>
      </c>
      <c r="AO2826" t="str">
        <f>"הכנסות  מלקוחות"</f>
        <v>הכנסות  מלקוחות</v>
      </c>
      <c r="AQ2826" t="str">
        <f>"034"</f>
        <v>034</v>
      </c>
      <c r="AR2826">
        <v>0</v>
      </c>
      <c r="AS2826">
        <v>0</v>
      </c>
      <c r="AT2826">
        <v>3.3319999999999999</v>
      </c>
      <c r="BB2826" t="str">
        <f>"Y"</f>
        <v>Y</v>
      </c>
      <c r="BD2826" t="str">
        <f>"ערן שלו"</f>
        <v>ערן שלו</v>
      </c>
    </row>
    <row r="2827" spans="1:56" x14ac:dyDescent="0.3">
      <c r="A2827" s="1">
        <v>44263</v>
      </c>
      <c r="B2827" t="str">
        <f>"SI216000341"</f>
        <v>SI216000341</v>
      </c>
      <c r="C2827" t="str">
        <f>"PR20000796"</f>
        <v>PR20000796</v>
      </c>
      <c r="E2827" t="str">
        <f>"Y"</f>
        <v>Y</v>
      </c>
      <c r="F2827" t="str">
        <f>"חשבוניות מרכזות"</f>
        <v>חשבוניות מרכזות</v>
      </c>
      <c r="G2827" t="str">
        <f>"700065"</f>
        <v>700065</v>
      </c>
      <c r="H2827" t="str">
        <f>"אלתא מערכות בע""מ"</f>
        <v>אלתא מערכות בע"מ</v>
      </c>
      <c r="I2827" t="str">
        <f>"10"</f>
        <v>10</v>
      </c>
      <c r="J2827" t="str">
        <f>"OP-AR02079"</f>
        <v>OP-AR02079</v>
      </c>
      <c r="K2827" t="str">
        <f>"1027H566-001/-  HARNESS WH006 - PCU ETH TO SHELT"</f>
        <v>1027H566-001/-  HARNESS WH006 - PCU ETH TO SHELT</v>
      </c>
      <c r="L2827">
        <v>1</v>
      </c>
      <c r="M2827" t="str">
        <f>"יח"</f>
        <v>יח</v>
      </c>
      <c r="N2827">
        <v>1</v>
      </c>
      <c r="O2827" t="str">
        <f>"יח"</f>
        <v>יח</v>
      </c>
      <c r="P2827" s="2">
        <v>2079.6799999999998</v>
      </c>
      <c r="Q2827" t="str">
        <f>"$"</f>
        <v>$</v>
      </c>
      <c r="R2827" t="str">
        <f>"הזמנה"</f>
        <v>הזמנה</v>
      </c>
      <c r="S2827">
        <v>0</v>
      </c>
      <c r="T2827" s="2">
        <v>2079.6799999999998</v>
      </c>
      <c r="U2827">
        <v>0</v>
      </c>
      <c r="V2827" s="2">
        <v>2079.6799999999998</v>
      </c>
      <c r="W2827" t="str">
        <f>"$"</f>
        <v>$</v>
      </c>
      <c r="X2827">
        <v>0</v>
      </c>
      <c r="Y2827">
        <v>0</v>
      </c>
      <c r="Z2827">
        <v>0</v>
      </c>
      <c r="AA2827" t="str">
        <f>"Y"</f>
        <v>Y</v>
      </c>
      <c r="AC2827">
        <v>0</v>
      </c>
      <c r="AM2827" t="str">
        <f>"10"</f>
        <v>10</v>
      </c>
      <c r="AN2827" t="str">
        <f>"500000"</f>
        <v>500000</v>
      </c>
      <c r="AO2827" t="str">
        <f>"הכנסות  מלקוחות"</f>
        <v>הכנסות  מלקוחות</v>
      </c>
      <c r="AQ2827" t="str">
        <f>"034"</f>
        <v>034</v>
      </c>
      <c r="AR2827">
        <v>0</v>
      </c>
      <c r="AS2827">
        <v>0</v>
      </c>
      <c r="AT2827">
        <v>3.3319999999999999</v>
      </c>
      <c r="BB2827" t="str">
        <f>"Y"</f>
        <v>Y</v>
      </c>
      <c r="BD2827" t="str">
        <f>"ערן שלו"</f>
        <v>ערן שלו</v>
      </c>
    </row>
    <row r="2828" spans="1:56" x14ac:dyDescent="0.3">
      <c r="A2828" s="1">
        <v>44263</v>
      </c>
      <c r="B2828" t="str">
        <f>"SI216000341"</f>
        <v>SI216000341</v>
      </c>
      <c r="C2828" t="str">
        <f>"PR20000796"</f>
        <v>PR20000796</v>
      </c>
      <c r="E2828" t="str">
        <f>"Y"</f>
        <v>Y</v>
      </c>
      <c r="F2828" t="str">
        <f>"חשבוניות מרכזות"</f>
        <v>חשבוניות מרכזות</v>
      </c>
      <c r="G2828" t="str">
        <f>"700065"</f>
        <v>700065</v>
      </c>
      <c r="H2828" t="str">
        <f>"אלתא מערכות בע""מ"</f>
        <v>אלתא מערכות בע"מ</v>
      </c>
      <c r="I2828" t="str">
        <f>"10"</f>
        <v>10</v>
      </c>
      <c r="J2828" t="str">
        <f>"OP-AR02080"</f>
        <v>OP-AR02080</v>
      </c>
      <c r="K2828" t="str">
        <f>"1027H568-001/-  HARNESS WH008 - IFF INTEREGRATOR"</f>
        <v>1027H568-001/-  HARNESS WH008 - IFF INTEREGRATOR</v>
      </c>
      <c r="L2828">
        <v>1</v>
      </c>
      <c r="M2828" t="str">
        <f>"יח"</f>
        <v>יח</v>
      </c>
      <c r="N2828">
        <v>1</v>
      </c>
      <c r="O2828" t="str">
        <f>"יח"</f>
        <v>יח</v>
      </c>
      <c r="P2828">
        <v>543</v>
      </c>
      <c r="Q2828" t="str">
        <f>"$"</f>
        <v>$</v>
      </c>
      <c r="R2828" t="str">
        <f>"הזמנה"</f>
        <v>הזמנה</v>
      </c>
      <c r="S2828">
        <v>0</v>
      </c>
      <c r="T2828">
        <v>543</v>
      </c>
      <c r="U2828">
        <v>0</v>
      </c>
      <c r="V2828">
        <v>543</v>
      </c>
      <c r="W2828" t="str">
        <f>"$"</f>
        <v>$</v>
      </c>
      <c r="X2828">
        <v>0</v>
      </c>
      <c r="Y2828">
        <v>0</v>
      </c>
      <c r="Z2828">
        <v>0</v>
      </c>
      <c r="AA2828" t="str">
        <f>"Y"</f>
        <v>Y</v>
      </c>
      <c r="AC2828">
        <v>0</v>
      </c>
      <c r="AM2828" t="str">
        <f>"10"</f>
        <v>10</v>
      </c>
      <c r="AN2828" t="str">
        <f>"500000"</f>
        <v>500000</v>
      </c>
      <c r="AO2828" t="str">
        <f>"הכנסות  מלקוחות"</f>
        <v>הכנסות  מלקוחות</v>
      </c>
      <c r="AQ2828" t="str">
        <f>"034"</f>
        <v>034</v>
      </c>
      <c r="AR2828">
        <v>0</v>
      </c>
      <c r="AS2828">
        <v>0</v>
      </c>
      <c r="AT2828">
        <v>3.3319999999999999</v>
      </c>
      <c r="BB2828" t="str">
        <f>"Y"</f>
        <v>Y</v>
      </c>
      <c r="BD2828" t="str">
        <f>"ערן שלו"</f>
        <v>ערן שלו</v>
      </c>
    </row>
    <row r="2829" spans="1:56" x14ac:dyDescent="0.3">
      <c r="A2829" s="1">
        <v>44263</v>
      </c>
      <c r="B2829" t="str">
        <f>"SI216000341"</f>
        <v>SI216000341</v>
      </c>
      <c r="C2829" t="str">
        <f>"PR20000796"</f>
        <v>PR20000796</v>
      </c>
      <c r="E2829" t="str">
        <f>"Y"</f>
        <v>Y</v>
      </c>
      <c r="F2829" t="str">
        <f>"חשבוניות מרכזות"</f>
        <v>חשבוניות מרכזות</v>
      </c>
      <c r="G2829" t="str">
        <f>"700065"</f>
        <v>700065</v>
      </c>
      <c r="H2829" t="str">
        <f>"אלתא מערכות בע""מ"</f>
        <v>אלתא מערכות בע"מ</v>
      </c>
      <c r="I2829" t="str">
        <f>"10"</f>
        <v>10</v>
      </c>
      <c r="J2829" t="str">
        <f>"OP-AR02082"</f>
        <v>OP-AR02082</v>
      </c>
      <c r="K2829" t="str">
        <f>"1027H570-001/-  HARNESS WH010 - IFF POWER"</f>
        <v>1027H570-001/-  HARNESS WH010 - IFF POWER</v>
      </c>
      <c r="L2829">
        <v>1</v>
      </c>
      <c r="M2829" t="str">
        <f>"יח"</f>
        <v>יח</v>
      </c>
      <c r="N2829">
        <v>1</v>
      </c>
      <c r="O2829" t="str">
        <f>"יח"</f>
        <v>יח</v>
      </c>
      <c r="P2829">
        <v>245.33</v>
      </c>
      <c r="Q2829" t="str">
        <f>"$"</f>
        <v>$</v>
      </c>
      <c r="R2829" t="str">
        <f>"הזמנה"</f>
        <v>הזמנה</v>
      </c>
      <c r="S2829">
        <v>0</v>
      </c>
      <c r="T2829">
        <v>245.33</v>
      </c>
      <c r="U2829">
        <v>0</v>
      </c>
      <c r="V2829">
        <v>245.33</v>
      </c>
      <c r="W2829" t="str">
        <f>"$"</f>
        <v>$</v>
      </c>
      <c r="X2829">
        <v>0</v>
      </c>
      <c r="Y2829">
        <v>0</v>
      </c>
      <c r="Z2829">
        <v>0</v>
      </c>
      <c r="AA2829" t="str">
        <f>"Y"</f>
        <v>Y</v>
      </c>
      <c r="AC2829">
        <v>0</v>
      </c>
      <c r="AM2829" t="str">
        <f>"10"</f>
        <v>10</v>
      </c>
      <c r="AN2829" t="str">
        <f>"500000"</f>
        <v>500000</v>
      </c>
      <c r="AO2829" t="str">
        <f>"הכנסות  מלקוחות"</f>
        <v>הכנסות  מלקוחות</v>
      </c>
      <c r="AQ2829" t="str">
        <f>"034"</f>
        <v>034</v>
      </c>
      <c r="AR2829">
        <v>0</v>
      </c>
      <c r="AS2829">
        <v>0</v>
      </c>
      <c r="AT2829">
        <v>3.3319999999999999</v>
      </c>
      <c r="BB2829" t="str">
        <f>"Y"</f>
        <v>Y</v>
      </c>
      <c r="BD2829" t="str">
        <f>"ערן שלו"</f>
        <v>ערן שלו</v>
      </c>
    </row>
    <row r="2830" spans="1:56" x14ac:dyDescent="0.3">
      <c r="A2830" s="1">
        <v>44263</v>
      </c>
      <c r="B2830" t="str">
        <f>"SI216000341"</f>
        <v>SI216000341</v>
      </c>
      <c r="C2830" t="str">
        <f>"PR20000796"</f>
        <v>PR20000796</v>
      </c>
      <c r="E2830" t="str">
        <f>"Y"</f>
        <v>Y</v>
      </c>
      <c r="F2830" t="str">
        <f>"חשבוניות מרכזות"</f>
        <v>חשבוניות מרכזות</v>
      </c>
      <c r="G2830" t="str">
        <f>"700065"</f>
        <v>700065</v>
      </c>
      <c r="H2830" t="str">
        <f>"אלתא מערכות בע""מ"</f>
        <v>אלתא מערכות בע"מ</v>
      </c>
      <c r="I2830" t="str">
        <f>"10"</f>
        <v>10</v>
      </c>
      <c r="J2830" t="str">
        <f>"OP-AR02084"</f>
        <v>OP-AR02084</v>
      </c>
      <c r="K2830" t="str">
        <f>"1027H572-001/-  HARNESS WH012 - IFF CONTROL"</f>
        <v>1027H572-001/-  HARNESS WH012 - IFF CONTROL</v>
      </c>
      <c r="L2830">
        <v>1</v>
      </c>
      <c r="M2830" t="str">
        <f>"יח"</f>
        <v>יח</v>
      </c>
      <c r="N2830">
        <v>1</v>
      </c>
      <c r="O2830" t="str">
        <f>"יח"</f>
        <v>יח</v>
      </c>
      <c r="P2830">
        <v>794.68</v>
      </c>
      <c r="Q2830" t="str">
        <f>"$"</f>
        <v>$</v>
      </c>
      <c r="R2830" t="str">
        <f>"הזמנה"</f>
        <v>הזמנה</v>
      </c>
      <c r="S2830">
        <v>0</v>
      </c>
      <c r="T2830">
        <v>794.68</v>
      </c>
      <c r="U2830">
        <v>0</v>
      </c>
      <c r="V2830">
        <v>794.68</v>
      </c>
      <c r="W2830" t="str">
        <f>"$"</f>
        <v>$</v>
      </c>
      <c r="X2830">
        <v>0</v>
      </c>
      <c r="Y2830">
        <v>0</v>
      </c>
      <c r="Z2830">
        <v>0</v>
      </c>
      <c r="AA2830" t="str">
        <f>"Y"</f>
        <v>Y</v>
      </c>
      <c r="AC2830">
        <v>0</v>
      </c>
      <c r="AM2830" t="str">
        <f>"10"</f>
        <v>10</v>
      </c>
      <c r="AN2830" t="str">
        <f>"500000"</f>
        <v>500000</v>
      </c>
      <c r="AO2830" t="str">
        <f>"הכנסות  מלקוחות"</f>
        <v>הכנסות  מלקוחות</v>
      </c>
      <c r="AQ2830" t="str">
        <f>"034"</f>
        <v>034</v>
      </c>
      <c r="AR2830">
        <v>0</v>
      </c>
      <c r="AS2830">
        <v>0</v>
      </c>
      <c r="AT2830">
        <v>3.3319999999999999</v>
      </c>
      <c r="BB2830" t="str">
        <f>"Y"</f>
        <v>Y</v>
      </c>
      <c r="BD2830" t="str">
        <f>"ערן שלו"</f>
        <v>ערן שלו</v>
      </c>
    </row>
    <row r="2831" spans="1:56" x14ac:dyDescent="0.3">
      <c r="A2831" s="1">
        <v>44263</v>
      </c>
      <c r="B2831" t="str">
        <f>"SI216000339"</f>
        <v>SI216000339</v>
      </c>
      <c r="C2831" t="str">
        <f>"PR20000851"</f>
        <v>PR20000851</v>
      </c>
      <c r="D2831" t="str">
        <f>"PR20000851"</f>
        <v>PR20000851</v>
      </c>
      <c r="E2831" t="str">
        <f>"Y"</f>
        <v>Y</v>
      </c>
      <c r="F2831" t="str">
        <f>"חשבוניות מרכזות"</f>
        <v>חשבוניות מרכזות</v>
      </c>
      <c r="G2831" t="str">
        <f>"700065"</f>
        <v>700065</v>
      </c>
      <c r="H2831" t="str">
        <f>"אלתא מערכות בע""מ"</f>
        <v>אלתא מערכות בע"מ</v>
      </c>
      <c r="I2831" t="str">
        <f>"10"</f>
        <v>10</v>
      </c>
      <c r="J2831" t="str">
        <f>"OP-AR02160"</f>
        <v>OP-AR02160</v>
      </c>
      <c r="K2831" t="str">
        <f>"1039H815-001   HARNESS WY015 - PDU TO CU SHELT"</f>
        <v>1039H815-001   HARNESS WY015 - PDU TO CU SHELT</v>
      </c>
      <c r="L2831">
        <v>5</v>
      </c>
      <c r="M2831" t="str">
        <f>"יח"</f>
        <v>יח</v>
      </c>
      <c r="N2831">
        <v>5</v>
      </c>
      <c r="O2831" t="str">
        <f>"יח"</f>
        <v>יח</v>
      </c>
      <c r="P2831">
        <v>238.62</v>
      </c>
      <c r="Q2831" t="str">
        <f>"$"</f>
        <v>$</v>
      </c>
      <c r="R2831" t="str">
        <f>"הזמנה"</f>
        <v>הזמנה</v>
      </c>
      <c r="S2831">
        <v>0</v>
      </c>
      <c r="T2831" s="2">
        <v>1193.0999999999999</v>
      </c>
      <c r="U2831">
        <v>0</v>
      </c>
      <c r="V2831" s="2">
        <v>1193.0999999999999</v>
      </c>
      <c r="W2831" t="str">
        <f>"$"</f>
        <v>$</v>
      </c>
      <c r="X2831">
        <v>0</v>
      </c>
      <c r="Y2831">
        <v>0</v>
      </c>
      <c r="Z2831">
        <v>0</v>
      </c>
      <c r="AA2831" t="str">
        <f>"Y"</f>
        <v>Y</v>
      </c>
      <c r="AB2831" t="str">
        <f>"SO20000555"</f>
        <v>SO20000555</v>
      </c>
      <c r="AC2831">
        <v>8</v>
      </c>
      <c r="AD2831" s="1">
        <v>44166</v>
      </c>
      <c r="AE2831" t="str">
        <f>"SH21000361"</f>
        <v>SH21000361</v>
      </c>
      <c r="AF2831" t="str">
        <f>"משלוחים ללקוח"</f>
        <v>משלוחים ללקוח</v>
      </c>
      <c r="AG2831" s="1">
        <v>44262</v>
      </c>
      <c r="AM2831" t="str">
        <f>"10"</f>
        <v>10</v>
      </c>
      <c r="AN2831" t="str">
        <f>"500000"</f>
        <v>500000</v>
      </c>
      <c r="AO2831" t="str">
        <f>"הכנסות  מלקוחות"</f>
        <v>הכנסות  מלקוחות</v>
      </c>
      <c r="AQ2831" t="str">
        <f>"034"</f>
        <v>034</v>
      </c>
      <c r="AR2831">
        <v>0</v>
      </c>
      <c r="AS2831">
        <v>0</v>
      </c>
      <c r="AT2831">
        <v>3.3319999999999999</v>
      </c>
      <c r="AX2831" t="str">
        <f>"E000326481"</f>
        <v>E000326481</v>
      </c>
      <c r="BD2831" t="str">
        <f>"ערן שלו"</f>
        <v>ערן שלו</v>
      </c>
    </row>
    <row r="2832" spans="1:56" x14ac:dyDescent="0.3">
      <c r="A2832" s="1">
        <v>44263</v>
      </c>
      <c r="B2832" t="str">
        <f>"SI216000339"</f>
        <v>SI216000339</v>
      </c>
      <c r="C2832" t="str">
        <f>"PR20000851"</f>
        <v>PR20000851</v>
      </c>
      <c r="D2832" t="str">
        <f>"PR20000851"</f>
        <v>PR20000851</v>
      </c>
      <c r="E2832" t="str">
        <f>"Y"</f>
        <v>Y</v>
      </c>
      <c r="F2832" t="str">
        <f>"חשבוניות מרכזות"</f>
        <v>חשבוניות מרכזות</v>
      </c>
      <c r="G2832" t="str">
        <f>"700065"</f>
        <v>700065</v>
      </c>
      <c r="H2832" t="str">
        <f>"אלתא מערכות בע""מ"</f>
        <v>אלתא מערכות בע"מ</v>
      </c>
      <c r="I2832" t="str">
        <f>"10"</f>
        <v>10</v>
      </c>
      <c r="J2832" t="str">
        <f>"OP-AR02182"</f>
        <v>OP-AR02182</v>
      </c>
      <c r="K2832" t="str">
        <f>"1039H843-001/-   HARNESS WY043 - RC TO SWITCH IN"</f>
        <v>1039H843-001/-   HARNESS WY043 - RC TO SWITCH IN</v>
      </c>
      <c r="L2832">
        <v>5</v>
      </c>
      <c r="M2832" t="str">
        <f>"יח"</f>
        <v>יח</v>
      </c>
      <c r="N2832">
        <v>5</v>
      </c>
      <c r="O2832" t="str">
        <f>"יח"</f>
        <v>יח</v>
      </c>
      <c r="P2832">
        <v>16.420000000000002</v>
      </c>
      <c r="Q2832" t="str">
        <f>"$"</f>
        <v>$</v>
      </c>
      <c r="R2832" t="str">
        <f>"הזמנה"</f>
        <v>הזמנה</v>
      </c>
      <c r="S2832">
        <v>0</v>
      </c>
      <c r="T2832">
        <v>82.1</v>
      </c>
      <c r="U2832">
        <v>0</v>
      </c>
      <c r="V2832">
        <v>82.1</v>
      </c>
      <c r="W2832" t="str">
        <f>"$"</f>
        <v>$</v>
      </c>
      <c r="X2832">
        <v>0</v>
      </c>
      <c r="Y2832">
        <v>0</v>
      </c>
      <c r="Z2832">
        <v>0</v>
      </c>
      <c r="AA2832" t="str">
        <f>"Y"</f>
        <v>Y</v>
      </c>
      <c r="AB2832" t="str">
        <f>"SO20000555"</f>
        <v>SO20000555</v>
      </c>
      <c r="AC2832">
        <v>29</v>
      </c>
      <c r="AD2832" s="1">
        <v>44166</v>
      </c>
      <c r="AE2832" t="str">
        <f>"SH21000361"</f>
        <v>SH21000361</v>
      </c>
      <c r="AF2832" t="str">
        <f>"משלוחים ללקוח"</f>
        <v>משלוחים ללקוח</v>
      </c>
      <c r="AG2832" s="1">
        <v>44262</v>
      </c>
      <c r="AM2832" t="str">
        <f>"10"</f>
        <v>10</v>
      </c>
      <c r="AN2832" t="str">
        <f>"500000"</f>
        <v>500000</v>
      </c>
      <c r="AO2832" t="str">
        <f>"הכנסות  מלקוחות"</f>
        <v>הכנסות  מלקוחות</v>
      </c>
      <c r="AQ2832" t="str">
        <f>"034"</f>
        <v>034</v>
      </c>
      <c r="AR2832">
        <v>0</v>
      </c>
      <c r="AS2832">
        <v>0</v>
      </c>
      <c r="AT2832">
        <v>3.3319999999999999</v>
      </c>
      <c r="AX2832" t="str">
        <f>"E000326481"</f>
        <v>E000326481</v>
      </c>
      <c r="BD2832" t="str">
        <f>"ערן שלו"</f>
        <v>ערן שלו</v>
      </c>
    </row>
    <row r="2833" spans="1:56" x14ac:dyDescent="0.3">
      <c r="A2833" s="1">
        <v>44263</v>
      </c>
      <c r="B2833" t="str">
        <f>"SI216000339"</f>
        <v>SI216000339</v>
      </c>
      <c r="C2833" t="str">
        <f>"PR20000851"</f>
        <v>PR20000851</v>
      </c>
      <c r="D2833" t="str">
        <f>"PR20000851"</f>
        <v>PR20000851</v>
      </c>
      <c r="E2833" t="str">
        <f>"Y"</f>
        <v>Y</v>
      </c>
      <c r="F2833" t="str">
        <f>"חשבוניות מרכזות"</f>
        <v>חשבוניות מרכזות</v>
      </c>
      <c r="G2833" t="str">
        <f>"700065"</f>
        <v>700065</v>
      </c>
      <c r="H2833" t="str">
        <f>"אלתא מערכות בע""מ"</f>
        <v>אלתא מערכות בע"מ</v>
      </c>
      <c r="I2833" t="str">
        <f>"10"</f>
        <v>10</v>
      </c>
      <c r="J2833" t="str">
        <f>"OP-AR02184"</f>
        <v>OP-AR02184</v>
      </c>
      <c r="K2833" t="str">
        <f>"1039H845-001/-   HARNESS WY045 - SWITCH IN TO PD"</f>
        <v>1039H845-001/-   HARNESS WY045 - SWITCH IN TO PD</v>
      </c>
      <c r="L2833">
        <v>5</v>
      </c>
      <c r="M2833" t="str">
        <f>"יח"</f>
        <v>יח</v>
      </c>
      <c r="N2833">
        <v>5</v>
      </c>
      <c r="O2833" t="str">
        <f>"יח"</f>
        <v>יח</v>
      </c>
      <c r="P2833">
        <v>16.420000000000002</v>
      </c>
      <c r="Q2833" t="str">
        <f>"$"</f>
        <v>$</v>
      </c>
      <c r="R2833" t="str">
        <f>"הזמנה"</f>
        <v>הזמנה</v>
      </c>
      <c r="S2833">
        <v>0</v>
      </c>
      <c r="T2833">
        <v>82.1</v>
      </c>
      <c r="U2833">
        <v>0</v>
      </c>
      <c r="V2833">
        <v>82.1</v>
      </c>
      <c r="W2833" t="str">
        <f>"$"</f>
        <v>$</v>
      </c>
      <c r="X2833">
        <v>0</v>
      </c>
      <c r="Y2833">
        <v>0</v>
      </c>
      <c r="Z2833">
        <v>0</v>
      </c>
      <c r="AA2833" t="str">
        <f>"Y"</f>
        <v>Y</v>
      </c>
      <c r="AB2833" t="str">
        <f>"SO20000555"</f>
        <v>SO20000555</v>
      </c>
      <c r="AC2833">
        <v>31</v>
      </c>
      <c r="AD2833" s="1">
        <v>44166</v>
      </c>
      <c r="AE2833" t="str">
        <f>"SH21000361"</f>
        <v>SH21000361</v>
      </c>
      <c r="AF2833" t="str">
        <f>"משלוחים ללקוח"</f>
        <v>משלוחים ללקוח</v>
      </c>
      <c r="AG2833" s="1">
        <v>44262</v>
      </c>
      <c r="AM2833" t="str">
        <f>"10"</f>
        <v>10</v>
      </c>
      <c r="AN2833" t="str">
        <f>"500000"</f>
        <v>500000</v>
      </c>
      <c r="AO2833" t="str">
        <f>"הכנסות  מלקוחות"</f>
        <v>הכנסות  מלקוחות</v>
      </c>
      <c r="AQ2833" t="str">
        <f>"034"</f>
        <v>034</v>
      </c>
      <c r="AR2833">
        <v>0</v>
      </c>
      <c r="AS2833">
        <v>0</v>
      </c>
      <c r="AT2833">
        <v>3.3319999999999999</v>
      </c>
      <c r="AX2833" t="str">
        <f>"E000326481"</f>
        <v>E000326481</v>
      </c>
      <c r="BD2833" t="str">
        <f>"ערן שלו"</f>
        <v>ערן שלו</v>
      </c>
    </row>
    <row r="2834" spans="1:56" x14ac:dyDescent="0.3">
      <c r="A2834" s="1">
        <v>44263</v>
      </c>
      <c r="B2834" t="str">
        <f>"SI216000339"</f>
        <v>SI216000339</v>
      </c>
      <c r="C2834" t="str">
        <f>"PR20000851"</f>
        <v>PR20000851</v>
      </c>
      <c r="D2834" t="str">
        <f>"PR20000851"</f>
        <v>PR20000851</v>
      </c>
      <c r="E2834" t="str">
        <f>"Y"</f>
        <v>Y</v>
      </c>
      <c r="F2834" t="str">
        <f>"חשבוניות מרכזות"</f>
        <v>חשבוניות מרכזות</v>
      </c>
      <c r="G2834" t="str">
        <f>"700065"</f>
        <v>700065</v>
      </c>
      <c r="H2834" t="str">
        <f>"אלתא מערכות בע""מ"</f>
        <v>אלתא מערכות בע"מ</v>
      </c>
      <c r="I2834" t="str">
        <f>"10"</f>
        <v>10</v>
      </c>
      <c r="J2834" t="str">
        <f>"OP-AR02185"</f>
        <v>OP-AR02185</v>
      </c>
      <c r="K2834" t="str">
        <f>"1039H846-001/-   HARNESS WY046 - SWITCH IN TO PD"</f>
        <v>1039H846-001/-   HARNESS WY046 - SWITCH IN TO PD</v>
      </c>
      <c r="L2834">
        <v>5</v>
      </c>
      <c r="M2834" t="str">
        <f>"יח"</f>
        <v>יח</v>
      </c>
      <c r="N2834">
        <v>5</v>
      </c>
      <c r="O2834" t="str">
        <f>"יח"</f>
        <v>יח</v>
      </c>
      <c r="P2834">
        <v>16.420000000000002</v>
      </c>
      <c r="Q2834" t="str">
        <f>"$"</f>
        <v>$</v>
      </c>
      <c r="R2834" t="str">
        <f>"הזמנה"</f>
        <v>הזמנה</v>
      </c>
      <c r="S2834">
        <v>0</v>
      </c>
      <c r="T2834">
        <v>82.1</v>
      </c>
      <c r="U2834">
        <v>0</v>
      </c>
      <c r="V2834">
        <v>82.1</v>
      </c>
      <c r="W2834" t="str">
        <f>"$"</f>
        <v>$</v>
      </c>
      <c r="X2834">
        <v>0</v>
      </c>
      <c r="Y2834">
        <v>0</v>
      </c>
      <c r="Z2834">
        <v>0</v>
      </c>
      <c r="AA2834" t="str">
        <f>"Y"</f>
        <v>Y</v>
      </c>
      <c r="AB2834" t="str">
        <f>"SO20000555"</f>
        <v>SO20000555</v>
      </c>
      <c r="AC2834">
        <v>32</v>
      </c>
      <c r="AD2834" s="1">
        <v>44166</v>
      </c>
      <c r="AE2834" t="str">
        <f>"SH21000361"</f>
        <v>SH21000361</v>
      </c>
      <c r="AF2834" t="str">
        <f>"משלוחים ללקוח"</f>
        <v>משלוחים ללקוח</v>
      </c>
      <c r="AG2834" s="1">
        <v>44262</v>
      </c>
      <c r="AM2834" t="str">
        <f>"10"</f>
        <v>10</v>
      </c>
      <c r="AN2834" t="str">
        <f>"500000"</f>
        <v>500000</v>
      </c>
      <c r="AO2834" t="str">
        <f>"הכנסות  מלקוחות"</f>
        <v>הכנסות  מלקוחות</v>
      </c>
      <c r="AQ2834" t="str">
        <f>"034"</f>
        <v>034</v>
      </c>
      <c r="AR2834">
        <v>0</v>
      </c>
      <c r="AS2834">
        <v>0</v>
      </c>
      <c r="AT2834">
        <v>3.3319999999999999</v>
      </c>
      <c r="AX2834" t="str">
        <f>"E000326481"</f>
        <v>E000326481</v>
      </c>
      <c r="BD2834" t="str">
        <f>"ערן שלו"</f>
        <v>ערן שלו</v>
      </c>
    </row>
    <row r="2835" spans="1:56" x14ac:dyDescent="0.3">
      <c r="A2835" s="1">
        <v>44256</v>
      </c>
      <c r="B2835" t="str">
        <f>"SI216000435"</f>
        <v>SI216000435</v>
      </c>
      <c r="C2835" t="str">
        <f>"PR20000500"</f>
        <v>PR20000500</v>
      </c>
      <c r="D2835" t="str">
        <f>"PR20000500"</f>
        <v>PR20000500</v>
      </c>
      <c r="E2835" t="str">
        <f>"Y"</f>
        <v>Y</v>
      </c>
      <c r="F2835" t="str">
        <f>"חשבוניות מרכזות"</f>
        <v>חשבוניות מרכזות</v>
      </c>
      <c r="G2835" t="str">
        <f>"700065"</f>
        <v>700065</v>
      </c>
      <c r="H2835" t="str">
        <f>"אלתא מערכות בע""מ"</f>
        <v>אלתא מערכות בע"מ</v>
      </c>
      <c r="I2835" t="str">
        <f>"10"</f>
        <v>10</v>
      </c>
      <c r="J2835" t="str">
        <f>"OP-AR01937"</f>
        <v>OP-AR01937</v>
      </c>
      <c r="K2835" t="str">
        <f>"1023B599-001  WV099 ELEVATION AXIS WARING SWIT"</f>
        <v>1023B599-001  WV099 ELEVATION AXIS WARING SWIT</v>
      </c>
      <c r="L2835">
        <v>16</v>
      </c>
      <c r="M2835" t="str">
        <f>"יח"</f>
        <v>יח</v>
      </c>
      <c r="N2835">
        <v>16</v>
      </c>
      <c r="O2835" t="str">
        <f>"יח"</f>
        <v>יח</v>
      </c>
      <c r="P2835" s="2">
        <v>1101.68</v>
      </c>
      <c r="Q2835" t="str">
        <f>"$"</f>
        <v>$</v>
      </c>
      <c r="R2835" t="str">
        <f>"הזמנה"</f>
        <v>הזמנה</v>
      </c>
      <c r="S2835">
        <v>0</v>
      </c>
      <c r="T2835" s="2">
        <v>17626.88</v>
      </c>
      <c r="U2835">
        <v>0</v>
      </c>
      <c r="V2835" s="2">
        <v>17626.88</v>
      </c>
      <c r="W2835" t="str">
        <f>"$"</f>
        <v>$</v>
      </c>
      <c r="X2835">
        <v>0</v>
      </c>
      <c r="Y2835">
        <v>0</v>
      </c>
      <c r="Z2835">
        <v>0</v>
      </c>
      <c r="AA2835" t="str">
        <f>"Y"</f>
        <v>Y</v>
      </c>
      <c r="AB2835" t="str">
        <f>"SO20000307"</f>
        <v>SO20000307</v>
      </c>
      <c r="AC2835">
        <v>4</v>
      </c>
      <c r="AD2835" s="1">
        <v>44031</v>
      </c>
      <c r="AE2835" t="str">
        <f>"SH20001770"</f>
        <v>SH20001770</v>
      </c>
      <c r="AF2835" t="str">
        <f>"משלוחים ללקוח"</f>
        <v>משלוחים ללקוח</v>
      </c>
      <c r="AG2835" s="1">
        <v>44189</v>
      </c>
      <c r="AM2835" t="str">
        <f>"10"</f>
        <v>10</v>
      </c>
      <c r="AN2835" t="str">
        <f>"500000"</f>
        <v>500000</v>
      </c>
      <c r="AO2835" t="str">
        <f>"הכנסות  מלקוחות"</f>
        <v>הכנסות  מלקוחות</v>
      </c>
      <c r="AQ2835" t="str">
        <f>"034"</f>
        <v>034</v>
      </c>
      <c r="AR2835">
        <v>0</v>
      </c>
      <c r="AS2835">
        <v>0</v>
      </c>
      <c r="AT2835">
        <v>3.306</v>
      </c>
      <c r="AX2835" t="str">
        <f>"E000316435"</f>
        <v>E000316435</v>
      </c>
      <c r="BD2835" t="str">
        <f>"ערן שלו"</f>
        <v>ערן שלו</v>
      </c>
    </row>
    <row r="2836" spans="1:56" x14ac:dyDescent="0.3">
      <c r="A2836" s="1">
        <v>44256</v>
      </c>
      <c r="B2836" t="str">
        <f>"SI216000434"</f>
        <v>SI216000434</v>
      </c>
      <c r="C2836" t="str">
        <f>"PR20000500"</f>
        <v>PR20000500</v>
      </c>
      <c r="E2836" t="str">
        <f>"Y"</f>
        <v>Y</v>
      </c>
      <c r="F2836" t="str">
        <f>"חשבוניות מרכזות"</f>
        <v>חשבוניות מרכזות</v>
      </c>
      <c r="G2836" t="str">
        <f>"700065"</f>
        <v>700065</v>
      </c>
      <c r="H2836" t="str">
        <f>"אלתא מערכות בע""מ"</f>
        <v>אלתא מערכות בע"מ</v>
      </c>
      <c r="I2836" t="str">
        <f>"10"</f>
        <v>10</v>
      </c>
      <c r="J2836" t="str">
        <f>"OP-AR01937"</f>
        <v>OP-AR01937</v>
      </c>
      <c r="K2836" t="str">
        <f>"1023B599-001  WV099 ELEVATION AXIS WARING SWIT"</f>
        <v>1023B599-001  WV099 ELEVATION AXIS WARING SWIT</v>
      </c>
      <c r="L2836">
        <v>-16</v>
      </c>
      <c r="M2836" t="str">
        <f>"יח"</f>
        <v>יח</v>
      </c>
      <c r="N2836">
        <v>-16</v>
      </c>
      <c r="O2836" t="str">
        <f>"יח"</f>
        <v>יח</v>
      </c>
      <c r="P2836" s="2">
        <v>1075.31</v>
      </c>
      <c r="Q2836" t="str">
        <f>"$"</f>
        <v>$</v>
      </c>
      <c r="R2836" t="str">
        <f>"הזמנה"</f>
        <v>הזמנה</v>
      </c>
      <c r="S2836">
        <v>0</v>
      </c>
      <c r="T2836" s="2">
        <v>-17204.96</v>
      </c>
      <c r="U2836">
        <v>0</v>
      </c>
      <c r="V2836" s="2">
        <v>-17204.96</v>
      </c>
      <c r="W2836" t="str">
        <f>"$"</f>
        <v>$</v>
      </c>
      <c r="X2836">
        <v>0</v>
      </c>
      <c r="Y2836">
        <v>0</v>
      </c>
      <c r="Z2836">
        <v>0</v>
      </c>
      <c r="AA2836" t="str">
        <f>"Y"</f>
        <v>Y</v>
      </c>
      <c r="AC2836">
        <v>0</v>
      </c>
      <c r="AM2836" t="str">
        <f>"10"</f>
        <v>10</v>
      </c>
      <c r="AN2836" t="str">
        <f>"500000"</f>
        <v>500000</v>
      </c>
      <c r="AO2836" t="str">
        <f>"הכנסות  מלקוחות"</f>
        <v>הכנסות  מלקוחות</v>
      </c>
      <c r="AQ2836" t="str">
        <f>"034"</f>
        <v>034</v>
      </c>
      <c r="AR2836">
        <v>0</v>
      </c>
      <c r="AS2836">
        <v>0</v>
      </c>
      <c r="AT2836">
        <v>3.218</v>
      </c>
      <c r="BB2836" t="str">
        <f>"Y"</f>
        <v>Y</v>
      </c>
      <c r="BD2836" t="str">
        <f>"ערן שלו"</f>
        <v>ערן שלו</v>
      </c>
    </row>
    <row r="2837" spans="1:56" x14ac:dyDescent="0.3">
      <c r="A2837" s="1">
        <v>44256</v>
      </c>
      <c r="B2837" t="str">
        <f>"SI216000417"</f>
        <v>SI216000417</v>
      </c>
      <c r="E2837" t="str">
        <f>"Y"</f>
        <v>Y</v>
      </c>
      <c r="F2837" t="str">
        <f>"חשבוניות מרכזות"</f>
        <v>חשבוניות מרכזות</v>
      </c>
      <c r="G2837" t="str">
        <f>"700065"</f>
        <v>700065</v>
      </c>
      <c r="H2837" t="str">
        <f>"אלתא מערכות בע""מ"</f>
        <v>אלתא מערכות בע"מ</v>
      </c>
      <c r="I2837" t="str">
        <f>"10"</f>
        <v>10</v>
      </c>
      <c r="J2837" t="str">
        <f>"000"</f>
        <v>000</v>
      </c>
      <c r="K2837" t="str">
        <f>"ניסוי חשמל"</f>
        <v>ניסוי חשמל</v>
      </c>
      <c r="L2837">
        <v>1</v>
      </c>
      <c r="M2837" t="str">
        <f>"יח"</f>
        <v>יח</v>
      </c>
      <c r="N2837">
        <v>1</v>
      </c>
      <c r="O2837" t="str">
        <f>"יח"</f>
        <v>יח</v>
      </c>
      <c r="P2837" s="2">
        <v>2300</v>
      </c>
      <c r="Q2837" t="str">
        <f>"$"</f>
        <v>$</v>
      </c>
      <c r="R2837" t="str">
        <f>"הזמנה"</f>
        <v>הזמנה</v>
      </c>
      <c r="S2837">
        <v>0</v>
      </c>
      <c r="T2837" s="2">
        <v>2300</v>
      </c>
      <c r="U2837">
        <v>0</v>
      </c>
      <c r="V2837" s="2">
        <v>2300</v>
      </c>
      <c r="W2837" t="str">
        <f>"$"</f>
        <v>$</v>
      </c>
      <c r="X2837">
        <v>0</v>
      </c>
      <c r="Y2837">
        <v>0</v>
      </c>
      <c r="Z2837">
        <v>0</v>
      </c>
      <c r="AA2837" t="str">
        <f>"Y"</f>
        <v>Y</v>
      </c>
      <c r="AC2837">
        <v>0</v>
      </c>
      <c r="AM2837" t="str">
        <f>"10"</f>
        <v>10</v>
      </c>
      <c r="AN2837" t="str">
        <f>"500000"</f>
        <v>500000</v>
      </c>
      <c r="AO2837" t="str">
        <f>"הכנסות  מלקוחות"</f>
        <v>הכנסות  מלקוחות</v>
      </c>
      <c r="AQ2837" t="str">
        <f>"034"</f>
        <v>034</v>
      </c>
      <c r="AR2837">
        <v>0</v>
      </c>
      <c r="AS2837">
        <v>0</v>
      </c>
      <c r="AT2837">
        <v>3.2909999999999999</v>
      </c>
      <c r="BB2837" t="str">
        <f>"Y"</f>
        <v>Y</v>
      </c>
      <c r="BD2837" t="str">
        <f>"ערן שלו"</f>
        <v>ערן שלו</v>
      </c>
    </row>
    <row r="2838" spans="1:56" x14ac:dyDescent="0.3">
      <c r="A2838" s="1">
        <v>44256</v>
      </c>
      <c r="B2838" t="str">
        <f>"SI216000325"</f>
        <v>SI216000325</v>
      </c>
      <c r="C2838" t="str">
        <f>"PR20000907"</f>
        <v>PR20000907</v>
      </c>
      <c r="E2838" t="str">
        <f>"Y"</f>
        <v>Y</v>
      </c>
      <c r="F2838" t="str">
        <f>"חשבוניות מרכזות"</f>
        <v>חשבוניות מרכזות</v>
      </c>
      <c r="G2838" t="str">
        <f>"700065"</f>
        <v>700065</v>
      </c>
      <c r="H2838" t="str">
        <f>"אלתא מערכות בע""מ"</f>
        <v>אלתא מערכות בע"מ</v>
      </c>
      <c r="I2838" t="str">
        <f>"10"</f>
        <v>10</v>
      </c>
      <c r="J2838" t="str">
        <f>"OP-AR02207"</f>
        <v>OP-AR02207</v>
      </c>
      <c r="K2838" t="str">
        <f>"4019B122-001  HARNESS W122 - GDT BU TO SCME - KE"</f>
        <v>4019B122-001  HARNESS W122 - GDT BU TO SCME - KE</v>
      </c>
      <c r="L2838">
        <v>4</v>
      </c>
      <c r="M2838" t="str">
        <f>"יח"</f>
        <v>יח</v>
      </c>
      <c r="N2838">
        <v>4</v>
      </c>
      <c r="O2838" t="str">
        <f>"יח"</f>
        <v>יח</v>
      </c>
      <c r="P2838">
        <v>608.66</v>
      </c>
      <c r="Q2838" t="str">
        <f>"$"</f>
        <v>$</v>
      </c>
      <c r="R2838" t="str">
        <f>"הזמנה"</f>
        <v>הזמנה</v>
      </c>
      <c r="S2838">
        <v>0</v>
      </c>
      <c r="T2838" s="2">
        <v>2434.64</v>
      </c>
      <c r="U2838">
        <v>0</v>
      </c>
      <c r="V2838" s="2">
        <v>2434.64</v>
      </c>
      <c r="W2838" t="str">
        <f>"$"</f>
        <v>$</v>
      </c>
      <c r="X2838">
        <v>0</v>
      </c>
      <c r="Y2838">
        <v>0</v>
      </c>
      <c r="Z2838">
        <v>0</v>
      </c>
      <c r="AA2838" t="str">
        <f>"Y"</f>
        <v>Y</v>
      </c>
      <c r="AB2838" t="str">
        <f>"SO20000606"</f>
        <v>SO20000606</v>
      </c>
      <c r="AC2838">
        <v>1</v>
      </c>
      <c r="AD2838" s="1">
        <v>44188</v>
      </c>
      <c r="AE2838" t="str">
        <f>"SH21000327"</f>
        <v>SH21000327</v>
      </c>
      <c r="AF2838" t="str">
        <f>"משלוחים ללקוח"</f>
        <v>משלוחים ללקוח</v>
      </c>
      <c r="AG2838" s="1">
        <v>44255</v>
      </c>
      <c r="AM2838" t="str">
        <f>"10"</f>
        <v>10</v>
      </c>
      <c r="AN2838" t="str">
        <f>"500000"</f>
        <v>500000</v>
      </c>
      <c r="AO2838" t="str">
        <f>"הכנסות  מלקוחות"</f>
        <v>הכנסות  מלקוחות</v>
      </c>
      <c r="AQ2838" t="str">
        <f>"034"</f>
        <v>034</v>
      </c>
      <c r="AR2838">
        <v>0</v>
      </c>
      <c r="AS2838">
        <v>0</v>
      </c>
      <c r="AT2838">
        <v>3.306</v>
      </c>
      <c r="AX2838" t="str">
        <f>"E000328399"</f>
        <v>E000328399</v>
      </c>
      <c r="BD2838" t="str">
        <f>"ערן שלו"</f>
        <v>ערן שלו</v>
      </c>
    </row>
    <row r="2839" spans="1:56" x14ac:dyDescent="0.3">
      <c r="A2839" s="1">
        <v>44256</v>
      </c>
      <c r="B2839" t="str">
        <f>"SI216000324"</f>
        <v>SI216000324</v>
      </c>
      <c r="C2839" t="str">
        <f>"PR20000825"</f>
        <v>PR20000825</v>
      </c>
      <c r="E2839" t="str">
        <f>"Y"</f>
        <v>Y</v>
      </c>
      <c r="F2839" t="str">
        <f>"חשבוניות מרכזות"</f>
        <v>חשבוניות מרכזות</v>
      </c>
      <c r="G2839" t="str">
        <f>"700065"</f>
        <v>700065</v>
      </c>
      <c r="H2839" t="str">
        <f>"אלתא מערכות בע""מ"</f>
        <v>אלתא מערכות בע"מ</v>
      </c>
      <c r="I2839" t="str">
        <f>"10"</f>
        <v>10</v>
      </c>
      <c r="J2839" t="str">
        <f>"CB1100123"</f>
        <v>CB1100123</v>
      </c>
      <c r="K2839" t="str">
        <f>"LB-PDB BATTERY CHARGER CABLE"</f>
        <v>LB-PDB BATTERY CHARGER CABLE</v>
      </c>
      <c r="L2839">
        <v>1</v>
      </c>
      <c r="M2839" t="str">
        <f>"יח"</f>
        <v>יח</v>
      </c>
      <c r="N2839">
        <v>1</v>
      </c>
      <c r="O2839" t="str">
        <f>"יח"</f>
        <v>יח</v>
      </c>
      <c r="P2839">
        <v>255</v>
      </c>
      <c r="Q2839" t="str">
        <f>"$"</f>
        <v>$</v>
      </c>
      <c r="R2839" t="str">
        <f>"הזמנה"</f>
        <v>הזמנה</v>
      </c>
      <c r="S2839">
        <v>0</v>
      </c>
      <c r="T2839">
        <v>255</v>
      </c>
      <c r="U2839">
        <v>0</v>
      </c>
      <c r="V2839">
        <v>255</v>
      </c>
      <c r="W2839" t="str">
        <f>"$"</f>
        <v>$</v>
      </c>
      <c r="X2839">
        <v>0</v>
      </c>
      <c r="Y2839">
        <v>0</v>
      </c>
      <c r="Z2839">
        <v>0</v>
      </c>
      <c r="AA2839" t="str">
        <f>"Y"</f>
        <v>Y</v>
      </c>
      <c r="AB2839" t="str">
        <f>"SO20000544"</f>
        <v>SO20000544</v>
      </c>
      <c r="AC2839">
        <v>1</v>
      </c>
      <c r="AD2839" s="1">
        <v>44159</v>
      </c>
      <c r="AE2839" t="str">
        <f>"SH21000329"</f>
        <v>SH21000329</v>
      </c>
      <c r="AF2839" t="str">
        <f>"משלוחים ללקוח"</f>
        <v>משלוחים ללקוח</v>
      </c>
      <c r="AG2839" s="1">
        <v>44255</v>
      </c>
      <c r="AM2839" t="str">
        <f>"10"</f>
        <v>10</v>
      </c>
      <c r="AN2839" t="str">
        <f>"500000"</f>
        <v>500000</v>
      </c>
      <c r="AO2839" t="str">
        <f>"הכנסות  מלקוחות"</f>
        <v>הכנסות  מלקוחות</v>
      </c>
      <c r="AQ2839" t="str">
        <f>"034"</f>
        <v>034</v>
      </c>
      <c r="AR2839">
        <v>0</v>
      </c>
      <c r="AS2839">
        <v>0</v>
      </c>
      <c r="AT2839">
        <v>3.306</v>
      </c>
      <c r="AX2839" t="str">
        <f>"E000326960"</f>
        <v>E000326960</v>
      </c>
      <c r="BD2839" t="str">
        <f>"ערן שלו"</f>
        <v>ערן שלו</v>
      </c>
    </row>
    <row r="2840" spans="1:56" x14ac:dyDescent="0.3">
      <c r="A2840" s="1">
        <v>44256</v>
      </c>
      <c r="B2840" t="str">
        <f>"SI216000323"</f>
        <v>SI216000323</v>
      </c>
      <c r="C2840" t="str">
        <f>"PR20000790"</f>
        <v>PR20000790</v>
      </c>
      <c r="D2840" t="str">
        <f>"PR20000790"</f>
        <v>PR20000790</v>
      </c>
      <c r="E2840" t="str">
        <f>"Y"</f>
        <v>Y</v>
      </c>
      <c r="F2840" t="str">
        <f>"חשבוניות מרכזות"</f>
        <v>חשבוניות מרכזות</v>
      </c>
      <c r="G2840" t="str">
        <f>"700065"</f>
        <v>700065</v>
      </c>
      <c r="H2840" t="str">
        <f>"אלתא מערכות בע""מ"</f>
        <v>אלתא מערכות בע"מ</v>
      </c>
      <c r="I2840" t="str">
        <f>"10"</f>
        <v>10</v>
      </c>
      <c r="J2840" t="str">
        <f>"OP-AR00099"</f>
        <v>OP-AR00099</v>
      </c>
      <c r="K2840" t="str">
        <f>"XT4N 250 TMA 200-2000 3p Including AUX &amp; SOR"</f>
        <v>XT4N 250 TMA 200-2000 3p Including AUX &amp; SOR</v>
      </c>
      <c r="L2840">
        <v>1</v>
      </c>
      <c r="M2840" t="str">
        <f>"יח"</f>
        <v>יח</v>
      </c>
      <c r="N2840">
        <v>1</v>
      </c>
      <c r="O2840" t="str">
        <f>"יח"</f>
        <v>יח</v>
      </c>
      <c r="P2840">
        <v>365.76</v>
      </c>
      <c r="Q2840" t="str">
        <f>"$"</f>
        <v>$</v>
      </c>
      <c r="R2840" t="str">
        <f>"הזמנה"</f>
        <v>הזמנה</v>
      </c>
      <c r="S2840">
        <v>0</v>
      </c>
      <c r="T2840">
        <v>365.76</v>
      </c>
      <c r="U2840">
        <v>0</v>
      </c>
      <c r="V2840">
        <v>365.76</v>
      </c>
      <c r="W2840" t="str">
        <f>"$"</f>
        <v>$</v>
      </c>
      <c r="X2840">
        <v>0</v>
      </c>
      <c r="Y2840">
        <v>0</v>
      </c>
      <c r="Z2840">
        <v>0</v>
      </c>
      <c r="AA2840" t="str">
        <f>"Y"</f>
        <v>Y</v>
      </c>
      <c r="AB2840" t="str">
        <f>"SO20000498"</f>
        <v>SO20000498</v>
      </c>
      <c r="AC2840">
        <v>1</v>
      </c>
      <c r="AD2840" s="1">
        <v>44139</v>
      </c>
      <c r="AE2840" t="str">
        <f>"SH21000326"</f>
        <v>SH21000326</v>
      </c>
      <c r="AF2840" t="str">
        <f>"משלוחים ללקוח"</f>
        <v>משלוחים ללקוח</v>
      </c>
      <c r="AG2840" s="1">
        <v>44255</v>
      </c>
      <c r="AM2840" t="str">
        <f>"10"</f>
        <v>10</v>
      </c>
      <c r="AN2840" t="str">
        <f>"500000"</f>
        <v>500000</v>
      </c>
      <c r="AO2840" t="str">
        <f>"הכנסות  מלקוחות"</f>
        <v>הכנסות  מלקוחות</v>
      </c>
      <c r="AQ2840" t="str">
        <f>"034"</f>
        <v>034</v>
      </c>
      <c r="AR2840">
        <v>0</v>
      </c>
      <c r="AS2840">
        <v>0</v>
      </c>
      <c r="AT2840">
        <v>3.306</v>
      </c>
      <c r="AX2840" t="str">
        <f>"E000324990"</f>
        <v>E000324990</v>
      </c>
      <c r="BD2840" t="str">
        <f>"ערן שלו"</f>
        <v>ערן שלו</v>
      </c>
    </row>
    <row r="2841" spans="1:56" x14ac:dyDescent="0.3">
      <c r="A2841" s="1">
        <v>44256</v>
      </c>
      <c r="B2841" t="str">
        <f>"SI216000323"</f>
        <v>SI216000323</v>
      </c>
      <c r="C2841" t="str">
        <f>"PR20000790"</f>
        <v>PR20000790</v>
      </c>
      <c r="D2841" t="str">
        <f>"PR20000790"</f>
        <v>PR20000790</v>
      </c>
      <c r="E2841" t="str">
        <f>"Y"</f>
        <v>Y</v>
      </c>
      <c r="F2841" t="str">
        <f>"חשבוניות מרכזות"</f>
        <v>חשבוניות מרכזות</v>
      </c>
      <c r="G2841" t="str">
        <f>"700065"</f>
        <v>700065</v>
      </c>
      <c r="H2841" t="str">
        <f>"אלתא מערכות בע""מ"</f>
        <v>אלתא מערכות בע"מ</v>
      </c>
      <c r="I2841" t="str">
        <f>"10"</f>
        <v>10</v>
      </c>
      <c r="J2841" t="str">
        <f>"OP-AR00099"</f>
        <v>OP-AR00099</v>
      </c>
      <c r="K2841" t="str">
        <f>"XT4N 250 TMA 200-2000 3p Including AUX &amp; SOR"</f>
        <v>XT4N 250 TMA 200-2000 3p Including AUX &amp; SOR</v>
      </c>
      <c r="L2841">
        <v>11</v>
      </c>
      <c r="M2841" t="str">
        <f>"יח"</f>
        <v>יח</v>
      </c>
      <c r="N2841">
        <v>11</v>
      </c>
      <c r="O2841" t="str">
        <f>"יח"</f>
        <v>יח</v>
      </c>
      <c r="P2841">
        <v>365.76</v>
      </c>
      <c r="Q2841" t="str">
        <f>"$"</f>
        <v>$</v>
      </c>
      <c r="R2841" t="str">
        <f>"הזמנה"</f>
        <v>הזמנה</v>
      </c>
      <c r="S2841">
        <v>0</v>
      </c>
      <c r="T2841" s="2">
        <v>4023.36</v>
      </c>
      <c r="U2841">
        <v>0</v>
      </c>
      <c r="V2841" s="2">
        <v>4023.36</v>
      </c>
      <c r="W2841" t="str">
        <f>"$"</f>
        <v>$</v>
      </c>
      <c r="X2841">
        <v>0</v>
      </c>
      <c r="Y2841">
        <v>0</v>
      </c>
      <c r="Z2841">
        <v>0</v>
      </c>
      <c r="AA2841" t="str">
        <f>"Y"</f>
        <v>Y</v>
      </c>
      <c r="AB2841" t="str">
        <f>"SO20000498"</f>
        <v>SO20000498</v>
      </c>
      <c r="AC2841">
        <v>2</v>
      </c>
      <c r="AD2841" s="1">
        <v>44139</v>
      </c>
      <c r="AE2841" t="str">
        <f>"SH21000326"</f>
        <v>SH21000326</v>
      </c>
      <c r="AF2841" t="str">
        <f>"משלוחים ללקוח"</f>
        <v>משלוחים ללקוח</v>
      </c>
      <c r="AG2841" s="1">
        <v>44255</v>
      </c>
      <c r="AM2841" t="str">
        <f>"10"</f>
        <v>10</v>
      </c>
      <c r="AN2841" t="str">
        <f>"500000"</f>
        <v>500000</v>
      </c>
      <c r="AO2841" t="str">
        <f>"הכנסות  מלקוחות"</f>
        <v>הכנסות  מלקוחות</v>
      </c>
      <c r="AQ2841" t="str">
        <f>"034"</f>
        <v>034</v>
      </c>
      <c r="AR2841">
        <v>0</v>
      </c>
      <c r="AS2841">
        <v>0</v>
      </c>
      <c r="AT2841">
        <v>3.306</v>
      </c>
      <c r="AX2841" t="str">
        <f>"E000324990"</f>
        <v>E000324990</v>
      </c>
      <c r="BD2841" t="str">
        <f>"ערן שלו"</f>
        <v>ערן שלו</v>
      </c>
    </row>
    <row r="2842" spans="1:56" x14ac:dyDescent="0.3">
      <c r="A2842" s="1">
        <v>44256</v>
      </c>
      <c r="B2842" t="str">
        <f>"SI216000323"</f>
        <v>SI216000323</v>
      </c>
      <c r="C2842" t="str">
        <f>"PR20000790"</f>
        <v>PR20000790</v>
      </c>
      <c r="D2842" t="str">
        <f>"PR20000790"</f>
        <v>PR20000790</v>
      </c>
      <c r="E2842" t="str">
        <f>"Y"</f>
        <v>Y</v>
      </c>
      <c r="F2842" t="str">
        <f>"חשבוניות מרכזות"</f>
        <v>חשבוניות מרכזות</v>
      </c>
      <c r="G2842" t="str">
        <f>"700065"</f>
        <v>700065</v>
      </c>
      <c r="H2842" t="str">
        <f>"אלתא מערכות בע""מ"</f>
        <v>אלתא מערכות בע"מ</v>
      </c>
      <c r="I2842" t="str">
        <f>"10"</f>
        <v>10</v>
      </c>
      <c r="J2842" t="str">
        <f>"OP-AR00100"</f>
        <v>OP-AR00100</v>
      </c>
      <c r="K2842" t="str">
        <f>"XT2N 160 Ekip-LS/I In=160A 3p Including SOR"</f>
        <v>XT2N 160 Ekip-LS/I In=160A 3p Including SOR</v>
      </c>
      <c r="L2842">
        <v>1</v>
      </c>
      <c r="M2842" t="str">
        <f>"יח"</f>
        <v>יח</v>
      </c>
      <c r="N2842">
        <v>1</v>
      </c>
      <c r="O2842" t="str">
        <f>"יח"</f>
        <v>יח</v>
      </c>
      <c r="P2842">
        <v>318.97000000000003</v>
      </c>
      <c r="Q2842" t="str">
        <f>"$"</f>
        <v>$</v>
      </c>
      <c r="R2842" t="str">
        <f>"הזמנה"</f>
        <v>הזמנה</v>
      </c>
      <c r="S2842">
        <v>0</v>
      </c>
      <c r="T2842">
        <v>318.97000000000003</v>
      </c>
      <c r="U2842">
        <v>0</v>
      </c>
      <c r="V2842">
        <v>318.97000000000003</v>
      </c>
      <c r="W2842" t="str">
        <f>"$"</f>
        <v>$</v>
      </c>
      <c r="X2842">
        <v>0</v>
      </c>
      <c r="Y2842">
        <v>0</v>
      </c>
      <c r="Z2842">
        <v>0</v>
      </c>
      <c r="AA2842" t="str">
        <f>"Y"</f>
        <v>Y</v>
      </c>
      <c r="AB2842" t="str">
        <f>"SO20000498"</f>
        <v>SO20000498</v>
      </c>
      <c r="AC2842">
        <v>3</v>
      </c>
      <c r="AD2842" s="1">
        <v>44139</v>
      </c>
      <c r="AE2842" t="str">
        <f>"SH21000326"</f>
        <v>SH21000326</v>
      </c>
      <c r="AF2842" t="str">
        <f>"משלוחים ללקוח"</f>
        <v>משלוחים ללקוח</v>
      </c>
      <c r="AG2842" s="1">
        <v>44255</v>
      </c>
      <c r="AM2842" t="str">
        <f>"10"</f>
        <v>10</v>
      </c>
      <c r="AN2842" t="str">
        <f>"500000"</f>
        <v>500000</v>
      </c>
      <c r="AO2842" t="str">
        <f>"הכנסות  מלקוחות"</f>
        <v>הכנסות  מלקוחות</v>
      </c>
      <c r="AQ2842" t="str">
        <f>"034"</f>
        <v>034</v>
      </c>
      <c r="AR2842">
        <v>0</v>
      </c>
      <c r="AS2842">
        <v>0</v>
      </c>
      <c r="AT2842">
        <v>3.306</v>
      </c>
      <c r="AX2842" t="str">
        <f>"E000324990"</f>
        <v>E000324990</v>
      </c>
      <c r="BD2842" t="str">
        <f>"ערן שלו"</f>
        <v>ערן שלו</v>
      </c>
    </row>
    <row r="2843" spans="1:56" x14ac:dyDescent="0.3">
      <c r="A2843" s="1">
        <v>44256</v>
      </c>
      <c r="B2843" t="str">
        <f>"SI216000323"</f>
        <v>SI216000323</v>
      </c>
      <c r="C2843" t="str">
        <f>"PR20000790"</f>
        <v>PR20000790</v>
      </c>
      <c r="D2843" t="str">
        <f>"PR20000790"</f>
        <v>PR20000790</v>
      </c>
      <c r="E2843" t="str">
        <f>"Y"</f>
        <v>Y</v>
      </c>
      <c r="F2843" t="str">
        <f>"חשבוניות מרכזות"</f>
        <v>חשבוניות מרכזות</v>
      </c>
      <c r="G2843" t="str">
        <f>"700065"</f>
        <v>700065</v>
      </c>
      <c r="H2843" t="str">
        <f>"אלתא מערכות בע""מ"</f>
        <v>אלתא מערכות בע"מ</v>
      </c>
      <c r="I2843" t="str">
        <f>"10"</f>
        <v>10</v>
      </c>
      <c r="J2843" t="str">
        <f>"OP-AR00100"</f>
        <v>OP-AR00100</v>
      </c>
      <c r="K2843" t="str">
        <f>"XT2N 160 Ekip-LS/I In=160A 3p Including SOR"</f>
        <v>XT2N 160 Ekip-LS/I In=160A 3p Including SOR</v>
      </c>
      <c r="L2843">
        <v>11</v>
      </c>
      <c r="M2843" t="str">
        <f>"יח"</f>
        <v>יח</v>
      </c>
      <c r="N2843">
        <v>11</v>
      </c>
      <c r="O2843" t="str">
        <f>"יח"</f>
        <v>יח</v>
      </c>
      <c r="P2843">
        <v>318.97000000000003</v>
      </c>
      <c r="Q2843" t="str">
        <f>"$"</f>
        <v>$</v>
      </c>
      <c r="R2843" t="str">
        <f>"הזמנה"</f>
        <v>הזמנה</v>
      </c>
      <c r="S2843">
        <v>0</v>
      </c>
      <c r="T2843" s="2">
        <v>3508.67</v>
      </c>
      <c r="U2843">
        <v>0</v>
      </c>
      <c r="V2843" s="2">
        <v>3508.67</v>
      </c>
      <c r="W2843" t="str">
        <f>"$"</f>
        <v>$</v>
      </c>
      <c r="X2843">
        <v>0</v>
      </c>
      <c r="Y2843">
        <v>0</v>
      </c>
      <c r="Z2843">
        <v>0</v>
      </c>
      <c r="AA2843" t="str">
        <f>"Y"</f>
        <v>Y</v>
      </c>
      <c r="AB2843" t="str">
        <f>"SO20000498"</f>
        <v>SO20000498</v>
      </c>
      <c r="AC2843">
        <v>4</v>
      </c>
      <c r="AD2843" s="1">
        <v>44139</v>
      </c>
      <c r="AE2843" t="str">
        <f>"SH21000326"</f>
        <v>SH21000326</v>
      </c>
      <c r="AF2843" t="str">
        <f>"משלוחים ללקוח"</f>
        <v>משלוחים ללקוח</v>
      </c>
      <c r="AG2843" s="1">
        <v>44255</v>
      </c>
      <c r="AM2843" t="str">
        <f>"10"</f>
        <v>10</v>
      </c>
      <c r="AN2843" t="str">
        <f>"500000"</f>
        <v>500000</v>
      </c>
      <c r="AO2843" t="str">
        <f>"הכנסות  מלקוחות"</f>
        <v>הכנסות  מלקוחות</v>
      </c>
      <c r="AQ2843" t="str">
        <f>"034"</f>
        <v>034</v>
      </c>
      <c r="AR2843">
        <v>0</v>
      </c>
      <c r="AS2843">
        <v>0</v>
      </c>
      <c r="AT2843">
        <v>3.306</v>
      </c>
      <c r="AX2843" t="str">
        <f>"E000324990"</f>
        <v>E000324990</v>
      </c>
      <c r="BD2843" t="str">
        <f>"ערן שלו"</f>
        <v>ערן שלו</v>
      </c>
    </row>
    <row r="2844" spans="1:56" x14ac:dyDescent="0.3">
      <c r="A2844" s="1">
        <v>44256</v>
      </c>
      <c r="B2844" t="str">
        <f>"SI216000323"</f>
        <v>SI216000323</v>
      </c>
      <c r="C2844" t="str">
        <f>"PR20000790"</f>
        <v>PR20000790</v>
      </c>
      <c r="D2844" t="str">
        <f>"PR20000790"</f>
        <v>PR20000790</v>
      </c>
      <c r="E2844" t="str">
        <f>"Y"</f>
        <v>Y</v>
      </c>
      <c r="F2844" t="str">
        <f>"חשבוניות מרכזות"</f>
        <v>חשבוניות מרכזות</v>
      </c>
      <c r="G2844" t="str">
        <f>"700065"</f>
        <v>700065</v>
      </c>
      <c r="H2844" t="str">
        <f>"אלתא מערכות בע""מ"</f>
        <v>אלתא מערכות בע"מ</v>
      </c>
      <c r="I2844" t="str">
        <f>"10"</f>
        <v>10</v>
      </c>
      <c r="J2844" t="str">
        <f>"OP-AR00101"</f>
        <v>OP-AR00101</v>
      </c>
      <c r="K2844" t="str">
        <f>"XT1C 160 TMD 100-1000 3p Including AUX"</f>
        <v>XT1C 160 TMD 100-1000 3p Including AUX</v>
      </c>
      <c r="L2844">
        <v>1</v>
      </c>
      <c r="M2844" t="str">
        <f>"יח"</f>
        <v>יח</v>
      </c>
      <c r="N2844">
        <v>1</v>
      </c>
      <c r="O2844" t="str">
        <f>"יח"</f>
        <v>יח</v>
      </c>
      <c r="P2844">
        <v>105.6</v>
      </c>
      <c r="Q2844" t="str">
        <f>"$"</f>
        <v>$</v>
      </c>
      <c r="R2844" t="str">
        <f>"הזמנה"</f>
        <v>הזמנה</v>
      </c>
      <c r="S2844">
        <v>0</v>
      </c>
      <c r="T2844">
        <v>105.6</v>
      </c>
      <c r="U2844">
        <v>0</v>
      </c>
      <c r="V2844">
        <v>105.6</v>
      </c>
      <c r="W2844" t="str">
        <f>"$"</f>
        <v>$</v>
      </c>
      <c r="X2844">
        <v>0</v>
      </c>
      <c r="Y2844">
        <v>0</v>
      </c>
      <c r="Z2844">
        <v>0</v>
      </c>
      <c r="AA2844" t="str">
        <f>"Y"</f>
        <v>Y</v>
      </c>
      <c r="AB2844" t="str">
        <f>"SO20000498"</f>
        <v>SO20000498</v>
      </c>
      <c r="AC2844">
        <v>5</v>
      </c>
      <c r="AD2844" s="1">
        <v>44139</v>
      </c>
      <c r="AE2844" t="str">
        <f>"SH21000326"</f>
        <v>SH21000326</v>
      </c>
      <c r="AF2844" t="str">
        <f>"משלוחים ללקוח"</f>
        <v>משלוחים ללקוח</v>
      </c>
      <c r="AG2844" s="1">
        <v>44255</v>
      </c>
      <c r="AM2844" t="str">
        <f>"10"</f>
        <v>10</v>
      </c>
      <c r="AN2844" t="str">
        <f>"500000"</f>
        <v>500000</v>
      </c>
      <c r="AO2844" t="str">
        <f>"הכנסות  מלקוחות"</f>
        <v>הכנסות  מלקוחות</v>
      </c>
      <c r="AQ2844" t="str">
        <f>"034"</f>
        <v>034</v>
      </c>
      <c r="AR2844">
        <v>0</v>
      </c>
      <c r="AS2844">
        <v>0</v>
      </c>
      <c r="AT2844">
        <v>3.306</v>
      </c>
      <c r="AX2844" t="str">
        <f>"E000324990"</f>
        <v>E000324990</v>
      </c>
      <c r="BD2844" t="str">
        <f>"ערן שלו"</f>
        <v>ערן שלו</v>
      </c>
    </row>
    <row r="2845" spans="1:56" x14ac:dyDescent="0.3">
      <c r="A2845" s="1">
        <v>44256</v>
      </c>
      <c r="B2845" t="str">
        <f>"SI216000323"</f>
        <v>SI216000323</v>
      </c>
      <c r="C2845" t="str">
        <f>"PR20000790"</f>
        <v>PR20000790</v>
      </c>
      <c r="D2845" t="str">
        <f>"PR20000790"</f>
        <v>PR20000790</v>
      </c>
      <c r="E2845" t="str">
        <f>"Y"</f>
        <v>Y</v>
      </c>
      <c r="F2845" t="str">
        <f>"חשבוניות מרכזות"</f>
        <v>חשבוניות מרכזות</v>
      </c>
      <c r="G2845" t="str">
        <f>"700065"</f>
        <v>700065</v>
      </c>
      <c r="H2845" t="str">
        <f>"אלתא מערכות בע""מ"</f>
        <v>אלתא מערכות בע"מ</v>
      </c>
      <c r="I2845" t="str">
        <f>"10"</f>
        <v>10</v>
      </c>
      <c r="J2845" t="str">
        <f>"OP-AR00101"</f>
        <v>OP-AR00101</v>
      </c>
      <c r="K2845" t="str">
        <f>"XT1C 160 TMD 100-1000 3p Including AUX"</f>
        <v>XT1C 160 TMD 100-1000 3p Including AUX</v>
      </c>
      <c r="L2845">
        <v>1</v>
      </c>
      <c r="M2845" t="str">
        <f>"יח"</f>
        <v>יח</v>
      </c>
      <c r="N2845">
        <v>1</v>
      </c>
      <c r="O2845" t="str">
        <f>"יח"</f>
        <v>יח</v>
      </c>
      <c r="P2845">
        <v>105.6</v>
      </c>
      <c r="Q2845" t="str">
        <f>"$"</f>
        <v>$</v>
      </c>
      <c r="R2845" t="str">
        <f>"הזמנה"</f>
        <v>הזמנה</v>
      </c>
      <c r="S2845">
        <v>0</v>
      </c>
      <c r="T2845">
        <v>105.6</v>
      </c>
      <c r="U2845">
        <v>0</v>
      </c>
      <c r="V2845">
        <v>105.6</v>
      </c>
      <c r="W2845" t="str">
        <f>"$"</f>
        <v>$</v>
      </c>
      <c r="X2845">
        <v>0</v>
      </c>
      <c r="Y2845">
        <v>0</v>
      </c>
      <c r="Z2845">
        <v>0</v>
      </c>
      <c r="AA2845" t="str">
        <f>"Y"</f>
        <v>Y</v>
      </c>
      <c r="AB2845" t="str">
        <f>"SO20000498"</f>
        <v>SO20000498</v>
      </c>
      <c r="AC2845">
        <v>6</v>
      </c>
      <c r="AD2845" s="1">
        <v>44139</v>
      </c>
      <c r="AE2845" t="str">
        <f>"SH21000326"</f>
        <v>SH21000326</v>
      </c>
      <c r="AF2845" t="str">
        <f>"משלוחים ללקוח"</f>
        <v>משלוחים ללקוח</v>
      </c>
      <c r="AG2845" s="1">
        <v>44255</v>
      </c>
      <c r="AM2845" t="str">
        <f>"10"</f>
        <v>10</v>
      </c>
      <c r="AN2845" t="str">
        <f>"500000"</f>
        <v>500000</v>
      </c>
      <c r="AO2845" t="str">
        <f>"הכנסות  מלקוחות"</f>
        <v>הכנסות  מלקוחות</v>
      </c>
      <c r="AQ2845" t="str">
        <f>"034"</f>
        <v>034</v>
      </c>
      <c r="AR2845">
        <v>0</v>
      </c>
      <c r="AS2845">
        <v>0</v>
      </c>
      <c r="AT2845">
        <v>3.306</v>
      </c>
      <c r="AX2845" t="str">
        <f>"E000324990"</f>
        <v>E000324990</v>
      </c>
      <c r="BD2845" t="str">
        <f>"ערן שלו"</f>
        <v>ערן שלו</v>
      </c>
    </row>
    <row r="2846" spans="1:56" x14ac:dyDescent="0.3">
      <c r="A2846" s="1">
        <v>44256</v>
      </c>
      <c r="B2846" t="str">
        <f>"SI216000323"</f>
        <v>SI216000323</v>
      </c>
      <c r="C2846" t="str">
        <f>"PR20000790"</f>
        <v>PR20000790</v>
      </c>
      <c r="D2846" t="str">
        <f>"PR20000790"</f>
        <v>PR20000790</v>
      </c>
      <c r="E2846" t="str">
        <f>"Y"</f>
        <v>Y</v>
      </c>
      <c r="F2846" t="str">
        <f>"חשבוניות מרכזות"</f>
        <v>חשבוניות מרכזות</v>
      </c>
      <c r="G2846" t="str">
        <f>"700065"</f>
        <v>700065</v>
      </c>
      <c r="H2846" t="str">
        <f>"אלתא מערכות בע""מ"</f>
        <v>אלתא מערכות בע"מ</v>
      </c>
      <c r="I2846" t="str">
        <f>"10"</f>
        <v>10</v>
      </c>
      <c r="J2846" t="str">
        <f>"PD0247674"</f>
        <v>PD0247674</v>
      </c>
      <c r="K2846" t="str">
        <f>"מא""ז S201M-C10 1X10A 10K ABB"</f>
        <v>מא"ז S201M-C10 1X10A 10K ABB</v>
      </c>
      <c r="L2846">
        <v>4</v>
      </c>
      <c r="M2846" t="str">
        <f>"יח"</f>
        <v>יח</v>
      </c>
      <c r="N2846">
        <v>4</v>
      </c>
      <c r="O2846" t="str">
        <f>"יח"</f>
        <v>יח</v>
      </c>
      <c r="P2846">
        <v>4.91</v>
      </c>
      <c r="Q2846" t="str">
        <f>"$"</f>
        <v>$</v>
      </c>
      <c r="R2846" t="str">
        <f>"הזמנה"</f>
        <v>הזמנה</v>
      </c>
      <c r="S2846">
        <v>0</v>
      </c>
      <c r="T2846">
        <v>19.64</v>
      </c>
      <c r="U2846">
        <v>0</v>
      </c>
      <c r="V2846">
        <v>19.64</v>
      </c>
      <c r="W2846" t="str">
        <f>"$"</f>
        <v>$</v>
      </c>
      <c r="X2846">
        <v>0</v>
      </c>
      <c r="Y2846">
        <v>0</v>
      </c>
      <c r="Z2846">
        <v>0</v>
      </c>
      <c r="AA2846" t="str">
        <f>"Y"</f>
        <v>Y</v>
      </c>
      <c r="AB2846" t="str">
        <f>"SO20000498"</f>
        <v>SO20000498</v>
      </c>
      <c r="AC2846">
        <v>7</v>
      </c>
      <c r="AD2846" s="1">
        <v>44139</v>
      </c>
      <c r="AE2846" t="str">
        <f>"SH21000326"</f>
        <v>SH21000326</v>
      </c>
      <c r="AF2846" t="str">
        <f>"משלוחים ללקוח"</f>
        <v>משלוחים ללקוח</v>
      </c>
      <c r="AG2846" s="1">
        <v>44255</v>
      </c>
      <c r="AM2846" t="str">
        <f>"10"</f>
        <v>10</v>
      </c>
      <c r="AN2846" t="str">
        <f>"500000"</f>
        <v>500000</v>
      </c>
      <c r="AO2846" t="str">
        <f>"הכנסות  מלקוחות"</f>
        <v>הכנסות  מלקוחות</v>
      </c>
      <c r="AQ2846" t="str">
        <f>"034"</f>
        <v>034</v>
      </c>
      <c r="AR2846">
        <v>0</v>
      </c>
      <c r="AS2846">
        <v>0</v>
      </c>
      <c r="AT2846">
        <v>3.306</v>
      </c>
      <c r="AX2846" t="str">
        <f>"E000324990"</f>
        <v>E000324990</v>
      </c>
      <c r="BD2846" t="str">
        <f>"ערן שלו"</f>
        <v>ערן שלו</v>
      </c>
    </row>
    <row r="2847" spans="1:56" x14ac:dyDescent="0.3">
      <c r="A2847" s="1">
        <v>44256</v>
      </c>
      <c r="B2847" t="str">
        <f>"SI216000323"</f>
        <v>SI216000323</v>
      </c>
      <c r="C2847" t="str">
        <f>"PR20000790"</f>
        <v>PR20000790</v>
      </c>
      <c r="D2847" t="str">
        <f>"PR20000790"</f>
        <v>PR20000790</v>
      </c>
      <c r="E2847" t="str">
        <f>"Y"</f>
        <v>Y</v>
      </c>
      <c r="F2847" t="str">
        <f>"חשבוניות מרכזות"</f>
        <v>חשבוניות מרכזות</v>
      </c>
      <c r="G2847" t="str">
        <f>"700065"</f>
        <v>700065</v>
      </c>
      <c r="H2847" t="str">
        <f>"אלתא מערכות בע""מ"</f>
        <v>אלתא מערכות בע"מ</v>
      </c>
      <c r="I2847" t="str">
        <f>"10"</f>
        <v>10</v>
      </c>
      <c r="J2847" t="str">
        <f>"PD0247674"</f>
        <v>PD0247674</v>
      </c>
      <c r="K2847" t="str">
        <f>"מא""ז S201M-C10 1X10A 10K ABB"</f>
        <v>מא"ז S201M-C10 1X10A 10K ABB</v>
      </c>
      <c r="L2847">
        <v>45</v>
      </c>
      <c r="M2847" t="str">
        <f>"יח"</f>
        <v>יח</v>
      </c>
      <c r="N2847">
        <v>45</v>
      </c>
      <c r="O2847" t="str">
        <f>"יח"</f>
        <v>יח</v>
      </c>
      <c r="P2847">
        <v>4.91</v>
      </c>
      <c r="Q2847" t="str">
        <f>"$"</f>
        <v>$</v>
      </c>
      <c r="R2847" t="str">
        <f>"הזמנה"</f>
        <v>הזמנה</v>
      </c>
      <c r="S2847">
        <v>0</v>
      </c>
      <c r="T2847">
        <v>220.95</v>
      </c>
      <c r="U2847">
        <v>0</v>
      </c>
      <c r="V2847">
        <v>220.95</v>
      </c>
      <c r="W2847" t="str">
        <f>"$"</f>
        <v>$</v>
      </c>
      <c r="X2847">
        <v>0</v>
      </c>
      <c r="Y2847">
        <v>0</v>
      </c>
      <c r="Z2847">
        <v>0</v>
      </c>
      <c r="AA2847" t="str">
        <f>"Y"</f>
        <v>Y</v>
      </c>
      <c r="AB2847" t="str">
        <f>"SO20000498"</f>
        <v>SO20000498</v>
      </c>
      <c r="AC2847">
        <v>8</v>
      </c>
      <c r="AD2847" s="1">
        <v>44139</v>
      </c>
      <c r="AE2847" t="str">
        <f>"SH21000326"</f>
        <v>SH21000326</v>
      </c>
      <c r="AF2847" t="str">
        <f>"משלוחים ללקוח"</f>
        <v>משלוחים ללקוח</v>
      </c>
      <c r="AG2847" s="1">
        <v>44255</v>
      </c>
      <c r="AM2847" t="str">
        <f>"10"</f>
        <v>10</v>
      </c>
      <c r="AN2847" t="str">
        <f>"500000"</f>
        <v>500000</v>
      </c>
      <c r="AO2847" t="str">
        <f>"הכנסות  מלקוחות"</f>
        <v>הכנסות  מלקוחות</v>
      </c>
      <c r="AQ2847" t="str">
        <f>"034"</f>
        <v>034</v>
      </c>
      <c r="AR2847">
        <v>0</v>
      </c>
      <c r="AS2847">
        <v>0</v>
      </c>
      <c r="AT2847">
        <v>3.306</v>
      </c>
      <c r="AX2847" t="str">
        <f>"E000324990"</f>
        <v>E000324990</v>
      </c>
      <c r="BD2847" t="str">
        <f>"ערן שלו"</f>
        <v>ערן שלו</v>
      </c>
    </row>
    <row r="2848" spans="1:56" x14ac:dyDescent="0.3">
      <c r="A2848" s="1">
        <v>44256</v>
      </c>
      <c r="B2848" t="str">
        <f>"SI216000323"</f>
        <v>SI216000323</v>
      </c>
      <c r="C2848" t="str">
        <f>"PR20000790"</f>
        <v>PR20000790</v>
      </c>
      <c r="D2848" t="str">
        <f>"PR20000790"</f>
        <v>PR20000790</v>
      </c>
      <c r="E2848" t="str">
        <f>"Y"</f>
        <v>Y</v>
      </c>
      <c r="F2848" t="str">
        <f>"חשבוניות מרכזות"</f>
        <v>חשבוניות מרכזות</v>
      </c>
      <c r="G2848" t="str">
        <f>"700065"</f>
        <v>700065</v>
      </c>
      <c r="H2848" t="str">
        <f>"אלתא מערכות בע""מ"</f>
        <v>אלתא מערכות בע"מ</v>
      </c>
      <c r="I2848" t="str">
        <f>"10"</f>
        <v>10</v>
      </c>
      <c r="J2848" t="str">
        <f>"PD0247617"</f>
        <v>PD0247617</v>
      </c>
      <c r="K2848" t="str">
        <f>"מא""ז 1X16 10K ABB S201M-C 16"</f>
        <v>מא"ז 1X16 10K ABB S201M-C 16</v>
      </c>
      <c r="L2848">
        <v>24</v>
      </c>
      <c r="M2848" t="str">
        <f>"יח"</f>
        <v>יח</v>
      </c>
      <c r="N2848">
        <v>24</v>
      </c>
      <c r="O2848" t="str">
        <f>"יח"</f>
        <v>יח</v>
      </c>
      <c r="P2848">
        <v>4.78</v>
      </c>
      <c r="Q2848" t="str">
        <f>"$"</f>
        <v>$</v>
      </c>
      <c r="R2848" t="str">
        <f>"הזמנה"</f>
        <v>הזמנה</v>
      </c>
      <c r="S2848">
        <v>0</v>
      </c>
      <c r="T2848">
        <v>114.72</v>
      </c>
      <c r="U2848">
        <v>0</v>
      </c>
      <c r="V2848">
        <v>114.72</v>
      </c>
      <c r="W2848" t="str">
        <f>"$"</f>
        <v>$</v>
      </c>
      <c r="X2848">
        <v>0</v>
      </c>
      <c r="Y2848">
        <v>0</v>
      </c>
      <c r="Z2848">
        <v>0</v>
      </c>
      <c r="AA2848" t="str">
        <f>"Y"</f>
        <v>Y</v>
      </c>
      <c r="AB2848" t="str">
        <f>"SO20000498"</f>
        <v>SO20000498</v>
      </c>
      <c r="AC2848">
        <v>9</v>
      </c>
      <c r="AD2848" s="1">
        <v>44139</v>
      </c>
      <c r="AE2848" t="str">
        <f>"SH21000326"</f>
        <v>SH21000326</v>
      </c>
      <c r="AF2848" t="str">
        <f>"משלוחים ללקוח"</f>
        <v>משלוחים ללקוח</v>
      </c>
      <c r="AG2848" s="1">
        <v>44255</v>
      </c>
      <c r="AM2848" t="str">
        <f>"10"</f>
        <v>10</v>
      </c>
      <c r="AN2848" t="str">
        <f>"500000"</f>
        <v>500000</v>
      </c>
      <c r="AO2848" t="str">
        <f>"הכנסות  מלקוחות"</f>
        <v>הכנסות  מלקוחות</v>
      </c>
      <c r="AQ2848" t="str">
        <f>"034"</f>
        <v>034</v>
      </c>
      <c r="AR2848">
        <v>0</v>
      </c>
      <c r="AS2848">
        <v>0</v>
      </c>
      <c r="AT2848">
        <v>3.306</v>
      </c>
      <c r="AX2848" t="str">
        <f>"E000324990"</f>
        <v>E000324990</v>
      </c>
      <c r="BD2848" t="str">
        <f>"ערן שלו"</f>
        <v>ערן שלו</v>
      </c>
    </row>
    <row r="2849" spans="1:56" x14ac:dyDescent="0.3">
      <c r="A2849" s="1">
        <v>44256</v>
      </c>
      <c r="B2849" t="str">
        <f>"SI216000323"</f>
        <v>SI216000323</v>
      </c>
      <c r="C2849" t="str">
        <f>"PR20000790"</f>
        <v>PR20000790</v>
      </c>
      <c r="D2849" t="str">
        <f>"PR20000790"</f>
        <v>PR20000790</v>
      </c>
      <c r="E2849" t="str">
        <f>"Y"</f>
        <v>Y</v>
      </c>
      <c r="F2849" t="str">
        <f>"חשבוניות מרכזות"</f>
        <v>חשבוניות מרכזות</v>
      </c>
      <c r="G2849" t="str">
        <f>"700065"</f>
        <v>700065</v>
      </c>
      <c r="H2849" t="str">
        <f>"אלתא מערכות בע""מ"</f>
        <v>אלתא מערכות בע"מ</v>
      </c>
      <c r="I2849" t="str">
        <f>"10"</f>
        <v>10</v>
      </c>
      <c r="J2849" t="str">
        <f>"PD0241321"</f>
        <v>PD0241321</v>
      </c>
      <c r="K2849" t="str">
        <f>"מא""ז ABB 3X32AC 10KA S203M-C 32"</f>
        <v>מא"ז ABB 3X32AC 10KA S203M-C 32</v>
      </c>
      <c r="L2849">
        <v>12</v>
      </c>
      <c r="M2849" t="str">
        <f>"יח"</f>
        <v>יח</v>
      </c>
      <c r="N2849">
        <v>12</v>
      </c>
      <c r="O2849" t="str">
        <f>"יח"</f>
        <v>יח</v>
      </c>
      <c r="P2849">
        <v>4.78</v>
      </c>
      <c r="Q2849" t="str">
        <f>"$"</f>
        <v>$</v>
      </c>
      <c r="R2849" t="str">
        <f>"הזמנה"</f>
        <v>הזמנה</v>
      </c>
      <c r="S2849">
        <v>0</v>
      </c>
      <c r="T2849">
        <v>57.36</v>
      </c>
      <c r="U2849">
        <v>0</v>
      </c>
      <c r="V2849">
        <v>57.36</v>
      </c>
      <c r="W2849" t="str">
        <f>"$"</f>
        <v>$</v>
      </c>
      <c r="X2849">
        <v>0</v>
      </c>
      <c r="Y2849">
        <v>0</v>
      </c>
      <c r="Z2849">
        <v>0</v>
      </c>
      <c r="AA2849" t="str">
        <f>"Y"</f>
        <v>Y</v>
      </c>
      <c r="AB2849" t="str">
        <f>"SO20000498"</f>
        <v>SO20000498</v>
      </c>
      <c r="AC2849">
        <v>10</v>
      </c>
      <c r="AD2849" s="1">
        <v>44139</v>
      </c>
      <c r="AE2849" t="str">
        <f>"SH21000326"</f>
        <v>SH21000326</v>
      </c>
      <c r="AF2849" t="str">
        <f>"משלוחים ללקוח"</f>
        <v>משלוחים ללקוח</v>
      </c>
      <c r="AG2849" s="1">
        <v>44255</v>
      </c>
      <c r="AM2849" t="str">
        <f>"10"</f>
        <v>10</v>
      </c>
      <c r="AN2849" t="str">
        <f>"500000"</f>
        <v>500000</v>
      </c>
      <c r="AO2849" t="str">
        <f>"הכנסות  מלקוחות"</f>
        <v>הכנסות  מלקוחות</v>
      </c>
      <c r="AQ2849" t="str">
        <f>"034"</f>
        <v>034</v>
      </c>
      <c r="AR2849">
        <v>0</v>
      </c>
      <c r="AS2849">
        <v>0</v>
      </c>
      <c r="AT2849">
        <v>3.306</v>
      </c>
      <c r="AX2849" t="str">
        <f>"E000324990"</f>
        <v>E000324990</v>
      </c>
      <c r="BD2849" t="str">
        <f>"ערן שלו"</f>
        <v>ערן שלו</v>
      </c>
    </row>
    <row r="2850" spans="1:56" x14ac:dyDescent="0.3">
      <c r="A2850" s="1">
        <v>44256</v>
      </c>
      <c r="B2850" t="str">
        <f>"SI216000323"</f>
        <v>SI216000323</v>
      </c>
      <c r="C2850" t="str">
        <f>"PR20000790"</f>
        <v>PR20000790</v>
      </c>
      <c r="D2850" t="str">
        <f>"PR20000790"</f>
        <v>PR20000790</v>
      </c>
      <c r="E2850" t="str">
        <f>"Y"</f>
        <v>Y</v>
      </c>
      <c r="F2850" t="str">
        <f>"חשבוניות מרכזות"</f>
        <v>חשבוניות מרכזות</v>
      </c>
      <c r="G2850" t="str">
        <f>"700065"</f>
        <v>700065</v>
      </c>
      <c r="H2850" t="str">
        <f>"אלתא מערכות בע""מ"</f>
        <v>אלתא מערכות בע"מ</v>
      </c>
      <c r="I2850" t="str">
        <f>"10"</f>
        <v>10</v>
      </c>
      <c r="J2850" t="str">
        <f>"PD0201222"</f>
        <v>PD0201222</v>
      </c>
      <c r="K2850" t="str">
        <f>"מא""ז ABB S202M-K50UC 2X50A"</f>
        <v>מא"ז ABB S202M-K50UC 2X50A</v>
      </c>
      <c r="L2850">
        <v>1</v>
      </c>
      <c r="M2850" t="str">
        <f>"יח"</f>
        <v>יח</v>
      </c>
      <c r="N2850">
        <v>1</v>
      </c>
      <c r="O2850" t="str">
        <f>"יח"</f>
        <v>יח</v>
      </c>
      <c r="P2850">
        <v>95.36</v>
      </c>
      <c r="Q2850" t="str">
        <f>"$"</f>
        <v>$</v>
      </c>
      <c r="R2850" t="str">
        <f>"הזמנה"</f>
        <v>הזמנה</v>
      </c>
      <c r="S2850">
        <v>0</v>
      </c>
      <c r="T2850">
        <v>95.36</v>
      </c>
      <c r="U2850">
        <v>0</v>
      </c>
      <c r="V2850">
        <v>95.36</v>
      </c>
      <c r="W2850" t="str">
        <f>"$"</f>
        <v>$</v>
      </c>
      <c r="X2850">
        <v>0</v>
      </c>
      <c r="Y2850">
        <v>0</v>
      </c>
      <c r="Z2850">
        <v>0</v>
      </c>
      <c r="AA2850" t="str">
        <f>"Y"</f>
        <v>Y</v>
      </c>
      <c r="AB2850" t="str">
        <f>"SO20000498"</f>
        <v>SO20000498</v>
      </c>
      <c r="AC2850">
        <v>11</v>
      </c>
      <c r="AD2850" s="1">
        <v>44139</v>
      </c>
      <c r="AE2850" t="str">
        <f>"SH21000326"</f>
        <v>SH21000326</v>
      </c>
      <c r="AF2850" t="str">
        <f>"משלוחים ללקוח"</f>
        <v>משלוחים ללקוח</v>
      </c>
      <c r="AG2850" s="1">
        <v>44255</v>
      </c>
      <c r="AM2850" t="str">
        <f>"10"</f>
        <v>10</v>
      </c>
      <c r="AN2850" t="str">
        <f>"500000"</f>
        <v>500000</v>
      </c>
      <c r="AO2850" t="str">
        <f>"הכנסות  מלקוחות"</f>
        <v>הכנסות  מלקוחות</v>
      </c>
      <c r="AQ2850" t="str">
        <f>"034"</f>
        <v>034</v>
      </c>
      <c r="AR2850">
        <v>0</v>
      </c>
      <c r="AS2850">
        <v>0</v>
      </c>
      <c r="AT2850">
        <v>3.306</v>
      </c>
      <c r="AX2850" t="str">
        <f>"E000324990"</f>
        <v>E000324990</v>
      </c>
      <c r="BD2850" t="str">
        <f>"ערן שלו"</f>
        <v>ערן שלו</v>
      </c>
    </row>
    <row r="2851" spans="1:56" x14ac:dyDescent="0.3">
      <c r="A2851" s="1">
        <v>44256</v>
      </c>
      <c r="B2851" t="str">
        <f>"SI216000323"</f>
        <v>SI216000323</v>
      </c>
      <c r="C2851" t="str">
        <f>"PR20000790"</f>
        <v>PR20000790</v>
      </c>
      <c r="D2851" t="str">
        <f>"PR20000790"</f>
        <v>PR20000790</v>
      </c>
      <c r="E2851" t="str">
        <f>"Y"</f>
        <v>Y</v>
      </c>
      <c r="F2851" t="str">
        <f>"חשבוניות מרכזות"</f>
        <v>חשבוניות מרכזות</v>
      </c>
      <c r="G2851" t="str">
        <f>"700065"</f>
        <v>700065</v>
      </c>
      <c r="H2851" t="str">
        <f>"אלתא מערכות בע""מ"</f>
        <v>אלתא מערכות בע"מ</v>
      </c>
      <c r="I2851" t="str">
        <f>"10"</f>
        <v>10</v>
      </c>
      <c r="J2851" t="str">
        <f>"PD0201222"</f>
        <v>PD0201222</v>
      </c>
      <c r="K2851" t="str">
        <f>"מא""ז ABB S202M-K50UC 2X50A"</f>
        <v>מא"ז ABB S202M-K50UC 2X50A</v>
      </c>
      <c r="L2851">
        <v>11</v>
      </c>
      <c r="M2851" t="str">
        <f>"יח"</f>
        <v>יח</v>
      </c>
      <c r="N2851">
        <v>11</v>
      </c>
      <c r="O2851" t="str">
        <f>"יח"</f>
        <v>יח</v>
      </c>
      <c r="P2851">
        <v>95.36</v>
      </c>
      <c r="Q2851" t="str">
        <f>"$"</f>
        <v>$</v>
      </c>
      <c r="R2851" t="str">
        <f>"הזמנה"</f>
        <v>הזמנה</v>
      </c>
      <c r="S2851">
        <v>0</v>
      </c>
      <c r="T2851" s="2">
        <v>1048.96</v>
      </c>
      <c r="U2851">
        <v>0</v>
      </c>
      <c r="V2851" s="2">
        <v>1048.96</v>
      </c>
      <c r="W2851" t="str">
        <f>"$"</f>
        <v>$</v>
      </c>
      <c r="X2851">
        <v>0</v>
      </c>
      <c r="Y2851">
        <v>0</v>
      </c>
      <c r="Z2851">
        <v>0</v>
      </c>
      <c r="AA2851" t="str">
        <f>"Y"</f>
        <v>Y</v>
      </c>
      <c r="AB2851" t="str">
        <f>"SO20000498"</f>
        <v>SO20000498</v>
      </c>
      <c r="AC2851">
        <v>12</v>
      </c>
      <c r="AD2851" s="1">
        <v>44139</v>
      </c>
      <c r="AE2851" t="str">
        <f>"SH21000326"</f>
        <v>SH21000326</v>
      </c>
      <c r="AF2851" t="str">
        <f>"משלוחים ללקוח"</f>
        <v>משלוחים ללקוח</v>
      </c>
      <c r="AG2851" s="1">
        <v>44255</v>
      </c>
      <c r="AM2851" t="str">
        <f>"10"</f>
        <v>10</v>
      </c>
      <c r="AN2851" t="str">
        <f>"500000"</f>
        <v>500000</v>
      </c>
      <c r="AO2851" t="str">
        <f>"הכנסות  מלקוחות"</f>
        <v>הכנסות  מלקוחות</v>
      </c>
      <c r="AQ2851" t="str">
        <f>"034"</f>
        <v>034</v>
      </c>
      <c r="AR2851">
        <v>0</v>
      </c>
      <c r="AS2851">
        <v>0</v>
      </c>
      <c r="AT2851">
        <v>3.306</v>
      </c>
      <c r="AX2851" t="str">
        <f>"E000324990"</f>
        <v>E000324990</v>
      </c>
      <c r="BD2851" t="str">
        <f>"ערן שלו"</f>
        <v>ערן שלו</v>
      </c>
    </row>
    <row r="2852" spans="1:56" x14ac:dyDescent="0.3">
      <c r="A2852" s="1">
        <v>44256</v>
      </c>
      <c r="B2852" t="str">
        <f>"SI216000323"</f>
        <v>SI216000323</v>
      </c>
      <c r="C2852" t="str">
        <f>"PR20000790"</f>
        <v>PR20000790</v>
      </c>
      <c r="D2852" t="str">
        <f>"PR20000790"</f>
        <v>PR20000790</v>
      </c>
      <c r="E2852" t="str">
        <f>"Y"</f>
        <v>Y</v>
      </c>
      <c r="F2852" t="str">
        <f>"חשבוניות מרכזות"</f>
        <v>חשבוניות מרכזות</v>
      </c>
      <c r="G2852" t="str">
        <f>"700065"</f>
        <v>700065</v>
      </c>
      <c r="H2852" t="str">
        <f>"אלתא מערכות בע""מ"</f>
        <v>אלתא מערכות בע"מ</v>
      </c>
      <c r="I2852" t="str">
        <f>"10"</f>
        <v>10</v>
      </c>
      <c r="J2852" t="str">
        <f>"PD0247007"</f>
        <v>PD0247007</v>
      </c>
      <c r="K2852" t="str">
        <f>"מא""ז 1X6 10KA ABB S201M C6"</f>
        <v>מא"ז 1X6 10KA ABB S201M C6</v>
      </c>
      <c r="L2852">
        <v>5</v>
      </c>
      <c r="M2852" t="str">
        <f>"יח"</f>
        <v>יח</v>
      </c>
      <c r="N2852">
        <v>5</v>
      </c>
      <c r="O2852" t="str">
        <f>"יח"</f>
        <v>יח</v>
      </c>
      <c r="P2852">
        <v>4.97</v>
      </c>
      <c r="Q2852" t="str">
        <f>"$"</f>
        <v>$</v>
      </c>
      <c r="R2852" t="str">
        <f>"הזמנה"</f>
        <v>הזמנה</v>
      </c>
      <c r="S2852">
        <v>0</v>
      </c>
      <c r="T2852">
        <v>24.85</v>
      </c>
      <c r="U2852">
        <v>0</v>
      </c>
      <c r="V2852">
        <v>24.85</v>
      </c>
      <c r="W2852" t="str">
        <f>"$"</f>
        <v>$</v>
      </c>
      <c r="X2852">
        <v>0</v>
      </c>
      <c r="Y2852">
        <v>0</v>
      </c>
      <c r="Z2852">
        <v>0</v>
      </c>
      <c r="AA2852" t="str">
        <f>"Y"</f>
        <v>Y</v>
      </c>
      <c r="AB2852" t="str">
        <f>"SO20000498"</f>
        <v>SO20000498</v>
      </c>
      <c r="AC2852">
        <v>13</v>
      </c>
      <c r="AD2852" s="1">
        <v>44139</v>
      </c>
      <c r="AE2852" t="str">
        <f>"SH21000326"</f>
        <v>SH21000326</v>
      </c>
      <c r="AF2852" t="str">
        <f>"משלוחים ללקוח"</f>
        <v>משלוחים ללקוח</v>
      </c>
      <c r="AG2852" s="1">
        <v>44255</v>
      </c>
      <c r="AM2852" t="str">
        <f>"10"</f>
        <v>10</v>
      </c>
      <c r="AN2852" t="str">
        <f>"500000"</f>
        <v>500000</v>
      </c>
      <c r="AO2852" t="str">
        <f>"הכנסות  מלקוחות"</f>
        <v>הכנסות  מלקוחות</v>
      </c>
      <c r="AQ2852" t="str">
        <f>"034"</f>
        <v>034</v>
      </c>
      <c r="AR2852">
        <v>0</v>
      </c>
      <c r="AS2852">
        <v>0</v>
      </c>
      <c r="AT2852">
        <v>3.306</v>
      </c>
      <c r="AX2852" t="str">
        <f>"E000324990"</f>
        <v>E000324990</v>
      </c>
      <c r="BD2852" t="str">
        <f>"ערן שלו"</f>
        <v>ערן שלו</v>
      </c>
    </row>
    <row r="2853" spans="1:56" x14ac:dyDescent="0.3">
      <c r="A2853" s="1">
        <v>44256</v>
      </c>
      <c r="B2853" t="str">
        <f>"SI216000323"</f>
        <v>SI216000323</v>
      </c>
      <c r="C2853" t="str">
        <f>"PR20000790"</f>
        <v>PR20000790</v>
      </c>
      <c r="D2853" t="str">
        <f>"PR20000790"</f>
        <v>PR20000790</v>
      </c>
      <c r="E2853" t="str">
        <f>"Y"</f>
        <v>Y</v>
      </c>
      <c r="F2853" t="str">
        <f>"חשבוניות מרכזות"</f>
        <v>חשבוניות מרכזות</v>
      </c>
      <c r="G2853" t="str">
        <f>"700065"</f>
        <v>700065</v>
      </c>
      <c r="H2853" t="str">
        <f>"אלתא מערכות בע""מ"</f>
        <v>אלתא מערכות בע"מ</v>
      </c>
      <c r="I2853" t="str">
        <f>"10"</f>
        <v>10</v>
      </c>
      <c r="J2853" t="str">
        <f>"PD0247007"</f>
        <v>PD0247007</v>
      </c>
      <c r="K2853" t="str">
        <f>"מא""ז 1X6 10KA ABB S201M C6"</f>
        <v>מא"ז 1X6 10KA ABB S201M C6</v>
      </c>
      <c r="L2853">
        <v>60</v>
      </c>
      <c r="M2853" t="str">
        <f>"יח"</f>
        <v>יח</v>
      </c>
      <c r="N2853">
        <v>60</v>
      </c>
      <c r="O2853" t="str">
        <f>"יח"</f>
        <v>יח</v>
      </c>
      <c r="P2853">
        <v>4.97</v>
      </c>
      <c r="Q2853" t="str">
        <f>"$"</f>
        <v>$</v>
      </c>
      <c r="R2853" t="str">
        <f>"הזמנה"</f>
        <v>הזמנה</v>
      </c>
      <c r="S2853">
        <v>0</v>
      </c>
      <c r="T2853">
        <v>298.2</v>
      </c>
      <c r="U2853">
        <v>0</v>
      </c>
      <c r="V2853">
        <v>298.2</v>
      </c>
      <c r="W2853" t="str">
        <f>"$"</f>
        <v>$</v>
      </c>
      <c r="X2853">
        <v>0</v>
      </c>
      <c r="Y2853">
        <v>0</v>
      </c>
      <c r="Z2853">
        <v>0</v>
      </c>
      <c r="AA2853" t="str">
        <f>"Y"</f>
        <v>Y</v>
      </c>
      <c r="AB2853" t="str">
        <f>"SO20000498"</f>
        <v>SO20000498</v>
      </c>
      <c r="AC2853">
        <v>14</v>
      </c>
      <c r="AD2853" s="1">
        <v>44139</v>
      </c>
      <c r="AE2853" t="str">
        <f>"SH21000326"</f>
        <v>SH21000326</v>
      </c>
      <c r="AF2853" t="str">
        <f>"משלוחים ללקוח"</f>
        <v>משלוחים ללקוח</v>
      </c>
      <c r="AG2853" s="1">
        <v>44255</v>
      </c>
      <c r="AM2853" t="str">
        <f>"10"</f>
        <v>10</v>
      </c>
      <c r="AN2853" t="str">
        <f>"500000"</f>
        <v>500000</v>
      </c>
      <c r="AO2853" t="str">
        <f>"הכנסות  מלקוחות"</f>
        <v>הכנסות  מלקוחות</v>
      </c>
      <c r="AQ2853" t="str">
        <f>"034"</f>
        <v>034</v>
      </c>
      <c r="AR2853">
        <v>0</v>
      </c>
      <c r="AS2853">
        <v>0</v>
      </c>
      <c r="AT2853">
        <v>3.306</v>
      </c>
      <c r="AX2853" t="str">
        <f>"E000324990"</f>
        <v>E000324990</v>
      </c>
      <c r="BD2853" t="str">
        <f>"ערן שלו"</f>
        <v>ערן שלו</v>
      </c>
    </row>
    <row r="2854" spans="1:56" x14ac:dyDescent="0.3">
      <c r="A2854" s="1">
        <v>44256</v>
      </c>
      <c r="B2854" t="str">
        <f>"SI216000323"</f>
        <v>SI216000323</v>
      </c>
      <c r="C2854" t="str">
        <f>"PR20000790"</f>
        <v>PR20000790</v>
      </c>
      <c r="D2854" t="str">
        <f>"PR20000790"</f>
        <v>PR20000790</v>
      </c>
      <c r="E2854" t="str">
        <f>"Y"</f>
        <v>Y</v>
      </c>
      <c r="F2854" t="str">
        <f>"חשבוניות מרכזות"</f>
        <v>חשבוניות מרכזות</v>
      </c>
      <c r="G2854" t="str">
        <f>"700065"</f>
        <v>700065</v>
      </c>
      <c r="H2854" t="str">
        <f>"אלתא מערכות בע""מ"</f>
        <v>אלתא מערכות בע"מ</v>
      </c>
      <c r="I2854" t="str">
        <f>"10"</f>
        <v>10</v>
      </c>
      <c r="J2854" t="str">
        <f>"PD0247675"</f>
        <v>PD0247675</v>
      </c>
      <c r="K2854" t="str">
        <f>"מא""ז ABB S201M- C20 10K"</f>
        <v>מא"ז ABB S201M- C20 10K</v>
      </c>
      <c r="L2854">
        <v>1</v>
      </c>
      <c r="M2854" t="str">
        <f>"יח"</f>
        <v>יח</v>
      </c>
      <c r="N2854">
        <v>1</v>
      </c>
      <c r="O2854" t="str">
        <f>"יח"</f>
        <v>יח</v>
      </c>
      <c r="P2854">
        <v>4.79</v>
      </c>
      <c r="Q2854" t="str">
        <f>"$"</f>
        <v>$</v>
      </c>
      <c r="R2854" t="str">
        <f>"הזמנה"</f>
        <v>הזמנה</v>
      </c>
      <c r="S2854">
        <v>0</v>
      </c>
      <c r="T2854">
        <v>4.79</v>
      </c>
      <c r="U2854">
        <v>0</v>
      </c>
      <c r="V2854">
        <v>4.79</v>
      </c>
      <c r="W2854" t="str">
        <f>"$"</f>
        <v>$</v>
      </c>
      <c r="X2854">
        <v>0</v>
      </c>
      <c r="Y2854">
        <v>0</v>
      </c>
      <c r="Z2854">
        <v>0</v>
      </c>
      <c r="AA2854" t="str">
        <f>"Y"</f>
        <v>Y</v>
      </c>
      <c r="AB2854" t="str">
        <f>"SO20000498"</f>
        <v>SO20000498</v>
      </c>
      <c r="AC2854">
        <v>15</v>
      </c>
      <c r="AD2854" s="1">
        <v>44139</v>
      </c>
      <c r="AE2854" t="str">
        <f>"SH21000326"</f>
        <v>SH21000326</v>
      </c>
      <c r="AF2854" t="str">
        <f>"משלוחים ללקוח"</f>
        <v>משלוחים ללקוח</v>
      </c>
      <c r="AG2854" s="1">
        <v>44255</v>
      </c>
      <c r="AM2854" t="str">
        <f>"10"</f>
        <v>10</v>
      </c>
      <c r="AN2854" t="str">
        <f>"500000"</f>
        <v>500000</v>
      </c>
      <c r="AO2854" t="str">
        <f>"הכנסות  מלקוחות"</f>
        <v>הכנסות  מלקוחות</v>
      </c>
      <c r="AQ2854" t="str">
        <f>"034"</f>
        <v>034</v>
      </c>
      <c r="AR2854">
        <v>0</v>
      </c>
      <c r="AS2854">
        <v>0</v>
      </c>
      <c r="AT2854">
        <v>3.306</v>
      </c>
      <c r="AX2854" t="str">
        <f>"E000324990"</f>
        <v>E000324990</v>
      </c>
      <c r="BD2854" t="str">
        <f>"ערן שלו"</f>
        <v>ערן שלו</v>
      </c>
    </row>
    <row r="2855" spans="1:56" x14ac:dyDescent="0.3">
      <c r="A2855" s="1">
        <v>44256</v>
      </c>
      <c r="B2855" t="str">
        <f>"SI216000323"</f>
        <v>SI216000323</v>
      </c>
      <c r="C2855" t="str">
        <f>"PR20000790"</f>
        <v>PR20000790</v>
      </c>
      <c r="D2855" t="str">
        <f>"PR20000790"</f>
        <v>PR20000790</v>
      </c>
      <c r="E2855" t="str">
        <f>"Y"</f>
        <v>Y</v>
      </c>
      <c r="F2855" t="str">
        <f>"חשבוניות מרכזות"</f>
        <v>חשבוניות מרכזות</v>
      </c>
      <c r="G2855" t="str">
        <f>"700065"</f>
        <v>700065</v>
      </c>
      <c r="H2855" t="str">
        <f>"אלתא מערכות בע""מ"</f>
        <v>אלתא מערכות בע"מ</v>
      </c>
      <c r="I2855" t="str">
        <f>"10"</f>
        <v>10</v>
      </c>
      <c r="J2855" t="str">
        <f>"PD0247675"</f>
        <v>PD0247675</v>
      </c>
      <c r="K2855" t="str">
        <f>"מא""ז ABB S201M- C20 10K"</f>
        <v>מא"ז ABB S201M- C20 10K</v>
      </c>
      <c r="L2855">
        <v>11</v>
      </c>
      <c r="M2855" t="str">
        <f>"יח"</f>
        <v>יח</v>
      </c>
      <c r="N2855">
        <v>11</v>
      </c>
      <c r="O2855" t="str">
        <f>"יח"</f>
        <v>יח</v>
      </c>
      <c r="P2855">
        <v>4.79</v>
      </c>
      <c r="Q2855" t="str">
        <f>"$"</f>
        <v>$</v>
      </c>
      <c r="R2855" t="str">
        <f>"הזמנה"</f>
        <v>הזמנה</v>
      </c>
      <c r="S2855">
        <v>0</v>
      </c>
      <c r="T2855">
        <v>52.69</v>
      </c>
      <c r="U2855">
        <v>0</v>
      </c>
      <c r="V2855">
        <v>52.69</v>
      </c>
      <c r="W2855" t="str">
        <f>"$"</f>
        <v>$</v>
      </c>
      <c r="X2855">
        <v>0</v>
      </c>
      <c r="Y2855">
        <v>0</v>
      </c>
      <c r="Z2855">
        <v>0</v>
      </c>
      <c r="AA2855" t="str">
        <f>"Y"</f>
        <v>Y</v>
      </c>
      <c r="AB2855" t="str">
        <f>"SO20000498"</f>
        <v>SO20000498</v>
      </c>
      <c r="AC2855">
        <v>16</v>
      </c>
      <c r="AD2855" s="1">
        <v>44139</v>
      </c>
      <c r="AE2855" t="str">
        <f>"SH21000326"</f>
        <v>SH21000326</v>
      </c>
      <c r="AF2855" t="str">
        <f>"משלוחים ללקוח"</f>
        <v>משלוחים ללקוח</v>
      </c>
      <c r="AG2855" s="1">
        <v>44255</v>
      </c>
      <c r="AM2855" t="str">
        <f>"10"</f>
        <v>10</v>
      </c>
      <c r="AN2855" t="str">
        <f>"500000"</f>
        <v>500000</v>
      </c>
      <c r="AO2855" t="str">
        <f>"הכנסות  מלקוחות"</f>
        <v>הכנסות  מלקוחות</v>
      </c>
      <c r="AQ2855" t="str">
        <f>"034"</f>
        <v>034</v>
      </c>
      <c r="AR2855">
        <v>0</v>
      </c>
      <c r="AS2855">
        <v>0</v>
      </c>
      <c r="AT2855">
        <v>3.306</v>
      </c>
      <c r="AX2855" t="str">
        <f>"E000324990"</f>
        <v>E000324990</v>
      </c>
      <c r="BD2855" t="str">
        <f>"ערן שלו"</f>
        <v>ערן שלו</v>
      </c>
    </row>
    <row r="2856" spans="1:56" x14ac:dyDescent="0.3">
      <c r="A2856" s="1">
        <v>44256</v>
      </c>
      <c r="B2856" t="str">
        <f>"SI216000323"</f>
        <v>SI216000323</v>
      </c>
      <c r="C2856" t="str">
        <f>"PR20000790"</f>
        <v>PR20000790</v>
      </c>
      <c r="D2856" t="str">
        <f>"PR20000790"</f>
        <v>PR20000790</v>
      </c>
      <c r="E2856" t="str">
        <f>"Y"</f>
        <v>Y</v>
      </c>
      <c r="F2856" t="str">
        <f>"חשבוניות מרכזות"</f>
        <v>חשבוניות מרכזות</v>
      </c>
      <c r="G2856" t="str">
        <f>"700065"</f>
        <v>700065</v>
      </c>
      <c r="H2856" t="str">
        <f>"אלתא מערכות בע""מ"</f>
        <v>אלתא מערכות בע"מ</v>
      </c>
      <c r="I2856" t="str">
        <f>"10"</f>
        <v>10</v>
      </c>
      <c r="J2856" t="str">
        <f>"PD0241104"</f>
        <v>PD0241104</v>
      </c>
      <c r="K2856" t="str">
        <f>"מא""ז ABB 3X6AC 10KA S203M-C 6"</f>
        <v>מא"ז ABB 3X6AC 10KA S203M-C 6</v>
      </c>
      <c r="L2856">
        <v>2</v>
      </c>
      <c r="M2856" t="str">
        <f>"יח"</f>
        <v>יח</v>
      </c>
      <c r="N2856">
        <v>2</v>
      </c>
      <c r="O2856" t="str">
        <f>"יח"</f>
        <v>יח</v>
      </c>
      <c r="P2856">
        <v>23.45</v>
      </c>
      <c r="Q2856" t="str">
        <f>"$"</f>
        <v>$</v>
      </c>
      <c r="R2856" t="str">
        <f>"הזמנה"</f>
        <v>הזמנה</v>
      </c>
      <c r="S2856">
        <v>0</v>
      </c>
      <c r="T2856">
        <v>46.9</v>
      </c>
      <c r="U2856">
        <v>0</v>
      </c>
      <c r="V2856">
        <v>46.9</v>
      </c>
      <c r="W2856" t="str">
        <f>"$"</f>
        <v>$</v>
      </c>
      <c r="X2856">
        <v>0</v>
      </c>
      <c r="Y2856">
        <v>0</v>
      </c>
      <c r="Z2856">
        <v>0</v>
      </c>
      <c r="AA2856" t="str">
        <f>"Y"</f>
        <v>Y</v>
      </c>
      <c r="AB2856" t="str">
        <f>"SO20000498"</f>
        <v>SO20000498</v>
      </c>
      <c r="AC2856">
        <v>17</v>
      </c>
      <c r="AD2856" s="1">
        <v>44139</v>
      </c>
      <c r="AE2856" t="str">
        <f>"SH21000326"</f>
        <v>SH21000326</v>
      </c>
      <c r="AF2856" t="str">
        <f>"משלוחים ללקוח"</f>
        <v>משלוחים ללקוח</v>
      </c>
      <c r="AG2856" s="1">
        <v>44255</v>
      </c>
      <c r="AM2856" t="str">
        <f>"10"</f>
        <v>10</v>
      </c>
      <c r="AN2856" t="str">
        <f>"500000"</f>
        <v>500000</v>
      </c>
      <c r="AO2856" t="str">
        <f>"הכנסות  מלקוחות"</f>
        <v>הכנסות  מלקוחות</v>
      </c>
      <c r="AQ2856" t="str">
        <f>"034"</f>
        <v>034</v>
      </c>
      <c r="AR2856">
        <v>0</v>
      </c>
      <c r="AS2856">
        <v>0</v>
      </c>
      <c r="AT2856">
        <v>3.306</v>
      </c>
      <c r="AX2856" t="str">
        <f>"E000324990"</f>
        <v>E000324990</v>
      </c>
      <c r="BD2856" t="str">
        <f>"ערן שלו"</f>
        <v>ערן שלו</v>
      </c>
    </row>
    <row r="2857" spans="1:56" x14ac:dyDescent="0.3">
      <c r="A2857" s="1">
        <v>44256</v>
      </c>
      <c r="B2857" t="str">
        <f>"SI216000323"</f>
        <v>SI216000323</v>
      </c>
      <c r="C2857" t="str">
        <f>"PR20000790"</f>
        <v>PR20000790</v>
      </c>
      <c r="D2857" t="str">
        <f>"PR20000790"</f>
        <v>PR20000790</v>
      </c>
      <c r="E2857" t="str">
        <f>"Y"</f>
        <v>Y</v>
      </c>
      <c r="F2857" t="str">
        <f>"חשבוניות מרכזות"</f>
        <v>חשבוניות מרכזות</v>
      </c>
      <c r="G2857" t="str">
        <f>"700065"</f>
        <v>700065</v>
      </c>
      <c r="H2857" t="str">
        <f>"אלתא מערכות בע""מ"</f>
        <v>אלתא מערכות בע"מ</v>
      </c>
      <c r="I2857" t="str">
        <f>"10"</f>
        <v>10</v>
      </c>
      <c r="J2857" t="str">
        <f>"PD0241104"</f>
        <v>PD0241104</v>
      </c>
      <c r="K2857" t="str">
        <f>"מא""ז ABB 3X6AC 10KA S203M-C 6"</f>
        <v>מא"ז ABB 3X6AC 10KA S203M-C 6</v>
      </c>
      <c r="L2857">
        <v>22</v>
      </c>
      <c r="M2857" t="str">
        <f>"יח"</f>
        <v>יח</v>
      </c>
      <c r="N2857">
        <v>22</v>
      </c>
      <c r="O2857" t="str">
        <f>"יח"</f>
        <v>יח</v>
      </c>
      <c r="P2857">
        <v>23.45</v>
      </c>
      <c r="Q2857" t="str">
        <f>"$"</f>
        <v>$</v>
      </c>
      <c r="R2857" t="str">
        <f>"הזמנה"</f>
        <v>הזמנה</v>
      </c>
      <c r="S2857">
        <v>0</v>
      </c>
      <c r="T2857">
        <v>515.9</v>
      </c>
      <c r="U2857">
        <v>0</v>
      </c>
      <c r="V2857">
        <v>515.9</v>
      </c>
      <c r="W2857" t="str">
        <f>"$"</f>
        <v>$</v>
      </c>
      <c r="X2857">
        <v>0</v>
      </c>
      <c r="Y2857">
        <v>0</v>
      </c>
      <c r="Z2857">
        <v>0</v>
      </c>
      <c r="AA2857" t="str">
        <f>"Y"</f>
        <v>Y</v>
      </c>
      <c r="AB2857" t="str">
        <f>"SO20000498"</f>
        <v>SO20000498</v>
      </c>
      <c r="AC2857">
        <v>18</v>
      </c>
      <c r="AD2857" s="1">
        <v>44139</v>
      </c>
      <c r="AE2857" t="str">
        <f>"SH21000326"</f>
        <v>SH21000326</v>
      </c>
      <c r="AF2857" t="str">
        <f>"משלוחים ללקוח"</f>
        <v>משלוחים ללקוח</v>
      </c>
      <c r="AG2857" s="1">
        <v>44255</v>
      </c>
      <c r="AM2857" t="str">
        <f>"10"</f>
        <v>10</v>
      </c>
      <c r="AN2857" t="str">
        <f>"500000"</f>
        <v>500000</v>
      </c>
      <c r="AO2857" t="str">
        <f>"הכנסות  מלקוחות"</f>
        <v>הכנסות  מלקוחות</v>
      </c>
      <c r="AQ2857" t="str">
        <f>"034"</f>
        <v>034</v>
      </c>
      <c r="AR2857">
        <v>0</v>
      </c>
      <c r="AS2857">
        <v>0</v>
      </c>
      <c r="AT2857">
        <v>3.306</v>
      </c>
      <c r="AX2857" t="str">
        <f>"E000324990"</f>
        <v>E000324990</v>
      </c>
      <c r="BD2857" t="str">
        <f>"ערן שלו"</f>
        <v>ערן שלו</v>
      </c>
    </row>
    <row r="2858" spans="1:56" x14ac:dyDescent="0.3">
      <c r="A2858" s="1">
        <v>44256</v>
      </c>
      <c r="B2858" t="str">
        <f>"SI216000323"</f>
        <v>SI216000323</v>
      </c>
      <c r="C2858" t="str">
        <f>"PR20000790"</f>
        <v>PR20000790</v>
      </c>
      <c r="D2858" t="str">
        <f>"PR20000790"</f>
        <v>PR20000790</v>
      </c>
      <c r="E2858" t="str">
        <f>"Y"</f>
        <v>Y</v>
      </c>
      <c r="F2858" t="str">
        <f>"חשבוניות מרכזות"</f>
        <v>חשבוניות מרכזות</v>
      </c>
      <c r="G2858" t="str">
        <f>"700065"</f>
        <v>700065</v>
      </c>
      <c r="H2858" t="str">
        <f>"אלתא מערכות בע""מ"</f>
        <v>אלתא מערכות בע"מ</v>
      </c>
      <c r="I2858" t="str">
        <f>"10"</f>
        <v>10</v>
      </c>
      <c r="J2858" t="str">
        <f>"PD0248403"</f>
        <v>PD0248403</v>
      </c>
      <c r="K2858" t="str">
        <f>"מא""ז 3X40 10KA ABB S203M-C 40"</f>
        <v>מא"ז 3X40 10KA ABB S203M-C 40</v>
      </c>
      <c r="L2858">
        <v>1</v>
      </c>
      <c r="M2858" t="str">
        <f>"יח"</f>
        <v>יח</v>
      </c>
      <c r="N2858">
        <v>1</v>
      </c>
      <c r="O2858" t="str">
        <f>"יח"</f>
        <v>יח</v>
      </c>
      <c r="P2858">
        <v>28.49</v>
      </c>
      <c r="Q2858" t="str">
        <f>"$"</f>
        <v>$</v>
      </c>
      <c r="R2858" t="str">
        <f>"הזמנה"</f>
        <v>הזמנה</v>
      </c>
      <c r="S2858">
        <v>0</v>
      </c>
      <c r="T2858">
        <v>28.49</v>
      </c>
      <c r="U2858">
        <v>0</v>
      </c>
      <c r="V2858">
        <v>28.49</v>
      </c>
      <c r="W2858" t="str">
        <f>"$"</f>
        <v>$</v>
      </c>
      <c r="X2858">
        <v>0</v>
      </c>
      <c r="Y2858">
        <v>0</v>
      </c>
      <c r="Z2858">
        <v>0</v>
      </c>
      <c r="AA2858" t="str">
        <f>"Y"</f>
        <v>Y</v>
      </c>
      <c r="AB2858" t="str">
        <f>"SO20000498"</f>
        <v>SO20000498</v>
      </c>
      <c r="AC2858">
        <v>19</v>
      </c>
      <c r="AD2858" s="1">
        <v>44139</v>
      </c>
      <c r="AE2858" t="str">
        <f>"SH21000326"</f>
        <v>SH21000326</v>
      </c>
      <c r="AF2858" t="str">
        <f>"משלוחים ללקוח"</f>
        <v>משלוחים ללקוח</v>
      </c>
      <c r="AG2858" s="1">
        <v>44255</v>
      </c>
      <c r="AM2858" t="str">
        <f>"10"</f>
        <v>10</v>
      </c>
      <c r="AN2858" t="str">
        <f>"500000"</f>
        <v>500000</v>
      </c>
      <c r="AO2858" t="str">
        <f>"הכנסות  מלקוחות"</f>
        <v>הכנסות  מלקוחות</v>
      </c>
      <c r="AQ2858" t="str">
        <f>"034"</f>
        <v>034</v>
      </c>
      <c r="AR2858">
        <v>0</v>
      </c>
      <c r="AS2858">
        <v>0</v>
      </c>
      <c r="AT2858">
        <v>3.306</v>
      </c>
      <c r="AX2858" t="str">
        <f>"E000324990"</f>
        <v>E000324990</v>
      </c>
      <c r="BD2858" t="str">
        <f>"ערן שלו"</f>
        <v>ערן שלו</v>
      </c>
    </row>
    <row r="2859" spans="1:56" x14ac:dyDescent="0.3">
      <c r="A2859" s="1">
        <v>44256</v>
      </c>
      <c r="B2859" t="str">
        <f>"SI216000323"</f>
        <v>SI216000323</v>
      </c>
      <c r="C2859" t="str">
        <f>"PR20000790"</f>
        <v>PR20000790</v>
      </c>
      <c r="D2859" t="str">
        <f>"PR20000790"</f>
        <v>PR20000790</v>
      </c>
      <c r="E2859" t="str">
        <f>"Y"</f>
        <v>Y</v>
      </c>
      <c r="F2859" t="str">
        <f>"חשבוניות מרכזות"</f>
        <v>חשבוניות מרכזות</v>
      </c>
      <c r="G2859" t="str">
        <f>"700065"</f>
        <v>700065</v>
      </c>
      <c r="H2859" t="str">
        <f>"אלתא מערכות בע""מ"</f>
        <v>אלתא מערכות בע"מ</v>
      </c>
      <c r="I2859" t="str">
        <f>"10"</f>
        <v>10</v>
      </c>
      <c r="J2859" t="str">
        <f>"PD0248403"</f>
        <v>PD0248403</v>
      </c>
      <c r="K2859" t="str">
        <f>"מא""ז 3X40 10KA ABB S203M-C 40"</f>
        <v>מא"ז 3X40 10KA ABB S203M-C 40</v>
      </c>
      <c r="L2859">
        <v>11</v>
      </c>
      <c r="M2859" t="str">
        <f>"יח"</f>
        <v>יח</v>
      </c>
      <c r="N2859">
        <v>11</v>
      </c>
      <c r="O2859" t="str">
        <f>"יח"</f>
        <v>יח</v>
      </c>
      <c r="P2859">
        <v>28.49</v>
      </c>
      <c r="Q2859" t="str">
        <f>"$"</f>
        <v>$</v>
      </c>
      <c r="R2859" t="str">
        <f>"הזמנה"</f>
        <v>הזמנה</v>
      </c>
      <c r="S2859">
        <v>0</v>
      </c>
      <c r="T2859">
        <v>313.39</v>
      </c>
      <c r="U2859">
        <v>0</v>
      </c>
      <c r="V2859">
        <v>313.39</v>
      </c>
      <c r="W2859" t="str">
        <f>"$"</f>
        <v>$</v>
      </c>
      <c r="X2859">
        <v>0</v>
      </c>
      <c r="Y2859">
        <v>0</v>
      </c>
      <c r="Z2859">
        <v>0</v>
      </c>
      <c r="AA2859" t="str">
        <f>"Y"</f>
        <v>Y</v>
      </c>
      <c r="AB2859" t="str">
        <f>"SO20000498"</f>
        <v>SO20000498</v>
      </c>
      <c r="AC2859">
        <v>20</v>
      </c>
      <c r="AD2859" s="1">
        <v>44139</v>
      </c>
      <c r="AE2859" t="str">
        <f>"SH21000326"</f>
        <v>SH21000326</v>
      </c>
      <c r="AF2859" t="str">
        <f>"משלוחים ללקוח"</f>
        <v>משלוחים ללקוח</v>
      </c>
      <c r="AG2859" s="1">
        <v>44255</v>
      </c>
      <c r="AM2859" t="str">
        <f>"10"</f>
        <v>10</v>
      </c>
      <c r="AN2859" t="str">
        <f>"500000"</f>
        <v>500000</v>
      </c>
      <c r="AO2859" t="str">
        <f>"הכנסות  מלקוחות"</f>
        <v>הכנסות  מלקוחות</v>
      </c>
      <c r="AQ2859" t="str">
        <f>"034"</f>
        <v>034</v>
      </c>
      <c r="AR2859">
        <v>0</v>
      </c>
      <c r="AS2859">
        <v>0</v>
      </c>
      <c r="AT2859">
        <v>3.306</v>
      </c>
      <c r="AX2859" t="str">
        <f>"E000324990"</f>
        <v>E000324990</v>
      </c>
      <c r="BD2859" t="str">
        <f>"ערן שלו"</f>
        <v>ערן שלו</v>
      </c>
    </row>
    <row r="2860" spans="1:56" x14ac:dyDescent="0.3">
      <c r="A2860" s="1">
        <v>44256</v>
      </c>
      <c r="B2860" t="str">
        <f>"SI216000323"</f>
        <v>SI216000323</v>
      </c>
      <c r="C2860" t="str">
        <f>"PR20000790"</f>
        <v>PR20000790</v>
      </c>
      <c r="D2860" t="str">
        <f>"PR20000790"</f>
        <v>PR20000790</v>
      </c>
      <c r="E2860" t="str">
        <f>"Y"</f>
        <v>Y</v>
      </c>
      <c r="F2860" t="str">
        <f>"חשבוניות מרכזות"</f>
        <v>חשבוניות מרכזות</v>
      </c>
      <c r="G2860" t="str">
        <f>"700065"</f>
        <v>700065</v>
      </c>
      <c r="H2860" t="str">
        <f>"אלתא מערכות בע""מ"</f>
        <v>אלתא מערכות בע"מ</v>
      </c>
      <c r="I2860" t="str">
        <f>"10"</f>
        <v>10</v>
      </c>
      <c r="J2860" t="str">
        <f>"PD0200715"</f>
        <v>PD0200715</v>
      </c>
      <c r="K2860" t="str">
        <f>"מנתק ח""א דו קוטבי S802B-C100 ABB"</f>
        <v>מנתק ח"א דו קוטבי S802B-C100 ABB</v>
      </c>
      <c r="L2860">
        <v>1</v>
      </c>
      <c r="M2860" t="str">
        <f>"יח"</f>
        <v>יח</v>
      </c>
      <c r="N2860">
        <v>1</v>
      </c>
      <c r="O2860" t="str">
        <f>"יח"</f>
        <v>יח</v>
      </c>
      <c r="P2860">
        <v>59.78</v>
      </c>
      <c r="Q2860" t="str">
        <f>"$"</f>
        <v>$</v>
      </c>
      <c r="R2860" t="str">
        <f>"הזמנה"</f>
        <v>הזמנה</v>
      </c>
      <c r="S2860">
        <v>0</v>
      </c>
      <c r="T2860">
        <v>59.78</v>
      </c>
      <c r="U2860">
        <v>0</v>
      </c>
      <c r="V2860">
        <v>59.78</v>
      </c>
      <c r="W2860" t="str">
        <f>"$"</f>
        <v>$</v>
      </c>
      <c r="X2860">
        <v>0</v>
      </c>
      <c r="Y2860">
        <v>0</v>
      </c>
      <c r="Z2860">
        <v>0</v>
      </c>
      <c r="AA2860" t="str">
        <f>"Y"</f>
        <v>Y</v>
      </c>
      <c r="AB2860" t="str">
        <f>"SO20000498"</f>
        <v>SO20000498</v>
      </c>
      <c r="AC2860">
        <v>21</v>
      </c>
      <c r="AD2860" s="1">
        <v>44139</v>
      </c>
      <c r="AE2860" t="str">
        <f>"SH21000326"</f>
        <v>SH21000326</v>
      </c>
      <c r="AF2860" t="str">
        <f>"משלוחים ללקוח"</f>
        <v>משלוחים ללקוח</v>
      </c>
      <c r="AG2860" s="1">
        <v>44255</v>
      </c>
      <c r="AM2860" t="str">
        <f>"10"</f>
        <v>10</v>
      </c>
      <c r="AN2860" t="str">
        <f>"500000"</f>
        <v>500000</v>
      </c>
      <c r="AO2860" t="str">
        <f>"הכנסות  מלקוחות"</f>
        <v>הכנסות  מלקוחות</v>
      </c>
      <c r="AQ2860" t="str">
        <f>"034"</f>
        <v>034</v>
      </c>
      <c r="AR2860">
        <v>0</v>
      </c>
      <c r="AS2860">
        <v>0</v>
      </c>
      <c r="AT2860">
        <v>3.306</v>
      </c>
      <c r="AX2860" t="str">
        <f>"E000324990"</f>
        <v>E000324990</v>
      </c>
      <c r="BD2860" t="str">
        <f>"ערן שלו"</f>
        <v>ערן שלו</v>
      </c>
    </row>
    <row r="2861" spans="1:56" x14ac:dyDescent="0.3">
      <c r="A2861" s="1">
        <v>44256</v>
      </c>
      <c r="B2861" t="str">
        <f>"SI216000323"</f>
        <v>SI216000323</v>
      </c>
      <c r="C2861" t="str">
        <f>"PR20000790"</f>
        <v>PR20000790</v>
      </c>
      <c r="D2861" t="str">
        <f>"PR20000790"</f>
        <v>PR20000790</v>
      </c>
      <c r="E2861" t="str">
        <f>"Y"</f>
        <v>Y</v>
      </c>
      <c r="F2861" t="str">
        <f>"חשבוניות מרכזות"</f>
        <v>חשבוניות מרכזות</v>
      </c>
      <c r="G2861" t="str">
        <f>"700065"</f>
        <v>700065</v>
      </c>
      <c r="H2861" t="str">
        <f>"אלתא מערכות בע""מ"</f>
        <v>אלתא מערכות בע"מ</v>
      </c>
      <c r="I2861" t="str">
        <f>"10"</f>
        <v>10</v>
      </c>
      <c r="J2861" t="str">
        <f>"PD0200715"</f>
        <v>PD0200715</v>
      </c>
      <c r="K2861" t="str">
        <f>"מנתק ח""א דו קוטבי S802B-C100 ABB"</f>
        <v>מנתק ח"א דו קוטבי S802B-C100 ABB</v>
      </c>
      <c r="L2861">
        <v>11</v>
      </c>
      <c r="M2861" t="str">
        <f>"יח"</f>
        <v>יח</v>
      </c>
      <c r="N2861">
        <v>11</v>
      </c>
      <c r="O2861" t="str">
        <f>"יח"</f>
        <v>יח</v>
      </c>
      <c r="P2861">
        <v>59.78</v>
      </c>
      <c r="Q2861" t="str">
        <f>"$"</f>
        <v>$</v>
      </c>
      <c r="R2861" t="str">
        <f>"הזמנה"</f>
        <v>הזמנה</v>
      </c>
      <c r="S2861">
        <v>0</v>
      </c>
      <c r="T2861">
        <v>657.58</v>
      </c>
      <c r="U2861">
        <v>0</v>
      </c>
      <c r="V2861">
        <v>657.58</v>
      </c>
      <c r="W2861" t="str">
        <f>"$"</f>
        <v>$</v>
      </c>
      <c r="X2861">
        <v>0</v>
      </c>
      <c r="Y2861">
        <v>0</v>
      </c>
      <c r="Z2861">
        <v>0</v>
      </c>
      <c r="AA2861" t="str">
        <f>"Y"</f>
        <v>Y</v>
      </c>
      <c r="AB2861" t="str">
        <f>"SO20000498"</f>
        <v>SO20000498</v>
      </c>
      <c r="AC2861">
        <v>22</v>
      </c>
      <c r="AD2861" s="1">
        <v>44139</v>
      </c>
      <c r="AE2861" t="str">
        <f>"SH21000326"</f>
        <v>SH21000326</v>
      </c>
      <c r="AF2861" t="str">
        <f>"משלוחים ללקוח"</f>
        <v>משלוחים ללקוח</v>
      </c>
      <c r="AG2861" s="1">
        <v>44255</v>
      </c>
      <c r="AM2861" t="str">
        <f>"10"</f>
        <v>10</v>
      </c>
      <c r="AN2861" t="str">
        <f>"500000"</f>
        <v>500000</v>
      </c>
      <c r="AO2861" t="str">
        <f>"הכנסות  מלקוחות"</f>
        <v>הכנסות  מלקוחות</v>
      </c>
      <c r="AQ2861" t="str">
        <f>"034"</f>
        <v>034</v>
      </c>
      <c r="AR2861">
        <v>0</v>
      </c>
      <c r="AS2861">
        <v>0</v>
      </c>
      <c r="AT2861">
        <v>3.306</v>
      </c>
      <c r="AX2861" t="str">
        <f>"E000324990"</f>
        <v>E000324990</v>
      </c>
      <c r="BD2861" t="str">
        <f>"ערן שלו"</f>
        <v>ערן שלו</v>
      </c>
    </row>
    <row r="2862" spans="1:56" x14ac:dyDescent="0.3">
      <c r="A2862" s="1">
        <v>44256</v>
      </c>
      <c r="B2862" t="str">
        <f>"SI216000323"</f>
        <v>SI216000323</v>
      </c>
      <c r="C2862" t="str">
        <f>"PR20000790"</f>
        <v>PR20000790</v>
      </c>
      <c r="D2862" t="str">
        <f>"PR20000790"</f>
        <v>PR20000790</v>
      </c>
      <c r="E2862" t="str">
        <f>"Y"</f>
        <v>Y</v>
      </c>
      <c r="F2862" t="str">
        <f>"חשבוניות מרכזות"</f>
        <v>חשבוניות מרכזות</v>
      </c>
      <c r="G2862" t="str">
        <f>"700065"</f>
        <v>700065</v>
      </c>
      <c r="H2862" t="str">
        <f>"אלתא מערכות בע""מ"</f>
        <v>אלתא מערכות בע"מ</v>
      </c>
      <c r="I2862" t="str">
        <f>"10"</f>
        <v>10</v>
      </c>
      <c r="J2862" t="str">
        <f>"PD0241322"</f>
        <v>PD0241322</v>
      </c>
      <c r="K2862" t="str">
        <f>"מא""ז תלת קוטבי 10K S203M- C 25 ABB"</f>
        <v>מא"ז תלת קוטבי 10K S203M- C 25 ABB</v>
      </c>
      <c r="L2862">
        <v>1</v>
      </c>
      <c r="M2862" t="str">
        <f>"יח"</f>
        <v>יח</v>
      </c>
      <c r="N2862">
        <v>1</v>
      </c>
      <c r="O2862" t="str">
        <f>"יח"</f>
        <v>יח</v>
      </c>
      <c r="P2862">
        <v>23.53</v>
      </c>
      <c r="Q2862" t="str">
        <f>"$"</f>
        <v>$</v>
      </c>
      <c r="R2862" t="str">
        <f>"הזמנה"</f>
        <v>הזמנה</v>
      </c>
      <c r="S2862">
        <v>0</v>
      </c>
      <c r="T2862">
        <v>23.53</v>
      </c>
      <c r="U2862">
        <v>0</v>
      </c>
      <c r="V2862">
        <v>23.53</v>
      </c>
      <c r="W2862" t="str">
        <f>"$"</f>
        <v>$</v>
      </c>
      <c r="X2862">
        <v>0</v>
      </c>
      <c r="Y2862">
        <v>0</v>
      </c>
      <c r="Z2862">
        <v>0</v>
      </c>
      <c r="AA2862" t="str">
        <f>"Y"</f>
        <v>Y</v>
      </c>
      <c r="AB2862" t="str">
        <f>"SO20000498"</f>
        <v>SO20000498</v>
      </c>
      <c r="AC2862">
        <v>23</v>
      </c>
      <c r="AD2862" s="1">
        <v>44139</v>
      </c>
      <c r="AE2862" t="str">
        <f>"SH21000326"</f>
        <v>SH21000326</v>
      </c>
      <c r="AF2862" t="str">
        <f>"משלוחים ללקוח"</f>
        <v>משלוחים ללקוח</v>
      </c>
      <c r="AG2862" s="1">
        <v>44255</v>
      </c>
      <c r="AM2862" t="str">
        <f>"10"</f>
        <v>10</v>
      </c>
      <c r="AN2862" t="str">
        <f>"500000"</f>
        <v>500000</v>
      </c>
      <c r="AO2862" t="str">
        <f>"הכנסות  מלקוחות"</f>
        <v>הכנסות  מלקוחות</v>
      </c>
      <c r="AQ2862" t="str">
        <f>"034"</f>
        <v>034</v>
      </c>
      <c r="AR2862">
        <v>0</v>
      </c>
      <c r="AS2862">
        <v>0</v>
      </c>
      <c r="AT2862">
        <v>3.306</v>
      </c>
      <c r="AX2862" t="str">
        <f>"E000324990"</f>
        <v>E000324990</v>
      </c>
      <c r="BD2862" t="str">
        <f>"ערן שלו"</f>
        <v>ערן שלו</v>
      </c>
    </row>
    <row r="2863" spans="1:56" x14ac:dyDescent="0.3">
      <c r="A2863" s="1">
        <v>44256</v>
      </c>
      <c r="B2863" t="str">
        <f>"SI216000323"</f>
        <v>SI216000323</v>
      </c>
      <c r="C2863" t="str">
        <f>"PR20000790"</f>
        <v>PR20000790</v>
      </c>
      <c r="D2863" t="str">
        <f>"PR20000790"</f>
        <v>PR20000790</v>
      </c>
      <c r="E2863" t="str">
        <f>"Y"</f>
        <v>Y</v>
      </c>
      <c r="F2863" t="str">
        <f>"חשבוניות מרכזות"</f>
        <v>חשבוניות מרכזות</v>
      </c>
      <c r="G2863" t="str">
        <f>"700065"</f>
        <v>700065</v>
      </c>
      <c r="H2863" t="str">
        <f>"אלתא מערכות בע""מ"</f>
        <v>אלתא מערכות בע"מ</v>
      </c>
      <c r="I2863" t="str">
        <f>"10"</f>
        <v>10</v>
      </c>
      <c r="J2863" t="str">
        <f>"PD0241322"</f>
        <v>PD0241322</v>
      </c>
      <c r="K2863" t="str">
        <f>"מא""ז תלת קוטבי 10K S203M- C 25 ABB"</f>
        <v>מא"ז תלת קוטבי 10K S203M- C 25 ABB</v>
      </c>
      <c r="L2863">
        <v>11</v>
      </c>
      <c r="M2863" t="str">
        <f>"יח"</f>
        <v>יח</v>
      </c>
      <c r="N2863">
        <v>11</v>
      </c>
      <c r="O2863" t="str">
        <f>"יח"</f>
        <v>יח</v>
      </c>
      <c r="P2863">
        <v>23.53</v>
      </c>
      <c r="Q2863" t="str">
        <f>"$"</f>
        <v>$</v>
      </c>
      <c r="R2863" t="str">
        <f>"הזמנה"</f>
        <v>הזמנה</v>
      </c>
      <c r="S2863">
        <v>0</v>
      </c>
      <c r="T2863">
        <v>258.83</v>
      </c>
      <c r="U2863">
        <v>0</v>
      </c>
      <c r="V2863">
        <v>258.83</v>
      </c>
      <c r="W2863" t="str">
        <f>"$"</f>
        <v>$</v>
      </c>
      <c r="X2863">
        <v>0</v>
      </c>
      <c r="Y2863">
        <v>0</v>
      </c>
      <c r="Z2863">
        <v>0</v>
      </c>
      <c r="AA2863" t="str">
        <f>"Y"</f>
        <v>Y</v>
      </c>
      <c r="AB2863" t="str">
        <f>"SO20000498"</f>
        <v>SO20000498</v>
      </c>
      <c r="AC2863">
        <v>24</v>
      </c>
      <c r="AD2863" s="1">
        <v>44139</v>
      </c>
      <c r="AE2863" t="str">
        <f>"SH21000326"</f>
        <v>SH21000326</v>
      </c>
      <c r="AF2863" t="str">
        <f>"משלוחים ללקוח"</f>
        <v>משלוחים ללקוח</v>
      </c>
      <c r="AG2863" s="1">
        <v>44255</v>
      </c>
      <c r="AM2863" t="str">
        <f>"10"</f>
        <v>10</v>
      </c>
      <c r="AN2863" t="str">
        <f>"500000"</f>
        <v>500000</v>
      </c>
      <c r="AO2863" t="str">
        <f>"הכנסות  מלקוחות"</f>
        <v>הכנסות  מלקוחות</v>
      </c>
      <c r="AQ2863" t="str">
        <f>"034"</f>
        <v>034</v>
      </c>
      <c r="AR2863">
        <v>0</v>
      </c>
      <c r="AS2863">
        <v>0</v>
      </c>
      <c r="AT2863">
        <v>3.306</v>
      </c>
      <c r="AX2863" t="str">
        <f>"E000324990"</f>
        <v>E000324990</v>
      </c>
      <c r="BD2863" t="str">
        <f>"ערן שלו"</f>
        <v>ערן שלו</v>
      </c>
    </row>
    <row r="2864" spans="1:56" x14ac:dyDescent="0.3">
      <c r="A2864" s="1">
        <v>44256</v>
      </c>
      <c r="B2864" t="str">
        <f>"SI216000323"</f>
        <v>SI216000323</v>
      </c>
      <c r="C2864" t="str">
        <f>"PR20000790"</f>
        <v>PR20000790</v>
      </c>
      <c r="D2864" t="str">
        <f>"PR20000790"</f>
        <v>PR20000790</v>
      </c>
      <c r="E2864" t="str">
        <f>"Y"</f>
        <v>Y</v>
      </c>
      <c r="F2864" t="str">
        <f>"חשבוניות מרכזות"</f>
        <v>חשבוניות מרכזות</v>
      </c>
      <c r="G2864" t="str">
        <f>"700065"</f>
        <v>700065</v>
      </c>
      <c r="H2864" t="str">
        <f>"אלתא מערכות בע""מ"</f>
        <v>אלתא מערכות בע"מ</v>
      </c>
      <c r="I2864" t="str">
        <f>"10"</f>
        <v>10</v>
      </c>
      <c r="J2864" t="str">
        <f>"PD0201222"</f>
        <v>PD0201222</v>
      </c>
      <c r="K2864" t="str">
        <f>"מא""ז ABB S202M-K50UC 2X50A"</f>
        <v>מא"ז ABB S202M-K50UC 2X50A</v>
      </c>
      <c r="L2864">
        <v>1</v>
      </c>
      <c r="M2864" t="str">
        <f>"יח"</f>
        <v>יח</v>
      </c>
      <c r="N2864">
        <v>1</v>
      </c>
      <c r="O2864" t="str">
        <f>"יח"</f>
        <v>יח</v>
      </c>
      <c r="P2864">
        <v>95.36</v>
      </c>
      <c r="Q2864" t="str">
        <f>"$"</f>
        <v>$</v>
      </c>
      <c r="R2864" t="str">
        <f>"הזמנה"</f>
        <v>הזמנה</v>
      </c>
      <c r="S2864">
        <v>0</v>
      </c>
      <c r="T2864">
        <v>95.36</v>
      </c>
      <c r="U2864">
        <v>0</v>
      </c>
      <c r="V2864">
        <v>95.36</v>
      </c>
      <c r="W2864" t="str">
        <f>"$"</f>
        <v>$</v>
      </c>
      <c r="X2864">
        <v>0</v>
      </c>
      <c r="Y2864">
        <v>0</v>
      </c>
      <c r="Z2864">
        <v>0</v>
      </c>
      <c r="AA2864" t="str">
        <f>"Y"</f>
        <v>Y</v>
      </c>
      <c r="AB2864" t="str">
        <f>"SO20000498"</f>
        <v>SO20000498</v>
      </c>
      <c r="AC2864">
        <v>25</v>
      </c>
      <c r="AD2864" s="1">
        <v>44139</v>
      </c>
      <c r="AE2864" t="str">
        <f>"SH21000326"</f>
        <v>SH21000326</v>
      </c>
      <c r="AF2864" t="str">
        <f>"משלוחים ללקוח"</f>
        <v>משלוחים ללקוח</v>
      </c>
      <c r="AG2864" s="1">
        <v>44255</v>
      </c>
      <c r="AM2864" t="str">
        <f>"10"</f>
        <v>10</v>
      </c>
      <c r="AN2864" t="str">
        <f>"500000"</f>
        <v>500000</v>
      </c>
      <c r="AO2864" t="str">
        <f>"הכנסות  מלקוחות"</f>
        <v>הכנסות  מלקוחות</v>
      </c>
      <c r="AQ2864" t="str">
        <f>"034"</f>
        <v>034</v>
      </c>
      <c r="AR2864">
        <v>0</v>
      </c>
      <c r="AS2864">
        <v>0</v>
      </c>
      <c r="AT2864">
        <v>3.306</v>
      </c>
      <c r="AX2864" t="str">
        <f>"E000324990"</f>
        <v>E000324990</v>
      </c>
      <c r="BD2864" t="str">
        <f>"ערן שלו"</f>
        <v>ערן שלו</v>
      </c>
    </row>
    <row r="2865" spans="1:56" x14ac:dyDescent="0.3">
      <c r="A2865" s="1">
        <v>44256</v>
      </c>
      <c r="B2865" t="str">
        <f>"SI216000323"</f>
        <v>SI216000323</v>
      </c>
      <c r="C2865" t="str">
        <f>"PR20000790"</f>
        <v>PR20000790</v>
      </c>
      <c r="D2865" t="str">
        <f>"PR20000790"</f>
        <v>PR20000790</v>
      </c>
      <c r="E2865" t="str">
        <f>"Y"</f>
        <v>Y</v>
      </c>
      <c r="F2865" t="str">
        <f>"חשבוניות מרכזות"</f>
        <v>חשבוניות מרכזות</v>
      </c>
      <c r="G2865" t="str">
        <f>"700065"</f>
        <v>700065</v>
      </c>
      <c r="H2865" t="str">
        <f>"אלתא מערכות בע""מ"</f>
        <v>אלתא מערכות בע"מ</v>
      </c>
      <c r="I2865" t="str">
        <f>"10"</f>
        <v>10</v>
      </c>
      <c r="J2865" t="str">
        <f>"PD0201222"</f>
        <v>PD0201222</v>
      </c>
      <c r="K2865" t="str">
        <f>"מא""ז ABB S202M-K50UC 2X50A"</f>
        <v>מא"ז ABB S202M-K50UC 2X50A</v>
      </c>
      <c r="L2865">
        <v>11</v>
      </c>
      <c r="M2865" t="str">
        <f>"יח"</f>
        <v>יח</v>
      </c>
      <c r="N2865">
        <v>11</v>
      </c>
      <c r="O2865" t="str">
        <f>"יח"</f>
        <v>יח</v>
      </c>
      <c r="P2865">
        <v>95.36</v>
      </c>
      <c r="Q2865" t="str">
        <f>"$"</f>
        <v>$</v>
      </c>
      <c r="R2865" t="str">
        <f>"הזמנה"</f>
        <v>הזמנה</v>
      </c>
      <c r="S2865">
        <v>0</v>
      </c>
      <c r="T2865" s="2">
        <v>1048.96</v>
      </c>
      <c r="U2865">
        <v>0</v>
      </c>
      <c r="V2865" s="2">
        <v>1048.96</v>
      </c>
      <c r="W2865" t="str">
        <f>"$"</f>
        <v>$</v>
      </c>
      <c r="X2865">
        <v>0</v>
      </c>
      <c r="Y2865">
        <v>0</v>
      </c>
      <c r="Z2865">
        <v>0</v>
      </c>
      <c r="AA2865" t="str">
        <f>"Y"</f>
        <v>Y</v>
      </c>
      <c r="AB2865" t="str">
        <f>"SO20000498"</f>
        <v>SO20000498</v>
      </c>
      <c r="AC2865">
        <v>26</v>
      </c>
      <c r="AD2865" s="1">
        <v>44139</v>
      </c>
      <c r="AE2865" t="str">
        <f>"SH21000326"</f>
        <v>SH21000326</v>
      </c>
      <c r="AF2865" t="str">
        <f>"משלוחים ללקוח"</f>
        <v>משלוחים ללקוח</v>
      </c>
      <c r="AG2865" s="1">
        <v>44255</v>
      </c>
      <c r="AM2865" t="str">
        <f>"10"</f>
        <v>10</v>
      </c>
      <c r="AN2865" t="str">
        <f>"500000"</f>
        <v>500000</v>
      </c>
      <c r="AO2865" t="str">
        <f>"הכנסות  מלקוחות"</f>
        <v>הכנסות  מלקוחות</v>
      </c>
      <c r="AQ2865" t="str">
        <f>"034"</f>
        <v>034</v>
      </c>
      <c r="AR2865">
        <v>0</v>
      </c>
      <c r="AS2865">
        <v>0</v>
      </c>
      <c r="AT2865">
        <v>3.306</v>
      </c>
      <c r="AX2865" t="str">
        <f>"E000324990"</f>
        <v>E000324990</v>
      </c>
      <c r="BD2865" t="str">
        <f>"ערן שלו"</f>
        <v>ערן שלו</v>
      </c>
    </row>
    <row r="2866" spans="1:56" x14ac:dyDescent="0.3">
      <c r="A2866" s="1">
        <v>44256</v>
      </c>
      <c r="B2866" t="str">
        <f>"SI216000323"</f>
        <v>SI216000323</v>
      </c>
      <c r="C2866" t="str">
        <f>"PR20000790"</f>
        <v>PR20000790</v>
      </c>
      <c r="D2866" t="str">
        <f>"PR20000790"</f>
        <v>PR20000790</v>
      </c>
      <c r="E2866" t="str">
        <f>"Y"</f>
        <v>Y</v>
      </c>
      <c r="F2866" t="str">
        <f>"חשבוניות מרכזות"</f>
        <v>חשבוניות מרכזות</v>
      </c>
      <c r="G2866" t="str">
        <f>"700065"</f>
        <v>700065</v>
      </c>
      <c r="H2866" t="str">
        <f>"אלתא מערכות בע""מ"</f>
        <v>אלתא מערכות בע"מ</v>
      </c>
      <c r="I2866" t="str">
        <f>"10"</f>
        <v>10</v>
      </c>
      <c r="J2866" t="str">
        <f>"PD0200559"</f>
        <v>PD0200559</v>
      </c>
      <c r="K2866" t="str">
        <f>"מא""ז S801B-C100 ABB"</f>
        <v>מא"ז S801B-C100 ABB</v>
      </c>
      <c r="L2866">
        <v>1</v>
      </c>
      <c r="M2866" t="str">
        <f>"יח"</f>
        <v>יח</v>
      </c>
      <c r="N2866">
        <v>1</v>
      </c>
      <c r="O2866" t="str">
        <f>"יח"</f>
        <v>יח</v>
      </c>
      <c r="P2866">
        <v>30.33</v>
      </c>
      <c r="Q2866" t="str">
        <f>"$"</f>
        <v>$</v>
      </c>
      <c r="R2866" t="str">
        <f>"הזמנה"</f>
        <v>הזמנה</v>
      </c>
      <c r="S2866">
        <v>0</v>
      </c>
      <c r="T2866">
        <v>30.33</v>
      </c>
      <c r="U2866">
        <v>0</v>
      </c>
      <c r="V2866">
        <v>30.33</v>
      </c>
      <c r="W2866" t="str">
        <f>"$"</f>
        <v>$</v>
      </c>
      <c r="X2866">
        <v>0</v>
      </c>
      <c r="Y2866">
        <v>0</v>
      </c>
      <c r="Z2866">
        <v>0</v>
      </c>
      <c r="AA2866" t="str">
        <f>"Y"</f>
        <v>Y</v>
      </c>
      <c r="AB2866" t="str">
        <f>"SO20000498"</f>
        <v>SO20000498</v>
      </c>
      <c r="AC2866">
        <v>27</v>
      </c>
      <c r="AD2866" s="1">
        <v>44139</v>
      </c>
      <c r="AE2866" t="str">
        <f>"SH21000326"</f>
        <v>SH21000326</v>
      </c>
      <c r="AF2866" t="str">
        <f>"משלוחים ללקוח"</f>
        <v>משלוחים ללקוח</v>
      </c>
      <c r="AG2866" s="1">
        <v>44255</v>
      </c>
      <c r="AM2866" t="str">
        <f>"10"</f>
        <v>10</v>
      </c>
      <c r="AN2866" t="str">
        <f>"500000"</f>
        <v>500000</v>
      </c>
      <c r="AO2866" t="str">
        <f>"הכנסות  מלקוחות"</f>
        <v>הכנסות  מלקוחות</v>
      </c>
      <c r="AQ2866" t="str">
        <f>"034"</f>
        <v>034</v>
      </c>
      <c r="AR2866">
        <v>0</v>
      </c>
      <c r="AS2866">
        <v>0</v>
      </c>
      <c r="AT2866">
        <v>3.306</v>
      </c>
      <c r="AX2866" t="str">
        <f>"E000324990"</f>
        <v>E000324990</v>
      </c>
      <c r="BD2866" t="str">
        <f>"ערן שלו"</f>
        <v>ערן שלו</v>
      </c>
    </row>
    <row r="2867" spans="1:56" x14ac:dyDescent="0.3">
      <c r="A2867" s="1">
        <v>44256</v>
      </c>
      <c r="B2867" t="str">
        <f>"SI216000323"</f>
        <v>SI216000323</v>
      </c>
      <c r="C2867" t="str">
        <f>"PR20000790"</f>
        <v>PR20000790</v>
      </c>
      <c r="D2867" t="str">
        <f>"PR20000790"</f>
        <v>PR20000790</v>
      </c>
      <c r="E2867" t="str">
        <f>"Y"</f>
        <v>Y</v>
      </c>
      <c r="F2867" t="str">
        <f>"חשבוניות מרכזות"</f>
        <v>חשבוניות מרכזות</v>
      </c>
      <c r="G2867" t="str">
        <f>"700065"</f>
        <v>700065</v>
      </c>
      <c r="H2867" t="str">
        <f>"אלתא מערכות בע""מ"</f>
        <v>אלתא מערכות בע"מ</v>
      </c>
      <c r="I2867" t="str">
        <f>"10"</f>
        <v>10</v>
      </c>
      <c r="J2867" t="str">
        <f>"PD0200559"</f>
        <v>PD0200559</v>
      </c>
      <c r="K2867" t="str">
        <f>"מא""ז S801B-C100 ABB"</f>
        <v>מא"ז S801B-C100 ABB</v>
      </c>
      <c r="L2867">
        <v>11</v>
      </c>
      <c r="M2867" t="str">
        <f>"יח"</f>
        <v>יח</v>
      </c>
      <c r="N2867">
        <v>11</v>
      </c>
      <c r="O2867" t="str">
        <f>"יח"</f>
        <v>יח</v>
      </c>
      <c r="P2867">
        <v>30.33</v>
      </c>
      <c r="Q2867" t="str">
        <f>"$"</f>
        <v>$</v>
      </c>
      <c r="R2867" t="str">
        <f>"הזמנה"</f>
        <v>הזמנה</v>
      </c>
      <c r="S2867">
        <v>0</v>
      </c>
      <c r="T2867">
        <v>333.63</v>
      </c>
      <c r="U2867">
        <v>0</v>
      </c>
      <c r="V2867">
        <v>333.63</v>
      </c>
      <c r="W2867" t="str">
        <f>"$"</f>
        <v>$</v>
      </c>
      <c r="X2867">
        <v>0</v>
      </c>
      <c r="Y2867">
        <v>0</v>
      </c>
      <c r="Z2867">
        <v>0</v>
      </c>
      <c r="AA2867" t="str">
        <f>"Y"</f>
        <v>Y</v>
      </c>
      <c r="AB2867" t="str">
        <f>"SO20000498"</f>
        <v>SO20000498</v>
      </c>
      <c r="AC2867">
        <v>28</v>
      </c>
      <c r="AD2867" s="1">
        <v>44139</v>
      </c>
      <c r="AE2867" t="str">
        <f>"SH21000326"</f>
        <v>SH21000326</v>
      </c>
      <c r="AF2867" t="str">
        <f>"משלוחים ללקוח"</f>
        <v>משלוחים ללקוח</v>
      </c>
      <c r="AG2867" s="1">
        <v>44255</v>
      </c>
      <c r="AM2867" t="str">
        <f>"10"</f>
        <v>10</v>
      </c>
      <c r="AN2867" t="str">
        <f>"500000"</f>
        <v>500000</v>
      </c>
      <c r="AO2867" t="str">
        <f>"הכנסות  מלקוחות"</f>
        <v>הכנסות  מלקוחות</v>
      </c>
      <c r="AQ2867" t="str">
        <f>"034"</f>
        <v>034</v>
      </c>
      <c r="AR2867">
        <v>0</v>
      </c>
      <c r="AS2867">
        <v>0</v>
      </c>
      <c r="AT2867">
        <v>3.306</v>
      </c>
      <c r="AX2867" t="str">
        <f>"E000324990"</f>
        <v>E000324990</v>
      </c>
      <c r="BD2867" t="str">
        <f>"ערן שלו"</f>
        <v>ערן שלו</v>
      </c>
    </row>
    <row r="2868" spans="1:56" x14ac:dyDescent="0.3">
      <c r="A2868" s="1">
        <v>44250</v>
      </c>
      <c r="B2868" t="str">
        <f>"SI216000314"</f>
        <v>SI216000314</v>
      </c>
      <c r="C2868" t="str">
        <f>"PR20000066"</f>
        <v>PR20000066</v>
      </c>
      <c r="D2868" t="str">
        <f>"PR20000066"</f>
        <v>PR20000066</v>
      </c>
      <c r="E2868" t="str">
        <f>"Y"</f>
        <v>Y</v>
      </c>
      <c r="F2868" t="str">
        <f>"חשבוניות מרכזות"</f>
        <v>חשבוניות מרכזות</v>
      </c>
      <c r="G2868" t="str">
        <f>"700065"</f>
        <v>700065</v>
      </c>
      <c r="H2868" t="str">
        <f>"אלתא מערכות בע""מ"</f>
        <v>אלתא מערכות בע"מ</v>
      </c>
      <c r="I2868" t="str">
        <f>"10"</f>
        <v>10</v>
      </c>
      <c r="J2868" t="str">
        <f>"OP-AR01633"</f>
        <v>OP-AR01633</v>
      </c>
      <c r="K2868" t="str">
        <f>"1041G132-001 W132 : ANT PS HPLS CTRL-cust"</f>
        <v>1041G132-001 W132 : ANT PS HPLS CTRL-cust</v>
      </c>
      <c r="L2868">
        <v>2</v>
      </c>
      <c r="M2868" t="str">
        <f>"יח"</f>
        <v>יח</v>
      </c>
      <c r="N2868">
        <v>2</v>
      </c>
      <c r="O2868" t="str">
        <f>"יח"</f>
        <v>יח</v>
      </c>
      <c r="P2868" s="2">
        <v>1329.55</v>
      </c>
      <c r="Q2868" t="str">
        <f>"$"</f>
        <v>$</v>
      </c>
      <c r="R2868" t="str">
        <f>"הזמנה"</f>
        <v>הזמנה</v>
      </c>
      <c r="S2868">
        <v>0</v>
      </c>
      <c r="T2868" s="2">
        <v>2659.1</v>
      </c>
      <c r="U2868">
        <v>0</v>
      </c>
      <c r="V2868" s="2">
        <v>2659.1</v>
      </c>
      <c r="W2868" t="str">
        <f>"$"</f>
        <v>$</v>
      </c>
      <c r="X2868">
        <v>0</v>
      </c>
      <c r="Y2868">
        <v>0</v>
      </c>
      <c r="Z2868">
        <v>0</v>
      </c>
      <c r="AA2868" t="str">
        <f>"Y"</f>
        <v>Y</v>
      </c>
      <c r="AB2868" t="str">
        <f>"SO20000062"</f>
        <v>SO20000062</v>
      </c>
      <c r="AC2868">
        <v>15</v>
      </c>
      <c r="AD2868" s="1">
        <v>43870</v>
      </c>
      <c r="AE2868" t="str">
        <f>"SH21000311"</f>
        <v>SH21000311</v>
      </c>
      <c r="AF2868" t="str">
        <f>"משלוחים ללקוח"</f>
        <v>משלוחים ללקוח</v>
      </c>
      <c r="AG2868" s="1">
        <v>44249</v>
      </c>
      <c r="AM2868" t="str">
        <f>"10"</f>
        <v>10</v>
      </c>
      <c r="AN2868" t="str">
        <f>"500000"</f>
        <v>500000</v>
      </c>
      <c r="AO2868" t="str">
        <f>"הכנסות  מלקוחות"</f>
        <v>הכנסות  מלקוחות</v>
      </c>
      <c r="AQ2868" t="str">
        <f>"034"</f>
        <v>034</v>
      </c>
      <c r="AR2868">
        <v>0</v>
      </c>
      <c r="AS2868">
        <v>0</v>
      </c>
      <c r="AT2868">
        <v>3.2639999999999998</v>
      </c>
      <c r="AX2868" t="str">
        <f>"E000305063"</f>
        <v>E000305063</v>
      </c>
      <c r="BD2868" t="str">
        <f>"ערן שלו"</f>
        <v>ערן שלו</v>
      </c>
    </row>
    <row r="2869" spans="1:56" x14ac:dyDescent="0.3">
      <c r="A2869" s="1">
        <v>44248</v>
      </c>
      <c r="B2869" t="str">
        <f>"SI216000297"</f>
        <v>SI216000297</v>
      </c>
      <c r="C2869" t="str">
        <f>"PR20000796"</f>
        <v>PR20000796</v>
      </c>
      <c r="E2869" t="str">
        <f>"Y"</f>
        <v>Y</v>
      </c>
      <c r="F2869" t="str">
        <f>"חשבוניות מרכזות"</f>
        <v>חשבוניות מרכזות</v>
      </c>
      <c r="G2869" t="str">
        <f>"700065"</f>
        <v>700065</v>
      </c>
      <c r="H2869" t="str">
        <f>"אלתא מערכות בע""מ"</f>
        <v>אלתא מערכות בע"מ</v>
      </c>
      <c r="I2869" t="str">
        <f>"10"</f>
        <v>10</v>
      </c>
      <c r="J2869" t="str">
        <f>"OP-AR02074"</f>
        <v>OP-AR02074</v>
      </c>
      <c r="K2869" t="str">
        <f>"1027H561-001/-  HARNESS WH001 - POWER TO PCU"</f>
        <v>1027H561-001/-  HARNESS WH001 - POWER TO PCU</v>
      </c>
      <c r="L2869">
        <v>-1</v>
      </c>
      <c r="M2869" t="str">
        <f>"יח"</f>
        <v>יח</v>
      </c>
      <c r="N2869">
        <v>-1</v>
      </c>
      <c r="O2869" t="str">
        <f>"יח"</f>
        <v>יח</v>
      </c>
      <c r="P2869">
        <v>723.59</v>
      </c>
      <c r="Q2869" t="str">
        <f>"$"</f>
        <v>$</v>
      </c>
      <c r="R2869" t="str">
        <f>"הזמנה"</f>
        <v>הזמנה</v>
      </c>
      <c r="S2869">
        <v>0</v>
      </c>
      <c r="T2869">
        <v>-723.59</v>
      </c>
      <c r="U2869">
        <v>0</v>
      </c>
      <c r="V2869">
        <v>-723.59</v>
      </c>
      <c r="W2869" t="str">
        <f>"$"</f>
        <v>$</v>
      </c>
      <c r="X2869">
        <v>0</v>
      </c>
      <c r="Y2869">
        <v>0</v>
      </c>
      <c r="Z2869">
        <v>0</v>
      </c>
      <c r="AA2869" t="str">
        <f>"Y"</f>
        <v>Y</v>
      </c>
      <c r="AC2869">
        <v>0</v>
      </c>
      <c r="AM2869" t="str">
        <f>"10"</f>
        <v>10</v>
      </c>
      <c r="AN2869" t="str">
        <f>"500000"</f>
        <v>500000</v>
      </c>
      <c r="AO2869" t="str">
        <f>"הכנסות  מלקוחות"</f>
        <v>הכנסות  מלקוחות</v>
      </c>
      <c r="AQ2869" t="str">
        <f>"034"</f>
        <v>034</v>
      </c>
      <c r="AR2869">
        <v>0</v>
      </c>
      <c r="AS2869">
        <v>0</v>
      </c>
      <c r="AT2869">
        <v>3.2370000000000001</v>
      </c>
      <c r="BB2869" t="str">
        <f>"Y"</f>
        <v>Y</v>
      </c>
      <c r="BD2869" t="str">
        <f>"ערן שלו"</f>
        <v>ערן שלו</v>
      </c>
    </row>
    <row r="2870" spans="1:56" x14ac:dyDescent="0.3">
      <c r="A2870" s="1">
        <v>44248</v>
      </c>
      <c r="B2870" t="str">
        <f>"SI216000297"</f>
        <v>SI216000297</v>
      </c>
      <c r="C2870" t="str">
        <f>"PR20000796"</f>
        <v>PR20000796</v>
      </c>
      <c r="E2870" t="str">
        <f>"Y"</f>
        <v>Y</v>
      </c>
      <c r="F2870" t="str">
        <f>"חשבוניות מרכזות"</f>
        <v>חשבוניות מרכזות</v>
      </c>
      <c r="G2870" t="str">
        <f>"700065"</f>
        <v>700065</v>
      </c>
      <c r="H2870" t="str">
        <f>"אלתא מערכות בע""מ"</f>
        <v>אלתא מערכות בע"מ</v>
      </c>
      <c r="I2870" t="str">
        <f>"10"</f>
        <v>10</v>
      </c>
      <c r="J2870" t="str">
        <f>"OP-AR02081"</f>
        <v>OP-AR02081</v>
      </c>
      <c r="K2870" t="str">
        <f>"1027H569-001/-  HARNESS WH009 - IFF POWER"</f>
        <v>1027H569-001/-  HARNESS WH009 - IFF POWER</v>
      </c>
      <c r="L2870">
        <v>-1</v>
      </c>
      <c r="M2870" t="str">
        <f>"יח"</f>
        <v>יח</v>
      </c>
      <c r="N2870">
        <v>-1</v>
      </c>
      <c r="O2870" t="str">
        <f>"יח"</f>
        <v>יח</v>
      </c>
      <c r="P2870">
        <v>251.51</v>
      </c>
      <c r="Q2870" t="str">
        <f>"$"</f>
        <v>$</v>
      </c>
      <c r="R2870" t="str">
        <f>"הזמנה"</f>
        <v>הזמנה</v>
      </c>
      <c r="S2870">
        <v>0</v>
      </c>
      <c r="T2870">
        <v>-251.51</v>
      </c>
      <c r="U2870">
        <v>0</v>
      </c>
      <c r="V2870">
        <v>-251.51</v>
      </c>
      <c r="W2870" t="str">
        <f>"$"</f>
        <v>$</v>
      </c>
      <c r="X2870">
        <v>0</v>
      </c>
      <c r="Y2870">
        <v>0</v>
      </c>
      <c r="Z2870">
        <v>0</v>
      </c>
      <c r="AA2870" t="str">
        <f>"Y"</f>
        <v>Y</v>
      </c>
      <c r="AC2870">
        <v>0</v>
      </c>
      <c r="AM2870" t="str">
        <f>"10"</f>
        <v>10</v>
      </c>
      <c r="AN2870" t="str">
        <f>"500000"</f>
        <v>500000</v>
      </c>
      <c r="AO2870" t="str">
        <f>"הכנסות  מלקוחות"</f>
        <v>הכנסות  מלקוחות</v>
      </c>
      <c r="AQ2870" t="str">
        <f>"034"</f>
        <v>034</v>
      </c>
      <c r="AR2870">
        <v>0</v>
      </c>
      <c r="AS2870">
        <v>0</v>
      </c>
      <c r="AT2870">
        <v>3.2370000000000001</v>
      </c>
      <c r="BB2870" t="str">
        <f>"Y"</f>
        <v>Y</v>
      </c>
      <c r="BD2870" t="str">
        <f>"ערן שלו"</f>
        <v>ערן שלו</v>
      </c>
    </row>
    <row r="2871" spans="1:56" x14ac:dyDescent="0.3">
      <c r="A2871" s="1">
        <v>44248</v>
      </c>
      <c r="B2871" t="str">
        <f>"SI216000292"</f>
        <v>SI216000292</v>
      </c>
      <c r="C2871" t="str">
        <f>"PR20000789"</f>
        <v>PR20000789</v>
      </c>
      <c r="E2871" t="str">
        <f>"Y"</f>
        <v>Y</v>
      </c>
      <c r="F2871" t="str">
        <f>"חשבוניות מרכזות"</f>
        <v>חשבוניות מרכזות</v>
      </c>
      <c r="G2871" t="str">
        <f>"700065"</f>
        <v>700065</v>
      </c>
      <c r="H2871" t="str">
        <f>"אלתא מערכות בע""מ"</f>
        <v>אלתא מערכות בע"מ</v>
      </c>
      <c r="I2871" t="str">
        <f>"10"</f>
        <v>10</v>
      </c>
      <c r="J2871" t="str">
        <f>"OP-AR02089"</f>
        <v>OP-AR02089</v>
      </c>
      <c r="K2871" t="str">
        <f>"4045K511-001/-  CABLE CONT. SAAU for KALANIT"</f>
        <v>4045K511-001/-  CABLE CONT. SAAU for KALANIT</v>
      </c>
      <c r="L2871">
        <v>-3</v>
      </c>
      <c r="M2871" t="str">
        <f>"יח"</f>
        <v>יח</v>
      </c>
      <c r="N2871">
        <v>-3</v>
      </c>
      <c r="O2871" t="str">
        <f>"יח"</f>
        <v>יח</v>
      </c>
      <c r="P2871">
        <v>378.16</v>
      </c>
      <c r="Q2871" t="str">
        <f>"$"</f>
        <v>$</v>
      </c>
      <c r="R2871" t="str">
        <f>"הזמנה"</f>
        <v>הזמנה</v>
      </c>
      <c r="S2871">
        <v>0</v>
      </c>
      <c r="T2871" s="2">
        <v>-1134.48</v>
      </c>
      <c r="U2871">
        <v>0</v>
      </c>
      <c r="V2871" s="2">
        <v>-1134.48</v>
      </c>
      <c r="W2871" t="str">
        <f>"$"</f>
        <v>$</v>
      </c>
      <c r="X2871">
        <v>0</v>
      </c>
      <c r="Y2871">
        <v>0</v>
      </c>
      <c r="Z2871">
        <v>0</v>
      </c>
      <c r="AA2871" t="str">
        <f>"Y"</f>
        <v>Y</v>
      </c>
      <c r="AC2871">
        <v>0</v>
      </c>
      <c r="AM2871" t="str">
        <f>"10"</f>
        <v>10</v>
      </c>
      <c r="AN2871" t="str">
        <f>"500000"</f>
        <v>500000</v>
      </c>
      <c r="AO2871" t="str">
        <f>"הכנסות  מלקוחות"</f>
        <v>הכנסות  מלקוחות</v>
      </c>
      <c r="AQ2871" t="str">
        <f>"034"</f>
        <v>034</v>
      </c>
      <c r="AR2871">
        <v>0</v>
      </c>
      <c r="AS2871">
        <v>0</v>
      </c>
      <c r="AT2871">
        <v>3.2370000000000001</v>
      </c>
      <c r="BB2871" t="str">
        <f>"Y"</f>
        <v>Y</v>
      </c>
      <c r="BD2871" t="str">
        <f>"ערן שלו"</f>
        <v>ערן שלו</v>
      </c>
    </row>
    <row r="2872" spans="1:56" x14ac:dyDescent="0.3">
      <c r="A2872" s="1">
        <v>44248</v>
      </c>
      <c r="B2872" t="str">
        <f>"SI216000290"</f>
        <v>SI216000290</v>
      </c>
      <c r="C2872" t="str">
        <f>"PR20000667"</f>
        <v>PR20000667</v>
      </c>
      <c r="E2872" t="str">
        <f>"Y"</f>
        <v>Y</v>
      </c>
      <c r="F2872" t="str">
        <f>"חשבוניות מרכזות"</f>
        <v>חשבוניות מרכזות</v>
      </c>
      <c r="G2872" t="str">
        <f>"700065"</f>
        <v>700065</v>
      </c>
      <c r="H2872" t="str">
        <f>"אלתא מערכות בע""מ"</f>
        <v>אלתא מערכות בע"מ</v>
      </c>
      <c r="I2872" t="str">
        <f>"10"</f>
        <v>10</v>
      </c>
      <c r="J2872" t="str">
        <f>"OP-AR02036"</f>
        <v>OP-AR02036</v>
      </c>
      <c r="K2872" t="str">
        <f>"9003F003-001/A  HARNESS W9603 - ANT PRESS PNL AD"</f>
        <v>9003F003-001/A  HARNESS W9603 - ANT PRESS PNL AD</v>
      </c>
      <c r="L2872">
        <v>-1</v>
      </c>
      <c r="M2872" t="str">
        <f>"יח"</f>
        <v>יח</v>
      </c>
      <c r="N2872">
        <v>-1</v>
      </c>
      <c r="O2872" t="str">
        <f>"יח"</f>
        <v>יח</v>
      </c>
      <c r="P2872">
        <v>830.78</v>
      </c>
      <c r="Q2872" t="str">
        <f>"$"</f>
        <v>$</v>
      </c>
      <c r="R2872" t="str">
        <f>"הזמנה"</f>
        <v>הזמנה</v>
      </c>
      <c r="S2872">
        <v>0</v>
      </c>
      <c r="T2872">
        <v>-830.78</v>
      </c>
      <c r="U2872">
        <v>0</v>
      </c>
      <c r="V2872">
        <v>-830.78</v>
      </c>
      <c r="W2872" t="str">
        <f>"$"</f>
        <v>$</v>
      </c>
      <c r="X2872">
        <v>0</v>
      </c>
      <c r="Y2872">
        <v>0</v>
      </c>
      <c r="Z2872">
        <v>0</v>
      </c>
      <c r="AA2872" t="str">
        <f>"Y"</f>
        <v>Y</v>
      </c>
      <c r="AC2872">
        <v>0</v>
      </c>
      <c r="AM2872" t="str">
        <f>"10"</f>
        <v>10</v>
      </c>
      <c r="AN2872" t="str">
        <f>"500000"</f>
        <v>500000</v>
      </c>
      <c r="AO2872" t="str">
        <f>"הכנסות  מלקוחות"</f>
        <v>הכנסות  מלקוחות</v>
      </c>
      <c r="AQ2872" t="str">
        <f>"034"</f>
        <v>034</v>
      </c>
      <c r="AR2872">
        <v>0</v>
      </c>
      <c r="AS2872">
        <v>0</v>
      </c>
      <c r="AT2872">
        <v>3.2370000000000001</v>
      </c>
      <c r="BB2872" t="str">
        <f>"Y"</f>
        <v>Y</v>
      </c>
      <c r="BD2872" t="str">
        <f>"ערן שלו"</f>
        <v>ערן שלו</v>
      </c>
    </row>
    <row r="2873" spans="1:56" x14ac:dyDescent="0.3">
      <c r="A2873" s="1">
        <v>44248</v>
      </c>
      <c r="B2873" t="str">
        <f>"SI216000287"</f>
        <v>SI216000287</v>
      </c>
      <c r="C2873" t="str">
        <f>"PR20000576"</f>
        <v>PR20000576</v>
      </c>
      <c r="E2873" t="str">
        <f>"Y"</f>
        <v>Y</v>
      </c>
      <c r="F2873" t="str">
        <f>"חשבוניות מרכזות"</f>
        <v>חשבוניות מרכזות</v>
      </c>
      <c r="G2873" t="str">
        <f>"700065"</f>
        <v>700065</v>
      </c>
      <c r="H2873" t="str">
        <f>"אלתא מערכות בע""מ"</f>
        <v>אלתא מערכות בע"מ</v>
      </c>
      <c r="I2873" t="str">
        <f>"10"</f>
        <v>10</v>
      </c>
      <c r="J2873" t="str">
        <f>"OP-KT00108"</f>
        <v>OP-KT00108</v>
      </c>
      <c r="K2873" t="str">
        <f>"VOLTAGE RECTIFIER UNIT מק""ט 1039H790-001"</f>
        <v>VOLTAGE RECTIFIER UNIT מק"ט 1039H790-001</v>
      </c>
      <c r="L2873">
        <v>-5</v>
      </c>
      <c r="M2873" t="str">
        <f>"יח"</f>
        <v>יח</v>
      </c>
      <c r="N2873">
        <v>-5</v>
      </c>
      <c r="O2873" t="str">
        <f>"יח"</f>
        <v>יח</v>
      </c>
      <c r="P2873" s="2">
        <v>6250</v>
      </c>
      <c r="Q2873" t="str">
        <f>"$"</f>
        <v>$</v>
      </c>
      <c r="R2873" t="str">
        <f>"הזמנה"</f>
        <v>הזמנה</v>
      </c>
      <c r="S2873">
        <v>0</v>
      </c>
      <c r="T2873" s="2">
        <v>-31250</v>
      </c>
      <c r="U2873">
        <v>0</v>
      </c>
      <c r="V2873" s="2">
        <v>-31250</v>
      </c>
      <c r="W2873" t="str">
        <f>"$"</f>
        <v>$</v>
      </c>
      <c r="X2873">
        <v>0</v>
      </c>
      <c r="Y2873">
        <v>0</v>
      </c>
      <c r="Z2873">
        <v>0</v>
      </c>
      <c r="AA2873" t="str">
        <f>"Y"</f>
        <v>Y</v>
      </c>
      <c r="AC2873">
        <v>0</v>
      </c>
      <c r="AM2873" t="str">
        <f>"10"</f>
        <v>10</v>
      </c>
      <c r="AN2873" t="str">
        <f>"500000"</f>
        <v>500000</v>
      </c>
      <c r="AO2873" t="str">
        <f>"הכנסות  מלקוחות"</f>
        <v>הכנסות  מלקוחות</v>
      </c>
      <c r="AQ2873" t="str">
        <f>"034"</f>
        <v>034</v>
      </c>
      <c r="AR2873">
        <v>0</v>
      </c>
      <c r="AS2873">
        <v>0</v>
      </c>
      <c r="AT2873">
        <v>3.2370000000000001</v>
      </c>
      <c r="BB2873" t="str">
        <f>"Y"</f>
        <v>Y</v>
      </c>
      <c r="BD2873" t="str">
        <f>"ערן שלו"</f>
        <v>ערן שלו</v>
      </c>
    </row>
    <row r="2874" spans="1:56" x14ac:dyDescent="0.3">
      <c r="A2874" s="1">
        <v>44248</v>
      </c>
      <c r="B2874" t="str">
        <f>"SI216000281"</f>
        <v>SI216000281</v>
      </c>
      <c r="C2874" t="str">
        <f>"PR20000791"</f>
        <v>PR20000791</v>
      </c>
      <c r="E2874" t="str">
        <f>"Y"</f>
        <v>Y</v>
      </c>
      <c r="F2874" t="str">
        <f>"חשבוניות מרכזות"</f>
        <v>חשבוניות מרכזות</v>
      </c>
      <c r="G2874" t="str">
        <f>"700065"</f>
        <v>700065</v>
      </c>
      <c r="H2874" t="str">
        <f>"אלתא מערכות בע""מ"</f>
        <v>אלתא מערכות בע"מ</v>
      </c>
      <c r="I2874" t="str">
        <f>"10"</f>
        <v>10</v>
      </c>
      <c r="J2874" t="str">
        <f>"OP-AR02069"</f>
        <v>OP-AR02069</v>
      </c>
      <c r="K2874" t="str">
        <f>"9004F465-001/A  CABLE GLINK"</f>
        <v>9004F465-001/A  CABLE GLINK</v>
      </c>
      <c r="L2874">
        <v>-19</v>
      </c>
      <c r="M2874" t="str">
        <f>"יח"</f>
        <v>יח</v>
      </c>
      <c r="N2874">
        <v>-19</v>
      </c>
      <c r="O2874" t="str">
        <f>"יח"</f>
        <v>יח</v>
      </c>
      <c r="P2874">
        <v>243.11</v>
      </c>
      <c r="Q2874" t="str">
        <f>"$"</f>
        <v>$</v>
      </c>
      <c r="R2874" t="str">
        <f>"הזמנה"</f>
        <v>הזמנה</v>
      </c>
      <c r="S2874">
        <v>0</v>
      </c>
      <c r="T2874" s="2">
        <v>-4619.09</v>
      </c>
      <c r="U2874">
        <v>0</v>
      </c>
      <c r="V2874" s="2">
        <v>-4619.09</v>
      </c>
      <c r="W2874" t="str">
        <f>"$"</f>
        <v>$</v>
      </c>
      <c r="X2874">
        <v>0</v>
      </c>
      <c r="Y2874">
        <v>0</v>
      </c>
      <c r="Z2874">
        <v>0</v>
      </c>
      <c r="AA2874" t="str">
        <f>"Y"</f>
        <v>Y</v>
      </c>
      <c r="AC2874">
        <v>0</v>
      </c>
      <c r="AM2874" t="str">
        <f>"10"</f>
        <v>10</v>
      </c>
      <c r="AN2874" t="str">
        <f>"500000"</f>
        <v>500000</v>
      </c>
      <c r="AO2874" t="str">
        <f>"הכנסות  מלקוחות"</f>
        <v>הכנסות  מלקוחות</v>
      </c>
      <c r="AQ2874" t="str">
        <f>"034"</f>
        <v>034</v>
      </c>
      <c r="AR2874">
        <v>0</v>
      </c>
      <c r="AS2874">
        <v>0</v>
      </c>
      <c r="AT2874">
        <v>3.2370000000000001</v>
      </c>
      <c r="BB2874" t="str">
        <f>"Y"</f>
        <v>Y</v>
      </c>
      <c r="BD2874" t="str">
        <f>"ערן שלו"</f>
        <v>ערן שלו</v>
      </c>
    </row>
    <row r="2875" spans="1:56" x14ac:dyDescent="0.3">
      <c r="A2875" s="1">
        <v>44248</v>
      </c>
      <c r="B2875" t="str">
        <f>"SI216000279"</f>
        <v>SI216000279</v>
      </c>
      <c r="C2875" t="str">
        <f>"PR19000750"</f>
        <v>PR19000750</v>
      </c>
      <c r="E2875" t="str">
        <f>"Y"</f>
        <v>Y</v>
      </c>
      <c r="F2875" t="str">
        <f>"חשבוניות מרכזות"</f>
        <v>חשבוניות מרכזות</v>
      </c>
      <c r="G2875" t="str">
        <f>"700065"</f>
        <v>700065</v>
      </c>
      <c r="H2875" t="str">
        <f>"אלתא מערכות בע""מ"</f>
        <v>אלתא מערכות בע"מ</v>
      </c>
      <c r="I2875" t="str">
        <f>"11"</f>
        <v>11</v>
      </c>
      <c r="J2875" t="str">
        <f>"OP-KT00096"</f>
        <v>OP-KT00096</v>
      </c>
      <c r="K2875" t="str">
        <f>"PDB SPARES O LEVEL"</f>
        <v>PDB SPARES O LEVEL</v>
      </c>
      <c r="L2875">
        <v>-1</v>
      </c>
      <c r="M2875" t="str">
        <f>"יח"</f>
        <v>יח</v>
      </c>
      <c r="N2875">
        <v>-1</v>
      </c>
      <c r="O2875" t="str">
        <f>"יח"</f>
        <v>יח</v>
      </c>
      <c r="P2875" s="2">
        <v>6574</v>
      </c>
      <c r="Q2875" t="str">
        <f>"$"</f>
        <v>$</v>
      </c>
      <c r="R2875" t="str">
        <f>"הזמנה"</f>
        <v>הזמנה</v>
      </c>
      <c r="S2875">
        <v>0</v>
      </c>
      <c r="T2875" s="2">
        <v>-6574</v>
      </c>
      <c r="U2875">
        <v>0</v>
      </c>
      <c r="V2875" s="2">
        <v>-6574</v>
      </c>
      <c r="W2875" t="str">
        <f>"$"</f>
        <v>$</v>
      </c>
      <c r="X2875">
        <v>0</v>
      </c>
      <c r="Y2875">
        <v>0</v>
      </c>
      <c r="Z2875">
        <v>0</v>
      </c>
      <c r="AA2875" t="str">
        <f>"Y"</f>
        <v>Y</v>
      </c>
      <c r="AC2875">
        <v>0</v>
      </c>
      <c r="AM2875" t="str">
        <f>"10"</f>
        <v>10</v>
      </c>
      <c r="AN2875" t="str">
        <f>"500000"</f>
        <v>500000</v>
      </c>
      <c r="AO2875" t="str">
        <f>"הכנסות  מלקוחות"</f>
        <v>הכנסות  מלקוחות</v>
      </c>
      <c r="AQ2875" t="str">
        <f>"034"</f>
        <v>034</v>
      </c>
      <c r="AR2875">
        <v>0</v>
      </c>
      <c r="AS2875">
        <v>0</v>
      </c>
      <c r="AT2875">
        <v>3.2370000000000001</v>
      </c>
      <c r="BB2875" t="str">
        <f>"Y"</f>
        <v>Y</v>
      </c>
      <c r="BD2875" t="str">
        <f>"ערן שלו"</f>
        <v>ערן שלו</v>
      </c>
    </row>
    <row r="2876" spans="1:56" x14ac:dyDescent="0.3">
      <c r="A2876" s="1">
        <v>44248</v>
      </c>
      <c r="B2876" t="str">
        <f>"SI216000279"</f>
        <v>SI216000279</v>
      </c>
      <c r="C2876" t="str">
        <f>"PR19000750"</f>
        <v>PR19000750</v>
      </c>
      <c r="E2876" t="str">
        <f>"Y"</f>
        <v>Y</v>
      </c>
      <c r="F2876" t="str">
        <f>"חשבוניות מרכזות"</f>
        <v>חשבוניות מרכזות</v>
      </c>
      <c r="G2876" t="str">
        <f>"700065"</f>
        <v>700065</v>
      </c>
      <c r="H2876" t="str">
        <f>"אלתא מערכות בע""מ"</f>
        <v>אלתא מערכות בע"מ</v>
      </c>
      <c r="I2876" t="str">
        <f>"10"</f>
        <v>10</v>
      </c>
      <c r="J2876" t="str">
        <f>"OP-KT00096"</f>
        <v>OP-KT00096</v>
      </c>
      <c r="K2876" t="str">
        <f>"PDB SPARES O LEVEL"</f>
        <v>PDB SPARES O LEVEL</v>
      </c>
      <c r="L2876">
        <v>-1</v>
      </c>
      <c r="M2876" t="str">
        <f>"יח"</f>
        <v>יח</v>
      </c>
      <c r="N2876">
        <v>-1</v>
      </c>
      <c r="O2876" t="str">
        <f>"יח"</f>
        <v>יח</v>
      </c>
      <c r="P2876" s="2">
        <v>6574</v>
      </c>
      <c r="Q2876" t="str">
        <f>"$"</f>
        <v>$</v>
      </c>
      <c r="R2876" t="str">
        <f>"הזמנה"</f>
        <v>הזמנה</v>
      </c>
      <c r="S2876">
        <v>0</v>
      </c>
      <c r="T2876" s="2">
        <v>-6574</v>
      </c>
      <c r="U2876">
        <v>0</v>
      </c>
      <c r="V2876" s="2">
        <v>-6574</v>
      </c>
      <c r="W2876" t="str">
        <f>"$"</f>
        <v>$</v>
      </c>
      <c r="X2876">
        <v>0</v>
      </c>
      <c r="Y2876">
        <v>0</v>
      </c>
      <c r="Z2876">
        <v>0</v>
      </c>
      <c r="AA2876" t="str">
        <f>"Y"</f>
        <v>Y</v>
      </c>
      <c r="AC2876">
        <v>0</v>
      </c>
      <c r="AM2876" t="str">
        <f>"10"</f>
        <v>10</v>
      </c>
      <c r="AN2876" t="str">
        <f>"500000"</f>
        <v>500000</v>
      </c>
      <c r="AO2876" t="str">
        <f>"הכנסות  מלקוחות"</f>
        <v>הכנסות  מלקוחות</v>
      </c>
      <c r="AQ2876" t="str">
        <f>"034"</f>
        <v>034</v>
      </c>
      <c r="AR2876">
        <v>0</v>
      </c>
      <c r="AS2876">
        <v>0</v>
      </c>
      <c r="AT2876">
        <v>3.2370000000000001</v>
      </c>
      <c r="BB2876" t="str">
        <f>"Y"</f>
        <v>Y</v>
      </c>
      <c r="BD2876" t="str">
        <f>"ערן שלו"</f>
        <v>ערן שלו</v>
      </c>
    </row>
    <row r="2877" spans="1:56" x14ac:dyDescent="0.3">
      <c r="A2877" s="1">
        <v>44248</v>
      </c>
      <c r="B2877" t="str">
        <f>"SI216000279"</f>
        <v>SI216000279</v>
      </c>
      <c r="C2877" t="str">
        <f>"PR19000750"</f>
        <v>PR19000750</v>
      </c>
      <c r="E2877" t="str">
        <f>"Y"</f>
        <v>Y</v>
      </c>
      <c r="F2877" t="str">
        <f>"חשבוניות מרכזות"</f>
        <v>חשבוניות מרכזות</v>
      </c>
      <c r="G2877" t="str">
        <f>"700065"</f>
        <v>700065</v>
      </c>
      <c r="H2877" t="str">
        <f>"אלתא מערכות בע""מ"</f>
        <v>אלתא מערכות בע"מ</v>
      </c>
      <c r="I2877" t="str">
        <f>"10"</f>
        <v>10</v>
      </c>
      <c r="J2877" t="str">
        <f>"OP-KT00099"</f>
        <v>OP-KT00099</v>
      </c>
      <c r="K2877" t="str">
        <f>"1037C837-001 - PDB SPARES I LEVEL"</f>
        <v>1037C837-001 - PDB SPARES I LEVEL</v>
      </c>
      <c r="L2877">
        <v>-1</v>
      </c>
      <c r="M2877" t="str">
        <f>"יח"</f>
        <v>יח</v>
      </c>
      <c r="N2877">
        <v>-1</v>
      </c>
      <c r="O2877" t="str">
        <f>"יח"</f>
        <v>יח</v>
      </c>
      <c r="P2877" s="2">
        <v>15240</v>
      </c>
      <c r="Q2877" t="str">
        <f>"$"</f>
        <v>$</v>
      </c>
      <c r="R2877" t="str">
        <f>"הזמנה"</f>
        <v>הזמנה</v>
      </c>
      <c r="S2877">
        <v>0</v>
      </c>
      <c r="T2877" s="2">
        <v>-15240</v>
      </c>
      <c r="U2877">
        <v>0</v>
      </c>
      <c r="V2877" s="2">
        <v>-15240</v>
      </c>
      <c r="W2877" t="str">
        <f>"$"</f>
        <v>$</v>
      </c>
      <c r="X2877">
        <v>0</v>
      </c>
      <c r="Y2877">
        <v>0</v>
      </c>
      <c r="Z2877">
        <v>0</v>
      </c>
      <c r="AA2877" t="str">
        <f>"Y"</f>
        <v>Y</v>
      </c>
      <c r="AC2877">
        <v>0</v>
      </c>
      <c r="AM2877" t="str">
        <f>"10"</f>
        <v>10</v>
      </c>
      <c r="AN2877" t="str">
        <f>"500000"</f>
        <v>500000</v>
      </c>
      <c r="AO2877" t="str">
        <f>"הכנסות  מלקוחות"</f>
        <v>הכנסות  מלקוחות</v>
      </c>
      <c r="AQ2877" t="str">
        <f>"034"</f>
        <v>034</v>
      </c>
      <c r="AR2877">
        <v>0</v>
      </c>
      <c r="AS2877">
        <v>0</v>
      </c>
      <c r="AT2877">
        <v>3.2370000000000001</v>
      </c>
      <c r="BB2877" t="str">
        <f>"Y"</f>
        <v>Y</v>
      </c>
      <c r="BD2877" t="str">
        <f>"ערן שלו"</f>
        <v>ערן שלו</v>
      </c>
    </row>
    <row r="2878" spans="1:56" x14ac:dyDescent="0.3">
      <c r="A2878" s="1">
        <v>44248</v>
      </c>
      <c r="B2878" t="str">
        <f>"SI216000233"</f>
        <v>SI216000233</v>
      </c>
      <c r="C2878" t="str">
        <f>"PR20000796"</f>
        <v>PR20000796</v>
      </c>
      <c r="E2878" t="str">
        <f>"Y"</f>
        <v>Y</v>
      </c>
      <c r="F2878" t="str">
        <f>"חשבוניות מרכזות"</f>
        <v>חשבוניות מרכזות</v>
      </c>
      <c r="G2878" t="str">
        <f>"700065"</f>
        <v>700065</v>
      </c>
      <c r="H2878" t="str">
        <f>"אלתא מערכות בע""מ"</f>
        <v>אלתא מערכות בע"מ</v>
      </c>
      <c r="I2878" t="str">
        <f>"10"</f>
        <v>10</v>
      </c>
      <c r="J2878" t="str">
        <f>"OP-AR02074"</f>
        <v>OP-AR02074</v>
      </c>
      <c r="K2878" t="str">
        <f>"1027H561-001/-  HARNESS WH001 - POWER TO PCU"</f>
        <v>1027H561-001/-  HARNESS WH001 - POWER TO PCU</v>
      </c>
      <c r="L2878">
        <v>1</v>
      </c>
      <c r="M2878" t="str">
        <f>"יח"</f>
        <v>יח</v>
      </c>
      <c r="N2878">
        <v>1</v>
      </c>
      <c r="O2878" t="str">
        <f>"יח"</f>
        <v>יח</v>
      </c>
      <c r="P2878">
        <v>723.59</v>
      </c>
      <c r="Q2878" t="str">
        <f>"$"</f>
        <v>$</v>
      </c>
      <c r="R2878" t="str">
        <f>"הזמנה"</f>
        <v>הזמנה</v>
      </c>
      <c r="S2878">
        <v>0</v>
      </c>
      <c r="T2878">
        <v>723.59</v>
      </c>
      <c r="U2878">
        <v>0</v>
      </c>
      <c r="V2878">
        <v>723.59</v>
      </c>
      <c r="W2878" t="str">
        <f>"$"</f>
        <v>$</v>
      </c>
      <c r="X2878">
        <v>0</v>
      </c>
      <c r="Y2878">
        <v>0</v>
      </c>
      <c r="Z2878">
        <v>0</v>
      </c>
      <c r="AA2878" t="str">
        <f>"Y"</f>
        <v>Y</v>
      </c>
      <c r="AC2878">
        <v>0</v>
      </c>
      <c r="AM2878" t="str">
        <f>"10"</f>
        <v>10</v>
      </c>
      <c r="AN2878" t="str">
        <f>"500000"</f>
        <v>500000</v>
      </c>
      <c r="AO2878" t="str">
        <f>"הכנסות  מלקוחות"</f>
        <v>הכנסות  מלקוחות</v>
      </c>
      <c r="AQ2878" t="str">
        <f>"034"</f>
        <v>034</v>
      </c>
      <c r="AR2878">
        <v>0</v>
      </c>
      <c r="AS2878">
        <v>0</v>
      </c>
      <c r="AT2878">
        <v>3.2370000000000001</v>
      </c>
      <c r="BB2878" t="str">
        <f>"Y"</f>
        <v>Y</v>
      </c>
      <c r="BD2878" t="str">
        <f>"ערן שלו"</f>
        <v>ערן שלו</v>
      </c>
    </row>
    <row r="2879" spans="1:56" x14ac:dyDescent="0.3">
      <c r="A2879" s="1">
        <v>44248</v>
      </c>
      <c r="B2879" t="str">
        <f>"SI216000233"</f>
        <v>SI216000233</v>
      </c>
      <c r="C2879" t="str">
        <f>"PR20000796"</f>
        <v>PR20000796</v>
      </c>
      <c r="E2879" t="str">
        <f>"Y"</f>
        <v>Y</v>
      </c>
      <c r="F2879" t="str">
        <f>"חשבוניות מרכזות"</f>
        <v>חשבוניות מרכזות</v>
      </c>
      <c r="G2879" t="str">
        <f>"700065"</f>
        <v>700065</v>
      </c>
      <c r="H2879" t="str">
        <f>"אלתא מערכות בע""מ"</f>
        <v>אלתא מערכות בע"מ</v>
      </c>
      <c r="I2879" t="str">
        <f>"10"</f>
        <v>10</v>
      </c>
      <c r="J2879" t="str">
        <f>"OP-AR02081"</f>
        <v>OP-AR02081</v>
      </c>
      <c r="K2879" t="str">
        <f>"1027H569-001/-  HARNESS WH009 - IFF POWER"</f>
        <v>1027H569-001/-  HARNESS WH009 - IFF POWER</v>
      </c>
      <c r="L2879">
        <v>1</v>
      </c>
      <c r="M2879" t="str">
        <f>"יח"</f>
        <v>יח</v>
      </c>
      <c r="N2879">
        <v>1</v>
      </c>
      <c r="O2879" t="str">
        <f>"יח"</f>
        <v>יח</v>
      </c>
      <c r="P2879">
        <v>251.51</v>
      </c>
      <c r="Q2879" t="str">
        <f>"$"</f>
        <v>$</v>
      </c>
      <c r="R2879" t="str">
        <f>"הזמנה"</f>
        <v>הזמנה</v>
      </c>
      <c r="S2879">
        <v>0</v>
      </c>
      <c r="T2879">
        <v>251.51</v>
      </c>
      <c r="U2879">
        <v>0</v>
      </c>
      <c r="V2879">
        <v>251.51</v>
      </c>
      <c r="W2879" t="str">
        <f>"$"</f>
        <v>$</v>
      </c>
      <c r="X2879">
        <v>0</v>
      </c>
      <c r="Y2879">
        <v>0</v>
      </c>
      <c r="Z2879">
        <v>0</v>
      </c>
      <c r="AA2879" t="str">
        <f>"Y"</f>
        <v>Y</v>
      </c>
      <c r="AC2879">
        <v>0</v>
      </c>
      <c r="AM2879" t="str">
        <f>"10"</f>
        <v>10</v>
      </c>
      <c r="AN2879" t="str">
        <f>"500000"</f>
        <v>500000</v>
      </c>
      <c r="AO2879" t="str">
        <f>"הכנסות  מלקוחות"</f>
        <v>הכנסות  מלקוחות</v>
      </c>
      <c r="AQ2879" t="str">
        <f>"034"</f>
        <v>034</v>
      </c>
      <c r="AR2879">
        <v>0</v>
      </c>
      <c r="AS2879">
        <v>0</v>
      </c>
      <c r="AT2879">
        <v>3.2370000000000001</v>
      </c>
      <c r="BB2879" t="str">
        <f>"Y"</f>
        <v>Y</v>
      </c>
      <c r="BD2879" t="str">
        <f>"ערן שלו"</f>
        <v>ערן שלו</v>
      </c>
    </row>
    <row r="2880" spans="1:56" x14ac:dyDescent="0.3">
      <c r="A2880" s="1">
        <v>44248</v>
      </c>
      <c r="B2880" t="str">
        <f>"SI216000232"</f>
        <v>SI216000232</v>
      </c>
      <c r="C2880" t="str">
        <f>"PR20000576"</f>
        <v>PR20000576</v>
      </c>
      <c r="E2880" t="str">
        <f>"Y"</f>
        <v>Y</v>
      </c>
      <c r="F2880" t="str">
        <f>"חשבוניות מרכזות"</f>
        <v>חשבוניות מרכזות</v>
      </c>
      <c r="G2880" t="str">
        <f>"700065"</f>
        <v>700065</v>
      </c>
      <c r="H2880" t="str">
        <f>"אלתא מערכות בע""מ"</f>
        <v>אלתא מערכות בע"מ</v>
      </c>
      <c r="I2880" t="str">
        <f>"10"</f>
        <v>10</v>
      </c>
      <c r="J2880" t="str">
        <f>"OP-KT00108"</f>
        <v>OP-KT00108</v>
      </c>
      <c r="K2880" t="str">
        <f>"VOLTAGE RECTIFIER UNIT מק""ט 1039H790-001"</f>
        <v>VOLTAGE RECTIFIER UNIT מק"ט 1039H790-001</v>
      </c>
      <c r="L2880">
        <v>5</v>
      </c>
      <c r="M2880" t="str">
        <f>"יח"</f>
        <v>יח</v>
      </c>
      <c r="N2880">
        <v>5</v>
      </c>
      <c r="O2880" t="str">
        <f>"יח"</f>
        <v>יח</v>
      </c>
      <c r="P2880" s="2">
        <v>6250</v>
      </c>
      <c r="Q2880" t="str">
        <f>"$"</f>
        <v>$</v>
      </c>
      <c r="R2880" t="str">
        <f>"הזמנה"</f>
        <v>הזמנה</v>
      </c>
      <c r="S2880">
        <v>0</v>
      </c>
      <c r="T2880" s="2">
        <v>31250</v>
      </c>
      <c r="U2880">
        <v>0</v>
      </c>
      <c r="V2880" s="2">
        <v>31250</v>
      </c>
      <c r="W2880" t="str">
        <f>"$"</f>
        <v>$</v>
      </c>
      <c r="X2880">
        <v>0</v>
      </c>
      <c r="Y2880">
        <v>0</v>
      </c>
      <c r="Z2880">
        <v>0</v>
      </c>
      <c r="AA2880" t="str">
        <f>"Y"</f>
        <v>Y</v>
      </c>
      <c r="AC2880">
        <v>0</v>
      </c>
      <c r="AM2880" t="str">
        <f>"10"</f>
        <v>10</v>
      </c>
      <c r="AN2880" t="str">
        <f>"500000"</f>
        <v>500000</v>
      </c>
      <c r="AO2880" t="str">
        <f>"הכנסות  מלקוחות"</f>
        <v>הכנסות  מלקוחות</v>
      </c>
      <c r="AQ2880" t="str">
        <f>"034"</f>
        <v>034</v>
      </c>
      <c r="AR2880">
        <v>0</v>
      </c>
      <c r="AS2880">
        <v>0</v>
      </c>
      <c r="AT2880">
        <v>3.2370000000000001</v>
      </c>
      <c r="BB2880" t="str">
        <f>"Y"</f>
        <v>Y</v>
      </c>
      <c r="BD2880" t="str">
        <f>"ערן שלו"</f>
        <v>ערן שלו</v>
      </c>
    </row>
    <row r="2881" spans="1:56" x14ac:dyDescent="0.3">
      <c r="A2881" s="1">
        <v>44248</v>
      </c>
      <c r="B2881" t="str">
        <f>"SI216000227"</f>
        <v>SI216000227</v>
      </c>
      <c r="C2881" t="str">
        <f>"PR20000791"</f>
        <v>PR20000791</v>
      </c>
      <c r="E2881" t="str">
        <f>"Y"</f>
        <v>Y</v>
      </c>
      <c r="F2881" t="str">
        <f>"חשבוניות מרכזות"</f>
        <v>חשבוניות מרכזות</v>
      </c>
      <c r="G2881" t="str">
        <f>"700065"</f>
        <v>700065</v>
      </c>
      <c r="H2881" t="str">
        <f>"אלתא מערכות בע""מ"</f>
        <v>אלתא מערכות בע"מ</v>
      </c>
      <c r="I2881" t="str">
        <f>"10"</f>
        <v>10</v>
      </c>
      <c r="J2881" t="str">
        <f>"OP-AR02069"</f>
        <v>OP-AR02069</v>
      </c>
      <c r="K2881" t="str">
        <f>"9004F465-001/A  CABLE GLINK"</f>
        <v>9004F465-001/A  CABLE GLINK</v>
      </c>
      <c r="L2881">
        <v>19</v>
      </c>
      <c r="M2881" t="str">
        <f>"יח"</f>
        <v>יח</v>
      </c>
      <c r="N2881">
        <v>19</v>
      </c>
      <c r="O2881" t="str">
        <f>"יח"</f>
        <v>יח</v>
      </c>
      <c r="P2881">
        <v>243.11</v>
      </c>
      <c r="Q2881" t="str">
        <f>"$"</f>
        <v>$</v>
      </c>
      <c r="R2881" t="str">
        <f>"הזמנה"</f>
        <v>הזמנה</v>
      </c>
      <c r="S2881">
        <v>0</v>
      </c>
      <c r="T2881" s="2">
        <v>4619.09</v>
      </c>
      <c r="U2881">
        <v>0</v>
      </c>
      <c r="V2881" s="2">
        <v>4619.09</v>
      </c>
      <c r="W2881" t="str">
        <f>"$"</f>
        <v>$</v>
      </c>
      <c r="X2881">
        <v>0</v>
      </c>
      <c r="Y2881">
        <v>0</v>
      </c>
      <c r="Z2881">
        <v>0</v>
      </c>
      <c r="AA2881" t="str">
        <f>"Y"</f>
        <v>Y</v>
      </c>
      <c r="AC2881">
        <v>0</v>
      </c>
      <c r="AM2881" t="str">
        <f>"10"</f>
        <v>10</v>
      </c>
      <c r="AN2881" t="str">
        <f>"500000"</f>
        <v>500000</v>
      </c>
      <c r="AO2881" t="str">
        <f>"הכנסות  מלקוחות"</f>
        <v>הכנסות  מלקוחות</v>
      </c>
      <c r="AQ2881" t="str">
        <f>"034"</f>
        <v>034</v>
      </c>
      <c r="AR2881">
        <v>0</v>
      </c>
      <c r="AS2881">
        <v>0</v>
      </c>
      <c r="AT2881">
        <v>3.2370000000000001</v>
      </c>
      <c r="BB2881" t="str">
        <f>"Y"</f>
        <v>Y</v>
      </c>
      <c r="BD2881" t="str">
        <f>"ערן שלו"</f>
        <v>ערן שלו</v>
      </c>
    </row>
    <row r="2882" spans="1:56" x14ac:dyDescent="0.3">
      <c r="A2882" s="1">
        <v>44248</v>
      </c>
      <c r="B2882" t="str">
        <f>"SI216000224"</f>
        <v>SI216000224</v>
      </c>
      <c r="C2882" t="str">
        <f>"PR19000750"</f>
        <v>PR19000750</v>
      </c>
      <c r="E2882" t="str">
        <f>"Y"</f>
        <v>Y</v>
      </c>
      <c r="F2882" t="str">
        <f>"חשבוניות מרכזות"</f>
        <v>חשבוניות מרכזות</v>
      </c>
      <c r="G2882" t="str">
        <f>"700065"</f>
        <v>700065</v>
      </c>
      <c r="H2882" t="str">
        <f>"אלתא מערכות בע""מ"</f>
        <v>אלתא מערכות בע"מ</v>
      </c>
      <c r="I2882" t="str">
        <f>"11"</f>
        <v>11</v>
      </c>
      <c r="J2882" t="str">
        <f>"OP-KT00096"</f>
        <v>OP-KT00096</v>
      </c>
      <c r="K2882" t="str">
        <f>"PDB SPARES O LEVEL"</f>
        <v>PDB SPARES O LEVEL</v>
      </c>
      <c r="L2882">
        <v>1</v>
      </c>
      <c r="M2882" t="str">
        <f>"יח"</f>
        <v>יח</v>
      </c>
      <c r="N2882">
        <v>1</v>
      </c>
      <c r="O2882" t="str">
        <f>"יח"</f>
        <v>יח</v>
      </c>
      <c r="P2882" s="2">
        <v>6574</v>
      </c>
      <c r="Q2882" t="str">
        <f>"$"</f>
        <v>$</v>
      </c>
      <c r="R2882" t="str">
        <f>"הזמנה"</f>
        <v>הזמנה</v>
      </c>
      <c r="S2882">
        <v>0</v>
      </c>
      <c r="T2882" s="2">
        <v>6574</v>
      </c>
      <c r="U2882">
        <v>0</v>
      </c>
      <c r="V2882" s="2">
        <v>6574</v>
      </c>
      <c r="W2882" t="str">
        <f>"$"</f>
        <v>$</v>
      </c>
      <c r="X2882">
        <v>0</v>
      </c>
      <c r="Y2882">
        <v>0</v>
      </c>
      <c r="Z2882">
        <v>0</v>
      </c>
      <c r="AA2882" t="str">
        <f>"Y"</f>
        <v>Y</v>
      </c>
      <c r="AC2882">
        <v>0</v>
      </c>
      <c r="AM2882" t="str">
        <f>"10"</f>
        <v>10</v>
      </c>
      <c r="AN2882" t="str">
        <f>"500000"</f>
        <v>500000</v>
      </c>
      <c r="AO2882" t="str">
        <f>"הכנסות  מלקוחות"</f>
        <v>הכנסות  מלקוחות</v>
      </c>
      <c r="AQ2882" t="str">
        <f>"034"</f>
        <v>034</v>
      </c>
      <c r="AR2882">
        <v>0</v>
      </c>
      <c r="AS2882">
        <v>0</v>
      </c>
      <c r="AT2882">
        <v>3.2370000000000001</v>
      </c>
      <c r="BB2882" t="str">
        <f>"Y"</f>
        <v>Y</v>
      </c>
      <c r="BD2882" t="str">
        <f>"ערן שלו"</f>
        <v>ערן שלו</v>
      </c>
    </row>
    <row r="2883" spans="1:56" x14ac:dyDescent="0.3">
      <c r="A2883" s="1">
        <v>44248</v>
      </c>
      <c r="B2883" t="str">
        <f>"SI216000224"</f>
        <v>SI216000224</v>
      </c>
      <c r="C2883" t="str">
        <f>"PR19000750"</f>
        <v>PR19000750</v>
      </c>
      <c r="E2883" t="str">
        <f>"Y"</f>
        <v>Y</v>
      </c>
      <c r="F2883" t="str">
        <f>"חשבוניות מרכזות"</f>
        <v>חשבוניות מרכזות</v>
      </c>
      <c r="G2883" t="str">
        <f>"700065"</f>
        <v>700065</v>
      </c>
      <c r="H2883" t="str">
        <f>"אלתא מערכות בע""מ"</f>
        <v>אלתא מערכות בע"מ</v>
      </c>
      <c r="I2883" t="str">
        <f>"10"</f>
        <v>10</v>
      </c>
      <c r="J2883" t="str">
        <f>"OP-KT00096"</f>
        <v>OP-KT00096</v>
      </c>
      <c r="K2883" t="str">
        <f>"PDB SPARES O LEVEL"</f>
        <v>PDB SPARES O LEVEL</v>
      </c>
      <c r="L2883">
        <v>1</v>
      </c>
      <c r="M2883" t="str">
        <f>"יח"</f>
        <v>יח</v>
      </c>
      <c r="N2883">
        <v>1</v>
      </c>
      <c r="O2883" t="str">
        <f>"יח"</f>
        <v>יח</v>
      </c>
      <c r="P2883" s="2">
        <v>6574</v>
      </c>
      <c r="Q2883" t="str">
        <f>"$"</f>
        <v>$</v>
      </c>
      <c r="R2883" t="str">
        <f>"הזמנה"</f>
        <v>הזמנה</v>
      </c>
      <c r="S2883">
        <v>0</v>
      </c>
      <c r="T2883" s="2">
        <v>6574</v>
      </c>
      <c r="U2883">
        <v>0</v>
      </c>
      <c r="V2883" s="2">
        <v>6574</v>
      </c>
      <c r="W2883" t="str">
        <f>"$"</f>
        <v>$</v>
      </c>
      <c r="X2883">
        <v>0</v>
      </c>
      <c r="Y2883">
        <v>0</v>
      </c>
      <c r="Z2883">
        <v>0</v>
      </c>
      <c r="AA2883" t="str">
        <f>"Y"</f>
        <v>Y</v>
      </c>
      <c r="AC2883">
        <v>0</v>
      </c>
      <c r="AM2883" t="str">
        <f>"10"</f>
        <v>10</v>
      </c>
      <c r="AN2883" t="str">
        <f>"500000"</f>
        <v>500000</v>
      </c>
      <c r="AO2883" t="str">
        <f>"הכנסות  מלקוחות"</f>
        <v>הכנסות  מלקוחות</v>
      </c>
      <c r="AQ2883" t="str">
        <f>"034"</f>
        <v>034</v>
      </c>
      <c r="AR2883">
        <v>0</v>
      </c>
      <c r="AS2883">
        <v>0</v>
      </c>
      <c r="AT2883">
        <v>3.2370000000000001</v>
      </c>
      <c r="BB2883" t="str">
        <f>"Y"</f>
        <v>Y</v>
      </c>
      <c r="BD2883" t="str">
        <f>"ערן שלו"</f>
        <v>ערן שלו</v>
      </c>
    </row>
    <row r="2884" spans="1:56" x14ac:dyDescent="0.3">
      <c r="A2884" s="1">
        <v>44248</v>
      </c>
      <c r="B2884" t="str">
        <f>"SI216000224"</f>
        <v>SI216000224</v>
      </c>
      <c r="C2884" t="str">
        <f>"PR19000750"</f>
        <v>PR19000750</v>
      </c>
      <c r="E2884" t="str">
        <f>"Y"</f>
        <v>Y</v>
      </c>
      <c r="F2884" t="str">
        <f>"חשבוניות מרכזות"</f>
        <v>חשבוניות מרכזות</v>
      </c>
      <c r="G2884" t="str">
        <f>"700065"</f>
        <v>700065</v>
      </c>
      <c r="H2884" t="str">
        <f>"אלתא מערכות בע""מ"</f>
        <v>אלתא מערכות בע"מ</v>
      </c>
      <c r="I2884" t="str">
        <f>"10"</f>
        <v>10</v>
      </c>
      <c r="J2884" t="str">
        <f>"OP-KT00099"</f>
        <v>OP-KT00099</v>
      </c>
      <c r="K2884" t="str">
        <f>"1037C837-001 - PDB SPARES I LEVEL"</f>
        <v>1037C837-001 - PDB SPARES I LEVEL</v>
      </c>
      <c r="L2884">
        <v>1</v>
      </c>
      <c r="M2884" t="str">
        <f>"יח"</f>
        <v>יח</v>
      </c>
      <c r="N2884">
        <v>1</v>
      </c>
      <c r="O2884" t="str">
        <f>"יח"</f>
        <v>יח</v>
      </c>
      <c r="P2884" s="2">
        <v>15240</v>
      </c>
      <c r="Q2884" t="str">
        <f>"$"</f>
        <v>$</v>
      </c>
      <c r="R2884" t="str">
        <f>"הזמנה"</f>
        <v>הזמנה</v>
      </c>
      <c r="S2884">
        <v>0</v>
      </c>
      <c r="T2884" s="2">
        <v>15240</v>
      </c>
      <c r="U2884">
        <v>0</v>
      </c>
      <c r="V2884" s="2">
        <v>15240</v>
      </c>
      <c r="W2884" t="str">
        <f>"$"</f>
        <v>$</v>
      </c>
      <c r="X2884">
        <v>0</v>
      </c>
      <c r="Y2884">
        <v>0</v>
      </c>
      <c r="Z2884">
        <v>0</v>
      </c>
      <c r="AA2884" t="str">
        <f>"Y"</f>
        <v>Y</v>
      </c>
      <c r="AC2884">
        <v>0</v>
      </c>
      <c r="AM2884" t="str">
        <f>"10"</f>
        <v>10</v>
      </c>
      <c r="AN2884" t="str">
        <f>"500000"</f>
        <v>500000</v>
      </c>
      <c r="AO2884" t="str">
        <f>"הכנסות  מלקוחות"</f>
        <v>הכנסות  מלקוחות</v>
      </c>
      <c r="AQ2884" t="str">
        <f>"034"</f>
        <v>034</v>
      </c>
      <c r="AR2884">
        <v>0</v>
      </c>
      <c r="AS2884">
        <v>0</v>
      </c>
      <c r="AT2884">
        <v>3.2370000000000001</v>
      </c>
      <c r="BB2884" t="str">
        <f>"Y"</f>
        <v>Y</v>
      </c>
      <c r="BD2884" t="str">
        <f>"ערן שלו"</f>
        <v>ערן שלו</v>
      </c>
    </row>
    <row r="2885" spans="1:56" x14ac:dyDescent="0.3">
      <c r="A2885" s="1">
        <v>44248</v>
      </c>
      <c r="B2885" t="str">
        <f>"SI216000216"</f>
        <v>SI216000216</v>
      </c>
      <c r="C2885" t="str">
        <f>"PR20000789"</f>
        <v>PR20000789</v>
      </c>
      <c r="E2885" t="str">
        <f>"Y"</f>
        <v>Y</v>
      </c>
      <c r="F2885" t="str">
        <f>"חשבוניות מרכזות"</f>
        <v>חשבוניות מרכזות</v>
      </c>
      <c r="G2885" t="str">
        <f>"700065"</f>
        <v>700065</v>
      </c>
      <c r="H2885" t="str">
        <f>"אלתא מערכות בע""מ"</f>
        <v>אלתא מערכות בע"מ</v>
      </c>
      <c r="I2885" t="str">
        <f>"10"</f>
        <v>10</v>
      </c>
      <c r="J2885" t="str">
        <f>"OP-AR02089"</f>
        <v>OP-AR02089</v>
      </c>
      <c r="K2885" t="str">
        <f>"4045K511-001/-  CABLE CONT. SAAU for KALANIT"</f>
        <v>4045K511-001/-  CABLE CONT. SAAU for KALANIT</v>
      </c>
      <c r="L2885">
        <v>3</v>
      </c>
      <c r="M2885" t="str">
        <f>"יח"</f>
        <v>יח</v>
      </c>
      <c r="N2885">
        <v>3</v>
      </c>
      <c r="O2885" t="str">
        <f>"יח"</f>
        <v>יח</v>
      </c>
      <c r="P2885">
        <v>378.16</v>
      </c>
      <c r="Q2885" t="str">
        <f>"$"</f>
        <v>$</v>
      </c>
      <c r="R2885" t="str">
        <f>"הזמנה"</f>
        <v>הזמנה</v>
      </c>
      <c r="S2885">
        <v>0</v>
      </c>
      <c r="T2885" s="2">
        <v>1134.48</v>
      </c>
      <c r="U2885">
        <v>0</v>
      </c>
      <c r="V2885" s="2">
        <v>1134.48</v>
      </c>
      <c r="W2885" t="str">
        <f>"$"</f>
        <v>$</v>
      </c>
      <c r="X2885">
        <v>0</v>
      </c>
      <c r="Y2885">
        <v>0</v>
      </c>
      <c r="Z2885">
        <v>0</v>
      </c>
      <c r="AA2885" t="str">
        <f>"Y"</f>
        <v>Y</v>
      </c>
      <c r="AC2885">
        <v>0</v>
      </c>
      <c r="AM2885" t="str">
        <f>"10"</f>
        <v>10</v>
      </c>
      <c r="AN2885" t="str">
        <f>"500000"</f>
        <v>500000</v>
      </c>
      <c r="AO2885" t="str">
        <f>"הכנסות  מלקוחות"</f>
        <v>הכנסות  מלקוחות</v>
      </c>
      <c r="AQ2885" t="str">
        <f>"034"</f>
        <v>034</v>
      </c>
      <c r="AR2885">
        <v>0</v>
      </c>
      <c r="AS2885">
        <v>0</v>
      </c>
      <c r="AT2885">
        <v>3.2370000000000001</v>
      </c>
      <c r="BB2885" t="str">
        <f>"Y"</f>
        <v>Y</v>
      </c>
      <c r="BD2885" t="str">
        <f>"ערן שלו"</f>
        <v>ערן שלו</v>
      </c>
    </row>
    <row r="2886" spans="1:56" x14ac:dyDescent="0.3">
      <c r="A2886" s="1">
        <v>44248</v>
      </c>
      <c r="B2886" t="str">
        <f>"SI216000214"</f>
        <v>SI216000214</v>
      </c>
      <c r="C2886" t="str">
        <f>"PR20000667"</f>
        <v>PR20000667</v>
      </c>
      <c r="E2886" t="str">
        <f>"Y"</f>
        <v>Y</v>
      </c>
      <c r="F2886" t="str">
        <f>"חשבוניות מרכזות"</f>
        <v>חשבוניות מרכזות</v>
      </c>
      <c r="G2886" t="str">
        <f>"700065"</f>
        <v>700065</v>
      </c>
      <c r="H2886" t="str">
        <f>"אלתא מערכות בע""מ"</f>
        <v>אלתא מערכות בע"מ</v>
      </c>
      <c r="I2886" t="str">
        <f>"10"</f>
        <v>10</v>
      </c>
      <c r="J2886" t="str">
        <f>"OP-AR02036"</f>
        <v>OP-AR02036</v>
      </c>
      <c r="K2886" t="str">
        <f>"9003F003-001/A  HARNESS W9603 - ANT PRESS PNL AD"</f>
        <v>9003F003-001/A  HARNESS W9603 - ANT PRESS PNL AD</v>
      </c>
      <c r="L2886">
        <v>1</v>
      </c>
      <c r="M2886" t="str">
        <f>"יח"</f>
        <v>יח</v>
      </c>
      <c r="N2886">
        <v>1</v>
      </c>
      <c r="O2886" t="str">
        <f>"יח"</f>
        <v>יח</v>
      </c>
      <c r="P2886">
        <v>830.78</v>
      </c>
      <c r="Q2886" t="str">
        <f>"$"</f>
        <v>$</v>
      </c>
      <c r="R2886" t="str">
        <f>"הזמנה"</f>
        <v>הזמנה</v>
      </c>
      <c r="S2886">
        <v>0</v>
      </c>
      <c r="T2886">
        <v>830.78</v>
      </c>
      <c r="U2886">
        <v>0</v>
      </c>
      <c r="V2886">
        <v>830.78</v>
      </c>
      <c r="W2886" t="str">
        <f>"$"</f>
        <v>$</v>
      </c>
      <c r="X2886">
        <v>0</v>
      </c>
      <c r="Y2886">
        <v>0</v>
      </c>
      <c r="Z2886">
        <v>0</v>
      </c>
      <c r="AA2886" t="str">
        <f>"Y"</f>
        <v>Y</v>
      </c>
      <c r="AC2886">
        <v>0</v>
      </c>
      <c r="AM2886" t="str">
        <f>"10"</f>
        <v>10</v>
      </c>
      <c r="AN2886" t="str">
        <f>"500000"</f>
        <v>500000</v>
      </c>
      <c r="AO2886" t="str">
        <f>"הכנסות  מלקוחות"</f>
        <v>הכנסות  מלקוחות</v>
      </c>
      <c r="AQ2886" t="str">
        <f>"034"</f>
        <v>034</v>
      </c>
      <c r="AR2886">
        <v>0</v>
      </c>
      <c r="AS2886">
        <v>0</v>
      </c>
      <c r="AT2886">
        <v>3.2370000000000001</v>
      </c>
      <c r="BB2886" t="str">
        <f>"Y"</f>
        <v>Y</v>
      </c>
      <c r="BD2886" t="str">
        <f>"ערן שלו"</f>
        <v>ערן שלו</v>
      </c>
    </row>
    <row r="2887" spans="1:56" x14ac:dyDescent="0.3">
      <c r="A2887" s="1">
        <v>44245</v>
      </c>
      <c r="B2887" t="str">
        <f>"SI216000306"</f>
        <v>SI216000306</v>
      </c>
      <c r="C2887" t="str">
        <f>"PR20000667"</f>
        <v>PR20000667</v>
      </c>
      <c r="E2887" t="str">
        <f>"Y"</f>
        <v>Y</v>
      </c>
      <c r="F2887" t="str">
        <f>"חשבוניות מרכזות"</f>
        <v>חשבוניות מרכזות</v>
      </c>
      <c r="G2887" t="str">
        <f>"700065"</f>
        <v>700065</v>
      </c>
      <c r="H2887" t="str">
        <f>"אלתא מערכות בע""מ"</f>
        <v>אלתא מערכות בע"מ</v>
      </c>
      <c r="I2887" t="str">
        <f>"10"</f>
        <v>10</v>
      </c>
      <c r="J2887" t="str">
        <f>"OP-AR02036"</f>
        <v>OP-AR02036</v>
      </c>
      <c r="K2887" t="str">
        <f>"9003F003-001/A  HARNESS W9603 - ANT PRESS PNL AD"</f>
        <v>9003F003-001/A  HARNESS W9603 - ANT PRESS PNL AD</v>
      </c>
      <c r="L2887">
        <v>1</v>
      </c>
      <c r="M2887" t="str">
        <f>"יח"</f>
        <v>יח</v>
      </c>
      <c r="N2887">
        <v>1</v>
      </c>
      <c r="O2887" t="str">
        <f>"יח"</f>
        <v>יח</v>
      </c>
      <c r="P2887">
        <v>830.78</v>
      </c>
      <c r="Q2887" t="str">
        <f>"$"</f>
        <v>$</v>
      </c>
      <c r="R2887" t="str">
        <f>"הזמנה"</f>
        <v>הזמנה</v>
      </c>
      <c r="S2887">
        <v>0</v>
      </c>
      <c r="T2887">
        <v>830.78</v>
      </c>
      <c r="U2887">
        <v>0</v>
      </c>
      <c r="V2887">
        <v>830.78</v>
      </c>
      <c r="W2887" t="str">
        <f>"$"</f>
        <v>$</v>
      </c>
      <c r="X2887">
        <v>0</v>
      </c>
      <c r="Y2887">
        <v>0</v>
      </c>
      <c r="Z2887">
        <v>0</v>
      </c>
      <c r="AA2887" t="str">
        <f>"Y"</f>
        <v>Y</v>
      </c>
      <c r="AB2887" t="str">
        <f>"SO20000431"</f>
        <v>SO20000431</v>
      </c>
      <c r="AC2887">
        <v>1</v>
      </c>
      <c r="AD2887" s="1">
        <v>44097</v>
      </c>
      <c r="AE2887" t="str">
        <f>"SH21000264"</f>
        <v>SH21000264</v>
      </c>
      <c r="AF2887" t="str">
        <f>"משלוחים ללקוח"</f>
        <v>משלוחים ללקוח</v>
      </c>
      <c r="AG2887" s="1">
        <v>44242</v>
      </c>
      <c r="AM2887" t="str">
        <f>"10"</f>
        <v>10</v>
      </c>
      <c r="AN2887" t="str">
        <f>"500000"</f>
        <v>500000</v>
      </c>
      <c r="AO2887" t="str">
        <f>"הכנסות  מלקוחות"</f>
        <v>הכנסות  מלקוחות</v>
      </c>
      <c r="AQ2887" t="str">
        <f>"034"</f>
        <v>034</v>
      </c>
      <c r="AR2887">
        <v>0</v>
      </c>
      <c r="AS2887">
        <v>0</v>
      </c>
      <c r="AT2887">
        <v>3.2650000000000001</v>
      </c>
      <c r="AX2887" t="str">
        <f>"E000321546"</f>
        <v>E000321546</v>
      </c>
      <c r="BD2887" t="str">
        <f>"ערן שלו"</f>
        <v>ערן שלו</v>
      </c>
    </row>
    <row r="2888" spans="1:56" x14ac:dyDescent="0.3">
      <c r="A2888" s="1">
        <v>44245</v>
      </c>
      <c r="B2888" t="str">
        <f>"SI216000305"</f>
        <v>SI216000305</v>
      </c>
      <c r="C2888" t="str">
        <f>"PR20000789"</f>
        <v>PR20000789</v>
      </c>
      <c r="D2888" t="str">
        <f>"PR20000789"</f>
        <v>PR20000789</v>
      </c>
      <c r="E2888" t="str">
        <f>"Y"</f>
        <v>Y</v>
      </c>
      <c r="F2888" t="str">
        <f>"חשבוניות מרכזות"</f>
        <v>חשבוניות מרכזות</v>
      </c>
      <c r="G2888" t="str">
        <f>"700065"</f>
        <v>700065</v>
      </c>
      <c r="H2888" t="str">
        <f>"אלתא מערכות בע""מ"</f>
        <v>אלתא מערכות בע"מ</v>
      </c>
      <c r="I2888" t="str">
        <f>"10"</f>
        <v>10</v>
      </c>
      <c r="J2888" t="str">
        <f>"OP-AR02089"</f>
        <v>OP-AR02089</v>
      </c>
      <c r="K2888" t="str">
        <f>"4045K511-001/-  CABLE CONT. SAAU for KALANIT"</f>
        <v>4045K511-001/-  CABLE CONT. SAAU for KALANIT</v>
      </c>
      <c r="L2888">
        <v>3</v>
      </c>
      <c r="M2888" t="str">
        <f>"יח"</f>
        <v>יח</v>
      </c>
      <c r="N2888">
        <v>3</v>
      </c>
      <c r="O2888" t="str">
        <f>"יח"</f>
        <v>יח</v>
      </c>
      <c r="P2888">
        <v>378.16</v>
      </c>
      <c r="Q2888" t="str">
        <f>"$"</f>
        <v>$</v>
      </c>
      <c r="R2888" t="str">
        <f>"הזמנה"</f>
        <v>הזמנה</v>
      </c>
      <c r="S2888">
        <v>0</v>
      </c>
      <c r="T2888" s="2">
        <v>1134.48</v>
      </c>
      <c r="U2888">
        <v>0</v>
      </c>
      <c r="V2888" s="2">
        <v>1134.48</v>
      </c>
      <c r="W2888" t="str">
        <f>"$"</f>
        <v>$</v>
      </c>
      <c r="X2888">
        <v>0</v>
      </c>
      <c r="Y2888">
        <v>0</v>
      </c>
      <c r="Z2888">
        <v>0</v>
      </c>
      <c r="AA2888" t="str">
        <f>"Y"</f>
        <v>Y</v>
      </c>
      <c r="AB2888" t="str">
        <f>"SO20000518"</f>
        <v>SO20000518</v>
      </c>
      <c r="AC2888">
        <v>4</v>
      </c>
      <c r="AD2888" s="1">
        <v>44145</v>
      </c>
      <c r="AE2888" t="str">
        <f>"SH21000263"</f>
        <v>SH21000263</v>
      </c>
      <c r="AF2888" t="str">
        <f>"משלוחים ללקוח"</f>
        <v>משלוחים ללקוח</v>
      </c>
      <c r="AG2888" s="1">
        <v>44242</v>
      </c>
      <c r="AM2888" t="str">
        <f>"10"</f>
        <v>10</v>
      </c>
      <c r="AN2888" t="str">
        <f>"500000"</f>
        <v>500000</v>
      </c>
      <c r="AO2888" t="str">
        <f>"הכנסות  מלקוחות"</f>
        <v>הכנסות  מלקוחות</v>
      </c>
      <c r="AQ2888" t="str">
        <f>"034"</f>
        <v>034</v>
      </c>
      <c r="AR2888">
        <v>0</v>
      </c>
      <c r="AS2888">
        <v>0</v>
      </c>
      <c r="AT2888">
        <v>3.2650000000000001</v>
      </c>
      <c r="AX2888" t="str">
        <f>"E000324732"</f>
        <v>E000324732</v>
      </c>
      <c r="BD2888" t="str">
        <f>"ערן שלו"</f>
        <v>ערן שלו</v>
      </c>
    </row>
    <row r="2889" spans="1:56" x14ac:dyDescent="0.3">
      <c r="A2889" s="1">
        <v>44245</v>
      </c>
      <c r="B2889" t="str">
        <f>"SI216000304"</f>
        <v>SI216000304</v>
      </c>
      <c r="C2889" t="str">
        <f>"PR20000499"</f>
        <v>PR20000499</v>
      </c>
      <c r="D2889" t="str">
        <f>"PR20000499"</f>
        <v>PR20000499</v>
      </c>
      <c r="E2889" t="str">
        <f>"Y"</f>
        <v>Y</v>
      </c>
      <c r="F2889" t="str">
        <f>"חשבוניות מרכזות"</f>
        <v>חשבוניות מרכזות</v>
      </c>
      <c r="G2889" t="str">
        <f>"700065"</f>
        <v>700065</v>
      </c>
      <c r="H2889" t="str">
        <f>"אלתא מערכות בע""מ"</f>
        <v>אלתא מערכות בע"מ</v>
      </c>
      <c r="I2889" t="str">
        <f>"10"</f>
        <v>10</v>
      </c>
      <c r="J2889" t="str">
        <f>"OP-AR01919"</f>
        <v>OP-AR01919</v>
      </c>
      <c r="K2889" t="str">
        <f>"1013P130-003 CABLE ASSY 1W47"</f>
        <v>1013P130-003 CABLE ASSY 1W47</v>
      </c>
      <c r="L2889">
        <v>1</v>
      </c>
      <c r="M2889" t="str">
        <f>"יח"</f>
        <v>יח</v>
      </c>
      <c r="N2889">
        <v>1</v>
      </c>
      <c r="O2889" t="str">
        <f>"יח"</f>
        <v>יח</v>
      </c>
      <c r="P2889" s="2">
        <v>2303.2800000000002</v>
      </c>
      <c r="Q2889" t="str">
        <f>"$"</f>
        <v>$</v>
      </c>
      <c r="R2889" t="str">
        <f>"הזמנה"</f>
        <v>הזמנה</v>
      </c>
      <c r="S2889">
        <v>0</v>
      </c>
      <c r="T2889" s="2">
        <v>2303.2800000000002</v>
      </c>
      <c r="U2889">
        <v>0</v>
      </c>
      <c r="V2889" s="2">
        <v>2303.2800000000002</v>
      </c>
      <c r="W2889" t="str">
        <f>"$"</f>
        <v>$</v>
      </c>
      <c r="X2889">
        <v>0</v>
      </c>
      <c r="Y2889">
        <v>0</v>
      </c>
      <c r="Z2889">
        <v>0</v>
      </c>
      <c r="AA2889" t="str">
        <f>"Y"</f>
        <v>Y</v>
      </c>
      <c r="AB2889" t="str">
        <f>"SO20000305"</f>
        <v>SO20000305</v>
      </c>
      <c r="AC2889">
        <v>14</v>
      </c>
      <c r="AD2889" s="1">
        <v>44031</v>
      </c>
      <c r="AE2889" t="str">
        <f>"SH21000298"</f>
        <v>SH21000298</v>
      </c>
      <c r="AF2889" t="str">
        <f>"משלוחים ללקוח"</f>
        <v>משלוחים ללקוח</v>
      </c>
      <c r="AG2889" s="1">
        <v>44244</v>
      </c>
      <c r="AM2889" t="str">
        <f>"10"</f>
        <v>10</v>
      </c>
      <c r="AN2889" t="str">
        <f>"500000"</f>
        <v>500000</v>
      </c>
      <c r="AO2889" t="str">
        <f>"הכנסות  מלקוחות"</f>
        <v>הכנסות  מלקוחות</v>
      </c>
      <c r="AQ2889" t="str">
        <f>"034"</f>
        <v>034</v>
      </c>
      <c r="AR2889">
        <v>0</v>
      </c>
      <c r="AS2889">
        <v>0</v>
      </c>
      <c r="AT2889">
        <v>3.2650000000000001</v>
      </c>
      <c r="AX2889" t="str">
        <f>"E000315878"</f>
        <v>E000315878</v>
      </c>
      <c r="BD2889" t="str">
        <f>"ערן שלו"</f>
        <v>ערן שלו</v>
      </c>
    </row>
    <row r="2890" spans="1:56" x14ac:dyDescent="0.3">
      <c r="A2890" s="1">
        <v>44245</v>
      </c>
      <c r="B2890" t="str">
        <f>"SI216000303"</f>
        <v>SI216000303</v>
      </c>
      <c r="C2890" t="str">
        <f>"PR20000620"</f>
        <v>PR20000620</v>
      </c>
      <c r="D2890" t="str">
        <f>"PR20000620"</f>
        <v>PR20000620</v>
      </c>
      <c r="E2890" t="str">
        <f>"Y"</f>
        <v>Y</v>
      </c>
      <c r="F2890" t="str">
        <f>"חשבוניות מרכזות"</f>
        <v>חשבוניות מרכזות</v>
      </c>
      <c r="G2890" t="str">
        <f>"700065"</f>
        <v>700065</v>
      </c>
      <c r="H2890" t="str">
        <f>"אלתא מערכות בע""מ"</f>
        <v>אלתא מערכות בע"מ</v>
      </c>
      <c r="I2890" t="str">
        <f>"10"</f>
        <v>10</v>
      </c>
      <c r="J2890" t="str">
        <f>"OP-AR02005"</f>
        <v>OP-AR02005</v>
      </c>
      <c r="K2890" t="str">
        <f>"1023W809-001/B    W9-SAFETY SWITCH CABLE"</f>
        <v>1023W809-001/B    W9-SAFETY SWITCH CABLE</v>
      </c>
      <c r="L2890">
        <v>1</v>
      </c>
      <c r="M2890" t="str">
        <f>"יח"</f>
        <v>יח</v>
      </c>
      <c r="N2890">
        <v>1</v>
      </c>
      <c r="O2890" t="str">
        <f>"יח"</f>
        <v>יח</v>
      </c>
      <c r="P2890">
        <v>736.73</v>
      </c>
      <c r="Q2890" t="str">
        <f>"$"</f>
        <v>$</v>
      </c>
      <c r="R2890" t="str">
        <f>"הזמנה"</f>
        <v>הזמנה</v>
      </c>
      <c r="S2890">
        <v>0</v>
      </c>
      <c r="T2890">
        <v>736.73</v>
      </c>
      <c r="U2890">
        <v>0</v>
      </c>
      <c r="V2890">
        <v>736.73</v>
      </c>
      <c r="W2890" t="str">
        <f>"$"</f>
        <v>$</v>
      </c>
      <c r="X2890">
        <v>0</v>
      </c>
      <c r="Y2890">
        <v>0</v>
      </c>
      <c r="Z2890">
        <v>0</v>
      </c>
      <c r="AA2890" t="str">
        <f>"Y"</f>
        <v>Y</v>
      </c>
      <c r="AB2890" t="str">
        <f>"SO20000409"</f>
        <v>SO20000409</v>
      </c>
      <c r="AC2890">
        <v>1</v>
      </c>
      <c r="AD2890" s="1">
        <v>44082</v>
      </c>
      <c r="AE2890" t="str">
        <f>"SH21000267"</f>
        <v>SH21000267</v>
      </c>
      <c r="AF2890" t="str">
        <f>"משלוחים ללקוח"</f>
        <v>משלוחים ללקוח</v>
      </c>
      <c r="AG2890" s="1">
        <v>44242</v>
      </c>
      <c r="AM2890" t="str">
        <f>"10"</f>
        <v>10</v>
      </c>
      <c r="AN2890" t="str">
        <f>"500000"</f>
        <v>500000</v>
      </c>
      <c r="AO2890" t="str">
        <f>"הכנסות  מלקוחות"</f>
        <v>הכנסות  מלקוחות</v>
      </c>
      <c r="AQ2890" t="str">
        <f>"034"</f>
        <v>034</v>
      </c>
      <c r="AR2890">
        <v>0</v>
      </c>
      <c r="AS2890">
        <v>0</v>
      </c>
      <c r="AT2890">
        <v>3.2650000000000001</v>
      </c>
      <c r="AX2890" t="str">
        <f>"E000320341"</f>
        <v>E000320341</v>
      </c>
      <c r="BD2890" t="str">
        <f>"ערן שלו"</f>
        <v>ערן שלו</v>
      </c>
    </row>
    <row r="2891" spans="1:56" x14ac:dyDescent="0.3">
      <c r="A2891" s="1">
        <v>44245</v>
      </c>
      <c r="B2891" t="str">
        <f>"SI216000303"</f>
        <v>SI216000303</v>
      </c>
      <c r="C2891" t="str">
        <f>"PR20000620"</f>
        <v>PR20000620</v>
      </c>
      <c r="D2891" t="str">
        <f>"PR20000620"</f>
        <v>PR20000620</v>
      </c>
      <c r="E2891" t="str">
        <f>"Y"</f>
        <v>Y</v>
      </c>
      <c r="F2891" t="str">
        <f>"חשבוניות מרכזות"</f>
        <v>חשבוניות מרכזות</v>
      </c>
      <c r="G2891" t="str">
        <f>"700065"</f>
        <v>700065</v>
      </c>
      <c r="H2891" t="str">
        <f>"אלתא מערכות בע""מ"</f>
        <v>אלתא מערכות בע"מ</v>
      </c>
      <c r="I2891" t="str">
        <f>"10"</f>
        <v>10</v>
      </c>
      <c r="J2891" t="str">
        <f>"OP-AR02011"</f>
        <v>OP-AR02011</v>
      </c>
      <c r="K2891" t="str">
        <f>"1025Y804-001/-   W4- TX CONT CABLE"</f>
        <v>1025Y804-001/-   W4- TX CONT CABLE</v>
      </c>
      <c r="L2891">
        <v>2</v>
      </c>
      <c r="M2891" t="str">
        <f>"יח"</f>
        <v>יח</v>
      </c>
      <c r="N2891">
        <v>2</v>
      </c>
      <c r="O2891" t="str">
        <f>"יח"</f>
        <v>יח</v>
      </c>
      <c r="P2891">
        <v>609.04</v>
      </c>
      <c r="Q2891" t="str">
        <f>"$"</f>
        <v>$</v>
      </c>
      <c r="R2891" t="str">
        <f>"הזמנה"</f>
        <v>הזמנה</v>
      </c>
      <c r="S2891">
        <v>0</v>
      </c>
      <c r="T2891" s="2">
        <v>1218.08</v>
      </c>
      <c r="U2891">
        <v>0</v>
      </c>
      <c r="V2891" s="2">
        <v>1218.08</v>
      </c>
      <c r="W2891" t="str">
        <f>"$"</f>
        <v>$</v>
      </c>
      <c r="X2891">
        <v>0</v>
      </c>
      <c r="Y2891">
        <v>0</v>
      </c>
      <c r="Z2891">
        <v>0</v>
      </c>
      <c r="AA2891" t="str">
        <f>"Y"</f>
        <v>Y</v>
      </c>
      <c r="AB2891" t="str">
        <f>"SO20000409"</f>
        <v>SO20000409</v>
      </c>
      <c r="AC2891">
        <v>8</v>
      </c>
      <c r="AD2891" s="1">
        <v>44082</v>
      </c>
      <c r="AE2891" t="str">
        <f>"SH21000267"</f>
        <v>SH21000267</v>
      </c>
      <c r="AF2891" t="str">
        <f>"משלוחים ללקוח"</f>
        <v>משלוחים ללקוח</v>
      </c>
      <c r="AG2891" s="1">
        <v>44242</v>
      </c>
      <c r="AM2891" t="str">
        <f>"10"</f>
        <v>10</v>
      </c>
      <c r="AN2891" t="str">
        <f>"500000"</f>
        <v>500000</v>
      </c>
      <c r="AO2891" t="str">
        <f>"הכנסות  מלקוחות"</f>
        <v>הכנסות  מלקוחות</v>
      </c>
      <c r="AQ2891" t="str">
        <f>"034"</f>
        <v>034</v>
      </c>
      <c r="AR2891">
        <v>0</v>
      </c>
      <c r="AS2891">
        <v>0</v>
      </c>
      <c r="AT2891">
        <v>3.2650000000000001</v>
      </c>
      <c r="AX2891" t="str">
        <f>"E000320341"</f>
        <v>E000320341</v>
      </c>
      <c r="BD2891" t="str">
        <f>"ערן שלו"</f>
        <v>ערן שלו</v>
      </c>
    </row>
    <row r="2892" spans="1:56" x14ac:dyDescent="0.3">
      <c r="A2892" s="1">
        <v>44245</v>
      </c>
      <c r="B2892" t="str">
        <f>"SI216000303"</f>
        <v>SI216000303</v>
      </c>
      <c r="C2892" t="str">
        <f>"PR20000620"</f>
        <v>PR20000620</v>
      </c>
      <c r="D2892" t="str">
        <f>"PR20000620"</f>
        <v>PR20000620</v>
      </c>
      <c r="E2892" t="str">
        <f>"Y"</f>
        <v>Y</v>
      </c>
      <c r="F2892" t="str">
        <f>"חשבוניות מרכזות"</f>
        <v>חשבוניות מרכזות</v>
      </c>
      <c r="G2892" t="str">
        <f>"700065"</f>
        <v>700065</v>
      </c>
      <c r="H2892" t="str">
        <f>"אלתא מערכות בע""מ"</f>
        <v>אלתא מערכות בע"מ</v>
      </c>
      <c r="I2892" t="str">
        <f>"10"</f>
        <v>10</v>
      </c>
      <c r="J2892" t="str">
        <f>"OP-AR02012"</f>
        <v>OP-AR02012</v>
      </c>
      <c r="K2892" t="str">
        <f>"1023W802-001/C   W2-POWER SUPLLY CABLE ASSY"</f>
        <v>1023W802-001/C   W2-POWER SUPLLY CABLE ASSY</v>
      </c>
      <c r="L2892">
        <v>2</v>
      </c>
      <c r="M2892" t="str">
        <f>"יח"</f>
        <v>יח</v>
      </c>
      <c r="N2892">
        <v>2</v>
      </c>
      <c r="O2892" t="str">
        <f>"יח"</f>
        <v>יח</v>
      </c>
      <c r="P2892">
        <v>586.88</v>
      </c>
      <c r="Q2892" t="str">
        <f>"$"</f>
        <v>$</v>
      </c>
      <c r="R2892" t="str">
        <f>"הזמנה"</f>
        <v>הזמנה</v>
      </c>
      <c r="S2892">
        <v>0</v>
      </c>
      <c r="T2892" s="2">
        <v>1173.76</v>
      </c>
      <c r="U2892">
        <v>0</v>
      </c>
      <c r="V2892" s="2">
        <v>1173.76</v>
      </c>
      <c r="W2892" t="str">
        <f>"$"</f>
        <v>$</v>
      </c>
      <c r="X2892">
        <v>0</v>
      </c>
      <c r="Y2892">
        <v>0</v>
      </c>
      <c r="Z2892">
        <v>0</v>
      </c>
      <c r="AA2892" t="str">
        <f>"Y"</f>
        <v>Y</v>
      </c>
      <c r="AB2892" t="str">
        <f>"SO20000409"</f>
        <v>SO20000409</v>
      </c>
      <c r="AC2892">
        <v>9</v>
      </c>
      <c r="AD2892" s="1">
        <v>44082</v>
      </c>
      <c r="AE2892" t="str">
        <f>"SH21000267"</f>
        <v>SH21000267</v>
      </c>
      <c r="AF2892" t="str">
        <f>"משלוחים ללקוח"</f>
        <v>משלוחים ללקוח</v>
      </c>
      <c r="AG2892" s="1">
        <v>44242</v>
      </c>
      <c r="AM2892" t="str">
        <f>"10"</f>
        <v>10</v>
      </c>
      <c r="AN2892" t="str">
        <f>"500000"</f>
        <v>500000</v>
      </c>
      <c r="AO2892" t="str">
        <f>"הכנסות  מלקוחות"</f>
        <v>הכנסות  מלקוחות</v>
      </c>
      <c r="AQ2892" t="str">
        <f>"034"</f>
        <v>034</v>
      </c>
      <c r="AR2892">
        <v>0</v>
      </c>
      <c r="AS2892">
        <v>0</v>
      </c>
      <c r="AT2892">
        <v>3.2650000000000001</v>
      </c>
      <c r="AX2892" t="str">
        <f>"E000320341"</f>
        <v>E000320341</v>
      </c>
      <c r="BD2892" t="str">
        <f>"ערן שלו"</f>
        <v>ערן שלו</v>
      </c>
    </row>
    <row r="2893" spans="1:56" x14ac:dyDescent="0.3">
      <c r="A2893" s="1">
        <v>44245</v>
      </c>
      <c r="B2893" t="str">
        <f>"SI216000303"</f>
        <v>SI216000303</v>
      </c>
      <c r="C2893" t="str">
        <f>"PR20000620"</f>
        <v>PR20000620</v>
      </c>
      <c r="D2893" t="str">
        <f>"PR20000620"</f>
        <v>PR20000620</v>
      </c>
      <c r="E2893" t="str">
        <f>"Y"</f>
        <v>Y</v>
      </c>
      <c r="F2893" t="str">
        <f>"חשבוניות מרכזות"</f>
        <v>חשבוניות מרכזות</v>
      </c>
      <c r="G2893" t="str">
        <f>"700065"</f>
        <v>700065</v>
      </c>
      <c r="H2893" t="str">
        <f>"אלתא מערכות בע""מ"</f>
        <v>אלתא מערכות בע"מ</v>
      </c>
      <c r="I2893" t="str">
        <f>"10"</f>
        <v>10</v>
      </c>
      <c r="J2893" t="str">
        <f>"OP-AR02013"</f>
        <v>OP-AR02013</v>
      </c>
      <c r="K2893" t="str">
        <f>"1023W801-001/B   W1 - AZ DATA CABLE"</f>
        <v>1023W801-001/B   W1 - AZ DATA CABLE</v>
      </c>
      <c r="L2893">
        <v>4</v>
      </c>
      <c r="M2893" t="str">
        <f>"יח"</f>
        <v>יח</v>
      </c>
      <c r="N2893">
        <v>4</v>
      </c>
      <c r="O2893" t="str">
        <f>"יח"</f>
        <v>יח</v>
      </c>
      <c r="P2893">
        <v>682.34</v>
      </c>
      <c r="Q2893" t="str">
        <f>"$"</f>
        <v>$</v>
      </c>
      <c r="R2893" t="str">
        <f>"הזמנה"</f>
        <v>הזמנה</v>
      </c>
      <c r="S2893">
        <v>0</v>
      </c>
      <c r="T2893" s="2">
        <v>2729.36</v>
      </c>
      <c r="U2893">
        <v>0</v>
      </c>
      <c r="V2893" s="2">
        <v>2729.36</v>
      </c>
      <c r="W2893" t="str">
        <f>"$"</f>
        <v>$</v>
      </c>
      <c r="X2893">
        <v>0</v>
      </c>
      <c r="Y2893">
        <v>0</v>
      </c>
      <c r="Z2893">
        <v>0</v>
      </c>
      <c r="AA2893" t="str">
        <f>"Y"</f>
        <v>Y</v>
      </c>
      <c r="AB2893" t="str">
        <f>"SO20000409"</f>
        <v>SO20000409</v>
      </c>
      <c r="AC2893">
        <v>10</v>
      </c>
      <c r="AD2893" s="1">
        <v>44082</v>
      </c>
      <c r="AE2893" t="str">
        <f>"SH21000267"</f>
        <v>SH21000267</v>
      </c>
      <c r="AF2893" t="str">
        <f>"משלוחים ללקוח"</f>
        <v>משלוחים ללקוח</v>
      </c>
      <c r="AG2893" s="1">
        <v>44242</v>
      </c>
      <c r="AM2893" t="str">
        <f>"10"</f>
        <v>10</v>
      </c>
      <c r="AN2893" t="str">
        <f>"500000"</f>
        <v>500000</v>
      </c>
      <c r="AO2893" t="str">
        <f>"הכנסות  מלקוחות"</f>
        <v>הכנסות  מלקוחות</v>
      </c>
      <c r="AQ2893" t="str">
        <f>"034"</f>
        <v>034</v>
      </c>
      <c r="AR2893">
        <v>0</v>
      </c>
      <c r="AS2893">
        <v>0</v>
      </c>
      <c r="AT2893">
        <v>3.2650000000000001</v>
      </c>
      <c r="AX2893" t="str">
        <f>"E000320341"</f>
        <v>E000320341</v>
      </c>
      <c r="BD2893" t="str">
        <f>"ערן שלו"</f>
        <v>ערן שלו</v>
      </c>
    </row>
    <row r="2894" spans="1:56" x14ac:dyDescent="0.3">
      <c r="A2894" s="1">
        <v>44245</v>
      </c>
      <c r="B2894" t="str">
        <f>"SI216000303"</f>
        <v>SI216000303</v>
      </c>
      <c r="C2894" t="str">
        <f>"PR20000620"</f>
        <v>PR20000620</v>
      </c>
      <c r="D2894" t="str">
        <f>"PR20000620"</f>
        <v>PR20000620</v>
      </c>
      <c r="E2894" t="str">
        <f>"Y"</f>
        <v>Y</v>
      </c>
      <c r="F2894" t="str">
        <f>"חשבוניות מרכזות"</f>
        <v>חשבוניות מרכזות</v>
      </c>
      <c r="G2894" t="str">
        <f>"700065"</f>
        <v>700065</v>
      </c>
      <c r="H2894" t="str">
        <f>"אלתא מערכות בע""מ"</f>
        <v>אלתא מערכות בע"מ</v>
      </c>
      <c r="I2894" t="str">
        <f>"10"</f>
        <v>10</v>
      </c>
      <c r="J2894" t="str">
        <f>"OP-AR02014"</f>
        <v>OP-AR02014</v>
      </c>
      <c r="K2894" t="str">
        <f>"1017C867-001/B   CABLE 220VAC ARRESTOR/RACK W7"</f>
        <v>1017C867-001/B   CABLE 220VAC ARRESTOR/RACK W7</v>
      </c>
      <c r="L2894">
        <v>1</v>
      </c>
      <c r="M2894" t="str">
        <f>"יח"</f>
        <v>יח</v>
      </c>
      <c r="N2894">
        <v>1</v>
      </c>
      <c r="O2894" t="str">
        <f>"יח"</f>
        <v>יח</v>
      </c>
      <c r="P2894">
        <v>642.54</v>
      </c>
      <c r="Q2894" t="str">
        <f>"$"</f>
        <v>$</v>
      </c>
      <c r="R2894" t="str">
        <f>"הזמנה"</f>
        <v>הזמנה</v>
      </c>
      <c r="S2894">
        <v>0</v>
      </c>
      <c r="T2894">
        <v>642.54</v>
      </c>
      <c r="U2894">
        <v>0</v>
      </c>
      <c r="V2894">
        <v>642.54</v>
      </c>
      <c r="W2894" t="str">
        <f>"$"</f>
        <v>$</v>
      </c>
      <c r="X2894">
        <v>0</v>
      </c>
      <c r="Y2894">
        <v>0</v>
      </c>
      <c r="Z2894">
        <v>0</v>
      </c>
      <c r="AA2894" t="str">
        <f>"Y"</f>
        <v>Y</v>
      </c>
      <c r="AB2894" t="str">
        <f>"SO20000409"</f>
        <v>SO20000409</v>
      </c>
      <c r="AC2894">
        <v>11</v>
      </c>
      <c r="AD2894" s="1">
        <v>44082</v>
      </c>
      <c r="AE2894" t="str">
        <f>"SH21000267"</f>
        <v>SH21000267</v>
      </c>
      <c r="AF2894" t="str">
        <f>"משלוחים ללקוח"</f>
        <v>משלוחים ללקוח</v>
      </c>
      <c r="AG2894" s="1">
        <v>44242</v>
      </c>
      <c r="AM2894" t="str">
        <f>"10"</f>
        <v>10</v>
      </c>
      <c r="AN2894" t="str">
        <f>"500000"</f>
        <v>500000</v>
      </c>
      <c r="AO2894" t="str">
        <f>"הכנסות  מלקוחות"</f>
        <v>הכנסות  מלקוחות</v>
      </c>
      <c r="AQ2894" t="str">
        <f>"034"</f>
        <v>034</v>
      </c>
      <c r="AR2894">
        <v>0</v>
      </c>
      <c r="AS2894">
        <v>0</v>
      </c>
      <c r="AT2894">
        <v>3.2650000000000001</v>
      </c>
      <c r="AX2894" t="str">
        <f>"E000320341"</f>
        <v>E000320341</v>
      </c>
      <c r="BD2894" t="str">
        <f>"ערן שלו"</f>
        <v>ערן שלו</v>
      </c>
    </row>
    <row r="2895" spans="1:56" x14ac:dyDescent="0.3">
      <c r="A2895" s="1">
        <v>44245</v>
      </c>
      <c r="B2895" t="str">
        <f>"SI216000302"</f>
        <v>SI216000302</v>
      </c>
      <c r="C2895" t="str">
        <f>"PR20000796"</f>
        <v>PR20000796</v>
      </c>
      <c r="D2895" t="str">
        <f>"PR20000796"</f>
        <v>PR20000796</v>
      </c>
      <c r="E2895" t="str">
        <f>"Y"</f>
        <v>Y</v>
      </c>
      <c r="F2895" t="str">
        <f>"חשבוניות מרכזות"</f>
        <v>חשבוניות מרכזות</v>
      </c>
      <c r="G2895" t="str">
        <f>"700065"</f>
        <v>700065</v>
      </c>
      <c r="H2895" t="str">
        <f>"אלתא מערכות בע""מ"</f>
        <v>אלתא מערכות בע"מ</v>
      </c>
      <c r="I2895" t="str">
        <f>"10"</f>
        <v>10</v>
      </c>
      <c r="J2895" t="str">
        <f>"OP-AR02075"</f>
        <v>OP-AR02075</v>
      </c>
      <c r="K2895" t="str">
        <f>"1027H562-001/-  HARNESS WH002 - POWER TO MOTOR"</f>
        <v>1027H562-001/-  HARNESS WH002 - POWER TO MOTOR</v>
      </c>
      <c r="L2895">
        <v>1</v>
      </c>
      <c r="M2895" t="str">
        <f>"יח"</f>
        <v>יח</v>
      </c>
      <c r="N2895">
        <v>1</v>
      </c>
      <c r="O2895" t="str">
        <f>"יח"</f>
        <v>יח</v>
      </c>
      <c r="P2895">
        <v>606.66999999999996</v>
      </c>
      <c r="Q2895" t="str">
        <f>"$"</f>
        <v>$</v>
      </c>
      <c r="R2895" t="str">
        <f>"הזמנה"</f>
        <v>הזמנה</v>
      </c>
      <c r="S2895">
        <v>0</v>
      </c>
      <c r="T2895">
        <v>606.66999999999996</v>
      </c>
      <c r="U2895">
        <v>0</v>
      </c>
      <c r="V2895">
        <v>606.66999999999996</v>
      </c>
      <c r="W2895" t="str">
        <f>"$"</f>
        <v>$</v>
      </c>
      <c r="X2895">
        <v>0</v>
      </c>
      <c r="Y2895">
        <v>0</v>
      </c>
      <c r="Z2895">
        <v>0</v>
      </c>
      <c r="AA2895" t="str">
        <f>"Y"</f>
        <v>Y</v>
      </c>
      <c r="AB2895" t="str">
        <f>"SO20000523"</f>
        <v>SO20000523</v>
      </c>
      <c r="AC2895">
        <v>2</v>
      </c>
      <c r="AD2895" s="1">
        <v>44147</v>
      </c>
      <c r="AE2895" t="str">
        <f>"SH21000260"</f>
        <v>SH21000260</v>
      </c>
      <c r="AF2895" t="str">
        <f>"משלוחים ללקוח"</f>
        <v>משלוחים ללקוח</v>
      </c>
      <c r="AG2895" s="1">
        <v>44242</v>
      </c>
      <c r="AM2895" t="str">
        <f>"10"</f>
        <v>10</v>
      </c>
      <c r="AN2895" t="str">
        <f>"500000"</f>
        <v>500000</v>
      </c>
      <c r="AO2895" t="str">
        <f>"הכנסות  מלקוחות"</f>
        <v>הכנסות  מלקוחות</v>
      </c>
      <c r="AQ2895" t="str">
        <f>"034"</f>
        <v>034</v>
      </c>
      <c r="AR2895">
        <v>0</v>
      </c>
      <c r="AS2895">
        <v>0</v>
      </c>
      <c r="AT2895">
        <v>3.2650000000000001</v>
      </c>
      <c r="AX2895" t="str">
        <f>"E000325831"</f>
        <v>E000325831</v>
      </c>
      <c r="BD2895" t="str">
        <f>"ערן שלו"</f>
        <v>ערן שלו</v>
      </c>
    </row>
    <row r="2896" spans="1:56" x14ac:dyDescent="0.3">
      <c r="A2896" s="1">
        <v>44245</v>
      </c>
      <c r="B2896" t="str">
        <f>"SI216000302"</f>
        <v>SI216000302</v>
      </c>
      <c r="C2896" t="str">
        <f>"PR20000796"</f>
        <v>PR20000796</v>
      </c>
      <c r="D2896" t="str">
        <f>"PR20000796"</f>
        <v>PR20000796</v>
      </c>
      <c r="E2896" t="str">
        <f>"Y"</f>
        <v>Y</v>
      </c>
      <c r="F2896" t="str">
        <f>"חשבוניות מרכזות"</f>
        <v>חשבוניות מרכזות</v>
      </c>
      <c r="G2896" t="str">
        <f>"700065"</f>
        <v>700065</v>
      </c>
      <c r="H2896" t="str">
        <f>"אלתא מערכות בע""מ"</f>
        <v>אלתא מערכות בע"מ</v>
      </c>
      <c r="I2896" t="str">
        <f>"10"</f>
        <v>10</v>
      </c>
      <c r="J2896" t="str">
        <f>"OP-AR02077"</f>
        <v>OP-AR02077</v>
      </c>
      <c r="K2896" t="str">
        <f>"1027H564-001/-  HARNESS WH004 - PCU TO MEASURING"</f>
        <v>1027H564-001/-  HARNESS WH004 - PCU TO MEASURING</v>
      </c>
      <c r="L2896">
        <v>1</v>
      </c>
      <c r="M2896" t="str">
        <f>"יח"</f>
        <v>יח</v>
      </c>
      <c r="N2896">
        <v>1</v>
      </c>
      <c r="O2896" t="str">
        <f>"יח"</f>
        <v>יח</v>
      </c>
      <c r="P2896">
        <v>539.36</v>
      </c>
      <c r="Q2896" t="str">
        <f>"$"</f>
        <v>$</v>
      </c>
      <c r="R2896" t="str">
        <f>"הזמנה"</f>
        <v>הזמנה</v>
      </c>
      <c r="S2896">
        <v>0</v>
      </c>
      <c r="T2896">
        <v>539.36</v>
      </c>
      <c r="U2896">
        <v>0</v>
      </c>
      <c r="V2896">
        <v>539.36</v>
      </c>
      <c r="W2896" t="str">
        <f>"$"</f>
        <v>$</v>
      </c>
      <c r="X2896">
        <v>0</v>
      </c>
      <c r="Y2896">
        <v>0</v>
      </c>
      <c r="Z2896">
        <v>0</v>
      </c>
      <c r="AA2896" t="str">
        <f>"Y"</f>
        <v>Y</v>
      </c>
      <c r="AB2896" t="str">
        <f>"SO20000523"</f>
        <v>SO20000523</v>
      </c>
      <c r="AC2896">
        <v>4</v>
      </c>
      <c r="AD2896" s="1">
        <v>44147</v>
      </c>
      <c r="AE2896" t="str">
        <f>"SH21000260"</f>
        <v>SH21000260</v>
      </c>
      <c r="AF2896" t="str">
        <f>"משלוחים ללקוח"</f>
        <v>משלוחים ללקוח</v>
      </c>
      <c r="AG2896" s="1">
        <v>44242</v>
      </c>
      <c r="AM2896" t="str">
        <f>"10"</f>
        <v>10</v>
      </c>
      <c r="AN2896" t="str">
        <f>"500000"</f>
        <v>500000</v>
      </c>
      <c r="AO2896" t="str">
        <f>"הכנסות  מלקוחות"</f>
        <v>הכנסות  מלקוחות</v>
      </c>
      <c r="AQ2896" t="str">
        <f>"034"</f>
        <v>034</v>
      </c>
      <c r="AR2896">
        <v>0</v>
      </c>
      <c r="AS2896">
        <v>0</v>
      </c>
      <c r="AT2896">
        <v>3.2650000000000001</v>
      </c>
      <c r="AX2896" t="str">
        <f>"E000325831"</f>
        <v>E000325831</v>
      </c>
      <c r="BD2896" t="str">
        <f>"ערן שלו"</f>
        <v>ערן שלו</v>
      </c>
    </row>
    <row r="2897" spans="1:56" x14ac:dyDescent="0.3">
      <c r="A2897" s="1">
        <v>44245</v>
      </c>
      <c r="B2897" t="str">
        <f>"SI216000302"</f>
        <v>SI216000302</v>
      </c>
      <c r="C2897" t="str">
        <f>"PR20000796"</f>
        <v>PR20000796</v>
      </c>
      <c r="D2897" t="str">
        <f>"PR20000796"</f>
        <v>PR20000796</v>
      </c>
      <c r="E2897" t="str">
        <f>"Y"</f>
        <v>Y</v>
      </c>
      <c r="F2897" t="str">
        <f>"חשבוניות מרכזות"</f>
        <v>חשבוניות מרכזות</v>
      </c>
      <c r="G2897" t="str">
        <f>"700065"</f>
        <v>700065</v>
      </c>
      <c r="H2897" t="str">
        <f>"אלתא מערכות בע""מ"</f>
        <v>אלתא מערכות בע"מ</v>
      </c>
      <c r="I2897" t="str">
        <f>"10"</f>
        <v>10</v>
      </c>
      <c r="J2897" t="str">
        <f>"OP-AR02083"</f>
        <v>OP-AR02083</v>
      </c>
      <c r="K2897" t="str">
        <f>"1027H571-001/-  HARNESS WH011 - IFF ETH TO PEDES"</f>
        <v>1027H571-001/-  HARNESS WH011 - IFF ETH TO PEDES</v>
      </c>
      <c r="L2897">
        <v>1</v>
      </c>
      <c r="M2897" t="str">
        <f>"יח"</f>
        <v>יח</v>
      </c>
      <c r="N2897">
        <v>1</v>
      </c>
      <c r="O2897" t="str">
        <f>"יח"</f>
        <v>יח</v>
      </c>
      <c r="P2897">
        <v>271.39</v>
      </c>
      <c r="Q2897" t="str">
        <f>"$"</f>
        <v>$</v>
      </c>
      <c r="R2897" t="str">
        <f>"הזמנה"</f>
        <v>הזמנה</v>
      </c>
      <c r="S2897">
        <v>0</v>
      </c>
      <c r="T2897">
        <v>271.39</v>
      </c>
      <c r="U2897">
        <v>0</v>
      </c>
      <c r="V2897">
        <v>271.39</v>
      </c>
      <c r="W2897" t="str">
        <f>"$"</f>
        <v>$</v>
      </c>
      <c r="X2897">
        <v>0</v>
      </c>
      <c r="Y2897">
        <v>0</v>
      </c>
      <c r="Z2897">
        <v>0</v>
      </c>
      <c r="AA2897" t="str">
        <f>"Y"</f>
        <v>Y</v>
      </c>
      <c r="AB2897" t="str">
        <f>"SO20000523"</f>
        <v>SO20000523</v>
      </c>
      <c r="AC2897">
        <v>10</v>
      </c>
      <c r="AD2897" s="1">
        <v>44147</v>
      </c>
      <c r="AE2897" t="str">
        <f>"SH21000260"</f>
        <v>SH21000260</v>
      </c>
      <c r="AF2897" t="str">
        <f>"משלוחים ללקוח"</f>
        <v>משלוחים ללקוח</v>
      </c>
      <c r="AG2897" s="1">
        <v>44242</v>
      </c>
      <c r="AM2897" t="str">
        <f>"10"</f>
        <v>10</v>
      </c>
      <c r="AN2897" t="str">
        <f>"500000"</f>
        <v>500000</v>
      </c>
      <c r="AO2897" t="str">
        <f>"הכנסות  מלקוחות"</f>
        <v>הכנסות  מלקוחות</v>
      </c>
      <c r="AQ2897" t="str">
        <f>"034"</f>
        <v>034</v>
      </c>
      <c r="AR2897">
        <v>0</v>
      </c>
      <c r="AS2897">
        <v>0</v>
      </c>
      <c r="AT2897">
        <v>3.2650000000000001</v>
      </c>
      <c r="AX2897" t="str">
        <f>"E000325831"</f>
        <v>E000325831</v>
      </c>
      <c r="BD2897" t="str">
        <f>"ערן שלו"</f>
        <v>ערן שלו</v>
      </c>
    </row>
    <row r="2898" spans="1:56" x14ac:dyDescent="0.3">
      <c r="A2898" s="1">
        <v>44245</v>
      </c>
      <c r="B2898" t="str">
        <f>"SI216000301"</f>
        <v>SI216000301</v>
      </c>
      <c r="C2898" t="str">
        <f>"PR20000533"</f>
        <v>PR20000533</v>
      </c>
      <c r="D2898" t="str">
        <f>"PR20000533"</f>
        <v>PR20000533</v>
      </c>
      <c r="E2898" t="str">
        <f>"Y"</f>
        <v>Y</v>
      </c>
      <c r="F2898" t="str">
        <f>"חשבוניות מרכזות"</f>
        <v>חשבוניות מרכזות</v>
      </c>
      <c r="G2898" t="str">
        <f>"700065"</f>
        <v>700065</v>
      </c>
      <c r="H2898" t="str">
        <f>"אלתא מערכות בע""מ"</f>
        <v>אלתא מערכות בע"מ</v>
      </c>
      <c r="I2898" t="str">
        <f>"10"</f>
        <v>10</v>
      </c>
      <c r="J2898" t="str">
        <f>"OP-AR01954"</f>
        <v>OP-AR01954</v>
      </c>
      <c r="K2898" t="str">
        <f>"1031B015-001/- - CABLE ASSY W015"</f>
        <v>1031B015-001/- - CABLE ASSY W015</v>
      </c>
      <c r="L2898">
        <v>1</v>
      </c>
      <c r="M2898" t="str">
        <f>"יח"</f>
        <v>יח</v>
      </c>
      <c r="N2898">
        <v>1</v>
      </c>
      <c r="O2898" t="str">
        <f>"יח"</f>
        <v>יח</v>
      </c>
      <c r="P2898" s="2">
        <v>1628</v>
      </c>
      <c r="Q2898" t="str">
        <f>"$"</f>
        <v>$</v>
      </c>
      <c r="R2898" t="str">
        <f>"הזמנה"</f>
        <v>הזמנה</v>
      </c>
      <c r="S2898">
        <v>0</v>
      </c>
      <c r="T2898" s="2">
        <v>1628</v>
      </c>
      <c r="U2898">
        <v>0</v>
      </c>
      <c r="V2898" s="2">
        <v>1628</v>
      </c>
      <c r="W2898" t="str">
        <f>"$"</f>
        <v>$</v>
      </c>
      <c r="X2898">
        <v>0</v>
      </c>
      <c r="Y2898">
        <v>0</v>
      </c>
      <c r="Z2898">
        <v>0</v>
      </c>
      <c r="AA2898" t="str">
        <f>"Y"</f>
        <v>Y</v>
      </c>
      <c r="AB2898" t="str">
        <f>"SO20000319"</f>
        <v>SO20000319</v>
      </c>
      <c r="AC2898">
        <v>12</v>
      </c>
      <c r="AD2898" s="1">
        <v>44034</v>
      </c>
      <c r="AE2898" t="str">
        <f>"SH21000265"</f>
        <v>SH21000265</v>
      </c>
      <c r="AF2898" t="str">
        <f>"משלוחים ללקוח"</f>
        <v>משלוחים ללקוח</v>
      </c>
      <c r="AG2898" s="1">
        <v>44242</v>
      </c>
      <c r="AM2898" t="str">
        <f>"10"</f>
        <v>10</v>
      </c>
      <c r="AN2898" t="str">
        <f>"500000"</f>
        <v>500000</v>
      </c>
      <c r="AO2898" t="str">
        <f>"הכנסות  מלקוחות"</f>
        <v>הכנסות  מלקוחות</v>
      </c>
      <c r="AQ2898" t="str">
        <f>"034"</f>
        <v>034</v>
      </c>
      <c r="AR2898">
        <v>0</v>
      </c>
      <c r="AS2898">
        <v>0</v>
      </c>
      <c r="AT2898">
        <v>3.2650000000000001</v>
      </c>
      <c r="AX2898" t="str">
        <f>"E000316766"</f>
        <v>E000316766</v>
      </c>
      <c r="BD2898" t="str">
        <f>"ערן שלו"</f>
        <v>ערן שלו</v>
      </c>
    </row>
    <row r="2899" spans="1:56" x14ac:dyDescent="0.3">
      <c r="A2899" s="1">
        <v>44245</v>
      </c>
      <c r="B2899" t="str">
        <f>"SI216000300"</f>
        <v>SI216000300</v>
      </c>
      <c r="C2899" t="str">
        <f>"PR18000543"</f>
        <v>PR18000543</v>
      </c>
      <c r="E2899" t="str">
        <f>"Y"</f>
        <v>Y</v>
      </c>
      <c r="F2899" t="str">
        <f>"חשבוניות מרכזות"</f>
        <v>חשבוניות מרכזות</v>
      </c>
      <c r="G2899" t="str">
        <f>"700065"</f>
        <v>700065</v>
      </c>
      <c r="H2899" t="str">
        <f>"אלתא מערכות בע""מ"</f>
        <v>אלתא מערכות בע"מ</v>
      </c>
      <c r="I2899" t="str">
        <f>"10"</f>
        <v>10</v>
      </c>
      <c r="J2899" t="str">
        <f>"OP-AR01083"</f>
        <v>OP-AR01083</v>
      </c>
      <c r="K2899" t="str">
        <f>"1036C960-001 HVJB_N"</f>
        <v>1036C960-001 HVJB_N</v>
      </c>
      <c r="L2899">
        <v>5</v>
      </c>
      <c r="M2899" t="str">
        <f>"יח"</f>
        <v>יח</v>
      </c>
      <c r="N2899">
        <v>5</v>
      </c>
      <c r="O2899" t="str">
        <f>"יח"</f>
        <v>יח</v>
      </c>
      <c r="P2899" s="2">
        <v>6000</v>
      </c>
      <c r="Q2899" t="str">
        <f>"$"</f>
        <v>$</v>
      </c>
      <c r="R2899" t="str">
        <f>"הזמנה"</f>
        <v>הזמנה</v>
      </c>
      <c r="S2899">
        <v>0</v>
      </c>
      <c r="T2899" s="2">
        <v>30000</v>
      </c>
      <c r="U2899">
        <v>0</v>
      </c>
      <c r="V2899" s="2">
        <v>30000</v>
      </c>
      <c r="W2899" t="str">
        <f>"$"</f>
        <v>$</v>
      </c>
      <c r="X2899">
        <v>0</v>
      </c>
      <c r="Y2899">
        <v>0</v>
      </c>
      <c r="Z2899">
        <v>0</v>
      </c>
      <c r="AA2899" t="str">
        <f>"Y"</f>
        <v>Y</v>
      </c>
      <c r="AB2899" t="str">
        <f>"SO19000320"</f>
        <v>SO19000320</v>
      </c>
      <c r="AC2899">
        <v>8</v>
      </c>
      <c r="AD2899" s="1">
        <v>43667</v>
      </c>
      <c r="AE2899" t="str">
        <f>"SH21000299"</f>
        <v>SH21000299</v>
      </c>
      <c r="AF2899" t="str">
        <f>"משלוחים ללקוח"</f>
        <v>משלוחים ללקוח</v>
      </c>
      <c r="AG2899" s="1">
        <v>44244</v>
      </c>
      <c r="AM2899" t="str">
        <f>"10"</f>
        <v>10</v>
      </c>
      <c r="AN2899" t="str">
        <f>"500000"</f>
        <v>500000</v>
      </c>
      <c r="AO2899" t="str">
        <f>"הכנסות  מלקוחות"</f>
        <v>הכנסות  מלקוחות</v>
      </c>
      <c r="AQ2899" t="str">
        <f>"034"</f>
        <v>034</v>
      </c>
      <c r="AR2899">
        <v>0</v>
      </c>
      <c r="AS2899">
        <v>0</v>
      </c>
      <c r="AT2899">
        <v>3.2650000000000001</v>
      </c>
      <c r="AX2899" t="str">
        <f>"E000290709"</f>
        <v>E000290709</v>
      </c>
      <c r="BD2899" t="str">
        <f>"ערן שלו"</f>
        <v>ערן שלו</v>
      </c>
    </row>
    <row r="2900" spans="1:56" x14ac:dyDescent="0.3">
      <c r="A2900" s="1">
        <v>44245</v>
      </c>
      <c r="B2900" t="str">
        <f>"SI216000300"</f>
        <v>SI216000300</v>
      </c>
      <c r="C2900" t="str">
        <f>"PR18000543"</f>
        <v>PR18000543</v>
      </c>
      <c r="E2900" t="str">
        <f>"Y"</f>
        <v>Y</v>
      </c>
      <c r="F2900" t="str">
        <f>"חשבוניות מרכזות"</f>
        <v>חשבוניות מרכזות</v>
      </c>
      <c r="G2900" t="str">
        <f>"700065"</f>
        <v>700065</v>
      </c>
      <c r="H2900" t="str">
        <f>"אלתא מערכות בע""מ"</f>
        <v>אלתא מערכות בע"מ</v>
      </c>
      <c r="I2900" t="str">
        <f>"10"</f>
        <v>10</v>
      </c>
      <c r="J2900" t="str">
        <f>"OP-AR01083"</f>
        <v>OP-AR01083</v>
      </c>
      <c r="K2900" t="str">
        <f>"1036C960-001 HVJB_N"</f>
        <v>1036C960-001 HVJB_N</v>
      </c>
      <c r="L2900">
        <v>1</v>
      </c>
      <c r="M2900" t="str">
        <f>"יח"</f>
        <v>יח</v>
      </c>
      <c r="N2900">
        <v>1</v>
      </c>
      <c r="O2900" t="str">
        <f>"יח"</f>
        <v>יח</v>
      </c>
      <c r="P2900" s="2">
        <v>6000</v>
      </c>
      <c r="Q2900" t="str">
        <f>"$"</f>
        <v>$</v>
      </c>
      <c r="R2900" t="str">
        <f>"הזמנה"</f>
        <v>הזמנה</v>
      </c>
      <c r="S2900">
        <v>0</v>
      </c>
      <c r="T2900" s="2">
        <v>6000</v>
      </c>
      <c r="U2900">
        <v>0</v>
      </c>
      <c r="V2900" s="2">
        <v>6000</v>
      </c>
      <c r="W2900" t="str">
        <f>"$"</f>
        <v>$</v>
      </c>
      <c r="X2900">
        <v>0</v>
      </c>
      <c r="Y2900">
        <v>0</v>
      </c>
      <c r="Z2900">
        <v>0</v>
      </c>
      <c r="AA2900" t="str">
        <f>"Y"</f>
        <v>Y</v>
      </c>
      <c r="AB2900" t="str">
        <f>"SO19000320"</f>
        <v>SO19000320</v>
      </c>
      <c r="AC2900">
        <v>9</v>
      </c>
      <c r="AD2900" s="1">
        <v>43667</v>
      </c>
      <c r="AE2900" t="str">
        <f>"SH21000299"</f>
        <v>SH21000299</v>
      </c>
      <c r="AF2900" t="str">
        <f>"משלוחים ללקוח"</f>
        <v>משלוחים ללקוח</v>
      </c>
      <c r="AG2900" s="1">
        <v>44244</v>
      </c>
      <c r="AM2900" t="str">
        <f>"10"</f>
        <v>10</v>
      </c>
      <c r="AN2900" t="str">
        <f>"500000"</f>
        <v>500000</v>
      </c>
      <c r="AO2900" t="str">
        <f>"הכנסות  מלקוחות"</f>
        <v>הכנסות  מלקוחות</v>
      </c>
      <c r="AQ2900" t="str">
        <f>"034"</f>
        <v>034</v>
      </c>
      <c r="AR2900">
        <v>0</v>
      </c>
      <c r="AS2900">
        <v>0</v>
      </c>
      <c r="AT2900">
        <v>3.2650000000000001</v>
      </c>
      <c r="AX2900" t="str">
        <f>"E000290709"</f>
        <v>E000290709</v>
      </c>
      <c r="BD2900" t="str">
        <f>"ערן שלו"</f>
        <v>ערן שלו</v>
      </c>
    </row>
    <row r="2901" spans="1:56" x14ac:dyDescent="0.3">
      <c r="A2901" s="1">
        <v>44245</v>
      </c>
      <c r="B2901" t="str">
        <f>"SI216000299"</f>
        <v>SI216000299</v>
      </c>
      <c r="C2901" t="str">
        <f>"PR20000796"</f>
        <v>PR20000796</v>
      </c>
      <c r="D2901" t="str">
        <f>"PR20000796"</f>
        <v>PR20000796</v>
      </c>
      <c r="E2901" t="str">
        <f>"Y"</f>
        <v>Y</v>
      </c>
      <c r="F2901" t="str">
        <f>"חשבוניות מרכזות"</f>
        <v>חשבוניות מרכזות</v>
      </c>
      <c r="G2901" t="str">
        <f>"700065"</f>
        <v>700065</v>
      </c>
      <c r="H2901" t="str">
        <f>"אלתא מערכות בע""מ"</f>
        <v>אלתא מערכות בע"מ</v>
      </c>
      <c r="I2901" t="str">
        <f>"10"</f>
        <v>10</v>
      </c>
      <c r="J2901" t="str">
        <f>"OP-AR02074"</f>
        <v>OP-AR02074</v>
      </c>
      <c r="K2901" t="str">
        <f>"1027H561-001/-  HARNESS WH001 - POWER TO PCU"</f>
        <v>1027H561-001/-  HARNESS WH001 - POWER TO PCU</v>
      </c>
      <c r="L2901">
        <v>1</v>
      </c>
      <c r="M2901" t="str">
        <f>"יח"</f>
        <v>יח</v>
      </c>
      <c r="N2901">
        <v>1</v>
      </c>
      <c r="O2901" t="str">
        <f>"יח"</f>
        <v>יח</v>
      </c>
      <c r="P2901">
        <v>723.59</v>
      </c>
      <c r="Q2901" t="str">
        <f>"$"</f>
        <v>$</v>
      </c>
      <c r="R2901" t="str">
        <f>"הזמנה"</f>
        <v>הזמנה</v>
      </c>
      <c r="S2901">
        <v>0</v>
      </c>
      <c r="T2901">
        <v>723.59</v>
      </c>
      <c r="U2901">
        <v>0</v>
      </c>
      <c r="V2901">
        <v>723.59</v>
      </c>
      <c r="W2901" t="str">
        <f>"$"</f>
        <v>$</v>
      </c>
      <c r="X2901">
        <v>0</v>
      </c>
      <c r="Y2901">
        <v>0</v>
      </c>
      <c r="Z2901">
        <v>0</v>
      </c>
      <c r="AA2901" t="str">
        <f>"Y"</f>
        <v>Y</v>
      </c>
      <c r="AB2901" t="str">
        <f>"SO20000523"</f>
        <v>SO20000523</v>
      </c>
      <c r="AC2901">
        <v>1</v>
      </c>
      <c r="AD2901" s="1">
        <v>44147</v>
      </c>
      <c r="AE2901" t="str">
        <f>"SH21000296"</f>
        <v>SH21000296</v>
      </c>
      <c r="AF2901" t="str">
        <f>"משלוחים ללקוח"</f>
        <v>משלוחים ללקוח</v>
      </c>
      <c r="AG2901" s="1">
        <v>44244</v>
      </c>
      <c r="AM2901" t="str">
        <f>"10"</f>
        <v>10</v>
      </c>
      <c r="AN2901" t="str">
        <f>"500000"</f>
        <v>500000</v>
      </c>
      <c r="AO2901" t="str">
        <f>"הכנסות  מלקוחות"</f>
        <v>הכנסות  מלקוחות</v>
      </c>
      <c r="AQ2901" t="str">
        <f>"034"</f>
        <v>034</v>
      </c>
      <c r="AR2901">
        <v>0</v>
      </c>
      <c r="AS2901">
        <v>0</v>
      </c>
      <c r="AT2901">
        <v>3.2650000000000001</v>
      </c>
      <c r="AX2901" t="str">
        <f>"E000325831"</f>
        <v>E000325831</v>
      </c>
      <c r="BD2901" t="str">
        <f>"ערן שלו"</f>
        <v>ערן שלו</v>
      </c>
    </row>
    <row r="2902" spans="1:56" x14ac:dyDescent="0.3">
      <c r="A2902" s="1">
        <v>44245</v>
      </c>
      <c r="B2902" t="str">
        <f>"SI216000299"</f>
        <v>SI216000299</v>
      </c>
      <c r="C2902" t="str">
        <f>"PR20000796"</f>
        <v>PR20000796</v>
      </c>
      <c r="D2902" t="str">
        <f>"PR20000796"</f>
        <v>PR20000796</v>
      </c>
      <c r="E2902" t="str">
        <f>"Y"</f>
        <v>Y</v>
      </c>
      <c r="F2902" t="str">
        <f>"חשבוניות מרכזות"</f>
        <v>חשבוניות מרכזות</v>
      </c>
      <c r="G2902" t="str">
        <f>"700065"</f>
        <v>700065</v>
      </c>
      <c r="H2902" t="str">
        <f>"אלתא מערכות בע""מ"</f>
        <v>אלתא מערכות בע"מ</v>
      </c>
      <c r="I2902" t="str">
        <f>"10"</f>
        <v>10</v>
      </c>
      <c r="J2902" t="str">
        <f>"OP-AR02081"</f>
        <v>OP-AR02081</v>
      </c>
      <c r="K2902" t="str">
        <f>"1027H569-001/-  HARNESS WH009 - IFF POWER"</f>
        <v>1027H569-001/-  HARNESS WH009 - IFF POWER</v>
      </c>
      <c r="L2902">
        <v>1</v>
      </c>
      <c r="M2902" t="str">
        <f>"יח"</f>
        <v>יח</v>
      </c>
      <c r="N2902">
        <v>1</v>
      </c>
      <c r="O2902" t="str">
        <f>"יח"</f>
        <v>יח</v>
      </c>
      <c r="P2902">
        <v>251.51</v>
      </c>
      <c r="Q2902" t="str">
        <f>"$"</f>
        <v>$</v>
      </c>
      <c r="R2902" t="str">
        <f>"הזמנה"</f>
        <v>הזמנה</v>
      </c>
      <c r="S2902">
        <v>0</v>
      </c>
      <c r="T2902">
        <v>251.51</v>
      </c>
      <c r="U2902">
        <v>0</v>
      </c>
      <c r="V2902">
        <v>251.51</v>
      </c>
      <c r="W2902" t="str">
        <f>"$"</f>
        <v>$</v>
      </c>
      <c r="X2902">
        <v>0</v>
      </c>
      <c r="Y2902">
        <v>0</v>
      </c>
      <c r="Z2902">
        <v>0</v>
      </c>
      <c r="AA2902" t="str">
        <f>"Y"</f>
        <v>Y</v>
      </c>
      <c r="AB2902" t="str">
        <f>"SO20000523"</f>
        <v>SO20000523</v>
      </c>
      <c r="AC2902">
        <v>8</v>
      </c>
      <c r="AD2902" s="1">
        <v>44147</v>
      </c>
      <c r="AE2902" t="str">
        <f>"SH21000296"</f>
        <v>SH21000296</v>
      </c>
      <c r="AF2902" t="str">
        <f>"משלוחים ללקוח"</f>
        <v>משלוחים ללקוח</v>
      </c>
      <c r="AG2902" s="1">
        <v>44244</v>
      </c>
      <c r="AM2902" t="str">
        <f>"10"</f>
        <v>10</v>
      </c>
      <c r="AN2902" t="str">
        <f>"500000"</f>
        <v>500000</v>
      </c>
      <c r="AO2902" t="str">
        <f>"הכנסות  מלקוחות"</f>
        <v>הכנסות  מלקוחות</v>
      </c>
      <c r="AQ2902" t="str">
        <f>"034"</f>
        <v>034</v>
      </c>
      <c r="AR2902">
        <v>0</v>
      </c>
      <c r="AS2902">
        <v>0</v>
      </c>
      <c r="AT2902">
        <v>3.2650000000000001</v>
      </c>
      <c r="AX2902" t="str">
        <f>"E000325831"</f>
        <v>E000325831</v>
      </c>
      <c r="BD2902" t="str">
        <f>"ערן שלו"</f>
        <v>ערן שלו</v>
      </c>
    </row>
    <row r="2903" spans="1:56" x14ac:dyDescent="0.3">
      <c r="A2903" s="1">
        <v>44245</v>
      </c>
      <c r="B2903" t="str">
        <f>"SI216000296"</f>
        <v>SI216000296</v>
      </c>
      <c r="C2903" t="str">
        <f>"PR18000543"</f>
        <v>PR18000543</v>
      </c>
      <c r="E2903" t="str">
        <f>"Y"</f>
        <v>Y</v>
      </c>
      <c r="F2903" t="str">
        <f>"חשבוניות מרכזות"</f>
        <v>חשבוניות מרכזות</v>
      </c>
      <c r="G2903" t="str">
        <f>"700065"</f>
        <v>700065</v>
      </c>
      <c r="H2903" t="str">
        <f>"אלתא מערכות בע""מ"</f>
        <v>אלתא מערכות בע"מ</v>
      </c>
      <c r="I2903" t="str">
        <f>"10"</f>
        <v>10</v>
      </c>
      <c r="J2903" t="str">
        <f>"OP-AR01083"</f>
        <v>OP-AR01083</v>
      </c>
      <c r="K2903" t="str">
        <f>"1036C960-001 HVJB_N"</f>
        <v>1036C960-001 HVJB_N</v>
      </c>
      <c r="L2903">
        <v>-5</v>
      </c>
      <c r="M2903" t="str">
        <f>"יח"</f>
        <v>יח</v>
      </c>
      <c r="N2903">
        <v>-5</v>
      </c>
      <c r="O2903" t="str">
        <f>"יח"</f>
        <v>יח</v>
      </c>
      <c r="P2903" s="2">
        <v>6000</v>
      </c>
      <c r="Q2903" t="str">
        <f>"$"</f>
        <v>$</v>
      </c>
      <c r="R2903" t="str">
        <f>"הזמנה"</f>
        <v>הזמנה</v>
      </c>
      <c r="S2903">
        <v>0</v>
      </c>
      <c r="T2903" s="2">
        <v>-30000</v>
      </c>
      <c r="U2903">
        <v>0</v>
      </c>
      <c r="V2903" s="2">
        <v>-30000</v>
      </c>
      <c r="W2903" t="str">
        <f>"$"</f>
        <v>$</v>
      </c>
      <c r="X2903">
        <v>0</v>
      </c>
      <c r="Y2903">
        <v>0</v>
      </c>
      <c r="Z2903">
        <v>0</v>
      </c>
      <c r="AA2903" t="str">
        <f>"Y"</f>
        <v>Y</v>
      </c>
      <c r="AC2903">
        <v>0</v>
      </c>
      <c r="AM2903" t="str">
        <f>"10"</f>
        <v>10</v>
      </c>
      <c r="AN2903" t="str">
        <f>"500000"</f>
        <v>500000</v>
      </c>
      <c r="AO2903" t="str">
        <f>"הכנסות  מלקוחות"</f>
        <v>הכנסות  מלקוחות</v>
      </c>
      <c r="AQ2903" t="str">
        <f>"034"</f>
        <v>034</v>
      </c>
      <c r="AR2903">
        <v>0</v>
      </c>
      <c r="AS2903">
        <v>0</v>
      </c>
      <c r="AT2903">
        <v>3.2370000000000001</v>
      </c>
      <c r="BB2903" t="str">
        <f>"Y"</f>
        <v>Y</v>
      </c>
      <c r="BD2903" t="str">
        <f>"ערן שלו"</f>
        <v>ערן שלו</v>
      </c>
    </row>
    <row r="2904" spans="1:56" x14ac:dyDescent="0.3">
      <c r="A2904" s="1">
        <v>44245</v>
      </c>
      <c r="B2904" t="str">
        <f>"SI216000296"</f>
        <v>SI216000296</v>
      </c>
      <c r="C2904" t="str">
        <f>"PR18000543"</f>
        <v>PR18000543</v>
      </c>
      <c r="E2904" t="str">
        <f>"Y"</f>
        <v>Y</v>
      </c>
      <c r="F2904" t="str">
        <f>"חשבוניות מרכזות"</f>
        <v>חשבוניות מרכזות</v>
      </c>
      <c r="G2904" t="str">
        <f>"700065"</f>
        <v>700065</v>
      </c>
      <c r="H2904" t="str">
        <f>"אלתא מערכות בע""מ"</f>
        <v>אלתא מערכות בע"מ</v>
      </c>
      <c r="I2904" t="str">
        <f>"10"</f>
        <v>10</v>
      </c>
      <c r="J2904" t="str">
        <f>"OP-AR01083"</f>
        <v>OP-AR01083</v>
      </c>
      <c r="K2904" t="str">
        <f>"1036C960-001 HVJB_N"</f>
        <v>1036C960-001 HVJB_N</v>
      </c>
      <c r="L2904">
        <v>-1</v>
      </c>
      <c r="M2904" t="str">
        <f>"יח"</f>
        <v>יח</v>
      </c>
      <c r="N2904">
        <v>-1</v>
      </c>
      <c r="O2904" t="str">
        <f>"יח"</f>
        <v>יח</v>
      </c>
      <c r="P2904" s="2">
        <v>6000</v>
      </c>
      <c r="Q2904" t="str">
        <f>"$"</f>
        <v>$</v>
      </c>
      <c r="R2904" t="str">
        <f>"הזמנה"</f>
        <v>הזמנה</v>
      </c>
      <c r="S2904">
        <v>0</v>
      </c>
      <c r="T2904" s="2">
        <v>-6000</v>
      </c>
      <c r="U2904">
        <v>0</v>
      </c>
      <c r="V2904" s="2">
        <v>-6000</v>
      </c>
      <c r="W2904" t="str">
        <f>"$"</f>
        <v>$</v>
      </c>
      <c r="X2904">
        <v>0</v>
      </c>
      <c r="Y2904">
        <v>0</v>
      </c>
      <c r="Z2904">
        <v>0</v>
      </c>
      <c r="AA2904" t="str">
        <f>"Y"</f>
        <v>Y</v>
      </c>
      <c r="AC2904">
        <v>0</v>
      </c>
      <c r="AM2904" t="str">
        <f>"10"</f>
        <v>10</v>
      </c>
      <c r="AN2904" t="str">
        <f>"500000"</f>
        <v>500000</v>
      </c>
      <c r="AO2904" t="str">
        <f>"הכנסות  מלקוחות"</f>
        <v>הכנסות  מלקוחות</v>
      </c>
      <c r="AQ2904" t="str">
        <f>"034"</f>
        <v>034</v>
      </c>
      <c r="AR2904">
        <v>0</v>
      </c>
      <c r="AS2904">
        <v>0</v>
      </c>
      <c r="AT2904">
        <v>3.2370000000000001</v>
      </c>
      <c r="BB2904" t="str">
        <f>"Y"</f>
        <v>Y</v>
      </c>
      <c r="BD2904" t="str">
        <f>"ערן שלו"</f>
        <v>ערן שלו</v>
      </c>
    </row>
    <row r="2905" spans="1:56" x14ac:dyDescent="0.3">
      <c r="A2905" s="1">
        <v>44245</v>
      </c>
      <c r="B2905" t="str">
        <f>"SI216000295"</f>
        <v>SI216000295</v>
      </c>
      <c r="C2905" t="str">
        <f>"PR20000533"</f>
        <v>PR20000533</v>
      </c>
      <c r="E2905" t="str">
        <f>"Y"</f>
        <v>Y</v>
      </c>
      <c r="F2905" t="str">
        <f>"חשבוניות מרכזות"</f>
        <v>חשבוניות מרכזות</v>
      </c>
      <c r="G2905" t="str">
        <f>"700065"</f>
        <v>700065</v>
      </c>
      <c r="H2905" t="str">
        <f>"אלתא מערכות בע""מ"</f>
        <v>אלתא מערכות בע"מ</v>
      </c>
      <c r="I2905" t="str">
        <f>"10"</f>
        <v>10</v>
      </c>
      <c r="J2905" t="str">
        <f>"OP-AR01954"</f>
        <v>OP-AR01954</v>
      </c>
      <c r="K2905" t="str">
        <f>"1031B015-001/- - CABLE ASSY W015"</f>
        <v>1031B015-001/- - CABLE ASSY W015</v>
      </c>
      <c r="L2905">
        <v>-1</v>
      </c>
      <c r="M2905" t="str">
        <f>"יח"</f>
        <v>יח</v>
      </c>
      <c r="N2905">
        <v>-1</v>
      </c>
      <c r="O2905" t="str">
        <f>"יח"</f>
        <v>יח</v>
      </c>
      <c r="P2905" s="2">
        <v>1628</v>
      </c>
      <c r="Q2905" t="str">
        <f>"$"</f>
        <v>$</v>
      </c>
      <c r="R2905" t="str">
        <f>"הזמנה"</f>
        <v>הזמנה</v>
      </c>
      <c r="S2905">
        <v>0</v>
      </c>
      <c r="T2905" s="2">
        <v>-1628</v>
      </c>
      <c r="U2905">
        <v>0</v>
      </c>
      <c r="V2905" s="2">
        <v>-1628</v>
      </c>
      <c r="W2905" t="str">
        <f>"$"</f>
        <v>$</v>
      </c>
      <c r="X2905">
        <v>0</v>
      </c>
      <c r="Y2905">
        <v>0</v>
      </c>
      <c r="Z2905">
        <v>0</v>
      </c>
      <c r="AA2905" t="str">
        <f>"Y"</f>
        <v>Y</v>
      </c>
      <c r="AC2905">
        <v>0</v>
      </c>
      <c r="AM2905" t="str">
        <f>"10"</f>
        <v>10</v>
      </c>
      <c r="AN2905" t="str">
        <f>"500000"</f>
        <v>500000</v>
      </c>
      <c r="AO2905" t="str">
        <f>"הכנסות  מלקוחות"</f>
        <v>הכנסות  מלקוחות</v>
      </c>
      <c r="AQ2905" t="str">
        <f>"034"</f>
        <v>034</v>
      </c>
      <c r="AR2905">
        <v>0</v>
      </c>
      <c r="AS2905">
        <v>0</v>
      </c>
      <c r="AT2905">
        <v>3.2370000000000001</v>
      </c>
      <c r="BB2905" t="str">
        <f>"Y"</f>
        <v>Y</v>
      </c>
      <c r="BD2905" t="str">
        <f>"ערן שלו"</f>
        <v>ערן שלו</v>
      </c>
    </row>
    <row r="2906" spans="1:56" x14ac:dyDescent="0.3">
      <c r="A2906" s="1">
        <v>44245</v>
      </c>
      <c r="B2906" t="str">
        <f>"SI216000294"</f>
        <v>SI216000294</v>
      </c>
      <c r="C2906" t="str">
        <f>"PR20000796"</f>
        <v>PR20000796</v>
      </c>
      <c r="E2906" t="str">
        <f>"Y"</f>
        <v>Y</v>
      </c>
      <c r="F2906" t="str">
        <f>"חשבוניות מרכזות"</f>
        <v>חשבוניות מרכזות</v>
      </c>
      <c r="G2906" t="str">
        <f>"700065"</f>
        <v>700065</v>
      </c>
      <c r="H2906" t="str">
        <f>"אלתא מערכות בע""מ"</f>
        <v>אלתא מערכות בע"מ</v>
      </c>
      <c r="I2906" t="str">
        <f>"10"</f>
        <v>10</v>
      </c>
      <c r="J2906" t="str">
        <f>"OP-AR02075"</f>
        <v>OP-AR02075</v>
      </c>
      <c r="K2906" t="str">
        <f>"1027H562-001/-  HARNESS WH002 - POWER TO MOTOR"</f>
        <v>1027H562-001/-  HARNESS WH002 - POWER TO MOTOR</v>
      </c>
      <c r="L2906">
        <v>-1</v>
      </c>
      <c r="M2906" t="str">
        <f>"יח"</f>
        <v>יח</v>
      </c>
      <c r="N2906">
        <v>-1</v>
      </c>
      <c r="O2906" t="str">
        <f>"יח"</f>
        <v>יח</v>
      </c>
      <c r="P2906">
        <v>606.66999999999996</v>
      </c>
      <c r="Q2906" t="str">
        <f>"$"</f>
        <v>$</v>
      </c>
      <c r="R2906" t="str">
        <f>"הזמנה"</f>
        <v>הזמנה</v>
      </c>
      <c r="S2906">
        <v>0</v>
      </c>
      <c r="T2906">
        <v>-606.66999999999996</v>
      </c>
      <c r="U2906">
        <v>0</v>
      </c>
      <c r="V2906">
        <v>-606.66999999999996</v>
      </c>
      <c r="W2906" t="str">
        <f>"$"</f>
        <v>$</v>
      </c>
      <c r="X2906">
        <v>0</v>
      </c>
      <c r="Y2906">
        <v>0</v>
      </c>
      <c r="Z2906">
        <v>0</v>
      </c>
      <c r="AA2906" t="str">
        <f>"Y"</f>
        <v>Y</v>
      </c>
      <c r="AC2906">
        <v>0</v>
      </c>
      <c r="AM2906" t="str">
        <f>"10"</f>
        <v>10</v>
      </c>
      <c r="AN2906" t="str">
        <f>"500000"</f>
        <v>500000</v>
      </c>
      <c r="AO2906" t="str">
        <f>"הכנסות  מלקוחות"</f>
        <v>הכנסות  מלקוחות</v>
      </c>
      <c r="AQ2906" t="str">
        <f>"034"</f>
        <v>034</v>
      </c>
      <c r="AR2906">
        <v>0</v>
      </c>
      <c r="AS2906">
        <v>0</v>
      </c>
      <c r="AT2906">
        <v>3.2370000000000001</v>
      </c>
      <c r="BB2906" t="str">
        <f>"Y"</f>
        <v>Y</v>
      </c>
      <c r="BD2906" t="str">
        <f>"ערן שלו"</f>
        <v>ערן שלו</v>
      </c>
    </row>
    <row r="2907" spans="1:56" x14ac:dyDescent="0.3">
      <c r="A2907" s="1">
        <v>44245</v>
      </c>
      <c r="B2907" t="str">
        <f>"SI216000294"</f>
        <v>SI216000294</v>
      </c>
      <c r="C2907" t="str">
        <f>"PR20000796"</f>
        <v>PR20000796</v>
      </c>
      <c r="E2907" t="str">
        <f>"Y"</f>
        <v>Y</v>
      </c>
      <c r="F2907" t="str">
        <f>"חשבוניות מרכזות"</f>
        <v>חשבוניות מרכזות</v>
      </c>
      <c r="G2907" t="str">
        <f>"700065"</f>
        <v>700065</v>
      </c>
      <c r="H2907" t="str">
        <f>"אלתא מערכות בע""מ"</f>
        <v>אלתא מערכות בע"מ</v>
      </c>
      <c r="I2907" t="str">
        <f>"10"</f>
        <v>10</v>
      </c>
      <c r="J2907" t="str">
        <f>"OP-AR02077"</f>
        <v>OP-AR02077</v>
      </c>
      <c r="K2907" t="str">
        <f>"1027H564-001/-  HARNESS WH004 - PCU TO MEASURING"</f>
        <v>1027H564-001/-  HARNESS WH004 - PCU TO MEASURING</v>
      </c>
      <c r="L2907">
        <v>-1</v>
      </c>
      <c r="M2907" t="str">
        <f>"יח"</f>
        <v>יח</v>
      </c>
      <c r="N2907">
        <v>-1</v>
      </c>
      <c r="O2907" t="str">
        <f>"יח"</f>
        <v>יח</v>
      </c>
      <c r="P2907">
        <v>539.36</v>
      </c>
      <c r="Q2907" t="str">
        <f>"$"</f>
        <v>$</v>
      </c>
      <c r="R2907" t="str">
        <f>"הזמנה"</f>
        <v>הזמנה</v>
      </c>
      <c r="S2907">
        <v>0</v>
      </c>
      <c r="T2907">
        <v>-539.36</v>
      </c>
      <c r="U2907">
        <v>0</v>
      </c>
      <c r="V2907">
        <v>-539.36</v>
      </c>
      <c r="W2907" t="str">
        <f>"$"</f>
        <v>$</v>
      </c>
      <c r="X2907">
        <v>0</v>
      </c>
      <c r="Y2907">
        <v>0</v>
      </c>
      <c r="Z2907">
        <v>0</v>
      </c>
      <c r="AA2907" t="str">
        <f>"Y"</f>
        <v>Y</v>
      </c>
      <c r="AC2907">
        <v>0</v>
      </c>
      <c r="AM2907" t="str">
        <f>"10"</f>
        <v>10</v>
      </c>
      <c r="AN2907" t="str">
        <f>"500000"</f>
        <v>500000</v>
      </c>
      <c r="AO2907" t="str">
        <f>"הכנסות  מלקוחות"</f>
        <v>הכנסות  מלקוחות</v>
      </c>
      <c r="AQ2907" t="str">
        <f>"034"</f>
        <v>034</v>
      </c>
      <c r="AR2907">
        <v>0</v>
      </c>
      <c r="AS2907">
        <v>0</v>
      </c>
      <c r="AT2907">
        <v>3.2370000000000001</v>
      </c>
      <c r="BB2907" t="str">
        <f>"Y"</f>
        <v>Y</v>
      </c>
      <c r="BD2907" t="str">
        <f>"ערן שלו"</f>
        <v>ערן שלו</v>
      </c>
    </row>
    <row r="2908" spans="1:56" x14ac:dyDescent="0.3">
      <c r="A2908" s="1">
        <v>44245</v>
      </c>
      <c r="B2908" t="str">
        <f>"SI216000294"</f>
        <v>SI216000294</v>
      </c>
      <c r="C2908" t="str">
        <f>"PR20000796"</f>
        <v>PR20000796</v>
      </c>
      <c r="E2908" t="str">
        <f>"Y"</f>
        <v>Y</v>
      </c>
      <c r="F2908" t="str">
        <f>"חשבוניות מרכזות"</f>
        <v>חשבוניות מרכזות</v>
      </c>
      <c r="G2908" t="str">
        <f>"700065"</f>
        <v>700065</v>
      </c>
      <c r="H2908" t="str">
        <f>"אלתא מערכות בע""מ"</f>
        <v>אלתא מערכות בע"מ</v>
      </c>
      <c r="I2908" t="str">
        <f>"10"</f>
        <v>10</v>
      </c>
      <c r="J2908" t="str">
        <f>"OP-AR02083"</f>
        <v>OP-AR02083</v>
      </c>
      <c r="K2908" t="str">
        <f>"1027H571-001/-  HARNESS WH011 - IFF ETH TO PEDES"</f>
        <v>1027H571-001/-  HARNESS WH011 - IFF ETH TO PEDES</v>
      </c>
      <c r="L2908">
        <v>-1</v>
      </c>
      <c r="M2908" t="str">
        <f>"יח"</f>
        <v>יח</v>
      </c>
      <c r="N2908">
        <v>-1</v>
      </c>
      <c r="O2908" t="str">
        <f>"יח"</f>
        <v>יח</v>
      </c>
      <c r="P2908">
        <v>271.39</v>
      </c>
      <c r="Q2908" t="str">
        <f>"$"</f>
        <v>$</v>
      </c>
      <c r="R2908" t="str">
        <f>"הזמנה"</f>
        <v>הזמנה</v>
      </c>
      <c r="S2908">
        <v>0</v>
      </c>
      <c r="T2908">
        <v>-271.39</v>
      </c>
      <c r="U2908">
        <v>0</v>
      </c>
      <c r="V2908">
        <v>-271.39</v>
      </c>
      <c r="W2908" t="str">
        <f>"$"</f>
        <v>$</v>
      </c>
      <c r="X2908">
        <v>0</v>
      </c>
      <c r="Y2908">
        <v>0</v>
      </c>
      <c r="Z2908">
        <v>0</v>
      </c>
      <c r="AA2908" t="str">
        <f>"Y"</f>
        <v>Y</v>
      </c>
      <c r="AC2908">
        <v>0</v>
      </c>
      <c r="AM2908" t="str">
        <f>"10"</f>
        <v>10</v>
      </c>
      <c r="AN2908" t="str">
        <f>"500000"</f>
        <v>500000</v>
      </c>
      <c r="AO2908" t="str">
        <f>"הכנסות  מלקוחות"</f>
        <v>הכנסות  מלקוחות</v>
      </c>
      <c r="AQ2908" t="str">
        <f>"034"</f>
        <v>034</v>
      </c>
      <c r="AR2908">
        <v>0</v>
      </c>
      <c r="AS2908">
        <v>0</v>
      </c>
      <c r="AT2908">
        <v>3.2370000000000001</v>
      </c>
      <c r="BB2908" t="str">
        <f>"Y"</f>
        <v>Y</v>
      </c>
      <c r="BD2908" t="str">
        <f>"ערן שלו"</f>
        <v>ערן שלו</v>
      </c>
    </row>
    <row r="2909" spans="1:56" x14ac:dyDescent="0.3">
      <c r="A2909" s="1">
        <v>44245</v>
      </c>
      <c r="B2909" t="str">
        <f>"SI216000293"</f>
        <v>SI216000293</v>
      </c>
      <c r="C2909" t="str">
        <f>"PR20000620"</f>
        <v>PR20000620</v>
      </c>
      <c r="E2909" t="str">
        <f>"Y"</f>
        <v>Y</v>
      </c>
      <c r="F2909" t="str">
        <f>"חשבוניות מרכזות"</f>
        <v>חשבוניות מרכזות</v>
      </c>
      <c r="G2909" t="str">
        <f>"700065"</f>
        <v>700065</v>
      </c>
      <c r="H2909" t="str">
        <f>"אלתא מערכות בע""מ"</f>
        <v>אלתא מערכות בע"מ</v>
      </c>
      <c r="I2909" t="str">
        <f>"10"</f>
        <v>10</v>
      </c>
      <c r="J2909" t="str">
        <f>"OP-AR02005"</f>
        <v>OP-AR02005</v>
      </c>
      <c r="K2909" t="str">
        <f>"1023W809-001/B    W9-SAFETY SWITCH CABLE"</f>
        <v>1023W809-001/B    W9-SAFETY SWITCH CABLE</v>
      </c>
      <c r="L2909">
        <v>-1</v>
      </c>
      <c r="M2909" t="str">
        <f>"יח"</f>
        <v>יח</v>
      </c>
      <c r="N2909">
        <v>-1</v>
      </c>
      <c r="O2909" t="str">
        <f>"יח"</f>
        <v>יח</v>
      </c>
      <c r="P2909">
        <v>736.73</v>
      </c>
      <c r="Q2909" t="str">
        <f>"$"</f>
        <v>$</v>
      </c>
      <c r="R2909" t="str">
        <f>"הזמנה"</f>
        <v>הזמנה</v>
      </c>
      <c r="S2909">
        <v>0</v>
      </c>
      <c r="T2909">
        <v>-736.73</v>
      </c>
      <c r="U2909">
        <v>0</v>
      </c>
      <c r="V2909">
        <v>-736.73</v>
      </c>
      <c r="W2909" t="str">
        <f>"$"</f>
        <v>$</v>
      </c>
      <c r="X2909">
        <v>0</v>
      </c>
      <c r="Y2909">
        <v>0</v>
      </c>
      <c r="Z2909">
        <v>0</v>
      </c>
      <c r="AA2909" t="str">
        <f>"Y"</f>
        <v>Y</v>
      </c>
      <c r="AC2909">
        <v>0</v>
      </c>
      <c r="AM2909" t="str">
        <f>"10"</f>
        <v>10</v>
      </c>
      <c r="AN2909" t="str">
        <f>"500000"</f>
        <v>500000</v>
      </c>
      <c r="AO2909" t="str">
        <f>"הכנסות  מלקוחות"</f>
        <v>הכנסות  מלקוחות</v>
      </c>
      <c r="AQ2909" t="str">
        <f>"034"</f>
        <v>034</v>
      </c>
      <c r="AR2909">
        <v>0</v>
      </c>
      <c r="AS2909">
        <v>0</v>
      </c>
      <c r="AT2909">
        <v>3.2370000000000001</v>
      </c>
      <c r="BB2909" t="str">
        <f>"Y"</f>
        <v>Y</v>
      </c>
      <c r="BD2909" t="str">
        <f>"ערן שלו"</f>
        <v>ערן שלו</v>
      </c>
    </row>
    <row r="2910" spans="1:56" x14ac:dyDescent="0.3">
      <c r="A2910" s="1">
        <v>44245</v>
      </c>
      <c r="B2910" t="str">
        <f>"SI216000293"</f>
        <v>SI216000293</v>
      </c>
      <c r="C2910" t="str">
        <f>"PR20000620"</f>
        <v>PR20000620</v>
      </c>
      <c r="E2910" t="str">
        <f>"Y"</f>
        <v>Y</v>
      </c>
      <c r="F2910" t="str">
        <f>"חשבוניות מרכזות"</f>
        <v>חשבוניות מרכזות</v>
      </c>
      <c r="G2910" t="str">
        <f>"700065"</f>
        <v>700065</v>
      </c>
      <c r="H2910" t="str">
        <f>"אלתא מערכות בע""מ"</f>
        <v>אלתא מערכות בע"מ</v>
      </c>
      <c r="I2910" t="str">
        <f>"10"</f>
        <v>10</v>
      </c>
      <c r="J2910" t="str">
        <f>"OP-AR02011"</f>
        <v>OP-AR02011</v>
      </c>
      <c r="K2910" t="str">
        <f>"1025Y804-001/-   W4- TX CONT CABLE"</f>
        <v>1025Y804-001/-   W4- TX CONT CABLE</v>
      </c>
      <c r="L2910">
        <v>-2</v>
      </c>
      <c r="M2910" t="str">
        <f>"יח"</f>
        <v>יח</v>
      </c>
      <c r="N2910">
        <v>-2</v>
      </c>
      <c r="O2910" t="str">
        <f>"יח"</f>
        <v>יח</v>
      </c>
      <c r="P2910">
        <v>609.04</v>
      </c>
      <c r="Q2910" t="str">
        <f>"$"</f>
        <v>$</v>
      </c>
      <c r="R2910" t="str">
        <f>"הזמנה"</f>
        <v>הזמנה</v>
      </c>
      <c r="S2910">
        <v>0</v>
      </c>
      <c r="T2910" s="2">
        <v>-1218.08</v>
      </c>
      <c r="U2910">
        <v>0</v>
      </c>
      <c r="V2910" s="2">
        <v>-1218.08</v>
      </c>
      <c r="W2910" t="str">
        <f>"$"</f>
        <v>$</v>
      </c>
      <c r="X2910">
        <v>0</v>
      </c>
      <c r="Y2910">
        <v>0</v>
      </c>
      <c r="Z2910">
        <v>0</v>
      </c>
      <c r="AA2910" t="str">
        <f>"Y"</f>
        <v>Y</v>
      </c>
      <c r="AC2910">
        <v>0</v>
      </c>
      <c r="AM2910" t="str">
        <f>"10"</f>
        <v>10</v>
      </c>
      <c r="AN2910" t="str">
        <f>"500000"</f>
        <v>500000</v>
      </c>
      <c r="AO2910" t="str">
        <f>"הכנסות  מלקוחות"</f>
        <v>הכנסות  מלקוחות</v>
      </c>
      <c r="AQ2910" t="str">
        <f>"034"</f>
        <v>034</v>
      </c>
      <c r="AR2910">
        <v>0</v>
      </c>
      <c r="AS2910">
        <v>0</v>
      </c>
      <c r="AT2910">
        <v>3.2370000000000001</v>
      </c>
      <c r="BB2910" t="str">
        <f>"Y"</f>
        <v>Y</v>
      </c>
      <c r="BD2910" t="str">
        <f>"ערן שלו"</f>
        <v>ערן שלו</v>
      </c>
    </row>
    <row r="2911" spans="1:56" x14ac:dyDescent="0.3">
      <c r="A2911" s="1">
        <v>44245</v>
      </c>
      <c r="B2911" t="str">
        <f>"SI216000293"</f>
        <v>SI216000293</v>
      </c>
      <c r="C2911" t="str">
        <f>"PR20000620"</f>
        <v>PR20000620</v>
      </c>
      <c r="E2911" t="str">
        <f>"Y"</f>
        <v>Y</v>
      </c>
      <c r="F2911" t="str">
        <f>"חשבוניות מרכזות"</f>
        <v>חשבוניות מרכזות</v>
      </c>
      <c r="G2911" t="str">
        <f>"700065"</f>
        <v>700065</v>
      </c>
      <c r="H2911" t="str">
        <f>"אלתא מערכות בע""מ"</f>
        <v>אלתא מערכות בע"מ</v>
      </c>
      <c r="I2911" t="str">
        <f>"10"</f>
        <v>10</v>
      </c>
      <c r="J2911" t="str">
        <f>"OP-AR02012"</f>
        <v>OP-AR02012</v>
      </c>
      <c r="K2911" t="str">
        <f>"1023W802-001/C   W2-POWER SUPLLY CABLE ASSY"</f>
        <v>1023W802-001/C   W2-POWER SUPLLY CABLE ASSY</v>
      </c>
      <c r="L2911">
        <v>-2</v>
      </c>
      <c r="M2911" t="str">
        <f>"יח"</f>
        <v>יח</v>
      </c>
      <c r="N2911">
        <v>-2</v>
      </c>
      <c r="O2911" t="str">
        <f>"יח"</f>
        <v>יח</v>
      </c>
      <c r="P2911">
        <v>586.88</v>
      </c>
      <c r="Q2911" t="str">
        <f>"$"</f>
        <v>$</v>
      </c>
      <c r="R2911" t="str">
        <f>"הזמנה"</f>
        <v>הזמנה</v>
      </c>
      <c r="S2911">
        <v>0</v>
      </c>
      <c r="T2911" s="2">
        <v>-1173.76</v>
      </c>
      <c r="U2911">
        <v>0</v>
      </c>
      <c r="V2911" s="2">
        <v>-1173.76</v>
      </c>
      <c r="W2911" t="str">
        <f>"$"</f>
        <v>$</v>
      </c>
      <c r="X2911">
        <v>0</v>
      </c>
      <c r="Y2911">
        <v>0</v>
      </c>
      <c r="Z2911">
        <v>0</v>
      </c>
      <c r="AA2911" t="str">
        <f>"Y"</f>
        <v>Y</v>
      </c>
      <c r="AC2911">
        <v>0</v>
      </c>
      <c r="AM2911" t="str">
        <f>"10"</f>
        <v>10</v>
      </c>
      <c r="AN2911" t="str">
        <f>"500000"</f>
        <v>500000</v>
      </c>
      <c r="AO2911" t="str">
        <f>"הכנסות  מלקוחות"</f>
        <v>הכנסות  מלקוחות</v>
      </c>
      <c r="AQ2911" t="str">
        <f>"034"</f>
        <v>034</v>
      </c>
      <c r="AR2911">
        <v>0</v>
      </c>
      <c r="AS2911">
        <v>0</v>
      </c>
      <c r="AT2911">
        <v>3.2370000000000001</v>
      </c>
      <c r="BB2911" t="str">
        <f>"Y"</f>
        <v>Y</v>
      </c>
      <c r="BD2911" t="str">
        <f>"ערן שלו"</f>
        <v>ערן שלו</v>
      </c>
    </row>
    <row r="2912" spans="1:56" x14ac:dyDescent="0.3">
      <c r="A2912" s="1">
        <v>44245</v>
      </c>
      <c r="B2912" t="str">
        <f>"SI216000293"</f>
        <v>SI216000293</v>
      </c>
      <c r="C2912" t="str">
        <f>"PR20000620"</f>
        <v>PR20000620</v>
      </c>
      <c r="E2912" t="str">
        <f>"Y"</f>
        <v>Y</v>
      </c>
      <c r="F2912" t="str">
        <f>"חשבוניות מרכזות"</f>
        <v>חשבוניות מרכזות</v>
      </c>
      <c r="G2912" t="str">
        <f>"700065"</f>
        <v>700065</v>
      </c>
      <c r="H2912" t="str">
        <f>"אלתא מערכות בע""מ"</f>
        <v>אלתא מערכות בע"מ</v>
      </c>
      <c r="I2912" t="str">
        <f>"10"</f>
        <v>10</v>
      </c>
      <c r="J2912" t="str">
        <f>"OP-AR02013"</f>
        <v>OP-AR02013</v>
      </c>
      <c r="K2912" t="str">
        <f>"1023W801-001/B   W1 - AZ DATA CABLE"</f>
        <v>1023W801-001/B   W1 - AZ DATA CABLE</v>
      </c>
      <c r="L2912">
        <v>-4</v>
      </c>
      <c r="M2912" t="str">
        <f>"יח"</f>
        <v>יח</v>
      </c>
      <c r="N2912">
        <v>-4</v>
      </c>
      <c r="O2912" t="str">
        <f>"יח"</f>
        <v>יח</v>
      </c>
      <c r="P2912">
        <v>682.34</v>
      </c>
      <c r="Q2912" t="str">
        <f>"$"</f>
        <v>$</v>
      </c>
      <c r="R2912" t="str">
        <f>"הזמנה"</f>
        <v>הזמנה</v>
      </c>
      <c r="S2912">
        <v>0</v>
      </c>
      <c r="T2912" s="2">
        <v>-2729.36</v>
      </c>
      <c r="U2912">
        <v>0</v>
      </c>
      <c r="V2912" s="2">
        <v>-2729.36</v>
      </c>
      <c r="W2912" t="str">
        <f>"$"</f>
        <v>$</v>
      </c>
      <c r="X2912">
        <v>0</v>
      </c>
      <c r="Y2912">
        <v>0</v>
      </c>
      <c r="Z2912">
        <v>0</v>
      </c>
      <c r="AA2912" t="str">
        <f>"Y"</f>
        <v>Y</v>
      </c>
      <c r="AC2912">
        <v>0</v>
      </c>
      <c r="AM2912" t="str">
        <f>"10"</f>
        <v>10</v>
      </c>
      <c r="AN2912" t="str">
        <f>"500000"</f>
        <v>500000</v>
      </c>
      <c r="AO2912" t="str">
        <f>"הכנסות  מלקוחות"</f>
        <v>הכנסות  מלקוחות</v>
      </c>
      <c r="AQ2912" t="str">
        <f>"034"</f>
        <v>034</v>
      </c>
      <c r="AR2912">
        <v>0</v>
      </c>
      <c r="AS2912">
        <v>0</v>
      </c>
      <c r="AT2912">
        <v>3.2370000000000001</v>
      </c>
      <c r="BB2912" t="str">
        <f>"Y"</f>
        <v>Y</v>
      </c>
      <c r="BD2912" t="str">
        <f>"ערן שלו"</f>
        <v>ערן שלו</v>
      </c>
    </row>
    <row r="2913" spans="1:56" x14ac:dyDescent="0.3">
      <c r="A2913" s="1">
        <v>44245</v>
      </c>
      <c r="B2913" t="str">
        <f>"SI216000293"</f>
        <v>SI216000293</v>
      </c>
      <c r="C2913" t="str">
        <f>"PR20000620"</f>
        <v>PR20000620</v>
      </c>
      <c r="E2913" t="str">
        <f>"Y"</f>
        <v>Y</v>
      </c>
      <c r="F2913" t="str">
        <f>"חשבוניות מרכזות"</f>
        <v>חשבוניות מרכזות</v>
      </c>
      <c r="G2913" t="str">
        <f>"700065"</f>
        <v>700065</v>
      </c>
      <c r="H2913" t="str">
        <f>"אלתא מערכות בע""מ"</f>
        <v>אלתא מערכות בע"מ</v>
      </c>
      <c r="I2913" t="str">
        <f>"10"</f>
        <v>10</v>
      </c>
      <c r="J2913" t="str">
        <f>"OP-AR02014"</f>
        <v>OP-AR02014</v>
      </c>
      <c r="K2913" t="str">
        <f>"1017C867-001/B   CABLE 220VAC ARRESTOR/RACK W7"</f>
        <v>1017C867-001/B   CABLE 220VAC ARRESTOR/RACK W7</v>
      </c>
      <c r="L2913">
        <v>-1</v>
      </c>
      <c r="M2913" t="str">
        <f>"יח"</f>
        <v>יח</v>
      </c>
      <c r="N2913">
        <v>-1</v>
      </c>
      <c r="O2913" t="str">
        <f>"יח"</f>
        <v>יח</v>
      </c>
      <c r="P2913">
        <v>642.54</v>
      </c>
      <c r="Q2913" t="str">
        <f>"$"</f>
        <v>$</v>
      </c>
      <c r="R2913" t="str">
        <f>"הזמנה"</f>
        <v>הזמנה</v>
      </c>
      <c r="S2913">
        <v>0</v>
      </c>
      <c r="T2913">
        <v>-642.54</v>
      </c>
      <c r="U2913">
        <v>0</v>
      </c>
      <c r="V2913">
        <v>-642.54</v>
      </c>
      <c r="W2913" t="str">
        <f>"$"</f>
        <v>$</v>
      </c>
      <c r="X2913">
        <v>0</v>
      </c>
      <c r="Y2913">
        <v>0</v>
      </c>
      <c r="Z2913">
        <v>0</v>
      </c>
      <c r="AA2913" t="str">
        <f>"Y"</f>
        <v>Y</v>
      </c>
      <c r="AC2913">
        <v>0</v>
      </c>
      <c r="AM2913" t="str">
        <f>"10"</f>
        <v>10</v>
      </c>
      <c r="AN2913" t="str">
        <f>"500000"</f>
        <v>500000</v>
      </c>
      <c r="AO2913" t="str">
        <f>"הכנסות  מלקוחות"</f>
        <v>הכנסות  מלקוחות</v>
      </c>
      <c r="AQ2913" t="str">
        <f>"034"</f>
        <v>034</v>
      </c>
      <c r="AR2913">
        <v>0</v>
      </c>
      <c r="AS2913">
        <v>0</v>
      </c>
      <c r="AT2913">
        <v>3.2370000000000001</v>
      </c>
      <c r="BB2913" t="str">
        <f>"Y"</f>
        <v>Y</v>
      </c>
      <c r="BD2913" t="str">
        <f>"ערן שלו"</f>
        <v>ערן שלו</v>
      </c>
    </row>
    <row r="2914" spans="1:56" x14ac:dyDescent="0.3">
      <c r="A2914" s="1">
        <v>44245</v>
      </c>
      <c r="B2914" t="str">
        <f>"SI216000291"</f>
        <v>SI216000291</v>
      </c>
      <c r="C2914" t="str">
        <f>"PR20000499"</f>
        <v>PR20000499</v>
      </c>
      <c r="E2914" t="str">
        <f>"Y"</f>
        <v>Y</v>
      </c>
      <c r="F2914" t="str">
        <f>"חשבוניות מרכזות"</f>
        <v>חשבוניות מרכזות</v>
      </c>
      <c r="G2914" t="str">
        <f>"700065"</f>
        <v>700065</v>
      </c>
      <c r="H2914" t="str">
        <f>"אלתא מערכות בע""מ"</f>
        <v>אלתא מערכות בע"מ</v>
      </c>
      <c r="I2914" t="str">
        <f>"10"</f>
        <v>10</v>
      </c>
      <c r="J2914" t="str">
        <f>"OP-AR01919"</f>
        <v>OP-AR01919</v>
      </c>
      <c r="K2914" t="str">
        <f>"1013P130-003 CABLE ASSY 1W47"</f>
        <v>1013P130-003 CABLE ASSY 1W47</v>
      </c>
      <c r="L2914">
        <v>-1</v>
      </c>
      <c r="M2914" t="str">
        <f>"יח"</f>
        <v>יח</v>
      </c>
      <c r="N2914">
        <v>-1</v>
      </c>
      <c r="O2914" t="str">
        <f>"יח"</f>
        <v>יח</v>
      </c>
      <c r="P2914" s="2">
        <v>2303.2800000000002</v>
      </c>
      <c r="Q2914" t="str">
        <f>"$"</f>
        <v>$</v>
      </c>
      <c r="R2914" t="str">
        <f>"ידני"</f>
        <v>ידני</v>
      </c>
      <c r="S2914">
        <v>0</v>
      </c>
      <c r="T2914" s="2">
        <v>-2303.2800000000002</v>
      </c>
      <c r="U2914">
        <v>0</v>
      </c>
      <c r="V2914" s="2">
        <v>-2303.2800000000002</v>
      </c>
      <c r="W2914" t="str">
        <f>"$"</f>
        <v>$</v>
      </c>
      <c r="X2914">
        <v>0</v>
      </c>
      <c r="Y2914">
        <v>0</v>
      </c>
      <c r="Z2914">
        <v>0</v>
      </c>
      <c r="AA2914" t="str">
        <f>"Y"</f>
        <v>Y</v>
      </c>
      <c r="AC2914">
        <v>0</v>
      </c>
      <c r="AM2914" t="str">
        <f>"10"</f>
        <v>10</v>
      </c>
      <c r="AN2914" t="str">
        <f>"500000"</f>
        <v>500000</v>
      </c>
      <c r="AO2914" t="str">
        <f>"הכנסות  מלקוחות"</f>
        <v>הכנסות  מלקוחות</v>
      </c>
      <c r="AQ2914" t="str">
        <f>"034"</f>
        <v>034</v>
      </c>
      <c r="AR2914">
        <v>0</v>
      </c>
      <c r="AS2914">
        <v>0</v>
      </c>
      <c r="AT2914">
        <v>3.2370000000000001</v>
      </c>
      <c r="BB2914" t="str">
        <f>"Y"</f>
        <v>Y</v>
      </c>
      <c r="BD2914" t="str">
        <f>"ערן שלו"</f>
        <v>ערן שלו</v>
      </c>
    </row>
    <row r="2915" spans="1:56" x14ac:dyDescent="0.3">
      <c r="A2915" s="1">
        <v>44245</v>
      </c>
      <c r="B2915" t="str">
        <f>"SI216000286"</f>
        <v>SI216000286</v>
      </c>
      <c r="C2915" t="str">
        <f>"PR20000667"</f>
        <v>PR20000667</v>
      </c>
      <c r="E2915" t="str">
        <f>"Y"</f>
        <v>Y</v>
      </c>
      <c r="F2915" t="str">
        <f>"חשבוניות מרכזות"</f>
        <v>חשבוניות מרכזות</v>
      </c>
      <c r="G2915" t="str">
        <f>"700065"</f>
        <v>700065</v>
      </c>
      <c r="H2915" t="str">
        <f>"אלתא מערכות בע""מ"</f>
        <v>אלתא מערכות בע"מ</v>
      </c>
      <c r="I2915" t="str">
        <f>"10"</f>
        <v>10</v>
      </c>
      <c r="J2915" t="str">
        <f>"OP-AR02039"</f>
        <v>OP-AR02039</v>
      </c>
      <c r="K2915" t="str">
        <f>"9003T407-001/B  HARNESS WC207 - CTRL - PNL 103 I"</f>
        <v>9003T407-001/B  HARNESS WC207 - CTRL - PNL 103 I</v>
      </c>
      <c r="L2915">
        <v>1</v>
      </c>
      <c r="M2915" t="str">
        <f>"יח"</f>
        <v>יח</v>
      </c>
      <c r="N2915">
        <v>1</v>
      </c>
      <c r="O2915" t="str">
        <f>"יח"</f>
        <v>יח</v>
      </c>
      <c r="P2915" s="2">
        <v>1257.7</v>
      </c>
      <c r="Q2915" t="str">
        <f>"$"</f>
        <v>$</v>
      </c>
      <c r="R2915" t="str">
        <f>"הזמנה"</f>
        <v>הזמנה</v>
      </c>
      <c r="S2915">
        <v>0</v>
      </c>
      <c r="T2915" s="2">
        <v>1257.7</v>
      </c>
      <c r="U2915">
        <v>0</v>
      </c>
      <c r="V2915" s="2">
        <v>1257.7</v>
      </c>
      <c r="W2915" t="str">
        <f>"$"</f>
        <v>$</v>
      </c>
      <c r="X2915">
        <v>0</v>
      </c>
      <c r="Y2915">
        <v>0</v>
      </c>
      <c r="Z2915">
        <v>0</v>
      </c>
      <c r="AA2915" t="str">
        <f>"Y"</f>
        <v>Y</v>
      </c>
      <c r="AB2915" t="str">
        <f>"SO20000431"</f>
        <v>SO20000431</v>
      </c>
      <c r="AC2915">
        <v>4</v>
      </c>
      <c r="AD2915" s="1">
        <v>44097</v>
      </c>
      <c r="AE2915" t="str">
        <f>"SH21000292"</f>
        <v>SH21000292</v>
      </c>
      <c r="AF2915" t="str">
        <f>"משלוחים ללקוח"</f>
        <v>משלוחים ללקוח</v>
      </c>
      <c r="AG2915" s="1">
        <v>44244</v>
      </c>
      <c r="AM2915" t="str">
        <f>"10"</f>
        <v>10</v>
      </c>
      <c r="AN2915" t="str">
        <f>"500000"</f>
        <v>500000</v>
      </c>
      <c r="AO2915" t="str">
        <f>"הכנסות  מלקוחות"</f>
        <v>הכנסות  מלקוחות</v>
      </c>
      <c r="AQ2915" t="str">
        <f>"034"</f>
        <v>034</v>
      </c>
      <c r="AR2915">
        <v>0</v>
      </c>
      <c r="AS2915">
        <v>0</v>
      </c>
      <c r="AT2915">
        <v>3.2570000000000001</v>
      </c>
      <c r="AX2915" t="str">
        <f>"E000321546"</f>
        <v>E000321546</v>
      </c>
      <c r="BD2915" t="str">
        <f>"ערן שלו"</f>
        <v>ערן שלו</v>
      </c>
    </row>
    <row r="2916" spans="1:56" x14ac:dyDescent="0.3">
      <c r="A2916" s="1">
        <v>44245</v>
      </c>
      <c r="B2916" t="str">
        <f>"SI216000285"</f>
        <v>SI216000285</v>
      </c>
      <c r="C2916" t="str">
        <f>"PR20000667"</f>
        <v>PR20000667</v>
      </c>
      <c r="E2916" t="str">
        <f>"Y"</f>
        <v>Y</v>
      </c>
      <c r="F2916" t="str">
        <f>"חשבוניות מרכזות"</f>
        <v>חשבוניות מרכזות</v>
      </c>
      <c r="G2916" t="str">
        <f>"700065"</f>
        <v>700065</v>
      </c>
      <c r="H2916" t="str">
        <f>"אלתא מערכות בע""מ"</f>
        <v>אלתא מערכות בע"מ</v>
      </c>
      <c r="I2916" t="str">
        <f>"10"</f>
        <v>10</v>
      </c>
      <c r="J2916" t="str">
        <f>"OP-AR02039"</f>
        <v>OP-AR02039</v>
      </c>
      <c r="K2916" t="str">
        <f>"9003T407-001/B  HARNESS WC207 - CTRL - PNL 103 I"</f>
        <v>9003T407-001/B  HARNESS WC207 - CTRL - PNL 103 I</v>
      </c>
      <c r="L2916">
        <v>-1</v>
      </c>
      <c r="M2916" t="str">
        <f>"יח"</f>
        <v>יח</v>
      </c>
      <c r="N2916">
        <v>-1</v>
      </c>
      <c r="O2916" t="str">
        <f>"יח"</f>
        <v>יח</v>
      </c>
      <c r="P2916" s="2">
        <v>1257.7</v>
      </c>
      <c r="Q2916" t="str">
        <f>"$"</f>
        <v>$</v>
      </c>
      <c r="R2916" t="str">
        <f>"הזמנה"</f>
        <v>הזמנה</v>
      </c>
      <c r="S2916">
        <v>0</v>
      </c>
      <c r="T2916" s="2">
        <v>-1257.7</v>
      </c>
      <c r="U2916">
        <v>0</v>
      </c>
      <c r="V2916" s="2">
        <v>-1257.7</v>
      </c>
      <c r="W2916" t="str">
        <f>"$"</f>
        <v>$</v>
      </c>
      <c r="X2916">
        <v>0</v>
      </c>
      <c r="Y2916">
        <v>0</v>
      </c>
      <c r="Z2916">
        <v>0</v>
      </c>
      <c r="AA2916" t="str">
        <f>"Y"</f>
        <v>Y</v>
      </c>
      <c r="AC2916">
        <v>0</v>
      </c>
      <c r="AM2916" t="str">
        <f>"10"</f>
        <v>10</v>
      </c>
      <c r="AN2916" t="str">
        <f>"500000"</f>
        <v>500000</v>
      </c>
      <c r="AO2916" t="str">
        <f>"הכנסות  מלקוחות"</f>
        <v>הכנסות  מלקוחות</v>
      </c>
      <c r="AQ2916" t="str">
        <f>"034"</f>
        <v>034</v>
      </c>
      <c r="AR2916">
        <v>0</v>
      </c>
      <c r="AS2916">
        <v>0</v>
      </c>
      <c r="AT2916">
        <v>3.2370000000000001</v>
      </c>
      <c r="BB2916" t="str">
        <f>"Y"</f>
        <v>Y</v>
      </c>
      <c r="BD2916" t="str">
        <f>"ערן שלו"</f>
        <v>ערן שלו</v>
      </c>
    </row>
    <row r="2917" spans="1:56" x14ac:dyDescent="0.3">
      <c r="A2917" s="1">
        <v>44245</v>
      </c>
      <c r="B2917" t="str">
        <f>"SI216000284"</f>
        <v>SI216000284</v>
      </c>
      <c r="C2917" t="str">
        <f>"PR20000789"</f>
        <v>PR20000789</v>
      </c>
      <c r="D2917" t="str">
        <f>"PR20000789"</f>
        <v>PR20000789</v>
      </c>
      <c r="E2917" t="str">
        <f>"Y"</f>
        <v>Y</v>
      </c>
      <c r="F2917" t="str">
        <f>"חשבוניות מרכזות"</f>
        <v>חשבוניות מרכזות</v>
      </c>
      <c r="G2917" t="str">
        <f>"700065"</f>
        <v>700065</v>
      </c>
      <c r="H2917" t="str">
        <f>"אלתא מערכות בע""מ"</f>
        <v>אלתא מערכות בע"מ</v>
      </c>
      <c r="I2917" t="str">
        <f>"10"</f>
        <v>10</v>
      </c>
      <c r="J2917" t="str">
        <f>"OP-AR02087"</f>
        <v>OP-AR02087</v>
      </c>
      <c r="K2917" t="str">
        <f>"2219B071-001/-  PS HI POWER CABLE"</f>
        <v>2219B071-001/-  PS HI POWER CABLE</v>
      </c>
      <c r="L2917">
        <v>1</v>
      </c>
      <c r="M2917" t="str">
        <f>"יח"</f>
        <v>יח</v>
      </c>
      <c r="N2917">
        <v>1</v>
      </c>
      <c r="O2917" t="str">
        <f>"יח"</f>
        <v>יח</v>
      </c>
      <c r="P2917">
        <v>619.95000000000005</v>
      </c>
      <c r="Q2917" t="str">
        <f>"$"</f>
        <v>$</v>
      </c>
      <c r="R2917" t="str">
        <f>"הזמנה"</f>
        <v>הזמנה</v>
      </c>
      <c r="S2917">
        <v>0</v>
      </c>
      <c r="T2917">
        <v>619.95000000000005</v>
      </c>
      <c r="U2917">
        <v>0</v>
      </c>
      <c r="V2917">
        <v>619.95000000000005</v>
      </c>
      <c r="W2917" t="str">
        <f>"$"</f>
        <v>$</v>
      </c>
      <c r="X2917">
        <v>0</v>
      </c>
      <c r="Y2917">
        <v>0</v>
      </c>
      <c r="Z2917">
        <v>0</v>
      </c>
      <c r="AA2917" t="str">
        <f>"Y"</f>
        <v>Y</v>
      </c>
      <c r="AB2917" t="str">
        <f>"SO20000518"</f>
        <v>SO20000518</v>
      </c>
      <c r="AC2917">
        <v>2</v>
      </c>
      <c r="AD2917" s="1">
        <v>44145</v>
      </c>
      <c r="AE2917" t="str">
        <f>"SH21000293"</f>
        <v>SH21000293</v>
      </c>
      <c r="AF2917" t="str">
        <f>"משלוחים ללקוח"</f>
        <v>משלוחים ללקוח</v>
      </c>
      <c r="AG2917" s="1">
        <v>44244</v>
      </c>
      <c r="AM2917" t="str">
        <f>"10"</f>
        <v>10</v>
      </c>
      <c r="AN2917" t="str">
        <f>"500000"</f>
        <v>500000</v>
      </c>
      <c r="AO2917" t="str">
        <f>"הכנסות  מלקוחות"</f>
        <v>הכנסות  מלקוחות</v>
      </c>
      <c r="AQ2917" t="str">
        <f>"034"</f>
        <v>034</v>
      </c>
      <c r="AR2917">
        <v>0</v>
      </c>
      <c r="AS2917">
        <v>0</v>
      </c>
      <c r="AT2917">
        <v>3.2570000000000001</v>
      </c>
      <c r="AX2917" t="str">
        <f>"E000324732"</f>
        <v>E000324732</v>
      </c>
      <c r="BD2917" t="str">
        <f>"ערן שלו"</f>
        <v>ערן שלו</v>
      </c>
    </row>
    <row r="2918" spans="1:56" x14ac:dyDescent="0.3">
      <c r="A2918" s="1">
        <v>44245</v>
      </c>
      <c r="B2918" t="str">
        <f>"SI216000283"</f>
        <v>SI216000283</v>
      </c>
      <c r="C2918" t="str">
        <f>"PR20000789"</f>
        <v>PR20000789</v>
      </c>
      <c r="E2918" t="str">
        <f>"Y"</f>
        <v>Y</v>
      </c>
      <c r="F2918" t="str">
        <f>"חשבוניות מרכזות"</f>
        <v>חשבוניות מרכזות</v>
      </c>
      <c r="G2918" t="str">
        <f>"700065"</f>
        <v>700065</v>
      </c>
      <c r="H2918" t="str">
        <f>"אלתא מערכות בע""מ"</f>
        <v>אלתא מערכות בע"מ</v>
      </c>
      <c r="I2918" t="str">
        <f>"10"</f>
        <v>10</v>
      </c>
      <c r="J2918" t="str">
        <f>"OP-AR02087"</f>
        <v>OP-AR02087</v>
      </c>
      <c r="K2918" t="str">
        <f>"2219B071-001/-  PS HI POWER CABLE"</f>
        <v>2219B071-001/-  PS HI POWER CABLE</v>
      </c>
      <c r="L2918">
        <v>-1</v>
      </c>
      <c r="M2918" t="str">
        <f>"יח"</f>
        <v>יח</v>
      </c>
      <c r="N2918">
        <v>-1</v>
      </c>
      <c r="O2918" t="str">
        <f>"יח"</f>
        <v>יח</v>
      </c>
      <c r="P2918">
        <v>619.95000000000005</v>
      </c>
      <c r="Q2918" t="str">
        <f>"$"</f>
        <v>$</v>
      </c>
      <c r="R2918" t="str">
        <f>"הזמנה"</f>
        <v>הזמנה</v>
      </c>
      <c r="S2918">
        <v>0</v>
      </c>
      <c r="T2918">
        <v>-619.95000000000005</v>
      </c>
      <c r="U2918">
        <v>0</v>
      </c>
      <c r="V2918">
        <v>-619.95000000000005</v>
      </c>
      <c r="W2918" t="str">
        <f>"$"</f>
        <v>$</v>
      </c>
      <c r="X2918">
        <v>0</v>
      </c>
      <c r="Y2918">
        <v>0</v>
      </c>
      <c r="Z2918">
        <v>0</v>
      </c>
      <c r="AA2918" t="str">
        <f>"Y"</f>
        <v>Y</v>
      </c>
      <c r="AC2918">
        <v>0</v>
      </c>
      <c r="AM2918" t="str">
        <f>"10"</f>
        <v>10</v>
      </c>
      <c r="AN2918" t="str">
        <f>"500000"</f>
        <v>500000</v>
      </c>
      <c r="AO2918" t="str">
        <f>"הכנסות  מלקוחות"</f>
        <v>הכנסות  מלקוחות</v>
      </c>
      <c r="AQ2918" t="str">
        <f>"034"</f>
        <v>034</v>
      </c>
      <c r="AR2918">
        <v>0</v>
      </c>
      <c r="AS2918">
        <v>0</v>
      </c>
      <c r="AT2918">
        <v>3.2370000000000001</v>
      </c>
      <c r="BB2918" t="str">
        <f>"Y"</f>
        <v>Y</v>
      </c>
      <c r="BD2918" t="str">
        <f>"ערן שלו"</f>
        <v>ערן שלו</v>
      </c>
    </row>
    <row r="2919" spans="1:56" x14ac:dyDescent="0.3">
      <c r="A2919" s="1">
        <v>44245</v>
      </c>
      <c r="B2919" t="str">
        <f>"SI216000282"</f>
        <v>SI216000282</v>
      </c>
      <c r="C2919" t="str">
        <f>"PR20000791"</f>
        <v>PR20000791</v>
      </c>
      <c r="D2919" t="str">
        <f>"PR20000791"</f>
        <v>PR20000791</v>
      </c>
      <c r="E2919" t="str">
        <f>"Y"</f>
        <v>Y</v>
      </c>
      <c r="F2919" t="str">
        <f>"חשבוניות מרכזות"</f>
        <v>חשבוניות מרכזות</v>
      </c>
      <c r="G2919" t="str">
        <f>"700065"</f>
        <v>700065</v>
      </c>
      <c r="H2919" t="str">
        <f>"אלתא מערכות בע""מ"</f>
        <v>אלתא מערכות בע"מ</v>
      </c>
      <c r="I2919" t="str">
        <f>"10"</f>
        <v>10</v>
      </c>
      <c r="J2919" t="str">
        <f>"OP-AR02069"</f>
        <v>OP-AR02069</v>
      </c>
      <c r="K2919" t="str">
        <f>"9004F465-001/A  CABLE GLINK"</f>
        <v>9004F465-001/A  CABLE GLINK</v>
      </c>
      <c r="L2919">
        <v>19</v>
      </c>
      <c r="M2919" t="str">
        <f>"יח"</f>
        <v>יח</v>
      </c>
      <c r="N2919">
        <v>19</v>
      </c>
      <c r="O2919" t="str">
        <f>"יח"</f>
        <v>יח</v>
      </c>
      <c r="P2919">
        <v>243.11</v>
      </c>
      <c r="Q2919" t="str">
        <f>"$"</f>
        <v>$</v>
      </c>
      <c r="R2919" t="str">
        <f>"הזמנה"</f>
        <v>הזמנה</v>
      </c>
      <c r="S2919">
        <v>0</v>
      </c>
      <c r="T2919" s="2">
        <v>4619.09</v>
      </c>
      <c r="U2919">
        <v>0</v>
      </c>
      <c r="V2919" s="2">
        <v>4619.09</v>
      </c>
      <c r="W2919" t="str">
        <f>"$"</f>
        <v>$</v>
      </c>
      <c r="X2919">
        <v>0</v>
      </c>
      <c r="Y2919">
        <v>0</v>
      </c>
      <c r="Z2919">
        <v>0</v>
      </c>
      <c r="AA2919" t="str">
        <f>"Y"</f>
        <v>Y</v>
      </c>
      <c r="AB2919" t="str">
        <f>"SO20000515"</f>
        <v>SO20000515</v>
      </c>
      <c r="AC2919">
        <v>1</v>
      </c>
      <c r="AD2919" s="1">
        <v>44144</v>
      </c>
      <c r="AE2919" t="str">
        <f>"SH21000297"</f>
        <v>SH21000297</v>
      </c>
      <c r="AF2919" t="str">
        <f>"משלוחים ללקוח"</f>
        <v>משלוחים ללקוח</v>
      </c>
      <c r="AG2919" s="1">
        <v>44244</v>
      </c>
      <c r="AM2919" t="str">
        <f>"10"</f>
        <v>10</v>
      </c>
      <c r="AN2919" t="str">
        <f>"500000"</f>
        <v>500000</v>
      </c>
      <c r="AO2919" t="str">
        <f>"הכנסות  מלקוחות"</f>
        <v>הכנסות  מלקוחות</v>
      </c>
      <c r="AQ2919" t="str">
        <f>"034"</f>
        <v>034</v>
      </c>
      <c r="AR2919">
        <v>0</v>
      </c>
      <c r="AS2919">
        <v>0</v>
      </c>
      <c r="AT2919">
        <v>3.2650000000000001</v>
      </c>
      <c r="AX2919" t="str">
        <f>"E000324547"</f>
        <v>E000324547</v>
      </c>
      <c r="BD2919" t="str">
        <f>"ערן שלו"</f>
        <v>ערן שלו</v>
      </c>
    </row>
    <row r="2920" spans="1:56" x14ac:dyDescent="0.3">
      <c r="A2920" s="1">
        <v>44245</v>
      </c>
      <c r="B2920" t="str">
        <f>"SI216000280"</f>
        <v>SI216000280</v>
      </c>
      <c r="C2920" t="str">
        <f>"PR19000750"</f>
        <v>PR19000750</v>
      </c>
      <c r="D2920" t="str">
        <f>"PR19000750"</f>
        <v>PR19000750</v>
      </c>
      <c r="E2920" t="str">
        <f>"Y"</f>
        <v>Y</v>
      </c>
      <c r="F2920" t="str">
        <f>"חשבוניות מרכזות"</f>
        <v>חשבוניות מרכזות</v>
      </c>
      <c r="G2920" t="str">
        <f>"700065"</f>
        <v>700065</v>
      </c>
      <c r="H2920" t="str">
        <f>"אלתא מערכות בע""מ"</f>
        <v>אלתא מערכות בע"מ</v>
      </c>
      <c r="I2920" t="str">
        <f>"11"</f>
        <v>11</v>
      </c>
      <c r="J2920" t="str">
        <f>"OP-KT00096"</f>
        <v>OP-KT00096</v>
      </c>
      <c r="K2920" t="str">
        <f>"PDB SPARES O LEVEL"</f>
        <v>PDB SPARES O LEVEL</v>
      </c>
      <c r="L2920">
        <v>1</v>
      </c>
      <c r="M2920" t="str">
        <f>"יח"</f>
        <v>יח</v>
      </c>
      <c r="N2920">
        <v>1</v>
      </c>
      <c r="O2920" t="str">
        <f>"יח"</f>
        <v>יח</v>
      </c>
      <c r="P2920" s="2">
        <v>6574</v>
      </c>
      <c r="Q2920" t="str">
        <f>"$"</f>
        <v>$</v>
      </c>
      <c r="R2920" t="str">
        <f>"הזמנה"</f>
        <v>הזמנה</v>
      </c>
      <c r="S2920">
        <v>0</v>
      </c>
      <c r="T2920" s="2">
        <v>6574</v>
      </c>
      <c r="U2920">
        <v>0</v>
      </c>
      <c r="V2920" s="2">
        <v>6574</v>
      </c>
      <c r="W2920" t="str">
        <f>"$"</f>
        <v>$</v>
      </c>
      <c r="X2920">
        <v>0</v>
      </c>
      <c r="Y2920">
        <v>0</v>
      </c>
      <c r="Z2920">
        <v>0</v>
      </c>
      <c r="AA2920" t="str">
        <f>"Y"</f>
        <v>Y</v>
      </c>
      <c r="AB2920" t="str">
        <f>"SO19000535"</f>
        <v>SO19000535</v>
      </c>
      <c r="AC2920">
        <v>7</v>
      </c>
      <c r="AD2920" s="1">
        <v>43823</v>
      </c>
      <c r="AE2920" t="str">
        <f>"SH21000302"</f>
        <v>SH21000302</v>
      </c>
      <c r="AF2920" t="str">
        <f>"משלוחים ללקוח"</f>
        <v>משלוחים ללקוח</v>
      </c>
      <c r="AG2920" s="1">
        <v>44245</v>
      </c>
      <c r="AM2920" t="str">
        <f>"10"</f>
        <v>10</v>
      </c>
      <c r="AN2920" t="str">
        <f>"500000"</f>
        <v>500000</v>
      </c>
      <c r="AO2920" t="str">
        <f>"הכנסות  מלקוחות"</f>
        <v>הכנסות  מלקוחות</v>
      </c>
      <c r="AQ2920" t="str">
        <f>"034"</f>
        <v>034</v>
      </c>
      <c r="AR2920">
        <v>0</v>
      </c>
      <c r="AS2920">
        <v>0</v>
      </c>
      <c r="AT2920">
        <v>3.2650000000000001</v>
      </c>
      <c r="AX2920" t="str">
        <f>"E000303378"</f>
        <v>E000303378</v>
      </c>
      <c r="BD2920" t="str">
        <f>"ערן שלו"</f>
        <v>ערן שלו</v>
      </c>
    </row>
    <row r="2921" spans="1:56" x14ac:dyDescent="0.3">
      <c r="A2921" s="1">
        <v>44245</v>
      </c>
      <c r="B2921" t="str">
        <f>"SI216000280"</f>
        <v>SI216000280</v>
      </c>
      <c r="C2921" t="str">
        <f>"PR19000750"</f>
        <v>PR19000750</v>
      </c>
      <c r="D2921" t="str">
        <f>"PR19000750"</f>
        <v>PR19000750</v>
      </c>
      <c r="E2921" t="str">
        <f>"Y"</f>
        <v>Y</v>
      </c>
      <c r="F2921" t="str">
        <f>"חשבוניות מרכזות"</f>
        <v>חשבוניות מרכזות</v>
      </c>
      <c r="G2921" t="str">
        <f>"700065"</f>
        <v>700065</v>
      </c>
      <c r="H2921" t="str">
        <f>"אלתא מערכות בע""מ"</f>
        <v>אלתא מערכות בע"מ</v>
      </c>
      <c r="I2921" t="str">
        <f>"10"</f>
        <v>10</v>
      </c>
      <c r="J2921" t="str">
        <f>"OP-KT00096"</f>
        <v>OP-KT00096</v>
      </c>
      <c r="K2921" t="str">
        <f>"PDB SPARES O LEVEL"</f>
        <v>PDB SPARES O LEVEL</v>
      </c>
      <c r="L2921">
        <v>1</v>
      </c>
      <c r="M2921" t="str">
        <f>"יח"</f>
        <v>יח</v>
      </c>
      <c r="N2921">
        <v>1</v>
      </c>
      <c r="O2921" t="str">
        <f>"יח"</f>
        <v>יח</v>
      </c>
      <c r="P2921" s="2">
        <v>6574</v>
      </c>
      <c r="Q2921" t="str">
        <f>"$"</f>
        <v>$</v>
      </c>
      <c r="R2921" t="str">
        <f>"הזמנה"</f>
        <v>הזמנה</v>
      </c>
      <c r="S2921">
        <v>0</v>
      </c>
      <c r="T2921" s="2">
        <v>6574</v>
      </c>
      <c r="U2921">
        <v>0</v>
      </c>
      <c r="V2921" s="2">
        <v>6574</v>
      </c>
      <c r="W2921" t="str">
        <f>"$"</f>
        <v>$</v>
      </c>
      <c r="X2921">
        <v>0</v>
      </c>
      <c r="Y2921">
        <v>0</v>
      </c>
      <c r="Z2921">
        <v>0</v>
      </c>
      <c r="AA2921" t="str">
        <f>"Y"</f>
        <v>Y</v>
      </c>
      <c r="AB2921" t="str">
        <f>"SO19000535"</f>
        <v>SO19000535</v>
      </c>
      <c r="AC2921">
        <v>9</v>
      </c>
      <c r="AD2921" s="1">
        <v>43823</v>
      </c>
      <c r="AE2921" t="str">
        <f>"SH21000302"</f>
        <v>SH21000302</v>
      </c>
      <c r="AF2921" t="str">
        <f>"משלוחים ללקוח"</f>
        <v>משלוחים ללקוח</v>
      </c>
      <c r="AG2921" s="1">
        <v>44245</v>
      </c>
      <c r="AM2921" t="str">
        <f>"10"</f>
        <v>10</v>
      </c>
      <c r="AN2921" t="str">
        <f>"500000"</f>
        <v>500000</v>
      </c>
      <c r="AO2921" t="str">
        <f>"הכנסות  מלקוחות"</f>
        <v>הכנסות  מלקוחות</v>
      </c>
      <c r="AQ2921" t="str">
        <f>"034"</f>
        <v>034</v>
      </c>
      <c r="AR2921">
        <v>0</v>
      </c>
      <c r="AS2921">
        <v>0</v>
      </c>
      <c r="AT2921">
        <v>3.2650000000000001</v>
      </c>
      <c r="AX2921" t="str">
        <f>"E000303378"</f>
        <v>E000303378</v>
      </c>
      <c r="BD2921" t="str">
        <f>"ערן שלו"</f>
        <v>ערן שלו</v>
      </c>
    </row>
    <row r="2922" spans="1:56" x14ac:dyDescent="0.3">
      <c r="A2922" s="1">
        <v>44245</v>
      </c>
      <c r="B2922" t="str">
        <f>"SI216000280"</f>
        <v>SI216000280</v>
      </c>
      <c r="C2922" t="str">
        <f>"PR19000750"</f>
        <v>PR19000750</v>
      </c>
      <c r="D2922" t="str">
        <f>"PR19000750"</f>
        <v>PR19000750</v>
      </c>
      <c r="E2922" t="str">
        <f>"Y"</f>
        <v>Y</v>
      </c>
      <c r="F2922" t="str">
        <f>"חשבוניות מרכזות"</f>
        <v>חשבוניות מרכזות</v>
      </c>
      <c r="G2922" t="str">
        <f>"700065"</f>
        <v>700065</v>
      </c>
      <c r="H2922" t="str">
        <f>"אלתא מערכות בע""מ"</f>
        <v>אלתא מערכות בע"מ</v>
      </c>
      <c r="I2922" t="str">
        <f>"10"</f>
        <v>10</v>
      </c>
      <c r="J2922" t="str">
        <f>"OP-KT00099"</f>
        <v>OP-KT00099</v>
      </c>
      <c r="K2922" t="str">
        <f>"1037C837-001 - PDB SPARES I LEVEL"</f>
        <v>1037C837-001 - PDB SPARES I LEVEL</v>
      </c>
      <c r="L2922">
        <v>1</v>
      </c>
      <c r="M2922" t="str">
        <f>"יח"</f>
        <v>יח</v>
      </c>
      <c r="N2922">
        <v>1</v>
      </c>
      <c r="O2922" t="str">
        <f>"יח"</f>
        <v>יח</v>
      </c>
      <c r="P2922" s="2">
        <v>15240</v>
      </c>
      <c r="Q2922" t="str">
        <f>"$"</f>
        <v>$</v>
      </c>
      <c r="R2922" t="str">
        <f>"הזמנה"</f>
        <v>הזמנה</v>
      </c>
      <c r="S2922">
        <v>0</v>
      </c>
      <c r="T2922" s="2">
        <v>15240</v>
      </c>
      <c r="U2922">
        <v>0</v>
      </c>
      <c r="V2922" s="2">
        <v>15240</v>
      </c>
      <c r="W2922" t="str">
        <f>"$"</f>
        <v>$</v>
      </c>
      <c r="X2922">
        <v>0</v>
      </c>
      <c r="Y2922">
        <v>0</v>
      </c>
      <c r="Z2922">
        <v>0</v>
      </c>
      <c r="AA2922" t="str">
        <f>"Y"</f>
        <v>Y</v>
      </c>
      <c r="AB2922" t="str">
        <f>"SO19000535"</f>
        <v>SO19000535</v>
      </c>
      <c r="AC2922">
        <v>18</v>
      </c>
      <c r="AD2922" s="1">
        <v>43823</v>
      </c>
      <c r="AE2922" t="str">
        <f>"SH21000302"</f>
        <v>SH21000302</v>
      </c>
      <c r="AF2922" t="str">
        <f>"משלוחים ללקוח"</f>
        <v>משלוחים ללקוח</v>
      </c>
      <c r="AG2922" s="1">
        <v>44245</v>
      </c>
      <c r="AM2922" t="str">
        <f>"10"</f>
        <v>10</v>
      </c>
      <c r="AN2922" t="str">
        <f>"500000"</f>
        <v>500000</v>
      </c>
      <c r="AO2922" t="str">
        <f>"הכנסות  מלקוחות"</f>
        <v>הכנסות  מלקוחות</v>
      </c>
      <c r="AQ2922" t="str">
        <f>"034"</f>
        <v>034</v>
      </c>
      <c r="AR2922">
        <v>0</v>
      </c>
      <c r="AS2922">
        <v>0</v>
      </c>
      <c r="AT2922">
        <v>3.2650000000000001</v>
      </c>
      <c r="AX2922" t="str">
        <f>"E000303378"</f>
        <v>E000303378</v>
      </c>
      <c r="BD2922" t="str">
        <f>"ערן שלו"</f>
        <v>ערן שלו</v>
      </c>
    </row>
    <row r="2923" spans="1:56" x14ac:dyDescent="0.3">
      <c r="A2923" s="1">
        <v>44245</v>
      </c>
      <c r="B2923" t="str">
        <f>"SI216000256"</f>
        <v>SI216000256</v>
      </c>
      <c r="C2923" t="str">
        <f>"PR20000531"</f>
        <v>PR20000531</v>
      </c>
      <c r="D2923" t="str">
        <f>"PR20000531"</f>
        <v>PR20000531</v>
      </c>
      <c r="E2923" t="str">
        <f>"Y"</f>
        <v>Y</v>
      </c>
      <c r="F2923" t="str">
        <f>"חשבוניות מרכזות"</f>
        <v>חשבוניות מרכזות</v>
      </c>
      <c r="G2923" t="str">
        <f>"700065"</f>
        <v>700065</v>
      </c>
      <c r="H2923" t="str">
        <f>"אלתא מערכות בע""מ"</f>
        <v>אלתא מערכות בע"מ</v>
      </c>
      <c r="I2923" t="str">
        <f>"10"</f>
        <v>10</v>
      </c>
      <c r="J2923" t="str">
        <f>"PA1000608"</f>
        <v>PA1000608</v>
      </c>
      <c r="K2923" t="str">
        <f>"מתאם לפלאג RQND-40AB-S-1506-SB"</f>
        <v>מתאם לפלאג RQND-40AB-S-1506-SB</v>
      </c>
      <c r="L2923">
        <v>72</v>
      </c>
      <c r="M2923" t="str">
        <f>"יח"</f>
        <v>יח</v>
      </c>
      <c r="N2923">
        <v>72</v>
      </c>
      <c r="O2923" t="str">
        <f>"יח"</f>
        <v>יח</v>
      </c>
      <c r="P2923">
        <v>14.28</v>
      </c>
      <c r="Q2923" t="str">
        <f>"$"</f>
        <v>$</v>
      </c>
      <c r="R2923" t="str">
        <f>"הזמנה"</f>
        <v>הזמנה</v>
      </c>
      <c r="S2923">
        <v>0</v>
      </c>
      <c r="T2923" s="2">
        <v>1028.1600000000001</v>
      </c>
      <c r="U2923">
        <v>0</v>
      </c>
      <c r="V2923" s="2">
        <v>1028.1600000000001</v>
      </c>
      <c r="W2923" t="str">
        <f>"$"</f>
        <v>$</v>
      </c>
      <c r="X2923">
        <v>0</v>
      </c>
      <c r="Y2923">
        <v>0</v>
      </c>
      <c r="Z2923">
        <v>0</v>
      </c>
      <c r="AA2923" t="str">
        <f>"Y"</f>
        <v>Y</v>
      </c>
      <c r="AB2923" t="str">
        <f>"SO20000338"</f>
        <v>SO20000338</v>
      </c>
      <c r="AC2923">
        <v>7</v>
      </c>
      <c r="AD2923" s="1">
        <v>44045</v>
      </c>
      <c r="AE2923" t="str">
        <f>"SH21000266"</f>
        <v>SH21000266</v>
      </c>
      <c r="AF2923" t="str">
        <f>"משלוחים ללקוח"</f>
        <v>משלוחים ללקוח</v>
      </c>
      <c r="AG2923" s="1">
        <v>44242</v>
      </c>
      <c r="AM2923" t="str">
        <f>"10"</f>
        <v>10</v>
      </c>
      <c r="AN2923" t="str">
        <f>"500000"</f>
        <v>500000</v>
      </c>
      <c r="AO2923" t="str">
        <f>"הכנסות  מלקוחות"</f>
        <v>הכנסות  מלקוחות</v>
      </c>
      <c r="AQ2923" t="str">
        <f>"034"</f>
        <v>034</v>
      </c>
      <c r="AR2923">
        <v>0</v>
      </c>
      <c r="AS2923">
        <v>0</v>
      </c>
      <c r="AT2923">
        <v>3.2650000000000001</v>
      </c>
      <c r="AX2923" t="str">
        <f>"E000317820"</f>
        <v>E000317820</v>
      </c>
      <c r="BD2923" t="str">
        <f>"ערן שלו"</f>
        <v>ערן שלו</v>
      </c>
    </row>
    <row r="2924" spans="1:56" x14ac:dyDescent="0.3">
      <c r="A2924" s="1">
        <v>44245</v>
      </c>
      <c r="B2924" t="str">
        <f>"SI216000255"</f>
        <v>SI216000255</v>
      </c>
      <c r="C2924" t="str">
        <f>"PR20000531"</f>
        <v>PR20000531</v>
      </c>
      <c r="E2924" t="str">
        <f>"Y"</f>
        <v>Y</v>
      </c>
      <c r="F2924" t="str">
        <f>"חשבוניות מרכזות"</f>
        <v>חשבוניות מרכזות</v>
      </c>
      <c r="G2924" t="str">
        <f>"700065"</f>
        <v>700065</v>
      </c>
      <c r="H2924" t="str">
        <f>"אלתא מערכות בע""מ"</f>
        <v>אלתא מערכות בע"מ</v>
      </c>
      <c r="I2924" t="str">
        <f>"10"</f>
        <v>10</v>
      </c>
      <c r="J2924" t="str">
        <f>"PA1000608"</f>
        <v>PA1000608</v>
      </c>
      <c r="K2924" t="str">
        <f>"מתאם לפלאג RQND-40AB-S-1506-SB"</f>
        <v>מתאם לפלאג RQND-40AB-S-1506-SB</v>
      </c>
      <c r="L2924">
        <v>-72</v>
      </c>
      <c r="M2924" t="str">
        <f>"יח"</f>
        <v>יח</v>
      </c>
      <c r="N2924">
        <v>-72</v>
      </c>
      <c r="O2924" t="str">
        <f>"יח"</f>
        <v>יח</v>
      </c>
      <c r="P2924">
        <v>14.28</v>
      </c>
      <c r="Q2924" t="str">
        <f>"$"</f>
        <v>$</v>
      </c>
      <c r="R2924" t="str">
        <f>"הזמנה"</f>
        <v>הזמנה</v>
      </c>
      <c r="S2924">
        <v>0</v>
      </c>
      <c r="T2924" s="2">
        <v>-1028.1600000000001</v>
      </c>
      <c r="U2924">
        <v>0</v>
      </c>
      <c r="V2924" s="2">
        <v>-1028.1600000000001</v>
      </c>
      <c r="W2924" t="str">
        <f>"$"</f>
        <v>$</v>
      </c>
      <c r="X2924">
        <v>0</v>
      </c>
      <c r="Y2924">
        <v>0</v>
      </c>
      <c r="Z2924">
        <v>0</v>
      </c>
      <c r="AA2924" t="str">
        <f>"Y"</f>
        <v>Y</v>
      </c>
      <c r="AC2924">
        <v>0</v>
      </c>
      <c r="AM2924" t="str">
        <f>"10"</f>
        <v>10</v>
      </c>
      <c r="AN2924" t="str">
        <f>"500000"</f>
        <v>500000</v>
      </c>
      <c r="AO2924" t="str">
        <f>"הכנסות  מלקוחות"</f>
        <v>הכנסות  מלקוחות</v>
      </c>
      <c r="AQ2924" t="str">
        <f>"034"</f>
        <v>034</v>
      </c>
      <c r="AR2924">
        <v>0</v>
      </c>
      <c r="AS2924">
        <v>0</v>
      </c>
      <c r="AT2924">
        <v>3.27</v>
      </c>
      <c r="BB2924" t="str">
        <f>"Y"</f>
        <v>Y</v>
      </c>
      <c r="BD2924" t="str">
        <f>"ערן שלו"</f>
        <v>ערן שלו</v>
      </c>
    </row>
    <row r="2925" spans="1:56" x14ac:dyDescent="0.3">
      <c r="A2925" s="1">
        <v>44245</v>
      </c>
      <c r="B2925" t="str">
        <f>"SI216000254"</f>
        <v>SI216000254</v>
      </c>
      <c r="C2925" t="str">
        <f>"PR20000620"</f>
        <v>PR20000620</v>
      </c>
      <c r="E2925" t="str">
        <f>"Y"</f>
        <v>Y</v>
      </c>
      <c r="F2925" t="str">
        <f>"חשבוניות מרכזות"</f>
        <v>חשבוניות מרכזות</v>
      </c>
      <c r="G2925" t="str">
        <f>"700065"</f>
        <v>700065</v>
      </c>
      <c r="H2925" t="str">
        <f>"אלתא מערכות בע""מ"</f>
        <v>אלתא מערכות בע"מ</v>
      </c>
      <c r="I2925" t="str">
        <f>"10"</f>
        <v>10</v>
      </c>
      <c r="J2925" t="str">
        <f>"OP-AR02007"</f>
        <v>OP-AR02007</v>
      </c>
      <c r="K2925" t="str">
        <f>"1017C863-001/C  CABLE 220V AC RACK PANEL W63"</f>
        <v>1017C863-001/C  CABLE 220V AC RACK PANEL W63</v>
      </c>
      <c r="L2925">
        <v>-1</v>
      </c>
      <c r="M2925" t="str">
        <f>"יח"</f>
        <v>יח</v>
      </c>
      <c r="N2925">
        <v>-1</v>
      </c>
      <c r="O2925" t="str">
        <f>"יח"</f>
        <v>יח</v>
      </c>
      <c r="P2925" s="2">
        <v>1516.71</v>
      </c>
      <c r="Q2925" t="str">
        <f>"$"</f>
        <v>$</v>
      </c>
      <c r="R2925" t="str">
        <f>"הזמנה"</f>
        <v>הזמנה</v>
      </c>
      <c r="S2925">
        <v>0</v>
      </c>
      <c r="T2925" s="2">
        <v>-1516.71</v>
      </c>
      <c r="U2925">
        <v>0</v>
      </c>
      <c r="V2925" s="2">
        <v>-1516.71</v>
      </c>
      <c r="W2925" t="str">
        <f>"$"</f>
        <v>$</v>
      </c>
      <c r="X2925">
        <v>0</v>
      </c>
      <c r="Y2925">
        <v>0</v>
      </c>
      <c r="Z2925">
        <v>0</v>
      </c>
      <c r="AA2925" t="str">
        <f>"Y"</f>
        <v>Y</v>
      </c>
      <c r="AC2925">
        <v>0</v>
      </c>
      <c r="AM2925" t="str">
        <f>"10"</f>
        <v>10</v>
      </c>
      <c r="AN2925" t="str">
        <f>"500000"</f>
        <v>500000</v>
      </c>
      <c r="AO2925" t="str">
        <f>"הכנסות  מלקוחות"</f>
        <v>הכנסות  מלקוחות</v>
      </c>
      <c r="AQ2925" t="str">
        <f>"034"</f>
        <v>034</v>
      </c>
      <c r="AR2925">
        <v>0</v>
      </c>
      <c r="AS2925">
        <v>0</v>
      </c>
      <c r="AT2925">
        <v>3.2370000000000001</v>
      </c>
      <c r="BB2925" t="str">
        <f>"Y"</f>
        <v>Y</v>
      </c>
      <c r="BD2925" t="str">
        <f>"ערן שלו"</f>
        <v>ערן שלו</v>
      </c>
    </row>
    <row r="2926" spans="1:56" x14ac:dyDescent="0.3">
      <c r="A2926" s="1">
        <v>44245</v>
      </c>
      <c r="B2926" t="str">
        <f>"SI216000254"</f>
        <v>SI216000254</v>
      </c>
      <c r="C2926" t="str">
        <f>"PR20000620"</f>
        <v>PR20000620</v>
      </c>
      <c r="E2926" t="str">
        <f>"Y"</f>
        <v>Y</v>
      </c>
      <c r="F2926" t="str">
        <f>"חשבוניות מרכזות"</f>
        <v>חשבוניות מרכזות</v>
      </c>
      <c r="G2926" t="str">
        <f>"700065"</f>
        <v>700065</v>
      </c>
      <c r="H2926" t="str">
        <f>"אלתא מערכות בע""מ"</f>
        <v>אלתא מערכות בע"מ</v>
      </c>
      <c r="I2926" t="str">
        <f>"10"</f>
        <v>10</v>
      </c>
      <c r="J2926" t="str">
        <f>"OP-AR02008"</f>
        <v>OP-AR02008</v>
      </c>
      <c r="K2926" t="str">
        <f>"1016C803-001/E  W3 220V TO MEU AND TRANS CABLE"</f>
        <v>1016C803-001/E  W3 220V TO MEU AND TRANS CABLE</v>
      </c>
      <c r="L2926">
        <v>-2</v>
      </c>
      <c r="M2926" t="str">
        <f>"יח"</f>
        <v>יח</v>
      </c>
      <c r="N2926">
        <v>-2</v>
      </c>
      <c r="O2926" t="str">
        <f>"יח"</f>
        <v>יח</v>
      </c>
      <c r="P2926">
        <v>887.08</v>
      </c>
      <c r="Q2926" t="str">
        <f>"$"</f>
        <v>$</v>
      </c>
      <c r="R2926" t="str">
        <f>"הזמנה"</f>
        <v>הזמנה</v>
      </c>
      <c r="S2926">
        <v>0</v>
      </c>
      <c r="T2926" s="2">
        <v>-1774.16</v>
      </c>
      <c r="U2926">
        <v>0</v>
      </c>
      <c r="V2926" s="2">
        <v>-1774.16</v>
      </c>
      <c r="W2926" t="str">
        <f>"$"</f>
        <v>$</v>
      </c>
      <c r="X2926">
        <v>0</v>
      </c>
      <c r="Y2926">
        <v>0</v>
      </c>
      <c r="Z2926">
        <v>0</v>
      </c>
      <c r="AA2926" t="str">
        <f>"Y"</f>
        <v>Y</v>
      </c>
      <c r="AC2926">
        <v>0</v>
      </c>
      <c r="AM2926" t="str">
        <f>"10"</f>
        <v>10</v>
      </c>
      <c r="AN2926" t="str">
        <f>"500000"</f>
        <v>500000</v>
      </c>
      <c r="AO2926" t="str">
        <f>"הכנסות  מלקוחות"</f>
        <v>הכנסות  מלקוחות</v>
      </c>
      <c r="AQ2926" t="str">
        <f>"034"</f>
        <v>034</v>
      </c>
      <c r="AR2926">
        <v>0</v>
      </c>
      <c r="AS2926">
        <v>0</v>
      </c>
      <c r="AT2926">
        <v>3.2370000000000001</v>
      </c>
      <c r="BB2926" t="str">
        <f>"Y"</f>
        <v>Y</v>
      </c>
      <c r="BD2926" t="str">
        <f>"ערן שלו"</f>
        <v>ערן שלו</v>
      </c>
    </row>
    <row r="2927" spans="1:56" x14ac:dyDescent="0.3">
      <c r="A2927" s="1">
        <v>44245</v>
      </c>
      <c r="B2927" t="str">
        <f>"SI216000254"</f>
        <v>SI216000254</v>
      </c>
      <c r="C2927" t="str">
        <f>"PR20000620"</f>
        <v>PR20000620</v>
      </c>
      <c r="E2927" t="str">
        <f>"Y"</f>
        <v>Y</v>
      </c>
      <c r="F2927" t="str">
        <f>"חשבוניות מרכזות"</f>
        <v>חשבוניות מרכזות</v>
      </c>
      <c r="G2927" t="str">
        <f>"700065"</f>
        <v>700065</v>
      </c>
      <c r="H2927" t="str">
        <f>"אלתא מערכות בע""מ"</f>
        <v>אלתא מערכות בע"מ</v>
      </c>
      <c r="I2927" t="str">
        <f>"10"</f>
        <v>10</v>
      </c>
      <c r="J2927" t="str">
        <f>"OP-AR02010"</f>
        <v>OP-AR02010</v>
      </c>
      <c r="K2927" t="str">
        <f>"1017C862-001/B   CABLE 220V AC RACK PANEL W62"</f>
        <v>1017C862-001/B   CABLE 220V AC RACK PANEL W62</v>
      </c>
      <c r="L2927">
        <v>-2</v>
      </c>
      <c r="M2927" t="str">
        <f>"יח"</f>
        <v>יח</v>
      </c>
      <c r="N2927">
        <v>-2</v>
      </c>
      <c r="O2927" t="str">
        <f>"יח"</f>
        <v>יח</v>
      </c>
      <c r="P2927" s="2">
        <v>1331.94</v>
      </c>
      <c r="Q2927" t="str">
        <f>"$"</f>
        <v>$</v>
      </c>
      <c r="R2927" t="str">
        <f>"הזמנה"</f>
        <v>הזמנה</v>
      </c>
      <c r="S2927">
        <v>0</v>
      </c>
      <c r="T2927" s="2">
        <v>-2663.88</v>
      </c>
      <c r="U2927">
        <v>0</v>
      </c>
      <c r="V2927" s="2">
        <v>-2663.88</v>
      </c>
      <c r="W2927" t="str">
        <f>"$"</f>
        <v>$</v>
      </c>
      <c r="X2927">
        <v>0</v>
      </c>
      <c r="Y2927">
        <v>0</v>
      </c>
      <c r="Z2927">
        <v>0</v>
      </c>
      <c r="AA2927" t="str">
        <f>"Y"</f>
        <v>Y</v>
      </c>
      <c r="AC2927">
        <v>0</v>
      </c>
      <c r="AM2927" t="str">
        <f>"10"</f>
        <v>10</v>
      </c>
      <c r="AN2927" t="str">
        <f>"500000"</f>
        <v>500000</v>
      </c>
      <c r="AO2927" t="str">
        <f>"הכנסות  מלקוחות"</f>
        <v>הכנסות  מלקוחות</v>
      </c>
      <c r="AQ2927" t="str">
        <f>"034"</f>
        <v>034</v>
      </c>
      <c r="AR2927">
        <v>0</v>
      </c>
      <c r="AS2927">
        <v>0</v>
      </c>
      <c r="AT2927">
        <v>3.2370000000000001</v>
      </c>
      <c r="BB2927" t="str">
        <f>"Y"</f>
        <v>Y</v>
      </c>
      <c r="BD2927" t="str">
        <f>"ערן שלו"</f>
        <v>ערן שלו</v>
      </c>
    </row>
    <row r="2928" spans="1:56" x14ac:dyDescent="0.3">
      <c r="A2928" s="1">
        <v>44245</v>
      </c>
      <c r="B2928" t="str">
        <f>"SI216000253"</f>
        <v>SI216000253</v>
      </c>
      <c r="C2928" t="str">
        <f>"PR20000531"</f>
        <v>PR20000531</v>
      </c>
      <c r="E2928" t="str">
        <f>"Y"</f>
        <v>Y</v>
      </c>
      <c r="F2928" t="str">
        <f>"חשבוניות מרכזות"</f>
        <v>חשבוניות מרכזות</v>
      </c>
      <c r="G2928" t="str">
        <f>"700065"</f>
        <v>700065</v>
      </c>
      <c r="H2928" t="str">
        <f>"אלתא מערכות בע""מ"</f>
        <v>אלתא מערכות בע"מ</v>
      </c>
      <c r="I2928" t="str">
        <f>"10"</f>
        <v>10</v>
      </c>
      <c r="J2928" t="str">
        <f>"PA1000608"</f>
        <v>PA1000608</v>
      </c>
      <c r="K2928" t="str">
        <f>"מתאם לפלאג RQND-40AB-S-1506-SB"</f>
        <v>מתאם לפלאג RQND-40AB-S-1506-SB</v>
      </c>
      <c r="L2928">
        <v>72</v>
      </c>
      <c r="M2928" t="str">
        <f>"יח"</f>
        <v>יח</v>
      </c>
      <c r="N2928">
        <v>72</v>
      </c>
      <c r="O2928" t="str">
        <f>"יח"</f>
        <v>יח</v>
      </c>
      <c r="P2928">
        <v>14.28</v>
      </c>
      <c r="Q2928" t="str">
        <f>"$"</f>
        <v>$</v>
      </c>
      <c r="R2928" t="str">
        <f>"הזמנה"</f>
        <v>הזמנה</v>
      </c>
      <c r="S2928">
        <v>0</v>
      </c>
      <c r="T2928" s="2">
        <v>1028.1600000000001</v>
      </c>
      <c r="U2928">
        <v>0</v>
      </c>
      <c r="V2928" s="2">
        <v>1028.1600000000001</v>
      </c>
      <c r="W2928" t="str">
        <f>"$"</f>
        <v>$</v>
      </c>
      <c r="X2928">
        <v>0</v>
      </c>
      <c r="Y2928">
        <v>0</v>
      </c>
      <c r="Z2928">
        <v>0</v>
      </c>
      <c r="AA2928" t="str">
        <f>"Y"</f>
        <v>Y</v>
      </c>
      <c r="AC2928">
        <v>0</v>
      </c>
      <c r="AM2928" t="str">
        <f>"10"</f>
        <v>10</v>
      </c>
      <c r="AN2928" t="str">
        <f>"500000"</f>
        <v>500000</v>
      </c>
      <c r="AO2928" t="str">
        <f>"הכנסות  מלקוחות"</f>
        <v>הכנסות  מלקוחות</v>
      </c>
      <c r="AQ2928" t="str">
        <f>"034"</f>
        <v>034</v>
      </c>
      <c r="AR2928">
        <v>0</v>
      </c>
      <c r="AS2928">
        <v>0</v>
      </c>
      <c r="AT2928">
        <v>3.27</v>
      </c>
      <c r="BB2928" t="str">
        <f>"Y"</f>
        <v>Y</v>
      </c>
      <c r="BD2928" t="str">
        <f>"ערן שלו"</f>
        <v>ערן שלו</v>
      </c>
    </row>
    <row r="2929" spans="1:56" x14ac:dyDescent="0.3">
      <c r="A2929" s="1">
        <v>44245</v>
      </c>
      <c r="B2929" t="str">
        <f>"SI216000252"</f>
        <v>SI216000252</v>
      </c>
      <c r="C2929" t="str">
        <f>"PR20000531"</f>
        <v>PR20000531</v>
      </c>
      <c r="E2929" t="str">
        <f>"Y"</f>
        <v>Y</v>
      </c>
      <c r="F2929" t="str">
        <f>"חשבוניות מרכזות"</f>
        <v>חשבוניות מרכזות</v>
      </c>
      <c r="G2929" t="str">
        <f>"700065"</f>
        <v>700065</v>
      </c>
      <c r="H2929" t="str">
        <f>"אלתא מערכות בע""מ"</f>
        <v>אלתא מערכות בע"מ</v>
      </c>
      <c r="I2929" t="str">
        <f>"10"</f>
        <v>10</v>
      </c>
      <c r="J2929" t="str">
        <f>"PA1000608"</f>
        <v>PA1000608</v>
      </c>
      <c r="K2929" t="str">
        <f>"מתאם לפלאג RQND-40AB-S-1506-SB"</f>
        <v>מתאם לפלאג RQND-40AB-S-1506-SB</v>
      </c>
      <c r="L2929">
        <v>-72</v>
      </c>
      <c r="M2929" t="str">
        <f>"יח"</f>
        <v>יח</v>
      </c>
      <c r="N2929">
        <v>-72</v>
      </c>
      <c r="O2929" t="str">
        <f>"יח"</f>
        <v>יח</v>
      </c>
      <c r="P2929">
        <v>14.28</v>
      </c>
      <c r="Q2929" t="str">
        <f>"$"</f>
        <v>$</v>
      </c>
      <c r="R2929" t="str">
        <f>"הזמנה"</f>
        <v>הזמנה</v>
      </c>
      <c r="S2929">
        <v>0</v>
      </c>
      <c r="T2929" s="2">
        <v>-1028.1600000000001</v>
      </c>
      <c r="U2929">
        <v>0</v>
      </c>
      <c r="V2929" s="2">
        <v>-1028.1600000000001</v>
      </c>
      <c r="W2929" t="str">
        <f>"$"</f>
        <v>$</v>
      </c>
      <c r="X2929">
        <v>0</v>
      </c>
      <c r="Y2929">
        <v>0</v>
      </c>
      <c r="Z2929">
        <v>0</v>
      </c>
      <c r="AA2929" t="str">
        <f>"Y"</f>
        <v>Y</v>
      </c>
      <c r="AC2929">
        <v>0</v>
      </c>
      <c r="AM2929" t="str">
        <f>"10"</f>
        <v>10</v>
      </c>
      <c r="AN2929" t="str">
        <f>"500000"</f>
        <v>500000</v>
      </c>
      <c r="AO2929" t="str">
        <f>"הכנסות  מלקוחות"</f>
        <v>הכנסות  מלקוחות</v>
      </c>
      <c r="AQ2929" t="str">
        <f>"034"</f>
        <v>034</v>
      </c>
      <c r="AR2929">
        <v>0</v>
      </c>
      <c r="AS2929">
        <v>0</v>
      </c>
      <c r="AT2929">
        <v>3.2370000000000001</v>
      </c>
      <c r="BB2929" t="str">
        <f>"Y"</f>
        <v>Y</v>
      </c>
      <c r="BD2929" t="str">
        <f>"ערן שלו"</f>
        <v>ערן שלו</v>
      </c>
    </row>
    <row r="2930" spans="1:56" x14ac:dyDescent="0.3">
      <c r="A2930" s="1">
        <v>44245</v>
      </c>
      <c r="B2930" t="str">
        <f>"SI216000230"</f>
        <v>SI216000230</v>
      </c>
      <c r="C2930" t="str">
        <f>"PR20000796"</f>
        <v>PR20000796</v>
      </c>
      <c r="E2930" t="str">
        <f>"Y"</f>
        <v>Y</v>
      </c>
      <c r="F2930" t="str">
        <f>"חשבוניות מרכזות"</f>
        <v>חשבוניות מרכזות</v>
      </c>
      <c r="G2930" t="str">
        <f>"700065"</f>
        <v>700065</v>
      </c>
      <c r="H2930" t="str">
        <f>"אלתא מערכות בע""מ"</f>
        <v>אלתא מערכות בע"מ</v>
      </c>
      <c r="I2930" t="str">
        <f>"10"</f>
        <v>10</v>
      </c>
      <c r="J2930" t="str">
        <f>"OP-AR02075"</f>
        <v>OP-AR02075</v>
      </c>
      <c r="K2930" t="str">
        <f>"1027H562-001/-  HARNESS WH002 - POWER TO MOTOR"</f>
        <v>1027H562-001/-  HARNESS WH002 - POWER TO MOTOR</v>
      </c>
      <c r="L2930">
        <v>1</v>
      </c>
      <c r="M2930" t="str">
        <f>"יח"</f>
        <v>יח</v>
      </c>
      <c r="N2930">
        <v>1</v>
      </c>
      <c r="O2930" t="str">
        <f>"יח"</f>
        <v>יח</v>
      </c>
      <c r="P2930">
        <v>606.66999999999996</v>
      </c>
      <c r="Q2930" t="str">
        <f>"$"</f>
        <v>$</v>
      </c>
      <c r="R2930" t="str">
        <f>"הזמנה"</f>
        <v>הזמנה</v>
      </c>
      <c r="S2930">
        <v>0</v>
      </c>
      <c r="T2930">
        <v>606.66999999999996</v>
      </c>
      <c r="U2930">
        <v>0</v>
      </c>
      <c r="V2930">
        <v>606.66999999999996</v>
      </c>
      <c r="W2930" t="str">
        <f>"$"</f>
        <v>$</v>
      </c>
      <c r="X2930">
        <v>0</v>
      </c>
      <c r="Y2930">
        <v>0</v>
      </c>
      <c r="Z2930">
        <v>0</v>
      </c>
      <c r="AA2930" t="str">
        <f>"Y"</f>
        <v>Y</v>
      </c>
      <c r="AC2930">
        <v>0</v>
      </c>
      <c r="AM2930" t="str">
        <f>"10"</f>
        <v>10</v>
      </c>
      <c r="AN2930" t="str">
        <f>"500000"</f>
        <v>500000</v>
      </c>
      <c r="AO2930" t="str">
        <f>"הכנסות  מלקוחות"</f>
        <v>הכנסות  מלקוחות</v>
      </c>
      <c r="AQ2930" t="str">
        <f>"034"</f>
        <v>034</v>
      </c>
      <c r="AR2930">
        <v>0</v>
      </c>
      <c r="AS2930">
        <v>0</v>
      </c>
      <c r="AT2930">
        <v>3.2370000000000001</v>
      </c>
      <c r="BB2930" t="str">
        <f>"Y"</f>
        <v>Y</v>
      </c>
      <c r="BD2930" t="str">
        <f>"ערן שלו"</f>
        <v>ערן שלו</v>
      </c>
    </row>
    <row r="2931" spans="1:56" x14ac:dyDescent="0.3">
      <c r="A2931" s="1">
        <v>44245</v>
      </c>
      <c r="B2931" t="str">
        <f>"SI216000230"</f>
        <v>SI216000230</v>
      </c>
      <c r="C2931" t="str">
        <f>"PR20000796"</f>
        <v>PR20000796</v>
      </c>
      <c r="E2931" t="str">
        <f>"Y"</f>
        <v>Y</v>
      </c>
      <c r="F2931" t="str">
        <f>"חשבוניות מרכזות"</f>
        <v>חשבוניות מרכזות</v>
      </c>
      <c r="G2931" t="str">
        <f>"700065"</f>
        <v>700065</v>
      </c>
      <c r="H2931" t="str">
        <f>"אלתא מערכות בע""מ"</f>
        <v>אלתא מערכות בע"מ</v>
      </c>
      <c r="I2931" t="str">
        <f>"10"</f>
        <v>10</v>
      </c>
      <c r="J2931" t="str">
        <f>"OP-AR02077"</f>
        <v>OP-AR02077</v>
      </c>
      <c r="K2931" t="str">
        <f>"1027H564-001/-  HARNESS WH004 - PCU TO MEASURING"</f>
        <v>1027H564-001/-  HARNESS WH004 - PCU TO MEASURING</v>
      </c>
      <c r="L2931">
        <v>1</v>
      </c>
      <c r="M2931" t="str">
        <f>"יח"</f>
        <v>יח</v>
      </c>
      <c r="N2931">
        <v>1</v>
      </c>
      <c r="O2931" t="str">
        <f>"יח"</f>
        <v>יח</v>
      </c>
      <c r="P2931">
        <v>539.36</v>
      </c>
      <c r="Q2931" t="str">
        <f>"$"</f>
        <v>$</v>
      </c>
      <c r="R2931" t="str">
        <f>"הזמנה"</f>
        <v>הזמנה</v>
      </c>
      <c r="S2931">
        <v>0</v>
      </c>
      <c r="T2931">
        <v>539.36</v>
      </c>
      <c r="U2931">
        <v>0</v>
      </c>
      <c r="V2931">
        <v>539.36</v>
      </c>
      <c r="W2931" t="str">
        <f>"$"</f>
        <v>$</v>
      </c>
      <c r="X2931">
        <v>0</v>
      </c>
      <c r="Y2931">
        <v>0</v>
      </c>
      <c r="Z2931">
        <v>0</v>
      </c>
      <c r="AA2931" t="str">
        <f>"Y"</f>
        <v>Y</v>
      </c>
      <c r="AC2931">
        <v>0</v>
      </c>
      <c r="AM2931" t="str">
        <f>"10"</f>
        <v>10</v>
      </c>
      <c r="AN2931" t="str">
        <f>"500000"</f>
        <v>500000</v>
      </c>
      <c r="AO2931" t="str">
        <f>"הכנסות  מלקוחות"</f>
        <v>הכנסות  מלקוחות</v>
      </c>
      <c r="AQ2931" t="str">
        <f>"034"</f>
        <v>034</v>
      </c>
      <c r="AR2931">
        <v>0</v>
      </c>
      <c r="AS2931">
        <v>0</v>
      </c>
      <c r="AT2931">
        <v>3.2370000000000001</v>
      </c>
      <c r="BB2931" t="str">
        <f>"Y"</f>
        <v>Y</v>
      </c>
      <c r="BD2931" t="str">
        <f>"ערן שלו"</f>
        <v>ערן שלו</v>
      </c>
    </row>
    <row r="2932" spans="1:56" x14ac:dyDescent="0.3">
      <c r="A2932" s="1">
        <v>44245</v>
      </c>
      <c r="B2932" t="str">
        <f>"SI216000230"</f>
        <v>SI216000230</v>
      </c>
      <c r="C2932" t="str">
        <f>"PR20000796"</f>
        <v>PR20000796</v>
      </c>
      <c r="E2932" t="str">
        <f>"Y"</f>
        <v>Y</v>
      </c>
      <c r="F2932" t="str">
        <f>"חשבוניות מרכזות"</f>
        <v>חשבוניות מרכזות</v>
      </c>
      <c r="G2932" t="str">
        <f>"700065"</f>
        <v>700065</v>
      </c>
      <c r="H2932" t="str">
        <f>"אלתא מערכות בע""מ"</f>
        <v>אלתא מערכות בע"מ</v>
      </c>
      <c r="I2932" t="str">
        <f>"10"</f>
        <v>10</v>
      </c>
      <c r="J2932" t="str">
        <f>"OP-AR02083"</f>
        <v>OP-AR02083</v>
      </c>
      <c r="K2932" t="str">
        <f>"1027H571-001/-  HARNESS WH011 - IFF ETH TO PEDES"</f>
        <v>1027H571-001/-  HARNESS WH011 - IFF ETH TO PEDES</v>
      </c>
      <c r="L2932">
        <v>1</v>
      </c>
      <c r="M2932" t="str">
        <f>"יח"</f>
        <v>יח</v>
      </c>
      <c r="N2932">
        <v>1</v>
      </c>
      <c r="O2932" t="str">
        <f>"יח"</f>
        <v>יח</v>
      </c>
      <c r="P2932">
        <v>271.39</v>
      </c>
      <c r="Q2932" t="str">
        <f>"$"</f>
        <v>$</v>
      </c>
      <c r="R2932" t="str">
        <f>"הזמנה"</f>
        <v>הזמנה</v>
      </c>
      <c r="S2932">
        <v>0</v>
      </c>
      <c r="T2932">
        <v>271.39</v>
      </c>
      <c r="U2932">
        <v>0</v>
      </c>
      <c r="V2932">
        <v>271.39</v>
      </c>
      <c r="W2932" t="str">
        <f>"$"</f>
        <v>$</v>
      </c>
      <c r="X2932">
        <v>0</v>
      </c>
      <c r="Y2932">
        <v>0</v>
      </c>
      <c r="Z2932">
        <v>0</v>
      </c>
      <c r="AA2932" t="str">
        <f>"Y"</f>
        <v>Y</v>
      </c>
      <c r="AC2932">
        <v>0</v>
      </c>
      <c r="AM2932" t="str">
        <f>"10"</f>
        <v>10</v>
      </c>
      <c r="AN2932" t="str">
        <f>"500000"</f>
        <v>500000</v>
      </c>
      <c r="AO2932" t="str">
        <f>"הכנסות  מלקוחות"</f>
        <v>הכנסות  מלקוחות</v>
      </c>
      <c r="AQ2932" t="str">
        <f>"034"</f>
        <v>034</v>
      </c>
      <c r="AR2932">
        <v>0</v>
      </c>
      <c r="AS2932">
        <v>0</v>
      </c>
      <c r="AT2932">
        <v>3.2370000000000001</v>
      </c>
      <c r="BB2932" t="str">
        <f>"Y"</f>
        <v>Y</v>
      </c>
      <c r="BD2932" t="str">
        <f>"ערן שלו"</f>
        <v>ערן שלו</v>
      </c>
    </row>
    <row r="2933" spans="1:56" x14ac:dyDescent="0.3">
      <c r="A2933" s="1">
        <v>44245</v>
      </c>
      <c r="B2933" t="str">
        <f>"SI216000229"</f>
        <v>SI216000229</v>
      </c>
      <c r="C2933" t="str">
        <f>"PR20000667"</f>
        <v>PR20000667</v>
      </c>
      <c r="E2933" t="str">
        <f>"Y"</f>
        <v>Y</v>
      </c>
      <c r="F2933" t="str">
        <f>"חשבוניות מרכזות"</f>
        <v>חשבוניות מרכזות</v>
      </c>
      <c r="G2933" t="str">
        <f>"700065"</f>
        <v>700065</v>
      </c>
      <c r="H2933" t="str">
        <f>"אלתא מערכות בע""מ"</f>
        <v>אלתא מערכות בע"מ</v>
      </c>
      <c r="I2933" t="str">
        <f>"10"</f>
        <v>10</v>
      </c>
      <c r="J2933" t="str">
        <f>"OP-AR02039"</f>
        <v>OP-AR02039</v>
      </c>
      <c r="K2933" t="str">
        <f>"9003T407-001/B  HARNESS WC207 - CTRL - PNL 103 I"</f>
        <v>9003T407-001/B  HARNESS WC207 - CTRL - PNL 103 I</v>
      </c>
      <c r="L2933">
        <v>1</v>
      </c>
      <c r="M2933" t="str">
        <f>"יח"</f>
        <v>יח</v>
      </c>
      <c r="N2933">
        <v>1</v>
      </c>
      <c r="O2933" t="str">
        <f>"יח"</f>
        <v>יח</v>
      </c>
      <c r="P2933" s="2">
        <v>1257.7</v>
      </c>
      <c r="Q2933" t="str">
        <f>"$"</f>
        <v>$</v>
      </c>
      <c r="R2933" t="str">
        <f>"הזמנה"</f>
        <v>הזמנה</v>
      </c>
      <c r="S2933">
        <v>0</v>
      </c>
      <c r="T2933" s="2">
        <v>1257.7</v>
      </c>
      <c r="U2933">
        <v>0</v>
      </c>
      <c r="V2933" s="2">
        <v>1257.7</v>
      </c>
      <c r="W2933" t="str">
        <f>"$"</f>
        <v>$</v>
      </c>
      <c r="X2933">
        <v>0</v>
      </c>
      <c r="Y2933">
        <v>0</v>
      </c>
      <c r="Z2933">
        <v>0</v>
      </c>
      <c r="AA2933" t="str">
        <f>"Y"</f>
        <v>Y</v>
      </c>
      <c r="AC2933">
        <v>0</v>
      </c>
      <c r="AM2933" t="str">
        <f>"10"</f>
        <v>10</v>
      </c>
      <c r="AN2933" t="str">
        <f>"500000"</f>
        <v>500000</v>
      </c>
      <c r="AO2933" t="str">
        <f>"הכנסות  מלקוחות"</f>
        <v>הכנסות  מלקוחות</v>
      </c>
      <c r="AQ2933" t="str">
        <f>"034"</f>
        <v>034</v>
      </c>
      <c r="AR2933">
        <v>0</v>
      </c>
      <c r="AS2933">
        <v>0</v>
      </c>
      <c r="AT2933">
        <v>3.2370000000000001</v>
      </c>
      <c r="BB2933" t="str">
        <f>"Y"</f>
        <v>Y</v>
      </c>
      <c r="BD2933" t="str">
        <f>"ערן שלו"</f>
        <v>ערן שלו</v>
      </c>
    </row>
    <row r="2934" spans="1:56" x14ac:dyDescent="0.3">
      <c r="A2934" s="1">
        <v>44245</v>
      </c>
      <c r="B2934" t="str">
        <f>"SI216000228"</f>
        <v>SI216000228</v>
      </c>
      <c r="C2934" t="str">
        <f>"PR20000789"</f>
        <v>PR20000789</v>
      </c>
      <c r="E2934" t="str">
        <f>"Y"</f>
        <v>Y</v>
      </c>
      <c r="F2934" t="str">
        <f>"חשבוניות מרכזות"</f>
        <v>חשבוניות מרכזות</v>
      </c>
      <c r="G2934" t="str">
        <f>"700065"</f>
        <v>700065</v>
      </c>
      <c r="H2934" t="str">
        <f>"אלתא מערכות בע""מ"</f>
        <v>אלתא מערכות בע"מ</v>
      </c>
      <c r="I2934" t="str">
        <f>"10"</f>
        <v>10</v>
      </c>
      <c r="J2934" t="str">
        <f>"OP-AR02087"</f>
        <v>OP-AR02087</v>
      </c>
      <c r="K2934" t="str">
        <f>"2219B071-001/-  PS HI POWER CABLE"</f>
        <v>2219B071-001/-  PS HI POWER CABLE</v>
      </c>
      <c r="L2934">
        <v>1</v>
      </c>
      <c r="M2934" t="str">
        <f>"יח"</f>
        <v>יח</v>
      </c>
      <c r="N2934">
        <v>1</v>
      </c>
      <c r="O2934" t="str">
        <f>"יח"</f>
        <v>יח</v>
      </c>
      <c r="P2934">
        <v>619.95000000000005</v>
      </c>
      <c r="Q2934" t="str">
        <f>"$"</f>
        <v>$</v>
      </c>
      <c r="R2934" t="str">
        <f>"הזמנה"</f>
        <v>הזמנה</v>
      </c>
      <c r="S2934">
        <v>0</v>
      </c>
      <c r="T2934">
        <v>619.95000000000005</v>
      </c>
      <c r="U2934">
        <v>0</v>
      </c>
      <c r="V2934">
        <v>619.95000000000005</v>
      </c>
      <c r="W2934" t="str">
        <f>"$"</f>
        <v>$</v>
      </c>
      <c r="X2934">
        <v>0</v>
      </c>
      <c r="Y2934">
        <v>0</v>
      </c>
      <c r="Z2934">
        <v>0</v>
      </c>
      <c r="AA2934" t="str">
        <f>"Y"</f>
        <v>Y</v>
      </c>
      <c r="AC2934">
        <v>0</v>
      </c>
      <c r="AM2934" t="str">
        <f>"10"</f>
        <v>10</v>
      </c>
      <c r="AN2934" t="str">
        <f>"500000"</f>
        <v>500000</v>
      </c>
      <c r="AO2934" t="str">
        <f>"הכנסות  מלקוחות"</f>
        <v>הכנסות  מלקוחות</v>
      </c>
      <c r="AQ2934" t="str">
        <f>"034"</f>
        <v>034</v>
      </c>
      <c r="AR2934">
        <v>0</v>
      </c>
      <c r="AS2934">
        <v>0</v>
      </c>
      <c r="AT2934">
        <v>3.2370000000000001</v>
      </c>
      <c r="BB2934" t="str">
        <f>"Y"</f>
        <v>Y</v>
      </c>
      <c r="BD2934" t="str">
        <f>"ערן שלו"</f>
        <v>ערן שלו</v>
      </c>
    </row>
    <row r="2935" spans="1:56" x14ac:dyDescent="0.3">
      <c r="A2935" s="1">
        <v>44245</v>
      </c>
      <c r="B2935" t="str">
        <f>"SI216000226"</f>
        <v>SI216000226</v>
      </c>
      <c r="C2935" t="str">
        <f>"PR20000531"</f>
        <v>PR20000531</v>
      </c>
      <c r="E2935" t="str">
        <f>"Y"</f>
        <v>Y</v>
      </c>
      <c r="F2935" t="str">
        <f>"חשבוניות מרכזות"</f>
        <v>חשבוניות מרכזות</v>
      </c>
      <c r="G2935" t="str">
        <f>"700065"</f>
        <v>700065</v>
      </c>
      <c r="H2935" t="str">
        <f>"אלתא מערכות בע""מ"</f>
        <v>אלתא מערכות בע"מ</v>
      </c>
      <c r="I2935" t="str">
        <f>"10"</f>
        <v>10</v>
      </c>
      <c r="J2935" t="str">
        <f>"PA1000608"</f>
        <v>PA1000608</v>
      </c>
      <c r="K2935" t="str">
        <f>"מתאם לפלאג RQND-40AB-S-1506-SB"</f>
        <v>מתאם לפלאג RQND-40AB-S-1506-SB</v>
      </c>
      <c r="L2935">
        <v>72</v>
      </c>
      <c r="M2935" t="str">
        <f>"יח"</f>
        <v>יח</v>
      </c>
      <c r="N2935">
        <v>72</v>
      </c>
      <c r="O2935" t="str">
        <f>"יח"</f>
        <v>יח</v>
      </c>
      <c r="P2935">
        <v>14.28</v>
      </c>
      <c r="Q2935" t="str">
        <f>"$"</f>
        <v>$</v>
      </c>
      <c r="R2935" t="str">
        <f>"הזמנה"</f>
        <v>הזמנה</v>
      </c>
      <c r="S2935">
        <v>0</v>
      </c>
      <c r="T2935" s="2">
        <v>1028.1600000000001</v>
      </c>
      <c r="U2935">
        <v>0</v>
      </c>
      <c r="V2935" s="2">
        <v>1028.1600000000001</v>
      </c>
      <c r="W2935" t="str">
        <f>"$"</f>
        <v>$</v>
      </c>
      <c r="X2935">
        <v>0</v>
      </c>
      <c r="Y2935">
        <v>0</v>
      </c>
      <c r="Z2935">
        <v>0</v>
      </c>
      <c r="AA2935" t="str">
        <f>"Y"</f>
        <v>Y</v>
      </c>
      <c r="AC2935">
        <v>0</v>
      </c>
      <c r="AM2935" t="str">
        <f>"10"</f>
        <v>10</v>
      </c>
      <c r="AN2935" t="str">
        <f>"500000"</f>
        <v>500000</v>
      </c>
      <c r="AO2935" t="str">
        <f>"הכנסות  מלקוחות"</f>
        <v>הכנסות  מלקוחות</v>
      </c>
      <c r="AQ2935" t="str">
        <f>"034"</f>
        <v>034</v>
      </c>
      <c r="AR2935">
        <v>0</v>
      </c>
      <c r="AS2935">
        <v>0</v>
      </c>
      <c r="AT2935">
        <v>3.2370000000000001</v>
      </c>
      <c r="BB2935" t="str">
        <f>"Y"</f>
        <v>Y</v>
      </c>
      <c r="BD2935" t="str">
        <f>"ערן שלו"</f>
        <v>ערן שלו</v>
      </c>
    </row>
    <row r="2936" spans="1:56" x14ac:dyDescent="0.3">
      <c r="A2936" s="1">
        <v>44245</v>
      </c>
      <c r="B2936" t="str">
        <f>"SI216000225"</f>
        <v>SI216000225</v>
      </c>
      <c r="C2936" t="str">
        <f>"PR20000530"</f>
        <v>PR20000530</v>
      </c>
      <c r="E2936" t="str">
        <f>"Y"</f>
        <v>Y</v>
      </c>
      <c r="F2936" t="str">
        <f>"חשבוניות מרכזות"</f>
        <v>חשבוניות מרכזות</v>
      </c>
      <c r="G2936" t="str">
        <f>"700065"</f>
        <v>700065</v>
      </c>
      <c r="H2936" t="str">
        <f>"אלתא מערכות בע""מ"</f>
        <v>אלתא מערכות בע"מ</v>
      </c>
      <c r="I2936" t="str">
        <f>"10"</f>
        <v>10</v>
      </c>
      <c r="J2936" t="str">
        <f>"OP-AR01965"</f>
        <v>OP-AR01965</v>
      </c>
      <c r="K2936" t="str">
        <f>"1031Y637-001/A - CABLE ASSY WC101"</f>
        <v>1031Y637-001/A - CABLE ASSY WC101</v>
      </c>
      <c r="L2936">
        <v>2</v>
      </c>
      <c r="M2936" t="str">
        <f>"יח"</f>
        <v>יח</v>
      </c>
      <c r="N2936">
        <v>2</v>
      </c>
      <c r="O2936" t="str">
        <f>"יח"</f>
        <v>יח</v>
      </c>
      <c r="P2936" s="2">
        <v>3852.22</v>
      </c>
      <c r="Q2936" t="str">
        <f>"$"</f>
        <v>$</v>
      </c>
      <c r="R2936" t="str">
        <f>"הזמנה"</f>
        <v>הזמנה</v>
      </c>
      <c r="S2936">
        <v>0</v>
      </c>
      <c r="T2936" s="2">
        <v>7704.44</v>
      </c>
      <c r="U2936">
        <v>0</v>
      </c>
      <c r="V2936" s="2">
        <v>7704.44</v>
      </c>
      <c r="W2936" t="str">
        <f>"$"</f>
        <v>$</v>
      </c>
      <c r="X2936">
        <v>0</v>
      </c>
      <c r="Y2936">
        <v>0</v>
      </c>
      <c r="Z2936">
        <v>0</v>
      </c>
      <c r="AA2936" t="str">
        <f>"Y"</f>
        <v>Y</v>
      </c>
      <c r="AC2936">
        <v>0</v>
      </c>
      <c r="AM2936" t="str">
        <f>"10"</f>
        <v>10</v>
      </c>
      <c r="AN2936" t="str">
        <f>"500000"</f>
        <v>500000</v>
      </c>
      <c r="AO2936" t="str">
        <f>"הכנסות  מלקוחות"</f>
        <v>הכנסות  מלקוחות</v>
      </c>
      <c r="AQ2936" t="str">
        <f>"034"</f>
        <v>034</v>
      </c>
      <c r="AR2936">
        <v>0</v>
      </c>
      <c r="AS2936">
        <v>0</v>
      </c>
      <c r="AT2936">
        <v>3.2370000000000001</v>
      </c>
      <c r="BB2936" t="str">
        <f>"Y"</f>
        <v>Y</v>
      </c>
      <c r="BD2936" t="str">
        <f>"ערן שלו"</f>
        <v>ערן שלו</v>
      </c>
    </row>
    <row r="2937" spans="1:56" x14ac:dyDescent="0.3">
      <c r="A2937" s="1">
        <v>44245</v>
      </c>
      <c r="B2937" t="str">
        <f>"SI216000223"</f>
        <v>SI216000223</v>
      </c>
      <c r="C2937" t="str">
        <f>"PR18000543"</f>
        <v>PR18000543</v>
      </c>
      <c r="E2937" t="str">
        <f>"Y"</f>
        <v>Y</v>
      </c>
      <c r="F2937" t="str">
        <f>"חשבוניות מרכזות"</f>
        <v>חשבוניות מרכזות</v>
      </c>
      <c r="G2937" t="str">
        <f>"700065"</f>
        <v>700065</v>
      </c>
      <c r="H2937" t="str">
        <f>"אלתא מערכות בע""מ"</f>
        <v>אלתא מערכות בע"מ</v>
      </c>
      <c r="I2937" t="str">
        <f>"10"</f>
        <v>10</v>
      </c>
      <c r="J2937" t="str">
        <f>"OP-AR01083"</f>
        <v>OP-AR01083</v>
      </c>
      <c r="K2937" t="str">
        <f>"1036C960-001 HVJB_N"</f>
        <v>1036C960-001 HVJB_N</v>
      </c>
      <c r="L2937">
        <v>5</v>
      </c>
      <c r="M2937" t="str">
        <f>"יח"</f>
        <v>יח</v>
      </c>
      <c r="N2937">
        <v>5</v>
      </c>
      <c r="O2937" t="str">
        <f>"יח"</f>
        <v>יח</v>
      </c>
      <c r="P2937" s="2">
        <v>6000</v>
      </c>
      <c r="Q2937" t="str">
        <f>"$"</f>
        <v>$</v>
      </c>
      <c r="R2937" t="str">
        <f>"הזמנה"</f>
        <v>הזמנה</v>
      </c>
      <c r="S2937">
        <v>0</v>
      </c>
      <c r="T2937" s="2">
        <v>30000</v>
      </c>
      <c r="U2937">
        <v>0</v>
      </c>
      <c r="V2937" s="2">
        <v>30000</v>
      </c>
      <c r="W2937" t="str">
        <f>"$"</f>
        <v>$</v>
      </c>
      <c r="X2937">
        <v>0</v>
      </c>
      <c r="Y2937">
        <v>0</v>
      </c>
      <c r="Z2937">
        <v>0</v>
      </c>
      <c r="AA2937" t="str">
        <f>"Y"</f>
        <v>Y</v>
      </c>
      <c r="AC2937">
        <v>0</v>
      </c>
      <c r="AM2937" t="str">
        <f>"10"</f>
        <v>10</v>
      </c>
      <c r="AN2937" t="str">
        <f>"500000"</f>
        <v>500000</v>
      </c>
      <c r="AO2937" t="str">
        <f>"הכנסות  מלקוחות"</f>
        <v>הכנסות  מלקוחות</v>
      </c>
      <c r="AQ2937" t="str">
        <f>"034"</f>
        <v>034</v>
      </c>
      <c r="AR2937">
        <v>0</v>
      </c>
      <c r="AS2937">
        <v>0</v>
      </c>
      <c r="AT2937">
        <v>3.2370000000000001</v>
      </c>
      <c r="BB2937" t="str">
        <f>"Y"</f>
        <v>Y</v>
      </c>
      <c r="BD2937" t="str">
        <f>"ערן שלו"</f>
        <v>ערן שלו</v>
      </c>
    </row>
    <row r="2938" spans="1:56" x14ac:dyDescent="0.3">
      <c r="A2938" s="1">
        <v>44245</v>
      </c>
      <c r="B2938" t="str">
        <f>"SI216000223"</f>
        <v>SI216000223</v>
      </c>
      <c r="C2938" t="str">
        <f>"PR18000543"</f>
        <v>PR18000543</v>
      </c>
      <c r="E2938" t="str">
        <f>"Y"</f>
        <v>Y</v>
      </c>
      <c r="F2938" t="str">
        <f>"חשבוניות מרכזות"</f>
        <v>חשבוניות מרכזות</v>
      </c>
      <c r="G2938" t="str">
        <f>"700065"</f>
        <v>700065</v>
      </c>
      <c r="H2938" t="str">
        <f>"אלתא מערכות בע""מ"</f>
        <v>אלתא מערכות בע"מ</v>
      </c>
      <c r="I2938" t="str">
        <f>"10"</f>
        <v>10</v>
      </c>
      <c r="J2938" t="str">
        <f>"OP-AR01083"</f>
        <v>OP-AR01083</v>
      </c>
      <c r="K2938" t="str">
        <f>"1036C960-001 HVJB_N"</f>
        <v>1036C960-001 HVJB_N</v>
      </c>
      <c r="L2938">
        <v>1</v>
      </c>
      <c r="M2938" t="str">
        <f>"יח"</f>
        <v>יח</v>
      </c>
      <c r="N2938">
        <v>1</v>
      </c>
      <c r="O2938" t="str">
        <f>"יח"</f>
        <v>יח</v>
      </c>
      <c r="P2938" s="2">
        <v>6000</v>
      </c>
      <c r="Q2938" t="str">
        <f>"$"</f>
        <v>$</v>
      </c>
      <c r="R2938" t="str">
        <f>"הזמנה"</f>
        <v>הזמנה</v>
      </c>
      <c r="S2938">
        <v>0</v>
      </c>
      <c r="T2938" s="2">
        <v>6000</v>
      </c>
      <c r="U2938">
        <v>0</v>
      </c>
      <c r="V2938" s="2">
        <v>6000</v>
      </c>
      <c r="W2938" t="str">
        <f>"$"</f>
        <v>$</v>
      </c>
      <c r="X2938">
        <v>0</v>
      </c>
      <c r="Y2938">
        <v>0</v>
      </c>
      <c r="Z2938">
        <v>0</v>
      </c>
      <c r="AA2938" t="str">
        <f>"Y"</f>
        <v>Y</v>
      </c>
      <c r="AC2938">
        <v>0</v>
      </c>
      <c r="AM2938" t="str">
        <f>"10"</f>
        <v>10</v>
      </c>
      <c r="AN2938" t="str">
        <f>"500000"</f>
        <v>500000</v>
      </c>
      <c r="AO2938" t="str">
        <f>"הכנסות  מלקוחות"</f>
        <v>הכנסות  מלקוחות</v>
      </c>
      <c r="AQ2938" t="str">
        <f>"034"</f>
        <v>034</v>
      </c>
      <c r="AR2938">
        <v>0</v>
      </c>
      <c r="AS2938">
        <v>0</v>
      </c>
      <c r="AT2938">
        <v>3.2370000000000001</v>
      </c>
      <c r="BB2938" t="str">
        <f>"Y"</f>
        <v>Y</v>
      </c>
      <c r="BD2938" t="str">
        <f>"ערן שלו"</f>
        <v>ערן שלו</v>
      </c>
    </row>
    <row r="2939" spans="1:56" x14ac:dyDescent="0.3">
      <c r="A2939" s="1">
        <v>44245</v>
      </c>
      <c r="B2939" t="str">
        <f>"SI216000222"</f>
        <v>SI216000222</v>
      </c>
      <c r="C2939" t="str">
        <f>"PR20000500"</f>
        <v>PR20000500</v>
      </c>
      <c r="D2939" t="str">
        <f>"PR20000500"</f>
        <v>PR20000500</v>
      </c>
      <c r="E2939" t="str">
        <f>"Y"</f>
        <v>Y</v>
      </c>
      <c r="F2939" t="str">
        <f>"חשבוניות מרכזות"</f>
        <v>חשבוניות מרכזות</v>
      </c>
      <c r="G2939" t="str">
        <f>"700065"</f>
        <v>700065</v>
      </c>
      <c r="H2939" t="str">
        <f>"אלתא מערכות בע""מ"</f>
        <v>אלתא מערכות בע"מ</v>
      </c>
      <c r="I2939" t="str">
        <f>"10"</f>
        <v>10</v>
      </c>
      <c r="J2939" t="str">
        <f>"cust000756"</f>
        <v>cust000756</v>
      </c>
      <c r="K2939" t="str">
        <f>"1023B599-001/B WV099 אלתא"</f>
        <v>1023B599-001/B WV099 אלתא</v>
      </c>
      <c r="L2939">
        <v>16</v>
      </c>
      <c r="M2939" t="str">
        <f>"יח"</f>
        <v>יח</v>
      </c>
      <c r="N2939">
        <v>16</v>
      </c>
      <c r="O2939" t="str">
        <f>"יח"</f>
        <v>יח</v>
      </c>
      <c r="P2939">
        <v>1E-3</v>
      </c>
      <c r="Q2939" t="str">
        <f>"$"</f>
        <v>$</v>
      </c>
      <c r="R2939" t="str">
        <f>"ידני"</f>
        <v>ידני</v>
      </c>
      <c r="S2939">
        <v>0</v>
      </c>
      <c r="T2939">
        <v>0.02</v>
      </c>
      <c r="U2939">
        <v>0</v>
      </c>
      <c r="V2939">
        <v>0.02</v>
      </c>
      <c r="W2939" t="str">
        <f>"$"</f>
        <v>$</v>
      </c>
      <c r="X2939">
        <v>0</v>
      </c>
      <c r="Y2939">
        <v>0</v>
      </c>
      <c r="Z2939">
        <v>0</v>
      </c>
      <c r="AA2939" t="str">
        <f>"Y"</f>
        <v>Y</v>
      </c>
      <c r="AB2939" t="str">
        <f>"SO20000307"</f>
        <v>SO20000307</v>
      </c>
      <c r="AC2939">
        <v>5</v>
      </c>
      <c r="AD2939" s="1">
        <v>44031</v>
      </c>
      <c r="AE2939" t="str">
        <f>"SH21000291"</f>
        <v>SH21000291</v>
      </c>
      <c r="AF2939" t="str">
        <f>"משלוחים ללקוח"</f>
        <v>משלוחים ללקוח</v>
      </c>
      <c r="AG2939" s="1">
        <v>44244</v>
      </c>
      <c r="AM2939" t="str">
        <f>"10"</f>
        <v>10</v>
      </c>
      <c r="AN2939" t="str">
        <f>"500000"</f>
        <v>500000</v>
      </c>
      <c r="AO2939" t="str">
        <f>"הכנסות  מלקוחות"</f>
        <v>הכנסות  מלקוחות</v>
      </c>
      <c r="AQ2939" t="str">
        <f>"034"</f>
        <v>034</v>
      </c>
      <c r="AR2939">
        <v>0</v>
      </c>
      <c r="AS2939">
        <v>0</v>
      </c>
      <c r="AT2939">
        <v>3.2370000000000001</v>
      </c>
      <c r="AX2939" t="str">
        <f>"E000316435"</f>
        <v>E000316435</v>
      </c>
      <c r="BD2939" t="str">
        <f>"ערן שלו"</f>
        <v>ערן שלו</v>
      </c>
    </row>
    <row r="2940" spans="1:56" x14ac:dyDescent="0.3">
      <c r="A2940" s="1">
        <v>44245</v>
      </c>
      <c r="B2940" t="str">
        <f>"SI216000221"</f>
        <v>SI216000221</v>
      </c>
      <c r="C2940" t="str">
        <f>"PR20000499"</f>
        <v>PR20000499</v>
      </c>
      <c r="E2940" t="str">
        <f>"Y"</f>
        <v>Y</v>
      </c>
      <c r="F2940" t="str">
        <f>"חשבוניות מרכזות"</f>
        <v>חשבוניות מרכזות</v>
      </c>
      <c r="G2940" t="str">
        <f>"700065"</f>
        <v>700065</v>
      </c>
      <c r="H2940" t="str">
        <f>"אלתא מערכות בע""מ"</f>
        <v>אלתא מערכות בע"מ</v>
      </c>
      <c r="I2940" t="str">
        <f>"10"</f>
        <v>10</v>
      </c>
      <c r="J2940" t="str">
        <f>"OP-AR01919"</f>
        <v>OP-AR01919</v>
      </c>
      <c r="K2940" t="str">
        <f>"1013P130-003 CABLE ASSY 1W47"</f>
        <v>1013P130-003 CABLE ASSY 1W47</v>
      </c>
      <c r="L2940">
        <v>1</v>
      </c>
      <c r="M2940" t="str">
        <f>"יח"</f>
        <v>יח</v>
      </c>
      <c r="N2940">
        <v>1</v>
      </c>
      <c r="O2940" t="str">
        <f>"יח"</f>
        <v>יח</v>
      </c>
      <c r="P2940" s="2">
        <v>2303.2800000000002</v>
      </c>
      <c r="Q2940" t="str">
        <f>"$"</f>
        <v>$</v>
      </c>
      <c r="R2940" t="str">
        <f>"ידני"</f>
        <v>ידני</v>
      </c>
      <c r="S2940">
        <v>0</v>
      </c>
      <c r="T2940" s="2">
        <v>2303.2800000000002</v>
      </c>
      <c r="U2940">
        <v>0</v>
      </c>
      <c r="V2940" s="2">
        <v>2303.2800000000002</v>
      </c>
      <c r="W2940" t="str">
        <f>"$"</f>
        <v>$</v>
      </c>
      <c r="X2940">
        <v>0</v>
      </c>
      <c r="Y2940">
        <v>0</v>
      </c>
      <c r="Z2940">
        <v>0</v>
      </c>
      <c r="AA2940" t="str">
        <f>"Y"</f>
        <v>Y</v>
      </c>
      <c r="AC2940">
        <v>0</v>
      </c>
      <c r="AM2940" t="str">
        <f>"10"</f>
        <v>10</v>
      </c>
      <c r="AN2940" t="str">
        <f>"500000"</f>
        <v>500000</v>
      </c>
      <c r="AO2940" t="str">
        <f>"הכנסות  מלקוחות"</f>
        <v>הכנסות  מלקוחות</v>
      </c>
      <c r="AQ2940" t="str">
        <f>"034"</f>
        <v>034</v>
      </c>
      <c r="AR2940">
        <v>0</v>
      </c>
      <c r="AS2940">
        <v>0</v>
      </c>
      <c r="AT2940">
        <v>3.2370000000000001</v>
      </c>
      <c r="BB2940" t="str">
        <f>"Y"</f>
        <v>Y</v>
      </c>
      <c r="BD2940" t="str">
        <f>"ערן שלו"</f>
        <v>ערן שלו</v>
      </c>
    </row>
    <row r="2941" spans="1:56" x14ac:dyDescent="0.3">
      <c r="A2941" s="1">
        <v>44245</v>
      </c>
      <c r="B2941" t="str">
        <f>"SI216000218"</f>
        <v>SI216000218</v>
      </c>
      <c r="C2941" t="str">
        <f>"PR20000620"</f>
        <v>PR20000620</v>
      </c>
      <c r="E2941" t="str">
        <f>"Y"</f>
        <v>Y</v>
      </c>
      <c r="F2941" t="str">
        <f>"חשבוניות מרכזות"</f>
        <v>חשבוניות מרכזות</v>
      </c>
      <c r="G2941" t="str">
        <f>"700065"</f>
        <v>700065</v>
      </c>
      <c r="H2941" t="str">
        <f>"אלתא מערכות בע""מ"</f>
        <v>אלתא מערכות בע"מ</v>
      </c>
      <c r="I2941" t="str">
        <f>"10"</f>
        <v>10</v>
      </c>
      <c r="J2941" t="str">
        <f>"OP-AR02005"</f>
        <v>OP-AR02005</v>
      </c>
      <c r="K2941" t="str">
        <f>"1023W809-001/B    W9-SAFETY SWITCH CABLE"</f>
        <v>1023W809-001/B    W9-SAFETY SWITCH CABLE</v>
      </c>
      <c r="L2941">
        <v>1</v>
      </c>
      <c r="M2941" t="str">
        <f>"יח"</f>
        <v>יח</v>
      </c>
      <c r="N2941">
        <v>1</v>
      </c>
      <c r="O2941" t="str">
        <f>"יח"</f>
        <v>יח</v>
      </c>
      <c r="P2941">
        <v>736.73</v>
      </c>
      <c r="Q2941" t="str">
        <f>"$"</f>
        <v>$</v>
      </c>
      <c r="R2941" t="str">
        <f>"הזמנה"</f>
        <v>הזמנה</v>
      </c>
      <c r="S2941">
        <v>0</v>
      </c>
      <c r="T2941">
        <v>736.73</v>
      </c>
      <c r="U2941">
        <v>0</v>
      </c>
      <c r="V2941">
        <v>736.73</v>
      </c>
      <c r="W2941" t="str">
        <f>"$"</f>
        <v>$</v>
      </c>
      <c r="X2941">
        <v>0</v>
      </c>
      <c r="Y2941">
        <v>0</v>
      </c>
      <c r="Z2941">
        <v>0</v>
      </c>
      <c r="AA2941" t="str">
        <f>"Y"</f>
        <v>Y</v>
      </c>
      <c r="AC2941">
        <v>0</v>
      </c>
      <c r="AM2941" t="str">
        <f>"10"</f>
        <v>10</v>
      </c>
      <c r="AN2941" t="str">
        <f>"500000"</f>
        <v>500000</v>
      </c>
      <c r="AO2941" t="str">
        <f>"הכנסות  מלקוחות"</f>
        <v>הכנסות  מלקוחות</v>
      </c>
      <c r="AQ2941" t="str">
        <f>"034"</f>
        <v>034</v>
      </c>
      <c r="AR2941">
        <v>0</v>
      </c>
      <c r="AS2941">
        <v>0</v>
      </c>
      <c r="AT2941">
        <v>3.2370000000000001</v>
      </c>
      <c r="BB2941" t="str">
        <f>"Y"</f>
        <v>Y</v>
      </c>
      <c r="BD2941" t="str">
        <f>"ערן שלו"</f>
        <v>ערן שלו</v>
      </c>
    </row>
    <row r="2942" spans="1:56" x14ac:dyDescent="0.3">
      <c r="A2942" s="1">
        <v>44245</v>
      </c>
      <c r="B2942" t="str">
        <f>"SI216000218"</f>
        <v>SI216000218</v>
      </c>
      <c r="C2942" t="str">
        <f>"PR20000620"</f>
        <v>PR20000620</v>
      </c>
      <c r="E2942" t="str">
        <f>"Y"</f>
        <v>Y</v>
      </c>
      <c r="F2942" t="str">
        <f>"חשבוניות מרכזות"</f>
        <v>חשבוניות מרכזות</v>
      </c>
      <c r="G2942" t="str">
        <f>"700065"</f>
        <v>700065</v>
      </c>
      <c r="H2942" t="str">
        <f>"אלתא מערכות בע""מ"</f>
        <v>אלתא מערכות בע"מ</v>
      </c>
      <c r="I2942" t="str">
        <f>"10"</f>
        <v>10</v>
      </c>
      <c r="J2942" t="str">
        <f>"OP-AR02011"</f>
        <v>OP-AR02011</v>
      </c>
      <c r="K2942" t="str">
        <f>"1025Y804-001/-   W4- TX CONT CABLE"</f>
        <v>1025Y804-001/-   W4- TX CONT CABLE</v>
      </c>
      <c r="L2942">
        <v>2</v>
      </c>
      <c r="M2942" t="str">
        <f>"יח"</f>
        <v>יח</v>
      </c>
      <c r="N2942">
        <v>2</v>
      </c>
      <c r="O2942" t="str">
        <f>"יח"</f>
        <v>יח</v>
      </c>
      <c r="P2942">
        <v>609.04</v>
      </c>
      <c r="Q2942" t="str">
        <f>"$"</f>
        <v>$</v>
      </c>
      <c r="R2942" t="str">
        <f>"הזמנה"</f>
        <v>הזמנה</v>
      </c>
      <c r="S2942">
        <v>0</v>
      </c>
      <c r="T2942" s="2">
        <v>1218.08</v>
      </c>
      <c r="U2942">
        <v>0</v>
      </c>
      <c r="V2942" s="2">
        <v>1218.08</v>
      </c>
      <c r="W2942" t="str">
        <f>"$"</f>
        <v>$</v>
      </c>
      <c r="X2942">
        <v>0</v>
      </c>
      <c r="Y2942">
        <v>0</v>
      </c>
      <c r="Z2942">
        <v>0</v>
      </c>
      <c r="AA2942" t="str">
        <f>"Y"</f>
        <v>Y</v>
      </c>
      <c r="AC2942">
        <v>0</v>
      </c>
      <c r="AM2942" t="str">
        <f>"10"</f>
        <v>10</v>
      </c>
      <c r="AN2942" t="str">
        <f>"500000"</f>
        <v>500000</v>
      </c>
      <c r="AO2942" t="str">
        <f>"הכנסות  מלקוחות"</f>
        <v>הכנסות  מלקוחות</v>
      </c>
      <c r="AQ2942" t="str">
        <f>"034"</f>
        <v>034</v>
      </c>
      <c r="AR2942">
        <v>0</v>
      </c>
      <c r="AS2942">
        <v>0</v>
      </c>
      <c r="AT2942">
        <v>3.2370000000000001</v>
      </c>
      <c r="BB2942" t="str">
        <f>"Y"</f>
        <v>Y</v>
      </c>
      <c r="BD2942" t="str">
        <f>"ערן שלו"</f>
        <v>ערן שלו</v>
      </c>
    </row>
    <row r="2943" spans="1:56" x14ac:dyDescent="0.3">
      <c r="A2943" s="1">
        <v>44245</v>
      </c>
      <c r="B2943" t="str">
        <f>"SI216000218"</f>
        <v>SI216000218</v>
      </c>
      <c r="C2943" t="str">
        <f>"PR20000620"</f>
        <v>PR20000620</v>
      </c>
      <c r="E2943" t="str">
        <f>"Y"</f>
        <v>Y</v>
      </c>
      <c r="F2943" t="str">
        <f>"חשבוניות מרכזות"</f>
        <v>חשבוניות מרכזות</v>
      </c>
      <c r="G2943" t="str">
        <f>"700065"</f>
        <v>700065</v>
      </c>
      <c r="H2943" t="str">
        <f>"אלתא מערכות בע""מ"</f>
        <v>אלתא מערכות בע"מ</v>
      </c>
      <c r="I2943" t="str">
        <f>"10"</f>
        <v>10</v>
      </c>
      <c r="J2943" t="str">
        <f>"OP-AR02012"</f>
        <v>OP-AR02012</v>
      </c>
      <c r="K2943" t="str">
        <f>"1023W802-001/C   W2-POWER SUPLLY CABLE ASSY"</f>
        <v>1023W802-001/C   W2-POWER SUPLLY CABLE ASSY</v>
      </c>
      <c r="L2943">
        <v>2</v>
      </c>
      <c r="M2943" t="str">
        <f>"יח"</f>
        <v>יח</v>
      </c>
      <c r="N2943">
        <v>2</v>
      </c>
      <c r="O2943" t="str">
        <f>"יח"</f>
        <v>יח</v>
      </c>
      <c r="P2943">
        <v>586.88</v>
      </c>
      <c r="Q2943" t="str">
        <f>"$"</f>
        <v>$</v>
      </c>
      <c r="R2943" t="str">
        <f>"הזמנה"</f>
        <v>הזמנה</v>
      </c>
      <c r="S2943">
        <v>0</v>
      </c>
      <c r="T2943" s="2">
        <v>1173.76</v>
      </c>
      <c r="U2943">
        <v>0</v>
      </c>
      <c r="V2943" s="2">
        <v>1173.76</v>
      </c>
      <c r="W2943" t="str">
        <f>"$"</f>
        <v>$</v>
      </c>
      <c r="X2943">
        <v>0</v>
      </c>
      <c r="Y2943">
        <v>0</v>
      </c>
      <c r="Z2943">
        <v>0</v>
      </c>
      <c r="AA2943" t="str">
        <f>"Y"</f>
        <v>Y</v>
      </c>
      <c r="AC2943">
        <v>0</v>
      </c>
      <c r="AM2943" t="str">
        <f>"10"</f>
        <v>10</v>
      </c>
      <c r="AN2943" t="str">
        <f>"500000"</f>
        <v>500000</v>
      </c>
      <c r="AO2943" t="str">
        <f>"הכנסות  מלקוחות"</f>
        <v>הכנסות  מלקוחות</v>
      </c>
      <c r="AQ2943" t="str">
        <f>"034"</f>
        <v>034</v>
      </c>
      <c r="AR2943">
        <v>0</v>
      </c>
      <c r="AS2943">
        <v>0</v>
      </c>
      <c r="AT2943">
        <v>3.2370000000000001</v>
      </c>
      <c r="BB2943" t="str">
        <f>"Y"</f>
        <v>Y</v>
      </c>
      <c r="BD2943" t="str">
        <f>"ערן שלו"</f>
        <v>ערן שלו</v>
      </c>
    </row>
    <row r="2944" spans="1:56" x14ac:dyDescent="0.3">
      <c r="A2944" s="1">
        <v>44245</v>
      </c>
      <c r="B2944" t="str">
        <f>"SI216000218"</f>
        <v>SI216000218</v>
      </c>
      <c r="C2944" t="str">
        <f>"PR20000620"</f>
        <v>PR20000620</v>
      </c>
      <c r="E2944" t="str">
        <f>"Y"</f>
        <v>Y</v>
      </c>
      <c r="F2944" t="str">
        <f>"חשבוניות מרכזות"</f>
        <v>חשבוניות מרכזות</v>
      </c>
      <c r="G2944" t="str">
        <f>"700065"</f>
        <v>700065</v>
      </c>
      <c r="H2944" t="str">
        <f>"אלתא מערכות בע""מ"</f>
        <v>אלתא מערכות בע"מ</v>
      </c>
      <c r="I2944" t="str">
        <f>"10"</f>
        <v>10</v>
      </c>
      <c r="J2944" t="str">
        <f>"OP-AR02013"</f>
        <v>OP-AR02013</v>
      </c>
      <c r="K2944" t="str">
        <f>"1023W801-001/B   W1 - AZ DATA CABLE"</f>
        <v>1023W801-001/B   W1 - AZ DATA CABLE</v>
      </c>
      <c r="L2944">
        <v>4</v>
      </c>
      <c r="M2944" t="str">
        <f>"יח"</f>
        <v>יח</v>
      </c>
      <c r="N2944">
        <v>4</v>
      </c>
      <c r="O2944" t="str">
        <f>"יח"</f>
        <v>יח</v>
      </c>
      <c r="P2944">
        <v>682.34</v>
      </c>
      <c r="Q2944" t="str">
        <f>"$"</f>
        <v>$</v>
      </c>
      <c r="R2944" t="str">
        <f>"הזמנה"</f>
        <v>הזמנה</v>
      </c>
      <c r="S2944">
        <v>0</v>
      </c>
      <c r="T2944" s="2">
        <v>2729.36</v>
      </c>
      <c r="U2944">
        <v>0</v>
      </c>
      <c r="V2944" s="2">
        <v>2729.36</v>
      </c>
      <c r="W2944" t="str">
        <f>"$"</f>
        <v>$</v>
      </c>
      <c r="X2944">
        <v>0</v>
      </c>
      <c r="Y2944">
        <v>0</v>
      </c>
      <c r="Z2944">
        <v>0</v>
      </c>
      <c r="AA2944" t="str">
        <f>"Y"</f>
        <v>Y</v>
      </c>
      <c r="AC2944">
        <v>0</v>
      </c>
      <c r="AM2944" t="str">
        <f>"10"</f>
        <v>10</v>
      </c>
      <c r="AN2944" t="str">
        <f>"500000"</f>
        <v>500000</v>
      </c>
      <c r="AO2944" t="str">
        <f>"הכנסות  מלקוחות"</f>
        <v>הכנסות  מלקוחות</v>
      </c>
      <c r="AQ2944" t="str">
        <f>"034"</f>
        <v>034</v>
      </c>
      <c r="AR2944">
        <v>0</v>
      </c>
      <c r="AS2944">
        <v>0</v>
      </c>
      <c r="AT2944">
        <v>3.2370000000000001</v>
      </c>
      <c r="BB2944" t="str">
        <f>"Y"</f>
        <v>Y</v>
      </c>
      <c r="BD2944" t="str">
        <f>"ערן שלו"</f>
        <v>ערן שלו</v>
      </c>
    </row>
    <row r="2945" spans="1:56" x14ac:dyDescent="0.3">
      <c r="A2945" s="1">
        <v>44245</v>
      </c>
      <c r="B2945" t="str">
        <f>"SI216000218"</f>
        <v>SI216000218</v>
      </c>
      <c r="C2945" t="str">
        <f>"PR20000620"</f>
        <v>PR20000620</v>
      </c>
      <c r="E2945" t="str">
        <f>"Y"</f>
        <v>Y</v>
      </c>
      <c r="F2945" t="str">
        <f>"חשבוניות מרכזות"</f>
        <v>חשבוניות מרכזות</v>
      </c>
      <c r="G2945" t="str">
        <f>"700065"</f>
        <v>700065</v>
      </c>
      <c r="H2945" t="str">
        <f>"אלתא מערכות בע""מ"</f>
        <v>אלתא מערכות בע"מ</v>
      </c>
      <c r="I2945" t="str">
        <f>"10"</f>
        <v>10</v>
      </c>
      <c r="J2945" t="str">
        <f>"OP-AR02014"</f>
        <v>OP-AR02014</v>
      </c>
      <c r="K2945" t="str">
        <f>"1017C867-001/B   CABLE 220VAC ARRESTOR/RACK W7"</f>
        <v>1017C867-001/B   CABLE 220VAC ARRESTOR/RACK W7</v>
      </c>
      <c r="L2945">
        <v>1</v>
      </c>
      <c r="M2945" t="str">
        <f>"יח"</f>
        <v>יח</v>
      </c>
      <c r="N2945">
        <v>1</v>
      </c>
      <c r="O2945" t="str">
        <f>"יח"</f>
        <v>יח</v>
      </c>
      <c r="P2945">
        <v>642.54</v>
      </c>
      <c r="Q2945" t="str">
        <f>"$"</f>
        <v>$</v>
      </c>
      <c r="R2945" t="str">
        <f>"הזמנה"</f>
        <v>הזמנה</v>
      </c>
      <c r="S2945">
        <v>0</v>
      </c>
      <c r="T2945">
        <v>642.54</v>
      </c>
      <c r="U2945">
        <v>0</v>
      </c>
      <c r="V2945">
        <v>642.54</v>
      </c>
      <c r="W2945" t="str">
        <f>"$"</f>
        <v>$</v>
      </c>
      <c r="X2945">
        <v>0</v>
      </c>
      <c r="Y2945">
        <v>0</v>
      </c>
      <c r="Z2945">
        <v>0</v>
      </c>
      <c r="AA2945" t="str">
        <f>"Y"</f>
        <v>Y</v>
      </c>
      <c r="AC2945">
        <v>0</v>
      </c>
      <c r="AM2945" t="str">
        <f>"10"</f>
        <v>10</v>
      </c>
      <c r="AN2945" t="str">
        <f>"500000"</f>
        <v>500000</v>
      </c>
      <c r="AO2945" t="str">
        <f>"הכנסות  מלקוחות"</f>
        <v>הכנסות  מלקוחות</v>
      </c>
      <c r="AQ2945" t="str">
        <f>"034"</f>
        <v>034</v>
      </c>
      <c r="AR2945">
        <v>0</v>
      </c>
      <c r="AS2945">
        <v>0</v>
      </c>
      <c r="AT2945">
        <v>3.2370000000000001</v>
      </c>
      <c r="BB2945" t="str">
        <f>"Y"</f>
        <v>Y</v>
      </c>
      <c r="BD2945" t="str">
        <f>"ערן שלו"</f>
        <v>ערן שלו</v>
      </c>
    </row>
    <row r="2946" spans="1:56" x14ac:dyDescent="0.3">
      <c r="A2946" s="1">
        <v>44245</v>
      </c>
      <c r="B2946" t="str">
        <f>"SI216000217"</f>
        <v>SI216000217</v>
      </c>
      <c r="C2946" t="str">
        <f>"PR20000620"</f>
        <v>PR20000620</v>
      </c>
      <c r="E2946" t="str">
        <f>"Y"</f>
        <v>Y</v>
      </c>
      <c r="F2946" t="str">
        <f>"חשבוניות מרכזות"</f>
        <v>חשבוניות מרכזות</v>
      </c>
      <c r="G2946" t="str">
        <f>"700065"</f>
        <v>700065</v>
      </c>
      <c r="H2946" t="str">
        <f>"אלתא מערכות בע""מ"</f>
        <v>אלתא מערכות בע"מ</v>
      </c>
      <c r="I2946" t="str">
        <f>"10"</f>
        <v>10</v>
      </c>
      <c r="J2946" t="str">
        <f>"OP-AR02007"</f>
        <v>OP-AR02007</v>
      </c>
      <c r="K2946" t="str">
        <f>"1017C863-001/C  CABLE 220V AC RACK PANEL W63"</f>
        <v>1017C863-001/C  CABLE 220V AC RACK PANEL W63</v>
      </c>
      <c r="L2946">
        <v>1</v>
      </c>
      <c r="M2946" t="str">
        <f>"יח"</f>
        <v>יח</v>
      </c>
      <c r="N2946">
        <v>1</v>
      </c>
      <c r="O2946" t="str">
        <f>"יח"</f>
        <v>יח</v>
      </c>
      <c r="P2946" s="2">
        <v>1516.71</v>
      </c>
      <c r="Q2946" t="str">
        <f>"$"</f>
        <v>$</v>
      </c>
      <c r="R2946" t="str">
        <f>"הזמנה"</f>
        <v>הזמנה</v>
      </c>
      <c r="S2946">
        <v>0</v>
      </c>
      <c r="T2946" s="2">
        <v>1516.71</v>
      </c>
      <c r="U2946">
        <v>0</v>
      </c>
      <c r="V2946" s="2">
        <v>1516.71</v>
      </c>
      <c r="W2946" t="str">
        <f>"$"</f>
        <v>$</v>
      </c>
      <c r="X2946">
        <v>0</v>
      </c>
      <c r="Y2946">
        <v>0</v>
      </c>
      <c r="Z2946">
        <v>0</v>
      </c>
      <c r="AA2946" t="str">
        <f>"Y"</f>
        <v>Y</v>
      </c>
      <c r="AC2946">
        <v>0</v>
      </c>
      <c r="AM2946" t="str">
        <f>"10"</f>
        <v>10</v>
      </c>
      <c r="AN2946" t="str">
        <f>"500000"</f>
        <v>500000</v>
      </c>
      <c r="AO2946" t="str">
        <f>"הכנסות  מלקוחות"</f>
        <v>הכנסות  מלקוחות</v>
      </c>
      <c r="AQ2946" t="str">
        <f>"034"</f>
        <v>034</v>
      </c>
      <c r="AR2946">
        <v>0</v>
      </c>
      <c r="AS2946">
        <v>0</v>
      </c>
      <c r="AT2946">
        <v>3.2370000000000001</v>
      </c>
      <c r="BB2946" t="str">
        <f>"Y"</f>
        <v>Y</v>
      </c>
      <c r="BD2946" t="str">
        <f>"ערן שלו"</f>
        <v>ערן שלו</v>
      </c>
    </row>
    <row r="2947" spans="1:56" x14ac:dyDescent="0.3">
      <c r="A2947" s="1">
        <v>44245</v>
      </c>
      <c r="B2947" t="str">
        <f>"SI216000217"</f>
        <v>SI216000217</v>
      </c>
      <c r="C2947" t="str">
        <f>"PR20000620"</f>
        <v>PR20000620</v>
      </c>
      <c r="E2947" t="str">
        <f>"Y"</f>
        <v>Y</v>
      </c>
      <c r="F2947" t="str">
        <f>"חשבוניות מרכזות"</f>
        <v>חשבוניות מרכזות</v>
      </c>
      <c r="G2947" t="str">
        <f>"700065"</f>
        <v>700065</v>
      </c>
      <c r="H2947" t="str">
        <f>"אלתא מערכות בע""מ"</f>
        <v>אלתא מערכות בע"מ</v>
      </c>
      <c r="I2947" t="str">
        <f>"10"</f>
        <v>10</v>
      </c>
      <c r="J2947" t="str">
        <f>"OP-AR02008"</f>
        <v>OP-AR02008</v>
      </c>
      <c r="K2947" t="str">
        <f>"1016C803-001/E  W3 220V TO MEU AND TRANS CABLE"</f>
        <v>1016C803-001/E  W3 220V TO MEU AND TRANS CABLE</v>
      </c>
      <c r="L2947">
        <v>2</v>
      </c>
      <c r="M2947" t="str">
        <f>"יח"</f>
        <v>יח</v>
      </c>
      <c r="N2947">
        <v>2</v>
      </c>
      <c r="O2947" t="str">
        <f>"יח"</f>
        <v>יח</v>
      </c>
      <c r="P2947">
        <v>887.08</v>
      </c>
      <c r="Q2947" t="str">
        <f>"$"</f>
        <v>$</v>
      </c>
      <c r="R2947" t="str">
        <f>"הזמנה"</f>
        <v>הזמנה</v>
      </c>
      <c r="S2947">
        <v>0</v>
      </c>
      <c r="T2947" s="2">
        <v>1774.16</v>
      </c>
      <c r="U2947">
        <v>0</v>
      </c>
      <c r="V2947" s="2">
        <v>1774.16</v>
      </c>
      <c r="W2947" t="str">
        <f>"$"</f>
        <v>$</v>
      </c>
      <c r="X2947">
        <v>0</v>
      </c>
      <c r="Y2947">
        <v>0</v>
      </c>
      <c r="Z2947">
        <v>0</v>
      </c>
      <c r="AA2947" t="str">
        <f>"Y"</f>
        <v>Y</v>
      </c>
      <c r="AC2947">
        <v>0</v>
      </c>
      <c r="AM2947" t="str">
        <f>"10"</f>
        <v>10</v>
      </c>
      <c r="AN2947" t="str">
        <f>"500000"</f>
        <v>500000</v>
      </c>
      <c r="AO2947" t="str">
        <f>"הכנסות  מלקוחות"</f>
        <v>הכנסות  מלקוחות</v>
      </c>
      <c r="AQ2947" t="str">
        <f>"034"</f>
        <v>034</v>
      </c>
      <c r="AR2947">
        <v>0</v>
      </c>
      <c r="AS2947">
        <v>0</v>
      </c>
      <c r="AT2947">
        <v>3.2370000000000001</v>
      </c>
      <c r="BB2947" t="str">
        <f>"Y"</f>
        <v>Y</v>
      </c>
      <c r="BD2947" t="str">
        <f>"ערן שלו"</f>
        <v>ערן שלו</v>
      </c>
    </row>
    <row r="2948" spans="1:56" x14ac:dyDescent="0.3">
      <c r="A2948" s="1">
        <v>44245</v>
      </c>
      <c r="B2948" t="str">
        <f>"SI216000217"</f>
        <v>SI216000217</v>
      </c>
      <c r="C2948" t="str">
        <f>"PR20000620"</f>
        <v>PR20000620</v>
      </c>
      <c r="E2948" t="str">
        <f>"Y"</f>
        <v>Y</v>
      </c>
      <c r="F2948" t="str">
        <f>"חשבוניות מרכזות"</f>
        <v>חשבוניות מרכזות</v>
      </c>
      <c r="G2948" t="str">
        <f>"700065"</f>
        <v>700065</v>
      </c>
      <c r="H2948" t="str">
        <f>"אלתא מערכות בע""מ"</f>
        <v>אלתא מערכות בע"מ</v>
      </c>
      <c r="I2948" t="str">
        <f>"10"</f>
        <v>10</v>
      </c>
      <c r="J2948" t="str">
        <f>"OP-AR02010"</f>
        <v>OP-AR02010</v>
      </c>
      <c r="K2948" t="str">
        <f>"1017C862-001/B   CABLE 220V AC RACK PANEL W62"</f>
        <v>1017C862-001/B   CABLE 220V AC RACK PANEL W62</v>
      </c>
      <c r="L2948">
        <v>2</v>
      </c>
      <c r="M2948" t="str">
        <f>"יח"</f>
        <v>יח</v>
      </c>
      <c r="N2948">
        <v>2</v>
      </c>
      <c r="O2948" t="str">
        <f>"יח"</f>
        <v>יח</v>
      </c>
      <c r="P2948" s="2">
        <v>1331.94</v>
      </c>
      <c r="Q2948" t="str">
        <f>"$"</f>
        <v>$</v>
      </c>
      <c r="R2948" t="str">
        <f>"הזמנה"</f>
        <v>הזמנה</v>
      </c>
      <c r="S2948">
        <v>0</v>
      </c>
      <c r="T2948" s="2">
        <v>2663.88</v>
      </c>
      <c r="U2948">
        <v>0</v>
      </c>
      <c r="V2948" s="2">
        <v>2663.88</v>
      </c>
      <c r="W2948" t="str">
        <f>"$"</f>
        <v>$</v>
      </c>
      <c r="X2948">
        <v>0</v>
      </c>
      <c r="Y2948">
        <v>0</v>
      </c>
      <c r="Z2948">
        <v>0</v>
      </c>
      <c r="AA2948" t="str">
        <f>"Y"</f>
        <v>Y</v>
      </c>
      <c r="AC2948">
        <v>0</v>
      </c>
      <c r="AM2948" t="str">
        <f>"10"</f>
        <v>10</v>
      </c>
      <c r="AN2948" t="str">
        <f>"500000"</f>
        <v>500000</v>
      </c>
      <c r="AO2948" t="str">
        <f>"הכנסות  מלקוחות"</f>
        <v>הכנסות  מלקוחות</v>
      </c>
      <c r="AQ2948" t="str">
        <f>"034"</f>
        <v>034</v>
      </c>
      <c r="AR2948">
        <v>0</v>
      </c>
      <c r="AS2948">
        <v>0</v>
      </c>
      <c r="AT2948">
        <v>3.2370000000000001</v>
      </c>
      <c r="BB2948" t="str">
        <f>"Y"</f>
        <v>Y</v>
      </c>
      <c r="BD2948" t="str">
        <f>"ערן שלו"</f>
        <v>ערן שלו</v>
      </c>
    </row>
    <row r="2949" spans="1:56" x14ac:dyDescent="0.3">
      <c r="A2949" s="1">
        <v>44245</v>
      </c>
      <c r="B2949" t="str">
        <f>"SI216000215"</f>
        <v>SI216000215</v>
      </c>
      <c r="C2949" t="str">
        <f>"PR20000533"</f>
        <v>PR20000533</v>
      </c>
      <c r="E2949" t="str">
        <f>"Y"</f>
        <v>Y</v>
      </c>
      <c r="F2949" t="str">
        <f>"חשבוניות מרכזות"</f>
        <v>חשבוניות מרכזות</v>
      </c>
      <c r="G2949" t="str">
        <f>"700065"</f>
        <v>700065</v>
      </c>
      <c r="H2949" t="str">
        <f>"אלתא מערכות בע""מ"</f>
        <v>אלתא מערכות בע"מ</v>
      </c>
      <c r="I2949" t="str">
        <f>"10"</f>
        <v>10</v>
      </c>
      <c r="J2949" t="str">
        <f>"OP-AR01954"</f>
        <v>OP-AR01954</v>
      </c>
      <c r="K2949" t="str">
        <f>"1031B015-001/- - CABLE ASSY W015"</f>
        <v>1031B015-001/- - CABLE ASSY W015</v>
      </c>
      <c r="L2949">
        <v>1</v>
      </c>
      <c r="M2949" t="str">
        <f>"יח"</f>
        <v>יח</v>
      </c>
      <c r="N2949">
        <v>1</v>
      </c>
      <c r="O2949" t="str">
        <f>"יח"</f>
        <v>יח</v>
      </c>
      <c r="P2949" s="2">
        <v>1628</v>
      </c>
      <c r="Q2949" t="str">
        <f>"$"</f>
        <v>$</v>
      </c>
      <c r="R2949" t="str">
        <f>"הזמנה"</f>
        <v>הזמנה</v>
      </c>
      <c r="S2949">
        <v>0</v>
      </c>
      <c r="T2949" s="2">
        <v>1628</v>
      </c>
      <c r="U2949">
        <v>0</v>
      </c>
      <c r="V2949" s="2">
        <v>1628</v>
      </c>
      <c r="W2949" t="str">
        <f>"$"</f>
        <v>$</v>
      </c>
      <c r="X2949">
        <v>0</v>
      </c>
      <c r="Y2949">
        <v>0</v>
      </c>
      <c r="Z2949">
        <v>0</v>
      </c>
      <c r="AA2949" t="str">
        <f>"Y"</f>
        <v>Y</v>
      </c>
      <c r="AC2949">
        <v>0</v>
      </c>
      <c r="AM2949" t="str">
        <f>"10"</f>
        <v>10</v>
      </c>
      <c r="AN2949" t="str">
        <f>"500000"</f>
        <v>500000</v>
      </c>
      <c r="AO2949" t="str">
        <f>"הכנסות  מלקוחות"</f>
        <v>הכנסות  מלקוחות</v>
      </c>
      <c r="AQ2949" t="str">
        <f>"034"</f>
        <v>034</v>
      </c>
      <c r="AR2949">
        <v>0</v>
      </c>
      <c r="AS2949">
        <v>0</v>
      </c>
      <c r="AT2949">
        <v>3.2370000000000001</v>
      </c>
      <c r="BB2949" t="str">
        <f>"Y"</f>
        <v>Y</v>
      </c>
      <c r="BD2949" t="str">
        <f>"ערן שלו"</f>
        <v>ערן שלו</v>
      </c>
    </row>
    <row r="2950" spans="1:56" x14ac:dyDescent="0.3">
      <c r="A2950" s="1">
        <v>44243</v>
      </c>
      <c r="B2950" t="str">
        <f>"SI216000298"</f>
        <v>SI216000298</v>
      </c>
      <c r="C2950" t="str">
        <f>"PR20000576"</f>
        <v>PR20000576</v>
      </c>
      <c r="D2950" t="str">
        <f>"PR20000576"</f>
        <v>PR20000576</v>
      </c>
      <c r="E2950" t="str">
        <f>"Y"</f>
        <v>Y</v>
      </c>
      <c r="F2950" t="str">
        <f>"חשבוניות מרכזות"</f>
        <v>חשבוניות מרכזות</v>
      </c>
      <c r="G2950" t="str">
        <f>"700065"</f>
        <v>700065</v>
      </c>
      <c r="H2950" t="str">
        <f>"אלתא מערכות בע""מ"</f>
        <v>אלתא מערכות בע"מ</v>
      </c>
      <c r="I2950" t="str">
        <f>"10"</f>
        <v>10</v>
      </c>
      <c r="J2950" t="str">
        <f>"OP-KT00108"</f>
        <v>OP-KT00108</v>
      </c>
      <c r="K2950" t="str">
        <f>"VOLTAGE RECTIFIER UNIT מק""ט 1039H790-001"</f>
        <v>VOLTAGE RECTIFIER UNIT מק"ט 1039H790-001</v>
      </c>
      <c r="L2950">
        <v>5</v>
      </c>
      <c r="M2950" t="str">
        <f>"יח"</f>
        <v>יח</v>
      </c>
      <c r="N2950">
        <v>5</v>
      </c>
      <c r="O2950" t="str">
        <f>"יח"</f>
        <v>יח</v>
      </c>
      <c r="P2950" s="2">
        <v>6250</v>
      </c>
      <c r="Q2950" t="str">
        <f>"$"</f>
        <v>$</v>
      </c>
      <c r="R2950" t="str">
        <f>"הזמנה"</f>
        <v>הזמנה</v>
      </c>
      <c r="S2950">
        <v>0</v>
      </c>
      <c r="T2950" s="2">
        <v>31250</v>
      </c>
      <c r="U2950">
        <v>0</v>
      </c>
      <c r="V2950" s="2">
        <v>31250</v>
      </c>
      <c r="W2950" t="str">
        <f>"$"</f>
        <v>$</v>
      </c>
      <c r="X2950">
        <v>0</v>
      </c>
      <c r="Y2950">
        <v>0</v>
      </c>
      <c r="Z2950">
        <v>0</v>
      </c>
      <c r="AA2950" t="str">
        <f>"Y"</f>
        <v>Y</v>
      </c>
      <c r="AB2950" t="str">
        <f>"SO20000370"</f>
        <v>SO20000370</v>
      </c>
      <c r="AC2950">
        <v>2</v>
      </c>
      <c r="AD2950" s="1">
        <v>44067</v>
      </c>
      <c r="AE2950" t="str">
        <f>"SH21000268"</f>
        <v>SH21000268</v>
      </c>
      <c r="AF2950" t="str">
        <f>"משלוחים ללקוח"</f>
        <v>משלוחים ללקוח</v>
      </c>
      <c r="AG2950" s="1">
        <v>44242</v>
      </c>
      <c r="AM2950" t="str">
        <f>"10"</f>
        <v>10</v>
      </c>
      <c r="AN2950" t="str">
        <f>"500000"</f>
        <v>500000</v>
      </c>
      <c r="AO2950" t="str">
        <f>"הכנסות  מלקוחות"</f>
        <v>הכנסות  מלקוחות</v>
      </c>
      <c r="AQ2950" t="str">
        <f>"034"</f>
        <v>034</v>
      </c>
      <c r="AR2950">
        <v>0</v>
      </c>
      <c r="AS2950">
        <v>0</v>
      </c>
      <c r="AT2950">
        <v>3.2370000000000001</v>
      </c>
      <c r="AX2950" t="str">
        <f>"E000319967"</f>
        <v>E000319967</v>
      </c>
      <c r="BD2950" t="str">
        <f>"ערן שלו"</f>
        <v>ערן שלו</v>
      </c>
    </row>
    <row r="2951" spans="1:56" x14ac:dyDescent="0.3">
      <c r="A2951" s="1">
        <v>44243</v>
      </c>
      <c r="B2951" t="str">
        <f>"SI216000231"</f>
        <v>SI216000231</v>
      </c>
      <c r="C2951" t="str">
        <f>"PR20000578"</f>
        <v>PR20000578</v>
      </c>
      <c r="E2951" t="str">
        <f>"Y"</f>
        <v>Y</v>
      </c>
      <c r="F2951" t="str">
        <f>"חשבוניות מרכזות"</f>
        <v>חשבוניות מרכזות</v>
      </c>
      <c r="G2951" t="str">
        <f>"700065"</f>
        <v>700065</v>
      </c>
      <c r="H2951" t="str">
        <f>"אלתא מערכות בע""מ"</f>
        <v>אלתא מערכות בע"מ</v>
      </c>
      <c r="I2951" t="str">
        <f>"10"</f>
        <v>10</v>
      </c>
      <c r="J2951" t="str">
        <f>"PS9900081"</f>
        <v>PS9900081</v>
      </c>
      <c r="K2951" t="str">
        <f>"מטען מצברים 1039V517-001 ירוק"</f>
        <v>מטען מצברים 1039V517-001 ירוק</v>
      </c>
      <c r="L2951">
        <v>2</v>
      </c>
      <c r="M2951" t="str">
        <f>"יח"</f>
        <v>יח</v>
      </c>
      <c r="N2951">
        <v>2</v>
      </c>
      <c r="O2951" t="str">
        <f>"יח"</f>
        <v>יח</v>
      </c>
      <c r="P2951" s="2">
        <v>5500</v>
      </c>
      <c r="Q2951" t="str">
        <f>"$"</f>
        <v>$</v>
      </c>
      <c r="R2951" t="str">
        <f>"הזמנה"</f>
        <v>הזמנה</v>
      </c>
      <c r="S2951">
        <v>0</v>
      </c>
      <c r="T2951" s="2">
        <v>11000</v>
      </c>
      <c r="U2951">
        <v>0</v>
      </c>
      <c r="V2951" s="2">
        <v>11000</v>
      </c>
      <c r="W2951" t="str">
        <f>"$"</f>
        <v>$</v>
      </c>
      <c r="X2951">
        <v>0</v>
      </c>
      <c r="Y2951">
        <v>0</v>
      </c>
      <c r="Z2951">
        <v>0</v>
      </c>
      <c r="AA2951" t="str">
        <f>"Y"</f>
        <v>Y</v>
      </c>
      <c r="AB2951" t="str">
        <f>"SO20000381"</f>
        <v>SO20000381</v>
      </c>
      <c r="AC2951">
        <v>1</v>
      </c>
      <c r="AD2951" s="1">
        <v>44073</v>
      </c>
      <c r="AE2951" t="str">
        <f>"SH21000277"</f>
        <v>SH21000277</v>
      </c>
      <c r="AF2951" t="str">
        <f>"משלוחים ללקוח"</f>
        <v>משלוחים ללקוח</v>
      </c>
      <c r="AG2951" s="1">
        <v>44243</v>
      </c>
      <c r="AM2951" t="str">
        <f>"10"</f>
        <v>10</v>
      </c>
      <c r="AN2951" t="str">
        <f>"500000"</f>
        <v>500000</v>
      </c>
      <c r="AO2951" t="str">
        <f>"הכנסות  מלקוחות"</f>
        <v>הכנסות  מלקוחות</v>
      </c>
      <c r="AQ2951" t="str">
        <f>"034"</f>
        <v>034</v>
      </c>
      <c r="AR2951">
        <v>0</v>
      </c>
      <c r="AS2951">
        <v>0</v>
      </c>
      <c r="AT2951">
        <v>3.2370000000000001</v>
      </c>
      <c r="AX2951" t="str">
        <f>"E000319715"</f>
        <v>E000319715</v>
      </c>
      <c r="BD2951" t="str">
        <f>"ערן שלו"</f>
        <v>ערן שלו</v>
      </c>
    </row>
    <row r="2952" spans="1:56" x14ac:dyDescent="0.3">
      <c r="A2952" s="1">
        <v>44243</v>
      </c>
      <c r="B2952" t="str">
        <f>"SI216000231"</f>
        <v>SI216000231</v>
      </c>
      <c r="C2952" t="str">
        <f>"PR20000578"</f>
        <v>PR20000578</v>
      </c>
      <c r="E2952" t="str">
        <f>"Y"</f>
        <v>Y</v>
      </c>
      <c r="F2952" t="str">
        <f>"חשבוניות מרכזות"</f>
        <v>חשבוניות מרכזות</v>
      </c>
      <c r="G2952" t="str">
        <f>"700065"</f>
        <v>700065</v>
      </c>
      <c r="H2952" t="str">
        <f>"אלתא מערכות בע""מ"</f>
        <v>אלתא מערכות בע"מ</v>
      </c>
      <c r="I2952" t="str">
        <f>"10"</f>
        <v>10</v>
      </c>
      <c r="J2952" t="str">
        <f>"PS9900081"</f>
        <v>PS9900081</v>
      </c>
      <c r="K2952" t="str">
        <f>"מטען מצברים 1039V517-001 ירוק"</f>
        <v>מטען מצברים 1039V517-001 ירוק</v>
      </c>
      <c r="L2952">
        <v>2</v>
      </c>
      <c r="M2952" t="str">
        <f>"יח"</f>
        <v>יח</v>
      </c>
      <c r="N2952">
        <v>2</v>
      </c>
      <c r="O2952" t="str">
        <f>"יח"</f>
        <v>יח</v>
      </c>
      <c r="P2952" s="2">
        <v>5500</v>
      </c>
      <c r="Q2952" t="str">
        <f>"$"</f>
        <v>$</v>
      </c>
      <c r="R2952" t="str">
        <f>"הזמנה"</f>
        <v>הזמנה</v>
      </c>
      <c r="S2952">
        <v>0</v>
      </c>
      <c r="T2952" s="2">
        <v>11000</v>
      </c>
      <c r="U2952">
        <v>0</v>
      </c>
      <c r="V2952" s="2">
        <v>11000</v>
      </c>
      <c r="W2952" t="str">
        <f>"$"</f>
        <v>$</v>
      </c>
      <c r="X2952">
        <v>0</v>
      </c>
      <c r="Y2952">
        <v>0</v>
      </c>
      <c r="Z2952">
        <v>0</v>
      </c>
      <c r="AA2952" t="str">
        <f>"Y"</f>
        <v>Y</v>
      </c>
      <c r="AB2952" t="str">
        <f>"SO20000381"</f>
        <v>SO20000381</v>
      </c>
      <c r="AC2952">
        <v>2</v>
      </c>
      <c r="AD2952" s="1">
        <v>44073</v>
      </c>
      <c r="AE2952" t="str">
        <f>"SH21000277"</f>
        <v>SH21000277</v>
      </c>
      <c r="AF2952" t="str">
        <f>"משלוחים ללקוח"</f>
        <v>משלוחים ללקוח</v>
      </c>
      <c r="AG2952" s="1">
        <v>44243</v>
      </c>
      <c r="AM2952" t="str">
        <f>"10"</f>
        <v>10</v>
      </c>
      <c r="AN2952" t="str">
        <f>"500000"</f>
        <v>500000</v>
      </c>
      <c r="AO2952" t="str">
        <f>"הכנסות  מלקוחות"</f>
        <v>הכנסות  מלקוחות</v>
      </c>
      <c r="AQ2952" t="str">
        <f>"034"</f>
        <v>034</v>
      </c>
      <c r="AR2952">
        <v>0</v>
      </c>
      <c r="AS2952">
        <v>0</v>
      </c>
      <c r="AT2952">
        <v>3.2370000000000001</v>
      </c>
      <c r="AX2952" t="str">
        <f>"E000319715"</f>
        <v>E000319715</v>
      </c>
      <c r="BD2952" t="str">
        <f>"ערן שלו"</f>
        <v>ערן שלו</v>
      </c>
    </row>
    <row r="2953" spans="1:56" x14ac:dyDescent="0.3">
      <c r="A2953" s="1">
        <v>44238</v>
      </c>
      <c r="B2953" t="str">
        <f>"SI216000289"</f>
        <v>SI216000289</v>
      </c>
      <c r="C2953" t="str">
        <f>"PR20000348"</f>
        <v>PR20000348</v>
      </c>
      <c r="E2953" t="str">
        <f>"Y"</f>
        <v>Y</v>
      </c>
      <c r="F2953" t="str">
        <f>"חשבוניות מרכזות"</f>
        <v>חשבוניות מרכזות</v>
      </c>
      <c r="G2953" t="str">
        <f>"700065"</f>
        <v>700065</v>
      </c>
      <c r="H2953" t="str">
        <f>"אלתא מערכות בע""מ"</f>
        <v>אלתא מערכות בע"מ</v>
      </c>
      <c r="I2953" t="str">
        <f>"10"</f>
        <v>10</v>
      </c>
      <c r="J2953" t="str">
        <f>"OP-AR01770"</f>
        <v>OP-AR01770</v>
      </c>
      <c r="K2953" t="str">
        <f>"1036U451-001 WP451 - POWER 400VAC PDB TO LRCU"</f>
        <v>1036U451-001 WP451 - POWER 400VAC PDB TO LRCU</v>
      </c>
      <c r="L2953">
        <v>1</v>
      </c>
      <c r="M2953" t="str">
        <f>"יח"</f>
        <v>יח</v>
      </c>
      <c r="N2953">
        <v>1</v>
      </c>
      <c r="O2953" t="str">
        <f>"יח"</f>
        <v>יח</v>
      </c>
      <c r="P2953" s="2">
        <v>2395.77</v>
      </c>
      <c r="Q2953" t="str">
        <f>"$"</f>
        <v>$</v>
      </c>
      <c r="R2953" t="str">
        <f>"הזמנה"</f>
        <v>הזמנה</v>
      </c>
      <c r="S2953">
        <v>0</v>
      </c>
      <c r="T2953" s="2">
        <v>2395.77</v>
      </c>
      <c r="U2953">
        <v>0</v>
      </c>
      <c r="V2953" s="2">
        <v>2395.77</v>
      </c>
      <c r="W2953" t="str">
        <f>"$"</f>
        <v>$</v>
      </c>
      <c r="X2953">
        <v>0</v>
      </c>
      <c r="Y2953">
        <v>0</v>
      </c>
      <c r="Z2953">
        <v>0</v>
      </c>
      <c r="AA2953" t="str">
        <f>"Y"</f>
        <v>Y</v>
      </c>
      <c r="AB2953" t="str">
        <f>"SO20000201"</f>
        <v>SO20000201</v>
      </c>
      <c r="AC2953">
        <v>36</v>
      </c>
      <c r="AD2953" s="1">
        <v>43970</v>
      </c>
      <c r="AE2953" t="str">
        <f>"SH21000248"</f>
        <v>SH21000248</v>
      </c>
      <c r="AF2953" t="str">
        <f>"משלוחים ללקוח"</f>
        <v>משלוחים ללקוח</v>
      </c>
      <c r="AG2953" s="1">
        <v>44237</v>
      </c>
      <c r="AM2953" t="str">
        <f>"10"</f>
        <v>10</v>
      </c>
      <c r="AN2953" t="str">
        <f>"500000"</f>
        <v>500000</v>
      </c>
      <c r="AO2953" t="str">
        <f>"הכנסות  מלקוחות"</f>
        <v>הכנסות  מלקוחות</v>
      </c>
      <c r="AQ2953" t="str">
        <f>"034"</f>
        <v>034</v>
      </c>
      <c r="AR2953">
        <v>0</v>
      </c>
      <c r="AS2953">
        <v>0</v>
      </c>
      <c r="AT2953">
        <v>3.26</v>
      </c>
      <c r="AX2953" t="str">
        <f>"E000311250"</f>
        <v>E000311250</v>
      </c>
      <c r="BD2953" t="str">
        <f>"ערן שלו"</f>
        <v>ערן שלו</v>
      </c>
    </row>
    <row r="2954" spans="1:56" x14ac:dyDescent="0.3">
      <c r="A2954" s="1">
        <v>44238</v>
      </c>
      <c r="B2954" t="str">
        <f>"SI216000288"</f>
        <v>SI216000288</v>
      </c>
      <c r="C2954" t="str">
        <f>"PR20000348"</f>
        <v>PR20000348</v>
      </c>
      <c r="E2954" t="str">
        <f>"Y"</f>
        <v>Y</v>
      </c>
      <c r="F2954" t="str">
        <f>"חשבוניות מרכזות"</f>
        <v>חשבוניות מרכזות</v>
      </c>
      <c r="G2954" t="str">
        <f>"700065"</f>
        <v>700065</v>
      </c>
      <c r="H2954" t="str">
        <f>"אלתא מערכות בע""מ"</f>
        <v>אלתא מערכות בע"מ</v>
      </c>
      <c r="I2954" t="str">
        <f>"10"</f>
        <v>10</v>
      </c>
      <c r="J2954" t="str">
        <f>"OP-AR01770"</f>
        <v>OP-AR01770</v>
      </c>
      <c r="K2954" t="str">
        <f>"1036U451-001 WP451 - POWER 400VAC PDB TO LRCU"</f>
        <v>1036U451-001 WP451 - POWER 400VAC PDB TO LRCU</v>
      </c>
      <c r="L2954">
        <v>-1</v>
      </c>
      <c r="M2954" t="str">
        <f>"יח"</f>
        <v>יח</v>
      </c>
      <c r="N2954">
        <v>-1</v>
      </c>
      <c r="O2954" t="str">
        <f>"יח"</f>
        <v>יח</v>
      </c>
      <c r="P2954" s="2">
        <v>2395.77</v>
      </c>
      <c r="Q2954" t="str">
        <f>"$"</f>
        <v>$</v>
      </c>
      <c r="R2954" t="str">
        <f>"הזמנה"</f>
        <v>הזמנה</v>
      </c>
      <c r="S2954">
        <v>0</v>
      </c>
      <c r="T2954" s="2">
        <v>-2395.77</v>
      </c>
      <c r="U2954">
        <v>0</v>
      </c>
      <c r="V2954" s="2">
        <v>-2395.77</v>
      </c>
      <c r="W2954" t="str">
        <f>"$"</f>
        <v>$</v>
      </c>
      <c r="X2954">
        <v>0</v>
      </c>
      <c r="Y2954">
        <v>0</v>
      </c>
      <c r="Z2954">
        <v>0</v>
      </c>
      <c r="AA2954" t="str">
        <f>"Y"</f>
        <v>Y</v>
      </c>
      <c r="AC2954">
        <v>0</v>
      </c>
      <c r="AM2954" t="str">
        <f>"10"</f>
        <v>10</v>
      </c>
      <c r="AN2954" t="str">
        <f>"500000"</f>
        <v>500000</v>
      </c>
      <c r="AO2954" t="str">
        <f>"הכנסות  מלקוחות"</f>
        <v>הכנסות  מלקוחות</v>
      </c>
      <c r="AQ2954" t="str">
        <f>"034"</f>
        <v>034</v>
      </c>
      <c r="AR2954">
        <v>0</v>
      </c>
      <c r="AS2954">
        <v>0</v>
      </c>
      <c r="AT2954">
        <v>3.2589999999999999</v>
      </c>
      <c r="BB2954" t="str">
        <f>"Y"</f>
        <v>Y</v>
      </c>
      <c r="BD2954" t="str">
        <f>"ערן שלו"</f>
        <v>ערן שלו</v>
      </c>
    </row>
    <row r="2955" spans="1:56" x14ac:dyDescent="0.3">
      <c r="A2955" s="1">
        <v>44238</v>
      </c>
      <c r="B2955" t="str">
        <f>"SI216000278"</f>
        <v>SI216000278</v>
      </c>
      <c r="C2955" t="str">
        <f>"PR20000348"</f>
        <v>PR20000348</v>
      </c>
      <c r="E2955" t="str">
        <f>"Y"</f>
        <v>Y</v>
      </c>
      <c r="F2955" t="str">
        <f>"חשבוניות מרכזות"</f>
        <v>חשבוניות מרכזות</v>
      </c>
      <c r="G2955" t="str">
        <f>"700065"</f>
        <v>700065</v>
      </c>
      <c r="H2955" t="str">
        <f>"אלתא מערכות בע""מ"</f>
        <v>אלתא מערכות בע"מ</v>
      </c>
      <c r="I2955" t="str">
        <f>"10"</f>
        <v>10</v>
      </c>
      <c r="J2955" t="str">
        <f>"OP-AR01788"</f>
        <v>OP-AR01788</v>
      </c>
      <c r="K2955" t="str">
        <f>"1027L220-002 WR027 - MCS FANS DRAWER"</f>
        <v>1027L220-002 WR027 - MCS FANS DRAWER</v>
      </c>
      <c r="L2955">
        <v>17</v>
      </c>
      <c r="M2955" t="str">
        <f>"יח"</f>
        <v>יח</v>
      </c>
      <c r="N2955">
        <v>17</v>
      </c>
      <c r="O2955" t="str">
        <f>"יח"</f>
        <v>יח</v>
      </c>
      <c r="P2955">
        <v>147.51</v>
      </c>
      <c r="Q2955" t="str">
        <f>"$"</f>
        <v>$</v>
      </c>
      <c r="R2955" t="str">
        <f>"הזמנה"</f>
        <v>הזמנה</v>
      </c>
      <c r="S2955">
        <v>0</v>
      </c>
      <c r="T2955" s="2">
        <v>2507.67</v>
      </c>
      <c r="U2955">
        <v>0</v>
      </c>
      <c r="V2955" s="2">
        <v>2507.67</v>
      </c>
      <c r="W2955" t="str">
        <f>"$"</f>
        <v>$</v>
      </c>
      <c r="X2955">
        <v>0</v>
      </c>
      <c r="Y2955">
        <v>0</v>
      </c>
      <c r="Z2955">
        <v>0</v>
      </c>
      <c r="AA2955" t="str">
        <f>"Y"</f>
        <v>Y</v>
      </c>
      <c r="AB2955" t="str">
        <f>"SO20000201"</f>
        <v>SO20000201</v>
      </c>
      <c r="AC2955">
        <v>64</v>
      </c>
      <c r="AD2955" s="1">
        <v>43970</v>
      </c>
      <c r="AE2955" t="str">
        <f>"SH21000230"</f>
        <v>SH21000230</v>
      </c>
      <c r="AF2955" t="str">
        <f>"משלוחים ללקוח"</f>
        <v>משלוחים ללקוח</v>
      </c>
      <c r="AG2955" s="1">
        <v>44234</v>
      </c>
      <c r="AM2955" t="str">
        <f>"10"</f>
        <v>10</v>
      </c>
      <c r="AN2955" t="str">
        <f>"500000"</f>
        <v>500000</v>
      </c>
      <c r="AO2955" t="str">
        <f>"הכנסות  מלקוחות"</f>
        <v>הכנסות  מלקוחות</v>
      </c>
      <c r="AQ2955" t="str">
        <f>"034"</f>
        <v>034</v>
      </c>
      <c r="AR2955">
        <v>0</v>
      </c>
      <c r="AS2955">
        <v>0</v>
      </c>
      <c r="AT2955">
        <v>3.26</v>
      </c>
      <c r="AX2955" t="str">
        <f>"E000311250"</f>
        <v>E000311250</v>
      </c>
      <c r="BD2955" t="str">
        <f>"ערן שלו"</f>
        <v>ערן שלו</v>
      </c>
    </row>
    <row r="2956" spans="1:56" x14ac:dyDescent="0.3">
      <c r="A2956" s="1">
        <v>44238</v>
      </c>
      <c r="B2956" t="str">
        <f>"SI216000277"</f>
        <v>SI216000277</v>
      </c>
      <c r="C2956" t="str">
        <f>"PR20000348"</f>
        <v>PR20000348</v>
      </c>
      <c r="E2956" t="str">
        <f>"Y"</f>
        <v>Y</v>
      </c>
      <c r="F2956" t="str">
        <f>"חשבוניות מרכזות"</f>
        <v>חשבוניות מרכזות</v>
      </c>
      <c r="G2956" t="str">
        <f>"700065"</f>
        <v>700065</v>
      </c>
      <c r="H2956" t="str">
        <f>"אלתא מערכות בע""מ"</f>
        <v>אלתא מערכות בע"מ</v>
      </c>
      <c r="I2956" t="str">
        <f>"10"</f>
        <v>10</v>
      </c>
      <c r="J2956" t="str">
        <f>"OP-AR01788"</f>
        <v>OP-AR01788</v>
      </c>
      <c r="K2956" t="str">
        <f>"1027L220-002 WR027 - MCS FANS DRAWER"</f>
        <v>1027L220-002 WR027 - MCS FANS DRAWER</v>
      </c>
      <c r="L2956">
        <v>-17</v>
      </c>
      <c r="M2956" t="str">
        <f>"יח"</f>
        <v>יח</v>
      </c>
      <c r="N2956">
        <v>-17</v>
      </c>
      <c r="O2956" t="str">
        <f>"יח"</f>
        <v>יח</v>
      </c>
      <c r="P2956">
        <v>147.51</v>
      </c>
      <c r="Q2956" t="str">
        <f>"$"</f>
        <v>$</v>
      </c>
      <c r="R2956" t="str">
        <f>"הזמנה"</f>
        <v>הזמנה</v>
      </c>
      <c r="S2956">
        <v>0</v>
      </c>
      <c r="T2956" s="2">
        <v>-2507.67</v>
      </c>
      <c r="U2956">
        <v>0</v>
      </c>
      <c r="V2956" s="2">
        <v>-2507.67</v>
      </c>
      <c r="W2956" t="str">
        <f>"$"</f>
        <v>$</v>
      </c>
      <c r="X2956">
        <v>0</v>
      </c>
      <c r="Y2956">
        <v>0</v>
      </c>
      <c r="Z2956">
        <v>0</v>
      </c>
      <c r="AA2956" t="str">
        <f>"Y"</f>
        <v>Y</v>
      </c>
      <c r="AC2956">
        <v>0</v>
      </c>
      <c r="AM2956" t="str">
        <f>"10"</f>
        <v>10</v>
      </c>
      <c r="AN2956" t="str">
        <f>"500000"</f>
        <v>500000</v>
      </c>
      <c r="AO2956" t="str">
        <f>"הכנסות  מלקוחות"</f>
        <v>הכנסות  מלקוחות</v>
      </c>
      <c r="AQ2956" t="str">
        <f>"034"</f>
        <v>034</v>
      </c>
      <c r="AR2956">
        <v>0</v>
      </c>
      <c r="AS2956">
        <v>0</v>
      </c>
      <c r="AT2956">
        <v>3.2589999999999999</v>
      </c>
      <c r="BB2956" t="str">
        <f>"Y"</f>
        <v>Y</v>
      </c>
      <c r="BD2956" t="str">
        <f>"ערן שלו"</f>
        <v>ערן שלו</v>
      </c>
    </row>
    <row r="2957" spans="1:56" x14ac:dyDescent="0.3">
      <c r="A2957" s="1">
        <v>44238</v>
      </c>
      <c r="B2957" t="str">
        <f>"SI216000237"</f>
        <v>SI216000237</v>
      </c>
      <c r="C2957" t="str">
        <f>"PR20000851"</f>
        <v>PR20000851</v>
      </c>
      <c r="D2957" t="str">
        <f>"PR20000851"</f>
        <v>PR20000851</v>
      </c>
      <c r="E2957" t="str">
        <f>"Y"</f>
        <v>Y</v>
      </c>
      <c r="F2957" t="str">
        <f>"חשבוניות מרכזות"</f>
        <v>חשבוניות מרכזות</v>
      </c>
      <c r="G2957" t="str">
        <f>"700065"</f>
        <v>700065</v>
      </c>
      <c r="H2957" t="str">
        <f>"אלתא מערכות בע""מ"</f>
        <v>אלתא מערכות בע"מ</v>
      </c>
      <c r="I2957" t="str">
        <f>"10"</f>
        <v>10</v>
      </c>
      <c r="J2957" t="str">
        <f>"OP-AR02180"</f>
        <v>OP-AR02180</v>
      </c>
      <c r="K2957" t="str">
        <f>"1039H840-001   HARNESS WY040 - SHELTER DOOR OP"</f>
        <v>1039H840-001   HARNESS WY040 - SHELTER DOOR OP</v>
      </c>
      <c r="L2957">
        <v>5</v>
      </c>
      <c r="M2957" t="str">
        <f>"יח"</f>
        <v>יח</v>
      </c>
      <c r="N2957">
        <v>5</v>
      </c>
      <c r="O2957" t="str">
        <f>"יח"</f>
        <v>יח</v>
      </c>
      <c r="P2957">
        <v>98.51</v>
      </c>
      <c r="Q2957" t="str">
        <f>"$"</f>
        <v>$</v>
      </c>
      <c r="R2957" t="str">
        <f>"הזמנה"</f>
        <v>הזמנה</v>
      </c>
      <c r="S2957">
        <v>0</v>
      </c>
      <c r="T2957">
        <v>492.55</v>
      </c>
      <c r="U2957">
        <v>0</v>
      </c>
      <c r="V2957">
        <v>492.55</v>
      </c>
      <c r="W2957" t="str">
        <f>"$"</f>
        <v>$</v>
      </c>
      <c r="X2957">
        <v>0</v>
      </c>
      <c r="Y2957">
        <v>0</v>
      </c>
      <c r="Z2957">
        <v>0</v>
      </c>
      <c r="AA2957" t="str">
        <f>"Y"</f>
        <v>Y</v>
      </c>
      <c r="AB2957" t="str">
        <f>"SO20000555"</f>
        <v>SO20000555</v>
      </c>
      <c r="AC2957">
        <v>27</v>
      </c>
      <c r="AD2957" s="1">
        <v>44166</v>
      </c>
      <c r="AE2957" t="str">
        <f>"SH21000247"</f>
        <v>SH21000247</v>
      </c>
      <c r="AF2957" t="str">
        <f>"משלוחים ללקוח"</f>
        <v>משלוחים ללקוח</v>
      </c>
      <c r="AG2957" s="1">
        <v>44237</v>
      </c>
      <c r="AM2957" t="str">
        <f>"10"</f>
        <v>10</v>
      </c>
      <c r="AN2957" t="str">
        <f>"500000"</f>
        <v>500000</v>
      </c>
      <c r="AO2957" t="str">
        <f>"הכנסות  מלקוחות"</f>
        <v>הכנסות  מלקוחות</v>
      </c>
      <c r="AQ2957" t="str">
        <f>"034"</f>
        <v>034</v>
      </c>
      <c r="AR2957">
        <v>0</v>
      </c>
      <c r="AS2957">
        <v>0</v>
      </c>
      <c r="AT2957">
        <v>3.2589999999999999</v>
      </c>
      <c r="AX2957" t="str">
        <f>"E000326481"</f>
        <v>E000326481</v>
      </c>
      <c r="BD2957" t="str">
        <f>"ערן שלו"</f>
        <v>ערן שלו</v>
      </c>
    </row>
    <row r="2958" spans="1:56" x14ac:dyDescent="0.3">
      <c r="A2958" s="1">
        <v>44238</v>
      </c>
      <c r="B2958" t="str">
        <f>"SI216000237"</f>
        <v>SI216000237</v>
      </c>
      <c r="C2958" t="str">
        <f>"PR20000851"</f>
        <v>PR20000851</v>
      </c>
      <c r="D2958" t="str">
        <f>"PR20000851"</f>
        <v>PR20000851</v>
      </c>
      <c r="E2958" t="str">
        <f>"Y"</f>
        <v>Y</v>
      </c>
      <c r="F2958" t="str">
        <f>"חשבוניות מרכזות"</f>
        <v>חשבוניות מרכזות</v>
      </c>
      <c r="G2958" t="str">
        <f>"700065"</f>
        <v>700065</v>
      </c>
      <c r="H2958" t="str">
        <f>"אלתא מערכות בע""מ"</f>
        <v>אלתא מערכות בע"מ</v>
      </c>
      <c r="I2958" t="str">
        <f>"10"</f>
        <v>10</v>
      </c>
      <c r="J2958" t="str">
        <f>"OP-AR02181"</f>
        <v>OP-AR02181</v>
      </c>
      <c r="K2958" t="str">
        <f>"1039H842-001   HARNESS WY042 - PDU REMOTE TO U"</f>
        <v>1039H842-001   HARNESS WY042 - PDU REMOTE TO U</v>
      </c>
      <c r="L2958">
        <v>2</v>
      </c>
      <c r="M2958" t="str">
        <f>"יח"</f>
        <v>יח</v>
      </c>
      <c r="N2958">
        <v>2</v>
      </c>
      <c r="O2958" t="str">
        <f>"יח"</f>
        <v>יח</v>
      </c>
      <c r="P2958">
        <v>449.8</v>
      </c>
      <c r="Q2958" t="str">
        <f>"$"</f>
        <v>$</v>
      </c>
      <c r="R2958" t="str">
        <f>"הזמנה"</f>
        <v>הזמנה</v>
      </c>
      <c r="S2958">
        <v>0</v>
      </c>
      <c r="T2958">
        <v>899.6</v>
      </c>
      <c r="U2958">
        <v>0</v>
      </c>
      <c r="V2958">
        <v>899.6</v>
      </c>
      <c r="W2958" t="str">
        <f>"$"</f>
        <v>$</v>
      </c>
      <c r="X2958">
        <v>0</v>
      </c>
      <c r="Y2958">
        <v>0</v>
      </c>
      <c r="Z2958">
        <v>0</v>
      </c>
      <c r="AA2958" t="str">
        <f>"Y"</f>
        <v>Y</v>
      </c>
      <c r="AB2958" t="str">
        <f>"SO20000555"</f>
        <v>SO20000555</v>
      </c>
      <c r="AC2958">
        <v>28</v>
      </c>
      <c r="AD2958" s="1">
        <v>44166</v>
      </c>
      <c r="AE2958" t="str">
        <f>"SH21000247"</f>
        <v>SH21000247</v>
      </c>
      <c r="AF2958" t="str">
        <f>"משלוחים ללקוח"</f>
        <v>משלוחים ללקוח</v>
      </c>
      <c r="AG2958" s="1">
        <v>44237</v>
      </c>
      <c r="AM2958" t="str">
        <f>"10"</f>
        <v>10</v>
      </c>
      <c r="AN2958" t="str">
        <f>"500000"</f>
        <v>500000</v>
      </c>
      <c r="AO2958" t="str">
        <f>"הכנסות  מלקוחות"</f>
        <v>הכנסות  מלקוחות</v>
      </c>
      <c r="AQ2958" t="str">
        <f>"034"</f>
        <v>034</v>
      </c>
      <c r="AR2958">
        <v>0</v>
      </c>
      <c r="AS2958">
        <v>0</v>
      </c>
      <c r="AT2958">
        <v>3.2589999999999999</v>
      </c>
      <c r="AX2958" t="str">
        <f>"E000326481"</f>
        <v>E000326481</v>
      </c>
      <c r="BD2958" t="str">
        <f>"ערן שלו"</f>
        <v>ערן שלו</v>
      </c>
    </row>
    <row r="2959" spans="1:56" x14ac:dyDescent="0.3">
      <c r="A2959" s="1">
        <v>44238</v>
      </c>
      <c r="B2959" t="str">
        <f>"SI216000236"</f>
        <v>SI216000236</v>
      </c>
      <c r="C2959" t="str">
        <f>"PR20000348"</f>
        <v>PR20000348</v>
      </c>
      <c r="E2959" t="str">
        <f>"Y"</f>
        <v>Y</v>
      </c>
      <c r="F2959" t="str">
        <f>"חשבוניות מרכזות"</f>
        <v>חשבוניות מרכזות</v>
      </c>
      <c r="G2959" t="str">
        <f>"700065"</f>
        <v>700065</v>
      </c>
      <c r="H2959" t="str">
        <f>"אלתא מערכות בע""מ"</f>
        <v>אלתא מערכות בע"מ</v>
      </c>
      <c r="I2959" t="str">
        <f>"10"</f>
        <v>10</v>
      </c>
      <c r="J2959" t="str">
        <f>"OP-AR01770"</f>
        <v>OP-AR01770</v>
      </c>
      <c r="K2959" t="str">
        <f>"1036U451-001 WP451 - POWER 400VAC PDB TO LRCU"</f>
        <v>1036U451-001 WP451 - POWER 400VAC PDB TO LRCU</v>
      </c>
      <c r="L2959">
        <v>1</v>
      </c>
      <c r="M2959" t="str">
        <f>"יח"</f>
        <v>יח</v>
      </c>
      <c r="N2959">
        <v>1</v>
      </c>
      <c r="O2959" t="str">
        <f>"יח"</f>
        <v>יח</v>
      </c>
      <c r="P2959" s="2">
        <v>2395.77</v>
      </c>
      <c r="Q2959" t="str">
        <f>"$"</f>
        <v>$</v>
      </c>
      <c r="R2959" t="str">
        <f>"הזמנה"</f>
        <v>הזמנה</v>
      </c>
      <c r="S2959">
        <v>0</v>
      </c>
      <c r="T2959" s="2">
        <v>2395.77</v>
      </c>
      <c r="U2959">
        <v>0</v>
      </c>
      <c r="V2959" s="2">
        <v>2395.77</v>
      </c>
      <c r="W2959" t="str">
        <f>"$"</f>
        <v>$</v>
      </c>
      <c r="X2959">
        <v>0</v>
      </c>
      <c r="Y2959">
        <v>0</v>
      </c>
      <c r="Z2959">
        <v>0</v>
      </c>
      <c r="AA2959" t="str">
        <f>"Y"</f>
        <v>Y</v>
      </c>
      <c r="AC2959">
        <v>0</v>
      </c>
      <c r="AM2959" t="str">
        <f>"10"</f>
        <v>10</v>
      </c>
      <c r="AN2959" t="str">
        <f>"500000"</f>
        <v>500000</v>
      </c>
      <c r="AO2959" t="str">
        <f>"הכנסות  מלקוחות"</f>
        <v>הכנסות  מלקוחות</v>
      </c>
      <c r="AQ2959" t="str">
        <f>"034"</f>
        <v>034</v>
      </c>
      <c r="AR2959">
        <v>0</v>
      </c>
      <c r="AS2959">
        <v>0</v>
      </c>
      <c r="AT2959">
        <v>3.2589999999999999</v>
      </c>
      <c r="BB2959" t="str">
        <f>"Y"</f>
        <v>Y</v>
      </c>
      <c r="BD2959" t="str">
        <f>"ערן שלו"</f>
        <v>ערן שלו</v>
      </c>
    </row>
    <row r="2960" spans="1:56" x14ac:dyDescent="0.3">
      <c r="A2960" s="1">
        <v>44238</v>
      </c>
      <c r="B2960" t="str">
        <f>"SI216000185"</f>
        <v>SI216000185</v>
      </c>
      <c r="C2960" t="str">
        <f>"PR20000669"</f>
        <v>PR20000669</v>
      </c>
      <c r="E2960" t="str">
        <f>"Y"</f>
        <v>Y</v>
      </c>
      <c r="F2960" t="str">
        <f>"חשבוניות מרכזות"</f>
        <v>חשבוניות מרכזות</v>
      </c>
      <c r="G2960" t="str">
        <f>"700065"</f>
        <v>700065</v>
      </c>
      <c r="H2960" t="str">
        <f>"אלתא מערכות בע""מ"</f>
        <v>אלתא מערכות בע"מ</v>
      </c>
      <c r="I2960" t="str">
        <f>"10"</f>
        <v>10</v>
      </c>
      <c r="J2960" t="str">
        <f>"OP-AR02030"</f>
        <v>OP-AR02030</v>
      </c>
      <c r="K2960" t="str">
        <f>"4030H111-001/- HARNESS W111 - MAIN"</f>
        <v>4030H111-001/- HARNESS W111 - MAIN</v>
      </c>
      <c r="L2960">
        <v>1</v>
      </c>
      <c r="M2960" t="str">
        <f>"יח"</f>
        <v>יח</v>
      </c>
      <c r="N2960">
        <v>1</v>
      </c>
      <c r="O2960" t="str">
        <f>"יח"</f>
        <v>יח</v>
      </c>
      <c r="P2960" s="2">
        <v>1840.43</v>
      </c>
      <c r="Q2960" t="str">
        <f>"$"</f>
        <v>$</v>
      </c>
      <c r="R2960" t="str">
        <f>"הזמנה"</f>
        <v>הזמנה</v>
      </c>
      <c r="S2960">
        <v>0</v>
      </c>
      <c r="T2960" s="2">
        <v>1840.43</v>
      </c>
      <c r="U2960">
        <v>0</v>
      </c>
      <c r="V2960" s="2">
        <v>1840.43</v>
      </c>
      <c r="W2960" t="str">
        <f>"$"</f>
        <v>$</v>
      </c>
      <c r="X2960">
        <v>0</v>
      </c>
      <c r="Y2960">
        <v>0</v>
      </c>
      <c r="Z2960">
        <v>0</v>
      </c>
      <c r="AA2960" t="str">
        <f>"Y"</f>
        <v>Y</v>
      </c>
      <c r="AB2960" t="str">
        <f>"SO20000432"</f>
        <v>SO20000432</v>
      </c>
      <c r="AC2960">
        <v>1</v>
      </c>
      <c r="AD2960" s="1">
        <v>44097</v>
      </c>
      <c r="AE2960" t="str">
        <f>"SH21000227"</f>
        <v>SH21000227</v>
      </c>
      <c r="AF2960" t="str">
        <f>"משלוחים ללקוח"</f>
        <v>משלוחים ללקוח</v>
      </c>
      <c r="AG2960" s="1">
        <v>44234</v>
      </c>
      <c r="AM2960" t="str">
        <f>"10"</f>
        <v>10</v>
      </c>
      <c r="AN2960" t="str">
        <f>"500000"</f>
        <v>500000</v>
      </c>
      <c r="AO2960" t="str">
        <f>"הכנסות  מלקוחות"</f>
        <v>הכנסות  מלקוחות</v>
      </c>
      <c r="AQ2960" t="str">
        <f>"034"</f>
        <v>034</v>
      </c>
      <c r="AR2960">
        <v>0</v>
      </c>
      <c r="AS2960">
        <v>0</v>
      </c>
      <c r="AT2960">
        <v>3.2589999999999999</v>
      </c>
      <c r="AX2960" t="str">
        <f>"E000321534"</f>
        <v>E000321534</v>
      </c>
      <c r="BD2960" t="str">
        <f>"ערן שלו"</f>
        <v>ערן שלו</v>
      </c>
    </row>
    <row r="2961" spans="1:56" x14ac:dyDescent="0.3">
      <c r="A2961" s="1">
        <v>44238</v>
      </c>
      <c r="B2961" t="str">
        <f>"SI216000184"</f>
        <v>SI216000184</v>
      </c>
      <c r="C2961" t="str">
        <f>"PR20000348"</f>
        <v>PR20000348</v>
      </c>
      <c r="E2961" t="str">
        <f>"Y"</f>
        <v>Y</v>
      </c>
      <c r="F2961" t="str">
        <f>"חשבוניות מרכזות"</f>
        <v>חשבוניות מרכזות</v>
      </c>
      <c r="G2961" t="str">
        <f>"700065"</f>
        <v>700065</v>
      </c>
      <c r="H2961" t="str">
        <f>"אלתא מערכות בע""מ"</f>
        <v>אלתא מערכות בע"מ</v>
      </c>
      <c r="I2961" t="str">
        <f>"10"</f>
        <v>10</v>
      </c>
      <c r="J2961" t="str">
        <f>"OP-AR01788"</f>
        <v>OP-AR01788</v>
      </c>
      <c r="K2961" t="str">
        <f>"1027L220-002 WR027 - MCS FANS DRAWER"</f>
        <v>1027L220-002 WR027 - MCS FANS DRAWER</v>
      </c>
      <c r="L2961">
        <v>17</v>
      </c>
      <c r="M2961" t="str">
        <f>"יח"</f>
        <v>יח</v>
      </c>
      <c r="N2961">
        <v>17</v>
      </c>
      <c r="O2961" t="str">
        <f>"יח"</f>
        <v>יח</v>
      </c>
      <c r="P2961">
        <v>147.51</v>
      </c>
      <c r="Q2961" t="str">
        <f>"$"</f>
        <v>$</v>
      </c>
      <c r="R2961" t="str">
        <f>"הזמנה"</f>
        <v>הזמנה</v>
      </c>
      <c r="S2961">
        <v>0</v>
      </c>
      <c r="T2961" s="2">
        <v>2507.67</v>
      </c>
      <c r="U2961">
        <v>0</v>
      </c>
      <c r="V2961" s="2">
        <v>2507.67</v>
      </c>
      <c r="W2961" t="str">
        <f>"$"</f>
        <v>$</v>
      </c>
      <c r="X2961">
        <v>0</v>
      </c>
      <c r="Y2961">
        <v>0</v>
      </c>
      <c r="Z2961">
        <v>0</v>
      </c>
      <c r="AA2961" t="str">
        <f>"Y"</f>
        <v>Y</v>
      </c>
      <c r="AC2961">
        <v>0</v>
      </c>
      <c r="AM2961" t="str">
        <f>"10"</f>
        <v>10</v>
      </c>
      <c r="AN2961" t="str">
        <f>"500000"</f>
        <v>500000</v>
      </c>
      <c r="AO2961" t="str">
        <f>"הכנסות  מלקוחות"</f>
        <v>הכנסות  מלקוחות</v>
      </c>
      <c r="AQ2961" t="str">
        <f>"034"</f>
        <v>034</v>
      </c>
      <c r="AR2961">
        <v>0</v>
      </c>
      <c r="AS2961">
        <v>0</v>
      </c>
      <c r="AT2961">
        <v>3.2589999999999999</v>
      </c>
      <c r="BB2961" t="str">
        <f>"Y"</f>
        <v>Y</v>
      </c>
      <c r="BD2961" t="str">
        <f>"ערן שלו"</f>
        <v>ערן שלו</v>
      </c>
    </row>
    <row r="2962" spans="1:56" x14ac:dyDescent="0.3">
      <c r="A2962" s="1">
        <v>44235</v>
      </c>
      <c r="B2962" t="str">
        <f>"SI216000276"</f>
        <v>SI216000276</v>
      </c>
      <c r="C2962" t="str">
        <f>"PR20000842"</f>
        <v>PR20000842</v>
      </c>
      <c r="E2962" t="str">
        <f>"Y"</f>
        <v>Y</v>
      </c>
      <c r="F2962" t="str">
        <f>"חשבוניות מרכזות"</f>
        <v>חשבוניות מרכזות</v>
      </c>
      <c r="G2962" t="str">
        <f>"700065"</f>
        <v>700065</v>
      </c>
      <c r="H2962" t="str">
        <f>"אלתא מערכות בע""מ"</f>
        <v>אלתא מערכות בע"מ</v>
      </c>
      <c r="I2962" t="str">
        <f>"10"</f>
        <v>10</v>
      </c>
      <c r="J2962" t="str">
        <f>"OP-AR02147"</f>
        <v>OP-AR02147</v>
      </c>
      <c r="K2962" t="str">
        <f>"9002H707-001  HARNESS W5707 - POD LVCS J4 DC POW"</f>
        <v>9002H707-001  HARNESS W5707 - POD LVCS J4 DC POW</v>
      </c>
      <c r="L2962">
        <v>1</v>
      </c>
      <c r="M2962" t="str">
        <f>"יח"</f>
        <v>יח</v>
      </c>
      <c r="N2962">
        <v>1</v>
      </c>
      <c r="O2962" t="str">
        <f>"יח"</f>
        <v>יח</v>
      </c>
      <c r="P2962">
        <v>866.17</v>
      </c>
      <c r="Q2962" t="str">
        <f>"$"</f>
        <v>$</v>
      </c>
      <c r="R2962" t="str">
        <f>"הזמנה"</f>
        <v>הזמנה</v>
      </c>
      <c r="S2962">
        <v>0</v>
      </c>
      <c r="T2962">
        <v>866.17</v>
      </c>
      <c r="U2962">
        <v>0</v>
      </c>
      <c r="V2962">
        <v>866.17</v>
      </c>
      <c r="W2962" t="str">
        <f>"$"</f>
        <v>$</v>
      </c>
      <c r="X2962">
        <v>0</v>
      </c>
      <c r="Y2962">
        <v>0</v>
      </c>
      <c r="Z2962">
        <v>0</v>
      </c>
      <c r="AA2962" t="str">
        <f>"Y"</f>
        <v>Y</v>
      </c>
      <c r="AB2962" t="str">
        <f>"SO20000557"</f>
        <v>SO20000557</v>
      </c>
      <c r="AC2962">
        <v>1</v>
      </c>
      <c r="AD2962" s="1">
        <v>44167</v>
      </c>
      <c r="AE2962" t="str">
        <f>"SH21000228"</f>
        <v>SH21000228</v>
      </c>
      <c r="AF2962" t="str">
        <f>"משלוחים ללקוח"</f>
        <v>משלוחים ללקוח</v>
      </c>
      <c r="AG2962" s="1">
        <v>44234</v>
      </c>
      <c r="AM2962" t="str">
        <f>"10"</f>
        <v>10</v>
      </c>
      <c r="AN2962" t="str">
        <f>"500000"</f>
        <v>500000</v>
      </c>
      <c r="AO2962" t="str">
        <f>"הכנסות  מלקוחות"</f>
        <v>הכנסות  מלקוחות</v>
      </c>
      <c r="AQ2962" t="str">
        <f>"034"</f>
        <v>034</v>
      </c>
      <c r="AR2962">
        <v>0</v>
      </c>
      <c r="AS2962">
        <v>0</v>
      </c>
      <c r="AT2962">
        <v>3.282</v>
      </c>
      <c r="AX2962" t="str">
        <f>"E000327266"</f>
        <v>E000327266</v>
      </c>
      <c r="BD2962" t="str">
        <f>"ערן שלו"</f>
        <v>ערן שלו</v>
      </c>
    </row>
    <row r="2963" spans="1:56" x14ac:dyDescent="0.3">
      <c r="A2963" s="1">
        <v>44235</v>
      </c>
      <c r="B2963" t="str">
        <f>"SI216000276"</f>
        <v>SI216000276</v>
      </c>
      <c r="C2963" t="str">
        <f>"PR20000842"</f>
        <v>PR20000842</v>
      </c>
      <c r="E2963" t="str">
        <f>"Y"</f>
        <v>Y</v>
      </c>
      <c r="F2963" t="str">
        <f>"חשבוניות מרכזות"</f>
        <v>חשבוניות מרכזות</v>
      </c>
      <c r="G2963" t="str">
        <f>"700065"</f>
        <v>700065</v>
      </c>
      <c r="H2963" t="str">
        <f>"אלתא מערכות בע""מ"</f>
        <v>אלתא מערכות בע"מ</v>
      </c>
      <c r="I2963" t="str">
        <f>"10"</f>
        <v>10</v>
      </c>
      <c r="J2963" t="str">
        <f>"OP-AR02147"</f>
        <v>OP-AR02147</v>
      </c>
      <c r="K2963" t="str">
        <f>"9002H707-001  HARNESS W5707 - POD LVCS J4 DC POW"</f>
        <v>9002H707-001  HARNESS W5707 - POD LVCS J4 DC POW</v>
      </c>
      <c r="L2963">
        <v>5</v>
      </c>
      <c r="M2963" t="str">
        <f>"יח"</f>
        <v>יח</v>
      </c>
      <c r="N2963">
        <v>5</v>
      </c>
      <c r="O2963" t="str">
        <f>"יח"</f>
        <v>יח</v>
      </c>
      <c r="P2963">
        <v>866.17</v>
      </c>
      <c r="Q2963" t="str">
        <f>"$"</f>
        <v>$</v>
      </c>
      <c r="R2963" t="str">
        <f>"הזמנה"</f>
        <v>הזמנה</v>
      </c>
      <c r="S2963">
        <v>0</v>
      </c>
      <c r="T2963" s="2">
        <v>4330.8500000000004</v>
      </c>
      <c r="U2963">
        <v>0</v>
      </c>
      <c r="V2963" s="2">
        <v>4330.8500000000004</v>
      </c>
      <c r="W2963" t="str">
        <f>"$"</f>
        <v>$</v>
      </c>
      <c r="X2963">
        <v>0</v>
      </c>
      <c r="Y2963">
        <v>0</v>
      </c>
      <c r="Z2963">
        <v>0</v>
      </c>
      <c r="AA2963" t="str">
        <f>"Y"</f>
        <v>Y</v>
      </c>
      <c r="AB2963" t="str">
        <f>"SO20000557"</f>
        <v>SO20000557</v>
      </c>
      <c r="AC2963">
        <v>2</v>
      </c>
      <c r="AD2963" s="1">
        <v>44167</v>
      </c>
      <c r="AE2963" t="str">
        <f>"SH21000228"</f>
        <v>SH21000228</v>
      </c>
      <c r="AF2963" t="str">
        <f>"משלוחים ללקוח"</f>
        <v>משלוחים ללקוח</v>
      </c>
      <c r="AG2963" s="1">
        <v>44234</v>
      </c>
      <c r="AM2963" t="str">
        <f>"10"</f>
        <v>10</v>
      </c>
      <c r="AN2963" t="str">
        <f>"500000"</f>
        <v>500000</v>
      </c>
      <c r="AO2963" t="str">
        <f>"הכנסות  מלקוחות"</f>
        <v>הכנסות  מלקוחות</v>
      </c>
      <c r="AQ2963" t="str">
        <f>"034"</f>
        <v>034</v>
      </c>
      <c r="AR2963">
        <v>0</v>
      </c>
      <c r="AS2963">
        <v>0</v>
      </c>
      <c r="AT2963">
        <v>3.282</v>
      </c>
      <c r="AX2963" t="str">
        <f>"E000327266"</f>
        <v>E000327266</v>
      </c>
      <c r="BD2963" t="str">
        <f>"ערן שלו"</f>
        <v>ערן שלו</v>
      </c>
    </row>
    <row r="2964" spans="1:56" x14ac:dyDescent="0.3">
      <c r="A2964" s="1">
        <v>44235</v>
      </c>
      <c r="B2964" t="str">
        <f>"SI216000276"</f>
        <v>SI216000276</v>
      </c>
      <c r="C2964" t="str">
        <f>"PR20000842"</f>
        <v>PR20000842</v>
      </c>
      <c r="E2964" t="str">
        <f>"Y"</f>
        <v>Y</v>
      </c>
      <c r="F2964" t="str">
        <f>"חשבוניות מרכזות"</f>
        <v>חשבוניות מרכזות</v>
      </c>
      <c r="G2964" t="str">
        <f>"700065"</f>
        <v>700065</v>
      </c>
      <c r="H2964" t="str">
        <f>"אלתא מערכות בע""מ"</f>
        <v>אלתא מערכות בע"מ</v>
      </c>
      <c r="I2964" t="str">
        <f>"10"</f>
        <v>10</v>
      </c>
      <c r="J2964" t="str">
        <f>"OP-AR02148"</f>
        <v>OP-AR02148</v>
      </c>
      <c r="K2964" t="str">
        <f>"9002H708-001  HARNESS W5708 - POD LVCS J5 DC POW"</f>
        <v>9002H708-001  HARNESS W5708 - POD LVCS J5 DC POW</v>
      </c>
      <c r="L2964">
        <v>1</v>
      </c>
      <c r="M2964" t="str">
        <f>"יח"</f>
        <v>יח</v>
      </c>
      <c r="N2964">
        <v>1</v>
      </c>
      <c r="O2964" t="str">
        <f>"יח"</f>
        <v>יח</v>
      </c>
      <c r="P2964">
        <v>866.17</v>
      </c>
      <c r="Q2964" t="str">
        <f>"$"</f>
        <v>$</v>
      </c>
      <c r="R2964" t="str">
        <f>"הזמנה"</f>
        <v>הזמנה</v>
      </c>
      <c r="S2964">
        <v>0</v>
      </c>
      <c r="T2964">
        <v>866.17</v>
      </c>
      <c r="U2964">
        <v>0</v>
      </c>
      <c r="V2964">
        <v>866.17</v>
      </c>
      <c r="W2964" t="str">
        <f>"$"</f>
        <v>$</v>
      </c>
      <c r="X2964">
        <v>0</v>
      </c>
      <c r="Y2964">
        <v>0</v>
      </c>
      <c r="Z2964">
        <v>0</v>
      </c>
      <c r="AA2964" t="str">
        <f>"Y"</f>
        <v>Y</v>
      </c>
      <c r="AB2964" t="str">
        <f>"SO20000557"</f>
        <v>SO20000557</v>
      </c>
      <c r="AC2964">
        <v>3</v>
      </c>
      <c r="AD2964" s="1">
        <v>44167</v>
      </c>
      <c r="AE2964" t="str">
        <f>"SH21000228"</f>
        <v>SH21000228</v>
      </c>
      <c r="AF2964" t="str">
        <f>"משלוחים ללקוח"</f>
        <v>משלוחים ללקוח</v>
      </c>
      <c r="AG2964" s="1">
        <v>44234</v>
      </c>
      <c r="AM2964" t="str">
        <f>"10"</f>
        <v>10</v>
      </c>
      <c r="AN2964" t="str">
        <f>"500000"</f>
        <v>500000</v>
      </c>
      <c r="AO2964" t="str">
        <f>"הכנסות  מלקוחות"</f>
        <v>הכנסות  מלקוחות</v>
      </c>
      <c r="AQ2964" t="str">
        <f>"034"</f>
        <v>034</v>
      </c>
      <c r="AR2964">
        <v>0</v>
      </c>
      <c r="AS2964">
        <v>0</v>
      </c>
      <c r="AT2964">
        <v>3.282</v>
      </c>
      <c r="AX2964" t="str">
        <f>"E000327266"</f>
        <v>E000327266</v>
      </c>
      <c r="BD2964" t="str">
        <f>"ערן שלו"</f>
        <v>ערן שלו</v>
      </c>
    </row>
    <row r="2965" spans="1:56" x14ac:dyDescent="0.3">
      <c r="A2965" s="1">
        <v>44235</v>
      </c>
      <c r="B2965" t="str">
        <f>"SI216000276"</f>
        <v>SI216000276</v>
      </c>
      <c r="C2965" t="str">
        <f>"PR20000842"</f>
        <v>PR20000842</v>
      </c>
      <c r="E2965" t="str">
        <f>"Y"</f>
        <v>Y</v>
      </c>
      <c r="F2965" t="str">
        <f>"חשבוניות מרכזות"</f>
        <v>חשבוניות מרכזות</v>
      </c>
      <c r="G2965" t="str">
        <f>"700065"</f>
        <v>700065</v>
      </c>
      <c r="H2965" t="str">
        <f>"אלתא מערכות בע""מ"</f>
        <v>אלתא מערכות בע"מ</v>
      </c>
      <c r="I2965" t="str">
        <f>"10"</f>
        <v>10</v>
      </c>
      <c r="J2965" t="str">
        <f>"OP-AR02148"</f>
        <v>OP-AR02148</v>
      </c>
      <c r="K2965" t="str">
        <f>"9002H708-001  HARNESS W5708 - POD LVCS J5 DC POW"</f>
        <v>9002H708-001  HARNESS W5708 - POD LVCS J5 DC POW</v>
      </c>
      <c r="L2965">
        <v>4</v>
      </c>
      <c r="M2965" t="str">
        <f>"יח"</f>
        <v>יח</v>
      </c>
      <c r="N2965">
        <v>4</v>
      </c>
      <c r="O2965" t="str">
        <f>"יח"</f>
        <v>יח</v>
      </c>
      <c r="P2965">
        <v>866.17</v>
      </c>
      <c r="Q2965" t="str">
        <f>"$"</f>
        <v>$</v>
      </c>
      <c r="R2965" t="str">
        <f>"הזמנה"</f>
        <v>הזמנה</v>
      </c>
      <c r="S2965">
        <v>0</v>
      </c>
      <c r="T2965" s="2">
        <v>3464.68</v>
      </c>
      <c r="U2965">
        <v>0</v>
      </c>
      <c r="V2965" s="2">
        <v>3464.68</v>
      </c>
      <c r="W2965" t="str">
        <f>"$"</f>
        <v>$</v>
      </c>
      <c r="X2965">
        <v>0</v>
      </c>
      <c r="Y2965">
        <v>0</v>
      </c>
      <c r="Z2965">
        <v>0</v>
      </c>
      <c r="AA2965" t="str">
        <f>"Y"</f>
        <v>Y</v>
      </c>
      <c r="AB2965" t="str">
        <f>"SO20000557"</f>
        <v>SO20000557</v>
      </c>
      <c r="AC2965">
        <v>4</v>
      </c>
      <c r="AD2965" s="1">
        <v>44167</v>
      </c>
      <c r="AE2965" t="str">
        <f>"SH21000228"</f>
        <v>SH21000228</v>
      </c>
      <c r="AF2965" t="str">
        <f>"משלוחים ללקוח"</f>
        <v>משלוחים ללקוח</v>
      </c>
      <c r="AG2965" s="1">
        <v>44234</v>
      </c>
      <c r="AM2965" t="str">
        <f>"10"</f>
        <v>10</v>
      </c>
      <c r="AN2965" t="str">
        <f>"500000"</f>
        <v>500000</v>
      </c>
      <c r="AO2965" t="str">
        <f>"הכנסות  מלקוחות"</f>
        <v>הכנסות  מלקוחות</v>
      </c>
      <c r="AQ2965" t="str">
        <f>"034"</f>
        <v>034</v>
      </c>
      <c r="AR2965">
        <v>0</v>
      </c>
      <c r="AS2965">
        <v>0</v>
      </c>
      <c r="AT2965">
        <v>3.282</v>
      </c>
      <c r="AX2965" t="str">
        <f>"E000327266"</f>
        <v>E000327266</v>
      </c>
      <c r="BD2965" t="str">
        <f>"ערן שלו"</f>
        <v>ערן שלו</v>
      </c>
    </row>
    <row r="2966" spans="1:56" x14ac:dyDescent="0.3">
      <c r="A2966" s="1">
        <v>44235</v>
      </c>
      <c r="B2966" t="str">
        <f>"SI216000275"</f>
        <v>SI216000275</v>
      </c>
      <c r="C2966" t="str">
        <f>"PR20000842"</f>
        <v>PR20000842</v>
      </c>
      <c r="E2966" t="str">
        <f>"Y"</f>
        <v>Y</v>
      </c>
      <c r="F2966" t="str">
        <f>"חשבוניות מרכזות"</f>
        <v>חשבוניות מרכזות</v>
      </c>
      <c r="G2966" t="str">
        <f>"700065"</f>
        <v>700065</v>
      </c>
      <c r="H2966" t="str">
        <f>"אלתא מערכות בע""מ"</f>
        <v>אלתא מערכות בע"מ</v>
      </c>
      <c r="I2966" t="str">
        <f>"10"</f>
        <v>10</v>
      </c>
      <c r="J2966" t="str">
        <f>"OP-AR02147"</f>
        <v>OP-AR02147</v>
      </c>
      <c r="K2966" t="str">
        <f>"9002H707-001  HARNESS W5707 - POD LVCS J4 DC POW"</f>
        <v>9002H707-001  HARNESS W5707 - POD LVCS J4 DC POW</v>
      </c>
      <c r="L2966">
        <v>-1</v>
      </c>
      <c r="M2966" t="str">
        <f>"יח"</f>
        <v>יח</v>
      </c>
      <c r="N2966">
        <v>-1</v>
      </c>
      <c r="O2966" t="str">
        <f>"יח"</f>
        <v>יח</v>
      </c>
      <c r="P2966">
        <v>866.17</v>
      </c>
      <c r="Q2966" t="str">
        <f>"$"</f>
        <v>$</v>
      </c>
      <c r="R2966" t="str">
        <f>"הזמנה"</f>
        <v>הזמנה</v>
      </c>
      <c r="S2966">
        <v>0</v>
      </c>
      <c r="T2966">
        <v>-866.17</v>
      </c>
      <c r="U2966">
        <v>0</v>
      </c>
      <c r="V2966">
        <v>-866.17</v>
      </c>
      <c r="W2966" t="str">
        <f>"$"</f>
        <v>$</v>
      </c>
      <c r="X2966">
        <v>0</v>
      </c>
      <c r="Y2966">
        <v>0</v>
      </c>
      <c r="Z2966">
        <v>0</v>
      </c>
      <c r="AA2966" t="str">
        <f>"Y"</f>
        <v>Y</v>
      </c>
      <c r="AC2966">
        <v>0</v>
      </c>
      <c r="AM2966" t="str">
        <f>"10"</f>
        <v>10</v>
      </c>
      <c r="AN2966" t="str">
        <f>"500000"</f>
        <v>500000</v>
      </c>
      <c r="AO2966" t="str">
        <f>"הכנסות  מלקוחות"</f>
        <v>הכנסות  מלקוחות</v>
      </c>
      <c r="AQ2966" t="str">
        <f>"034"</f>
        <v>034</v>
      </c>
      <c r="AR2966">
        <v>0</v>
      </c>
      <c r="AS2966">
        <v>0</v>
      </c>
      <c r="AT2966">
        <v>3.286</v>
      </c>
      <c r="BB2966" t="str">
        <f>"Y"</f>
        <v>Y</v>
      </c>
      <c r="BD2966" t="str">
        <f>"ערן שלו"</f>
        <v>ערן שלו</v>
      </c>
    </row>
    <row r="2967" spans="1:56" x14ac:dyDescent="0.3">
      <c r="A2967" s="1">
        <v>44235</v>
      </c>
      <c r="B2967" t="str">
        <f>"SI216000275"</f>
        <v>SI216000275</v>
      </c>
      <c r="C2967" t="str">
        <f>"PR20000842"</f>
        <v>PR20000842</v>
      </c>
      <c r="E2967" t="str">
        <f>"Y"</f>
        <v>Y</v>
      </c>
      <c r="F2967" t="str">
        <f>"חשבוניות מרכזות"</f>
        <v>חשבוניות מרכזות</v>
      </c>
      <c r="G2967" t="str">
        <f>"700065"</f>
        <v>700065</v>
      </c>
      <c r="H2967" t="str">
        <f>"אלתא מערכות בע""מ"</f>
        <v>אלתא מערכות בע"מ</v>
      </c>
      <c r="I2967" t="str">
        <f>"10"</f>
        <v>10</v>
      </c>
      <c r="J2967" t="str">
        <f>"OP-AR02147"</f>
        <v>OP-AR02147</v>
      </c>
      <c r="K2967" t="str">
        <f>"9002H707-001  HARNESS W5707 - POD LVCS J4 DC POW"</f>
        <v>9002H707-001  HARNESS W5707 - POD LVCS J4 DC POW</v>
      </c>
      <c r="L2967">
        <v>-5</v>
      </c>
      <c r="M2967" t="str">
        <f>"יח"</f>
        <v>יח</v>
      </c>
      <c r="N2967">
        <v>-5</v>
      </c>
      <c r="O2967" t="str">
        <f>"יח"</f>
        <v>יח</v>
      </c>
      <c r="P2967">
        <v>866.17</v>
      </c>
      <c r="Q2967" t="str">
        <f>"$"</f>
        <v>$</v>
      </c>
      <c r="R2967" t="str">
        <f>"הזמנה"</f>
        <v>הזמנה</v>
      </c>
      <c r="S2967">
        <v>0</v>
      </c>
      <c r="T2967" s="2">
        <v>-4330.8500000000004</v>
      </c>
      <c r="U2967">
        <v>0</v>
      </c>
      <c r="V2967" s="2">
        <v>-4330.8500000000004</v>
      </c>
      <c r="W2967" t="str">
        <f>"$"</f>
        <v>$</v>
      </c>
      <c r="X2967">
        <v>0</v>
      </c>
      <c r="Y2967">
        <v>0</v>
      </c>
      <c r="Z2967">
        <v>0</v>
      </c>
      <c r="AA2967" t="str">
        <f>"Y"</f>
        <v>Y</v>
      </c>
      <c r="AC2967">
        <v>0</v>
      </c>
      <c r="AM2967" t="str">
        <f>"10"</f>
        <v>10</v>
      </c>
      <c r="AN2967" t="str">
        <f>"500000"</f>
        <v>500000</v>
      </c>
      <c r="AO2967" t="str">
        <f>"הכנסות  מלקוחות"</f>
        <v>הכנסות  מלקוחות</v>
      </c>
      <c r="AQ2967" t="str">
        <f>"034"</f>
        <v>034</v>
      </c>
      <c r="AR2967">
        <v>0</v>
      </c>
      <c r="AS2967">
        <v>0</v>
      </c>
      <c r="AT2967">
        <v>3.286</v>
      </c>
      <c r="BB2967" t="str">
        <f>"Y"</f>
        <v>Y</v>
      </c>
      <c r="BD2967" t="str">
        <f>"ערן שלו"</f>
        <v>ערן שלו</v>
      </c>
    </row>
    <row r="2968" spans="1:56" x14ac:dyDescent="0.3">
      <c r="A2968" s="1">
        <v>44235</v>
      </c>
      <c r="B2968" t="str">
        <f>"SI216000275"</f>
        <v>SI216000275</v>
      </c>
      <c r="C2968" t="str">
        <f>"PR20000842"</f>
        <v>PR20000842</v>
      </c>
      <c r="E2968" t="str">
        <f>"Y"</f>
        <v>Y</v>
      </c>
      <c r="F2968" t="str">
        <f>"חשבוניות מרכזות"</f>
        <v>חשבוניות מרכזות</v>
      </c>
      <c r="G2968" t="str">
        <f>"700065"</f>
        <v>700065</v>
      </c>
      <c r="H2968" t="str">
        <f>"אלתא מערכות בע""מ"</f>
        <v>אלתא מערכות בע"מ</v>
      </c>
      <c r="I2968" t="str">
        <f>"10"</f>
        <v>10</v>
      </c>
      <c r="J2968" t="str">
        <f>"OP-AR02148"</f>
        <v>OP-AR02148</v>
      </c>
      <c r="K2968" t="str">
        <f>"9002H708-001  HARNESS W5708 - POD LVCS J5 DC POW"</f>
        <v>9002H708-001  HARNESS W5708 - POD LVCS J5 DC POW</v>
      </c>
      <c r="L2968">
        <v>-1</v>
      </c>
      <c r="M2968" t="str">
        <f>"יח"</f>
        <v>יח</v>
      </c>
      <c r="N2968">
        <v>-1</v>
      </c>
      <c r="O2968" t="str">
        <f>"יח"</f>
        <v>יח</v>
      </c>
      <c r="P2968">
        <v>866.17</v>
      </c>
      <c r="Q2968" t="str">
        <f>"$"</f>
        <v>$</v>
      </c>
      <c r="R2968" t="str">
        <f>"הזמנה"</f>
        <v>הזמנה</v>
      </c>
      <c r="S2968">
        <v>0</v>
      </c>
      <c r="T2968">
        <v>-866.17</v>
      </c>
      <c r="U2968">
        <v>0</v>
      </c>
      <c r="V2968">
        <v>-866.17</v>
      </c>
      <c r="W2968" t="str">
        <f>"$"</f>
        <v>$</v>
      </c>
      <c r="X2968">
        <v>0</v>
      </c>
      <c r="Y2968">
        <v>0</v>
      </c>
      <c r="Z2968">
        <v>0</v>
      </c>
      <c r="AA2968" t="str">
        <f>"Y"</f>
        <v>Y</v>
      </c>
      <c r="AC2968">
        <v>0</v>
      </c>
      <c r="AM2968" t="str">
        <f>"10"</f>
        <v>10</v>
      </c>
      <c r="AN2968" t="str">
        <f>"500000"</f>
        <v>500000</v>
      </c>
      <c r="AO2968" t="str">
        <f>"הכנסות  מלקוחות"</f>
        <v>הכנסות  מלקוחות</v>
      </c>
      <c r="AQ2968" t="str">
        <f>"034"</f>
        <v>034</v>
      </c>
      <c r="AR2968">
        <v>0</v>
      </c>
      <c r="AS2968">
        <v>0</v>
      </c>
      <c r="AT2968">
        <v>3.286</v>
      </c>
      <c r="BB2968" t="str">
        <f>"Y"</f>
        <v>Y</v>
      </c>
      <c r="BD2968" t="str">
        <f>"ערן שלו"</f>
        <v>ערן שלו</v>
      </c>
    </row>
    <row r="2969" spans="1:56" x14ac:dyDescent="0.3">
      <c r="A2969" s="1">
        <v>44235</v>
      </c>
      <c r="B2969" t="str">
        <f>"SI216000275"</f>
        <v>SI216000275</v>
      </c>
      <c r="C2969" t="str">
        <f>"PR20000842"</f>
        <v>PR20000842</v>
      </c>
      <c r="E2969" t="str">
        <f>"Y"</f>
        <v>Y</v>
      </c>
      <c r="F2969" t="str">
        <f>"חשבוניות מרכזות"</f>
        <v>חשבוניות מרכזות</v>
      </c>
      <c r="G2969" t="str">
        <f>"700065"</f>
        <v>700065</v>
      </c>
      <c r="H2969" t="str">
        <f>"אלתא מערכות בע""מ"</f>
        <v>אלתא מערכות בע"מ</v>
      </c>
      <c r="I2969" t="str">
        <f>"10"</f>
        <v>10</v>
      </c>
      <c r="J2969" t="str">
        <f>"OP-AR02148"</f>
        <v>OP-AR02148</v>
      </c>
      <c r="K2969" t="str">
        <f>"9002H708-001  HARNESS W5708 - POD LVCS J5 DC POW"</f>
        <v>9002H708-001  HARNESS W5708 - POD LVCS J5 DC POW</v>
      </c>
      <c r="L2969">
        <v>-4</v>
      </c>
      <c r="M2969" t="str">
        <f>"יח"</f>
        <v>יח</v>
      </c>
      <c r="N2969">
        <v>-4</v>
      </c>
      <c r="O2969" t="str">
        <f>"יח"</f>
        <v>יח</v>
      </c>
      <c r="P2969">
        <v>866.17</v>
      </c>
      <c r="Q2969" t="str">
        <f>"$"</f>
        <v>$</v>
      </c>
      <c r="R2969" t="str">
        <f>"הזמנה"</f>
        <v>הזמנה</v>
      </c>
      <c r="S2969">
        <v>0</v>
      </c>
      <c r="T2969" s="2">
        <v>-3464.68</v>
      </c>
      <c r="U2969">
        <v>0</v>
      </c>
      <c r="V2969" s="2">
        <v>-3464.68</v>
      </c>
      <c r="W2969" t="str">
        <f>"$"</f>
        <v>$</v>
      </c>
      <c r="X2969">
        <v>0</v>
      </c>
      <c r="Y2969">
        <v>0</v>
      </c>
      <c r="Z2969">
        <v>0</v>
      </c>
      <c r="AA2969" t="str">
        <f>"Y"</f>
        <v>Y</v>
      </c>
      <c r="AC2969">
        <v>0</v>
      </c>
      <c r="AM2969" t="str">
        <f>"10"</f>
        <v>10</v>
      </c>
      <c r="AN2969" t="str">
        <f>"500000"</f>
        <v>500000</v>
      </c>
      <c r="AO2969" t="str">
        <f>"הכנסות  מלקוחות"</f>
        <v>הכנסות  מלקוחות</v>
      </c>
      <c r="AQ2969" t="str">
        <f>"034"</f>
        <v>034</v>
      </c>
      <c r="AR2969">
        <v>0</v>
      </c>
      <c r="AS2969">
        <v>0</v>
      </c>
      <c r="AT2969">
        <v>3.286</v>
      </c>
      <c r="BB2969" t="str">
        <f>"Y"</f>
        <v>Y</v>
      </c>
      <c r="BD2969" t="str">
        <f>"ערן שלו"</f>
        <v>ערן שלו</v>
      </c>
    </row>
    <row r="2970" spans="1:56" x14ac:dyDescent="0.3">
      <c r="A2970" s="1">
        <v>44235</v>
      </c>
      <c r="B2970" t="str">
        <f>"SI216000183"</f>
        <v>SI216000183</v>
      </c>
      <c r="C2970" t="str">
        <f>"PR20000495"</f>
        <v>PR20000495</v>
      </c>
      <c r="D2970" t="str">
        <f>"PR20000495"</f>
        <v>PR20000495</v>
      </c>
      <c r="E2970" t="str">
        <f>"Y"</f>
        <v>Y</v>
      </c>
      <c r="F2970" t="str">
        <f>"חשבוניות מרכזות"</f>
        <v>חשבוניות מרכזות</v>
      </c>
      <c r="G2970" t="str">
        <f>"700065"</f>
        <v>700065</v>
      </c>
      <c r="H2970" t="str">
        <f>"אלתא מערכות בע""מ"</f>
        <v>אלתא מערכות בע"מ</v>
      </c>
      <c r="I2970" t="str">
        <f>"10"</f>
        <v>10</v>
      </c>
      <c r="J2970" t="str">
        <f>"OP-AR01902"</f>
        <v>OP-AR01902</v>
      </c>
      <c r="K2970" t="str">
        <f>"1039V964-001 - CABLE ASSY WR114"</f>
        <v>1039V964-001 - CABLE ASSY WR114</v>
      </c>
      <c r="L2970">
        <v>1</v>
      </c>
      <c r="M2970" t="str">
        <f>"יח"</f>
        <v>יח</v>
      </c>
      <c r="N2970">
        <v>1</v>
      </c>
      <c r="O2970" t="str">
        <f>"יח"</f>
        <v>יח</v>
      </c>
      <c r="P2970" s="2">
        <v>1722.54</v>
      </c>
      <c r="Q2970" t="str">
        <f>"$"</f>
        <v>$</v>
      </c>
      <c r="R2970" t="str">
        <f>"הזמנה"</f>
        <v>הזמנה</v>
      </c>
      <c r="S2970">
        <v>0</v>
      </c>
      <c r="T2970" s="2">
        <v>1722.54</v>
      </c>
      <c r="U2970">
        <v>0</v>
      </c>
      <c r="V2970" s="2">
        <v>1722.54</v>
      </c>
      <c r="W2970" t="str">
        <f>"$"</f>
        <v>$</v>
      </c>
      <c r="X2970">
        <v>0</v>
      </c>
      <c r="Y2970">
        <v>0</v>
      </c>
      <c r="Z2970">
        <v>0</v>
      </c>
      <c r="AA2970" t="str">
        <f>"Y"</f>
        <v>Y</v>
      </c>
      <c r="AB2970" t="str">
        <f>"SO20000302"</f>
        <v>SO20000302</v>
      </c>
      <c r="AC2970">
        <v>9</v>
      </c>
      <c r="AD2970" s="1">
        <v>44028</v>
      </c>
      <c r="AE2970" t="str">
        <f>"SH21000229"</f>
        <v>SH21000229</v>
      </c>
      <c r="AF2970" t="str">
        <f>"משלוחים ללקוח"</f>
        <v>משלוחים ללקוח</v>
      </c>
      <c r="AG2970" s="1">
        <v>44234</v>
      </c>
      <c r="AM2970" t="str">
        <f>"10"</f>
        <v>10</v>
      </c>
      <c r="AN2970" t="str">
        <f>"500000"</f>
        <v>500000</v>
      </c>
      <c r="AO2970" t="str">
        <f>"הכנסות  מלקוחות"</f>
        <v>הכנסות  מלקוחות</v>
      </c>
      <c r="AQ2970" t="str">
        <f>"034"</f>
        <v>034</v>
      </c>
      <c r="AR2970">
        <v>0</v>
      </c>
      <c r="AS2970">
        <v>0</v>
      </c>
      <c r="AT2970">
        <v>3.286</v>
      </c>
      <c r="AX2970" t="str">
        <f>"E000315867"</f>
        <v>E000315867</v>
      </c>
      <c r="BD2970" t="str">
        <f>"ערן שלו"</f>
        <v>ערן שלו</v>
      </c>
    </row>
    <row r="2971" spans="1:56" x14ac:dyDescent="0.3">
      <c r="A2971" s="1">
        <v>44235</v>
      </c>
      <c r="B2971" t="str">
        <f>"SI216000182"</f>
        <v>SI216000182</v>
      </c>
      <c r="C2971" t="str">
        <f>"PR20000842"</f>
        <v>PR20000842</v>
      </c>
      <c r="E2971" t="str">
        <f>"Y"</f>
        <v>Y</v>
      </c>
      <c r="F2971" t="str">
        <f>"חשבוניות מרכזות"</f>
        <v>חשבוניות מרכזות</v>
      </c>
      <c r="G2971" t="str">
        <f>"700065"</f>
        <v>700065</v>
      </c>
      <c r="H2971" t="str">
        <f>"אלתא מערכות בע""מ"</f>
        <v>אלתא מערכות בע"מ</v>
      </c>
      <c r="I2971" t="str">
        <f>"10"</f>
        <v>10</v>
      </c>
      <c r="J2971" t="str">
        <f>"OP-AR02147"</f>
        <v>OP-AR02147</v>
      </c>
      <c r="K2971" t="str">
        <f>"9002H707-001  HARNESS W5707 - POD LVCS J4 DC POW"</f>
        <v>9002H707-001  HARNESS W5707 - POD LVCS J4 DC POW</v>
      </c>
      <c r="L2971">
        <v>1</v>
      </c>
      <c r="M2971" t="str">
        <f>"יח"</f>
        <v>יח</v>
      </c>
      <c r="N2971">
        <v>1</v>
      </c>
      <c r="O2971" t="str">
        <f>"יח"</f>
        <v>יח</v>
      </c>
      <c r="P2971">
        <v>866.17</v>
      </c>
      <c r="Q2971" t="str">
        <f>"$"</f>
        <v>$</v>
      </c>
      <c r="R2971" t="str">
        <f>"הזמנה"</f>
        <v>הזמנה</v>
      </c>
      <c r="S2971">
        <v>0</v>
      </c>
      <c r="T2971">
        <v>866.17</v>
      </c>
      <c r="U2971">
        <v>0</v>
      </c>
      <c r="V2971">
        <v>866.17</v>
      </c>
      <c r="W2971" t="str">
        <f>"$"</f>
        <v>$</v>
      </c>
      <c r="X2971">
        <v>0</v>
      </c>
      <c r="Y2971">
        <v>0</v>
      </c>
      <c r="Z2971">
        <v>0</v>
      </c>
      <c r="AA2971" t="str">
        <f>"Y"</f>
        <v>Y</v>
      </c>
      <c r="AC2971">
        <v>0</v>
      </c>
      <c r="AM2971" t="str">
        <f>"10"</f>
        <v>10</v>
      </c>
      <c r="AN2971" t="str">
        <f>"500000"</f>
        <v>500000</v>
      </c>
      <c r="AO2971" t="str">
        <f>"הכנסות  מלקוחות"</f>
        <v>הכנסות  מלקוחות</v>
      </c>
      <c r="AQ2971" t="str">
        <f>"034"</f>
        <v>034</v>
      </c>
      <c r="AR2971">
        <v>0</v>
      </c>
      <c r="AS2971">
        <v>0</v>
      </c>
      <c r="AT2971">
        <v>3.286</v>
      </c>
      <c r="BB2971" t="str">
        <f>"Y"</f>
        <v>Y</v>
      </c>
      <c r="BD2971" t="str">
        <f>"ערן שלו"</f>
        <v>ערן שלו</v>
      </c>
    </row>
    <row r="2972" spans="1:56" x14ac:dyDescent="0.3">
      <c r="A2972" s="1">
        <v>44235</v>
      </c>
      <c r="B2972" t="str">
        <f>"SI216000182"</f>
        <v>SI216000182</v>
      </c>
      <c r="C2972" t="str">
        <f>"PR20000842"</f>
        <v>PR20000842</v>
      </c>
      <c r="E2972" t="str">
        <f>"Y"</f>
        <v>Y</v>
      </c>
      <c r="F2972" t="str">
        <f>"חשבוניות מרכזות"</f>
        <v>חשבוניות מרכזות</v>
      </c>
      <c r="G2972" t="str">
        <f>"700065"</f>
        <v>700065</v>
      </c>
      <c r="H2972" t="str">
        <f>"אלתא מערכות בע""מ"</f>
        <v>אלתא מערכות בע"מ</v>
      </c>
      <c r="I2972" t="str">
        <f>"10"</f>
        <v>10</v>
      </c>
      <c r="J2972" t="str">
        <f>"OP-AR02147"</f>
        <v>OP-AR02147</v>
      </c>
      <c r="K2972" t="str">
        <f>"9002H707-001  HARNESS W5707 - POD LVCS J4 DC POW"</f>
        <v>9002H707-001  HARNESS W5707 - POD LVCS J4 DC POW</v>
      </c>
      <c r="L2972">
        <v>5</v>
      </c>
      <c r="M2972" t="str">
        <f>"יח"</f>
        <v>יח</v>
      </c>
      <c r="N2972">
        <v>5</v>
      </c>
      <c r="O2972" t="str">
        <f>"יח"</f>
        <v>יח</v>
      </c>
      <c r="P2972">
        <v>866.17</v>
      </c>
      <c r="Q2972" t="str">
        <f>"$"</f>
        <v>$</v>
      </c>
      <c r="R2972" t="str">
        <f>"הזמנה"</f>
        <v>הזמנה</v>
      </c>
      <c r="S2972">
        <v>0</v>
      </c>
      <c r="T2972" s="2">
        <v>4330.8500000000004</v>
      </c>
      <c r="U2972">
        <v>0</v>
      </c>
      <c r="V2972" s="2">
        <v>4330.8500000000004</v>
      </c>
      <c r="W2972" t="str">
        <f>"$"</f>
        <v>$</v>
      </c>
      <c r="X2972">
        <v>0</v>
      </c>
      <c r="Y2972">
        <v>0</v>
      </c>
      <c r="Z2972">
        <v>0</v>
      </c>
      <c r="AA2972" t="str">
        <f>"Y"</f>
        <v>Y</v>
      </c>
      <c r="AC2972">
        <v>0</v>
      </c>
      <c r="AM2972" t="str">
        <f>"10"</f>
        <v>10</v>
      </c>
      <c r="AN2972" t="str">
        <f>"500000"</f>
        <v>500000</v>
      </c>
      <c r="AO2972" t="str">
        <f>"הכנסות  מלקוחות"</f>
        <v>הכנסות  מלקוחות</v>
      </c>
      <c r="AQ2972" t="str">
        <f>"034"</f>
        <v>034</v>
      </c>
      <c r="AR2972">
        <v>0</v>
      </c>
      <c r="AS2972">
        <v>0</v>
      </c>
      <c r="AT2972">
        <v>3.286</v>
      </c>
      <c r="BB2972" t="str">
        <f>"Y"</f>
        <v>Y</v>
      </c>
      <c r="BD2972" t="str">
        <f>"ערן שלו"</f>
        <v>ערן שלו</v>
      </c>
    </row>
    <row r="2973" spans="1:56" x14ac:dyDescent="0.3">
      <c r="A2973" s="1">
        <v>44235</v>
      </c>
      <c r="B2973" t="str">
        <f>"SI216000182"</f>
        <v>SI216000182</v>
      </c>
      <c r="C2973" t="str">
        <f>"PR20000842"</f>
        <v>PR20000842</v>
      </c>
      <c r="E2973" t="str">
        <f>"Y"</f>
        <v>Y</v>
      </c>
      <c r="F2973" t="str">
        <f>"חשבוניות מרכזות"</f>
        <v>חשבוניות מרכזות</v>
      </c>
      <c r="G2973" t="str">
        <f>"700065"</f>
        <v>700065</v>
      </c>
      <c r="H2973" t="str">
        <f>"אלתא מערכות בע""מ"</f>
        <v>אלתא מערכות בע"מ</v>
      </c>
      <c r="I2973" t="str">
        <f>"10"</f>
        <v>10</v>
      </c>
      <c r="J2973" t="str">
        <f>"OP-AR02148"</f>
        <v>OP-AR02148</v>
      </c>
      <c r="K2973" t="str">
        <f>"9002H708-001  HARNESS W5708 - POD LVCS J5 DC POW"</f>
        <v>9002H708-001  HARNESS W5708 - POD LVCS J5 DC POW</v>
      </c>
      <c r="L2973">
        <v>1</v>
      </c>
      <c r="M2973" t="str">
        <f>"יח"</f>
        <v>יח</v>
      </c>
      <c r="N2973">
        <v>1</v>
      </c>
      <c r="O2973" t="str">
        <f>"יח"</f>
        <v>יח</v>
      </c>
      <c r="P2973">
        <v>866.17</v>
      </c>
      <c r="Q2973" t="str">
        <f>"$"</f>
        <v>$</v>
      </c>
      <c r="R2973" t="str">
        <f>"הזמנה"</f>
        <v>הזמנה</v>
      </c>
      <c r="S2973">
        <v>0</v>
      </c>
      <c r="T2973">
        <v>866.17</v>
      </c>
      <c r="U2973">
        <v>0</v>
      </c>
      <c r="V2973">
        <v>866.17</v>
      </c>
      <c r="W2973" t="str">
        <f>"$"</f>
        <v>$</v>
      </c>
      <c r="X2973">
        <v>0</v>
      </c>
      <c r="Y2973">
        <v>0</v>
      </c>
      <c r="Z2973">
        <v>0</v>
      </c>
      <c r="AA2973" t="str">
        <f>"Y"</f>
        <v>Y</v>
      </c>
      <c r="AC2973">
        <v>0</v>
      </c>
      <c r="AM2973" t="str">
        <f>"10"</f>
        <v>10</v>
      </c>
      <c r="AN2973" t="str">
        <f>"500000"</f>
        <v>500000</v>
      </c>
      <c r="AO2973" t="str">
        <f>"הכנסות  מלקוחות"</f>
        <v>הכנסות  מלקוחות</v>
      </c>
      <c r="AQ2973" t="str">
        <f>"034"</f>
        <v>034</v>
      </c>
      <c r="AR2973">
        <v>0</v>
      </c>
      <c r="AS2973">
        <v>0</v>
      </c>
      <c r="AT2973">
        <v>3.286</v>
      </c>
      <c r="BB2973" t="str">
        <f>"Y"</f>
        <v>Y</v>
      </c>
      <c r="BD2973" t="str">
        <f>"ערן שלו"</f>
        <v>ערן שלו</v>
      </c>
    </row>
    <row r="2974" spans="1:56" x14ac:dyDescent="0.3">
      <c r="A2974" s="1">
        <v>44235</v>
      </c>
      <c r="B2974" t="str">
        <f>"SI216000182"</f>
        <v>SI216000182</v>
      </c>
      <c r="C2974" t="str">
        <f>"PR20000842"</f>
        <v>PR20000842</v>
      </c>
      <c r="E2974" t="str">
        <f>"Y"</f>
        <v>Y</v>
      </c>
      <c r="F2974" t="str">
        <f>"חשבוניות מרכזות"</f>
        <v>חשבוניות מרכזות</v>
      </c>
      <c r="G2974" t="str">
        <f>"700065"</f>
        <v>700065</v>
      </c>
      <c r="H2974" t="str">
        <f>"אלתא מערכות בע""מ"</f>
        <v>אלתא מערכות בע"מ</v>
      </c>
      <c r="I2974" t="str">
        <f>"10"</f>
        <v>10</v>
      </c>
      <c r="J2974" t="str">
        <f>"OP-AR02148"</f>
        <v>OP-AR02148</v>
      </c>
      <c r="K2974" t="str">
        <f>"9002H708-001  HARNESS W5708 - POD LVCS J5 DC POW"</f>
        <v>9002H708-001  HARNESS W5708 - POD LVCS J5 DC POW</v>
      </c>
      <c r="L2974">
        <v>4</v>
      </c>
      <c r="M2974" t="str">
        <f>"יח"</f>
        <v>יח</v>
      </c>
      <c r="N2974">
        <v>4</v>
      </c>
      <c r="O2974" t="str">
        <f>"יח"</f>
        <v>יח</v>
      </c>
      <c r="P2974">
        <v>866.17</v>
      </c>
      <c r="Q2974" t="str">
        <f>"$"</f>
        <v>$</v>
      </c>
      <c r="R2974" t="str">
        <f>"הזמנה"</f>
        <v>הזמנה</v>
      </c>
      <c r="S2974">
        <v>0</v>
      </c>
      <c r="T2974" s="2">
        <v>3464.68</v>
      </c>
      <c r="U2974">
        <v>0</v>
      </c>
      <c r="V2974" s="2">
        <v>3464.68</v>
      </c>
      <c r="W2974" t="str">
        <f>"$"</f>
        <v>$</v>
      </c>
      <c r="X2974">
        <v>0</v>
      </c>
      <c r="Y2974">
        <v>0</v>
      </c>
      <c r="Z2974">
        <v>0</v>
      </c>
      <c r="AA2974" t="str">
        <f>"Y"</f>
        <v>Y</v>
      </c>
      <c r="AC2974">
        <v>0</v>
      </c>
      <c r="AM2974" t="str">
        <f>"10"</f>
        <v>10</v>
      </c>
      <c r="AN2974" t="str">
        <f>"500000"</f>
        <v>500000</v>
      </c>
      <c r="AO2974" t="str">
        <f>"הכנסות  מלקוחות"</f>
        <v>הכנסות  מלקוחות</v>
      </c>
      <c r="AQ2974" t="str">
        <f>"034"</f>
        <v>034</v>
      </c>
      <c r="AR2974">
        <v>0</v>
      </c>
      <c r="AS2974">
        <v>0</v>
      </c>
      <c r="AT2974">
        <v>3.286</v>
      </c>
      <c r="BB2974" t="str">
        <f>"Y"</f>
        <v>Y</v>
      </c>
      <c r="BD2974" t="str">
        <f>"ערן שלו"</f>
        <v>ערן שלו</v>
      </c>
    </row>
    <row r="2975" spans="1:56" x14ac:dyDescent="0.3">
      <c r="A2975" s="1">
        <v>44229</v>
      </c>
      <c r="B2975" t="str">
        <f>"SI216000138"</f>
        <v>SI216000138</v>
      </c>
      <c r="C2975" t="str">
        <f>"PR18000543"</f>
        <v>PR18000543</v>
      </c>
      <c r="E2975" t="str">
        <f>"Y"</f>
        <v>Y</v>
      </c>
      <c r="F2975" t="str">
        <f>"חשבוניות מרכזות"</f>
        <v>חשבוניות מרכזות</v>
      </c>
      <c r="G2975" t="str">
        <f>"700065"</f>
        <v>700065</v>
      </c>
      <c r="H2975" t="str">
        <f>"אלתא מערכות בע""מ"</f>
        <v>אלתא מערכות בע"מ</v>
      </c>
      <c r="I2975" t="str">
        <f>"10"</f>
        <v>10</v>
      </c>
      <c r="J2975" t="str">
        <f>"OP-AR01083"</f>
        <v>OP-AR01083</v>
      </c>
      <c r="K2975" t="str">
        <f>"1036C960-001 HVJB_N"</f>
        <v>1036C960-001 HVJB_N</v>
      </c>
      <c r="L2975">
        <v>2</v>
      </c>
      <c r="M2975" t="str">
        <f>"יח"</f>
        <v>יח</v>
      </c>
      <c r="N2975">
        <v>2</v>
      </c>
      <c r="O2975" t="str">
        <f>"יח"</f>
        <v>יח</v>
      </c>
      <c r="P2975" s="2">
        <v>6000</v>
      </c>
      <c r="Q2975" t="str">
        <f>"$"</f>
        <v>$</v>
      </c>
      <c r="R2975" t="str">
        <f>"הזמנה"</f>
        <v>הזמנה</v>
      </c>
      <c r="S2975">
        <v>0</v>
      </c>
      <c r="T2975" s="2">
        <v>12000</v>
      </c>
      <c r="U2975">
        <v>0</v>
      </c>
      <c r="V2975" s="2">
        <v>12000</v>
      </c>
      <c r="W2975" t="str">
        <f>"$"</f>
        <v>$</v>
      </c>
      <c r="X2975">
        <v>0</v>
      </c>
      <c r="Y2975">
        <v>0</v>
      </c>
      <c r="Z2975">
        <v>0</v>
      </c>
      <c r="AA2975" t="str">
        <f>"Y"</f>
        <v>Y</v>
      </c>
      <c r="AB2975" t="str">
        <f>"SO19000320"</f>
        <v>SO19000320</v>
      </c>
      <c r="AC2975">
        <v>7</v>
      </c>
      <c r="AD2975" s="1">
        <v>43667</v>
      </c>
      <c r="AE2975" t="str">
        <f>"SH21000167"</f>
        <v>SH21000167</v>
      </c>
      <c r="AF2975" t="str">
        <f>"משלוחים ללקוח"</f>
        <v>משלוחים ללקוח</v>
      </c>
      <c r="AG2975" s="1">
        <v>44224</v>
      </c>
      <c r="AM2975" t="str">
        <f>"10"</f>
        <v>10</v>
      </c>
      <c r="AN2975" t="str">
        <f>"500000"</f>
        <v>500000</v>
      </c>
      <c r="AO2975" t="str">
        <f>"הכנסות  מלקוחות"</f>
        <v>הכנסות  מלקוחות</v>
      </c>
      <c r="AQ2975" t="str">
        <f>"034"</f>
        <v>034</v>
      </c>
      <c r="AR2975">
        <v>0</v>
      </c>
      <c r="AS2975">
        <v>0</v>
      </c>
      <c r="AT2975">
        <v>3.2909999999999999</v>
      </c>
      <c r="AX2975" t="str">
        <f>"E000290709"</f>
        <v>E000290709</v>
      </c>
      <c r="BD2975" t="str">
        <f>"ערן שלו"</f>
        <v>ערן שלו</v>
      </c>
    </row>
    <row r="2976" spans="1:56" x14ac:dyDescent="0.3">
      <c r="A2976" s="1">
        <v>44229</v>
      </c>
      <c r="B2976" t="str">
        <f>"SI216000138"</f>
        <v>SI216000138</v>
      </c>
      <c r="C2976" t="str">
        <f>"PR18000543"</f>
        <v>PR18000543</v>
      </c>
      <c r="E2976" t="str">
        <f>"Y"</f>
        <v>Y</v>
      </c>
      <c r="F2976" t="str">
        <f>"חשבוניות מרכזות"</f>
        <v>חשבוניות מרכזות</v>
      </c>
      <c r="G2976" t="str">
        <f>"700065"</f>
        <v>700065</v>
      </c>
      <c r="H2976" t="str">
        <f>"אלתא מערכות בע""מ"</f>
        <v>אלתא מערכות בע"מ</v>
      </c>
      <c r="I2976" t="str">
        <f>"10"</f>
        <v>10</v>
      </c>
      <c r="J2976" t="str">
        <f>"OP-AR01083"</f>
        <v>OP-AR01083</v>
      </c>
      <c r="K2976" t="str">
        <f>"1036C960-001 HVJB_N"</f>
        <v>1036C960-001 HVJB_N</v>
      </c>
      <c r="L2976">
        <v>3</v>
      </c>
      <c r="M2976" t="str">
        <f>"יח"</f>
        <v>יח</v>
      </c>
      <c r="N2976">
        <v>3</v>
      </c>
      <c r="O2976" t="str">
        <f>"יח"</f>
        <v>יח</v>
      </c>
      <c r="P2976" s="2">
        <v>6000</v>
      </c>
      <c r="Q2976" t="str">
        <f>"$"</f>
        <v>$</v>
      </c>
      <c r="R2976" t="str">
        <f>"הזמנה"</f>
        <v>הזמנה</v>
      </c>
      <c r="S2976">
        <v>0</v>
      </c>
      <c r="T2976" s="2">
        <v>18000</v>
      </c>
      <c r="U2976">
        <v>0</v>
      </c>
      <c r="V2976" s="2">
        <v>18000</v>
      </c>
      <c r="W2976" t="str">
        <f>"$"</f>
        <v>$</v>
      </c>
      <c r="X2976">
        <v>0</v>
      </c>
      <c r="Y2976">
        <v>0</v>
      </c>
      <c r="Z2976">
        <v>0</v>
      </c>
      <c r="AA2976" t="str">
        <f>"Y"</f>
        <v>Y</v>
      </c>
      <c r="AB2976" t="str">
        <f>"SO19000320"</f>
        <v>SO19000320</v>
      </c>
      <c r="AC2976">
        <v>8</v>
      </c>
      <c r="AD2976" s="1">
        <v>43667</v>
      </c>
      <c r="AE2976" t="str">
        <f>"SH21000167"</f>
        <v>SH21000167</v>
      </c>
      <c r="AF2976" t="str">
        <f>"משלוחים ללקוח"</f>
        <v>משלוחים ללקוח</v>
      </c>
      <c r="AG2976" s="1">
        <v>44224</v>
      </c>
      <c r="AM2976" t="str">
        <f>"10"</f>
        <v>10</v>
      </c>
      <c r="AN2976" t="str">
        <f>"500000"</f>
        <v>500000</v>
      </c>
      <c r="AO2976" t="str">
        <f>"הכנסות  מלקוחות"</f>
        <v>הכנסות  מלקוחות</v>
      </c>
      <c r="AQ2976" t="str">
        <f>"034"</f>
        <v>034</v>
      </c>
      <c r="AR2976">
        <v>0</v>
      </c>
      <c r="AS2976">
        <v>0</v>
      </c>
      <c r="AT2976">
        <v>3.2909999999999999</v>
      </c>
      <c r="AX2976" t="str">
        <f>"E000290709"</f>
        <v>E000290709</v>
      </c>
      <c r="BD2976" t="str">
        <f>"ערן שלו"</f>
        <v>ערן שלו</v>
      </c>
    </row>
    <row r="2977" spans="1:56" x14ac:dyDescent="0.3">
      <c r="A2977" s="1">
        <v>44229</v>
      </c>
      <c r="B2977" t="str">
        <f>"SI216000128"</f>
        <v>SI216000128</v>
      </c>
      <c r="C2977" t="str">
        <f>"PR20000843"</f>
        <v>PR20000843</v>
      </c>
      <c r="D2977" t="str">
        <f>"PR20000843"</f>
        <v>PR20000843</v>
      </c>
      <c r="E2977" t="str">
        <f>"Y"</f>
        <v>Y</v>
      </c>
      <c r="F2977" t="str">
        <f>"חשבוניות מרכזות"</f>
        <v>חשבוניות מרכזות</v>
      </c>
      <c r="G2977" t="str">
        <f>"700065"</f>
        <v>700065</v>
      </c>
      <c r="H2977" t="str">
        <f>"אלתא מערכות בע""מ"</f>
        <v>אלתא מערכות בע"מ</v>
      </c>
      <c r="I2977" t="str">
        <f>"10"</f>
        <v>10</v>
      </c>
      <c r="J2977" t="str">
        <f>"OP-AR02149"</f>
        <v>OP-AR02149</v>
      </c>
      <c r="K2977" t="str">
        <f>"9009M497-001  HARNESS WRS97 - TEST CABLE"</f>
        <v>9009M497-001  HARNESS WRS97 - TEST CABLE</v>
      </c>
      <c r="L2977">
        <v>1</v>
      </c>
      <c r="M2977" t="str">
        <f>"יח"</f>
        <v>יח</v>
      </c>
      <c r="N2977">
        <v>1</v>
      </c>
      <c r="O2977" t="str">
        <f>"יח"</f>
        <v>יח</v>
      </c>
      <c r="P2977">
        <v>511.29</v>
      </c>
      <c r="Q2977" t="str">
        <f>"$"</f>
        <v>$</v>
      </c>
      <c r="R2977" t="str">
        <f>"הזמנה"</f>
        <v>הזמנה</v>
      </c>
      <c r="S2977">
        <v>0</v>
      </c>
      <c r="T2977">
        <v>511.29</v>
      </c>
      <c r="U2977">
        <v>0</v>
      </c>
      <c r="V2977">
        <v>511.29</v>
      </c>
      <c r="W2977" t="str">
        <f>"$"</f>
        <v>$</v>
      </c>
      <c r="X2977">
        <v>0</v>
      </c>
      <c r="Y2977">
        <v>0</v>
      </c>
      <c r="Z2977">
        <v>0</v>
      </c>
      <c r="AA2977" t="str">
        <f>"Y"</f>
        <v>Y</v>
      </c>
      <c r="AB2977" t="str">
        <f>"SO20000558"</f>
        <v>SO20000558</v>
      </c>
      <c r="AC2977">
        <v>2</v>
      </c>
      <c r="AD2977" s="1">
        <v>44167</v>
      </c>
      <c r="AE2977" t="str">
        <f>"SH21000174"</f>
        <v>SH21000174</v>
      </c>
      <c r="AF2977" t="str">
        <f>"משלוחים ללקוח"</f>
        <v>משלוחים ללקוח</v>
      </c>
      <c r="AG2977" s="1">
        <v>44224</v>
      </c>
      <c r="AM2977" t="str">
        <f>"10"</f>
        <v>10</v>
      </c>
      <c r="AN2977" t="str">
        <f>"500000"</f>
        <v>500000</v>
      </c>
      <c r="AO2977" t="str">
        <f>"הכנסות  מלקוחות"</f>
        <v>הכנסות  מלקוחות</v>
      </c>
      <c r="AQ2977" t="str">
        <f>"034"</f>
        <v>034</v>
      </c>
      <c r="AR2977">
        <v>0</v>
      </c>
      <c r="AS2977">
        <v>0</v>
      </c>
      <c r="AT2977">
        <v>3.2909999999999999</v>
      </c>
      <c r="AX2977" t="str">
        <f>"E000327474"</f>
        <v>E000327474</v>
      </c>
      <c r="BD2977" t="str">
        <f>"ערן שלו"</f>
        <v>ערן שלו</v>
      </c>
    </row>
    <row r="2978" spans="1:56" x14ac:dyDescent="0.3">
      <c r="A2978" s="1">
        <v>44229</v>
      </c>
      <c r="B2978" t="str">
        <f>"SI216000128"</f>
        <v>SI216000128</v>
      </c>
      <c r="C2978" t="str">
        <f>"PR20000843"</f>
        <v>PR20000843</v>
      </c>
      <c r="D2978" t="str">
        <f>"PR20000843"</f>
        <v>PR20000843</v>
      </c>
      <c r="E2978" t="str">
        <f>"Y"</f>
        <v>Y</v>
      </c>
      <c r="F2978" t="str">
        <f>"חשבוניות מרכזות"</f>
        <v>חשבוניות מרכזות</v>
      </c>
      <c r="G2978" t="str">
        <f>"700065"</f>
        <v>700065</v>
      </c>
      <c r="H2978" t="str">
        <f>"אלתא מערכות בע""מ"</f>
        <v>אלתא מערכות בע"מ</v>
      </c>
      <c r="I2978" t="str">
        <f>"10"</f>
        <v>10</v>
      </c>
      <c r="J2978" t="str">
        <f>"OP-AR02149"</f>
        <v>OP-AR02149</v>
      </c>
      <c r="K2978" t="str">
        <f>"9009M497-001  HARNESS WRS97 - TEST CABLE"</f>
        <v>9009M497-001  HARNESS WRS97 - TEST CABLE</v>
      </c>
      <c r="L2978">
        <v>1</v>
      </c>
      <c r="M2978" t="str">
        <f>"יח"</f>
        <v>יח</v>
      </c>
      <c r="N2978">
        <v>1</v>
      </c>
      <c r="O2978" t="str">
        <f>"יח"</f>
        <v>יח</v>
      </c>
      <c r="P2978">
        <v>511.29</v>
      </c>
      <c r="Q2978" t="str">
        <f>"$"</f>
        <v>$</v>
      </c>
      <c r="R2978" t="str">
        <f>"הזמנה"</f>
        <v>הזמנה</v>
      </c>
      <c r="S2978">
        <v>0</v>
      </c>
      <c r="T2978">
        <v>511.29</v>
      </c>
      <c r="U2978">
        <v>0</v>
      </c>
      <c r="V2978">
        <v>511.29</v>
      </c>
      <c r="W2978" t="str">
        <f>"$"</f>
        <v>$</v>
      </c>
      <c r="X2978">
        <v>0</v>
      </c>
      <c r="Y2978">
        <v>0</v>
      </c>
      <c r="Z2978">
        <v>0</v>
      </c>
      <c r="AA2978" t="str">
        <f>"Y"</f>
        <v>Y</v>
      </c>
      <c r="AB2978" t="str">
        <f>"SO20000558"</f>
        <v>SO20000558</v>
      </c>
      <c r="AC2978">
        <v>3</v>
      </c>
      <c r="AD2978" s="1">
        <v>44167</v>
      </c>
      <c r="AE2978" t="str">
        <f>"SH21000174"</f>
        <v>SH21000174</v>
      </c>
      <c r="AF2978" t="str">
        <f>"משלוחים ללקוח"</f>
        <v>משלוחים ללקוח</v>
      </c>
      <c r="AG2978" s="1">
        <v>44224</v>
      </c>
      <c r="AM2978" t="str">
        <f>"10"</f>
        <v>10</v>
      </c>
      <c r="AN2978" t="str">
        <f>"500000"</f>
        <v>500000</v>
      </c>
      <c r="AO2978" t="str">
        <f>"הכנסות  מלקוחות"</f>
        <v>הכנסות  מלקוחות</v>
      </c>
      <c r="AQ2978" t="str">
        <f>"034"</f>
        <v>034</v>
      </c>
      <c r="AR2978">
        <v>0</v>
      </c>
      <c r="AS2978">
        <v>0</v>
      </c>
      <c r="AT2978">
        <v>3.2909999999999999</v>
      </c>
      <c r="AX2978" t="str">
        <f>"E000327474"</f>
        <v>E000327474</v>
      </c>
      <c r="BD2978" t="str">
        <f>"ערן שלו"</f>
        <v>ערן שלו</v>
      </c>
    </row>
    <row r="2979" spans="1:56" x14ac:dyDescent="0.3">
      <c r="A2979" s="1">
        <v>44228</v>
      </c>
      <c r="B2979" t="str">
        <f>"SI216000340"</f>
        <v>SI216000340</v>
      </c>
      <c r="C2979" t="str">
        <f>"PR20000495"</f>
        <v>PR20000495</v>
      </c>
      <c r="D2979" t="str">
        <f>"PR20000495"</f>
        <v>PR20000495</v>
      </c>
      <c r="E2979" t="str">
        <f>"Y"</f>
        <v>Y</v>
      </c>
      <c r="F2979" t="str">
        <f>"חשבוניות מרכזות"</f>
        <v>חשבוניות מרכזות</v>
      </c>
      <c r="G2979" t="str">
        <f>"700065"</f>
        <v>700065</v>
      </c>
      <c r="H2979" t="str">
        <f>"אלתא מערכות בע""מ"</f>
        <v>אלתא מערכות בע"מ</v>
      </c>
      <c r="I2979" t="str">
        <f>"10"</f>
        <v>10</v>
      </c>
      <c r="J2979" t="str">
        <f>"OP-AR01904"</f>
        <v>OP-AR01904</v>
      </c>
      <c r="K2979" t="str">
        <f>"NRE FOR E000315867"</f>
        <v>NRE FOR E000315867</v>
      </c>
      <c r="L2979">
        <v>1</v>
      </c>
      <c r="M2979" t="str">
        <f>"יח"</f>
        <v>יח</v>
      </c>
      <c r="N2979">
        <v>1</v>
      </c>
      <c r="O2979" t="str">
        <f>"יח"</f>
        <v>יח</v>
      </c>
      <c r="P2979" s="2">
        <v>4550</v>
      </c>
      <c r="Q2979" t="str">
        <f>"$"</f>
        <v>$</v>
      </c>
      <c r="R2979" t="str">
        <f>"הזמנה"</f>
        <v>הזמנה</v>
      </c>
      <c r="S2979">
        <v>0</v>
      </c>
      <c r="T2979" s="2">
        <v>4550</v>
      </c>
      <c r="U2979">
        <v>0</v>
      </c>
      <c r="V2979" s="2">
        <v>4550</v>
      </c>
      <c r="W2979" t="str">
        <f>"$"</f>
        <v>$</v>
      </c>
      <c r="X2979">
        <v>0</v>
      </c>
      <c r="Y2979">
        <v>0</v>
      </c>
      <c r="Z2979">
        <v>0</v>
      </c>
      <c r="AA2979" t="str">
        <f>"Y"</f>
        <v>Y</v>
      </c>
      <c r="AB2979" t="str">
        <f>"SO20000302"</f>
        <v>SO20000302</v>
      </c>
      <c r="AC2979">
        <v>11</v>
      </c>
      <c r="AD2979" s="1">
        <v>44028</v>
      </c>
      <c r="AM2979" t="str">
        <f>"10"</f>
        <v>10</v>
      </c>
      <c r="AN2979" t="str">
        <f>"500000"</f>
        <v>500000</v>
      </c>
      <c r="AO2979" t="str">
        <f>"הכנסות  מלקוחות"</f>
        <v>הכנסות  מלקוחות</v>
      </c>
      <c r="AQ2979" t="str">
        <f>"034"</f>
        <v>034</v>
      </c>
      <c r="AR2979">
        <v>0</v>
      </c>
      <c r="AS2979">
        <v>0</v>
      </c>
      <c r="AT2979">
        <v>3.2879999999999998</v>
      </c>
      <c r="AX2979" t="str">
        <f>"E000315867"</f>
        <v>E000315867</v>
      </c>
      <c r="BD2979" t="str">
        <f>"ערן שלו"</f>
        <v>ערן שלו</v>
      </c>
    </row>
    <row r="2980" spans="1:56" x14ac:dyDescent="0.3">
      <c r="A2980" s="1">
        <v>44228</v>
      </c>
      <c r="B2980" t="str">
        <f>"SI216000332"</f>
        <v>SI216000332</v>
      </c>
      <c r="C2980" t="str">
        <f>"PR20000495"</f>
        <v>PR20000495</v>
      </c>
      <c r="E2980" t="str">
        <f>"Y"</f>
        <v>Y</v>
      </c>
      <c r="F2980" t="str">
        <f>"חשבוניות מרכזות"</f>
        <v>חשבוניות מרכזות</v>
      </c>
      <c r="G2980" t="str">
        <f>"700065"</f>
        <v>700065</v>
      </c>
      <c r="H2980" t="str">
        <f>"אלתא מערכות בע""מ"</f>
        <v>אלתא מערכות בע"מ</v>
      </c>
      <c r="I2980" t="str">
        <f>"10"</f>
        <v>10</v>
      </c>
      <c r="J2980" t="str">
        <f>"OP-AR01904"</f>
        <v>OP-AR01904</v>
      </c>
      <c r="K2980" t="str">
        <f>"NRE FOR E000315867"</f>
        <v>NRE FOR E000315867</v>
      </c>
      <c r="L2980">
        <v>-1</v>
      </c>
      <c r="M2980" t="str">
        <f>"יח"</f>
        <v>יח</v>
      </c>
      <c r="N2980">
        <v>-1</v>
      </c>
      <c r="O2980" t="str">
        <f>"יח"</f>
        <v>יח</v>
      </c>
      <c r="P2980" s="2">
        <v>4550</v>
      </c>
      <c r="Q2980" t="str">
        <f>"$"</f>
        <v>$</v>
      </c>
      <c r="R2980" t="str">
        <f>"הזמנה"</f>
        <v>הזמנה</v>
      </c>
      <c r="S2980">
        <v>0</v>
      </c>
      <c r="T2980" s="2">
        <v>-4550</v>
      </c>
      <c r="U2980">
        <v>0</v>
      </c>
      <c r="V2980" s="2">
        <v>-4550</v>
      </c>
      <c r="W2980" t="str">
        <f>"$"</f>
        <v>$</v>
      </c>
      <c r="X2980">
        <v>0</v>
      </c>
      <c r="Y2980">
        <v>0</v>
      </c>
      <c r="Z2980">
        <v>0</v>
      </c>
      <c r="AA2980" t="str">
        <f>"Y"</f>
        <v>Y</v>
      </c>
      <c r="AC2980">
        <v>0</v>
      </c>
      <c r="AM2980" t="str">
        <f>"10"</f>
        <v>10</v>
      </c>
      <c r="AN2980" t="str">
        <f>"500000"</f>
        <v>500000</v>
      </c>
      <c r="AO2980" t="str">
        <f>"הכנסות  מלקוחות"</f>
        <v>הכנסות  מלקוחות</v>
      </c>
      <c r="AQ2980" t="str">
        <f>"034"</f>
        <v>034</v>
      </c>
      <c r="AR2980">
        <v>0</v>
      </c>
      <c r="AS2980">
        <v>0</v>
      </c>
      <c r="AT2980">
        <v>3.2879999999999998</v>
      </c>
      <c r="BB2980" t="str">
        <f>"Y"</f>
        <v>Y</v>
      </c>
      <c r="BD2980" t="str">
        <f>"ערן שלו"</f>
        <v>ערן שלו</v>
      </c>
    </row>
    <row r="2981" spans="1:56" x14ac:dyDescent="0.3">
      <c r="A2981" s="1">
        <v>44228</v>
      </c>
      <c r="B2981" t="str">
        <f>"SI216000322"</f>
        <v>SI216000322</v>
      </c>
      <c r="C2981" t="str">
        <f>"PR20000495"</f>
        <v>PR20000495</v>
      </c>
      <c r="E2981" t="str">
        <f>"Y"</f>
        <v>Y</v>
      </c>
      <c r="F2981" t="str">
        <f>"חשבוניות מרכזות"</f>
        <v>חשבוניות מרכזות</v>
      </c>
      <c r="G2981" t="str">
        <f>"700065"</f>
        <v>700065</v>
      </c>
      <c r="H2981" t="str">
        <f>"אלתא מערכות בע""מ"</f>
        <v>אלתא מערכות בע"מ</v>
      </c>
      <c r="I2981" t="str">
        <f>"10"</f>
        <v>10</v>
      </c>
      <c r="J2981" t="str">
        <f>"OP-AR01904"</f>
        <v>OP-AR01904</v>
      </c>
      <c r="K2981" t="str">
        <f>"NRE FOR E000315867"</f>
        <v>NRE FOR E000315867</v>
      </c>
      <c r="L2981">
        <v>1</v>
      </c>
      <c r="M2981" t="str">
        <f>"יח"</f>
        <v>יח</v>
      </c>
      <c r="N2981">
        <v>1</v>
      </c>
      <c r="O2981" t="str">
        <f>"יח"</f>
        <v>יח</v>
      </c>
      <c r="P2981" s="2">
        <v>4550</v>
      </c>
      <c r="Q2981" t="str">
        <f>"$"</f>
        <v>$</v>
      </c>
      <c r="R2981" t="str">
        <f>"הזמנה"</f>
        <v>הזמנה</v>
      </c>
      <c r="S2981">
        <v>0</v>
      </c>
      <c r="T2981" s="2">
        <v>4550</v>
      </c>
      <c r="U2981">
        <v>0</v>
      </c>
      <c r="V2981" s="2">
        <v>4550</v>
      </c>
      <c r="W2981" t="str">
        <f>"$"</f>
        <v>$</v>
      </c>
      <c r="X2981">
        <v>0</v>
      </c>
      <c r="Y2981">
        <v>0</v>
      </c>
      <c r="Z2981">
        <v>0</v>
      </c>
      <c r="AA2981" t="str">
        <f>"Y"</f>
        <v>Y</v>
      </c>
      <c r="AC2981">
        <v>0</v>
      </c>
      <c r="AM2981" t="str">
        <f>"10"</f>
        <v>10</v>
      </c>
      <c r="AN2981" t="str">
        <f>"500000"</f>
        <v>500000</v>
      </c>
      <c r="AO2981" t="str">
        <f>"הכנסות  מלקוחות"</f>
        <v>הכנסות  מלקוחות</v>
      </c>
      <c r="AQ2981" t="str">
        <f>"034"</f>
        <v>034</v>
      </c>
      <c r="AR2981">
        <v>0</v>
      </c>
      <c r="AS2981">
        <v>0</v>
      </c>
      <c r="AT2981">
        <v>3.2879999999999998</v>
      </c>
      <c r="BB2981" t="str">
        <f>"Y"</f>
        <v>Y</v>
      </c>
      <c r="BD2981" t="str">
        <f>"ערן שלו"</f>
        <v>ערן שלו</v>
      </c>
    </row>
    <row r="2982" spans="1:56" x14ac:dyDescent="0.3">
      <c r="A2982" s="1">
        <v>44228</v>
      </c>
      <c r="B2982" t="str">
        <f>"SI216000313"</f>
        <v>SI216000313</v>
      </c>
      <c r="C2982" t="str">
        <f>"PR20000495"</f>
        <v>PR20000495</v>
      </c>
      <c r="E2982" t="str">
        <f>"Y"</f>
        <v>Y</v>
      </c>
      <c r="F2982" t="str">
        <f>"חשבוניות מרכזות"</f>
        <v>חשבוניות מרכזות</v>
      </c>
      <c r="G2982" t="str">
        <f>"700065"</f>
        <v>700065</v>
      </c>
      <c r="H2982" t="str">
        <f>"אלתא מערכות בע""מ"</f>
        <v>אלתא מערכות בע"מ</v>
      </c>
      <c r="I2982" t="str">
        <f>"10"</f>
        <v>10</v>
      </c>
      <c r="J2982" t="str">
        <f>"OP-AR01904"</f>
        <v>OP-AR01904</v>
      </c>
      <c r="K2982" t="str">
        <f>"NRE FOR E000315867"</f>
        <v>NRE FOR E000315867</v>
      </c>
      <c r="L2982">
        <v>-1</v>
      </c>
      <c r="M2982" t="str">
        <f>"יח"</f>
        <v>יח</v>
      </c>
      <c r="N2982">
        <v>-1</v>
      </c>
      <c r="O2982" t="str">
        <f>"יח"</f>
        <v>יח</v>
      </c>
      <c r="P2982" s="2">
        <v>4550</v>
      </c>
      <c r="Q2982" t="str">
        <f>"$"</f>
        <v>$</v>
      </c>
      <c r="R2982" t="str">
        <f>"הזמנה"</f>
        <v>הזמנה</v>
      </c>
      <c r="S2982">
        <v>0</v>
      </c>
      <c r="T2982" s="2">
        <v>-4550</v>
      </c>
      <c r="U2982">
        <v>0</v>
      </c>
      <c r="V2982" s="2">
        <v>-4550</v>
      </c>
      <c r="W2982" t="str">
        <f>"$"</f>
        <v>$</v>
      </c>
      <c r="X2982">
        <v>0</v>
      </c>
      <c r="Y2982">
        <v>0</v>
      </c>
      <c r="Z2982">
        <v>0</v>
      </c>
      <c r="AA2982" t="str">
        <f>"Y"</f>
        <v>Y</v>
      </c>
      <c r="AC2982">
        <v>0</v>
      </c>
      <c r="AM2982" t="str">
        <f>"10"</f>
        <v>10</v>
      </c>
      <c r="AN2982" t="str">
        <f>"500000"</f>
        <v>500000</v>
      </c>
      <c r="AO2982" t="str">
        <f>"הכנסות  מלקוחות"</f>
        <v>הכנסות  מלקוחות</v>
      </c>
      <c r="AQ2982" t="str">
        <f>"034"</f>
        <v>034</v>
      </c>
      <c r="AR2982">
        <v>0</v>
      </c>
      <c r="AS2982">
        <v>0</v>
      </c>
      <c r="AT2982">
        <v>3.2639999999999998</v>
      </c>
      <c r="BB2982" t="str">
        <f>"Y"</f>
        <v>Y</v>
      </c>
      <c r="BD2982" t="str">
        <f>"ערן שלו"</f>
        <v>ערן שלו</v>
      </c>
    </row>
    <row r="2983" spans="1:56" x14ac:dyDescent="0.3">
      <c r="A2983" s="1">
        <v>44228</v>
      </c>
      <c r="B2983" t="str">
        <f>"SI216000312"</f>
        <v>SI216000312</v>
      </c>
      <c r="C2983" t="str">
        <f>"PR20000210"</f>
        <v>PR20000210</v>
      </c>
      <c r="D2983" t="str">
        <f>"PR20000210"</f>
        <v>PR20000210</v>
      </c>
      <c r="E2983" t="str">
        <f>"Y"</f>
        <v>Y</v>
      </c>
      <c r="F2983" t="str">
        <f>"חשבוניות מרכזות"</f>
        <v>חשבוניות מרכזות</v>
      </c>
      <c r="G2983" t="str">
        <f>"700065"</f>
        <v>700065</v>
      </c>
      <c r="H2983" t="str">
        <f>"אלתא מערכות בע""מ"</f>
        <v>אלתא מערכות בע"מ</v>
      </c>
      <c r="I2983" t="str">
        <f>"10"</f>
        <v>10</v>
      </c>
      <c r="J2983" t="str">
        <f>"OP-AR01709"</f>
        <v>OP-AR01709</v>
      </c>
      <c r="K2983" t="str">
        <f>"1022H888-001 W8-32CH VIDEO CABLE (MASTER)"</f>
        <v>1022H888-001 W8-32CH VIDEO CABLE (MASTER)</v>
      </c>
      <c r="L2983">
        <v>2</v>
      </c>
      <c r="M2983" t="str">
        <f>"יח"</f>
        <v>יח</v>
      </c>
      <c r="N2983">
        <v>2</v>
      </c>
      <c r="O2983" t="str">
        <f>"יח"</f>
        <v>יח</v>
      </c>
      <c r="P2983" s="2">
        <v>1234.4100000000001</v>
      </c>
      <c r="Q2983" t="str">
        <f>"$"</f>
        <v>$</v>
      </c>
      <c r="R2983" t="str">
        <f>"הזמנה"</f>
        <v>הזמנה</v>
      </c>
      <c r="S2983">
        <v>0</v>
      </c>
      <c r="T2983" s="2">
        <v>2468.8200000000002</v>
      </c>
      <c r="U2983">
        <v>0</v>
      </c>
      <c r="V2983" s="2">
        <v>2468.8200000000002</v>
      </c>
      <c r="W2983" t="str">
        <f>"$"</f>
        <v>$</v>
      </c>
      <c r="X2983">
        <v>0</v>
      </c>
      <c r="Y2983">
        <v>0</v>
      </c>
      <c r="Z2983">
        <v>0</v>
      </c>
      <c r="AA2983" t="str">
        <f>"Y"</f>
        <v>Y</v>
      </c>
      <c r="AB2983" t="str">
        <f>"SO20000139"</f>
        <v>SO20000139</v>
      </c>
      <c r="AC2983">
        <v>5</v>
      </c>
      <c r="AD2983" s="1">
        <v>43940</v>
      </c>
      <c r="AE2983" t="str">
        <f>"SH21000068"</f>
        <v>SH21000068</v>
      </c>
      <c r="AF2983" t="str">
        <f>"משלוחים ללקוח"</f>
        <v>משלוחים ללקוח</v>
      </c>
      <c r="AG2983" s="1">
        <v>44210</v>
      </c>
      <c r="AM2983" t="str">
        <f>"10"</f>
        <v>10</v>
      </c>
      <c r="AN2983" t="str">
        <f>"500000"</f>
        <v>500000</v>
      </c>
      <c r="AO2983" t="str">
        <f>"הכנסות  מלקוחות"</f>
        <v>הכנסות  מלקוחות</v>
      </c>
      <c r="AQ2983" t="str">
        <f>"034"</f>
        <v>034</v>
      </c>
      <c r="AR2983">
        <v>0</v>
      </c>
      <c r="AS2983">
        <v>0</v>
      </c>
      <c r="AT2983">
        <v>3.2879999999999998</v>
      </c>
      <c r="AX2983" t="str">
        <f>"E000309670"</f>
        <v>E000309670</v>
      </c>
      <c r="BD2983" t="str">
        <f>"ערן שלו"</f>
        <v>ערן שלו</v>
      </c>
    </row>
    <row r="2984" spans="1:56" x14ac:dyDescent="0.3">
      <c r="A2984" s="1">
        <v>44228</v>
      </c>
      <c r="B2984" t="str">
        <f>"SI216000311"</f>
        <v>SI216000311</v>
      </c>
      <c r="C2984" t="str">
        <f>"PR20000210"</f>
        <v>PR20000210</v>
      </c>
      <c r="E2984" t="str">
        <f>"Y"</f>
        <v>Y</v>
      </c>
      <c r="F2984" t="str">
        <f>"חשבוניות מרכזות"</f>
        <v>חשבוניות מרכזות</v>
      </c>
      <c r="G2984" t="str">
        <f>"700065"</f>
        <v>700065</v>
      </c>
      <c r="H2984" t="str">
        <f>"אלתא מערכות בע""מ"</f>
        <v>אלתא מערכות בע"מ</v>
      </c>
      <c r="I2984" t="str">
        <f>"10"</f>
        <v>10</v>
      </c>
      <c r="J2984" t="str">
        <f>"OP-AR01709"</f>
        <v>OP-AR01709</v>
      </c>
      <c r="K2984" t="str">
        <f>"1022H888-001 W8-32CH VIDEO CABLE (MASTER)"</f>
        <v>1022H888-001 W8-32CH VIDEO CABLE (MASTER)</v>
      </c>
      <c r="L2984">
        <v>-2</v>
      </c>
      <c r="M2984" t="str">
        <f>"יח"</f>
        <v>יח</v>
      </c>
      <c r="N2984">
        <v>-2</v>
      </c>
      <c r="O2984" t="str">
        <f>"יח"</f>
        <v>יח</v>
      </c>
      <c r="P2984" s="2">
        <v>1234.4100000000001</v>
      </c>
      <c r="Q2984" t="str">
        <f>"$"</f>
        <v>$</v>
      </c>
      <c r="R2984" t="str">
        <f>"הזמנה"</f>
        <v>הזמנה</v>
      </c>
      <c r="S2984">
        <v>0</v>
      </c>
      <c r="T2984" s="2">
        <v>-2468.8200000000002</v>
      </c>
      <c r="U2984">
        <v>0</v>
      </c>
      <c r="V2984" s="2">
        <v>-2468.8200000000002</v>
      </c>
      <c r="W2984" t="str">
        <f>"$"</f>
        <v>$</v>
      </c>
      <c r="X2984">
        <v>0</v>
      </c>
      <c r="Y2984">
        <v>0</v>
      </c>
      <c r="Z2984">
        <v>0</v>
      </c>
      <c r="AA2984" t="str">
        <f>"Y"</f>
        <v>Y</v>
      </c>
      <c r="AC2984">
        <v>0</v>
      </c>
      <c r="AM2984" t="str">
        <f>"10"</f>
        <v>10</v>
      </c>
      <c r="AN2984" t="str">
        <f>"500000"</f>
        <v>500000</v>
      </c>
      <c r="AO2984" t="str">
        <f>"הכנסות  מלקוחות"</f>
        <v>הכנסות  מלקוחות</v>
      </c>
      <c r="AQ2984" t="str">
        <f>"034"</f>
        <v>034</v>
      </c>
      <c r="AR2984">
        <v>0</v>
      </c>
      <c r="AS2984">
        <v>0</v>
      </c>
      <c r="AT2984">
        <v>3.2309999999999999</v>
      </c>
      <c r="BB2984" t="str">
        <f>"Y"</f>
        <v>Y</v>
      </c>
      <c r="BD2984" t="str">
        <f>"ערן שלו"</f>
        <v>ערן שלו</v>
      </c>
    </row>
    <row r="2985" spans="1:56" x14ac:dyDescent="0.3">
      <c r="A2985" s="1">
        <v>44228</v>
      </c>
      <c r="B2985" t="str">
        <f>"SI216000310"</f>
        <v>SI216000310</v>
      </c>
      <c r="C2985" t="str">
        <f>"PR20000799"</f>
        <v>PR20000799</v>
      </c>
      <c r="D2985" t="str">
        <f>"PR20000799"</f>
        <v>PR20000799</v>
      </c>
      <c r="E2985" t="str">
        <f>"Y"</f>
        <v>Y</v>
      </c>
      <c r="F2985" t="str">
        <f>"חשבוניות מרכזות"</f>
        <v>חשבוניות מרכזות</v>
      </c>
      <c r="G2985" t="str">
        <f>"700065"</f>
        <v>700065</v>
      </c>
      <c r="H2985" t="str">
        <f>"אלתא מערכות בע""מ"</f>
        <v>אלתא מערכות בע"מ</v>
      </c>
      <c r="I2985" t="str">
        <f>"10"</f>
        <v>10</v>
      </c>
      <c r="J2985" t="str">
        <f>"OP-AR02094"</f>
        <v>OP-AR02094</v>
      </c>
      <c r="K2985" t="str">
        <f>"1034L746-001/-   RCU POWER CABLE"</f>
        <v>1034L746-001/-   RCU POWER CABLE</v>
      </c>
      <c r="L2985">
        <v>1</v>
      </c>
      <c r="M2985" t="str">
        <f>"יח"</f>
        <v>יח</v>
      </c>
      <c r="N2985">
        <v>1</v>
      </c>
      <c r="O2985" t="str">
        <f>"יח"</f>
        <v>יח</v>
      </c>
      <c r="P2985">
        <v>339.86</v>
      </c>
      <c r="Q2985" t="str">
        <f>"$"</f>
        <v>$</v>
      </c>
      <c r="R2985" t="str">
        <f>"הזמנה"</f>
        <v>הזמנה</v>
      </c>
      <c r="S2985">
        <v>0</v>
      </c>
      <c r="T2985">
        <v>339.86</v>
      </c>
      <c r="U2985">
        <v>0</v>
      </c>
      <c r="V2985">
        <v>339.86</v>
      </c>
      <c r="W2985" t="str">
        <f>"$"</f>
        <v>$</v>
      </c>
      <c r="X2985">
        <v>0</v>
      </c>
      <c r="Y2985">
        <v>0</v>
      </c>
      <c r="Z2985">
        <v>0</v>
      </c>
      <c r="AA2985" t="str">
        <f>"Y"</f>
        <v>Y</v>
      </c>
      <c r="AB2985" t="str">
        <f>"SO20000525"</f>
        <v>SO20000525</v>
      </c>
      <c r="AC2985">
        <v>4</v>
      </c>
      <c r="AD2985" s="1">
        <v>44150</v>
      </c>
      <c r="AE2985" t="str">
        <f>"SH21000041"</f>
        <v>SH21000041</v>
      </c>
      <c r="AF2985" t="str">
        <f>"משלוחים ללקוח"</f>
        <v>משלוחים ללקוח</v>
      </c>
      <c r="AG2985" s="1">
        <v>44207</v>
      </c>
      <c r="AM2985" t="str">
        <f>"10"</f>
        <v>10</v>
      </c>
      <c r="AN2985" t="str">
        <f>"500000"</f>
        <v>500000</v>
      </c>
      <c r="AO2985" t="str">
        <f>"הכנסות  מלקוחות"</f>
        <v>הכנסות  מלקוחות</v>
      </c>
      <c r="AQ2985" t="str">
        <f>"034"</f>
        <v>034</v>
      </c>
      <c r="AR2985">
        <v>0</v>
      </c>
      <c r="AS2985">
        <v>0</v>
      </c>
      <c r="AT2985">
        <v>3.2879999999999998</v>
      </c>
      <c r="AX2985" t="str">
        <f>"E000325995"</f>
        <v>E000325995</v>
      </c>
      <c r="BD2985" t="str">
        <f>"ערן שלו"</f>
        <v>ערן שלו</v>
      </c>
    </row>
    <row r="2986" spans="1:56" x14ac:dyDescent="0.3">
      <c r="A2986" s="1">
        <v>44228</v>
      </c>
      <c r="B2986" t="str">
        <f>"SI216000310"</f>
        <v>SI216000310</v>
      </c>
      <c r="C2986" t="str">
        <f>"PR20000799"</f>
        <v>PR20000799</v>
      </c>
      <c r="D2986" t="str">
        <f>"PR20000799"</f>
        <v>PR20000799</v>
      </c>
      <c r="E2986" t="str">
        <f>"Y"</f>
        <v>Y</v>
      </c>
      <c r="F2986" t="str">
        <f>"חשבוניות מרכזות"</f>
        <v>חשבוניות מרכזות</v>
      </c>
      <c r="G2986" t="str">
        <f>"700065"</f>
        <v>700065</v>
      </c>
      <c r="H2986" t="str">
        <f>"אלתא מערכות בע""מ"</f>
        <v>אלתא מערכות בע"מ</v>
      </c>
      <c r="I2986" t="str">
        <f>"10"</f>
        <v>10</v>
      </c>
      <c r="J2986" t="str">
        <f>"OP-AR02096"</f>
        <v>OP-AR02096</v>
      </c>
      <c r="K2986" t="str">
        <f>"1034L748-001/-   RCU ETH CABLE LAB"</f>
        <v>1034L748-001/-   RCU ETH CABLE LAB</v>
      </c>
      <c r="L2986">
        <v>1</v>
      </c>
      <c r="M2986" t="str">
        <f>"יח"</f>
        <v>יח</v>
      </c>
      <c r="N2986">
        <v>1</v>
      </c>
      <c r="O2986" t="str">
        <f>"יח"</f>
        <v>יח</v>
      </c>
      <c r="P2986">
        <v>616.09</v>
      </c>
      <c r="Q2986" t="str">
        <f>"$"</f>
        <v>$</v>
      </c>
      <c r="R2986" t="str">
        <f>"הזמנה"</f>
        <v>הזמנה</v>
      </c>
      <c r="S2986">
        <v>0</v>
      </c>
      <c r="T2986">
        <v>616.09</v>
      </c>
      <c r="U2986">
        <v>0</v>
      </c>
      <c r="V2986">
        <v>616.09</v>
      </c>
      <c r="W2986" t="str">
        <f>"$"</f>
        <v>$</v>
      </c>
      <c r="X2986">
        <v>0</v>
      </c>
      <c r="Y2986">
        <v>0</v>
      </c>
      <c r="Z2986">
        <v>0</v>
      </c>
      <c r="AA2986" t="str">
        <f>"Y"</f>
        <v>Y</v>
      </c>
      <c r="AB2986" t="str">
        <f>"SO20000525"</f>
        <v>SO20000525</v>
      </c>
      <c r="AC2986">
        <v>6</v>
      </c>
      <c r="AD2986" s="1">
        <v>44150</v>
      </c>
      <c r="AE2986" t="str">
        <f>"SH21000041"</f>
        <v>SH21000041</v>
      </c>
      <c r="AF2986" t="str">
        <f>"משלוחים ללקוח"</f>
        <v>משלוחים ללקוח</v>
      </c>
      <c r="AG2986" s="1">
        <v>44207</v>
      </c>
      <c r="AM2986" t="str">
        <f>"10"</f>
        <v>10</v>
      </c>
      <c r="AN2986" t="str">
        <f>"500000"</f>
        <v>500000</v>
      </c>
      <c r="AO2986" t="str">
        <f>"הכנסות  מלקוחות"</f>
        <v>הכנסות  מלקוחות</v>
      </c>
      <c r="AQ2986" t="str">
        <f>"034"</f>
        <v>034</v>
      </c>
      <c r="AR2986">
        <v>0</v>
      </c>
      <c r="AS2986">
        <v>0</v>
      </c>
      <c r="AT2986">
        <v>3.2879999999999998</v>
      </c>
      <c r="AX2986" t="str">
        <f>"E000325995"</f>
        <v>E000325995</v>
      </c>
      <c r="BD2986" t="str">
        <f>"ערן שלו"</f>
        <v>ערן שלו</v>
      </c>
    </row>
    <row r="2987" spans="1:56" x14ac:dyDescent="0.3">
      <c r="A2987" s="1">
        <v>44228</v>
      </c>
      <c r="B2987" t="str">
        <f>"SI216000309"</f>
        <v>SI216000309</v>
      </c>
      <c r="C2987" t="str">
        <f>"PR20000799"</f>
        <v>PR20000799</v>
      </c>
      <c r="E2987" t="str">
        <f>"Y"</f>
        <v>Y</v>
      </c>
      <c r="F2987" t="str">
        <f>"חשבוניות מרכזות"</f>
        <v>חשבוניות מרכזות</v>
      </c>
      <c r="G2987" t="str">
        <f>"700065"</f>
        <v>700065</v>
      </c>
      <c r="H2987" t="str">
        <f>"אלתא מערכות בע""מ"</f>
        <v>אלתא מערכות בע"מ</v>
      </c>
      <c r="I2987" t="str">
        <f>"10"</f>
        <v>10</v>
      </c>
      <c r="J2987" t="str">
        <f>"OP-AR02094"</f>
        <v>OP-AR02094</v>
      </c>
      <c r="K2987" t="str">
        <f>"1034L746-001/-   RCU POWER CABLE"</f>
        <v>1034L746-001/-   RCU POWER CABLE</v>
      </c>
      <c r="L2987">
        <v>-1</v>
      </c>
      <c r="M2987" t="str">
        <f>"יח"</f>
        <v>יח</v>
      </c>
      <c r="N2987">
        <v>-1</v>
      </c>
      <c r="O2987" t="str">
        <f>"יח"</f>
        <v>יח</v>
      </c>
      <c r="P2987">
        <v>339.86</v>
      </c>
      <c r="Q2987" t="str">
        <f>"$"</f>
        <v>$</v>
      </c>
      <c r="R2987" t="str">
        <f>"הזמנה"</f>
        <v>הזמנה</v>
      </c>
      <c r="S2987">
        <v>0</v>
      </c>
      <c r="T2987">
        <v>-339.86</v>
      </c>
      <c r="U2987">
        <v>3.2</v>
      </c>
      <c r="V2987">
        <v>-328.98</v>
      </c>
      <c r="W2987" t="str">
        <f>"$"</f>
        <v>$</v>
      </c>
      <c r="X2987">
        <v>0</v>
      </c>
      <c r="Y2987">
        <v>0</v>
      </c>
      <c r="Z2987">
        <v>0</v>
      </c>
      <c r="AA2987" t="str">
        <f>"Y"</f>
        <v>Y</v>
      </c>
      <c r="AC2987">
        <v>0</v>
      </c>
      <c r="AM2987" t="str">
        <f>"10"</f>
        <v>10</v>
      </c>
      <c r="AN2987" t="str">
        <f>"500000"</f>
        <v>500000</v>
      </c>
      <c r="AO2987" t="str">
        <f>"הכנסות  מלקוחות"</f>
        <v>הכנסות  מלקוחות</v>
      </c>
      <c r="AQ2987" t="str">
        <f>"034"</f>
        <v>034</v>
      </c>
      <c r="AR2987">
        <v>0</v>
      </c>
      <c r="AS2987">
        <v>0</v>
      </c>
      <c r="AT2987">
        <v>3.2309999999999999</v>
      </c>
      <c r="BB2987" t="str">
        <f>"Y"</f>
        <v>Y</v>
      </c>
      <c r="BD2987" t="str">
        <f>"ערן שלו"</f>
        <v>ערן שלו</v>
      </c>
    </row>
    <row r="2988" spans="1:56" x14ac:dyDescent="0.3">
      <c r="A2988" s="1">
        <v>44228</v>
      </c>
      <c r="B2988" t="str">
        <f>"SI216000309"</f>
        <v>SI216000309</v>
      </c>
      <c r="C2988" t="str">
        <f>"PR20000799"</f>
        <v>PR20000799</v>
      </c>
      <c r="E2988" t="str">
        <f>"Y"</f>
        <v>Y</v>
      </c>
      <c r="F2988" t="str">
        <f>"חשבוניות מרכזות"</f>
        <v>חשבוניות מרכזות</v>
      </c>
      <c r="G2988" t="str">
        <f>"700065"</f>
        <v>700065</v>
      </c>
      <c r="H2988" t="str">
        <f>"אלתא מערכות בע""מ"</f>
        <v>אלתא מערכות בע"מ</v>
      </c>
      <c r="I2988" t="str">
        <f>"10"</f>
        <v>10</v>
      </c>
      <c r="J2988" t="str">
        <f>"OP-AR02096"</f>
        <v>OP-AR02096</v>
      </c>
      <c r="K2988" t="str">
        <f>"1034L748-001/-   RCU ETH CABLE LAB"</f>
        <v>1034L748-001/-   RCU ETH CABLE LAB</v>
      </c>
      <c r="L2988">
        <v>-1</v>
      </c>
      <c r="M2988" t="str">
        <f>"יח"</f>
        <v>יח</v>
      </c>
      <c r="N2988">
        <v>-1</v>
      </c>
      <c r="O2988" t="str">
        <f>"יח"</f>
        <v>יח</v>
      </c>
      <c r="P2988">
        <v>616.09</v>
      </c>
      <c r="Q2988" t="str">
        <f>"$"</f>
        <v>$</v>
      </c>
      <c r="R2988" t="str">
        <f>"הזמנה"</f>
        <v>הזמנה</v>
      </c>
      <c r="S2988">
        <v>0</v>
      </c>
      <c r="T2988">
        <v>-616.09</v>
      </c>
      <c r="U2988">
        <v>3.2</v>
      </c>
      <c r="V2988">
        <v>-596.38</v>
      </c>
      <c r="W2988" t="str">
        <f>"$"</f>
        <v>$</v>
      </c>
      <c r="X2988">
        <v>0</v>
      </c>
      <c r="Y2988">
        <v>0</v>
      </c>
      <c r="Z2988">
        <v>0</v>
      </c>
      <c r="AA2988" t="str">
        <f>"Y"</f>
        <v>Y</v>
      </c>
      <c r="AC2988">
        <v>0</v>
      </c>
      <c r="AM2988" t="str">
        <f>"10"</f>
        <v>10</v>
      </c>
      <c r="AN2988" t="str">
        <f>"500000"</f>
        <v>500000</v>
      </c>
      <c r="AO2988" t="str">
        <f>"הכנסות  מלקוחות"</f>
        <v>הכנסות  מלקוחות</v>
      </c>
      <c r="AQ2988" t="str">
        <f>"034"</f>
        <v>034</v>
      </c>
      <c r="AR2988">
        <v>0</v>
      </c>
      <c r="AS2988">
        <v>0</v>
      </c>
      <c r="AT2988">
        <v>3.2309999999999999</v>
      </c>
      <c r="BB2988" t="str">
        <f>"Y"</f>
        <v>Y</v>
      </c>
      <c r="BD2988" t="str">
        <f>"ערן שלו"</f>
        <v>ערן שלו</v>
      </c>
    </row>
    <row r="2989" spans="1:56" x14ac:dyDescent="0.3">
      <c r="A2989" s="1">
        <v>44228</v>
      </c>
      <c r="B2989" t="str">
        <f>"SI216000308"</f>
        <v>SI216000308</v>
      </c>
      <c r="C2989" t="str">
        <f>"PR20000622"</f>
        <v>PR20000622</v>
      </c>
      <c r="D2989" t="str">
        <f>"PR20000622"</f>
        <v>PR20000622</v>
      </c>
      <c r="E2989" t="str">
        <f>"Y"</f>
        <v>Y</v>
      </c>
      <c r="F2989" t="str">
        <f>"חשבוניות מרכזות"</f>
        <v>חשבוניות מרכזות</v>
      </c>
      <c r="G2989" t="str">
        <f>"700065"</f>
        <v>700065</v>
      </c>
      <c r="H2989" t="str">
        <f>"אלתא מערכות בע""מ"</f>
        <v>אלתא מערכות בע"מ</v>
      </c>
      <c r="I2989" t="str">
        <f>"10"</f>
        <v>10</v>
      </c>
      <c r="J2989" t="str">
        <f>"OP-AR02016"</f>
        <v>OP-AR02016</v>
      </c>
      <c r="K2989" t="str">
        <f>"1096B462-001  DC HARNESS"</f>
        <v>1096B462-001  DC HARNESS</v>
      </c>
      <c r="L2989">
        <v>4</v>
      </c>
      <c r="M2989" t="str">
        <f>"יח"</f>
        <v>יח</v>
      </c>
      <c r="N2989">
        <v>4</v>
      </c>
      <c r="O2989" t="str">
        <f>"יח"</f>
        <v>יח</v>
      </c>
      <c r="P2989" s="2">
        <v>1175.45</v>
      </c>
      <c r="Q2989" t="str">
        <f>"$"</f>
        <v>$</v>
      </c>
      <c r="R2989" t="str">
        <f>"הזמנה"</f>
        <v>הזמנה</v>
      </c>
      <c r="S2989">
        <v>0</v>
      </c>
      <c r="T2989" s="2">
        <v>4701.8</v>
      </c>
      <c r="U2989">
        <v>0</v>
      </c>
      <c r="V2989" s="2">
        <v>4701.8</v>
      </c>
      <c r="W2989" t="str">
        <f>"$"</f>
        <v>$</v>
      </c>
      <c r="X2989">
        <v>0</v>
      </c>
      <c r="Y2989">
        <v>0</v>
      </c>
      <c r="Z2989">
        <v>0</v>
      </c>
      <c r="AA2989" t="str">
        <f>"Y"</f>
        <v>Y</v>
      </c>
      <c r="AB2989" t="str">
        <f>"SO20000414"</f>
        <v>SO20000414</v>
      </c>
      <c r="AC2989">
        <v>1</v>
      </c>
      <c r="AD2989" s="1">
        <v>44082</v>
      </c>
      <c r="AE2989" t="str">
        <f>"SH21000040"</f>
        <v>SH21000040</v>
      </c>
      <c r="AF2989" t="str">
        <f>"משלוחים ללקוח"</f>
        <v>משלוחים ללקוח</v>
      </c>
      <c r="AG2989" s="1">
        <v>44207</v>
      </c>
      <c r="AM2989" t="str">
        <f>"10"</f>
        <v>10</v>
      </c>
      <c r="AN2989" t="str">
        <f>"500000"</f>
        <v>500000</v>
      </c>
      <c r="AO2989" t="str">
        <f>"הכנסות  מלקוחות"</f>
        <v>הכנסות  מלקוחות</v>
      </c>
      <c r="AQ2989" t="str">
        <f>"034"</f>
        <v>034</v>
      </c>
      <c r="AR2989">
        <v>0</v>
      </c>
      <c r="AS2989">
        <v>0</v>
      </c>
      <c r="AT2989">
        <v>3.2879999999999998</v>
      </c>
      <c r="AX2989" t="str">
        <f>"E000319937"</f>
        <v>E000319937</v>
      </c>
      <c r="BD2989" t="str">
        <f>"ערן שלו"</f>
        <v>ערן שלו</v>
      </c>
    </row>
    <row r="2990" spans="1:56" x14ac:dyDescent="0.3">
      <c r="A2990" s="1">
        <v>44228</v>
      </c>
      <c r="B2990" t="str">
        <f>"SI216000307"</f>
        <v>SI216000307</v>
      </c>
      <c r="C2990" t="str">
        <f>"PR20000622"</f>
        <v>PR20000622</v>
      </c>
      <c r="E2990" t="str">
        <f>"Y"</f>
        <v>Y</v>
      </c>
      <c r="F2990" t="str">
        <f>"חשבוניות מרכזות"</f>
        <v>חשבוניות מרכזות</v>
      </c>
      <c r="G2990" t="str">
        <f>"700065"</f>
        <v>700065</v>
      </c>
      <c r="H2990" t="str">
        <f>"אלתא מערכות בע""מ"</f>
        <v>אלתא מערכות בע"מ</v>
      </c>
      <c r="I2990" t="str">
        <f>"10"</f>
        <v>10</v>
      </c>
      <c r="J2990" t="str">
        <f>"OP-AR02016"</f>
        <v>OP-AR02016</v>
      </c>
      <c r="K2990" t="str">
        <f>"1096B462-001  DC HARNESS"</f>
        <v>1096B462-001  DC HARNESS</v>
      </c>
      <c r="L2990">
        <v>-4</v>
      </c>
      <c r="M2990" t="str">
        <f>"יח"</f>
        <v>יח</v>
      </c>
      <c r="N2990">
        <v>-4</v>
      </c>
      <c r="O2990" t="str">
        <f>"יח"</f>
        <v>יח</v>
      </c>
      <c r="P2990" s="2">
        <v>1175.45</v>
      </c>
      <c r="Q2990" t="str">
        <f>"$"</f>
        <v>$</v>
      </c>
      <c r="R2990" t="str">
        <f>"הזמנה"</f>
        <v>הזמנה</v>
      </c>
      <c r="S2990">
        <v>0</v>
      </c>
      <c r="T2990" s="2">
        <v>-4701.8</v>
      </c>
      <c r="U2990">
        <v>0</v>
      </c>
      <c r="V2990" s="2">
        <v>-4701.8</v>
      </c>
      <c r="W2990" t="str">
        <f>"$"</f>
        <v>$</v>
      </c>
      <c r="X2990">
        <v>0</v>
      </c>
      <c r="Y2990">
        <v>0</v>
      </c>
      <c r="Z2990">
        <v>0</v>
      </c>
      <c r="AA2990" t="str">
        <f>"Y"</f>
        <v>Y</v>
      </c>
      <c r="AC2990">
        <v>0</v>
      </c>
      <c r="AM2990" t="str">
        <f>"10"</f>
        <v>10</v>
      </c>
      <c r="AN2990" t="str">
        <f>"500000"</f>
        <v>500000</v>
      </c>
      <c r="AO2990" t="str">
        <f>"הכנסות  מלקוחות"</f>
        <v>הכנסות  מלקוחות</v>
      </c>
      <c r="AQ2990" t="str">
        <f>"034"</f>
        <v>034</v>
      </c>
      <c r="AR2990">
        <v>0</v>
      </c>
      <c r="AS2990">
        <v>0</v>
      </c>
      <c r="AT2990">
        <v>3.2309999999999999</v>
      </c>
      <c r="BB2990" t="str">
        <f>"Y"</f>
        <v>Y</v>
      </c>
      <c r="BD2990" t="str">
        <f>"ערן שלו"</f>
        <v>ערן שלו</v>
      </c>
    </row>
    <row r="2991" spans="1:56" x14ac:dyDescent="0.3">
      <c r="A2991" s="1">
        <v>44227</v>
      </c>
      <c r="B2991" t="str">
        <f>"SI216000137"</f>
        <v>SI216000137</v>
      </c>
      <c r="C2991" t="str">
        <f>"PR20000530"</f>
        <v>PR20000530</v>
      </c>
      <c r="D2991" t="str">
        <f>"PR20000530"</f>
        <v>PR20000530</v>
      </c>
      <c r="E2991" t="str">
        <f>"Y"</f>
        <v>Y</v>
      </c>
      <c r="F2991" t="str">
        <f>"חשבוניות מרכזות"</f>
        <v>חשבוניות מרכזות</v>
      </c>
      <c r="G2991" t="str">
        <f>"700065"</f>
        <v>700065</v>
      </c>
      <c r="H2991" t="str">
        <f>"אלתא מערכות בע""מ"</f>
        <v>אלתא מערכות בע"מ</v>
      </c>
      <c r="I2991" t="str">
        <f>"10"</f>
        <v>10</v>
      </c>
      <c r="J2991" t="str">
        <f>"OP-AR01963"</f>
        <v>OP-AR01963</v>
      </c>
      <c r="K2991" t="str">
        <f>"1031Y617-001/A - CABLE ASSY W101A"</f>
        <v>1031Y617-001/A - CABLE ASSY W101A</v>
      </c>
      <c r="L2991">
        <v>1</v>
      </c>
      <c r="M2991" t="str">
        <f>"יח"</f>
        <v>יח</v>
      </c>
      <c r="N2991">
        <v>1</v>
      </c>
      <c r="O2991" t="str">
        <f>"יח"</f>
        <v>יח</v>
      </c>
      <c r="P2991" s="2">
        <v>2984.8</v>
      </c>
      <c r="Q2991" t="str">
        <f>"$"</f>
        <v>$</v>
      </c>
      <c r="R2991" t="str">
        <f>"הזמנה"</f>
        <v>הזמנה</v>
      </c>
      <c r="S2991">
        <v>0</v>
      </c>
      <c r="T2991" s="2">
        <v>2984.8</v>
      </c>
      <c r="U2991">
        <v>0</v>
      </c>
      <c r="V2991" s="2">
        <v>2984.8</v>
      </c>
      <c r="W2991" t="str">
        <f>"$"</f>
        <v>$</v>
      </c>
      <c r="X2991">
        <v>0</v>
      </c>
      <c r="Y2991">
        <v>0</v>
      </c>
      <c r="Z2991">
        <v>0</v>
      </c>
      <c r="AA2991" t="str">
        <f>"Y"</f>
        <v>Y</v>
      </c>
      <c r="AB2991" t="str">
        <f>"SO20000337"</f>
        <v>SO20000337</v>
      </c>
      <c r="AC2991">
        <v>1</v>
      </c>
      <c r="AD2991" s="1">
        <v>44045</v>
      </c>
      <c r="AE2991" t="str">
        <f>"SH21000173"</f>
        <v>SH21000173</v>
      </c>
      <c r="AF2991" t="str">
        <f>"משלוחים ללקוח"</f>
        <v>משלוחים ללקוח</v>
      </c>
      <c r="AG2991" s="1">
        <v>44224</v>
      </c>
      <c r="AM2991" t="str">
        <f>"10"</f>
        <v>10</v>
      </c>
      <c r="AN2991" t="str">
        <f>"500000"</f>
        <v>500000</v>
      </c>
      <c r="AO2991" t="str">
        <f>"הכנסות  מלקוחות"</f>
        <v>הכנסות  מלקוחות</v>
      </c>
      <c r="AQ2991" t="str">
        <f>"034"</f>
        <v>034</v>
      </c>
      <c r="AR2991">
        <v>0</v>
      </c>
      <c r="AS2991">
        <v>0</v>
      </c>
      <c r="AT2991">
        <v>3.2909999999999999</v>
      </c>
      <c r="AX2991" t="str">
        <f>"E000317142"</f>
        <v>E000317142</v>
      </c>
      <c r="BD2991" t="str">
        <f>"ערן שלו"</f>
        <v>ערן שלו</v>
      </c>
    </row>
    <row r="2992" spans="1:56" x14ac:dyDescent="0.3">
      <c r="A2992" s="1">
        <v>44227</v>
      </c>
      <c r="B2992" t="str">
        <f>"SI216000137"</f>
        <v>SI216000137</v>
      </c>
      <c r="C2992" t="str">
        <f>"PR20000530"</f>
        <v>PR20000530</v>
      </c>
      <c r="D2992" t="str">
        <f>"PR20000530"</f>
        <v>PR20000530</v>
      </c>
      <c r="E2992" t="str">
        <f>"Y"</f>
        <v>Y</v>
      </c>
      <c r="F2992" t="str">
        <f>"חשבוניות מרכזות"</f>
        <v>חשבוניות מרכזות</v>
      </c>
      <c r="G2992" t="str">
        <f>"700065"</f>
        <v>700065</v>
      </c>
      <c r="H2992" t="str">
        <f>"אלתא מערכות בע""מ"</f>
        <v>אלתא מערכות בע"מ</v>
      </c>
      <c r="I2992" t="str">
        <f>"10"</f>
        <v>10</v>
      </c>
      <c r="J2992" t="str">
        <f>"OP-AR01964"</f>
        <v>OP-AR01964</v>
      </c>
      <c r="K2992" t="str">
        <f>"1031Y636-001/A - CABLE ASSY W101B"</f>
        <v>1031Y636-001/A - CABLE ASSY W101B</v>
      </c>
      <c r="L2992">
        <v>2</v>
      </c>
      <c r="M2992" t="str">
        <f>"יח"</f>
        <v>יח</v>
      </c>
      <c r="N2992">
        <v>2</v>
      </c>
      <c r="O2992" t="str">
        <f>"יח"</f>
        <v>יח</v>
      </c>
      <c r="P2992" s="2">
        <v>2960.54</v>
      </c>
      <c r="Q2992" t="str">
        <f>"$"</f>
        <v>$</v>
      </c>
      <c r="R2992" t="str">
        <f>"הזמנה"</f>
        <v>הזמנה</v>
      </c>
      <c r="S2992">
        <v>0</v>
      </c>
      <c r="T2992" s="2">
        <v>5921.08</v>
      </c>
      <c r="U2992">
        <v>0</v>
      </c>
      <c r="V2992" s="2">
        <v>5921.08</v>
      </c>
      <c r="W2992" t="str">
        <f>"$"</f>
        <v>$</v>
      </c>
      <c r="X2992">
        <v>0</v>
      </c>
      <c r="Y2992">
        <v>0</v>
      </c>
      <c r="Z2992">
        <v>0</v>
      </c>
      <c r="AA2992" t="str">
        <f>"Y"</f>
        <v>Y</v>
      </c>
      <c r="AB2992" t="str">
        <f>"SO20000337"</f>
        <v>SO20000337</v>
      </c>
      <c r="AC2992">
        <v>2</v>
      </c>
      <c r="AD2992" s="1">
        <v>44045</v>
      </c>
      <c r="AE2992" t="str">
        <f>"SH21000173"</f>
        <v>SH21000173</v>
      </c>
      <c r="AF2992" t="str">
        <f>"משלוחים ללקוח"</f>
        <v>משלוחים ללקוח</v>
      </c>
      <c r="AG2992" s="1">
        <v>44224</v>
      </c>
      <c r="AM2992" t="str">
        <f>"10"</f>
        <v>10</v>
      </c>
      <c r="AN2992" t="str">
        <f>"500000"</f>
        <v>500000</v>
      </c>
      <c r="AO2992" t="str">
        <f>"הכנסות  מלקוחות"</f>
        <v>הכנסות  מלקוחות</v>
      </c>
      <c r="AQ2992" t="str">
        <f>"034"</f>
        <v>034</v>
      </c>
      <c r="AR2992">
        <v>0</v>
      </c>
      <c r="AS2992">
        <v>0</v>
      </c>
      <c r="AT2992">
        <v>3.2909999999999999</v>
      </c>
      <c r="AX2992" t="str">
        <f>"E000317142"</f>
        <v>E000317142</v>
      </c>
      <c r="BD2992" t="str">
        <f>"ערן שלו"</f>
        <v>ערן שלו</v>
      </c>
    </row>
    <row r="2993" spans="1:56" x14ac:dyDescent="0.3">
      <c r="A2993" s="1">
        <v>44227</v>
      </c>
      <c r="B2993" t="str">
        <f>"SI216000136"</f>
        <v>SI216000136</v>
      </c>
      <c r="C2993" t="str">
        <f>"PR20000533"</f>
        <v>PR20000533</v>
      </c>
      <c r="D2993" t="str">
        <f>"PR20000533"</f>
        <v>PR20000533</v>
      </c>
      <c r="E2993" t="str">
        <f>"Y"</f>
        <v>Y</v>
      </c>
      <c r="F2993" t="str">
        <f>"חשבוניות מרכזות"</f>
        <v>חשבוניות מרכזות</v>
      </c>
      <c r="G2993" t="str">
        <f>"700065"</f>
        <v>700065</v>
      </c>
      <c r="H2993" t="str">
        <f>"אלתא מערכות בע""מ"</f>
        <v>אלתא מערכות בע"מ</v>
      </c>
      <c r="I2993" t="str">
        <f>"10"</f>
        <v>10</v>
      </c>
      <c r="J2993" t="str">
        <f>"OP-AR01945"</f>
        <v>OP-AR01945</v>
      </c>
      <c r="K2993" t="str">
        <f>"1031B010-001/- - CABLE ASSY W010"</f>
        <v>1031B010-001/- - CABLE ASSY W010</v>
      </c>
      <c r="L2993">
        <v>1</v>
      </c>
      <c r="M2993" t="str">
        <f>"יח"</f>
        <v>יח</v>
      </c>
      <c r="N2993">
        <v>1</v>
      </c>
      <c r="O2993" t="str">
        <f>"יח"</f>
        <v>יח</v>
      </c>
      <c r="P2993" s="2">
        <v>1081.74</v>
      </c>
      <c r="Q2993" t="str">
        <f>"$"</f>
        <v>$</v>
      </c>
      <c r="R2993" t="str">
        <f>"הזמנה"</f>
        <v>הזמנה</v>
      </c>
      <c r="S2993">
        <v>0</v>
      </c>
      <c r="T2993" s="2">
        <v>1081.74</v>
      </c>
      <c r="U2993">
        <v>0</v>
      </c>
      <c r="V2993" s="2">
        <v>1081.74</v>
      </c>
      <c r="W2993" t="str">
        <f>"$"</f>
        <v>$</v>
      </c>
      <c r="X2993">
        <v>0</v>
      </c>
      <c r="Y2993">
        <v>0</v>
      </c>
      <c r="Z2993">
        <v>0</v>
      </c>
      <c r="AA2993" t="str">
        <f>"Y"</f>
        <v>Y</v>
      </c>
      <c r="AB2993" t="str">
        <f>"SO20000319"</f>
        <v>SO20000319</v>
      </c>
      <c r="AC2993">
        <v>1</v>
      </c>
      <c r="AD2993" s="1">
        <v>44034</v>
      </c>
      <c r="AE2993" t="str">
        <f>"SH21000169"</f>
        <v>SH21000169</v>
      </c>
      <c r="AF2993" t="str">
        <f>"משלוחים ללקוח"</f>
        <v>משלוחים ללקוח</v>
      </c>
      <c r="AG2993" s="1">
        <v>44224</v>
      </c>
      <c r="AM2993" t="str">
        <f>"10"</f>
        <v>10</v>
      </c>
      <c r="AN2993" t="str">
        <f>"500000"</f>
        <v>500000</v>
      </c>
      <c r="AO2993" t="str">
        <f>"הכנסות  מלקוחות"</f>
        <v>הכנסות  מלקוחות</v>
      </c>
      <c r="AQ2993" t="str">
        <f>"034"</f>
        <v>034</v>
      </c>
      <c r="AR2993">
        <v>0</v>
      </c>
      <c r="AS2993">
        <v>0</v>
      </c>
      <c r="AT2993">
        <v>3.2909999999999999</v>
      </c>
      <c r="AX2993" t="str">
        <f>"E000316766"</f>
        <v>E000316766</v>
      </c>
      <c r="BD2993" t="str">
        <f>"ערן שלו"</f>
        <v>ערן שלו</v>
      </c>
    </row>
    <row r="2994" spans="1:56" x14ac:dyDescent="0.3">
      <c r="A2994" s="1">
        <v>44227</v>
      </c>
      <c r="B2994" t="str">
        <f>"SI216000136"</f>
        <v>SI216000136</v>
      </c>
      <c r="C2994" t="str">
        <f>"PR20000533"</f>
        <v>PR20000533</v>
      </c>
      <c r="D2994" t="str">
        <f>"PR20000533"</f>
        <v>PR20000533</v>
      </c>
      <c r="E2994" t="str">
        <f>"Y"</f>
        <v>Y</v>
      </c>
      <c r="F2994" t="str">
        <f>"חשבוניות מרכזות"</f>
        <v>חשבוניות מרכזות</v>
      </c>
      <c r="G2994" t="str">
        <f>"700065"</f>
        <v>700065</v>
      </c>
      <c r="H2994" t="str">
        <f>"אלתא מערכות בע""מ"</f>
        <v>אלתא מערכות בע"מ</v>
      </c>
      <c r="I2994" t="str">
        <f>"10"</f>
        <v>10</v>
      </c>
      <c r="J2994" t="str">
        <f>"OP-AR01947"</f>
        <v>OP-AR01947</v>
      </c>
      <c r="K2994" t="str">
        <f>"1031B016-001/- - CABLE ASSY W016"</f>
        <v>1031B016-001/- - CABLE ASSY W016</v>
      </c>
      <c r="L2994">
        <v>1</v>
      </c>
      <c r="M2994" t="str">
        <f>"יח"</f>
        <v>יח</v>
      </c>
      <c r="N2994">
        <v>1</v>
      </c>
      <c r="O2994" t="str">
        <f>"יח"</f>
        <v>יח</v>
      </c>
      <c r="P2994">
        <v>960.53</v>
      </c>
      <c r="Q2994" t="str">
        <f>"$"</f>
        <v>$</v>
      </c>
      <c r="R2994" t="str">
        <f>"הזמנה"</f>
        <v>הזמנה</v>
      </c>
      <c r="S2994">
        <v>0</v>
      </c>
      <c r="T2994">
        <v>960.53</v>
      </c>
      <c r="U2994">
        <v>0</v>
      </c>
      <c r="V2994">
        <v>960.53</v>
      </c>
      <c r="W2994" t="str">
        <f>"$"</f>
        <v>$</v>
      </c>
      <c r="X2994">
        <v>0</v>
      </c>
      <c r="Y2994">
        <v>0</v>
      </c>
      <c r="Z2994">
        <v>0</v>
      </c>
      <c r="AA2994" t="str">
        <f>"Y"</f>
        <v>Y</v>
      </c>
      <c r="AB2994" t="str">
        <f>"SO20000319"</f>
        <v>SO20000319</v>
      </c>
      <c r="AC2994">
        <v>3</v>
      </c>
      <c r="AD2994" s="1">
        <v>44034</v>
      </c>
      <c r="AE2994" t="str">
        <f>"SH21000169"</f>
        <v>SH21000169</v>
      </c>
      <c r="AF2994" t="str">
        <f>"משלוחים ללקוח"</f>
        <v>משלוחים ללקוח</v>
      </c>
      <c r="AG2994" s="1">
        <v>44224</v>
      </c>
      <c r="AM2994" t="str">
        <f>"10"</f>
        <v>10</v>
      </c>
      <c r="AN2994" t="str">
        <f>"500000"</f>
        <v>500000</v>
      </c>
      <c r="AO2994" t="str">
        <f>"הכנסות  מלקוחות"</f>
        <v>הכנסות  מלקוחות</v>
      </c>
      <c r="AQ2994" t="str">
        <f>"034"</f>
        <v>034</v>
      </c>
      <c r="AR2994">
        <v>0</v>
      </c>
      <c r="AS2994">
        <v>0</v>
      </c>
      <c r="AT2994">
        <v>3.2909999999999999</v>
      </c>
      <c r="AX2994" t="str">
        <f>"E000316766"</f>
        <v>E000316766</v>
      </c>
      <c r="BD2994" t="str">
        <f>"ערן שלו"</f>
        <v>ערן שלו</v>
      </c>
    </row>
    <row r="2995" spans="1:56" x14ac:dyDescent="0.3">
      <c r="A2995" s="1">
        <v>44227</v>
      </c>
      <c r="B2995" t="str">
        <f>"SI216000136"</f>
        <v>SI216000136</v>
      </c>
      <c r="C2995" t="str">
        <f>"PR20000533"</f>
        <v>PR20000533</v>
      </c>
      <c r="D2995" t="str">
        <f>"PR20000533"</f>
        <v>PR20000533</v>
      </c>
      <c r="E2995" t="str">
        <f>"Y"</f>
        <v>Y</v>
      </c>
      <c r="F2995" t="str">
        <f>"חשבוניות מרכזות"</f>
        <v>חשבוניות מרכזות</v>
      </c>
      <c r="G2995" t="str">
        <f>"700065"</f>
        <v>700065</v>
      </c>
      <c r="H2995" t="str">
        <f>"אלתא מערכות בע""מ"</f>
        <v>אלתא מערכות בע"מ</v>
      </c>
      <c r="I2995" t="str">
        <f>"10"</f>
        <v>10</v>
      </c>
      <c r="J2995" t="str">
        <f>"OP-AR01951"</f>
        <v>OP-AR01951</v>
      </c>
      <c r="K2995" t="str">
        <f>"1031B024-001/A - CABLE ASSY W0024"</f>
        <v>1031B024-001/A - CABLE ASSY W0024</v>
      </c>
      <c r="L2995">
        <v>1</v>
      </c>
      <c r="M2995" t="str">
        <f>"יח"</f>
        <v>יח</v>
      </c>
      <c r="N2995">
        <v>1</v>
      </c>
      <c r="O2995" t="str">
        <f>"יח"</f>
        <v>יח</v>
      </c>
      <c r="P2995">
        <v>637.49</v>
      </c>
      <c r="Q2995" t="str">
        <f>"$"</f>
        <v>$</v>
      </c>
      <c r="R2995" t="str">
        <f>"הזמנה"</f>
        <v>הזמנה</v>
      </c>
      <c r="S2995">
        <v>0</v>
      </c>
      <c r="T2995">
        <v>637.49</v>
      </c>
      <c r="U2995">
        <v>0</v>
      </c>
      <c r="V2995">
        <v>637.49</v>
      </c>
      <c r="W2995" t="str">
        <f>"$"</f>
        <v>$</v>
      </c>
      <c r="X2995">
        <v>0</v>
      </c>
      <c r="Y2995">
        <v>0</v>
      </c>
      <c r="Z2995">
        <v>0</v>
      </c>
      <c r="AA2995" t="str">
        <f>"Y"</f>
        <v>Y</v>
      </c>
      <c r="AB2995" t="str">
        <f>"SO20000319"</f>
        <v>SO20000319</v>
      </c>
      <c r="AC2995">
        <v>7</v>
      </c>
      <c r="AD2995" s="1">
        <v>44034</v>
      </c>
      <c r="AE2995" t="str">
        <f>"SH21000169"</f>
        <v>SH21000169</v>
      </c>
      <c r="AF2995" t="str">
        <f>"משלוחים ללקוח"</f>
        <v>משלוחים ללקוח</v>
      </c>
      <c r="AG2995" s="1">
        <v>44224</v>
      </c>
      <c r="AM2995" t="str">
        <f>"10"</f>
        <v>10</v>
      </c>
      <c r="AN2995" t="str">
        <f>"500000"</f>
        <v>500000</v>
      </c>
      <c r="AO2995" t="str">
        <f>"הכנסות  מלקוחות"</f>
        <v>הכנסות  מלקוחות</v>
      </c>
      <c r="AQ2995" t="str">
        <f>"034"</f>
        <v>034</v>
      </c>
      <c r="AR2995">
        <v>0</v>
      </c>
      <c r="AS2995">
        <v>0</v>
      </c>
      <c r="AT2995">
        <v>3.2909999999999999</v>
      </c>
      <c r="AX2995" t="str">
        <f>"E000316766"</f>
        <v>E000316766</v>
      </c>
      <c r="BD2995" t="str">
        <f>"ערן שלו"</f>
        <v>ערן שלו</v>
      </c>
    </row>
    <row r="2996" spans="1:56" x14ac:dyDescent="0.3">
      <c r="A2996" s="1">
        <v>44227</v>
      </c>
      <c r="B2996" t="str">
        <f>"SI216000136"</f>
        <v>SI216000136</v>
      </c>
      <c r="C2996" t="str">
        <f>"PR20000533"</f>
        <v>PR20000533</v>
      </c>
      <c r="D2996" t="str">
        <f>"PR20000533"</f>
        <v>PR20000533</v>
      </c>
      <c r="E2996" t="str">
        <f>"Y"</f>
        <v>Y</v>
      </c>
      <c r="F2996" t="str">
        <f>"חשבוניות מרכזות"</f>
        <v>חשבוניות מרכזות</v>
      </c>
      <c r="G2996" t="str">
        <f>"700065"</f>
        <v>700065</v>
      </c>
      <c r="H2996" t="str">
        <f>"אלתא מערכות בע""מ"</f>
        <v>אלתא מערכות בע"מ</v>
      </c>
      <c r="I2996" t="str">
        <f>"10"</f>
        <v>10</v>
      </c>
      <c r="J2996" t="str">
        <f>"OP-AR01953"</f>
        <v>OP-AR01953</v>
      </c>
      <c r="K2996" t="str">
        <f>"1031B014-001/- - CABLE ASSY W014"</f>
        <v>1031B014-001/- - CABLE ASSY W014</v>
      </c>
      <c r="L2996">
        <v>1</v>
      </c>
      <c r="M2996" t="str">
        <f>"יח"</f>
        <v>יח</v>
      </c>
      <c r="N2996">
        <v>1</v>
      </c>
      <c r="O2996" t="str">
        <f>"יח"</f>
        <v>יח</v>
      </c>
      <c r="P2996" s="2">
        <v>1625.96</v>
      </c>
      <c r="Q2996" t="str">
        <f>"$"</f>
        <v>$</v>
      </c>
      <c r="R2996" t="str">
        <f>"הזמנה"</f>
        <v>הזמנה</v>
      </c>
      <c r="S2996">
        <v>0</v>
      </c>
      <c r="T2996" s="2">
        <v>1625.96</v>
      </c>
      <c r="U2996">
        <v>0</v>
      </c>
      <c r="V2996" s="2">
        <v>1625.96</v>
      </c>
      <c r="W2996" t="str">
        <f>"$"</f>
        <v>$</v>
      </c>
      <c r="X2996">
        <v>0</v>
      </c>
      <c r="Y2996">
        <v>0</v>
      </c>
      <c r="Z2996">
        <v>0</v>
      </c>
      <c r="AA2996" t="str">
        <f>"Y"</f>
        <v>Y</v>
      </c>
      <c r="AB2996" t="str">
        <f>"SO20000319"</f>
        <v>SO20000319</v>
      </c>
      <c r="AC2996">
        <v>9</v>
      </c>
      <c r="AD2996" s="1">
        <v>44034</v>
      </c>
      <c r="AE2996" t="str">
        <f>"SH21000169"</f>
        <v>SH21000169</v>
      </c>
      <c r="AF2996" t="str">
        <f>"משלוחים ללקוח"</f>
        <v>משלוחים ללקוח</v>
      </c>
      <c r="AG2996" s="1">
        <v>44224</v>
      </c>
      <c r="AM2996" t="str">
        <f>"10"</f>
        <v>10</v>
      </c>
      <c r="AN2996" t="str">
        <f>"500000"</f>
        <v>500000</v>
      </c>
      <c r="AO2996" t="str">
        <f>"הכנסות  מלקוחות"</f>
        <v>הכנסות  מלקוחות</v>
      </c>
      <c r="AQ2996" t="str">
        <f>"034"</f>
        <v>034</v>
      </c>
      <c r="AR2996">
        <v>0</v>
      </c>
      <c r="AS2996">
        <v>0</v>
      </c>
      <c r="AT2996">
        <v>3.2909999999999999</v>
      </c>
      <c r="AX2996" t="str">
        <f>"E000316766"</f>
        <v>E000316766</v>
      </c>
      <c r="BD2996" t="str">
        <f>"ערן שלו"</f>
        <v>ערן שלו</v>
      </c>
    </row>
    <row r="2997" spans="1:56" x14ac:dyDescent="0.3">
      <c r="A2997" s="1">
        <v>44227</v>
      </c>
      <c r="B2997" t="str">
        <f>"SI216000135"</f>
        <v>SI216000135</v>
      </c>
      <c r="C2997" t="str">
        <f>"PR20000495"</f>
        <v>PR20000495</v>
      </c>
      <c r="D2997" t="str">
        <f>"PR20000495"</f>
        <v>PR20000495</v>
      </c>
      <c r="E2997" t="str">
        <f>"Y"</f>
        <v>Y</v>
      </c>
      <c r="F2997" t="str">
        <f>"חשבוניות מרכזות"</f>
        <v>חשבוניות מרכזות</v>
      </c>
      <c r="G2997" t="str">
        <f>"700065"</f>
        <v>700065</v>
      </c>
      <c r="H2997" t="str">
        <f>"אלתא מערכות בע""מ"</f>
        <v>אלתא מערכות בע"מ</v>
      </c>
      <c r="I2997" t="str">
        <f>"10"</f>
        <v>10</v>
      </c>
      <c r="J2997" t="str">
        <f>"OP-AR01901"</f>
        <v>OP-AR01901</v>
      </c>
      <c r="K2997" t="str">
        <f>"1039V954-001 - CABLE ASSY WR104"</f>
        <v>1039V954-001 - CABLE ASSY WR104</v>
      </c>
      <c r="L2997">
        <v>7</v>
      </c>
      <c r="M2997" t="str">
        <f>"יח"</f>
        <v>יח</v>
      </c>
      <c r="N2997">
        <v>7</v>
      </c>
      <c r="O2997" t="str">
        <f>"יח"</f>
        <v>יח</v>
      </c>
      <c r="P2997">
        <v>859.14</v>
      </c>
      <c r="Q2997" t="str">
        <f>"$"</f>
        <v>$</v>
      </c>
      <c r="R2997" t="str">
        <f>"הזמנה"</f>
        <v>הזמנה</v>
      </c>
      <c r="S2997">
        <v>0</v>
      </c>
      <c r="T2997" s="2">
        <v>6013.98</v>
      </c>
      <c r="U2997">
        <v>0</v>
      </c>
      <c r="V2997" s="2">
        <v>6013.98</v>
      </c>
      <c r="W2997" t="str">
        <f>"$"</f>
        <v>$</v>
      </c>
      <c r="X2997">
        <v>0</v>
      </c>
      <c r="Y2997">
        <v>0</v>
      </c>
      <c r="Z2997">
        <v>0</v>
      </c>
      <c r="AA2997" t="str">
        <f>"Y"</f>
        <v>Y</v>
      </c>
      <c r="AB2997" t="str">
        <f>"SO20000302"</f>
        <v>SO20000302</v>
      </c>
      <c r="AC2997">
        <v>8</v>
      </c>
      <c r="AD2997" s="1">
        <v>44028</v>
      </c>
      <c r="AE2997" t="str">
        <f>"SH21000172"</f>
        <v>SH21000172</v>
      </c>
      <c r="AF2997" t="str">
        <f>"משלוחים ללקוח"</f>
        <v>משלוחים ללקוח</v>
      </c>
      <c r="AG2997" s="1">
        <v>44224</v>
      </c>
      <c r="AM2997" t="str">
        <f>"10"</f>
        <v>10</v>
      </c>
      <c r="AN2997" t="str">
        <f>"500000"</f>
        <v>500000</v>
      </c>
      <c r="AO2997" t="str">
        <f>"הכנסות  מלקוחות"</f>
        <v>הכנסות  מלקוחות</v>
      </c>
      <c r="AQ2997" t="str">
        <f>"034"</f>
        <v>034</v>
      </c>
      <c r="AR2997">
        <v>0</v>
      </c>
      <c r="AS2997">
        <v>0</v>
      </c>
      <c r="AT2997">
        <v>3.2909999999999999</v>
      </c>
      <c r="AX2997" t="str">
        <f>"E000315867"</f>
        <v>E000315867</v>
      </c>
      <c r="BD2997" t="str">
        <f>"ערן שלו"</f>
        <v>ערן שלו</v>
      </c>
    </row>
    <row r="2998" spans="1:56" x14ac:dyDescent="0.3">
      <c r="A2998" s="1">
        <v>44227</v>
      </c>
      <c r="B2998" t="str">
        <f>"SI216000134"</f>
        <v>SI216000134</v>
      </c>
      <c r="C2998" t="str">
        <f>"PR20000495"</f>
        <v>PR20000495</v>
      </c>
      <c r="D2998" t="str">
        <f>"PR20000495"</f>
        <v>PR20000495</v>
      </c>
      <c r="E2998" t="str">
        <f>"Y"</f>
        <v>Y</v>
      </c>
      <c r="F2998" t="str">
        <f>"חשבוניות מרכזות"</f>
        <v>חשבוניות מרכזות</v>
      </c>
      <c r="G2998" t="str">
        <f>"700065"</f>
        <v>700065</v>
      </c>
      <c r="H2998" t="str">
        <f>"אלתא מערכות בע""מ"</f>
        <v>אלתא מערכות בע"מ</v>
      </c>
      <c r="I2998" t="str">
        <f>"10"</f>
        <v>10</v>
      </c>
      <c r="J2998" t="str">
        <f>"OP-AR01906"</f>
        <v>OP-AR01906</v>
      </c>
      <c r="K2998" t="str">
        <f>"1039V952-001 - CABLE ASSY WR102"</f>
        <v>1039V952-001 - CABLE ASSY WR102</v>
      </c>
      <c r="L2998">
        <v>7</v>
      </c>
      <c r="M2998" t="str">
        <f>"יח"</f>
        <v>יח</v>
      </c>
      <c r="N2998">
        <v>7</v>
      </c>
      <c r="O2998" t="str">
        <f>"יח"</f>
        <v>יח</v>
      </c>
      <c r="P2998">
        <v>944</v>
      </c>
      <c r="Q2998" t="str">
        <f>"$"</f>
        <v>$</v>
      </c>
      <c r="R2998" t="str">
        <f>"הזמנה"</f>
        <v>הזמנה</v>
      </c>
      <c r="S2998">
        <v>0</v>
      </c>
      <c r="T2998" s="2">
        <v>6608</v>
      </c>
      <c r="U2998">
        <v>0</v>
      </c>
      <c r="V2998" s="2">
        <v>6608</v>
      </c>
      <c r="W2998" t="str">
        <f>"$"</f>
        <v>$</v>
      </c>
      <c r="X2998">
        <v>0</v>
      </c>
      <c r="Y2998">
        <v>0</v>
      </c>
      <c r="Z2998">
        <v>0</v>
      </c>
      <c r="AA2998" t="str">
        <f>"Y"</f>
        <v>Y</v>
      </c>
      <c r="AB2998" t="str">
        <f>"SO20000306"</f>
        <v>SO20000306</v>
      </c>
      <c r="AC2998">
        <v>2</v>
      </c>
      <c r="AD2998" s="1">
        <v>44031</v>
      </c>
      <c r="AE2998" t="str">
        <f>"SH21000171"</f>
        <v>SH21000171</v>
      </c>
      <c r="AF2998" t="str">
        <f>"משלוחים ללקוח"</f>
        <v>משלוחים ללקוח</v>
      </c>
      <c r="AG2998" s="1">
        <v>44224</v>
      </c>
      <c r="AM2998" t="str">
        <f>"10"</f>
        <v>10</v>
      </c>
      <c r="AN2998" t="str">
        <f>"500000"</f>
        <v>500000</v>
      </c>
      <c r="AO2998" t="str">
        <f>"הכנסות  מלקוחות"</f>
        <v>הכנסות  מלקוחות</v>
      </c>
      <c r="AQ2998" t="str">
        <f>"034"</f>
        <v>034</v>
      </c>
      <c r="AR2998">
        <v>0</v>
      </c>
      <c r="AS2998">
        <v>0</v>
      </c>
      <c r="AT2998">
        <v>3.2909999999999999</v>
      </c>
      <c r="AX2998" t="str">
        <f>"E000317220"</f>
        <v>E000317220</v>
      </c>
      <c r="BD2998" t="str">
        <f>"ערן שלו"</f>
        <v>ערן שלו</v>
      </c>
    </row>
    <row r="2999" spans="1:56" x14ac:dyDescent="0.3">
      <c r="A2999" s="1">
        <v>44227</v>
      </c>
      <c r="B2999" t="str">
        <f>"SI216000133"</f>
        <v>SI216000133</v>
      </c>
      <c r="C2999" t="str">
        <f>"PR20000066"</f>
        <v>PR20000066</v>
      </c>
      <c r="D2999" t="str">
        <f>"PR20000066"</f>
        <v>PR20000066</v>
      </c>
      <c r="E2999" t="str">
        <f>"Y"</f>
        <v>Y</v>
      </c>
      <c r="F2999" t="str">
        <f>"חשבוניות מרכזות"</f>
        <v>חשבוניות מרכזות</v>
      </c>
      <c r="G2999" t="str">
        <f>"700065"</f>
        <v>700065</v>
      </c>
      <c r="H2999" t="str">
        <f>"אלתא מערכות בע""מ"</f>
        <v>אלתא מערכות בע"מ</v>
      </c>
      <c r="I2999" t="str">
        <f>"10"</f>
        <v>10</v>
      </c>
      <c r="J2999" t="str">
        <f>"OP-AR01630"</f>
        <v>OP-AR01630</v>
      </c>
      <c r="K2999" t="str">
        <f>"1041G112-001 W112-ANT RH SIDE FSC 30V PWR-cust"</f>
        <v>1041G112-001 W112-ANT RH SIDE FSC 30V PWR-cust</v>
      </c>
      <c r="L2999">
        <v>2</v>
      </c>
      <c r="M2999" t="str">
        <f>"יח"</f>
        <v>יח</v>
      </c>
      <c r="N2999">
        <v>2</v>
      </c>
      <c r="O2999" t="str">
        <f>"יח"</f>
        <v>יח</v>
      </c>
      <c r="P2999" s="2">
        <v>1571.24</v>
      </c>
      <c r="Q2999" t="str">
        <f>"$"</f>
        <v>$</v>
      </c>
      <c r="R2999" t="str">
        <f>"הזמנה"</f>
        <v>הזמנה</v>
      </c>
      <c r="S2999">
        <v>0</v>
      </c>
      <c r="T2999" s="2">
        <v>3142.48</v>
      </c>
      <c r="U2999">
        <v>0</v>
      </c>
      <c r="V2999" s="2">
        <v>3142.48</v>
      </c>
      <c r="W2999" t="str">
        <f>"$"</f>
        <v>$</v>
      </c>
      <c r="X2999">
        <v>0</v>
      </c>
      <c r="Y2999">
        <v>0</v>
      </c>
      <c r="Z2999">
        <v>0</v>
      </c>
      <c r="AA2999" t="str">
        <f>"Y"</f>
        <v>Y</v>
      </c>
      <c r="AB2999" t="str">
        <f>"SO20000062"</f>
        <v>SO20000062</v>
      </c>
      <c r="AC2999">
        <v>8</v>
      </c>
      <c r="AD2999" s="1">
        <v>43870</v>
      </c>
      <c r="AE2999" t="str">
        <f>"SH21000177"</f>
        <v>SH21000177</v>
      </c>
      <c r="AF2999" t="str">
        <f>"משלוחים ללקוח"</f>
        <v>משלוחים ללקוח</v>
      </c>
      <c r="AG2999" s="1">
        <v>44224</v>
      </c>
      <c r="AM2999" t="str">
        <f>"10"</f>
        <v>10</v>
      </c>
      <c r="AN2999" t="str">
        <f>"500000"</f>
        <v>500000</v>
      </c>
      <c r="AO2999" t="str">
        <f>"הכנסות  מלקוחות"</f>
        <v>הכנסות  מלקוחות</v>
      </c>
      <c r="AQ2999" t="str">
        <f>"034"</f>
        <v>034</v>
      </c>
      <c r="AR2999">
        <v>0</v>
      </c>
      <c r="AS2999">
        <v>0</v>
      </c>
      <c r="AT2999">
        <v>3.2909999999999999</v>
      </c>
      <c r="AX2999" t="str">
        <f>"E000305063"</f>
        <v>E000305063</v>
      </c>
      <c r="BD2999" t="str">
        <f>"ערן שלו"</f>
        <v>ערן שלו</v>
      </c>
    </row>
    <row r="3000" spans="1:56" x14ac:dyDescent="0.3">
      <c r="A3000" s="1">
        <v>44227</v>
      </c>
      <c r="B3000" t="str">
        <f>"SI216000133"</f>
        <v>SI216000133</v>
      </c>
      <c r="C3000" t="str">
        <f>"PR20000066"</f>
        <v>PR20000066</v>
      </c>
      <c r="D3000" t="str">
        <f>"PR20000066"</f>
        <v>PR20000066</v>
      </c>
      <c r="E3000" t="str">
        <f>"Y"</f>
        <v>Y</v>
      </c>
      <c r="F3000" t="str">
        <f>"חשבוניות מרכזות"</f>
        <v>חשבוניות מרכזות</v>
      </c>
      <c r="G3000" t="str">
        <f>"700065"</f>
        <v>700065</v>
      </c>
      <c r="H3000" t="str">
        <f>"אלתא מערכות בע""מ"</f>
        <v>אלתא מערכות בע"מ</v>
      </c>
      <c r="I3000" t="str">
        <f>"10"</f>
        <v>10</v>
      </c>
      <c r="J3000" t="str">
        <f>"OP-AR01631"</f>
        <v>OP-AR01631</v>
      </c>
      <c r="K3000" t="str">
        <f>"1041G113-001 W113-ANT LH SIDE FSC 30V PWR-cust"</f>
        <v>1041G113-001 W113-ANT LH SIDE FSC 30V PWR-cust</v>
      </c>
      <c r="L3000">
        <v>1</v>
      </c>
      <c r="M3000" t="str">
        <f>"יח"</f>
        <v>יח</v>
      </c>
      <c r="N3000">
        <v>1</v>
      </c>
      <c r="O3000" t="str">
        <f>"יח"</f>
        <v>יח</v>
      </c>
      <c r="P3000" s="2">
        <v>1596.18</v>
      </c>
      <c r="Q3000" t="str">
        <f>"$"</f>
        <v>$</v>
      </c>
      <c r="R3000" t="str">
        <f>"הזמנה"</f>
        <v>הזמנה</v>
      </c>
      <c r="S3000">
        <v>0</v>
      </c>
      <c r="T3000" s="2">
        <v>1596.18</v>
      </c>
      <c r="U3000">
        <v>0</v>
      </c>
      <c r="V3000" s="2">
        <v>1596.18</v>
      </c>
      <c r="W3000" t="str">
        <f>"$"</f>
        <v>$</v>
      </c>
      <c r="X3000">
        <v>0</v>
      </c>
      <c r="Y3000">
        <v>0</v>
      </c>
      <c r="Z3000">
        <v>0</v>
      </c>
      <c r="AA3000" t="str">
        <f>"Y"</f>
        <v>Y</v>
      </c>
      <c r="AB3000" t="str">
        <f>"SO20000062"</f>
        <v>SO20000062</v>
      </c>
      <c r="AC3000">
        <v>10</v>
      </c>
      <c r="AD3000" s="1">
        <v>43870</v>
      </c>
      <c r="AE3000" t="str">
        <f>"SH21000177"</f>
        <v>SH21000177</v>
      </c>
      <c r="AF3000" t="str">
        <f>"משלוחים ללקוח"</f>
        <v>משלוחים ללקוח</v>
      </c>
      <c r="AG3000" s="1">
        <v>44224</v>
      </c>
      <c r="AM3000" t="str">
        <f>"10"</f>
        <v>10</v>
      </c>
      <c r="AN3000" t="str">
        <f>"500000"</f>
        <v>500000</v>
      </c>
      <c r="AO3000" t="str">
        <f>"הכנסות  מלקוחות"</f>
        <v>הכנסות  מלקוחות</v>
      </c>
      <c r="AQ3000" t="str">
        <f>"034"</f>
        <v>034</v>
      </c>
      <c r="AR3000">
        <v>0</v>
      </c>
      <c r="AS3000">
        <v>0</v>
      </c>
      <c r="AT3000">
        <v>3.2909999999999999</v>
      </c>
      <c r="AX3000" t="str">
        <f>"E000305063"</f>
        <v>E000305063</v>
      </c>
      <c r="BD3000" t="str">
        <f>"ערן שלו"</f>
        <v>ערן שלו</v>
      </c>
    </row>
    <row r="3001" spans="1:56" x14ac:dyDescent="0.3">
      <c r="A3001" s="1">
        <v>44227</v>
      </c>
      <c r="B3001" t="str">
        <f>"SI216000132"</f>
        <v>SI216000132</v>
      </c>
      <c r="C3001" t="str">
        <f>"PR20000524"</f>
        <v>PR20000524</v>
      </c>
      <c r="E3001" t="str">
        <f>"Y"</f>
        <v>Y</v>
      </c>
      <c r="F3001" t="str">
        <f>"חשבוניות מרכזות"</f>
        <v>חשבוניות מרכזות</v>
      </c>
      <c r="G3001" t="str">
        <f>"700065"</f>
        <v>700065</v>
      </c>
      <c r="H3001" t="str">
        <f>"אלתא מערכות בע""מ"</f>
        <v>אלתא מערכות בע"מ</v>
      </c>
      <c r="I3001" t="str">
        <f>"10"</f>
        <v>10</v>
      </c>
      <c r="J3001" t="str">
        <f>"OP-AR01654"</f>
        <v>OP-AR01654</v>
      </c>
      <c r="K3001" t="str">
        <f>"1041G352-001 W352 - SHELTER AND CU RACK TO ANT"</f>
        <v>1041G352-001 W352 - SHELTER AND CU RACK TO ANT</v>
      </c>
      <c r="L3001">
        <v>1</v>
      </c>
      <c r="M3001" t="str">
        <f>"יח"</f>
        <v>יח</v>
      </c>
      <c r="N3001">
        <v>1</v>
      </c>
      <c r="O3001" t="str">
        <f>"יח"</f>
        <v>יח</v>
      </c>
      <c r="P3001" s="2">
        <v>3183.15</v>
      </c>
      <c r="Q3001" t="str">
        <f>"$"</f>
        <v>$</v>
      </c>
      <c r="R3001" t="str">
        <f>"הזמנה"</f>
        <v>הזמנה</v>
      </c>
      <c r="S3001">
        <v>0</v>
      </c>
      <c r="T3001" s="2">
        <v>3183.15</v>
      </c>
      <c r="U3001">
        <v>0</v>
      </c>
      <c r="V3001" s="2">
        <v>3183.15</v>
      </c>
      <c r="W3001" t="str">
        <f>"$"</f>
        <v>$</v>
      </c>
      <c r="X3001">
        <v>0</v>
      </c>
      <c r="Y3001">
        <v>0</v>
      </c>
      <c r="Z3001">
        <v>0</v>
      </c>
      <c r="AA3001" t="str">
        <f>"Y"</f>
        <v>Y</v>
      </c>
      <c r="AB3001" t="str">
        <f>"SO20000329"</f>
        <v>SO20000329</v>
      </c>
      <c r="AC3001">
        <v>5</v>
      </c>
      <c r="AD3001" s="1">
        <v>44035</v>
      </c>
      <c r="AE3001" t="str">
        <f>"SH21000170"</f>
        <v>SH21000170</v>
      </c>
      <c r="AF3001" t="str">
        <f>"משלוחים ללקוח"</f>
        <v>משלוחים ללקוח</v>
      </c>
      <c r="AG3001" s="1">
        <v>44224</v>
      </c>
      <c r="AM3001" t="str">
        <f>"10"</f>
        <v>10</v>
      </c>
      <c r="AN3001" t="str">
        <f>"500000"</f>
        <v>500000</v>
      </c>
      <c r="AO3001" t="str">
        <f>"הכנסות  מלקוחות"</f>
        <v>הכנסות  מלקוחות</v>
      </c>
      <c r="AQ3001" t="str">
        <f>"034"</f>
        <v>034</v>
      </c>
      <c r="AR3001">
        <v>0</v>
      </c>
      <c r="AS3001">
        <v>0</v>
      </c>
      <c r="AT3001">
        <v>3.2909999999999999</v>
      </c>
      <c r="AX3001" t="str">
        <f>"E000316426"</f>
        <v>E000316426</v>
      </c>
      <c r="BD3001" t="str">
        <f>"ערן שלו"</f>
        <v>ערן שלו</v>
      </c>
    </row>
    <row r="3002" spans="1:56" x14ac:dyDescent="0.3">
      <c r="A3002" s="1">
        <v>44227</v>
      </c>
      <c r="B3002" t="str">
        <f>"SI216000131"</f>
        <v>SI216000131</v>
      </c>
      <c r="C3002" t="str">
        <f>"PR20000570"</f>
        <v>PR20000570</v>
      </c>
      <c r="D3002" t="str">
        <f>"PR20000570"</f>
        <v>PR20000570</v>
      </c>
      <c r="E3002" t="str">
        <f>"Y"</f>
        <v>Y</v>
      </c>
      <c r="F3002" t="str">
        <f>"חשבוניות מרכזות"</f>
        <v>חשבוניות מרכזות</v>
      </c>
      <c r="G3002" t="str">
        <f>"700065"</f>
        <v>700065</v>
      </c>
      <c r="H3002" t="str">
        <f>"אלתא מערכות בע""מ"</f>
        <v>אלתא מערכות בע"מ</v>
      </c>
      <c r="I3002" t="str">
        <f>"10"</f>
        <v>10</v>
      </c>
      <c r="J3002" t="str">
        <f>"OP-AR01781"</f>
        <v>OP-AR01781</v>
      </c>
      <c r="K3002" t="str">
        <f>"1036U472-001 WP472 - PYLON RIGHT SW2"</f>
        <v>1036U472-001 WP472 - PYLON RIGHT SW2</v>
      </c>
      <c r="L3002">
        <v>4</v>
      </c>
      <c r="M3002" t="str">
        <f>"יח"</f>
        <v>יח</v>
      </c>
      <c r="N3002">
        <v>4</v>
      </c>
      <c r="O3002" t="str">
        <f>"יח"</f>
        <v>יח</v>
      </c>
      <c r="P3002">
        <v>608.89</v>
      </c>
      <c r="Q3002" t="str">
        <f>"$"</f>
        <v>$</v>
      </c>
      <c r="R3002" t="str">
        <f>"הזמנה"</f>
        <v>הזמנה</v>
      </c>
      <c r="S3002">
        <v>0</v>
      </c>
      <c r="T3002" s="2">
        <v>2435.56</v>
      </c>
      <c r="U3002">
        <v>0</v>
      </c>
      <c r="V3002" s="2">
        <v>2435.56</v>
      </c>
      <c r="W3002" t="str">
        <f>"$"</f>
        <v>$</v>
      </c>
      <c r="X3002">
        <v>0</v>
      </c>
      <c r="Y3002">
        <v>0</v>
      </c>
      <c r="Z3002">
        <v>0</v>
      </c>
      <c r="AA3002" t="str">
        <f>"Y"</f>
        <v>Y</v>
      </c>
      <c r="AB3002" t="str">
        <f>"SO20000367"</f>
        <v>SO20000367</v>
      </c>
      <c r="AC3002">
        <v>2</v>
      </c>
      <c r="AD3002" s="1">
        <v>44067</v>
      </c>
      <c r="AE3002" t="str">
        <f>"SH21000168"</f>
        <v>SH21000168</v>
      </c>
      <c r="AF3002" t="str">
        <f>"משלוחים ללקוח"</f>
        <v>משלוחים ללקוח</v>
      </c>
      <c r="AG3002" s="1">
        <v>44224</v>
      </c>
      <c r="AM3002" t="str">
        <f>"10"</f>
        <v>10</v>
      </c>
      <c r="AN3002" t="str">
        <f>"500000"</f>
        <v>500000</v>
      </c>
      <c r="AO3002" t="str">
        <f>"הכנסות  מלקוחות"</f>
        <v>הכנסות  מלקוחות</v>
      </c>
      <c r="AQ3002" t="str">
        <f>"034"</f>
        <v>034</v>
      </c>
      <c r="AR3002">
        <v>0</v>
      </c>
      <c r="AS3002">
        <v>0</v>
      </c>
      <c r="AT3002">
        <v>3.2909999999999999</v>
      </c>
      <c r="AX3002" t="str">
        <f>"E000319026"</f>
        <v>E000319026</v>
      </c>
      <c r="BD3002" t="str">
        <f>"ערן שלו"</f>
        <v>ערן שלו</v>
      </c>
    </row>
    <row r="3003" spans="1:56" x14ac:dyDescent="0.3">
      <c r="A3003" s="1">
        <v>44227</v>
      </c>
      <c r="B3003" t="str">
        <f>"SI216000131"</f>
        <v>SI216000131</v>
      </c>
      <c r="C3003" t="str">
        <f>"PR20000570"</f>
        <v>PR20000570</v>
      </c>
      <c r="D3003" t="str">
        <f>"PR20000570"</f>
        <v>PR20000570</v>
      </c>
      <c r="E3003" t="str">
        <f>"Y"</f>
        <v>Y</v>
      </c>
      <c r="F3003" t="str">
        <f>"חשבוניות מרכזות"</f>
        <v>חשבוניות מרכזות</v>
      </c>
      <c r="G3003" t="str">
        <f>"700065"</f>
        <v>700065</v>
      </c>
      <c r="H3003" t="str">
        <f>"אלתא מערכות בע""מ"</f>
        <v>אלתא מערכות בע"מ</v>
      </c>
      <c r="I3003" t="str">
        <f>"10"</f>
        <v>10</v>
      </c>
      <c r="J3003" t="str">
        <f>"OP-AR01758"</f>
        <v>OP-AR01758</v>
      </c>
      <c r="K3003" t="str">
        <f>"1039V368-001 WP368 - CONTROL LDE TO LEFT FRONT J"</f>
        <v>1039V368-001 WP368 - CONTROL LDE TO LEFT FRONT J</v>
      </c>
      <c r="L3003">
        <v>4</v>
      </c>
      <c r="M3003" t="str">
        <f>"יח"</f>
        <v>יח</v>
      </c>
      <c r="N3003">
        <v>4</v>
      </c>
      <c r="O3003" t="str">
        <f>"יח"</f>
        <v>יח</v>
      </c>
      <c r="P3003">
        <v>752.69</v>
      </c>
      <c r="Q3003" t="str">
        <f>"$"</f>
        <v>$</v>
      </c>
      <c r="R3003" t="str">
        <f>"הזמנה"</f>
        <v>הזמנה</v>
      </c>
      <c r="S3003">
        <v>0</v>
      </c>
      <c r="T3003" s="2">
        <v>3010.76</v>
      </c>
      <c r="U3003">
        <v>0</v>
      </c>
      <c r="V3003" s="2">
        <v>3010.76</v>
      </c>
      <c r="W3003" t="str">
        <f>"$"</f>
        <v>$</v>
      </c>
      <c r="X3003">
        <v>0</v>
      </c>
      <c r="Y3003">
        <v>0</v>
      </c>
      <c r="Z3003">
        <v>0</v>
      </c>
      <c r="AA3003" t="str">
        <f>"Y"</f>
        <v>Y</v>
      </c>
      <c r="AB3003" t="str">
        <f>"SO20000367"</f>
        <v>SO20000367</v>
      </c>
      <c r="AC3003">
        <v>4</v>
      </c>
      <c r="AD3003" s="1">
        <v>44067</v>
      </c>
      <c r="AE3003" t="str">
        <f>"SH21000168"</f>
        <v>SH21000168</v>
      </c>
      <c r="AF3003" t="str">
        <f>"משלוחים ללקוח"</f>
        <v>משלוחים ללקוח</v>
      </c>
      <c r="AG3003" s="1">
        <v>44224</v>
      </c>
      <c r="AM3003" t="str">
        <f>"10"</f>
        <v>10</v>
      </c>
      <c r="AN3003" t="str">
        <f>"500000"</f>
        <v>500000</v>
      </c>
      <c r="AO3003" t="str">
        <f>"הכנסות  מלקוחות"</f>
        <v>הכנסות  מלקוחות</v>
      </c>
      <c r="AQ3003" t="str">
        <f>"034"</f>
        <v>034</v>
      </c>
      <c r="AR3003">
        <v>0</v>
      </c>
      <c r="AS3003">
        <v>0</v>
      </c>
      <c r="AT3003">
        <v>3.2909999999999999</v>
      </c>
      <c r="AX3003" t="str">
        <f>"E000319026"</f>
        <v>E000319026</v>
      </c>
      <c r="BD3003" t="str">
        <f>"ערן שלו"</f>
        <v>ערן שלו</v>
      </c>
    </row>
    <row r="3004" spans="1:56" x14ac:dyDescent="0.3">
      <c r="A3004" s="1">
        <v>44227</v>
      </c>
      <c r="B3004" t="str">
        <f>"SI216000131"</f>
        <v>SI216000131</v>
      </c>
      <c r="C3004" t="str">
        <f>"PR20000570"</f>
        <v>PR20000570</v>
      </c>
      <c r="D3004" t="str">
        <f>"PR20000570"</f>
        <v>PR20000570</v>
      </c>
      <c r="E3004" t="str">
        <f>"Y"</f>
        <v>Y</v>
      </c>
      <c r="F3004" t="str">
        <f>"חשבוניות מרכזות"</f>
        <v>חשבוניות מרכזות</v>
      </c>
      <c r="G3004" t="str">
        <f>"700065"</f>
        <v>700065</v>
      </c>
      <c r="H3004" t="str">
        <f>"אלתא מערכות בע""מ"</f>
        <v>אלתא מערכות בע"מ</v>
      </c>
      <c r="I3004" t="str">
        <f>"10"</f>
        <v>10</v>
      </c>
      <c r="J3004" t="str">
        <f>"OP-AR01759"</f>
        <v>OP-AR01759</v>
      </c>
      <c r="K3004" t="str">
        <f>"1039V367-001 WP367 - CONTROL LDE TO RIGHT FRONT"</f>
        <v>1039V367-001 WP367 - CONTROL LDE TO RIGHT FRONT</v>
      </c>
      <c r="L3004">
        <v>4</v>
      </c>
      <c r="M3004" t="str">
        <f>"יח"</f>
        <v>יח</v>
      </c>
      <c r="N3004">
        <v>4</v>
      </c>
      <c r="O3004" t="str">
        <f>"יח"</f>
        <v>יח</v>
      </c>
      <c r="P3004">
        <v>653.37</v>
      </c>
      <c r="Q3004" t="str">
        <f>"$"</f>
        <v>$</v>
      </c>
      <c r="R3004" t="str">
        <f>"הזמנה"</f>
        <v>הזמנה</v>
      </c>
      <c r="S3004">
        <v>0</v>
      </c>
      <c r="T3004" s="2">
        <v>2613.48</v>
      </c>
      <c r="U3004">
        <v>0</v>
      </c>
      <c r="V3004" s="2">
        <v>2613.48</v>
      </c>
      <c r="W3004" t="str">
        <f>"$"</f>
        <v>$</v>
      </c>
      <c r="X3004">
        <v>0</v>
      </c>
      <c r="Y3004">
        <v>0</v>
      </c>
      <c r="Z3004">
        <v>0</v>
      </c>
      <c r="AA3004" t="str">
        <f>"Y"</f>
        <v>Y</v>
      </c>
      <c r="AB3004" t="str">
        <f>"SO20000367"</f>
        <v>SO20000367</v>
      </c>
      <c r="AC3004">
        <v>5</v>
      </c>
      <c r="AD3004" s="1">
        <v>44067</v>
      </c>
      <c r="AE3004" t="str">
        <f>"SH21000168"</f>
        <v>SH21000168</v>
      </c>
      <c r="AF3004" t="str">
        <f>"משלוחים ללקוח"</f>
        <v>משלוחים ללקוח</v>
      </c>
      <c r="AG3004" s="1">
        <v>44224</v>
      </c>
      <c r="AM3004" t="str">
        <f>"10"</f>
        <v>10</v>
      </c>
      <c r="AN3004" t="str">
        <f>"500000"</f>
        <v>500000</v>
      </c>
      <c r="AO3004" t="str">
        <f>"הכנסות  מלקוחות"</f>
        <v>הכנסות  מלקוחות</v>
      </c>
      <c r="AQ3004" t="str">
        <f>"034"</f>
        <v>034</v>
      </c>
      <c r="AR3004">
        <v>0</v>
      </c>
      <c r="AS3004">
        <v>0</v>
      </c>
      <c r="AT3004">
        <v>3.2909999999999999</v>
      </c>
      <c r="AX3004" t="str">
        <f>"E000319026"</f>
        <v>E000319026</v>
      </c>
      <c r="BD3004" t="str">
        <f>"ערן שלו"</f>
        <v>ערן שלו</v>
      </c>
    </row>
    <row r="3005" spans="1:56" x14ac:dyDescent="0.3">
      <c r="A3005" s="1">
        <v>44227</v>
      </c>
      <c r="B3005" t="str">
        <f>"SI216000131"</f>
        <v>SI216000131</v>
      </c>
      <c r="C3005" t="str">
        <f>"PR20000570"</f>
        <v>PR20000570</v>
      </c>
      <c r="D3005" t="str">
        <f>"PR20000570"</f>
        <v>PR20000570</v>
      </c>
      <c r="E3005" t="str">
        <f>"Y"</f>
        <v>Y</v>
      </c>
      <c r="F3005" t="str">
        <f>"חשבוניות מרכזות"</f>
        <v>חשבוניות מרכזות</v>
      </c>
      <c r="G3005" t="str">
        <f>"700065"</f>
        <v>700065</v>
      </c>
      <c r="H3005" t="str">
        <f>"אלתא מערכות בע""מ"</f>
        <v>אלתא מערכות בע"מ</v>
      </c>
      <c r="I3005" t="str">
        <f>"10"</f>
        <v>10</v>
      </c>
      <c r="J3005" t="str">
        <f>"OP-AR01772"</f>
        <v>OP-AR01772</v>
      </c>
      <c r="K3005" t="str">
        <f>"1039V364-001 WP364 - CONTROL LDE TO LEFT REAR JA"</f>
        <v>1039V364-001 WP364 - CONTROL LDE TO LEFT REAR JA</v>
      </c>
      <c r="L3005">
        <v>4</v>
      </c>
      <c r="M3005" t="str">
        <f>"יח"</f>
        <v>יח</v>
      </c>
      <c r="N3005">
        <v>4</v>
      </c>
      <c r="O3005" t="str">
        <f>"יח"</f>
        <v>יח</v>
      </c>
      <c r="P3005">
        <v>581.74</v>
      </c>
      <c r="Q3005" t="str">
        <f>"$"</f>
        <v>$</v>
      </c>
      <c r="R3005" t="str">
        <f>"הזמנה"</f>
        <v>הזמנה</v>
      </c>
      <c r="S3005">
        <v>0</v>
      </c>
      <c r="T3005" s="2">
        <v>2326.96</v>
      </c>
      <c r="U3005">
        <v>0</v>
      </c>
      <c r="V3005" s="2">
        <v>2326.96</v>
      </c>
      <c r="W3005" t="str">
        <f>"$"</f>
        <v>$</v>
      </c>
      <c r="X3005">
        <v>0</v>
      </c>
      <c r="Y3005">
        <v>0</v>
      </c>
      <c r="Z3005">
        <v>0</v>
      </c>
      <c r="AA3005" t="str">
        <f>"Y"</f>
        <v>Y</v>
      </c>
      <c r="AB3005" t="str">
        <f>"SO20000367"</f>
        <v>SO20000367</v>
      </c>
      <c r="AC3005">
        <v>13</v>
      </c>
      <c r="AD3005" s="1">
        <v>44067</v>
      </c>
      <c r="AE3005" t="str">
        <f>"SH21000168"</f>
        <v>SH21000168</v>
      </c>
      <c r="AF3005" t="str">
        <f>"משלוחים ללקוח"</f>
        <v>משלוחים ללקוח</v>
      </c>
      <c r="AG3005" s="1">
        <v>44224</v>
      </c>
      <c r="AM3005" t="str">
        <f>"10"</f>
        <v>10</v>
      </c>
      <c r="AN3005" t="str">
        <f>"500000"</f>
        <v>500000</v>
      </c>
      <c r="AO3005" t="str">
        <f>"הכנסות  מלקוחות"</f>
        <v>הכנסות  מלקוחות</v>
      </c>
      <c r="AQ3005" t="str">
        <f>"034"</f>
        <v>034</v>
      </c>
      <c r="AR3005">
        <v>0</v>
      </c>
      <c r="AS3005">
        <v>0</v>
      </c>
      <c r="AT3005">
        <v>3.2909999999999999</v>
      </c>
      <c r="AX3005" t="str">
        <f>"E000319026"</f>
        <v>E000319026</v>
      </c>
      <c r="BD3005" t="str">
        <f>"ערן שלו"</f>
        <v>ערן שלו</v>
      </c>
    </row>
    <row r="3006" spans="1:56" x14ac:dyDescent="0.3">
      <c r="A3006" s="1">
        <v>44227</v>
      </c>
      <c r="B3006" t="str">
        <f>"SI216000130"</f>
        <v>SI216000130</v>
      </c>
      <c r="C3006" t="str">
        <f>"PR20000779"</f>
        <v>PR20000779</v>
      </c>
      <c r="D3006" t="str">
        <f>"PR20000779"</f>
        <v>PR20000779</v>
      </c>
      <c r="E3006" t="str">
        <f>"Y"</f>
        <v>Y</v>
      </c>
      <c r="F3006" t="str">
        <f>"חשבוניות מרכזות"</f>
        <v>חשבוניות מרכזות</v>
      </c>
      <c r="G3006" t="str">
        <f>"700065"</f>
        <v>700065</v>
      </c>
      <c r="H3006" t="str">
        <f>"אלתא מערכות בע""מ"</f>
        <v>אלתא מערכות בע"מ</v>
      </c>
      <c r="I3006" t="str">
        <f>"10"</f>
        <v>10</v>
      </c>
      <c r="J3006" t="str">
        <f>"OP-AR02064"</f>
        <v>OP-AR02064</v>
      </c>
      <c r="K3006" t="str">
        <f>"1017F131-001   CABLE ASSY EXTW1"</f>
        <v>1017F131-001   CABLE ASSY EXTW1</v>
      </c>
      <c r="L3006">
        <v>1</v>
      </c>
      <c r="M3006" t="str">
        <f>"יח"</f>
        <v>יח</v>
      </c>
      <c r="N3006">
        <v>1</v>
      </c>
      <c r="O3006" t="str">
        <f>"יח"</f>
        <v>יח</v>
      </c>
      <c r="P3006">
        <v>212.41</v>
      </c>
      <c r="Q3006" t="str">
        <f>"$"</f>
        <v>$</v>
      </c>
      <c r="R3006" t="str">
        <f>"הזמנה"</f>
        <v>הזמנה</v>
      </c>
      <c r="S3006">
        <v>0</v>
      </c>
      <c r="T3006">
        <v>212.41</v>
      </c>
      <c r="U3006">
        <v>0</v>
      </c>
      <c r="V3006">
        <v>212.41</v>
      </c>
      <c r="W3006" t="str">
        <f>"$"</f>
        <v>$</v>
      </c>
      <c r="X3006">
        <v>0</v>
      </c>
      <c r="Y3006">
        <v>0</v>
      </c>
      <c r="Z3006">
        <v>0</v>
      </c>
      <c r="AA3006" t="str">
        <f>"Y"</f>
        <v>Y</v>
      </c>
      <c r="AB3006" t="str">
        <f>"SO20000496"</f>
        <v>SO20000496</v>
      </c>
      <c r="AC3006">
        <v>3</v>
      </c>
      <c r="AD3006" s="1">
        <v>44138</v>
      </c>
      <c r="AE3006" t="str">
        <f>"SH21000176"</f>
        <v>SH21000176</v>
      </c>
      <c r="AF3006" t="str">
        <f>"משלוחים ללקוח"</f>
        <v>משלוחים ללקוח</v>
      </c>
      <c r="AG3006" s="1">
        <v>44224</v>
      </c>
      <c r="AM3006" t="str">
        <f>"10"</f>
        <v>10</v>
      </c>
      <c r="AN3006" t="str">
        <f>"500000"</f>
        <v>500000</v>
      </c>
      <c r="AO3006" t="str">
        <f>"הכנסות  מלקוחות"</f>
        <v>הכנסות  מלקוחות</v>
      </c>
      <c r="AQ3006" t="str">
        <f>"034"</f>
        <v>034</v>
      </c>
      <c r="AR3006">
        <v>0</v>
      </c>
      <c r="AS3006">
        <v>0</v>
      </c>
      <c r="AT3006">
        <v>3.2909999999999999</v>
      </c>
      <c r="AX3006" t="str">
        <f>"E000323819"</f>
        <v>E000323819</v>
      </c>
      <c r="BD3006" t="str">
        <f>"ערן שלו"</f>
        <v>ערן שלו</v>
      </c>
    </row>
    <row r="3007" spans="1:56" x14ac:dyDescent="0.3">
      <c r="A3007" s="1">
        <v>44227</v>
      </c>
      <c r="B3007" t="str">
        <f>"SI216000129"</f>
        <v>SI216000129</v>
      </c>
      <c r="C3007" t="str">
        <f>"PR20000667"</f>
        <v>PR20000667</v>
      </c>
      <c r="E3007" t="str">
        <f>"Y"</f>
        <v>Y</v>
      </c>
      <c r="F3007" t="str">
        <f>"חשבוניות מרכזות"</f>
        <v>חשבוניות מרכזות</v>
      </c>
      <c r="G3007" t="str">
        <f>"700065"</f>
        <v>700065</v>
      </c>
      <c r="H3007" t="str">
        <f>"אלתא מערכות בע""מ"</f>
        <v>אלתא מערכות בע"מ</v>
      </c>
      <c r="I3007" t="str">
        <f>"10"</f>
        <v>10</v>
      </c>
      <c r="J3007" t="str">
        <f>"OP-AR02037"</f>
        <v>OP-AR02037</v>
      </c>
      <c r="K3007" t="str">
        <f>"9003F004-001/A  HARNESS W9604 - ANT PRESS PNL AD"</f>
        <v>9003F004-001/A  HARNESS W9604 - ANT PRESS PNL AD</v>
      </c>
      <c r="L3007">
        <v>1</v>
      </c>
      <c r="M3007" t="str">
        <f>"יח"</f>
        <v>יח</v>
      </c>
      <c r="N3007">
        <v>1</v>
      </c>
      <c r="O3007" t="str">
        <f>"יח"</f>
        <v>יח</v>
      </c>
      <c r="P3007">
        <v>853.53</v>
      </c>
      <c r="Q3007" t="str">
        <f>"$"</f>
        <v>$</v>
      </c>
      <c r="R3007" t="str">
        <f>"הזמנה"</f>
        <v>הזמנה</v>
      </c>
      <c r="S3007">
        <v>0</v>
      </c>
      <c r="T3007">
        <v>853.53</v>
      </c>
      <c r="U3007">
        <v>0</v>
      </c>
      <c r="V3007">
        <v>853.53</v>
      </c>
      <c r="W3007" t="str">
        <f>"$"</f>
        <v>$</v>
      </c>
      <c r="X3007">
        <v>0</v>
      </c>
      <c r="Y3007">
        <v>0</v>
      </c>
      <c r="Z3007">
        <v>0</v>
      </c>
      <c r="AA3007" t="str">
        <f>"Y"</f>
        <v>Y</v>
      </c>
      <c r="AB3007" t="str">
        <f>"SO20000431"</f>
        <v>SO20000431</v>
      </c>
      <c r="AC3007">
        <v>2</v>
      </c>
      <c r="AD3007" s="1">
        <v>44097</v>
      </c>
      <c r="AE3007" t="str">
        <f>"SH21000175"</f>
        <v>SH21000175</v>
      </c>
      <c r="AF3007" t="str">
        <f>"משלוחים ללקוח"</f>
        <v>משלוחים ללקוח</v>
      </c>
      <c r="AG3007" s="1">
        <v>44224</v>
      </c>
      <c r="AM3007" t="str">
        <f>"10"</f>
        <v>10</v>
      </c>
      <c r="AN3007" t="str">
        <f>"500000"</f>
        <v>500000</v>
      </c>
      <c r="AO3007" t="str">
        <f>"הכנסות  מלקוחות"</f>
        <v>הכנסות  מלקוחות</v>
      </c>
      <c r="AQ3007" t="str">
        <f>"034"</f>
        <v>034</v>
      </c>
      <c r="AR3007">
        <v>0</v>
      </c>
      <c r="AS3007">
        <v>0</v>
      </c>
      <c r="AT3007">
        <v>3.2909999999999999</v>
      </c>
      <c r="AX3007" t="str">
        <f>"E000321546"</f>
        <v>E000321546</v>
      </c>
      <c r="BD3007" t="str">
        <f>"ערן שלו"</f>
        <v>ערן שלו</v>
      </c>
    </row>
    <row r="3008" spans="1:56" x14ac:dyDescent="0.3">
      <c r="A3008" s="1">
        <v>44225</v>
      </c>
      <c r="B3008" t="str">
        <f>"SI216000093"</f>
        <v>SI216000093</v>
      </c>
      <c r="C3008" t="str">
        <f>"PR20000904"</f>
        <v>PR20000904</v>
      </c>
      <c r="D3008" t="str">
        <f>"PR20000904"</f>
        <v>PR20000904</v>
      </c>
      <c r="E3008" t="str">
        <f>"Y"</f>
        <v>Y</v>
      </c>
      <c r="F3008" t="str">
        <f>"חשבוניות מרכזות"</f>
        <v>חשבוניות מרכזות</v>
      </c>
      <c r="G3008" t="str">
        <f>"700065"</f>
        <v>700065</v>
      </c>
      <c r="H3008" t="str">
        <f>"אלתא מערכות בע""מ"</f>
        <v>אלתא מערכות בע"מ</v>
      </c>
      <c r="I3008" t="str">
        <f>"10"</f>
        <v>10</v>
      </c>
      <c r="J3008" t="str">
        <f>"000"</f>
        <v>000</v>
      </c>
      <c r="K3008" t="str">
        <f>"ניסוי חשמל באתר"</f>
        <v>ניסוי חשמל באתר</v>
      </c>
      <c r="L3008">
        <v>1</v>
      </c>
      <c r="M3008" t="str">
        <f>"יח"</f>
        <v>יח</v>
      </c>
      <c r="N3008">
        <v>1</v>
      </c>
      <c r="O3008" t="str">
        <f>"יח"</f>
        <v>יח</v>
      </c>
      <c r="P3008" s="2">
        <v>2300</v>
      </c>
      <c r="Q3008" t="str">
        <f>"$"</f>
        <v>$</v>
      </c>
      <c r="R3008" t="str">
        <f>"הזמנה"</f>
        <v>הזמנה</v>
      </c>
      <c r="S3008">
        <v>0</v>
      </c>
      <c r="T3008" s="2">
        <v>2300</v>
      </c>
      <c r="U3008">
        <v>0</v>
      </c>
      <c r="V3008" s="2">
        <v>2300</v>
      </c>
      <c r="W3008" t="str">
        <f>"$"</f>
        <v>$</v>
      </c>
      <c r="X3008">
        <v>0</v>
      </c>
      <c r="Y3008">
        <v>0</v>
      </c>
      <c r="Z3008">
        <v>0</v>
      </c>
      <c r="AA3008" t="str">
        <f>"Y"</f>
        <v>Y</v>
      </c>
      <c r="AB3008" t="str">
        <f>"SO21000046"</f>
        <v>SO21000046</v>
      </c>
      <c r="AC3008">
        <v>1</v>
      </c>
      <c r="AD3008" s="1">
        <v>44222</v>
      </c>
      <c r="AM3008" t="str">
        <f>"10"</f>
        <v>10</v>
      </c>
      <c r="AN3008" t="str">
        <f>"500000"</f>
        <v>500000</v>
      </c>
      <c r="AO3008" t="str">
        <f>"הכנסות  מלקוחות"</f>
        <v>הכנסות  מלקוחות</v>
      </c>
      <c r="AQ3008" t="str">
        <f>"007"</f>
        <v>007</v>
      </c>
      <c r="AR3008">
        <v>0</v>
      </c>
      <c r="AS3008">
        <v>0</v>
      </c>
      <c r="AT3008">
        <v>3.294</v>
      </c>
      <c r="AX3008" t="str">
        <f>"E000331379"</f>
        <v>E000331379</v>
      </c>
      <c r="BD3008" t="str">
        <f>"רוני דידי"</f>
        <v>רוני דידי</v>
      </c>
    </row>
    <row r="3009" spans="1:56" x14ac:dyDescent="0.3">
      <c r="A3009" s="1">
        <v>44225</v>
      </c>
      <c r="B3009" t="str">
        <f>"SI216000092"</f>
        <v>SI216000092</v>
      </c>
      <c r="E3009" t="str">
        <f>"Y"</f>
        <v>Y</v>
      </c>
      <c r="F3009" t="str">
        <f>"חשבוניות מרכזות"</f>
        <v>חשבוניות מרכזות</v>
      </c>
      <c r="G3009" t="str">
        <f>"700065"</f>
        <v>700065</v>
      </c>
      <c r="H3009" t="str">
        <f>"אלתא מערכות בע""מ"</f>
        <v>אלתא מערכות בע"מ</v>
      </c>
      <c r="I3009" t="str">
        <f>"10"</f>
        <v>10</v>
      </c>
      <c r="J3009" t="str">
        <f>"999"</f>
        <v>999</v>
      </c>
      <c r="K3009" t="str">
        <f>"עלות בידוד לצורך התקנת מערכת כוח"</f>
        <v>עלות בידוד לצורך התקנת מערכת כוח</v>
      </c>
      <c r="L3009">
        <v>1</v>
      </c>
      <c r="M3009" t="str">
        <f>"חל"</f>
        <v>חל</v>
      </c>
      <c r="N3009">
        <v>1</v>
      </c>
      <c r="O3009" t="str">
        <f>"חל"</f>
        <v>חל</v>
      </c>
      <c r="P3009" s="2">
        <v>18200</v>
      </c>
      <c r="Q3009" t="str">
        <f>"$"</f>
        <v>$</v>
      </c>
      <c r="R3009" t="str">
        <f>"הזמנה"</f>
        <v>הזמנה</v>
      </c>
      <c r="S3009">
        <v>0</v>
      </c>
      <c r="T3009" s="2">
        <v>18200</v>
      </c>
      <c r="U3009">
        <v>0</v>
      </c>
      <c r="V3009" s="2">
        <v>18200</v>
      </c>
      <c r="W3009" t="str">
        <f>"$"</f>
        <v>$</v>
      </c>
      <c r="X3009">
        <v>0</v>
      </c>
      <c r="Y3009">
        <v>0</v>
      </c>
      <c r="Z3009">
        <v>0</v>
      </c>
      <c r="AA3009" t="str">
        <f>"Y"</f>
        <v>Y</v>
      </c>
      <c r="AB3009" t="str">
        <f>"SO20000548"</f>
        <v>SO20000548</v>
      </c>
      <c r="AC3009">
        <v>1</v>
      </c>
      <c r="AD3009" s="1">
        <v>44164</v>
      </c>
      <c r="AM3009" t="str">
        <f>"10"</f>
        <v>10</v>
      </c>
      <c r="AN3009" t="str">
        <f>"500000"</f>
        <v>500000</v>
      </c>
      <c r="AO3009" t="str">
        <f>"הכנסות  מלקוחות"</f>
        <v>הכנסות  מלקוחות</v>
      </c>
      <c r="AQ3009" t="str">
        <f>"007"</f>
        <v>007</v>
      </c>
      <c r="AR3009">
        <v>0</v>
      </c>
      <c r="AS3009">
        <v>0</v>
      </c>
      <c r="AT3009">
        <v>3.294</v>
      </c>
      <c r="AX3009" t="str">
        <f>"E000327217"</f>
        <v>E000327217</v>
      </c>
      <c r="BD3009" t="str">
        <f>"רוני דידי"</f>
        <v>רוני דידי</v>
      </c>
    </row>
    <row r="3010" spans="1:56" x14ac:dyDescent="0.3">
      <c r="A3010" s="1">
        <v>44224</v>
      </c>
      <c r="B3010" t="str">
        <f>"SI216000100"</f>
        <v>SI216000100</v>
      </c>
      <c r="C3010" t="str">
        <f>"PR20000495"</f>
        <v>PR20000495</v>
      </c>
      <c r="E3010" t="str">
        <f>"Y"</f>
        <v>Y</v>
      </c>
      <c r="F3010" t="str">
        <f>"חשבוניות מרכזות"</f>
        <v>חשבוניות מרכזות</v>
      </c>
      <c r="G3010" t="str">
        <f>"700065"</f>
        <v>700065</v>
      </c>
      <c r="H3010" t="str">
        <f>"אלתא מערכות בע""מ"</f>
        <v>אלתא מערכות בע"מ</v>
      </c>
      <c r="I3010" t="str">
        <f>"10"</f>
        <v>10</v>
      </c>
      <c r="J3010" t="str">
        <f>"OP-AR01904"</f>
        <v>OP-AR01904</v>
      </c>
      <c r="K3010" t="str">
        <f>"NRE FOR E000315867"</f>
        <v>NRE FOR E000315867</v>
      </c>
      <c r="L3010">
        <v>1</v>
      </c>
      <c r="M3010" t="str">
        <f>"יח"</f>
        <v>יח</v>
      </c>
      <c r="N3010">
        <v>1</v>
      </c>
      <c r="O3010" t="str">
        <f>"יח"</f>
        <v>יח</v>
      </c>
      <c r="P3010" s="2">
        <v>4550</v>
      </c>
      <c r="Q3010" t="str">
        <f>"$"</f>
        <v>$</v>
      </c>
      <c r="R3010" t="str">
        <f>"הזמנה"</f>
        <v>הזמנה</v>
      </c>
      <c r="S3010">
        <v>0</v>
      </c>
      <c r="T3010" s="2">
        <v>4550</v>
      </c>
      <c r="U3010">
        <v>0</v>
      </c>
      <c r="V3010" s="2">
        <v>4550</v>
      </c>
      <c r="W3010" t="str">
        <f>"$"</f>
        <v>$</v>
      </c>
      <c r="X3010">
        <v>0</v>
      </c>
      <c r="Y3010">
        <v>0</v>
      </c>
      <c r="Z3010">
        <v>0</v>
      </c>
      <c r="AA3010" t="str">
        <f>"Y"</f>
        <v>Y</v>
      </c>
      <c r="AC3010">
        <v>0</v>
      </c>
      <c r="AM3010" t="str">
        <f>"10"</f>
        <v>10</v>
      </c>
      <c r="AN3010" t="str">
        <f>"500000"</f>
        <v>500000</v>
      </c>
      <c r="AO3010" t="str">
        <f>"הכנסות  מלקוחות"</f>
        <v>הכנסות  מלקוחות</v>
      </c>
      <c r="AQ3010" t="str">
        <f>"034"</f>
        <v>034</v>
      </c>
      <c r="AR3010">
        <v>0</v>
      </c>
      <c r="AS3010">
        <v>0</v>
      </c>
      <c r="AT3010">
        <v>3.2639999999999998</v>
      </c>
      <c r="BB3010" t="str">
        <f>"Y"</f>
        <v>Y</v>
      </c>
      <c r="BD3010" t="str">
        <f>"ערן שלו"</f>
        <v>ערן שלו</v>
      </c>
    </row>
    <row r="3011" spans="1:56" x14ac:dyDescent="0.3">
      <c r="A3011" s="1">
        <v>44224</v>
      </c>
      <c r="B3011" t="str">
        <f>"SI216000099"</f>
        <v>SI216000099</v>
      </c>
      <c r="C3011" t="str">
        <f>"PR20000622"</f>
        <v>PR20000622</v>
      </c>
      <c r="E3011" t="str">
        <f>"Y"</f>
        <v>Y</v>
      </c>
      <c r="F3011" t="str">
        <f>"חשבוניות מרכזות"</f>
        <v>חשבוניות מרכזות</v>
      </c>
      <c r="G3011" t="str">
        <f>"700065"</f>
        <v>700065</v>
      </c>
      <c r="H3011" t="str">
        <f>"אלתא מערכות בע""מ"</f>
        <v>אלתא מערכות בע"מ</v>
      </c>
      <c r="I3011" t="str">
        <f>"10"</f>
        <v>10</v>
      </c>
      <c r="J3011" t="str">
        <f>"000"</f>
        <v>000</v>
      </c>
      <c r="K3011" t="str">
        <f>"NRE"</f>
        <v>NRE</v>
      </c>
      <c r="L3011">
        <v>1</v>
      </c>
      <c r="M3011" t="str">
        <f>"יח"</f>
        <v>יח</v>
      </c>
      <c r="N3011">
        <v>1</v>
      </c>
      <c r="O3011" t="str">
        <f>"יח"</f>
        <v>יח</v>
      </c>
      <c r="P3011">
        <v>430</v>
      </c>
      <c r="Q3011" t="str">
        <f>"$"</f>
        <v>$</v>
      </c>
      <c r="R3011" t="str">
        <f>"הזמנה"</f>
        <v>הזמנה</v>
      </c>
      <c r="S3011">
        <v>0</v>
      </c>
      <c r="T3011">
        <v>430</v>
      </c>
      <c r="U3011">
        <v>0</v>
      </c>
      <c r="V3011">
        <v>430</v>
      </c>
      <c r="W3011" t="str">
        <f>"$"</f>
        <v>$</v>
      </c>
      <c r="X3011">
        <v>0</v>
      </c>
      <c r="Y3011">
        <v>0</v>
      </c>
      <c r="Z3011">
        <v>0</v>
      </c>
      <c r="AA3011" t="str">
        <f>"Y"</f>
        <v>Y</v>
      </c>
      <c r="AC3011">
        <v>0</v>
      </c>
      <c r="AM3011" t="str">
        <f>"10"</f>
        <v>10</v>
      </c>
      <c r="AN3011" t="str">
        <f>"500000"</f>
        <v>500000</v>
      </c>
      <c r="AO3011" t="str">
        <f>"הכנסות  מלקוחות"</f>
        <v>הכנסות  מלקוחות</v>
      </c>
      <c r="AQ3011" t="str">
        <f>"034"</f>
        <v>034</v>
      </c>
      <c r="AR3011">
        <v>0</v>
      </c>
      <c r="AS3011">
        <v>0</v>
      </c>
      <c r="AT3011">
        <v>3.2639999999999998</v>
      </c>
      <c r="BB3011" t="str">
        <f>"Y"</f>
        <v>Y</v>
      </c>
      <c r="BD3011" t="str">
        <f>"ערן שלו"</f>
        <v>ערן שלו</v>
      </c>
    </row>
    <row r="3012" spans="1:56" x14ac:dyDescent="0.3">
      <c r="A3012" s="1">
        <v>44224</v>
      </c>
      <c r="B3012" t="str">
        <f>"SI216000098"</f>
        <v>SI216000098</v>
      </c>
      <c r="C3012" t="str">
        <f>"PR20000530"</f>
        <v>PR20000530</v>
      </c>
      <c r="D3012" t="str">
        <f>"PR20000530"</f>
        <v>PR20000530</v>
      </c>
      <c r="E3012" t="str">
        <f>"Y"</f>
        <v>Y</v>
      </c>
      <c r="F3012" t="str">
        <f>"חשבוניות מרכזות"</f>
        <v>חשבוניות מרכזות</v>
      </c>
      <c r="G3012" t="str">
        <f>"700065"</f>
        <v>700065</v>
      </c>
      <c r="H3012" t="str">
        <f>"אלתא מערכות בע""מ"</f>
        <v>אלתא מערכות בע"מ</v>
      </c>
      <c r="I3012" t="str">
        <f>"10"</f>
        <v>10</v>
      </c>
      <c r="J3012" t="str">
        <f>"OP-AR01966"</f>
        <v>OP-AR01966</v>
      </c>
      <c r="K3012" t="str">
        <f>"NRE FOR E000317142"</f>
        <v>NRE FOR E000317142</v>
      </c>
      <c r="L3012">
        <v>1</v>
      </c>
      <c r="M3012" t="str">
        <f>"יח"</f>
        <v>יח</v>
      </c>
      <c r="N3012">
        <v>1</v>
      </c>
      <c r="O3012" t="str">
        <f>"יח"</f>
        <v>יח</v>
      </c>
      <c r="P3012">
        <v>507</v>
      </c>
      <c r="Q3012" t="str">
        <f>"$"</f>
        <v>$</v>
      </c>
      <c r="R3012" t="str">
        <f>"הזמנה"</f>
        <v>הזמנה</v>
      </c>
      <c r="S3012">
        <v>0</v>
      </c>
      <c r="T3012">
        <v>507</v>
      </c>
      <c r="U3012">
        <v>0</v>
      </c>
      <c r="V3012">
        <v>507</v>
      </c>
      <c r="W3012" t="str">
        <f>"$"</f>
        <v>$</v>
      </c>
      <c r="X3012">
        <v>0</v>
      </c>
      <c r="Y3012">
        <v>0</v>
      </c>
      <c r="Z3012">
        <v>0</v>
      </c>
      <c r="AA3012" t="str">
        <f>"Y"</f>
        <v>Y</v>
      </c>
      <c r="AB3012" t="str">
        <f>"SO20000337"</f>
        <v>SO20000337</v>
      </c>
      <c r="AC3012">
        <v>4</v>
      </c>
      <c r="AD3012" s="1">
        <v>44045</v>
      </c>
      <c r="AM3012" t="str">
        <f>"10"</f>
        <v>10</v>
      </c>
      <c r="AN3012" t="str">
        <f>"500000"</f>
        <v>500000</v>
      </c>
      <c r="AO3012" t="str">
        <f>"הכנסות  מלקוחות"</f>
        <v>הכנסות  מלקוחות</v>
      </c>
      <c r="AQ3012" t="str">
        <f>"034"</f>
        <v>034</v>
      </c>
      <c r="AR3012">
        <v>0</v>
      </c>
      <c r="AS3012">
        <v>0</v>
      </c>
      <c r="AT3012">
        <v>3.2639999999999998</v>
      </c>
      <c r="AX3012" t="str">
        <f>"E000317142"</f>
        <v>E000317142</v>
      </c>
      <c r="BD3012" t="str">
        <f>"ערן שלו"</f>
        <v>ערן שלו</v>
      </c>
    </row>
    <row r="3013" spans="1:56" x14ac:dyDescent="0.3">
      <c r="A3013" s="1">
        <v>44224</v>
      </c>
      <c r="B3013" t="str">
        <f>"SI216000097"</f>
        <v>SI216000097</v>
      </c>
      <c r="C3013" t="str">
        <f>"PR20000533"</f>
        <v>PR20000533</v>
      </c>
      <c r="D3013" t="str">
        <f>"PR20000533"</f>
        <v>PR20000533</v>
      </c>
      <c r="E3013" t="str">
        <f>"Y"</f>
        <v>Y</v>
      </c>
      <c r="F3013" t="str">
        <f>"חשבוניות מרכזות"</f>
        <v>חשבוניות מרכזות</v>
      </c>
      <c r="G3013" t="str">
        <f>"700065"</f>
        <v>700065</v>
      </c>
      <c r="H3013" t="str">
        <f>"אלתא מערכות בע""מ"</f>
        <v>אלתא מערכות בע"מ</v>
      </c>
      <c r="I3013" t="str">
        <f>"10"</f>
        <v>10</v>
      </c>
      <c r="J3013" t="str">
        <f>"OP-AR01960"</f>
        <v>OP-AR01960</v>
      </c>
      <c r="K3013" t="str">
        <f>"NRE FOR E000316766"</f>
        <v>NRE FOR E000316766</v>
      </c>
      <c r="L3013">
        <v>1</v>
      </c>
      <c r="M3013" t="str">
        <f>"יח"</f>
        <v>יח</v>
      </c>
      <c r="N3013">
        <v>1</v>
      </c>
      <c r="O3013" t="str">
        <f>"יח"</f>
        <v>יח</v>
      </c>
      <c r="P3013" s="2">
        <v>2782.21</v>
      </c>
      <c r="Q3013" t="str">
        <f>"$"</f>
        <v>$</v>
      </c>
      <c r="R3013" t="str">
        <f>"הזמנה"</f>
        <v>הזמנה</v>
      </c>
      <c r="S3013">
        <v>0</v>
      </c>
      <c r="T3013" s="2">
        <v>2782.21</v>
      </c>
      <c r="U3013">
        <v>0</v>
      </c>
      <c r="V3013" s="2">
        <v>2782.21</v>
      </c>
      <c r="W3013" t="str">
        <f>"$"</f>
        <v>$</v>
      </c>
      <c r="X3013">
        <v>0</v>
      </c>
      <c r="Y3013">
        <v>0</v>
      </c>
      <c r="Z3013">
        <v>0</v>
      </c>
      <c r="AA3013" t="str">
        <f>"Y"</f>
        <v>Y</v>
      </c>
      <c r="AB3013" t="str">
        <f>"SO20000319"</f>
        <v>SO20000319</v>
      </c>
      <c r="AC3013">
        <v>16</v>
      </c>
      <c r="AD3013" s="1">
        <v>44034</v>
      </c>
      <c r="AM3013" t="str">
        <f>"10"</f>
        <v>10</v>
      </c>
      <c r="AN3013" t="str">
        <f>"500000"</f>
        <v>500000</v>
      </c>
      <c r="AO3013" t="str">
        <f>"הכנסות  מלקוחות"</f>
        <v>הכנסות  מלקוחות</v>
      </c>
      <c r="AQ3013" t="str">
        <f>"034"</f>
        <v>034</v>
      </c>
      <c r="AR3013">
        <v>0</v>
      </c>
      <c r="AS3013">
        <v>0</v>
      </c>
      <c r="AT3013">
        <v>3.2639999999999998</v>
      </c>
      <c r="AX3013" t="str">
        <f>"E000316766"</f>
        <v>E000316766</v>
      </c>
      <c r="BD3013" t="str">
        <f>"ערן שלו"</f>
        <v>ערן שלו</v>
      </c>
    </row>
    <row r="3014" spans="1:56" x14ac:dyDescent="0.3">
      <c r="A3014" s="1">
        <v>44223</v>
      </c>
      <c r="B3014" t="str">
        <f>"SI216000110"</f>
        <v>SI216000110</v>
      </c>
      <c r="C3014" t="str">
        <f>"PR20000825"</f>
        <v>PR20000825</v>
      </c>
      <c r="E3014" t="str">
        <f>"Y"</f>
        <v>Y</v>
      </c>
      <c r="F3014" t="str">
        <f>"חשבוניות מרכזות"</f>
        <v>חשבוניות מרכזות</v>
      </c>
      <c r="G3014" t="str">
        <f>"700065"</f>
        <v>700065</v>
      </c>
      <c r="H3014" t="str">
        <f>"אלתא מערכות בע""מ"</f>
        <v>אלתא מערכות בע"מ</v>
      </c>
      <c r="I3014" t="str">
        <f>"10"</f>
        <v>10</v>
      </c>
      <c r="J3014" t="str">
        <f>"CB1100123"</f>
        <v>CB1100123</v>
      </c>
      <c r="K3014" t="str">
        <f>"LB-PDB BATTERY CHARGER CABLE"</f>
        <v>LB-PDB BATTERY CHARGER CABLE</v>
      </c>
      <c r="L3014">
        <v>4</v>
      </c>
      <c r="M3014" t="str">
        <f>"יח"</f>
        <v>יח</v>
      </c>
      <c r="N3014">
        <v>4</v>
      </c>
      <c r="O3014" t="str">
        <f>"יח"</f>
        <v>יח</v>
      </c>
      <c r="P3014">
        <v>255</v>
      </c>
      <c r="Q3014" t="str">
        <f>"$"</f>
        <v>$</v>
      </c>
      <c r="R3014" t="str">
        <f>"הזמנה"</f>
        <v>הזמנה</v>
      </c>
      <c r="S3014">
        <v>0</v>
      </c>
      <c r="T3014" s="2">
        <v>1020</v>
      </c>
      <c r="U3014">
        <v>0</v>
      </c>
      <c r="V3014" s="2">
        <v>1020</v>
      </c>
      <c r="W3014" t="str">
        <f>"$"</f>
        <v>$</v>
      </c>
      <c r="X3014">
        <v>0</v>
      </c>
      <c r="Y3014">
        <v>0</v>
      </c>
      <c r="Z3014">
        <v>0</v>
      </c>
      <c r="AA3014" t="str">
        <f>"Y"</f>
        <v>Y</v>
      </c>
      <c r="AB3014" t="str">
        <f>"SO20000544"</f>
        <v>SO20000544</v>
      </c>
      <c r="AC3014">
        <v>1</v>
      </c>
      <c r="AD3014" s="1">
        <v>44159</v>
      </c>
      <c r="AE3014" t="str">
        <f>"SH21000153"</f>
        <v>SH21000153</v>
      </c>
      <c r="AF3014" t="str">
        <f>"משלוחים ללקוח"</f>
        <v>משלוחים ללקוח</v>
      </c>
      <c r="AG3014" s="1">
        <v>44222</v>
      </c>
      <c r="AM3014" t="str">
        <f>"10"</f>
        <v>10</v>
      </c>
      <c r="AN3014" t="str">
        <f>"500000"</f>
        <v>500000</v>
      </c>
      <c r="AO3014" t="str">
        <f>"הכנסות  מלקוחות"</f>
        <v>הכנסות  מלקוחות</v>
      </c>
      <c r="AQ3014" t="str">
        <f>"034"</f>
        <v>034</v>
      </c>
      <c r="AR3014">
        <v>0</v>
      </c>
      <c r="AS3014">
        <v>0</v>
      </c>
      <c r="AT3014">
        <v>3.2639999999999998</v>
      </c>
      <c r="AX3014" t="str">
        <f>"E000326960"</f>
        <v>E000326960</v>
      </c>
      <c r="BD3014" t="str">
        <f>"ערן שלו"</f>
        <v>ערן שלו</v>
      </c>
    </row>
    <row r="3015" spans="1:56" x14ac:dyDescent="0.3">
      <c r="A3015" s="1">
        <v>44223</v>
      </c>
      <c r="B3015" t="str">
        <f>"SI216000109"</f>
        <v>SI216000109</v>
      </c>
      <c r="C3015" t="str">
        <f>"PR20000348"</f>
        <v>PR20000348</v>
      </c>
      <c r="E3015" t="str">
        <f>"Y"</f>
        <v>Y</v>
      </c>
      <c r="F3015" t="str">
        <f>"חשבוניות מרכזות"</f>
        <v>חשבוניות מרכזות</v>
      </c>
      <c r="G3015" t="str">
        <f>"700065"</f>
        <v>700065</v>
      </c>
      <c r="H3015" t="str">
        <f>"אלתא מערכות בע""מ"</f>
        <v>אלתא מערכות בע"מ</v>
      </c>
      <c r="I3015" t="str">
        <f>"10"</f>
        <v>10</v>
      </c>
      <c r="J3015" t="str">
        <f>"OP-AR01777"</f>
        <v>OP-AR01777</v>
      </c>
      <c r="K3015" t="str">
        <f>"1039V305-002 HARNESS WP305 - POWER 320VDC PEDPNL"</f>
        <v>1039V305-002 HARNESS WP305 - POWER 320VDC PEDPNL</v>
      </c>
      <c r="L3015">
        <v>2</v>
      </c>
      <c r="M3015" t="str">
        <f>"יח"</f>
        <v>יח</v>
      </c>
      <c r="N3015">
        <v>2</v>
      </c>
      <c r="O3015" t="str">
        <f>"יח"</f>
        <v>יח</v>
      </c>
      <c r="P3015">
        <v>989.41</v>
      </c>
      <c r="Q3015" t="str">
        <f>"$"</f>
        <v>$</v>
      </c>
      <c r="R3015" t="str">
        <f>"הזמנה"</f>
        <v>הזמנה</v>
      </c>
      <c r="S3015">
        <v>0</v>
      </c>
      <c r="T3015" s="2">
        <v>1978.82</v>
      </c>
      <c r="U3015">
        <v>0</v>
      </c>
      <c r="V3015" s="2">
        <v>1978.82</v>
      </c>
      <c r="W3015" t="str">
        <f>"$"</f>
        <v>$</v>
      </c>
      <c r="X3015">
        <v>0</v>
      </c>
      <c r="Y3015">
        <v>0</v>
      </c>
      <c r="Z3015">
        <v>0</v>
      </c>
      <c r="AA3015" t="str">
        <f>"Y"</f>
        <v>Y</v>
      </c>
      <c r="AB3015" t="str">
        <f>"SO20000201"</f>
        <v>SO20000201</v>
      </c>
      <c r="AC3015">
        <v>43</v>
      </c>
      <c r="AD3015" s="1">
        <v>43970</v>
      </c>
      <c r="AE3015" t="str">
        <f>"SH21000138"</f>
        <v>SH21000138</v>
      </c>
      <c r="AF3015" t="str">
        <f>"משלוחים ללקוח"</f>
        <v>משלוחים ללקוח</v>
      </c>
      <c r="AG3015" s="1">
        <v>44221</v>
      </c>
      <c r="AM3015" t="str">
        <f>"10"</f>
        <v>10</v>
      </c>
      <c r="AN3015" t="str">
        <f>"500000"</f>
        <v>500000</v>
      </c>
      <c r="AO3015" t="str">
        <f>"הכנסות  מלקוחות"</f>
        <v>הכנסות  מלקוחות</v>
      </c>
      <c r="AQ3015" t="str">
        <f>"034"</f>
        <v>034</v>
      </c>
      <c r="AR3015">
        <v>0</v>
      </c>
      <c r="AS3015">
        <v>0</v>
      </c>
      <c r="AT3015">
        <v>3.2639999999999998</v>
      </c>
      <c r="AX3015" t="str">
        <f>"E000311250"</f>
        <v>E000311250</v>
      </c>
      <c r="BD3015" t="str">
        <f>"ערן שלו"</f>
        <v>ערן שלו</v>
      </c>
    </row>
    <row r="3016" spans="1:56" x14ac:dyDescent="0.3">
      <c r="A3016" s="1">
        <v>44223</v>
      </c>
      <c r="B3016" t="str">
        <f>"SI216000108"</f>
        <v>SI216000108</v>
      </c>
      <c r="C3016" t="str">
        <f>"PR19000731"</f>
        <v>PR19000731</v>
      </c>
      <c r="E3016" t="str">
        <f>"Y"</f>
        <v>Y</v>
      </c>
      <c r="F3016" t="str">
        <f>"חשבוניות מרכזות"</f>
        <v>חשבוניות מרכזות</v>
      </c>
      <c r="G3016" t="str">
        <f>"700065"</f>
        <v>700065</v>
      </c>
      <c r="H3016" t="str">
        <f>"אלתא מערכות בע""מ"</f>
        <v>אלתא מערכות בע"מ</v>
      </c>
      <c r="I3016" t="str">
        <f>"10"</f>
        <v>10</v>
      </c>
      <c r="J3016" t="str">
        <f>"PA1001144"</f>
        <v>PA1001144</v>
      </c>
      <c r="K3016" t="str">
        <f>"RQSC-40AB-L28-13-SN7-E2 BLANKING COVER 22 CNT"</f>
        <v>RQSC-40AB-L28-13-SN7-E2 BLANKING COVER 22 CNT</v>
      </c>
      <c r="L3016">
        <v>8</v>
      </c>
      <c r="M3016" t="str">
        <f>"יח"</f>
        <v>יח</v>
      </c>
      <c r="N3016">
        <v>8</v>
      </c>
      <c r="O3016" t="str">
        <f>"יח"</f>
        <v>יח</v>
      </c>
      <c r="P3016">
        <v>1E-3</v>
      </c>
      <c r="Q3016" t="str">
        <f>"$"</f>
        <v>$</v>
      </c>
      <c r="R3016" t="str">
        <f>"ידני"</f>
        <v>ידני</v>
      </c>
      <c r="S3016">
        <v>0</v>
      </c>
      <c r="T3016">
        <v>0.01</v>
      </c>
      <c r="U3016">
        <v>0</v>
      </c>
      <c r="V3016">
        <v>0.01</v>
      </c>
      <c r="W3016" t="str">
        <f>"$"</f>
        <v>$</v>
      </c>
      <c r="X3016">
        <v>0</v>
      </c>
      <c r="Y3016">
        <v>0</v>
      </c>
      <c r="Z3016">
        <v>0</v>
      </c>
      <c r="AA3016" t="str">
        <f>"Y"</f>
        <v>Y</v>
      </c>
      <c r="AB3016" t="str">
        <f>"SO19000524"</f>
        <v>SO19000524</v>
      </c>
      <c r="AC3016">
        <v>21</v>
      </c>
      <c r="AD3016" s="1">
        <v>43809</v>
      </c>
      <c r="AE3016" t="str">
        <f>"SH21000154"</f>
        <v>SH21000154</v>
      </c>
      <c r="AF3016" t="str">
        <f>"משלוחים ללקוח"</f>
        <v>משלוחים ללקוח</v>
      </c>
      <c r="AG3016" s="1">
        <v>44223</v>
      </c>
      <c r="AM3016" t="str">
        <f>"10"</f>
        <v>10</v>
      </c>
      <c r="AN3016" t="str">
        <f>"500000"</f>
        <v>500000</v>
      </c>
      <c r="AO3016" t="str">
        <f>"הכנסות  מלקוחות"</f>
        <v>הכנסות  מלקוחות</v>
      </c>
      <c r="AQ3016" t="str">
        <f>"034"</f>
        <v>034</v>
      </c>
      <c r="AR3016">
        <v>0</v>
      </c>
      <c r="AS3016">
        <v>0</v>
      </c>
      <c r="AT3016">
        <v>3.2639999999999998</v>
      </c>
      <c r="AX3016" t="str">
        <f>"E000300228"</f>
        <v>E000300228</v>
      </c>
      <c r="BD3016" t="str">
        <f>"ערן שלו"</f>
        <v>ערן שלו</v>
      </c>
    </row>
    <row r="3017" spans="1:56" x14ac:dyDescent="0.3">
      <c r="A3017" s="1">
        <v>44223</v>
      </c>
      <c r="B3017" t="str">
        <f>"SI216000108"</f>
        <v>SI216000108</v>
      </c>
      <c r="C3017" t="str">
        <f>"PR19000731"</f>
        <v>PR19000731</v>
      </c>
      <c r="E3017" t="str">
        <f>"Y"</f>
        <v>Y</v>
      </c>
      <c r="F3017" t="str">
        <f>"חשבוניות מרכזות"</f>
        <v>חשבוניות מרכזות</v>
      </c>
      <c r="G3017" t="str">
        <f>"700065"</f>
        <v>700065</v>
      </c>
      <c r="H3017" t="str">
        <f>"אלתא מערכות בע""מ"</f>
        <v>אלתא מערכות בע"מ</v>
      </c>
      <c r="I3017" t="str">
        <f>"10"</f>
        <v>10</v>
      </c>
      <c r="J3017" t="str">
        <f>"PA1001138"</f>
        <v>PA1001138</v>
      </c>
      <c r="K3017" t="str">
        <f>"10613-24-9 CABLE SHLD  BUS CABLE AWG24 WHT"</f>
        <v>10613-24-9 CABLE SHLD  BUS CABLE AWG24 WHT</v>
      </c>
      <c r="L3017">
        <v>100</v>
      </c>
      <c r="M3017" t="str">
        <f>"ft"</f>
        <v>ft</v>
      </c>
      <c r="N3017">
        <v>100</v>
      </c>
      <c r="O3017" t="str">
        <f>"ft"</f>
        <v>ft</v>
      </c>
      <c r="P3017">
        <v>1E-3</v>
      </c>
      <c r="Q3017" t="str">
        <f>"$"</f>
        <v>$</v>
      </c>
      <c r="R3017" t="str">
        <f>"ידני"</f>
        <v>ידני</v>
      </c>
      <c r="S3017">
        <v>0</v>
      </c>
      <c r="T3017">
        <v>0.1</v>
      </c>
      <c r="U3017">
        <v>0</v>
      </c>
      <c r="V3017">
        <v>0.1</v>
      </c>
      <c r="W3017" t="str">
        <f>"$"</f>
        <v>$</v>
      </c>
      <c r="X3017">
        <v>0</v>
      </c>
      <c r="Y3017">
        <v>0</v>
      </c>
      <c r="Z3017">
        <v>0</v>
      </c>
      <c r="AA3017" t="str">
        <f>"Y"</f>
        <v>Y</v>
      </c>
      <c r="AB3017" t="str">
        <f>"SO19000524"</f>
        <v>SO19000524</v>
      </c>
      <c r="AC3017">
        <v>54</v>
      </c>
      <c r="AD3017" s="1">
        <v>43809</v>
      </c>
      <c r="AE3017" t="str">
        <f>"SH21000154"</f>
        <v>SH21000154</v>
      </c>
      <c r="AF3017" t="str">
        <f>"משלוחים ללקוח"</f>
        <v>משלוחים ללקוח</v>
      </c>
      <c r="AG3017" s="1">
        <v>44223</v>
      </c>
      <c r="AM3017" t="str">
        <f>"10"</f>
        <v>10</v>
      </c>
      <c r="AN3017" t="str">
        <f>"500000"</f>
        <v>500000</v>
      </c>
      <c r="AO3017" t="str">
        <f>"הכנסות  מלקוחות"</f>
        <v>הכנסות  מלקוחות</v>
      </c>
      <c r="AQ3017" t="str">
        <f>"034"</f>
        <v>034</v>
      </c>
      <c r="AR3017">
        <v>0</v>
      </c>
      <c r="AS3017">
        <v>0</v>
      </c>
      <c r="AT3017">
        <v>3.2639999999999998</v>
      </c>
      <c r="AX3017" t="str">
        <f>"E000300228"</f>
        <v>E000300228</v>
      </c>
      <c r="BD3017" t="str">
        <f>"ערן שלו"</f>
        <v>ערן שלו</v>
      </c>
    </row>
    <row r="3018" spans="1:56" x14ac:dyDescent="0.3">
      <c r="A3018" s="1">
        <v>44223</v>
      </c>
      <c r="B3018" t="str">
        <f>"SI216000107"</f>
        <v>SI216000107</v>
      </c>
      <c r="C3018" t="str">
        <f>"PR20000669"</f>
        <v>PR20000669</v>
      </c>
      <c r="E3018" t="str">
        <f>"Y"</f>
        <v>Y</v>
      </c>
      <c r="F3018" t="str">
        <f>"חשבוניות מרכזות"</f>
        <v>חשבוניות מרכזות</v>
      </c>
      <c r="G3018" t="str">
        <f>"700065"</f>
        <v>700065</v>
      </c>
      <c r="H3018" t="str">
        <f>"אלתא מערכות בע""מ"</f>
        <v>אלתא מערכות בע"מ</v>
      </c>
      <c r="I3018" t="str">
        <f>"10"</f>
        <v>10</v>
      </c>
      <c r="J3018" t="str">
        <f>"OP-AR02031"</f>
        <v>OP-AR02031</v>
      </c>
      <c r="K3018" t="str">
        <f>"4030H112-001/- HARNESS W112"</f>
        <v>4030H112-001/- HARNESS W112</v>
      </c>
      <c r="L3018">
        <v>2</v>
      </c>
      <c r="M3018" t="str">
        <f>"יח"</f>
        <v>יח</v>
      </c>
      <c r="N3018">
        <v>2</v>
      </c>
      <c r="O3018" t="str">
        <f>"יח"</f>
        <v>יח</v>
      </c>
      <c r="P3018">
        <v>645.66</v>
      </c>
      <c r="Q3018" t="str">
        <f>"$"</f>
        <v>$</v>
      </c>
      <c r="R3018" t="str">
        <f>"הזמנה"</f>
        <v>הזמנה</v>
      </c>
      <c r="S3018">
        <v>0</v>
      </c>
      <c r="T3018" s="2">
        <v>1291.32</v>
      </c>
      <c r="U3018">
        <v>0</v>
      </c>
      <c r="V3018" s="2">
        <v>1291.32</v>
      </c>
      <c r="W3018" t="str">
        <f>"$"</f>
        <v>$</v>
      </c>
      <c r="X3018">
        <v>0</v>
      </c>
      <c r="Y3018">
        <v>0</v>
      </c>
      <c r="Z3018">
        <v>0</v>
      </c>
      <c r="AA3018" t="str">
        <f>"Y"</f>
        <v>Y</v>
      </c>
      <c r="AB3018" t="str">
        <f>"SO20000432"</f>
        <v>SO20000432</v>
      </c>
      <c r="AC3018">
        <v>2</v>
      </c>
      <c r="AD3018" s="1">
        <v>44097</v>
      </c>
      <c r="AE3018" t="str">
        <f>"SH21000137"</f>
        <v>SH21000137</v>
      </c>
      <c r="AF3018" t="str">
        <f>"משלוחים ללקוח"</f>
        <v>משלוחים ללקוח</v>
      </c>
      <c r="AG3018" s="1">
        <v>44221</v>
      </c>
      <c r="AM3018" t="str">
        <f>"10"</f>
        <v>10</v>
      </c>
      <c r="AN3018" t="str">
        <f>"500000"</f>
        <v>500000</v>
      </c>
      <c r="AO3018" t="str">
        <f>"הכנסות  מלקוחות"</f>
        <v>הכנסות  מלקוחות</v>
      </c>
      <c r="AQ3018" t="str">
        <f>"034"</f>
        <v>034</v>
      </c>
      <c r="AR3018">
        <v>0</v>
      </c>
      <c r="AS3018">
        <v>0</v>
      </c>
      <c r="AT3018">
        <v>3.2639999999999998</v>
      </c>
      <c r="AX3018" t="str">
        <f>"E000321534"</f>
        <v>E000321534</v>
      </c>
      <c r="BD3018" t="str">
        <f>"ערן שלו"</f>
        <v>ערן שלו</v>
      </c>
    </row>
    <row r="3019" spans="1:56" x14ac:dyDescent="0.3">
      <c r="A3019" s="1">
        <v>44223</v>
      </c>
      <c r="B3019" t="str">
        <f>"SI216000106"</f>
        <v>SI216000106</v>
      </c>
      <c r="C3019" t="str">
        <f>"PR20000533"</f>
        <v>PR20000533</v>
      </c>
      <c r="D3019" t="str">
        <f>"PR20000533"</f>
        <v>PR20000533</v>
      </c>
      <c r="E3019" t="str">
        <f>"Y"</f>
        <v>Y</v>
      </c>
      <c r="F3019" t="str">
        <f>"חשבוניות מרכזות"</f>
        <v>חשבוניות מרכזות</v>
      </c>
      <c r="G3019" t="str">
        <f>"700065"</f>
        <v>700065</v>
      </c>
      <c r="H3019" t="str">
        <f>"אלתא מערכות בע""מ"</f>
        <v>אלתא מערכות בע"מ</v>
      </c>
      <c r="I3019" t="str">
        <f>"10"</f>
        <v>10</v>
      </c>
      <c r="J3019" t="str">
        <f>"OP-AR01952"</f>
        <v>OP-AR01952</v>
      </c>
      <c r="K3019" t="str">
        <f>"1031B025-001/A - CABLE ASSY W0025"</f>
        <v>1031B025-001/A - CABLE ASSY W0025</v>
      </c>
      <c r="L3019">
        <v>1</v>
      </c>
      <c r="M3019" t="str">
        <f>"יח"</f>
        <v>יח</v>
      </c>
      <c r="N3019">
        <v>1</v>
      </c>
      <c r="O3019" t="str">
        <f>"יח"</f>
        <v>יח</v>
      </c>
      <c r="P3019">
        <v>739.39</v>
      </c>
      <c r="Q3019" t="str">
        <f>"$"</f>
        <v>$</v>
      </c>
      <c r="R3019" t="str">
        <f>"הזמנה"</f>
        <v>הזמנה</v>
      </c>
      <c r="S3019">
        <v>0</v>
      </c>
      <c r="T3019">
        <v>739.39</v>
      </c>
      <c r="U3019">
        <v>0</v>
      </c>
      <c r="V3019">
        <v>739.39</v>
      </c>
      <c r="W3019" t="str">
        <f>"$"</f>
        <v>$</v>
      </c>
      <c r="X3019">
        <v>0</v>
      </c>
      <c r="Y3019">
        <v>0</v>
      </c>
      <c r="Z3019">
        <v>0</v>
      </c>
      <c r="AA3019" t="str">
        <f>"Y"</f>
        <v>Y</v>
      </c>
      <c r="AB3019" t="str">
        <f>"SO20000319"</f>
        <v>SO20000319</v>
      </c>
      <c r="AC3019">
        <v>8</v>
      </c>
      <c r="AD3019" s="1">
        <v>44034</v>
      </c>
      <c r="AE3019" t="str">
        <f>"SH21000135"</f>
        <v>SH21000135</v>
      </c>
      <c r="AF3019" t="str">
        <f>"משלוחים ללקוח"</f>
        <v>משלוחים ללקוח</v>
      </c>
      <c r="AG3019" s="1">
        <v>44221</v>
      </c>
      <c r="AM3019" t="str">
        <f>"10"</f>
        <v>10</v>
      </c>
      <c r="AN3019" t="str">
        <f>"500000"</f>
        <v>500000</v>
      </c>
      <c r="AO3019" t="str">
        <f>"הכנסות  מלקוחות"</f>
        <v>הכנסות  מלקוחות</v>
      </c>
      <c r="AQ3019" t="str">
        <f>"034"</f>
        <v>034</v>
      </c>
      <c r="AR3019">
        <v>0</v>
      </c>
      <c r="AS3019">
        <v>0</v>
      </c>
      <c r="AT3019">
        <v>3.2639999999999998</v>
      </c>
      <c r="AX3019" t="str">
        <f>"E000316766"</f>
        <v>E000316766</v>
      </c>
      <c r="BD3019" t="str">
        <f>"ערן שלו"</f>
        <v>ערן שלו</v>
      </c>
    </row>
    <row r="3020" spans="1:56" x14ac:dyDescent="0.3">
      <c r="A3020" s="1">
        <v>44223</v>
      </c>
      <c r="B3020" t="str">
        <f>"SI216000105"</f>
        <v>SI216000105</v>
      </c>
      <c r="C3020" t="str">
        <f>"PR20000499"</f>
        <v>PR20000499</v>
      </c>
      <c r="D3020" t="str">
        <f>"PR20000499"</f>
        <v>PR20000499</v>
      </c>
      <c r="E3020" t="str">
        <f>"Y"</f>
        <v>Y</v>
      </c>
      <c r="F3020" t="str">
        <f>"חשבוניות מרכזות"</f>
        <v>חשבוניות מרכזות</v>
      </c>
      <c r="G3020" t="str">
        <f>"700065"</f>
        <v>700065</v>
      </c>
      <c r="H3020" t="str">
        <f>"אלתא מערכות בע""מ"</f>
        <v>אלתא מערכות בע"מ</v>
      </c>
      <c r="I3020" t="str">
        <f>"10"</f>
        <v>10</v>
      </c>
      <c r="J3020" t="str">
        <f>"OP-AR01909"</f>
        <v>OP-AR01909</v>
      </c>
      <c r="K3020" t="str">
        <f>"1021L536-001/C2 CABLE ASSY 1W23"</f>
        <v>1021L536-001/C2 CABLE ASSY 1W23</v>
      </c>
      <c r="L3020">
        <v>1</v>
      </c>
      <c r="M3020" t="str">
        <f>"יח"</f>
        <v>יח</v>
      </c>
      <c r="N3020">
        <v>1</v>
      </c>
      <c r="O3020" t="str">
        <f>"יח"</f>
        <v>יח</v>
      </c>
      <c r="P3020">
        <v>140</v>
      </c>
      <c r="Q3020" t="str">
        <f>"$"</f>
        <v>$</v>
      </c>
      <c r="R3020" t="str">
        <f>"הזמנה"</f>
        <v>הזמנה</v>
      </c>
      <c r="S3020">
        <v>0</v>
      </c>
      <c r="T3020">
        <v>140</v>
      </c>
      <c r="U3020">
        <v>0</v>
      </c>
      <c r="V3020">
        <v>140</v>
      </c>
      <c r="W3020" t="str">
        <f>"$"</f>
        <v>$</v>
      </c>
      <c r="X3020">
        <v>0</v>
      </c>
      <c r="Y3020">
        <v>0</v>
      </c>
      <c r="Z3020">
        <v>0</v>
      </c>
      <c r="AA3020" t="str">
        <f>"Y"</f>
        <v>Y</v>
      </c>
      <c r="AB3020" t="str">
        <f>"SO20000305"</f>
        <v>SO20000305</v>
      </c>
      <c r="AC3020">
        <v>3</v>
      </c>
      <c r="AD3020" s="1">
        <v>44031</v>
      </c>
      <c r="AE3020" t="str">
        <f>"SH21000134"</f>
        <v>SH21000134</v>
      </c>
      <c r="AF3020" t="str">
        <f>"משלוחים ללקוח"</f>
        <v>משלוחים ללקוח</v>
      </c>
      <c r="AG3020" s="1">
        <v>44221</v>
      </c>
      <c r="AM3020" t="str">
        <f>"10"</f>
        <v>10</v>
      </c>
      <c r="AN3020" t="str">
        <f>"500000"</f>
        <v>500000</v>
      </c>
      <c r="AO3020" t="str">
        <f>"הכנסות  מלקוחות"</f>
        <v>הכנסות  מלקוחות</v>
      </c>
      <c r="AQ3020" t="str">
        <f>"034"</f>
        <v>034</v>
      </c>
      <c r="AR3020">
        <v>0</v>
      </c>
      <c r="AS3020">
        <v>0</v>
      </c>
      <c r="AT3020">
        <v>3.2639999999999998</v>
      </c>
      <c r="AX3020" t="str">
        <f>"E000315878"</f>
        <v>E000315878</v>
      </c>
      <c r="BD3020" t="str">
        <f>"ערן שלו"</f>
        <v>ערן שלו</v>
      </c>
    </row>
    <row r="3021" spans="1:56" x14ac:dyDescent="0.3">
      <c r="A3021" s="1">
        <v>44223</v>
      </c>
      <c r="B3021" t="str">
        <f>"SI216000105"</f>
        <v>SI216000105</v>
      </c>
      <c r="C3021" t="str">
        <f>"PR20000499"</f>
        <v>PR20000499</v>
      </c>
      <c r="D3021" t="str">
        <f>"PR20000499"</f>
        <v>PR20000499</v>
      </c>
      <c r="E3021" t="str">
        <f>"Y"</f>
        <v>Y</v>
      </c>
      <c r="F3021" t="str">
        <f>"חשבוניות מרכזות"</f>
        <v>חשבוניות מרכזות</v>
      </c>
      <c r="G3021" t="str">
        <f>"700065"</f>
        <v>700065</v>
      </c>
      <c r="H3021" t="str">
        <f>"אלתא מערכות בע""מ"</f>
        <v>אלתא מערכות בע"מ</v>
      </c>
      <c r="I3021" t="str">
        <f>"10"</f>
        <v>10</v>
      </c>
      <c r="J3021" t="str">
        <f>"OP-AR01961"</f>
        <v>OP-AR01961</v>
      </c>
      <c r="K3021" t="str">
        <f>"1013P656-001/B CABLE ASSY 1W28"</f>
        <v>1013P656-001/B CABLE ASSY 1W28</v>
      </c>
      <c r="L3021">
        <v>1</v>
      </c>
      <c r="M3021" t="str">
        <f>"יח"</f>
        <v>יח</v>
      </c>
      <c r="N3021">
        <v>1</v>
      </c>
      <c r="O3021" t="str">
        <f>"יח"</f>
        <v>יח</v>
      </c>
      <c r="P3021" s="2">
        <v>1754.09</v>
      </c>
      <c r="Q3021" t="str">
        <f>"$"</f>
        <v>$</v>
      </c>
      <c r="R3021" t="str">
        <f>"הזמנה"</f>
        <v>הזמנה</v>
      </c>
      <c r="S3021">
        <v>0</v>
      </c>
      <c r="T3021" s="2">
        <v>1754.09</v>
      </c>
      <c r="U3021">
        <v>0</v>
      </c>
      <c r="V3021" s="2">
        <v>1754.09</v>
      </c>
      <c r="W3021" t="str">
        <f>"$"</f>
        <v>$</v>
      </c>
      <c r="X3021">
        <v>0</v>
      </c>
      <c r="Y3021">
        <v>0</v>
      </c>
      <c r="Z3021">
        <v>0</v>
      </c>
      <c r="AA3021" t="str">
        <f>"Y"</f>
        <v>Y</v>
      </c>
      <c r="AB3021" t="str">
        <f>"SO20000305"</f>
        <v>SO20000305</v>
      </c>
      <c r="AC3021">
        <v>13</v>
      </c>
      <c r="AD3021" s="1">
        <v>44031</v>
      </c>
      <c r="AE3021" t="str">
        <f>"SH21000134"</f>
        <v>SH21000134</v>
      </c>
      <c r="AF3021" t="str">
        <f>"משלוחים ללקוח"</f>
        <v>משלוחים ללקוח</v>
      </c>
      <c r="AG3021" s="1">
        <v>44221</v>
      </c>
      <c r="AM3021" t="str">
        <f>"10"</f>
        <v>10</v>
      </c>
      <c r="AN3021" t="str">
        <f>"500000"</f>
        <v>500000</v>
      </c>
      <c r="AO3021" t="str">
        <f>"הכנסות  מלקוחות"</f>
        <v>הכנסות  מלקוחות</v>
      </c>
      <c r="AQ3021" t="str">
        <f>"034"</f>
        <v>034</v>
      </c>
      <c r="AR3021">
        <v>0</v>
      </c>
      <c r="AS3021">
        <v>0</v>
      </c>
      <c r="AT3021">
        <v>3.2639999999999998</v>
      </c>
      <c r="AX3021" t="str">
        <f>"E000315878"</f>
        <v>E000315878</v>
      </c>
      <c r="BD3021" t="str">
        <f>"ערן שלו"</f>
        <v>ערן שלו</v>
      </c>
    </row>
    <row r="3022" spans="1:56" x14ac:dyDescent="0.3">
      <c r="A3022" s="1">
        <v>44223</v>
      </c>
      <c r="B3022" t="str">
        <f>"SI216000104"</f>
        <v>SI216000104</v>
      </c>
      <c r="C3022" t="str">
        <f>"PR20000570"</f>
        <v>PR20000570</v>
      </c>
      <c r="D3022" t="str">
        <f>"PR20000570"</f>
        <v>PR20000570</v>
      </c>
      <c r="E3022" t="str">
        <f>"Y"</f>
        <v>Y</v>
      </c>
      <c r="F3022" t="str">
        <f>"חשבוניות מרכזות"</f>
        <v>חשבוניות מרכזות</v>
      </c>
      <c r="G3022" t="str">
        <f>"700065"</f>
        <v>700065</v>
      </c>
      <c r="H3022" t="str">
        <f>"אלתא מערכות בע""מ"</f>
        <v>אלתא מערכות בע"מ</v>
      </c>
      <c r="I3022" t="str">
        <f>"10"</f>
        <v>10</v>
      </c>
      <c r="J3022" t="str">
        <f>"OP-AR01754"</f>
        <v>OP-AR01754</v>
      </c>
      <c r="K3022" t="str">
        <f>"1036U446-001 WP446 - POWER 48VDC CHARGER TO PDB"</f>
        <v>1036U446-001 WP446 - POWER 48VDC CHARGER TO PDB</v>
      </c>
      <c r="L3022">
        <v>4</v>
      </c>
      <c r="M3022" t="str">
        <f>"יח"</f>
        <v>יח</v>
      </c>
      <c r="N3022">
        <v>4</v>
      </c>
      <c r="O3022" t="str">
        <f>"יח"</f>
        <v>יח</v>
      </c>
      <c r="P3022">
        <v>489.53</v>
      </c>
      <c r="Q3022" t="str">
        <f>"$"</f>
        <v>$</v>
      </c>
      <c r="R3022" t="str">
        <f>"הזמנה"</f>
        <v>הזמנה</v>
      </c>
      <c r="S3022">
        <v>0</v>
      </c>
      <c r="T3022" s="2">
        <v>1958.12</v>
      </c>
      <c r="U3022">
        <v>0</v>
      </c>
      <c r="V3022" s="2">
        <v>1958.12</v>
      </c>
      <c r="W3022" t="str">
        <f>"$"</f>
        <v>$</v>
      </c>
      <c r="X3022">
        <v>0</v>
      </c>
      <c r="Y3022">
        <v>0</v>
      </c>
      <c r="Z3022">
        <v>0</v>
      </c>
      <c r="AA3022" t="str">
        <f>"Y"</f>
        <v>Y</v>
      </c>
      <c r="AB3022" t="str">
        <f>"SO20000367"</f>
        <v>SO20000367</v>
      </c>
      <c r="AC3022">
        <v>3</v>
      </c>
      <c r="AD3022" s="1">
        <v>44067</v>
      </c>
      <c r="AE3022" t="str">
        <f>"SH21000136"</f>
        <v>SH21000136</v>
      </c>
      <c r="AF3022" t="str">
        <f>"משלוחים ללקוח"</f>
        <v>משלוחים ללקוח</v>
      </c>
      <c r="AG3022" s="1">
        <v>44221</v>
      </c>
      <c r="AM3022" t="str">
        <f>"10"</f>
        <v>10</v>
      </c>
      <c r="AN3022" t="str">
        <f>"500000"</f>
        <v>500000</v>
      </c>
      <c r="AO3022" t="str">
        <f>"הכנסות  מלקוחות"</f>
        <v>הכנסות  מלקוחות</v>
      </c>
      <c r="AQ3022" t="str">
        <f>"034"</f>
        <v>034</v>
      </c>
      <c r="AR3022">
        <v>0</v>
      </c>
      <c r="AS3022">
        <v>0</v>
      </c>
      <c r="AT3022">
        <v>3.2639999999999998</v>
      </c>
      <c r="AX3022" t="str">
        <f>"E000319026"</f>
        <v>E000319026</v>
      </c>
      <c r="BD3022" t="str">
        <f>"ערן שלו"</f>
        <v>ערן שלו</v>
      </c>
    </row>
    <row r="3023" spans="1:56" x14ac:dyDescent="0.3">
      <c r="A3023" s="1">
        <v>44223</v>
      </c>
      <c r="B3023" t="str">
        <f>"SI216000104"</f>
        <v>SI216000104</v>
      </c>
      <c r="C3023" t="str">
        <f>"PR20000570"</f>
        <v>PR20000570</v>
      </c>
      <c r="D3023" t="str">
        <f>"PR20000570"</f>
        <v>PR20000570</v>
      </c>
      <c r="E3023" t="str">
        <f>"Y"</f>
        <v>Y</v>
      </c>
      <c r="F3023" t="str">
        <f>"חשבוניות מרכזות"</f>
        <v>חשבוניות מרכזות</v>
      </c>
      <c r="G3023" t="str">
        <f>"700065"</f>
        <v>700065</v>
      </c>
      <c r="H3023" t="str">
        <f>"אלתא מערכות בע""מ"</f>
        <v>אלתא מערכות בע"מ</v>
      </c>
      <c r="I3023" t="str">
        <f>"10"</f>
        <v>10</v>
      </c>
      <c r="J3023" t="str">
        <f>"OP-AR01755"</f>
        <v>OP-AR01755</v>
      </c>
      <c r="K3023" t="str">
        <f>"1036U445-001 WP445 - CONTROL 48VDC BATTERY TO CH"</f>
        <v>1036U445-001 WP445 - CONTROL 48VDC BATTERY TO CH</v>
      </c>
      <c r="L3023">
        <v>4</v>
      </c>
      <c r="M3023" t="str">
        <f>"יח"</f>
        <v>יח</v>
      </c>
      <c r="N3023">
        <v>4</v>
      </c>
      <c r="O3023" t="str">
        <f>"יח"</f>
        <v>יח</v>
      </c>
      <c r="P3023">
        <v>532.86</v>
      </c>
      <c r="Q3023" t="str">
        <f>"$"</f>
        <v>$</v>
      </c>
      <c r="R3023" t="str">
        <f>"הזמנה"</f>
        <v>הזמנה</v>
      </c>
      <c r="S3023">
        <v>0</v>
      </c>
      <c r="T3023" s="2">
        <v>2131.44</v>
      </c>
      <c r="U3023">
        <v>0</v>
      </c>
      <c r="V3023" s="2">
        <v>2131.44</v>
      </c>
      <c r="W3023" t="str">
        <f>"$"</f>
        <v>$</v>
      </c>
      <c r="X3023">
        <v>0</v>
      </c>
      <c r="Y3023">
        <v>0</v>
      </c>
      <c r="Z3023">
        <v>0</v>
      </c>
      <c r="AA3023" t="str">
        <f>"Y"</f>
        <v>Y</v>
      </c>
      <c r="AB3023" t="str">
        <f>"SO20000367"</f>
        <v>SO20000367</v>
      </c>
      <c r="AC3023">
        <v>12</v>
      </c>
      <c r="AD3023" s="1">
        <v>44067</v>
      </c>
      <c r="AE3023" t="str">
        <f>"SH21000136"</f>
        <v>SH21000136</v>
      </c>
      <c r="AF3023" t="str">
        <f>"משלוחים ללקוח"</f>
        <v>משלוחים ללקוח</v>
      </c>
      <c r="AG3023" s="1">
        <v>44221</v>
      </c>
      <c r="AM3023" t="str">
        <f>"10"</f>
        <v>10</v>
      </c>
      <c r="AN3023" t="str">
        <f>"500000"</f>
        <v>500000</v>
      </c>
      <c r="AO3023" t="str">
        <f>"הכנסות  מלקוחות"</f>
        <v>הכנסות  מלקוחות</v>
      </c>
      <c r="AQ3023" t="str">
        <f>"034"</f>
        <v>034</v>
      </c>
      <c r="AR3023">
        <v>0</v>
      </c>
      <c r="AS3023">
        <v>0</v>
      </c>
      <c r="AT3023">
        <v>3.2639999999999998</v>
      </c>
      <c r="AX3023" t="str">
        <f>"E000319026"</f>
        <v>E000319026</v>
      </c>
      <c r="BD3023" t="str">
        <f>"ערן שלו"</f>
        <v>ערן שלו</v>
      </c>
    </row>
    <row r="3024" spans="1:56" x14ac:dyDescent="0.3">
      <c r="A3024" s="1">
        <v>44221</v>
      </c>
      <c r="B3024" t="str">
        <f>"SI216000115"</f>
        <v>SI216000115</v>
      </c>
      <c r="C3024" t="str">
        <f>"PR20000623"</f>
        <v>PR20000623</v>
      </c>
      <c r="E3024" t="str">
        <f>"Y"</f>
        <v>Y</v>
      </c>
      <c r="F3024" t="str">
        <f>"חשבוניות מרכזות"</f>
        <v>חשבוניות מרכזות</v>
      </c>
      <c r="G3024" t="str">
        <f>"700065"</f>
        <v>700065</v>
      </c>
      <c r="H3024" t="str">
        <f>"אלתא מערכות בע""מ"</f>
        <v>אלתא מערכות בע"מ</v>
      </c>
      <c r="I3024" t="str">
        <f>"10"</f>
        <v>10</v>
      </c>
      <c r="J3024" t="str">
        <f>"OP-AR02017"</f>
        <v>OP-AR02017</v>
      </c>
      <c r="K3024" t="str">
        <f>"1013P130-003 CABLE ASSY 1W47 - FULL CUST"</f>
        <v>1013P130-003 CABLE ASSY 1W47 - FULL CUST</v>
      </c>
      <c r="L3024">
        <v>-10</v>
      </c>
      <c r="M3024" t="str">
        <f>"יח"</f>
        <v>יח</v>
      </c>
      <c r="N3024">
        <v>-10</v>
      </c>
      <c r="O3024" t="str">
        <f>"יח"</f>
        <v>יח</v>
      </c>
      <c r="P3024">
        <v>494</v>
      </c>
      <c r="Q3024" t="str">
        <f>"$"</f>
        <v>$</v>
      </c>
      <c r="R3024" t="str">
        <f>"הזמנה"</f>
        <v>הזמנה</v>
      </c>
      <c r="S3024">
        <v>0</v>
      </c>
      <c r="T3024" s="2">
        <v>-4940</v>
      </c>
      <c r="U3024">
        <v>0</v>
      </c>
      <c r="V3024" s="2">
        <v>-4940</v>
      </c>
      <c r="W3024" t="str">
        <f>"$"</f>
        <v>$</v>
      </c>
      <c r="X3024">
        <v>0</v>
      </c>
      <c r="Y3024">
        <v>0</v>
      </c>
      <c r="Z3024">
        <v>0</v>
      </c>
      <c r="AA3024" t="str">
        <f>"Y"</f>
        <v>Y</v>
      </c>
      <c r="AC3024">
        <v>0</v>
      </c>
      <c r="AM3024" t="str">
        <f>"10"</f>
        <v>10</v>
      </c>
      <c r="AN3024" t="str">
        <f>"500000"</f>
        <v>500000</v>
      </c>
      <c r="AO3024" t="str">
        <f>"הכנסות  מלקוחות"</f>
        <v>הכנסות  מלקוחות</v>
      </c>
      <c r="AQ3024" t="str">
        <f>"034"</f>
        <v>034</v>
      </c>
      <c r="AR3024">
        <v>0</v>
      </c>
      <c r="AS3024">
        <v>0</v>
      </c>
      <c r="AT3024">
        <v>3.28</v>
      </c>
      <c r="BB3024" t="str">
        <f>"Y"</f>
        <v>Y</v>
      </c>
      <c r="BD3024" t="str">
        <f>"ערן שלו"</f>
        <v>ערן שלו</v>
      </c>
    </row>
    <row r="3025" spans="1:56" x14ac:dyDescent="0.3">
      <c r="A3025" s="1">
        <v>44221</v>
      </c>
      <c r="B3025" t="str">
        <f>"SI216000080"</f>
        <v>SI216000080</v>
      </c>
      <c r="C3025" t="str">
        <f>"PR20000849"</f>
        <v>PR20000849</v>
      </c>
      <c r="E3025" t="str">
        <f>"Y"</f>
        <v>Y</v>
      </c>
      <c r="F3025" t="str">
        <f>"חשבוניות מרכזות"</f>
        <v>חשבוניות מרכזות</v>
      </c>
      <c r="G3025" t="str">
        <f>"700065"</f>
        <v>700065</v>
      </c>
      <c r="H3025" t="str">
        <f>"אלתא מערכות בע""מ"</f>
        <v>אלתא מערכות בע"מ</v>
      </c>
      <c r="I3025" t="str">
        <f>"10"</f>
        <v>10</v>
      </c>
      <c r="J3025" t="str">
        <f>"OP-AR02152"</f>
        <v>OP-AR02152</v>
      </c>
      <c r="K3025" t="str">
        <f>"2018E040-001   INS JTAG CABLE - מק""ט לא פעיל"</f>
        <v>2018E040-001   INS JTAG CABLE - מק"ט לא פעיל</v>
      </c>
      <c r="L3025">
        <v>1</v>
      </c>
      <c r="M3025" t="str">
        <f>"יח"</f>
        <v>יח</v>
      </c>
      <c r="N3025">
        <v>1</v>
      </c>
      <c r="O3025" t="str">
        <f>"יח"</f>
        <v>יח</v>
      </c>
      <c r="P3025">
        <v>214.81</v>
      </c>
      <c r="Q3025" t="str">
        <f>"$"</f>
        <v>$</v>
      </c>
      <c r="R3025" t="str">
        <f>"הזמנה"</f>
        <v>הזמנה</v>
      </c>
      <c r="S3025">
        <v>0</v>
      </c>
      <c r="T3025">
        <v>214.81</v>
      </c>
      <c r="U3025">
        <v>0</v>
      </c>
      <c r="V3025">
        <v>214.81</v>
      </c>
      <c r="W3025" t="str">
        <f>"$"</f>
        <v>$</v>
      </c>
      <c r="X3025">
        <v>0</v>
      </c>
      <c r="Y3025">
        <v>0</v>
      </c>
      <c r="Z3025">
        <v>0</v>
      </c>
      <c r="AA3025" t="str">
        <f>"Y"</f>
        <v>Y</v>
      </c>
      <c r="AB3025" t="str">
        <f>"SO20000553"</f>
        <v>SO20000553</v>
      </c>
      <c r="AC3025">
        <v>1</v>
      </c>
      <c r="AD3025" s="1">
        <v>44166</v>
      </c>
      <c r="AE3025" t="str">
        <f>"SH21000106"</f>
        <v>SH21000106</v>
      </c>
      <c r="AF3025" t="str">
        <f>"משלוחים ללקוח"</f>
        <v>משלוחים ללקוח</v>
      </c>
      <c r="AG3025" s="1">
        <v>44216</v>
      </c>
      <c r="AM3025" t="str">
        <f>"10"</f>
        <v>10</v>
      </c>
      <c r="AN3025" t="str">
        <f>"500000"</f>
        <v>500000</v>
      </c>
      <c r="AO3025" t="str">
        <f>"הכנסות  מלקוחות"</f>
        <v>הכנסות  מלקוחות</v>
      </c>
      <c r="AQ3025" t="str">
        <f>"034"</f>
        <v>034</v>
      </c>
      <c r="AR3025">
        <v>0</v>
      </c>
      <c r="AS3025">
        <v>0</v>
      </c>
      <c r="AT3025">
        <v>3.28</v>
      </c>
      <c r="AX3025" t="str">
        <f>"E000327422"</f>
        <v>E000327422</v>
      </c>
      <c r="BD3025" t="str">
        <f>"ערן שלו"</f>
        <v>ערן שלו</v>
      </c>
    </row>
    <row r="3026" spans="1:56" x14ac:dyDescent="0.3">
      <c r="A3026" s="1">
        <v>44221</v>
      </c>
      <c r="B3026" t="str">
        <f>"SI216000079"</f>
        <v>SI216000079</v>
      </c>
      <c r="C3026" t="str">
        <f>"PR20000623"</f>
        <v>PR20000623</v>
      </c>
      <c r="E3026" t="str">
        <f>"Y"</f>
        <v>Y</v>
      </c>
      <c r="F3026" t="str">
        <f>"חשבוניות מרכזות"</f>
        <v>חשבוניות מרכזות</v>
      </c>
      <c r="G3026" t="str">
        <f>"700065"</f>
        <v>700065</v>
      </c>
      <c r="H3026" t="str">
        <f>"אלתא מערכות בע""מ"</f>
        <v>אלתא מערכות בע"מ</v>
      </c>
      <c r="I3026" t="str">
        <f>"10"</f>
        <v>10</v>
      </c>
      <c r="J3026" t="str">
        <f>"OP-AR02017"</f>
        <v>OP-AR02017</v>
      </c>
      <c r="K3026" t="str">
        <f>"1013P130-003 CABLE ASSY 1W47 - FULL CUST"</f>
        <v>1013P130-003 CABLE ASSY 1W47 - FULL CUST</v>
      </c>
      <c r="L3026">
        <v>10</v>
      </c>
      <c r="M3026" t="str">
        <f>"יח"</f>
        <v>יח</v>
      </c>
      <c r="N3026">
        <v>10</v>
      </c>
      <c r="O3026" t="str">
        <f>"יח"</f>
        <v>יח</v>
      </c>
      <c r="P3026">
        <v>494</v>
      </c>
      <c r="Q3026" t="str">
        <f>"$"</f>
        <v>$</v>
      </c>
      <c r="R3026" t="str">
        <f>"הזמנה"</f>
        <v>הזמנה</v>
      </c>
      <c r="S3026">
        <v>0</v>
      </c>
      <c r="T3026" s="2">
        <v>4940</v>
      </c>
      <c r="U3026">
        <v>0</v>
      </c>
      <c r="V3026" s="2">
        <v>4940</v>
      </c>
      <c r="W3026" t="str">
        <f>"$"</f>
        <v>$</v>
      </c>
      <c r="X3026">
        <v>0</v>
      </c>
      <c r="Y3026">
        <v>0</v>
      </c>
      <c r="Z3026">
        <v>0</v>
      </c>
      <c r="AA3026" t="str">
        <f>"Y"</f>
        <v>Y</v>
      </c>
      <c r="AC3026">
        <v>0</v>
      </c>
      <c r="AM3026" t="str">
        <f>"10"</f>
        <v>10</v>
      </c>
      <c r="AN3026" t="str">
        <f>"500000"</f>
        <v>500000</v>
      </c>
      <c r="AO3026" t="str">
        <f>"הכנסות  מלקוחות"</f>
        <v>הכנסות  מלקוחות</v>
      </c>
      <c r="AQ3026" t="str">
        <f>"034"</f>
        <v>034</v>
      </c>
      <c r="AR3026">
        <v>0</v>
      </c>
      <c r="AS3026">
        <v>0</v>
      </c>
      <c r="AT3026">
        <v>3.28</v>
      </c>
      <c r="BB3026" t="str">
        <f>"Y"</f>
        <v>Y</v>
      </c>
      <c r="BD3026" t="str">
        <f>"ערן שלו"</f>
        <v>ערן שלו</v>
      </c>
    </row>
    <row r="3027" spans="1:56" x14ac:dyDescent="0.3">
      <c r="A3027" s="1">
        <v>44221</v>
      </c>
      <c r="B3027" t="str">
        <f>"SI216000077"</f>
        <v>SI216000077</v>
      </c>
      <c r="C3027" t="str">
        <f>"PR20000502"</f>
        <v>PR20000502</v>
      </c>
      <c r="D3027" t="str">
        <f>"PR20000502"</f>
        <v>PR20000502</v>
      </c>
      <c r="E3027" t="str">
        <f>"Y"</f>
        <v>Y</v>
      </c>
      <c r="F3027" t="str">
        <f>"חשבוניות מרכזות"</f>
        <v>חשבוניות מרכזות</v>
      </c>
      <c r="G3027" t="str">
        <f>"700065"</f>
        <v>700065</v>
      </c>
      <c r="H3027" t="str">
        <f>"אלתא מערכות בע""מ"</f>
        <v>אלתא מערכות בע"מ</v>
      </c>
      <c r="I3027" t="str">
        <f>"10"</f>
        <v>10</v>
      </c>
      <c r="J3027" t="str">
        <f>"OP-AR01922"</f>
        <v>OP-AR01922</v>
      </c>
      <c r="K3027" t="str">
        <f>"2114B154-001/A  BLKXW3 CABLE ASSY (MSTU POWER)"</f>
        <v>2114B154-001/A  BLKXW3 CABLE ASSY (MSTU POWER)</v>
      </c>
      <c r="L3027">
        <v>3</v>
      </c>
      <c r="M3027" t="str">
        <f>"יח"</f>
        <v>יח</v>
      </c>
      <c r="N3027">
        <v>3</v>
      </c>
      <c r="O3027" t="str">
        <f>"יח"</f>
        <v>יח</v>
      </c>
      <c r="P3027">
        <v>622.49</v>
      </c>
      <c r="Q3027" t="str">
        <f>"$"</f>
        <v>$</v>
      </c>
      <c r="R3027" t="str">
        <f>"הזמנה"</f>
        <v>הזמנה</v>
      </c>
      <c r="S3027">
        <v>0</v>
      </c>
      <c r="T3027" s="2">
        <v>1867.47</v>
      </c>
      <c r="U3027">
        <v>0</v>
      </c>
      <c r="V3027" s="2">
        <v>1867.47</v>
      </c>
      <c r="W3027" t="str">
        <f>"$"</f>
        <v>$</v>
      </c>
      <c r="X3027">
        <v>0</v>
      </c>
      <c r="Y3027">
        <v>0</v>
      </c>
      <c r="Z3027">
        <v>0</v>
      </c>
      <c r="AA3027" t="str">
        <f>"Y"</f>
        <v>Y</v>
      </c>
      <c r="AB3027" t="str">
        <f>"SO20000309"</f>
        <v>SO20000309</v>
      </c>
      <c r="AC3027">
        <v>2</v>
      </c>
      <c r="AD3027" s="1">
        <v>44031</v>
      </c>
      <c r="AE3027" t="str">
        <f>"SH21000103"</f>
        <v>SH21000103</v>
      </c>
      <c r="AF3027" t="str">
        <f>"משלוחים ללקוח"</f>
        <v>משלוחים ללקוח</v>
      </c>
      <c r="AG3027" s="1">
        <v>44216</v>
      </c>
      <c r="AM3027" t="str">
        <f>"10"</f>
        <v>10</v>
      </c>
      <c r="AN3027" t="str">
        <f>"500000"</f>
        <v>500000</v>
      </c>
      <c r="AO3027" t="str">
        <f>"הכנסות  מלקוחות"</f>
        <v>הכנסות  מלקוחות</v>
      </c>
      <c r="AQ3027" t="str">
        <f>"034"</f>
        <v>034</v>
      </c>
      <c r="AR3027">
        <v>0</v>
      </c>
      <c r="AS3027">
        <v>0</v>
      </c>
      <c r="AT3027">
        <v>3.28</v>
      </c>
      <c r="AX3027" t="str">
        <f>"E000316387"</f>
        <v>E000316387</v>
      </c>
      <c r="BD3027" t="str">
        <f>"ערן שלו"</f>
        <v>ערן שלו</v>
      </c>
    </row>
    <row r="3028" spans="1:56" x14ac:dyDescent="0.3">
      <c r="A3028" s="1">
        <v>44221</v>
      </c>
      <c r="B3028" t="str">
        <f>"SI216000077"</f>
        <v>SI216000077</v>
      </c>
      <c r="C3028" t="str">
        <f>"PR20000502"</f>
        <v>PR20000502</v>
      </c>
      <c r="D3028" t="str">
        <f>"PR20000502"</f>
        <v>PR20000502</v>
      </c>
      <c r="E3028" t="str">
        <f>"Y"</f>
        <v>Y</v>
      </c>
      <c r="F3028" t="str">
        <f>"חשבוניות מרכזות"</f>
        <v>חשבוניות מרכזות</v>
      </c>
      <c r="G3028" t="str">
        <f>"700065"</f>
        <v>700065</v>
      </c>
      <c r="H3028" t="str">
        <f>"אלתא מערכות בע""מ"</f>
        <v>אלתא מערכות בע"מ</v>
      </c>
      <c r="I3028" t="str">
        <f>"10"</f>
        <v>10</v>
      </c>
      <c r="J3028" t="str">
        <f>"OP-AR01928"</f>
        <v>OP-AR01928</v>
      </c>
      <c r="K3028" t="str">
        <f>"2109B892-001/-  GHXW7 CABLE ASSY (PR GU TRU CTRL"</f>
        <v>2109B892-001/-  GHXW7 CABLE ASSY (PR GU TRU CTRL</v>
      </c>
      <c r="L3028">
        <v>2</v>
      </c>
      <c r="M3028" t="str">
        <f>"יח"</f>
        <v>יח</v>
      </c>
      <c r="N3028">
        <v>2</v>
      </c>
      <c r="O3028" t="str">
        <f>"יח"</f>
        <v>יח</v>
      </c>
      <c r="P3028">
        <v>608.84</v>
      </c>
      <c r="Q3028" t="str">
        <f>"$"</f>
        <v>$</v>
      </c>
      <c r="R3028" t="str">
        <f>"הזמנה"</f>
        <v>הזמנה</v>
      </c>
      <c r="S3028">
        <v>0</v>
      </c>
      <c r="T3028" s="2">
        <v>1217.68</v>
      </c>
      <c r="U3028">
        <v>0</v>
      </c>
      <c r="V3028" s="2">
        <v>1217.68</v>
      </c>
      <c r="W3028" t="str">
        <f>"$"</f>
        <v>$</v>
      </c>
      <c r="X3028">
        <v>0</v>
      </c>
      <c r="Y3028">
        <v>0</v>
      </c>
      <c r="Z3028">
        <v>0</v>
      </c>
      <c r="AA3028" t="str">
        <f>"Y"</f>
        <v>Y</v>
      </c>
      <c r="AB3028" t="str">
        <f>"SO20000309"</f>
        <v>SO20000309</v>
      </c>
      <c r="AC3028">
        <v>8</v>
      </c>
      <c r="AD3028" s="1">
        <v>44031</v>
      </c>
      <c r="AE3028" t="str">
        <f>"SH21000103"</f>
        <v>SH21000103</v>
      </c>
      <c r="AF3028" t="str">
        <f>"משלוחים ללקוח"</f>
        <v>משלוחים ללקוח</v>
      </c>
      <c r="AG3028" s="1">
        <v>44216</v>
      </c>
      <c r="AM3028" t="str">
        <f>"10"</f>
        <v>10</v>
      </c>
      <c r="AN3028" t="str">
        <f>"500000"</f>
        <v>500000</v>
      </c>
      <c r="AO3028" t="str">
        <f>"הכנסות  מלקוחות"</f>
        <v>הכנסות  מלקוחות</v>
      </c>
      <c r="AQ3028" t="str">
        <f>"034"</f>
        <v>034</v>
      </c>
      <c r="AR3028">
        <v>0</v>
      </c>
      <c r="AS3028">
        <v>0</v>
      </c>
      <c r="AT3028">
        <v>3.28</v>
      </c>
      <c r="AX3028" t="str">
        <f>"E000316387"</f>
        <v>E000316387</v>
      </c>
      <c r="BD3028" t="str">
        <f>"ערן שלו"</f>
        <v>ערן שלו</v>
      </c>
    </row>
    <row r="3029" spans="1:56" x14ac:dyDescent="0.3">
      <c r="A3029" s="1">
        <v>44218</v>
      </c>
      <c r="B3029" t="str">
        <f>"SI216000114"</f>
        <v>SI216000114</v>
      </c>
      <c r="C3029" t="str">
        <f>"PR20000799"</f>
        <v>PR20000799</v>
      </c>
      <c r="D3029" t="str">
        <f>"PR20000799"</f>
        <v>PR20000799</v>
      </c>
      <c r="E3029" t="str">
        <f>"Y"</f>
        <v>Y</v>
      </c>
      <c r="F3029" t="str">
        <f>"חשבוניות מרכזות"</f>
        <v>חשבוניות מרכזות</v>
      </c>
      <c r="G3029" t="str">
        <f>"700065"</f>
        <v>700065</v>
      </c>
      <c r="H3029" t="str">
        <f>"אלתא מערכות בע""מ"</f>
        <v>אלתא מערכות בע"מ</v>
      </c>
      <c r="I3029" t="str">
        <f>"10"</f>
        <v>10</v>
      </c>
      <c r="J3029" t="str">
        <f>"OP-AR02091"</f>
        <v>OP-AR02091</v>
      </c>
      <c r="K3029" t="str">
        <f>"1034L739-001/-  CU RCU ANT LAB CABEL"</f>
        <v>1034L739-001/-  CU RCU ANT LAB CABEL</v>
      </c>
      <c r="L3029">
        <v>1</v>
      </c>
      <c r="M3029" t="str">
        <f>"יח"</f>
        <v>יח</v>
      </c>
      <c r="N3029">
        <v>1</v>
      </c>
      <c r="O3029" t="str">
        <f>"יח"</f>
        <v>יח</v>
      </c>
      <c r="P3029" s="2">
        <v>2407.64</v>
      </c>
      <c r="Q3029" t="str">
        <f>"$"</f>
        <v>$</v>
      </c>
      <c r="R3029" t="str">
        <f>"הזמנה"</f>
        <v>הזמנה</v>
      </c>
      <c r="S3029">
        <v>0</v>
      </c>
      <c r="T3029" s="2">
        <v>2407.64</v>
      </c>
      <c r="U3029">
        <v>0</v>
      </c>
      <c r="V3029" s="2">
        <v>2407.64</v>
      </c>
      <c r="W3029" t="str">
        <f>"$"</f>
        <v>$</v>
      </c>
      <c r="X3029">
        <v>0</v>
      </c>
      <c r="Y3029">
        <v>0</v>
      </c>
      <c r="Z3029">
        <v>0</v>
      </c>
      <c r="AA3029" t="str">
        <f>"Y"</f>
        <v>Y</v>
      </c>
      <c r="AB3029" t="str">
        <f>"SO20000525"</f>
        <v>SO20000525</v>
      </c>
      <c r="AC3029">
        <v>1</v>
      </c>
      <c r="AD3029" s="1">
        <v>44150</v>
      </c>
      <c r="AE3029" t="str">
        <f>"SH21000102"</f>
        <v>SH21000102</v>
      </c>
      <c r="AF3029" t="str">
        <f>"משלוחים ללקוח"</f>
        <v>משלוחים ללקוח</v>
      </c>
      <c r="AG3029" s="1">
        <v>44216</v>
      </c>
      <c r="AM3029" t="str">
        <f>"10"</f>
        <v>10</v>
      </c>
      <c r="AN3029" t="str">
        <f>"500000"</f>
        <v>500000</v>
      </c>
      <c r="AO3029" t="str">
        <f>"הכנסות  מלקוחות"</f>
        <v>הכנסות  מלקוחות</v>
      </c>
      <c r="AQ3029" t="str">
        <f>"034"</f>
        <v>034</v>
      </c>
      <c r="AR3029">
        <v>0</v>
      </c>
      <c r="AS3029">
        <v>0</v>
      </c>
      <c r="AT3029">
        <v>3.28</v>
      </c>
      <c r="AX3029" t="str">
        <f>"E000325995"</f>
        <v>E000325995</v>
      </c>
      <c r="BD3029" t="str">
        <f>"ערן שלו"</f>
        <v>ערן שלו</v>
      </c>
    </row>
    <row r="3030" spans="1:56" x14ac:dyDescent="0.3">
      <c r="A3030" s="1">
        <v>44218</v>
      </c>
      <c r="B3030" t="str">
        <f>"SI216000113"</f>
        <v>SI216000113</v>
      </c>
      <c r="C3030" t="str">
        <f>"PR20000799"</f>
        <v>PR20000799</v>
      </c>
      <c r="E3030" t="str">
        <f>"Y"</f>
        <v>Y</v>
      </c>
      <c r="F3030" t="str">
        <f>"חשבוניות מרכזות"</f>
        <v>חשבוניות מרכזות</v>
      </c>
      <c r="G3030" t="str">
        <f>"700065"</f>
        <v>700065</v>
      </c>
      <c r="H3030" t="str">
        <f>"אלתא מערכות בע""מ"</f>
        <v>אלתא מערכות בע"מ</v>
      </c>
      <c r="I3030" t="str">
        <f>"10"</f>
        <v>10</v>
      </c>
      <c r="J3030" t="str">
        <f>"OP-AR02091"</f>
        <v>OP-AR02091</v>
      </c>
      <c r="K3030" t="str">
        <f>"1034L739-001/-  CU RCU ANT LAB CABEL"</f>
        <v>1034L739-001/-  CU RCU ANT LAB CABEL</v>
      </c>
      <c r="L3030">
        <v>-1</v>
      </c>
      <c r="M3030" t="str">
        <f>"יח"</f>
        <v>יח</v>
      </c>
      <c r="N3030">
        <v>-1</v>
      </c>
      <c r="O3030" t="str">
        <f>"יח"</f>
        <v>יח</v>
      </c>
      <c r="P3030" s="2">
        <v>2407.64</v>
      </c>
      <c r="Q3030" t="str">
        <f>"$"</f>
        <v>$</v>
      </c>
      <c r="R3030" t="str">
        <f>"הזמנה"</f>
        <v>הזמנה</v>
      </c>
      <c r="S3030">
        <v>0</v>
      </c>
      <c r="T3030" s="2">
        <v>-2407.64</v>
      </c>
      <c r="U3030">
        <v>3.2</v>
      </c>
      <c r="V3030" s="2">
        <v>-2330.6</v>
      </c>
      <c r="W3030" t="str">
        <f>"$"</f>
        <v>$</v>
      </c>
      <c r="X3030">
        <v>0</v>
      </c>
      <c r="Y3030">
        <v>0</v>
      </c>
      <c r="Z3030">
        <v>0</v>
      </c>
      <c r="AA3030" t="str">
        <f>"Y"</f>
        <v>Y</v>
      </c>
      <c r="AC3030">
        <v>0</v>
      </c>
      <c r="AM3030" t="str">
        <f>"10"</f>
        <v>10</v>
      </c>
      <c r="AN3030" t="str">
        <f>"500000"</f>
        <v>500000</v>
      </c>
      <c r="AO3030" t="str">
        <f>"הכנסות  מלקוחות"</f>
        <v>הכנסות  מלקוחות</v>
      </c>
      <c r="AQ3030" t="str">
        <f>"034"</f>
        <v>034</v>
      </c>
      <c r="AR3030">
        <v>0</v>
      </c>
      <c r="AS3030">
        <v>0</v>
      </c>
      <c r="AT3030">
        <v>3.28</v>
      </c>
      <c r="BB3030" t="str">
        <f>"Y"</f>
        <v>Y</v>
      </c>
      <c r="BD3030" t="str">
        <f>"ערן שלו"</f>
        <v>ערן שלו</v>
      </c>
    </row>
    <row r="3031" spans="1:56" x14ac:dyDescent="0.3">
      <c r="A3031" s="1">
        <v>44218</v>
      </c>
      <c r="B3031" t="str">
        <f>"SI216000083"</f>
        <v>SI216000083</v>
      </c>
      <c r="C3031" t="str">
        <f>"PR20000799"</f>
        <v>PR20000799</v>
      </c>
      <c r="E3031" t="str">
        <f>"Y"</f>
        <v>Y</v>
      </c>
      <c r="F3031" t="str">
        <f>"חשבוניות מרכזות"</f>
        <v>חשבוניות מרכזות</v>
      </c>
      <c r="G3031" t="str">
        <f>"700065"</f>
        <v>700065</v>
      </c>
      <c r="H3031" t="str">
        <f>"אלתא מערכות בע""מ"</f>
        <v>אלתא מערכות בע"מ</v>
      </c>
      <c r="I3031" t="str">
        <f>"10"</f>
        <v>10</v>
      </c>
      <c r="J3031" t="str">
        <f>"OP-AR02091"</f>
        <v>OP-AR02091</v>
      </c>
      <c r="K3031" t="str">
        <f>"1034L739-001/-  CU RCU ANT LAB CABEL"</f>
        <v>1034L739-001/-  CU RCU ANT LAB CABEL</v>
      </c>
      <c r="L3031">
        <v>1</v>
      </c>
      <c r="M3031" t="str">
        <f>"יח"</f>
        <v>יח</v>
      </c>
      <c r="N3031">
        <v>1</v>
      </c>
      <c r="O3031" t="str">
        <f>"יח"</f>
        <v>יח</v>
      </c>
      <c r="P3031" s="2">
        <v>2407.64</v>
      </c>
      <c r="Q3031" t="str">
        <f>"$"</f>
        <v>$</v>
      </c>
      <c r="R3031" t="str">
        <f>"הזמנה"</f>
        <v>הזמנה</v>
      </c>
      <c r="S3031">
        <v>0</v>
      </c>
      <c r="T3031" s="2">
        <v>2407.64</v>
      </c>
      <c r="U3031">
        <v>3.2</v>
      </c>
      <c r="V3031" s="2">
        <v>2330.6</v>
      </c>
      <c r="W3031" t="str">
        <f>"$"</f>
        <v>$</v>
      </c>
      <c r="X3031">
        <v>0</v>
      </c>
      <c r="Y3031">
        <v>0</v>
      </c>
      <c r="Z3031">
        <v>0</v>
      </c>
      <c r="AA3031" t="str">
        <f>"Y"</f>
        <v>Y</v>
      </c>
      <c r="AC3031">
        <v>0</v>
      </c>
      <c r="AM3031" t="str">
        <f>"10"</f>
        <v>10</v>
      </c>
      <c r="AN3031" t="str">
        <f>"500000"</f>
        <v>500000</v>
      </c>
      <c r="AO3031" t="str">
        <f>"הכנסות  מלקוחות"</f>
        <v>הכנסות  מלקוחות</v>
      </c>
      <c r="AQ3031" t="str">
        <f>"034"</f>
        <v>034</v>
      </c>
      <c r="AR3031">
        <v>0</v>
      </c>
      <c r="AS3031">
        <v>0</v>
      </c>
      <c r="AT3031">
        <v>3.28</v>
      </c>
      <c r="BB3031" t="str">
        <f>"Y"</f>
        <v>Y</v>
      </c>
      <c r="BD3031" t="str">
        <f>"ערן שלו"</f>
        <v>ערן שלו</v>
      </c>
    </row>
    <row r="3032" spans="1:56" x14ac:dyDescent="0.3">
      <c r="A3032" s="1">
        <v>44218</v>
      </c>
      <c r="B3032" t="str">
        <f>"SI216000082"</f>
        <v>SI216000082</v>
      </c>
      <c r="C3032" t="str">
        <f>"PR20000533"</f>
        <v>PR20000533</v>
      </c>
      <c r="D3032" t="str">
        <f>"PR20000533"</f>
        <v>PR20000533</v>
      </c>
      <c r="E3032" t="str">
        <f>"Y"</f>
        <v>Y</v>
      </c>
      <c r="F3032" t="str">
        <f>"חשבוניות מרכזות"</f>
        <v>חשבוניות מרכזות</v>
      </c>
      <c r="G3032" t="str">
        <f>"700065"</f>
        <v>700065</v>
      </c>
      <c r="H3032" t="str">
        <f>"אלתא מערכות בע""מ"</f>
        <v>אלתא מערכות בע"מ</v>
      </c>
      <c r="I3032" t="str">
        <f>"10"</f>
        <v>10</v>
      </c>
      <c r="J3032" t="str">
        <f>"OP-AR01950"</f>
        <v>OP-AR01950</v>
      </c>
      <c r="K3032" t="str">
        <f>"1031B172-001/A - CABLE ASSY W0172"</f>
        <v>1031B172-001/A - CABLE ASSY W0172</v>
      </c>
      <c r="L3032">
        <v>1</v>
      </c>
      <c r="M3032" t="str">
        <f>"יח"</f>
        <v>יח</v>
      </c>
      <c r="N3032">
        <v>1</v>
      </c>
      <c r="O3032" t="str">
        <f>"יח"</f>
        <v>יח</v>
      </c>
      <c r="P3032" s="2">
        <v>1279.29</v>
      </c>
      <c r="Q3032" t="str">
        <f>"$"</f>
        <v>$</v>
      </c>
      <c r="R3032" t="str">
        <f>"הזמנה"</f>
        <v>הזמנה</v>
      </c>
      <c r="S3032">
        <v>0</v>
      </c>
      <c r="T3032" s="2">
        <v>1279.29</v>
      </c>
      <c r="U3032">
        <v>0</v>
      </c>
      <c r="V3032" s="2">
        <v>1279.29</v>
      </c>
      <c r="W3032" t="str">
        <f>"$"</f>
        <v>$</v>
      </c>
      <c r="X3032">
        <v>0</v>
      </c>
      <c r="Y3032">
        <v>0</v>
      </c>
      <c r="Z3032">
        <v>0</v>
      </c>
      <c r="AA3032" t="str">
        <f>"Y"</f>
        <v>Y</v>
      </c>
      <c r="AB3032" t="str">
        <f>"SO20000319"</f>
        <v>SO20000319</v>
      </c>
      <c r="AC3032">
        <v>6</v>
      </c>
      <c r="AD3032" s="1">
        <v>44034</v>
      </c>
      <c r="AE3032" t="str">
        <f>"SH21000107"</f>
        <v>SH21000107</v>
      </c>
      <c r="AF3032" t="str">
        <f>"משלוחים ללקוח"</f>
        <v>משלוחים ללקוח</v>
      </c>
      <c r="AG3032" s="1">
        <v>44216</v>
      </c>
      <c r="AM3032" t="str">
        <f>"10"</f>
        <v>10</v>
      </c>
      <c r="AN3032" t="str">
        <f>"500000"</f>
        <v>500000</v>
      </c>
      <c r="AO3032" t="str">
        <f>"הכנסות  מלקוחות"</f>
        <v>הכנסות  מלקוחות</v>
      </c>
      <c r="AQ3032" t="str">
        <f>"034"</f>
        <v>034</v>
      </c>
      <c r="AR3032">
        <v>0</v>
      </c>
      <c r="AS3032">
        <v>0</v>
      </c>
      <c r="AT3032">
        <v>3.28</v>
      </c>
      <c r="AX3032" t="str">
        <f>"E000316766"</f>
        <v>E000316766</v>
      </c>
      <c r="BD3032" t="str">
        <f>"ערן שלו"</f>
        <v>ערן שלו</v>
      </c>
    </row>
    <row r="3033" spans="1:56" x14ac:dyDescent="0.3">
      <c r="A3033" s="1">
        <v>44218</v>
      </c>
      <c r="B3033" t="str">
        <f>"SI216000078"</f>
        <v>SI216000078</v>
      </c>
      <c r="C3033" t="str">
        <f>"PR20000499"</f>
        <v>PR20000499</v>
      </c>
      <c r="D3033" t="str">
        <f>"PR20000499"</f>
        <v>PR20000499</v>
      </c>
      <c r="E3033" t="str">
        <f>"Y"</f>
        <v>Y</v>
      </c>
      <c r="F3033" t="str">
        <f>"חשבוניות מרכזות"</f>
        <v>חשבוניות מרכזות</v>
      </c>
      <c r="G3033" t="str">
        <f>"700065"</f>
        <v>700065</v>
      </c>
      <c r="H3033" t="str">
        <f>"אלתא מערכות בע""מ"</f>
        <v>אלתא מערכות בע"מ</v>
      </c>
      <c r="I3033" t="str">
        <f>"10"</f>
        <v>10</v>
      </c>
      <c r="J3033" t="str">
        <f>"OP-AR01918"</f>
        <v>OP-AR01918</v>
      </c>
      <c r="K3033" t="str">
        <f>"1021L537-001/C2 CABLE ASSY 1W25"</f>
        <v>1021L537-001/C2 CABLE ASSY 1W25</v>
      </c>
      <c r="L3033">
        <v>1</v>
      </c>
      <c r="M3033" t="str">
        <f>"יח"</f>
        <v>יח</v>
      </c>
      <c r="N3033">
        <v>1</v>
      </c>
      <c r="O3033" t="str">
        <f>"יח"</f>
        <v>יח</v>
      </c>
      <c r="P3033">
        <v>140</v>
      </c>
      <c r="Q3033" t="str">
        <f>"$"</f>
        <v>$</v>
      </c>
      <c r="R3033" t="str">
        <f>"הזמנה"</f>
        <v>הזמנה</v>
      </c>
      <c r="S3033">
        <v>0</v>
      </c>
      <c r="T3033">
        <v>140</v>
      </c>
      <c r="U3033">
        <v>0</v>
      </c>
      <c r="V3033">
        <v>140</v>
      </c>
      <c r="W3033" t="str">
        <f>"$"</f>
        <v>$</v>
      </c>
      <c r="X3033">
        <v>0</v>
      </c>
      <c r="Y3033">
        <v>0</v>
      </c>
      <c r="Z3033">
        <v>0</v>
      </c>
      <c r="AA3033" t="str">
        <f>"Y"</f>
        <v>Y</v>
      </c>
      <c r="AB3033" t="str">
        <f>"SO20000305"</f>
        <v>SO20000305</v>
      </c>
      <c r="AC3033">
        <v>10</v>
      </c>
      <c r="AD3033" s="1">
        <v>44031</v>
      </c>
      <c r="AE3033" t="str">
        <f>"SH21000104"</f>
        <v>SH21000104</v>
      </c>
      <c r="AF3033" t="str">
        <f>"משלוחים ללקוח"</f>
        <v>משלוחים ללקוח</v>
      </c>
      <c r="AG3033" s="1">
        <v>44216</v>
      </c>
      <c r="AM3033" t="str">
        <f>"10"</f>
        <v>10</v>
      </c>
      <c r="AN3033" t="str">
        <f>"500000"</f>
        <v>500000</v>
      </c>
      <c r="AO3033" t="str">
        <f>"הכנסות  מלקוחות"</f>
        <v>הכנסות  מלקוחות</v>
      </c>
      <c r="AQ3033" t="str">
        <f>"034"</f>
        <v>034</v>
      </c>
      <c r="AR3033">
        <v>0</v>
      </c>
      <c r="AS3033">
        <v>0</v>
      </c>
      <c r="AT3033">
        <v>3.28</v>
      </c>
      <c r="AX3033" t="str">
        <f>"E000315878"</f>
        <v>E000315878</v>
      </c>
      <c r="BD3033" t="str">
        <f>"ערן שלו"</f>
        <v>ערן שלו</v>
      </c>
    </row>
    <row r="3034" spans="1:56" x14ac:dyDescent="0.3">
      <c r="A3034" s="1">
        <v>44218</v>
      </c>
      <c r="B3034" t="str">
        <f>"SI216000078"</f>
        <v>SI216000078</v>
      </c>
      <c r="C3034" t="str">
        <f>"PR20000499"</f>
        <v>PR20000499</v>
      </c>
      <c r="D3034" t="str">
        <f>"PR20000499"</f>
        <v>PR20000499</v>
      </c>
      <c r="E3034" t="str">
        <f>"Y"</f>
        <v>Y</v>
      </c>
      <c r="F3034" t="str">
        <f>"חשבוניות מרכזות"</f>
        <v>חשבוניות מרכזות</v>
      </c>
      <c r="G3034" t="str">
        <f>"700065"</f>
        <v>700065</v>
      </c>
      <c r="H3034" t="str">
        <f>"אלתא מערכות בע""מ"</f>
        <v>אלתא מערכות בע"מ</v>
      </c>
      <c r="I3034" t="str">
        <f>"10"</f>
        <v>10</v>
      </c>
      <c r="J3034" t="str">
        <f>"OP-AR01919"</f>
        <v>OP-AR01919</v>
      </c>
      <c r="K3034" t="str">
        <f>"1013P130-003 CABLE ASSY 1W47"</f>
        <v>1013P130-003 CABLE ASSY 1W47</v>
      </c>
      <c r="L3034">
        <v>1</v>
      </c>
      <c r="M3034" t="str">
        <f>"יח"</f>
        <v>יח</v>
      </c>
      <c r="N3034">
        <v>1</v>
      </c>
      <c r="O3034" t="str">
        <f>"יח"</f>
        <v>יח</v>
      </c>
      <c r="P3034" s="2">
        <v>2303.2800000000002</v>
      </c>
      <c r="Q3034" t="str">
        <f>"$"</f>
        <v>$</v>
      </c>
      <c r="R3034" t="str">
        <f>"הזמנה"</f>
        <v>הזמנה</v>
      </c>
      <c r="S3034">
        <v>0</v>
      </c>
      <c r="T3034" s="2">
        <v>2303.2800000000002</v>
      </c>
      <c r="U3034">
        <v>0</v>
      </c>
      <c r="V3034" s="2">
        <v>2303.2800000000002</v>
      </c>
      <c r="W3034" t="str">
        <f>"$"</f>
        <v>$</v>
      </c>
      <c r="X3034">
        <v>0</v>
      </c>
      <c r="Y3034">
        <v>0</v>
      </c>
      <c r="Z3034">
        <v>0</v>
      </c>
      <c r="AA3034" t="str">
        <f>"Y"</f>
        <v>Y</v>
      </c>
      <c r="AB3034" t="str">
        <f>"SO20000305"</f>
        <v>SO20000305</v>
      </c>
      <c r="AC3034">
        <v>11</v>
      </c>
      <c r="AD3034" s="1">
        <v>44031</v>
      </c>
      <c r="AE3034" t="str">
        <f>"SH21000104"</f>
        <v>SH21000104</v>
      </c>
      <c r="AF3034" t="str">
        <f>"משלוחים ללקוח"</f>
        <v>משלוחים ללקוח</v>
      </c>
      <c r="AG3034" s="1">
        <v>44216</v>
      </c>
      <c r="AM3034" t="str">
        <f>"10"</f>
        <v>10</v>
      </c>
      <c r="AN3034" t="str">
        <f>"500000"</f>
        <v>500000</v>
      </c>
      <c r="AO3034" t="str">
        <f>"הכנסות  מלקוחות"</f>
        <v>הכנסות  מלקוחות</v>
      </c>
      <c r="AQ3034" t="str">
        <f>"034"</f>
        <v>034</v>
      </c>
      <c r="AR3034">
        <v>0</v>
      </c>
      <c r="AS3034">
        <v>0</v>
      </c>
      <c r="AT3034">
        <v>3.28</v>
      </c>
      <c r="AX3034" t="str">
        <f>"E000315878"</f>
        <v>E000315878</v>
      </c>
      <c r="BD3034" t="str">
        <f>"ערן שלו"</f>
        <v>ערן שלו</v>
      </c>
    </row>
    <row r="3035" spans="1:56" x14ac:dyDescent="0.3">
      <c r="A3035" s="1">
        <v>44217</v>
      </c>
      <c r="B3035" t="str">
        <f>"SI216000116"</f>
        <v>SI216000116</v>
      </c>
      <c r="C3035" t="str">
        <f>"PR20000623"</f>
        <v>PR20000623</v>
      </c>
      <c r="D3035" t="str">
        <f>"PR20000623"</f>
        <v>PR20000623</v>
      </c>
      <c r="E3035" t="str">
        <f>"Y"</f>
        <v>Y</v>
      </c>
      <c r="F3035" t="str">
        <f>"חשבוניות מרכזות"</f>
        <v>חשבוניות מרכזות</v>
      </c>
      <c r="G3035" t="str">
        <f>"700065"</f>
        <v>700065</v>
      </c>
      <c r="H3035" t="str">
        <f>"אלתא מערכות בע""מ"</f>
        <v>אלתא מערכות בע"מ</v>
      </c>
      <c r="I3035" t="str">
        <f>"10"</f>
        <v>10</v>
      </c>
      <c r="J3035" t="str">
        <f>"OP-AR02017"</f>
        <v>OP-AR02017</v>
      </c>
      <c r="K3035" t="str">
        <f>"1013P130-003 CABLE ASSY 1W47 - FULL CUST"</f>
        <v>1013P130-003 CABLE ASSY 1W47 - FULL CUST</v>
      </c>
      <c r="L3035">
        <v>10</v>
      </c>
      <c r="M3035" t="str">
        <f>"יח"</f>
        <v>יח</v>
      </c>
      <c r="N3035">
        <v>10</v>
      </c>
      <c r="O3035" t="str">
        <f>"יח"</f>
        <v>יח</v>
      </c>
      <c r="P3035">
        <v>494.4</v>
      </c>
      <c r="Q3035" t="str">
        <f>"$"</f>
        <v>$</v>
      </c>
      <c r="R3035" t="str">
        <f>"הזמנה"</f>
        <v>הזמנה</v>
      </c>
      <c r="S3035">
        <v>0</v>
      </c>
      <c r="T3035" s="2">
        <v>4944</v>
      </c>
      <c r="U3035">
        <v>0</v>
      </c>
      <c r="V3035" s="2">
        <v>4944</v>
      </c>
      <c r="W3035" t="str">
        <f>"$"</f>
        <v>$</v>
      </c>
      <c r="X3035">
        <v>0</v>
      </c>
      <c r="Y3035">
        <v>0</v>
      </c>
      <c r="Z3035">
        <v>0</v>
      </c>
      <c r="AA3035" t="str">
        <f>"Y"</f>
        <v>Y</v>
      </c>
      <c r="AB3035" t="str">
        <f>"SO20000413"</f>
        <v>SO20000413</v>
      </c>
      <c r="AC3035">
        <v>1</v>
      </c>
      <c r="AD3035" s="1">
        <v>44082</v>
      </c>
      <c r="AE3035" t="str">
        <f>"SH21000105"</f>
        <v>SH21000105</v>
      </c>
      <c r="AF3035" t="str">
        <f>"משלוחים ללקוח"</f>
        <v>משלוחים ללקוח</v>
      </c>
      <c r="AG3035" s="1">
        <v>44216</v>
      </c>
      <c r="AM3035" t="str">
        <f>"10"</f>
        <v>10</v>
      </c>
      <c r="AN3035" t="str">
        <f>"500000"</f>
        <v>500000</v>
      </c>
      <c r="AO3035" t="str">
        <f>"הכנסות  מלקוחות"</f>
        <v>הכנסות  מלקוחות</v>
      </c>
      <c r="AQ3035" t="str">
        <f>"034"</f>
        <v>034</v>
      </c>
      <c r="AR3035">
        <v>0</v>
      </c>
      <c r="AS3035">
        <v>0</v>
      </c>
      <c r="AT3035">
        <v>3.254</v>
      </c>
      <c r="AX3035" t="str">
        <f>"E000321133"</f>
        <v>E000321133</v>
      </c>
      <c r="BD3035" t="str">
        <f>"ערן שלו"</f>
        <v>ערן שלו</v>
      </c>
    </row>
    <row r="3036" spans="1:56" x14ac:dyDescent="0.3">
      <c r="A3036" s="1">
        <v>44217</v>
      </c>
      <c r="B3036" t="str">
        <f>"SI216000091"</f>
        <v>SI216000091</v>
      </c>
      <c r="C3036" t="str">
        <f>"PR20000495"</f>
        <v>PR20000495</v>
      </c>
      <c r="D3036" t="str">
        <f>"PR20000495"</f>
        <v>PR20000495</v>
      </c>
      <c r="E3036" t="str">
        <f>"Y"</f>
        <v>Y</v>
      </c>
      <c r="F3036" t="str">
        <f>"חשבוניות מרכזות"</f>
        <v>חשבוניות מרכזות</v>
      </c>
      <c r="G3036" t="str">
        <f>"700065"</f>
        <v>700065</v>
      </c>
      <c r="H3036" t="str">
        <f>"אלתא מערכות בע""מ"</f>
        <v>אלתא מערכות בע"מ</v>
      </c>
      <c r="I3036" t="str">
        <f>"10"</f>
        <v>10</v>
      </c>
      <c r="J3036" t="str">
        <f>"OP-AR01899"</f>
        <v>OP-AR01899</v>
      </c>
      <c r="K3036" t="str">
        <f>"1039V959-002 - CABLE ASSY WR109"</f>
        <v>1039V959-002 - CABLE ASSY WR109</v>
      </c>
      <c r="L3036">
        <v>1</v>
      </c>
      <c r="M3036" t="str">
        <f>"יח"</f>
        <v>יח</v>
      </c>
      <c r="N3036">
        <v>1</v>
      </c>
      <c r="O3036" t="str">
        <f>"יח"</f>
        <v>יח</v>
      </c>
      <c r="P3036" s="2">
        <v>1935.55</v>
      </c>
      <c r="Q3036" t="str">
        <f>"$"</f>
        <v>$</v>
      </c>
      <c r="R3036" t="str">
        <f>"הזמנה"</f>
        <v>הזמנה</v>
      </c>
      <c r="S3036">
        <v>0</v>
      </c>
      <c r="T3036" s="2">
        <v>1935.55</v>
      </c>
      <c r="U3036">
        <v>0</v>
      </c>
      <c r="V3036" s="2">
        <v>1935.55</v>
      </c>
      <c r="W3036" t="str">
        <f>"$"</f>
        <v>$</v>
      </c>
      <c r="X3036">
        <v>0</v>
      </c>
      <c r="Y3036">
        <v>0</v>
      </c>
      <c r="Z3036">
        <v>0</v>
      </c>
      <c r="AA3036" t="str">
        <f>"Y"</f>
        <v>Y</v>
      </c>
      <c r="AB3036" t="str">
        <f>"SO20000302"</f>
        <v>SO20000302</v>
      </c>
      <c r="AC3036">
        <v>6</v>
      </c>
      <c r="AD3036" s="1">
        <v>44028</v>
      </c>
      <c r="AE3036" t="str">
        <f>"SH21000101"</f>
        <v>SH21000101</v>
      </c>
      <c r="AF3036" t="str">
        <f>"משלוחים ללקוח"</f>
        <v>משלוחים ללקוח</v>
      </c>
      <c r="AG3036" s="1">
        <v>44216</v>
      </c>
      <c r="AM3036" t="str">
        <f>"10"</f>
        <v>10</v>
      </c>
      <c r="AN3036" t="str">
        <f>"500000"</f>
        <v>500000</v>
      </c>
      <c r="AO3036" t="str">
        <f>"הכנסות  מלקוחות"</f>
        <v>הכנסות  מלקוחות</v>
      </c>
      <c r="AQ3036" t="str">
        <f>"034"</f>
        <v>034</v>
      </c>
      <c r="AR3036">
        <v>0</v>
      </c>
      <c r="AS3036">
        <v>0</v>
      </c>
      <c r="AT3036">
        <v>3.254</v>
      </c>
      <c r="AX3036" t="str">
        <f>"E000315867"</f>
        <v>E000315867</v>
      </c>
      <c r="BD3036" t="str">
        <f>"ערן שלו"</f>
        <v>ערן שלו</v>
      </c>
    </row>
    <row r="3037" spans="1:56" x14ac:dyDescent="0.3">
      <c r="A3037" s="1">
        <v>44217</v>
      </c>
      <c r="B3037" t="str">
        <f>"SI216000091"</f>
        <v>SI216000091</v>
      </c>
      <c r="C3037" t="str">
        <f>"PR20000495"</f>
        <v>PR20000495</v>
      </c>
      <c r="D3037" t="str">
        <f>"PR20000495"</f>
        <v>PR20000495</v>
      </c>
      <c r="E3037" t="str">
        <f>"Y"</f>
        <v>Y</v>
      </c>
      <c r="F3037" t="str">
        <f>"חשבוניות מרכזות"</f>
        <v>חשבוניות מרכזות</v>
      </c>
      <c r="G3037" t="str">
        <f>"700065"</f>
        <v>700065</v>
      </c>
      <c r="H3037" t="str">
        <f>"אלתא מערכות בע""מ"</f>
        <v>אלתא מערכות בע"מ</v>
      </c>
      <c r="I3037" t="str">
        <f>"10"</f>
        <v>10</v>
      </c>
      <c r="J3037" t="str">
        <f>"OP-AR01900"</f>
        <v>OP-AR01900</v>
      </c>
      <c r="K3037" t="str">
        <f>"1039V963-001 - CABLE ASSY WR113"</f>
        <v>1039V963-001 - CABLE ASSY WR113</v>
      </c>
      <c r="L3037">
        <v>1</v>
      </c>
      <c r="M3037" t="str">
        <f>"יח"</f>
        <v>יח</v>
      </c>
      <c r="N3037">
        <v>1</v>
      </c>
      <c r="O3037" t="str">
        <f>"יח"</f>
        <v>יח</v>
      </c>
      <c r="P3037" s="2">
        <v>1143.3599999999999</v>
      </c>
      <c r="Q3037" t="str">
        <f>"$"</f>
        <v>$</v>
      </c>
      <c r="R3037" t="str">
        <f>"הזמנה"</f>
        <v>הזמנה</v>
      </c>
      <c r="S3037">
        <v>0</v>
      </c>
      <c r="T3037" s="2">
        <v>1143.3599999999999</v>
      </c>
      <c r="U3037">
        <v>0</v>
      </c>
      <c r="V3037" s="2">
        <v>1143.3599999999999</v>
      </c>
      <c r="W3037" t="str">
        <f>"$"</f>
        <v>$</v>
      </c>
      <c r="X3037">
        <v>0</v>
      </c>
      <c r="Y3037">
        <v>0</v>
      </c>
      <c r="Z3037">
        <v>0</v>
      </c>
      <c r="AA3037" t="str">
        <f>"Y"</f>
        <v>Y</v>
      </c>
      <c r="AB3037" t="str">
        <f>"SO20000302"</f>
        <v>SO20000302</v>
      </c>
      <c r="AC3037">
        <v>7</v>
      </c>
      <c r="AD3037" s="1">
        <v>44028</v>
      </c>
      <c r="AE3037" t="str">
        <f>"SH21000101"</f>
        <v>SH21000101</v>
      </c>
      <c r="AF3037" t="str">
        <f>"משלוחים ללקוח"</f>
        <v>משלוחים ללקוח</v>
      </c>
      <c r="AG3037" s="1">
        <v>44216</v>
      </c>
      <c r="AM3037" t="str">
        <f>"10"</f>
        <v>10</v>
      </c>
      <c r="AN3037" t="str">
        <f>"500000"</f>
        <v>500000</v>
      </c>
      <c r="AO3037" t="str">
        <f>"הכנסות  מלקוחות"</f>
        <v>הכנסות  מלקוחות</v>
      </c>
      <c r="AQ3037" t="str">
        <f>"034"</f>
        <v>034</v>
      </c>
      <c r="AR3037">
        <v>0</v>
      </c>
      <c r="AS3037">
        <v>0</v>
      </c>
      <c r="AT3037">
        <v>3.254</v>
      </c>
      <c r="AX3037" t="str">
        <f>"E000315867"</f>
        <v>E000315867</v>
      </c>
      <c r="BD3037" t="str">
        <f>"ערן שלו"</f>
        <v>ערן שלו</v>
      </c>
    </row>
    <row r="3038" spans="1:56" x14ac:dyDescent="0.3">
      <c r="A3038" s="1">
        <v>44217</v>
      </c>
      <c r="B3038" t="str">
        <f>"SI216000091"</f>
        <v>SI216000091</v>
      </c>
      <c r="C3038" t="str">
        <f>"PR20000495"</f>
        <v>PR20000495</v>
      </c>
      <c r="D3038" t="str">
        <f>"PR20000495"</f>
        <v>PR20000495</v>
      </c>
      <c r="E3038" t="str">
        <f>"Y"</f>
        <v>Y</v>
      </c>
      <c r="F3038" t="str">
        <f>"חשבוניות מרכזות"</f>
        <v>חשבוניות מרכזות</v>
      </c>
      <c r="G3038" t="str">
        <f>"700065"</f>
        <v>700065</v>
      </c>
      <c r="H3038" t="str">
        <f>"אלתא מערכות בע""מ"</f>
        <v>אלתא מערכות בע"מ</v>
      </c>
      <c r="I3038" t="str">
        <f>"10"</f>
        <v>10</v>
      </c>
      <c r="J3038" t="str">
        <f>"OP-AR01902"</f>
        <v>OP-AR01902</v>
      </c>
      <c r="K3038" t="str">
        <f>"1039V964-001 - CABLE ASSY WR114"</f>
        <v>1039V964-001 - CABLE ASSY WR114</v>
      </c>
      <c r="L3038">
        <v>6</v>
      </c>
      <c r="M3038" t="str">
        <f>"יח"</f>
        <v>יח</v>
      </c>
      <c r="N3038">
        <v>6</v>
      </c>
      <c r="O3038" t="str">
        <f>"יח"</f>
        <v>יח</v>
      </c>
      <c r="P3038" s="2">
        <v>1722.54</v>
      </c>
      <c r="Q3038" t="str">
        <f>"$"</f>
        <v>$</v>
      </c>
      <c r="R3038" t="str">
        <f>"הזמנה"</f>
        <v>הזמנה</v>
      </c>
      <c r="S3038">
        <v>0</v>
      </c>
      <c r="T3038" s="2">
        <v>10335.24</v>
      </c>
      <c r="U3038">
        <v>0</v>
      </c>
      <c r="V3038" s="2">
        <v>10335.24</v>
      </c>
      <c r="W3038" t="str">
        <f>"$"</f>
        <v>$</v>
      </c>
      <c r="X3038">
        <v>0</v>
      </c>
      <c r="Y3038">
        <v>0</v>
      </c>
      <c r="Z3038">
        <v>0</v>
      </c>
      <c r="AA3038" t="str">
        <f>"Y"</f>
        <v>Y</v>
      </c>
      <c r="AB3038" t="str">
        <f>"SO20000302"</f>
        <v>SO20000302</v>
      </c>
      <c r="AC3038">
        <v>9</v>
      </c>
      <c r="AD3038" s="1">
        <v>44028</v>
      </c>
      <c r="AE3038" t="str">
        <f>"SH21000101"</f>
        <v>SH21000101</v>
      </c>
      <c r="AF3038" t="str">
        <f>"משלוחים ללקוח"</f>
        <v>משלוחים ללקוח</v>
      </c>
      <c r="AG3038" s="1">
        <v>44216</v>
      </c>
      <c r="AM3038" t="str">
        <f>"10"</f>
        <v>10</v>
      </c>
      <c r="AN3038" t="str">
        <f>"500000"</f>
        <v>500000</v>
      </c>
      <c r="AO3038" t="str">
        <f>"הכנסות  מלקוחות"</f>
        <v>הכנסות  מלקוחות</v>
      </c>
      <c r="AQ3038" t="str">
        <f>"034"</f>
        <v>034</v>
      </c>
      <c r="AR3038">
        <v>0</v>
      </c>
      <c r="AS3038">
        <v>0</v>
      </c>
      <c r="AT3038">
        <v>3.254</v>
      </c>
      <c r="AX3038" t="str">
        <f>"E000315867"</f>
        <v>E000315867</v>
      </c>
      <c r="BD3038" t="str">
        <f>"ערן שלו"</f>
        <v>ערן שלו</v>
      </c>
    </row>
    <row r="3039" spans="1:56" x14ac:dyDescent="0.3">
      <c r="A3039" s="1">
        <v>44217</v>
      </c>
      <c r="B3039" t="str">
        <f>"SI216000091"</f>
        <v>SI216000091</v>
      </c>
      <c r="C3039" t="str">
        <f>"PR20000495"</f>
        <v>PR20000495</v>
      </c>
      <c r="D3039" t="str">
        <f>"PR20000495"</f>
        <v>PR20000495</v>
      </c>
      <c r="E3039" t="str">
        <f>"Y"</f>
        <v>Y</v>
      </c>
      <c r="F3039" t="str">
        <f>"חשבוניות מרכזות"</f>
        <v>חשבוניות מרכזות</v>
      </c>
      <c r="G3039" t="str">
        <f>"700065"</f>
        <v>700065</v>
      </c>
      <c r="H3039" t="str">
        <f>"אלתא מערכות בע""מ"</f>
        <v>אלתא מערכות בע"מ</v>
      </c>
      <c r="I3039" t="str">
        <f>"10"</f>
        <v>10</v>
      </c>
      <c r="J3039" t="str">
        <f>"OP-AR01903"</f>
        <v>OP-AR01903</v>
      </c>
      <c r="K3039" t="str">
        <f>"1039V966-001 - CABLE ASSY WR116"</f>
        <v>1039V966-001 - CABLE ASSY WR116</v>
      </c>
      <c r="L3039">
        <v>7</v>
      </c>
      <c r="M3039" t="str">
        <f>"יח"</f>
        <v>יח</v>
      </c>
      <c r="N3039">
        <v>7</v>
      </c>
      <c r="O3039" t="str">
        <f>"יח"</f>
        <v>יח</v>
      </c>
      <c r="P3039" s="2">
        <v>1419.85</v>
      </c>
      <c r="Q3039" t="str">
        <f>"$"</f>
        <v>$</v>
      </c>
      <c r="R3039" t="str">
        <f>"הזמנה"</f>
        <v>הזמנה</v>
      </c>
      <c r="S3039">
        <v>0</v>
      </c>
      <c r="T3039" s="2">
        <v>9938.9500000000007</v>
      </c>
      <c r="U3039">
        <v>0</v>
      </c>
      <c r="V3039" s="2">
        <v>9938.9500000000007</v>
      </c>
      <c r="W3039" t="str">
        <f>"$"</f>
        <v>$</v>
      </c>
      <c r="X3039">
        <v>0</v>
      </c>
      <c r="Y3039">
        <v>0</v>
      </c>
      <c r="Z3039">
        <v>0</v>
      </c>
      <c r="AA3039" t="str">
        <f>"Y"</f>
        <v>Y</v>
      </c>
      <c r="AB3039" t="str">
        <f>"SO20000302"</f>
        <v>SO20000302</v>
      </c>
      <c r="AC3039">
        <v>10</v>
      </c>
      <c r="AD3039" s="1">
        <v>44028</v>
      </c>
      <c r="AE3039" t="str">
        <f>"SH21000101"</f>
        <v>SH21000101</v>
      </c>
      <c r="AF3039" t="str">
        <f>"משלוחים ללקוח"</f>
        <v>משלוחים ללקוח</v>
      </c>
      <c r="AG3039" s="1">
        <v>44216</v>
      </c>
      <c r="AM3039" t="str">
        <f>"10"</f>
        <v>10</v>
      </c>
      <c r="AN3039" t="str">
        <f>"500000"</f>
        <v>500000</v>
      </c>
      <c r="AO3039" t="str">
        <f>"הכנסות  מלקוחות"</f>
        <v>הכנסות  מלקוחות</v>
      </c>
      <c r="AQ3039" t="str">
        <f>"034"</f>
        <v>034</v>
      </c>
      <c r="AR3039">
        <v>0</v>
      </c>
      <c r="AS3039">
        <v>0</v>
      </c>
      <c r="AT3039">
        <v>3.254</v>
      </c>
      <c r="AX3039" t="str">
        <f>"E000315867"</f>
        <v>E000315867</v>
      </c>
      <c r="BD3039" t="str">
        <f>"ערן שלו"</f>
        <v>ערן שלו</v>
      </c>
    </row>
    <row r="3040" spans="1:56" x14ac:dyDescent="0.3">
      <c r="A3040" s="1">
        <v>44215</v>
      </c>
      <c r="B3040" t="str">
        <f>"SI216000054"</f>
        <v>SI216000054</v>
      </c>
      <c r="C3040" t="str">
        <f>"PR19000750"</f>
        <v>PR19000750</v>
      </c>
      <c r="D3040" t="str">
        <f>"PR19000750"</f>
        <v>PR19000750</v>
      </c>
      <c r="E3040" t="str">
        <f>"Y"</f>
        <v>Y</v>
      </c>
      <c r="F3040" t="str">
        <f>"חשבוניות מרכזות"</f>
        <v>חשבוניות מרכזות</v>
      </c>
      <c r="G3040" t="str">
        <f>"700065"</f>
        <v>700065</v>
      </c>
      <c r="H3040" t="str">
        <f>"אלתא מערכות בע""מ"</f>
        <v>אלתא מערכות בע"מ</v>
      </c>
      <c r="I3040" t="str">
        <f>"10"</f>
        <v>10</v>
      </c>
      <c r="J3040" t="str">
        <f>"000"</f>
        <v>000</v>
      </c>
      <c r="K3040" t="str">
        <f>"תוספת קיט 1037C839-001"</f>
        <v>תוספת קיט 1037C839-001</v>
      </c>
      <c r="L3040">
        <v>1</v>
      </c>
      <c r="M3040" t="str">
        <f>"יח"</f>
        <v>יח</v>
      </c>
      <c r="N3040">
        <v>1</v>
      </c>
      <c r="O3040" t="str">
        <f>"יח"</f>
        <v>יח</v>
      </c>
      <c r="P3040" s="2">
        <v>1009</v>
      </c>
      <c r="Q3040" t="str">
        <f>"$"</f>
        <v>$</v>
      </c>
      <c r="R3040" t="str">
        <f>"הזמנה"</f>
        <v>הזמנה</v>
      </c>
      <c r="S3040">
        <v>0</v>
      </c>
      <c r="T3040" s="2">
        <v>1009</v>
      </c>
      <c r="U3040">
        <v>0</v>
      </c>
      <c r="V3040" s="2">
        <v>1009</v>
      </c>
      <c r="W3040" t="str">
        <f>"$"</f>
        <v>$</v>
      </c>
      <c r="X3040">
        <v>0</v>
      </c>
      <c r="Y3040">
        <v>0</v>
      </c>
      <c r="Z3040">
        <v>0</v>
      </c>
      <c r="AA3040" t="str">
        <f>"Y"</f>
        <v>Y</v>
      </c>
      <c r="AB3040" t="str">
        <f>"SO20000290"</f>
        <v>SO20000290</v>
      </c>
      <c r="AC3040">
        <v>1</v>
      </c>
      <c r="AD3040" s="1">
        <v>44020</v>
      </c>
      <c r="AM3040" t="str">
        <f>"10"</f>
        <v>10</v>
      </c>
      <c r="AN3040" t="str">
        <f>"500000"</f>
        <v>500000</v>
      </c>
      <c r="AO3040" t="str">
        <f>"הכנסות  מלקוחות"</f>
        <v>הכנסות  מלקוחות</v>
      </c>
      <c r="AQ3040" t="str">
        <f>"034"</f>
        <v>034</v>
      </c>
      <c r="AR3040">
        <v>0</v>
      </c>
      <c r="AS3040">
        <v>0</v>
      </c>
      <c r="AT3040">
        <v>3.2269999999999999</v>
      </c>
      <c r="AX3040" t="str">
        <f>"E000316490"</f>
        <v>E000316490</v>
      </c>
      <c r="BD3040" t="str">
        <f>"ערן שלו"</f>
        <v>ערן שלו</v>
      </c>
    </row>
    <row r="3041" spans="1:56" x14ac:dyDescent="0.3">
      <c r="A3041" s="1">
        <v>44215</v>
      </c>
      <c r="B3041" t="str">
        <f>"SI216000054"</f>
        <v>SI216000054</v>
      </c>
      <c r="C3041" t="str">
        <f>"PR19000750"</f>
        <v>PR19000750</v>
      </c>
      <c r="D3041" t="str">
        <f>"PR19000750"</f>
        <v>PR19000750</v>
      </c>
      <c r="E3041" t="str">
        <f>"Y"</f>
        <v>Y</v>
      </c>
      <c r="F3041" t="str">
        <f>"חשבוניות מרכזות"</f>
        <v>חשבוניות מרכזות</v>
      </c>
      <c r="G3041" t="str">
        <f>"700065"</f>
        <v>700065</v>
      </c>
      <c r="H3041" t="str">
        <f>"אלתא מערכות בע""מ"</f>
        <v>אלתא מערכות בע"מ</v>
      </c>
      <c r="I3041" t="str">
        <f>"10"</f>
        <v>10</v>
      </c>
      <c r="J3041" t="str">
        <f>"000"</f>
        <v>000</v>
      </c>
      <c r="K3041" t="str">
        <f>"תוספת קיט 1037C840-001"</f>
        <v>תוספת קיט 1037C840-001</v>
      </c>
      <c r="L3041">
        <v>1</v>
      </c>
      <c r="M3041" t="str">
        <f>"יח"</f>
        <v>יח</v>
      </c>
      <c r="N3041">
        <v>1</v>
      </c>
      <c r="O3041" t="str">
        <f>"יח"</f>
        <v>יח</v>
      </c>
      <c r="P3041">
        <v>767.94</v>
      </c>
      <c r="Q3041" t="str">
        <f>"$"</f>
        <v>$</v>
      </c>
      <c r="R3041" t="str">
        <f>"הזמנה"</f>
        <v>הזמנה</v>
      </c>
      <c r="S3041">
        <v>0</v>
      </c>
      <c r="T3041">
        <v>767.94</v>
      </c>
      <c r="U3041">
        <v>0</v>
      </c>
      <c r="V3041">
        <v>767.94</v>
      </c>
      <c r="W3041" t="str">
        <f>"$"</f>
        <v>$</v>
      </c>
      <c r="X3041">
        <v>0</v>
      </c>
      <c r="Y3041">
        <v>0</v>
      </c>
      <c r="Z3041">
        <v>0</v>
      </c>
      <c r="AA3041" t="str">
        <f>"Y"</f>
        <v>Y</v>
      </c>
      <c r="AB3041" t="str">
        <f>"SO20000290"</f>
        <v>SO20000290</v>
      </c>
      <c r="AC3041">
        <v>2</v>
      </c>
      <c r="AD3041" s="1">
        <v>44020</v>
      </c>
      <c r="AM3041" t="str">
        <f>"10"</f>
        <v>10</v>
      </c>
      <c r="AN3041" t="str">
        <f>"500000"</f>
        <v>500000</v>
      </c>
      <c r="AO3041" t="str">
        <f>"הכנסות  מלקוחות"</f>
        <v>הכנסות  מלקוחות</v>
      </c>
      <c r="AQ3041" t="str">
        <f>"034"</f>
        <v>034</v>
      </c>
      <c r="AR3041">
        <v>0</v>
      </c>
      <c r="AS3041">
        <v>0</v>
      </c>
      <c r="AT3041">
        <v>3.2269999999999999</v>
      </c>
      <c r="AX3041" t="str">
        <f>"E000316490"</f>
        <v>E000316490</v>
      </c>
      <c r="BD3041" t="str">
        <f>"ערן שלו"</f>
        <v>ערן שלו</v>
      </c>
    </row>
    <row r="3042" spans="1:56" x14ac:dyDescent="0.3">
      <c r="A3042" s="1">
        <v>44214</v>
      </c>
      <c r="B3042" t="str">
        <f>"SI216000052"</f>
        <v>SI216000052</v>
      </c>
      <c r="C3042" t="str">
        <f>"PR20000156"</f>
        <v>PR20000156</v>
      </c>
      <c r="E3042" t="str">
        <f>"Y"</f>
        <v>Y</v>
      </c>
      <c r="F3042" t="str">
        <f>"חשבוניות מרכזות"</f>
        <v>חשבוניות מרכזות</v>
      </c>
      <c r="G3042" t="str">
        <f>"700065"</f>
        <v>700065</v>
      </c>
      <c r="H3042" t="str">
        <f>"אלתא מערכות בע""מ"</f>
        <v>אלתא מערכות בע"מ</v>
      </c>
      <c r="I3042" t="str">
        <f>"10"</f>
        <v>10</v>
      </c>
      <c r="J3042" t="str">
        <f>"OP-AR01025"</f>
        <v>OP-AR01025</v>
      </c>
      <c r="K3042" t="str">
        <f>"BATTERY BOX 1039V520-001"</f>
        <v>BATTERY BOX 1039V520-001</v>
      </c>
      <c r="L3042">
        <v>1</v>
      </c>
      <c r="M3042" t="str">
        <f>"יח"</f>
        <v>יח</v>
      </c>
      <c r="N3042">
        <v>1</v>
      </c>
      <c r="O3042" t="str">
        <f>"יח"</f>
        <v>יח</v>
      </c>
      <c r="P3042" s="2">
        <v>5577</v>
      </c>
      <c r="Q3042" t="str">
        <f>"$"</f>
        <v>$</v>
      </c>
      <c r="R3042" t="str">
        <f>"הזמנה"</f>
        <v>הזמנה</v>
      </c>
      <c r="S3042">
        <v>0</v>
      </c>
      <c r="T3042" s="2">
        <v>5577</v>
      </c>
      <c r="U3042">
        <v>0</v>
      </c>
      <c r="V3042" s="2">
        <v>5577</v>
      </c>
      <c r="W3042" t="str">
        <f>"$"</f>
        <v>$</v>
      </c>
      <c r="X3042">
        <v>0</v>
      </c>
      <c r="Y3042">
        <v>0</v>
      </c>
      <c r="Z3042">
        <v>0</v>
      </c>
      <c r="AA3042" t="str">
        <f>"Y"</f>
        <v>Y</v>
      </c>
      <c r="AB3042" t="str">
        <f>"SO20000381"</f>
        <v>SO20000381</v>
      </c>
      <c r="AC3042">
        <v>11</v>
      </c>
      <c r="AD3042" s="1">
        <v>44073</v>
      </c>
      <c r="AE3042" t="str">
        <f>"SH21000072"</f>
        <v>SH21000072</v>
      </c>
      <c r="AF3042" t="str">
        <f>"משלוחים ללקוח"</f>
        <v>משלוחים ללקוח</v>
      </c>
      <c r="AG3042" s="1">
        <v>44213</v>
      </c>
      <c r="AM3042" t="str">
        <f>"10"</f>
        <v>10</v>
      </c>
      <c r="AN3042" t="str">
        <f>"500000"</f>
        <v>500000</v>
      </c>
      <c r="AO3042" t="str">
        <f>"הכנסות  מלקוחות"</f>
        <v>הכנסות  מלקוחות</v>
      </c>
      <c r="AQ3042" t="str">
        <f>"034"</f>
        <v>034</v>
      </c>
      <c r="AR3042">
        <v>0</v>
      </c>
      <c r="AS3042">
        <v>0</v>
      </c>
      <c r="AT3042">
        <v>3.2309999999999999</v>
      </c>
      <c r="AX3042" t="str">
        <f>"E000319715"</f>
        <v>E000319715</v>
      </c>
      <c r="BD3042" t="str">
        <f>"ערן שלו"</f>
        <v>ערן שלו</v>
      </c>
    </row>
    <row r="3043" spans="1:56" x14ac:dyDescent="0.3">
      <c r="A3043" s="1">
        <v>44214</v>
      </c>
      <c r="B3043" t="str">
        <f>"SI216000051"</f>
        <v>SI216000051</v>
      </c>
      <c r="C3043" t="str">
        <f>"PR20000789"</f>
        <v>PR20000789</v>
      </c>
      <c r="D3043" t="str">
        <f>"PR20000789"</f>
        <v>PR20000789</v>
      </c>
      <c r="E3043" t="str">
        <f>"Y"</f>
        <v>Y</v>
      </c>
      <c r="F3043" t="str">
        <f>"חשבוניות מרכזות"</f>
        <v>חשבוניות מרכזות</v>
      </c>
      <c r="G3043" t="str">
        <f>"700065"</f>
        <v>700065</v>
      </c>
      <c r="H3043" t="str">
        <f>"אלתא מערכות בע""מ"</f>
        <v>אלתא מערכות בע"מ</v>
      </c>
      <c r="I3043" t="str">
        <f>"10"</f>
        <v>10</v>
      </c>
      <c r="J3043" t="str">
        <f>"OP-AR02088"</f>
        <v>OP-AR02088</v>
      </c>
      <c r="K3043" t="str">
        <f>"9006U140-001/A  HARNESS WI140 - AIR COMPRESSOR A"</f>
        <v>9006U140-001/A  HARNESS WI140 - AIR COMPRESSOR A</v>
      </c>
      <c r="L3043">
        <v>6</v>
      </c>
      <c r="M3043" t="str">
        <f>"יח"</f>
        <v>יח</v>
      </c>
      <c r="N3043">
        <v>6</v>
      </c>
      <c r="O3043" t="str">
        <f>"יח"</f>
        <v>יח</v>
      </c>
      <c r="P3043">
        <v>207.24</v>
      </c>
      <c r="Q3043" t="str">
        <f>"$"</f>
        <v>$</v>
      </c>
      <c r="R3043" t="str">
        <f>"הזמנה"</f>
        <v>הזמנה</v>
      </c>
      <c r="S3043">
        <v>0</v>
      </c>
      <c r="T3043" s="2">
        <v>1243.44</v>
      </c>
      <c r="U3043">
        <v>0</v>
      </c>
      <c r="V3043" s="2">
        <v>1243.44</v>
      </c>
      <c r="W3043" t="str">
        <f>"$"</f>
        <v>$</v>
      </c>
      <c r="X3043">
        <v>0</v>
      </c>
      <c r="Y3043">
        <v>0</v>
      </c>
      <c r="Z3043">
        <v>0</v>
      </c>
      <c r="AA3043" t="str">
        <f>"Y"</f>
        <v>Y</v>
      </c>
      <c r="AB3043" t="str">
        <f>"SO20000518"</f>
        <v>SO20000518</v>
      </c>
      <c r="AC3043">
        <v>3</v>
      </c>
      <c r="AD3043" s="1">
        <v>44145</v>
      </c>
      <c r="AE3043" t="str">
        <f>"SH21000070"</f>
        <v>SH21000070</v>
      </c>
      <c r="AF3043" t="str">
        <f>"משלוחים ללקוח"</f>
        <v>משלוחים ללקוח</v>
      </c>
      <c r="AG3043" s="1">
        <v>44210</v>
      </c>
      <c r="AM3043" t="str">
        <f>"10"</f>
        <v>10</v>
      </c>
      <c r="AN3043" t="str">
        <f>"500000"</f>
        <v>500000</v>
      </c>
      <c r="AO3043" t="str">
        <f>"הכנסות  מלקוחות"</f>
        <v>הכנסות  מלקוחות</v>
      </c>
      <c r="AQ3043" t="str">
        <f>"034"</f>
        <v>034</v>
      </c>
      <c r="AR3043">
        <v>0</v>
      </c>
      <c r="AS3043">
        <v>0</v>
      </c>
      <c r="AT3043">
        <v>3.2309999999999999</v>
      </c>
      <c r="AX3043" t="str">
        <f>"E000324732"</f>
        <v>E000324732</v>
      </c>
      <c r="BD3043" t="str">
        <f>"ערן שלו"</f>
        <v>ערן שלו</v>
      </c>
    </row>
    <row r="3044" spans="1:56" x14ac:dyDescent="0.3">
      <c r="A3044" s="1">
        <v>44214</v>
      </c>
      <c r="B3044" t="str">
        <f>"SI216000050"</f>
        <v>SI216000050</v>
      </c>
      <c r="C3044" t="str">
        <f>"PR20000524"</f>
        <v>PR20000524</v>
      </c>
      <c r="E3044" t="str">
        <f>"Y"</f>
        <v>Y</v>
      </c>
      <c r="F3044" t="str">
        <f>"חשבוניות מרכזות"</f>
        <v>חשבוניות מרכזות</v>
      </c>
      <c r="G3044" t="str">
        <f>"700065"</f>
        <v>700065</v>
      </c>
      <c r="H3044" t="str">
        <f>"אלתא מערכות בע""מ"</f>
        <v>אלתא מערכות בע"מ</v>
      </c>
      <c r="I3044" t="str">
        <f>"10"</f>
        <v>10</v>
      </c>
      <c r="J3044" t="str">
        <f>"OP-AR01658"</f>
        <v>OP-AR01658</v>
      </c>
      <c r="K3044" t="str">
        <f>"1041G355-001 W355 - LIMIT SWITCHES, CU RACK TO P"</f>
        <v>1041G355-001 W355 - LIMIT SWITCHES, CU RACK TO P</v>
      </c>
      <c r="L3044">
        <v>1</v>
      </c>
      <c r="M3044" t="str">
        <f>"יח"</f>
        <v>יח</v>
      </c>
      <c r="N3044">
        <v>1</v>
      </c>
      <c r="O3044" t="str">
        <f>"יח"</f>
        <v>יח</v>
      </c>
      <c r="P3044" s="2">
        <v>1711.17</v>
      </c>
      <c r="Q3044" t="str">
        <f>"$"</f>
        <v>$</v>
      </c>
      <c r="R3044" t="str">
        <f>"הזמנה"</f>
        <v>הזמנה</v>
      </c>
      <c r="S3044">
        <v>0</v>
      </c>
      <c r="T3044" s="2">
        <v>1711.17</v>
      </c>
      <c r="U3044">
        <v>0</v>
      </c>
      <c r="V3044" s="2">
        <v>1711.17</v>
      </c>
      <c r="W3044" t="str">
        <f>"$"</f>
        <v>$</v>
      </c>
      <c r="X3044">
        <v>0</v>
      </c>
      <c r="Y3044">
        <v>0</v>
      </c>
      <c r="Z3044">
        <v>0</v>
      </c>
      <c r="AA3044" t="str">
        <f>"Y"</f>
        <v>Y</v>
      </c>
      <c r="AB3044" t="str">
        <f>"SO20000329"</f>
        <v>SO20000329</v>
      </c>
      <c r="AC3044">
        <v>9</v>
      </c>
      <c r="AD3044" s="1">
        <v>44035</v>
      </c>
      <c r="AE3044" t="str">
        <f>"SH21000069"</f>
        <v>SH21000069</v>
      </c>
      <c r="AF3044" t="str">
        <f>"משלוחים ללקוח"</f>
        <v>משלוחים ללקוח</v>
      </c>
      <c r="AG3044" s="1">
        <v>44210</v>
      </c>
      <c r="AM3044" t="str">
        <f>"10"</f>
        <v>10</v>
      </c>
      <c r="AN3044" t="str">
        <f>"500000"</f>
        <v>500000</v>
      </c>
      <c r="AO3044" t="str">
        <f>"הכנסות  מלקוחות"</f>
        <v>הכנסות  מלקוחות</v>
      </c>
      <c r="AQ3044" t="str">
        <f>"034"</f>
        <v>034</v>
      </c>
      <c r="AR3044">
        <v>0</v>
      </c>
      <c r="AS3044">
        <v>0</v>
      </c>
      <c r="AT3044">
        <v>3.2309999999999999</v>
      </c>
      <c r="AX3044" t="str">
        <f>"E000316426"</f>
        <v>E000316426</v>
      </c>
      <c r="BD3044" t="str">
        <f>"ערן שלו"</f>
        <v>ערן שלו</v>
      </c>
    </row>
    <row r="3045" spans="1:56" x14ac:dyDescent="0.3">
      <c r="A3045" s="1">
        <v>44214</v>
      </c>
      <c r="B3045" t="str">
        <f>"SI216000049"</f>
        <v>SI216000049</v>
      </c>
      <c r="C3045" t="str">
        <f>"PR20000210"</f>
        <v>PR20000210</v>
      </c>
      <c r="E3045" t="str">
        <f>"Y"</f>
        <v>Y</v>
      </c>
      <c r="F3045" t="str">
        <f>"חשבוניות מרכזות"</f>
        <v>חשבוניות מרכזות</v>
      </c>
      <c r="G3045" t="str">
        <f>"700065"</f>
        <v>700065</v>
      </c>
      <c r="H3045" t="str">
        <f>"אלתא מערכות בע""מ"</f>
        <v>אלתא מערכות בע"מ</v>
      </c>
      <c r="I3045" t="str">
        <f>"10"</f>
        <v>10</v>
      </c>
      <c r="J3045" t="str">
        <f>"OP-AR01709"</f>
        <v>OP-AR01709</v>
      </c>
      <c r="K3045" t="str">
        <f>"1022H888-001 W8-32CH VIDEO CABLE (MASTER)"</f>
        <v>1022H888-001 W8-32CH VIDEO CABLE (MASTER)</v>
      </c>
      <c r="L3045">
        <v>2</v>
      </c>
      <c r="M3045" t="str">
        <f>"יח"</f>
        <v>יח</v>
      </c>
      <c r="N3045">
        <v>2</v>
      </c>
      <c r="O3045" t="str">
        <f>"יח"</f>
        <v>יח</v>
      </c>
      <c r="P3045" s="2">
        <v>1234.4100000000001</v>
      </c>
      <c r="Q3045" t="str">
        <f>"$"</f>
        <v>$</v>
      </c>
      <c r="R3045" t="str">
        <f>"הזמנה"</f>
        <v>הזמנה</v>
      </c>
      <c r="S3045">
        <v>0</v>
      </c>
      <c r="T3045" s="2">
        <v>2468.8200000000002</v>
      </c>
      <c r="U3045">
        <v>0</v>
      </c>
      <c r="V3045" s="2">
        <v>2468.8200000000002</v>
      </c>
      <c r="W3045" t="str">
        <f>"$"</f>
        <v>$</v>
      </c>
      <c r="X3045">
        <v>0</v>
      </c>
      <c r="Y3045">
        <v>0</v>
      </c>
      <c r="Z3045">
        <v>0</v>
      </c>
      <c r="AA3045" t="str">
        <f>"Y"</f>
        <v>Y</v>
      </c>
      <c r="AC3045">
        <v>0</v>
      </c>
      <c r="AM3045" t="str">
        <f>"10"</f>
        <v>10</v>
      </c>
      <c r="AN3045" t="str">
        <f>"500000"</f>
        <v>500000</v>
      </c>
      <c r="AO3045" t="str">
        <f>"הכנסות  מלקוחות"</f>
        <v>הכנסות  מלקוחות</v>
      </c>
      <c r="AQ3045" t="str">
        <f>"034"</f>
        <v>034</v>
      </c>
      <c r="AR3045">
        <v>0</v>
      </c>
      <c r="AS3045">
        <v>0</v>
      </c>
      <c r="AT3045">
        <v>3.2309999999999999</v>
      </c>
      <c r="BB3045" t="str">
        <f>"Y"</f>
        <v>Y</v>
      </c>
      <c r="BD3045" t="str">
        <f>"ערן שלו"</f>
        <v>ערן שלו</v>
      </c>
    </row>
    <row r="3046" spans="1:56" x14ac:dyDescent="0.3">
      <c r="A3046" s="1">
        <v>44214</v>
      </c>
      <c r="B3046" t="str">
        <f>"SI216000048"</f>
        <v>SI216000048</v>
      </c>
      <c r="C3046" t="str">
        <f>"PR20000348"</f>
        <v>PR20000348</v>
      </c>
      <c r="E3046" t="str">
        <f>"Y"</f>
        <v>Y</v>
      </c>
      <c r="F3046" t="str">
        <f>"חשבוניות מרכזות"</f>
        <v>חשבוניות מרכזות</v>
      </c>
      <c r="G3046" t="str">
        <f>"700065"</f>
        <v>700065</v>
      </c>
      <c r="H3046" t="str">
        <f>"אלתא מערכות בע""מ"</f>
        <v>אלתא מערכות בע"מ</v>
      </c>
      <c r="I3046" t="str">
        <f>"10"</f>
        <v>10</v>
      </c>
      <c r="J3046" t="str">
        <f>"OP-AR01766"</f>
        <v>OP-AR01766</v>
      </c>
      <c r="K3046" t="str">
        <f>"1036U408-001 WP438 - AUX-BOX TO MEB - EMERGENCY"</f>
        <v>1036U408-001 WP438 - AUX-BOX TO MEB - EMERGENCY</v>
      </c>
      <c r="L3046">
        <v>2</v>
      </c>
      <c r="M3046" t="str">
        <f>"יח"</f>
        <v>יח</v>
      </c>
      <c r="N3046">
        <v>2</v>
      </c>
      <c r="O3046" t="str">
        <f>"יח"</f>
        <v>יח</v>
      </c>
      <c r="P3046">
        <v>609.95000000000005</v>
      </c>
      <c r="Q3046" t="str">
        <f>"$"</f>
        <v>$</v>
      </c>
      <c r="R3046" t="str">
        <f>"הזמנה"</f>
        <v>הזמנה</v>
      </c>
      <c r="S3046">
        <v>0</v>
      </c>
      <c r="T3046" s="2">
        <v>1219.9000000000001</v>
      </c>
      <c r="U3046">
        <v>0</v>
      </c>
      <c r="V3046" s="2">
        <v>1219.9000000000001</v>
      </c>
      <c r="W3046" t="str">
        <f>"$"</f>
        <v>$</v>
      </c>
      <c r="X3046">
        <v>0</v>
      </c>
      <c r="Y3046">
        <v>0</v>
      </c>
      <c r="Z3046">
        <v>0</v>
      </c>
      <c r="AA3046" t="str">
        <f>"Y"</f>
        <v>Y</v>
      </c>
      <c r="AB3046" t="str">
        <f>"SO20000201"</f>
        <v>SO20000201</v>
      </c>
      <c r="AC3046">
        <v>32</v>
      </c>
      <c r="AD3046" s="1">
        <v>43970</v>
      </c>
      <c r="AE3046" t="str">
        <f>"SH21000067"</f>
        <v>SH21000067</v>
      </c>
      <c r="AF3046" t="str">
        <f>"משלוחים ללקוח"</f>
        <v>משלוחים ללקוח</v>
      </c>
      <c r="AG3046" s="1">
        <v>44210</v>
      </c>
      <c r="AM3046" t="str">
        <f>"10"</f>
        <v>10</v>
      </c>
      <c r="AN3046" t="str">
        <f>"500000"</f>
        <v>500000</v>
      </c>
      <c r="AO3046" t="str">
        <f>"הכנסות  מלקוחות"</f>
        <v>הכנסות  מלקוחות</v>
      </c>
      <c r="AQ3046" t="str">
        <f>"034"</f>
        <v>034</v>
      </c>
      <c r="AR3046">
        <v>0</v>
      </c>
      <c r="AS3046">
        <v>0</v>
      </c>
      <c r="AT3046">
        <v>3.2309999999999999</v>
      </c>
      <c r="AX3046" t="str">
        <f>"E000311250"</f>
        <v>E000311250</v>
      </c>
      <c r="BD3046" t="str">
        <f>"ערן שלו"</f>
        <v>ערן שלו</v>
      </c>
    </row>
    <row r="3047" spans="1:56" x14ac:dyDescent="0.3">
      <c r="A3047" s="1">
        <v>44214</v>
      </c>
      <c r="B3047" t="str">
        <f>"SI216000047"</f>
        <v>SI216000047</v>
      </c>
      <c r="C3047" t="str">
        <f>"PR20000495"</f>
        <v>PR20000495</v>
      </c>
      <c r="D3047" t="str">
        <f>"PR20000495"</f>
        <v>PR20000495</v>
      </c>
      <c r="E3047" t="str">
        <f>"Y"</f>
        <v>Y</v>
      </c>
      <c r="F3047" t="str">
        <f>"חשבוניות מרכזות"</f>
        <v>חשבוניות מרכזות</v>
      </c>
      <c r="G3047" t="str">
        <f>"700065"</f>
        <v>700065</v>
      </c>
      <c r="H3047" t="str">
        <f>"אלתא מערכות בע""מ"</f>
        <v>אלתא מערכות בע"מ</v>
      </c>
      <c r="I3047" t="str">
        <f>"10"</f>
        <v>10</v>
      </c>
      <c r="J3047" t="str">
        <f>"OP-AR01894"</f>
        <v>OP-AR01894</v>
      </c>
      <c r="K3047" t="str">
        <f>"1027L257-001 - CABLE ASSY WR007"</f>
        <v>1027L257-001 - CABLE ASSY WR007</v>
      </c>
      <c r="L3047">
        <v>7</v>
      </c>
      <c r="M3047" t="str">
        <f>"יח"</f>
        <v>יח</v>
      </c>
      <c r="N3047">
        <v>7</v>
      </c>
      <c r="O3047" t="str">
        <f>"יח"</f>
        <v>יח</v>
      </c>
      <c r="P3047">
        <v>262.02</v>
      </c>
      <c r="Q3047" t="str">
        <f>"$"</f>
        <v>$</v>
      </c>
      <c r="R3047" t="str">
        <f>"הזמנה"</f>
        <v>הזמנה</v>
      </c>
      <c r="S3047">
        <v>0</v>
      </c>
      <c r="T3047" s="2">
        <v>1834.14</v>
      </c>
      <c r="U3047">
        <v>0</v>
      </c>
      <c r="V3047" s="2">
        <v>1834.14</v>
      </c>
      <c r="W3047" t="str">
        <f>"$"</f>
        <v>$</v>
      </c>
      <c r="X3047">
        <v>0</v>
      </c>
      <c r="Y3047">
        <v>0</v>
      </c>
      <c r="Z3047">
        <v>0</v>
      </c>
      <c r="AA3047" t="str">
        <f>"Y"</f>
        <v>Y</v>
      </c>
      <c r="AB3047" t="str">
        <f>"SO20000302"</f>
        <v>SO20000302</v>
      </c>
      <c r="AC3047">
        <v>1</v>
      </c>
      <c r="AD3047" s="1">
        <v>44028</v>
      </c>
      <c r="AE3047" t="str">
        <f>"SH21000066"</f>
        <v>SH21000066</v>
      </c>
      <c r="AF3047" t="str">
        <f>"משלוחים ללקוח"</f>
        <v>משלוחים ללקוח</v>
      </c>
      <c r="AG3047" s="1">
        <v>44210</v>
      </c>
      <c r="AM3047" t="str">
        <f>"10"</f>
        <v>10</v>
      </c>
      <c r="AN3047" t="str">
        <f>"500000"</f>
        <v>500000</v>
      </c>
      <c r="AO3047" t="str">
        <f>"הכנסות  מלקוחות"</f>
        <v>הכנסות  מלקוחות</v>
      </c>
      <c r="AQ3047" t="str">
        <f>"034"</f>
        <v>034</v>
      </c>
      <c r="AR3047">
        <v>0</v>
      </c>
      <c r="AS3047">
        <v>0</v>
      </c>
      <c r="AT3047">
        <v>3.2309999999999999</v>
      </c>
      <c r="AX3047" t="str">
        <f>"E000315867"</f>
        <v>E000315867</v>
      </c>
      <c r="BD3047" t="str">
        <f>"ערן שלו"</f>
        <v>ערן שלו</v>
      </c>
    </row>
    <row r="3048" spans="1:56" x14ac:dyDescent="0.3">
      <c r="A3048" s="1">
        <v>44214</v>
      </c>
      <c r="B3048" t="str">
        <f>"SI216000047"</f>
        <v>SI216000047</v>
      </c>
      <c r="C3048" t="str">
        <f>"PR20000495"</f>
        <v>PR20000495</v>
      </c>
      <c r="D3048" t="str">
        <f>"PR20000495"</f>
        <v>PR20000495</v>
      </c>
      <c r="E3048" t="str">
        <f>"Y"</f>
        <v>Y</v>
      </c>
      <c r="F3048" t="str">
        <f>"חשבוניות מרכזות"</f>
        <v>חשבוניות מרכזות</v>
      </c>
      <c r="G3048" t="str">
        <f>"700065"</f>
        <v>700065</v>
      </c>
      <c r="H3048" t="str">
        <f>"אלתא מערכות בע""מ"</f>
        <v>אלתא מערכות בע"מ</v>
      </c>
      <c r="I3048" t="str">
        <f>"10"</f>
        <v>10</v>
      </c>
      <c r="J3048" t="str">
        <f>"OP-AR01895"</f>
        <v>OP-AR01895</v>
      </c>
      <c r="K3048" t="str">
        <f>"1027L258-002 - CABLE ASSY WR008"</f>
        <v>1027L258-002 - CABLE ASSY WR008</v>
      </c>
      <c r="L3048">
        <v>7</v>
      </c>
      <c r="M3048" t="str">
        <f>"יח"</f>
        <v>יח</v>
      </c>
      <c r="N3048">
        <v>7</v>
      </c>
      <c r="O3048" t="str">
        <f>"יח"</f>
        <v>יח</v>
      </c>
      <c r="P3048">
        <v>302.10000000000002</v>
      </c>
      <c r="Q3048" t="str">
        <f>"$"</f>
        <v>$</v>
      </c>
      <c r="R3048" t="str">
        <f>"הזמנה"</f>
        <v>הזמנה</v>
      </c>
      <c r="S3048">
        <v>0</v>
      </c>
      <c r="T3048" s="2">
        <v>2114.6999999999998</v>
      </c>
      <c r="U3048">
        <v>0</v>
      </c>
      <c r="V3048" s="2">
        <v>2114.6999999999998</v>
      </c>
      <c r="W3048" t="str">
        <f>"$"</f>
        <v>$</v>
      </c>
      <c r="X3048">
        <v>0</v>
      </c>
      <c r="Y3048">
        <v>0</v>
      </c>
      <c r="Z3048">
        <v>0</v>
      </c>
      <c r="AA3048" t="str">
        <f>"Y"</f>
        <v>Y</v>
      </c>
      <c r="AB3048" t="str">
        <f>"SO20000302"</f>
        <v>SO20000302</v>
      </c>
      <c r="AC3048">
        <v>2</v>
      </c>
      <c r="AD3048" s="1">
        <v>44028</v>
      </c>
      <c r="AE3048" t="str">
        <f>"SH21000066"</f>
        <v>SH21000066</v>
      </c>
      <c r="AF3048" t="str">
        <f>"משלוחים ללקוח"</f>
        <v>משלוחים ללקוח</v>
      </c>
      <c r="AG3048" s="1">
        <v>44210</v>
      </c>
      <c r="AM3048" t="str">
        <f>"10"</f>
        <v>10</v>
      </c>
      <c r="AN3048" t="str">
        <f>"500000"</f>
        <v>500000</v>
      </c>
      <c r="AO3048" t="str">
        <f>"הכנסות  מלקוחות"</f>
        <v>הכנסות  מלקוחות</v>
      </c>
      <c r="AQ3048" t="str">
        <f>"034"</f>
        <v>034</v>
      </c>
      <c r="AR3048">
        <v>0</v>
      </c>
      <c r="AS3048">
        <v>0</v>
      </c>
      <c r="AT3048">
        <v>3.2309999999999999</v>
      </c>
      <c r="AX3048" t="str">
        <f>"E000315867"</f>
        <v>E000315867</v>
      </c>
      <c r="BD3048" t="str">
        <f>"ערן שלו"</f>
        <v>ערן שלו</v>
      </c>
    </row>
    <row r="3049" spans="1:56" x14ac:dyDescent="0.3">
      <c r="A3049" s="1">
        <v>44214</v>
      </c>
      <c r="B3049" t="str">
        <f>"SI216000047"</f>
        <v>SI216000047</v>
      </c>
      <c r="C3049" t="str">
        <f>"PR20000495"</f>
        <v>PR20000495</v>
      </c>
      <c r="D3049" t="str">
        <f>"PR20000495"</f>
        <v>PR20000495</v>
      </c>
      <c r="E3049" t="str">
        <f>"Y"</f>
        <v>Y</v>
      </c>
      <c r="F3049" t="str">
        <f>"חשבוניות מרכזות"</f>
        <v>חשבוניות מרכזות</v>
      </c>
      <c r="G3049" t="str">
        <f>"700065"</f>
        <v>700065</v>
      </c>
      <c r="H3049" t="str">
        <f>"אלתא מערכות בע""מ"</f>
        <v>אלתא מערכות בע"מ</v>
      </c>
      <c r="I3049" t="str">
        <f>"10"</f>
        <v>10</v>
      </c>
      <c r="J3049" t="str">
        <f>"OP-AR01897"</f>
        <v>OP-AR01897</v>
      </c>
      <c r="K3049" t="str">
        <f>"1027L251-001 - CABLE ASSY WR001"</f>
        <v>1027L251-001 - CABLE ASSY WR001</v>
      </c>
      <c r="L3049">
        <v>6</v>
      </c>
      <c r="M3049" t="str">
        <f>"יח"</f>
        <v>יח</v>
      </c>
      <c r="N3049">
        <v>6</v>
      </c>
      <c r="O3049" t="str">
        <f>"יח"</f>
        <v>יח</v>
      </c>
      <c r="P3049">
        <v>812.99</v>
      </c>
      <c r="Q3049" t="str">
        <f>"$"</f>
        <v>$</v>
      </c>
      <c r="R3049" t="str">
        <f>"הזמנה"</f>
        <v>הזמנה</v>
      </c>
      <c r="S3049">
        <v>0</v>
      </c>
      <c r="T3049" s="2">
        <v>4877.9399999999996</v>
      </c>
      <c r="U3049">
        <v>0</v>
      </c>
      <c r="V3049" s="2">
        <v>4877.9399999999996</v>
      </c>
      <c r="W3049" t="str">
        <f>"$"</f>
        <v>$</v>
      </c>
      <c r="X3049">
        <v>0</v>
      </c>
      <c r="Y3049">
        <v>0</v>
      </c>
      <c r="Z3049">
        <v>0</v>
      </c>
      <c r="AA3049" t="str">
        <f>"Y"</f>
        <v>Y</v>
      </c>
      <c r="AB3049" t="str">
        <f>"SO20000302"</f>
        <v>SO20000302</v>
      </c>
      <c r="AC3049">
        <v>4</v>
      </c>
      <c r="AD3049" s="1">
        <v>44028</v>
      </c>
      <c r="AE3049" t="str">
        <f>"SH21000066"</f>
        <v>SH21000066</v>
      </c>
      <c r="AF3049" t="str">
        <f>"משלוחים ללקוח"</f>
        <v>משלוחים ללקוח</v>
      </c>
      <c r="AG3049" s="1">
        <v>44210</v>
      </c>
      <c r="AM3049" t="str">
        <f>"10"</f>
        <v>10</v>
      </c>
      <c r="AN3049" t="str">
        <f>"500000"</f>
        <v>500000</v>
      </c>
      <c r="AO3049" t="str">
        <f>"הכנסות  מלקוחות"</f>
        <v>הכנסות  מלקוחות</v>
      </c>
      <c r="AQ3049" t="str">
        <f>"034"</f>
        <v>034</v>
      </c>
      <c r="AR3049">
        <v>0</v>
      </c>
      <c r="AS3049">
        <v>0</v>
      </c>
      <c r="AT3049">
        <v>3.2309999999999999</v>
      </c>
      <c r="AX3049" t="str">
        <f>"E000315867"</f>
        <v>E000315867</v>
      </c>
      <c r="BD3049" t="str">
        <f>"ערן שלו"</f>
        <v>ערן שלו</v>
      </c>
    </row>
    <row r="3050" spans="1:56" x14ac:dyDescent="0.3">
      <c r="A3050" s="1">
        <v>44214</v>
      </c>
      <c r="B3050" t="str">
        <f>"SI216000046"</f>
        <v>SI216000046</v>
      </c>
      <c r="C3050" t="str">
        <f>"PR20000317"</f>
        <v>PR20000317</v>
      </c>
      <c r="E3050" t="str">
        <f>"Y"</f>
        <v>Y</v>
      </c>
      <c r="F3050" t="str">
        <f>"חשבוניות מרכזות"</f>
        <v>חשבוניות מרכזות</v>
      </c>
      <c r="G3050" t="str">
        <f>"700065"</f>
        <v>700065</v>
      </c>
      <c r="H3050" t="str">
        <f>"אלתא מערכות בע""מ"</f>
        <v>אלתא מערכות בע"מ</v>
      </c>
      <c r="I3050" t="str">
        <f>"10"</f>
        <v>10</v>
      </c>
      <c r="J3050" t="str">
        <f>"OP-AR01088"</f>
        <v>OP-AR01088</v>
      </c>
      <c r="K3050" t="str">
        <f>"1038H185-001 SRASR POWER DISTRIUTION UNIT"</f>
        <v>1038H185-001 SRASR POWER DISTRIUTION UNIT</v>
      </c>
      <c r="L3050">
        <v>1</v>
      </c>
      <c r="M3050" t="str">
        <f>"יח"</f>
        <v>יח</v>
      </c>
      <c r="N3050">
        <v>1</v>
      </c>
      <c r="O3050" t="str">
        <f>"יח"</f>
        <v>יח</v>
      </c>
      <c r="P3050" s="2">
        <v>12505</v>
      </c>
      <c r="Q3050" t="str">
        <f>"$"</f>
        <v>$</v>
      </c>
      <c r="R3050" t="str">
        <f>"הזמנה"</f>
        <v>הזמנה</v>
      </c>
      <c r="S3050">
        <v>0</v>
      </c>
      <c r="T3050" s="2">
        <v>12505</v>
      </c>
      <c r="U3050">
        <v>0</v>
      </c>
      <c r="V3050" s="2">
        <v>12505</v>
      </c>
      <c r="W3050" t="str">
        <f>"$"</f>
        <v>$</v>
      </c>
      <c r="X3050">
        <v>0</v>
      </c>
      <c r="Y3050">
        <v>0</v>
      </c>
      <c r="Z3050">
        <v>0</v>
      </c>
      <c r="AA3050" t="str">
        <f>"Y"</f>
        <v>Y</v>
      </c>
      <c r="AB3050" t="str">
        <f>"SO20000220"</f>
        <v>SO20000220</v>
      </c>
      <c r="AC3050">
        <v>4</v>
      </c>
      <c r="AD3050" s="1">
        <v>43983</v>
      </c>
      <c r="AE3050" t="str">
        <f>"SH21000065"</f>
        <v>SH21000065</v>
      </c>
      <c r="AF3050" t="str">
        <f>"משלוחים ללקוח"</f>
        <v>משלוחים ללקוח</v>
      </c>
      <c r="AG3050" s="1">
        <v>44210</v>
      </c>
      <c r="AM3050" t="str">
        <f>"10"</f>
        <v>10</v>
      </c>
      <c r="AN3050" t="str">
        <f>"500000"</f>
        <v>500000</v>
      </c>
      <c r="AO3050" t="str">
        <f>"הכנסות  מלקוחות"</f>
        <v>הכנסות  מלקוחות</v>
      </c>
      <c r="AQ3050" t="str">
        <f>"034"</f>
        <v>034</v>
      </c>
      <c r="AR3050">
        <v>0</v>
      </c>
      <c r="AS3050">
        <v>0</v>
      </c>
      <c r="AT3050">
        <v>3.2309999999999999</v>
      </c>
      <c r="AX3050" t="str">
        <f>"E000313337"</f>
        <v>E000313337</v>
      </c>
      <c r="BD3050" t="str">
        <f>"ערן שלו"</f>
        <v>ערן שלו</v>
      </c>
    </row>
    <row r="3051" spans="1:56" x14ac:dyDescent="0.3">
      <c r="A3051" s="1">
        <v>44214</v>
      </c>
      <c r="B3051" t="str">
        <f>"SI216000045"</f>
        <v>SI216000045</v>
      </c>
      <c r="C3051" t="str">
        <f>"PR20000495"</f>
        <v>PR20000495</v>
      </c>
      <c r="D3051" t="str">
        <f>"PR20000495"</f>
        <v>PR20000495</v>
      </c>
      <c r="E3051" t="str">
        <f>"Y"</f>
        <v>Y</v>
      </c>
      <c r="F3051" t="str">
        <f>"חשבוניות מרכזות"</f>
        <v>חשבוניות מרכזות</v>
      </c>
      <c r="G3051" t="str">
        <f>"700065"</f>
        <v>700065</v>
      </c>
      <c r="H3051" t="str">
        <f>"אלתא מערכות בע""מ"</f>
        <v>אלתא מערכות בע"מ</v>
      </c>
      <c r="I3051" t="str">
        <f>"10"</f>
        <v>10</v>
      </c>
      <c r="J3051" t="str">
        <f>"OP-AR01900"</f>
        <v>OP-AR01900</v>
      </c>
      <c r="K3051" t="str">
        <f>"1039V963-001 - CABLE ASSY WR113"</f>
        <v>1039V963-001 - CABLE ASSY WR113</v>
      </c>
      <c r="L3051">
        <v>6</v>
      </c>
      <c r="M3051" t="str">
        <f>"יח"</f>
        <v>יח</v>
      </c>
      <c r="N3051">
        <v>6</v>
      </c>
      <c r="O3051" t="str">
        <f>"יח"</f>
        <v>יח</v>
      </c>
      <c r="P3051" s="2">
        <v>1143.3599999999999</v>
      </c>
      <c r="Q3051" t="str">
        <f>"$"</f>
        <v>$</v>
      </c>
      <c r="R3051" t="str">
        <f>"הזמנה"</f>
        <v>הזמנה</v>
      </c>
      <c r="S3051">
        <v>0</v>
      </c>
      <c r="T3051" s="2">
        <v>6860.16</v>
      </c>
      <c r="U3051">
        <v>0</v>
      </c>
      <c r="V3051" s="2">
        <v>6860.16</v>
      </c>
      <c r="W3051" t="str">
        <f>"$"</f>
        <v>$</v>
      </c>
      <c r="X3051">
        <v>0</v>
      </c>
      <c r="Y3051">
        <v>0</v>
      </c>
      <c r="Z3051">
        <v>0</v>
      </c>
      <c r="AA3051" t="str">
        <f>"Y"</f>
        <v>Y</v>
      </c>
      <c r="AB3051" t="str">
        <f>"SO20000302"</f>
        <v>SO20000302</v>
      </c>
      <c r="AC3051">
        <v>7</v>
      </c>
      <c r="AD3051" s="1">
        <v>44028</v>
      </c>
      <c r="AE3051" t="str">
        <f>"SH21000044"</f>
        <v>SH21000044</v>
      </c>
      <c r="AF3051" t="str">
        <f>"משלוחים ללקוח"</f>
        <v>משלוחים ללקוח</v>
      </c>
      <c r="AG3051" s="1">
        <v>44207</v>
      </c>
      <c r="AM3051" t="str">
        <f>"10"</f>
        <v>10</v>
      </c>
      <c r="AN3051" t="str">
        <f>"500000"</f>
        <v>500000</v>
      </c>
      <c r="AO3051" t="str">
        <f>"הכנסות  מלקוחות"</f>
        <v>הכנסות  מלקוחות</v>
      </c>
      <c r="AQ3051" t="str">
        <f>"034"</f>
        <v>034</v>
      </c>
      <c r="AR3051">
        <v>0</v>
      </c>
      <c r="AS3051">
        <v>0</v>
      </c>
      <c r="AT3051">
        <v>3.2309999999999999</v>
      </c>
      <c r="AX3051" t="str">
        <f>"E000315867"</f>
        <v>E000315867</v>
      </c>
      <c r="BD3051" t="str">
        <f>"ערן שלו"</f>
        <v>ערן שלו</v>
      </c>
    </row>
    <row r="3052" spans="1:56" x14ac:dyDescent="0.3">
      <c r="A3052" s="1">
        <v>44214</v>
      </c>
      <c r="B3052" t="str">
        <f>"SI216000044"</f>
        <v>SI216000044</v>
      </c>
      <c r="C3052" t="str">
        <f>"PR20000524"</f>
        <v>PR20000524</v>
      </c>
      <c r="E3052" t="str">
        <f>"Y"</f>
        <v>Y</v>
      </c>
      <c r="F3052" t="str">
        <f>"חשבוניות מרכזות"</f>
        <v>חשבוניות מרכזות</v>
      </c>
      <c r="G3052" t="str">
        <f>"700065"</f>
        <v>700065</v>
      </c>
      <c r="H3052" t="str">
        <f>"אלתא מערכות בע""מ"</f>
        <v>אלתא מערכות בע"מ</v>
      </c>
      <c r="I3052" t="str">
        <f>"10"</f>
        <v>10</v>
      </c>
      <c r="J3052" t="str">
        <f>"OP-AR01659"</f>
        <v>OP-AR01659</v>
      </c>
      <c r="K3052" t="str">
        <f>"1041G353-001 W353 - SHELTER TO PEDESTAL (CAMERA)"</f>
        <v>1041G353-001 W353 - SHELTER TO PEDESTAL (CAMERA)</v>
      </c>
      <c r="L3052">
        <v>1</v>
      </c>
      <c r="M3052" t="str">
        <f>"יח"</f>
        <v>יח</v>
      </c>
      <c r="N3052">
        <v>1</v>
      </c>
      <c r="O3052" t="str">
        <f>"יח"</f>
        <v>יח</v>
      </c>
      <c r="P3052">
        <v>806.46</v>
      </c>
      <c r="Q3052" t="str">
        <f>"$"</f>
        <v>$</v>
      </c>
      <c r="R3052" t="str">
        <f>"הזמנה"</f>
        <v>הזמנה</v>
      </c>
      <c r="S3052">
        <v>0</v>
      </c>
      <c r="T3052">
        <v>806.46</v>
      </c>
      <c r="U3052">
        <v>0</v>
      </c>
      <c r="V3052">
        <v>806.46</v>
      </c>
      <c r="W3052" t="str">
        <f>"$"</f>
        <v>$</v>
      </c>
      <c r="X3052">
        <v>0</v>
      </c>
      <c r="Y3052">
        <v>0</v>
      </c>
      <c r="Z3052">
        <v>0</v>
      </c>
      <c r="AA3052" t="str">
        <f>"Y"</f>
        <v>Y</v>
      </c>
      <c r="AB3052" t="str">
        <f>"SO20000329"</f>
        <v>SO20000329</v>
      </c>
      <c r="AC3052">
        <v>10</v>
      </c>
      <c r="AD3052" s="1">
        <v>44035</v>
      </c>
      <c r="AE3052" t="str">
        <f>"SH21000043"</f>
        <v>SH21000043</v>
      </c>
      <c r="AF3052" t="str">
        <f>"משלוחים ללקוח"</f>
        <v>משלוחים ללקוח</v>
      </c>
      <c r="AG3052" s="1">
        <v>44207</v>
      </c>
      <c r="AM3052" t="str">
        <f>"10"</f>
        <v>10</v>
      </c>
      <c r="AN3052" t="str">
        <f>"500000"</f>
        <v>500000</v>
      </c>
      <c r="AO3052" t="str">
        <f>"הכנסות  מלקוחות"</f>
        <v>הכנסות  מלקוחות</v>
      </c>
      <c r="AQ3052" t="str">
        <f>"034"</f>
        <v>034</v>
      </c>
      <c r="AR3052">
        <v>0</v>
      </c>
      <c r="AS3052">
        <v>0</v>
      </c>
      <c r="AT3052">
        <v>3.2309999999999999</v>
      </c>
      <c r="AX3052" t="str">
        <f>"E000316426"</f>
        <v>E000316426</v>
      </c>
      <c r="BD3052" t="str">
        <f>"ערן שלו"</f>
        <v>ערן שלו</v>
      </c>
    </row>
    <row r="3053" spans="1:56" x14ac:dyDescent="0.3">
      <c r="A3053" s="1">
        <v>44214</v>
      </c>
      <c r="B3053" t="str">
        <f>"SI216000043"</f>
        <v>SI216000043</v>
      </c>
      <c r="C3053" t="str">
        <f>"PR20000570"</f>
        <v>PR20000570</v>
      </c>
      <c r="D3053" t="str">
        <f>"PR20000570"</f>
        <v>PR20000570</v>
      </c>
      <c r="E3053" t="str">
        <f>"Y"</f>
        <v>Y</v>
      </c>
      <c r="F3053" t="str">
        <f>"חשבוניות מרכזות"</f>
        <v>חשבוניות מרכזות</v>
      </c>
      <c r="G3053" t="str">
        <f>"700065"</f>
        <v>700065</v>
      </c>
      <c r="H3053" t="str">
        <f>"אלתא מערכות בע""מ"</f>
        <v>אלתא מערכות בע"מ</v>
      </c>
      <c r="I3053" t="str">
        <f>"10"</f>
        <v>10</v>
      </c>
      <c r="J3053" t="str">
        <f>"OP-AR01780"</f>
        <v>OP-AR01780</v>
      </c>
      <c r="K3053" t="str">
        <f>"1036U471-001 WP471 - PYLON LEFT SW2"</f>
        <v>1036U471-001 WP471 - PYLON LEFT SW2</v>
      </c>
      <c r="L3053">
        <v>4</v>
      </c>
      <c r="M3053" t="str">
        <f>"יח"</f>
        <v>יח</v>
      </c>
      <c r="N3053">
        <v>4</v>
      </c>
      <c r="O3053" t="str">
        <f>"יח"</f>
        <v>יח</v>
      </c>
      <c r="P3053">
        <v>608.89</v>
      </c>
      <c r="Q3053" t="str">
        <f>"$"</f>
        <v>$</v>
      </c>
      <c r="R3053" t="str">
        <f>"הזמנה"</f>
        <v>הזמנה</v>
      </c>
      <c r="S3053">
        <v>0</v>
      </c>
      <c r="T3053" s="2">
        <v>2435.56</v>
      </c>
      <c r="U3053">
        <v>0</v>
      </c>
      <c r="V3053" s="2">
        <v>2435.56</v>
      </c>
      <c r="W3053" t="str">
        <f>"$"</f>
        <v>$</v>
      </c>
      <c r="X3053">
        <v>0</v>
      </c>
      <c r="Y3053">
        <v>0</v>
      </c>
      <c r="Z3053">
        <v>0</v>
      </c>
      <c r="AA3053" t="str">
        <f>"Y"</f>
        <v>Y</v>
      </c>
      <c r="AB3053" t="str">
        <f>"SO20000367"</f>
        <v>SO20000367</v>
      </c>
      <c r="AC3053">
        <v>1</v>
      </c>
      <c r="AD3053" s="1">
        <v>44067</v>
      </c>
      <c r="AE3053" t="str">
        <f>"SH21000042"</f>
        <v>SH21000042</v>
      </c>
      <c r="AF3053" t="str">
        <f>"משלוחים ללקוח"</f>
        <v>משלוחים ללקוח</v>
      </c>
      <c r="AG3053" s="1">
        <v>44207</v>
      </c>
      <c r="AM3053" t="str">
        <f>"10"</f>
        <v>10</v>
      </c>
      <c r="AN3053" t="str">
        <f>"500000"</f>
        <v>500000</v>
      </c>
      <c r="AO3053" t="str">
        <f>"הכנסות  מלקוחות"</f>
        <v>הכנסות  מלקוחות</v>
      </c>
      <c r="AQ3053" t="str">
        <f>"034"</f>
        <v>034</v>
      </c>
      <c r="AR3053">
        <v>0</v>
      </c>
      <c r="AS3053">
        <v>0</v>
      </c>
      <c r="AT3053">
        <v>3.2309999999999999</v>
      </c>
      <c r="AX3053" t="str">
        <f>"E000319026"</f>
        <v>E000319026</v>
      </c>
      <c r="BD3053" t="str">
        <f>"ערן שלו"</f>
        <v>ערן שלו</v>
      </c>
    </row>
    <row r="3054" spans="1:56" x14ac:dyDescent="0.3">
      <c r="A3054" s="1">
        <v>44214</v>
      </c>
      <c r="B3054" t="str">
        <f>"SI216000043"</f>
        <v>SI216000043</v>
      </c>
      <c r="C3054" t="str">
        <f>"PR20000570"</f>
        <v>PR20000570</v>
      </c>
      <c r="D3054" t="str">
        <f>"PR20000570"</f>
        <v>PR20000570</v>
      </c>
      <c r="E3054" t="str">
        <f>"Y"</f>
        <v>Y</v>
      </c>
      <c r="F3054" t="str">
        <f>"חשבוניות מרכזות"</f>
        <v>חשבוניות מרכזות</v>
      </c>
      <c r="G3054" t="str">
        <f>"700065"</f>
        <v>700065</v>
      </c>
      <c r="H3054" t="str">
        <f>"אלתא מערכות בע""מ"</f>
        <v>אלתא מערכות בע"מ</v>
      </c>
      <c r="I3054" t="str">
        <f>"10"</f>
        <v>10</v>
      </c>
      <c r="J3054" t="str">
        <f>"OP-AR01753"</f>
        <v>OP-AR01753</v>
      </c>
      <c r="K3054" t="str">
        <f>"1039V355-001 WP355 - POWER PDB to LTSU and LOAD"</f>
        <v>1039V355-001 WP355 - POWER PDB to LTSU and LOAD</v>
      </c>
      <c r="L3054">
        <v>4</v>
      </c>
      <c r="M3054" t="str">
        <f>"יח"</f>
        <v>יח</v>
      </c>
      <c r="N3054">
        <v>4</v>
      </c>
      <c r="O3054" t="str">
        <f>"יח"</f>
        <v>יח</v>
      </c>
      <c r="P3054">
        <v>781.78</v>
      </c>
      <c r="Q3054" t="str">
        <f>"$"</f>
        <v>$</v>
      </c>
      <c r="R3054" t="str">
        <f>"הזמנה"</f>
        <v>הזמנה</v>
      </c>
      <c r="S3054">
        <v>0</v>
      </c>
      <c r="T3054" s="2">
        <v>3127.12</v>
      </c>
      <c r="U3054">
        <v>0</v>
      </c>
      <c r="V3054" s="2">
        <v>3127.12</v>
      </c>
      <c r="W3054" t="str">
        <f>"$"</f>
        <v>$</v>
      </c>
      <c r="X3054">
        <v>0</v>
      </c>
      <c r="Y3054">
        <v>0</v>
      </c>
      <c r="Z3054">
        <v>0</v>
      </c>
      <c r="AA3054" t="str">
        <f>"Y"</f>
        <v>Y</v>
      </c>
      <c r="AB3054" t="str">
        <f>"SO20000367"</f>
        <v>SO20000367</v>
      </c>
      <c r="AC3054">
        <v>7</v>
      </c>
      <c r="AD3054" s="1">
        <v>44067</v>
      </c>
      <c r="AE3054" t="str">
        <f>"SH21000042"</f>
        <v>SH21000042</v>
      </c>
      <c r="AF3054" t="str">
        <f>"משלוחים ללקוח"</f>
        <v>משלוחים ללקוח</v>
      </c>
      <c r="AG3054" s="1">
        <v>44207</v>
      </c>
      <c r="AM3054" t="str">
        <f>"10"</f>
        <v>10</v>
      </c>
      <c r="AN3054" t="str">
        <f>"500000"</f>
        <v>500000</v>
      </c>
      <c r="AO3054" t="str">
        <f>"הכנסות  מלקוחות"</f>
        <v>הכנסות  מלקוחות</v>
      </c>
      <c r="AQ3054" t="str">
        <f>"034"</f>
        <v>034</v>
      </c>
      <c r="AR3054">
        <v>0</v>
      </c>
      <c r="AS3054">
        <v>0</v>
      </c>
      <c r="AT3054">
        <v>3.2309999999999999</v>
      </c>
      <c r="AX3054" t="str">
        <f>"E000319026"</f>
        <v>E000319026</v>
      </c>
      <c r="BD3054" t="str">
        <f>"ערן שלו"</f>
        <v>ערן שלו</v>
      </c>
    </row>
    <row r="3055" spans="1:56" x14ac:dyDescent="0.3">
      <c r="A3055" s="1">
        <v>44214</v>
      </c>
      <c r="B3055" t="str">
        <f>"SI216000042"</f>
        <v>SI216000042</v>
      </c>
      <c r="C3055" t="str">
        <f>"PR20000799"</f>
        <v>PR20000799</v>
      </c>
      <c r="E3055" t="str">
        <f>"Y"</f>
        <v>Y</v>
      </c>
      <c r="F3055" t="str">
        <f>"חשבוניות מרכזות"</f>
        <v>חשבוניות מרכזות</v>
      </c>
      <c r="G3055" t="str">
        <f>"700065"</f>
        <v>700065</v>
      </c>
      <c r="H3055" t="str">
        <f>"אלתא מערכות בע""מ"</f>
        <v>אלתא מערכות בע"מ</v>
      </c>
      <c r="I3055" t="str">
        <f>"10"</f>
        <v>10</v>
      </c>
      <c r="J3055" t="str">
        <f>"OP-AR02094"</f>
        <v>OP-AR02094</v>
      </c>
      <c r="K3055" t="str">
        <f>"1034L746-001/-   RCU POWER CABLE"</f>
        <v>1034L746-001/-   RCU POWER CABLE</v>
      </c>
      <c r="L3055">
        <v>1</v>
      </c>
      <c r="M3055" t="str">
        <f>"יח"</f>
        <v>יח</v>
      </c>
      <c r="N3055">
        <v>1</v>
      </c>
      <c r="O3055" t="str">
        <f>"יח"</f>
        <v>יח</v>
      </c>
      <c r="P3055">
        <v>339.86</v>
      </c>
      <c r="Q3055" t="str">
        <f>"$"</f>
        <v>$</v>
      </c>
      <c r="R3055" t="str">
        <f>"הזמנה"</f>
        <v>הזמנה</v>
      </c>
      <c r="S3055">
        <v>0</v>
      </c>
      <c r="T3055">
        <v>339.86</v>
      </c>
      <c r="U3055">
        <v>3.2</v>
      </c>
      <c r="V3055">
        <v>328.98</v>
      </c>
      <c r="W3055" t="str">
        <f>"$"</f>
        <v>$</v>
      </c>
      <c r="X3055">
        <v>0</v>
      </c>
      <c r="Y3055">
        <v>0</v>
      </c>
      <c r="Z3055">
        <v>0</v>
      </c>
      <c r="AA3055" t="str">
        <f>"Y"</f>
        <v>Y</v>
      </c>
      <c r="AC3055">
        <v>0</v>
      </c>
      <c r="AM3055" t="str">
        <f>"10"</f>
        <v>10</v>
      </c>
      <c r="AN3055" t="str">
        <f>"500000"</f>
        <v>500000</v>
      </c>
      <c r="AO3055" t="str">
        <f>"הכנסות  מלקוחות"</f>
        <v>הכנסות  מלקוחות</v>
      </c>
      <c r="AQ3055" t="str">
        <f>"034"</f>
        <v>034</v>
      </c>
      <c r="AR3055">
        <v>0</v>
      </c>
      <c r="AS3055">
        <v>0</v>
      </c>
      <c r="AT3055">
        <v>3.2309999999999999</v>
      </c>
      <c r="BB3055" t="str">
        <f>"Y"</f>
        <v>Y</v>
      </c>
      <c r="BD3055" t="str">
        <f>"ערן שלו"</f>
        <v>ערן שלו</v>
      </c>
    </row>
    <row r="3056" spans="1:56" x14ac:dyDescent="0.3">
      <c r="A3056" s="1">
        <v>44214</v>
      </c>
      <c r="B3056" t="str">
        <f>"SI216000042"</f>
        <v>SI216000042</v>
      </c>
      <c r="C3056" t="str">
        <f>"PR20000799"</f>
        <v>PR20000799</v>
      </c>
      <c r="E3056" t="str">
        <f>"Y"</f>
        <v>Y</v>
      </c>
      <c r="F3056" t="str">
        <f>"חשבוניות מרכזות"</f>
        <v>חשבוניות מרכזות</v>
      </c>
      <c r="G3056" t="str">
        <f>"700065"</f>
        <v>700065</v>
      </c>
      <c r="H3056" t="str">
        <f>"אלתא מערכות בע""מ"</f>
        <v>אלתא מערכות בע"מ</v>
      </c>
      <c r="I3056" t="str">
        <f>"10"</f>
        <v>10</v>
      </c>
      <c r="J3056" t="str">
        <f>"OP-AR02096"</f>
        <v>OP-AR02096</v>
      </c>
      <c r="K3056" t="str">
        <f>"1034L748-001/-   RCU ETH CABLE LAB"</f>
        <v>1034L748-001/-   RCU ETH CABLE LAB</v>
      </c>
      <c r="L3056">
        <v>1</v>
      </c>
      <c r="M3056" t="str">
        <f>"יח"</f>
        <v>יח</v>
      </c>
      <c r="N3056">
        <v>1</v>
      </c>
      <c r="O3056" t="str">
        <f>"יח"</f>
        <v>יח</v>
      </c>
      <c r="P3056">
        <v>616.09</v>
      </c>
      <c r="Q3056" t="str">
        <f>"$"</f>
        <v>$</v>
      </c>
      <c r="R3056" t="str">
        <f>"הזמנה"</f>
        <v>הזמנה</v>
      </c>
      <c r="S3056">
        <v>0</v>
      </c>
      <c r="T3056">
        <v>616.09</v>
      </c>
      <c r="U3056">
        <v>3.2</v>
      </c>
      <c r="V3056">
        <v>596.38</v>
      </c>
      <c r="W3056" t="str">
        <f>"$"</f>
        <v>$</v>
      </c>
      <c r="X3056">
        <v>0</v>
      </c>
      <c r="Y3056">
        <v>0</v>
      </c>
      <c r="Z3056">
        <v>0</v>
      </c>
      <c r="AA3056" t="str">
        <f>"Y"</f>
        <v>Y</v>
      </c>
      <c r="AC3056">
        <v>0</v>
      </c>
      <c r="AM3056" t="str">
        <f>"10"</f>
        <v>10</v>
      </c>
      <c r="AN3056" t="str">
        <f>"500000"</f>
        <v>500000</v>
      </c>
      <c r="AO3056" t="str">
        <f>"הכנסות  מלקוחות"</f>
        <v>הכנסות  מלקוחות</v>
      </c>
      <c r="AQ3056" t="str">
        <f>"034"</f>
        <v>034</v>
      </c>
      <c r="AR3056">
        <v>0</v>
      </c>
      <c r="AS3056">
        <v>0</v>
      </c>
      <c r="AT3056">
        <v>3.2309999999999999</v>
      </c>
      <c r="BB3056" t="str">
        <f>"Y"</f>
        <v>Y</v>
      </c>
      <c r="BD3056" t="str">
        <f>"ערן שלו"</f>
        <v>ערן שלו</v>
      </c>
    </row>
    <row r="3057" spans="1:56" x14ac:dyDescent="0.3">
      <c r="A3057" s="1">
        <v>44214</v>
      </c>
      <c r="B3057" t="str">
        <f>"SI216000041"</f>
        <v>SI216000041</v>
      </c>
      <c r="C3057" t="str">
        <f>"PR20000622"</f>
        <v>PR20000622</v>
      </c>
      <c r="E3057" t="str">
        <f>"Y"</f>
        <v>Y</v>
      </c>
      <c r="F3057" t="str">
        <f>"חשבוניות מרכזות"</f>
        <v>חשבוניות מרכזות</v>
      </c>
      <c r="G3057" t="str">
        <f>"700065"</f>
        <v>700065</v>
      </c>
      <c r="H3057" t="str">
        <f>"אלתא מערכות בע""מ"</f>
        <v>אלתא מערכות בע"מ</v>
      </c>
      <c r="I3057" t="str">
        <f>"10"</f>
        <v>10</v>
      </c>
      <c r="J3057" t="str">
        <f>"OP-AR02016"</f>
        <v>OP-AR02016</v>
      </c>
      <c r="K3057" t="str">
        <f>"1096B462-001  DC HARNESS"</f>
        <v>1096B462-001  DC HARNESS</v>
      </c>
      <c r="L3057">
        <v>4</v>
      </c>
      <c r="M3057" t="str">
        <f>"יח"</f>
        <v>יח</v>
      </c>
      <c r="N3057">
        <v>4</v>
      </c>
      <c r="O3057" t="str">
        <f>"יח"</f>
        <v>יח</v>
      </c>
      <c r="P3057" s="2">
        <v>1175.45</v>
      </c>
      <c r="Q3057" t="str">
        <f>"$"</f>
        <v>$</v>
      </c>
      <c r="R3057" t="str">
        <f>"הזמנה"</f>
        <v>הזמנה</v>
      </c>
      <c r="S3057">
        <v>0</v>
      </c>
      <c r="T3057" s="2">
        <v>4701.8</v>
      </c>
      <c r="U3057">
        <v>0</v>
      </c>
      <c r="V3057" s="2">
        <v>4701.8</v>
      </c>
      <c r="W3057" t="str">
        <f>"$"</f>
        <v>$</v>
      </c>
      <c r="X3057">
        <v>0</v>
      </c>
      <c r="Y3057">
        <v>0</v>
      </c>
      <c r="Z3057">
        <v>0</v>
      </c>
      <c r="AA3057" t="str">
        <f>"Y"</f>
        <v>Y</v>
      </c>
      <c r="AC3057">
        <v>0</v>
      </c>
      <c r="AM3057" t="str">
        <f>"10"</f>
        <v>10</v>
      </c>
      <c r="AN3057" t="str">
        <f>"500000"</f>
        <v>500000</v>
      </c>
      <c r="AO3057" t="str">
        <f>"הכנסות  מלקוחות"</f>
        <v>הכנסות  מלקוחות</v>
      </c>
      <c r="AQ3057" t="str">
        <f>"034"</f>
        <v>034</v>
      </c>
      <c r="AR3057">
        <v>0</v>
      </c>
      <c r="AS3057">
        <v>0</v>
      </c>
      <c r="AT3057">
        <v>3.2309999999999999</v>
      </c>
      <c r="BB3057" t="str">
        <f>"Y"</f>
        <v>Y</v>
      </c>
      <c r="BD3057" t="str">
        <f>"ערן שלו"</f>
        <v>ערן שלו</v>
      </c>
    </row>
    <row r="3058" spans="1:56" x14ac:dyDescent="0.3">
      <c r="A3058" s="1">
        <v>44214</v>
      </c>
      <c r="B3058" t="str">
        <f>"SI216000040"</f>
        <v>SI216000040</v>
      </c>
      <c r="C3058" t="str">
        <f>"PR20000499"</f>
        <v>PR20000499</v>
      </c>
      <c r="D3058" t="str">
        <f>"PR20000499"</f>
        <v>PR20000499</v>
      </c>
      <c r="E3058" t="str">
        <f>"Y"</f>
        <v>Y</v>
      </c>
      <c r="F3058" t="str">
        <f>"חשבוניות מרכזות"</f>
        <v>חשבוניות מרכזות</v>
      </c>
      <c r="G3058" t="str">
        <f>"700065"</f>
        <v>700065</v>
      </c>
      <c r="H3058" t="str">
        <f>"אלתא מערכות בע""מ"</f>
        <v>אלתא מערכות בע"מ</v>
      </c>
      <c r="I3058" t="str">
        <f>"10"</f>
        <v>10</v>
      </c>
      <c r="J3058" t="str">
        <f>"OP-AR01907"</f>
        <v>OP-AR01907</v>
      </c>
      <c r="K3058" t="str">
        <f>"1013P660-001/A CABLE ASSY 1W41"</f>
        <v>1013P660-001/A CABLE ASSY 1W41</v>
      </c>
      <c r="L3058">
        <v>1</v>
      </c>
      <c r="M3058" t="str">
        <f>"יח"</f>
        <v>יח</v>
      </c>
      <c r="N3058">
        <v>1</v>
      </c>
      <c r="O3058" t="str">
        <f>"יח"</f>
        <v>יח</v>
      </c>
      <c r="P3058" s="2">
        <v>3165.34</v>
      </c>
      <c r="Q3058" t="str">
        <f>"$"</f>
        <v>$</v>
      </c>
      <c r="R3058" t="str">
        <f>"הזמנה"</f>
        <v>הזמנה</v>
      </c>
      <c r="S3058">
        <v>0</v>
      </c>
      <c r="T3058" s="2">
        <v>3165.34</v>
      </c>
      <c r="U3058">
        <v>0</v>
      </c>
      <c r="V3058" s="2">
        <v>3165.34</v>
      </c>
      <c r="W3058" t="str">
        <f>"$"</f>
        <v>$</v>
      </c>
      <c r="X3058">
        <v>0</v>
      </c>
      <c r="Y3058">
        <v>0</v>
      </c>
      <c r="Z3058">
        <v>0</v>
      </c>
      <c r="AA3058" t="str">
        <f>"Y"</f>
        <v>Y</v>
      </c>
      <c r="AB3058" t="str">
        <f>"SO20000305"</f>
        <v>SO20000305</v>
      </c>
      <c r="AC3058">
        <v>1</v>
      </c>
      <c r="AD3058" s="1">
        <v>44031</v>
      </c>
      <c r="AE3058" t="str">
        <f>"SH21000039"</f>
        <v>SH21000039</v>
      </c>
      <c r="AF3058" t="str">
        <f>"משלוחים ללקוח"</f>
        <v>משלוחים ללקוח</v>
      </c>
      <c r="AG3058" s="1">
        <v>44207</v>
      </c>
      <c r="AM3058" t="str">
        <f>"10"</f>
        <v>10</v>
      </c>
      <c r="AN3058" t="str">
        <f>"500000"</f>
        <v>500000</v>
      </c>
      <c r="AO3058" t="str">
        <f>"הכנסות  מלקוחות"</f>
        <v>הכנסות  מלקוחות</v>
      </c>
      <c r="AQ3058" t="str">
        <f>"034"</f>
        <v>034</v>
      </c>
      <c r="AR3058">
        <v>0</v>
      </c>
      <c r="AS3058">
        <v>0</v>
      </c>
      <c r="AT3058">
        <v>3.2309999999999999</v>
      </c>
      <c r="AX3058" t="str">
        <f>"E000315878"</f>
        <v>E000315878</v>
      </c>
      <c r="BD3058" t="str">
        <f>"ערן שלו"</f>
        <v>ערן שלו</v>
      </c>
    </row>
    <row r="3059" spans="1:56" x14ac:dyDescent="0.3">
      <c r="A3059" s="1">
        <v>44214</v>
      </c>
      <c r="B3059" t="str">
        <f>"SI216000040"</f>
        <v>SI216000040</v>
      </c>
      <c r="C3059" t="str">
        <f>"PR20000499"</f>
        <v>PR20000499</v>
      </c>
      <c r="D3059" t="str">
        <f>"PR20000499"</f>
        <v>PR20000499</v>
      </c>
      <c r="E3059" t="str">
        <f>"Y"</f>
        <v>Y</v>
      </c>
      <c r="F3059" t="str">
        <f>"חשבוניות מרכזות"</f>
        <v>חשבוניות מרכזות</v>
      </c>
      <c r="G3059" t="str">
        <f>"700065"</f>
        <v>700065</v>
      </c>
      <c r="H3059" t="str">
        <f>"אלתא מערכות בע""מ"</f>
        <v>אלתא מערכות בע"מ</v>
      </c>
      <c r="I3059" t="str">
        <f>"10"</f>
        <v>10</v>
      </c>
      <c r="J3059" t="str">
        <f>"OP-AR01913"</f>
        <v>OP-AR01913</v>
      </c>
      <c r="K3059" t="str">
        <f>"1013P651-001/- CABLE ASSY 1W8"</f>
        <v>1013P651-001/- CABLE ASSY 1W8</v>
      </c>
      <c r="L3059">
        <v>1</v>
      </c>
      <c r="M3059" t="str">
        <f>"יח"</f>
        <v>יח</v>
      </c>
      <c r="N3059">
        <v>1</v>
      </c>
      <c r="O3059" t="str">
        <f>"יח"</f>
        <v>יח</v>
      </c>
      <c r="P3059" s="2">
        <v>2517.54</v>
      </c>
      <c r="Q3059" t="str">
        <f>"$"</f>
        <v>$</v>
      </c>
      <c r="R3059" t="str">
        <f>"הזמנה"</f>
        <v>הזמנה</v>
      </c>
      <c r="S3059">
        <v>0</v>
      </c>
      <c r="T3059" s="2">
        <v>2517.54</v>
      </c>
      <c r="U3059">
        <v>0</v>
      </c>
      <c r="V3059" s="2">
        <v>2517.54</v>
      </c>
      <c r="W3059" t="str">
        <f>"$"</f>
        <v>$</v>
      </c>
      <c r="X3059">
        <v>0</v>
      </c>
      <c r="Y3059">
        <v>0</v>
      </c>
      <c r="Z3059">
        <v>0</v>
      </c>
      <c r="AA3059" t="str">
        <f>"Y"</f>
        <v>Y</v>
      </c>
      <c r="AB3059" t="str">
        <f>"SO20000305"</f>
        <v>SO20000305</v>
      </c>
      <c r="AC3059">
        <v>6</v>
      </c>
      <c r="AD3059" s="1">
        <v>44031</v>
      </c>
      <c r="AE3059" t="str">
        <f>"SH21000039"</f>
        <v>SH21000039</v>
      </c>
      <c r="AF3059" t="str">
        <f>"משלוחים ללקוח"</f>
        <v>משלוחים ללקוח</v>
      </c>
      <c r="AG3059" s="1">
        <v>44207</v>
      </c>
      <c r="AM3059" t="str">
        <f>"10"</f>
        <v>10</v>
      </c>
      <c r="AN3059" t="str">
        <f>"500000"</f>
        <v>500000</v>
      </c>
      <c r="AO3059" t="str">
        <f>"הכנסות  מלקוחות"</f>
        <v>הכנסות  מלקוחות</v>
      </c>
      <c r="AQ3059" t="str">
        <f>"034"</f>
        <v>034</v>
      </c>
      <c r="AR3059">
        <v>0</v>
      </c>
      <c r="AS3059">
        <v>0</v>
      </c>
      <c r="AT3059">
        <v>3.2309999999999999</v>
      </c>
      <c r="AX3059" t="str">
        <f>"E000315878"</f>
        <v>E000315878</v>
      </c>
      <c r="BD3059" t="str">
        <f>"ערן שלו"</f>
        <v>ערן שלו</v>
      </c>
    </row>
    <row r="3060" spans="1:56" x14ac:dyDescent="0.3">
      <c r="A3060" s="1">
        <v>44210</v>
      </c>
      <c r="B3060" t="str">
        <f>"SI216000033"</f>
        <v>SI216000033</v>
      </c>
      <c r="C3060" t="str">
        <f>"PR20000799"</f>
        <v>PR20000799</v>
      </c>
      <c r="D3060" t="str">
        <f>"PR20000799"</f>
        <v>PR20000799</v>
      </c>
      <c r="E3060" t="str">
        <f>"Y"</f>
        <v>Y</v>
      </c>
      <c r="F3060" t="str">
        <f>"חשבוניות מרכזות"</f>
        <v>חשבוניות מרכזות</v>
      </c>
      <c r="G3060" t="str">
        <f>"700065"</f>
        <v>700065</v>
      </c>
      <c r="H3060" t="str">
        <f>"אלתא מערכות בע""מ"</f>
        <v>אלתא מערכות בע"מ</v>
      </c>
      <c r="I3060" t="str">
        <f>"10"</f>
        <v>10</v>
      </c>
      <c r="J3060" t="str">
        <f>"OP-AR02092"</f>
        <v>OP-AR02092</v>
      </c>
      <c r="K3060" t="str">
        <f>"1034L740-001/-  CU POWER CABLE"</f>
        <v>1034L740-001/-  CU POWER CABLE</v>
      </c>
      <c r="L3060">
        <v>1</v>
      </c>
      <c r="M3060" t="str">
        <f>"יח"</f>
        <v>יח</v>
      </c>
      <c r="N3060">
        <v>1</v>
      </c>
      <c r="O3060" t="str">
        <f>"יח"</f>
        <v>יח</v>
      </c>
      <c r="P3060">
        <v>339.86</v>
      </c>
      <c r="Q3060" t="str">
        <f>"$"</f>
        <v>$</v>
      </c>
      <c r="R3060" t="str">
        <f>"הזמנה"</f>
        <v>הזמנה</v>
      </c>
      <c r="S3060">
        <v>0</v>
      </c>
      <c r="T3060">
        <v>339.86</v>
      </c>
      <c r="U3060">
        <v>0</v>
      </c>
      <c r="V3060">
        <v>339.86</v>
      </c>
      <c r="W3060" t="str">
        <f>"$"</f>
        <v>$</v>
      </c>
      <c r="X3060">
        <v>0</v>
      </c>
      <c r="Y3060">
        <v>0</v>
      </c>
      <c r="Z3060">
        <v>0</v>
      </c>
      <c r="AA3060" t="str">
        <f>"Y"</f>
        <v>Y</v>
      </c>
      <c r="AB3060" t="str">
        <f>"SO20000525"</f>
        <v>SO20000525</v>
      </c>
      <c r="AC3060">
        <v>2</v>
      </c>
      <c r="AD3060" s="1">
        <v>44150</v>
      </c>
      <c r="AE3060" t="str">
        <f>"SH21000011"</f>
        <v>SH21000011</v>
      </c>
      <c r="AF3060" t="str">
        <f>"משלוחים ללקוח"</f>
        <v>משלוחים ללקוח</v>
      </c>
      <c r="AG3060" s="1">
        <v>44200</v>
      </c>
      <c r="AM3060" t="str">
        <f>"10"</f>
        <v>10</v>
      </c>
      <c r="AN3060" t="str">
        <f>"500000"</f>
        <v>500000</v>
      </c>
      <c r="AO3060" t="str">
        <f>"הכנסות  מלקוחות"</f>
        <v>הכנסות  מלקוחות</v>
      </c>
      <c r="AQ3060" t="str">
        <f>"034"</f>
        <v>034</v>
      </c>
      <c r="AR3060">
        <v>0</v>
      </c>
      <c r="AS3060">
        <v>0</v>
      </c>
      <c r="AT3060">
        <v>3.1339999999999999</v>
      </c>
      <c r="AX3060" t="str">
        <f>"E000325995"</f>
        <v>E000325995</v>
      </c>
      <c r="BD3060" t="str">
        <f>"ערן שלו"</f>
        <v>ערן שלו</v>
      </c>
    </row>
    <row r="3061" spans="1:56" x14ac:dyDescent="0.3">
      <c r="A3061" s="1">
        <v>44210</v>
      </c>
      <c r="B3061" t="str">
        <f>"SI216000033"</f>
        <v>SI216000033</v>
      </c>
      <c r="C3061" t="str">
        <f>"PR20000799"</f>
        <v>PR20000799</v>
      </c>
      <c r="D3061" t="str">
        <f>"PR20000799"</f>
        <v>PR20000799</v>
      </c>
      <c r="E3061" t="str">
        <f>"Y"</f>
        <v>Y</v>
      </c>
      <c r="F3061" t="str">
        <f>"חשבוניות מרכזות"</f>
        <v>חשבוניות מרכזות</v>
      </c>
      <c r="G3061" t="str">
        <f>"700065"</f>
        <v>700065</v>
      </c>
      <c r="H3061" t="str">
        <f>"אלתא מערכות בע""מ"</f>
        <v>אלתא מערכות בע"מ</v>
      </c>
      <c r="I3061" t="str">
        <f>"10"</f>
        <v>10</v>
      </c>
      <c r="J3061" t="str">
        <f>"OP-AR02093"</f>
        <v>OP-AR02093</v>
      </c>
      <c r="K3061" t="str">
        <f>"1034L745-001/-  TCG LAB CABLE"</f>
        <v>1034L745-001/-  TCG LAB CABLE</v>
      </c>
      <c r="L3061">
        <v>1</v>
      </c>
      <c r="M3061" t="str">
        <f>"יח"</f>
        <v>יח</v>
      </c>
      <c r="N3061">
        <v>1</v>
      </c>
      <c r="O3061" t="str">
        <f>"יח"</f>
        <v>יח</v>
      </c>
      <c r="P3061">
        <v>223.62</v>
      </c>
      <c r="Q3061" t="str">
        <f>"$"</f>
        <v>$</v>
      </c>
      <c r="R3061" t="str">
        <f>"הזמנה"</f>
        <v>הזמנה</v>
      </c>
      <c r="S3061">
        <v>0</v>
      </c>
      <c r="T3061">
        <v>223.62</v>
      </c>
      <c r="U3061">
        <v>0</v>
      </c>
      <c r="V3061">
        <v>223.62</v>
      </c>
      <c r="W3061" t="str">
        <f>"$"</f>
        <v>$</v>
      </c>
      <c r="X3061">
        <v>0</v>
      </c>
      <c r="Y3061">
        <v>0</v>
      </c>
      <c r="Z3061">
        <v>0</v>
      </c>
      <c r="AA3061" t="str">
        <f>"Y"</f>
        <v>Y</v>
      </c>
      <c r="AB3061" t="str">
        <f>"SO20000525"</f>
        <v>SO20000525</v>
      </c>
      <c r="AC3061">
        <v>3</v>
      </c>
      <c r="AD3061" s="1">
        <v>44150</v>
      </c>
      <c r="AE3061" t="str">
        <f>"SH21000011"</f>
        <v>SH21000011</v>
      </c>
      <c r="AF3061" t="str">
        <f>"משלוחים ללקוח"</f>
        <v>משלוחים ללקוח</v>
      </c>
      <c r="AG3061" s="1">
        <v>44200</v>
      </c>
      <c r="AM3061" t="str">
        <f>"10"</f>
        <v>10</v>
      </c>
      <c r="AN3061" t="str">
        <f>"500000"</f>
        <v>500000</v>
      </c>
      <c r="AO3061" t="str">
        <f>"הכנסות  מלקוחות"</f>
        <v>הכנסות  מלקוחות</v>
      </c>
      <c r="AQ3061" t="str">
        <f>"034"</f>
        <v>034</v>
      </c>
      <c r="AR3061">
        <v>0</v>
      </c>
      <c r="AS3061">
        <v>0</v>
      </c>
      <c r="AT3061">
        <v>3.1339999999999999</v>
      </c>
      <c r="AX3061" t="str">
        <f>"E000325995"</f>
        <v>E000325995</v>
      </c>
      <c r="BD3061" t="str">
        <f>"ערן שלו"</f>
        <v>ערן שלו</v>
      </c>
    </row>
    <row r="3062" spans="1:56" x14ac:dyDescent="0.3">
      <c r="A3062" s="1">
        <v>44210</v>
      </c>
      <c r="B3062" t="str">
        <f>"SI216000033"</f>
        <v>SI216000033</v>
      </c>
      <c r="C3062" t="str">
        <f>"PR20000799"</f>
        <v>PR20000799</v>
      </c>
      <c r="D3062" t="str">
        <f>"PR20000799"</f>
        <v>PR20000799</v>
      </c>
      <c r="E3062" t="str">
        <f>"Y"</f>
        <v>Y</v>
      </c>
      <c r="F3062" t="str">
        <f>"חשבוניות מרכזות"</f>
        <v>חשבוניות מרכזות</v>
      </c>
      <c r="G3062" t="str">
        <f>"700065"</f>
        <v>700065</v>
      </c>
      <c r="H3062" t="str">
        <f>"אלתא מערכות בע""מ"</f>
        <v>אלתא מערכות בע"מ</v>
      </c>
      <c r="I3062" t="str">
        <f>"10"</f>
        <v>10</v>
      </c>
      <c r="J3062" t="str">
        <f>"OP-AR02095"</f>
        <v>OP-AR02095</v>
      </c>
      <c r="K3062" t="str">
        <f>"1034L747-001/-  GPS RCU ETH PS CABLE LAB"</f>
        <v>1034L747-001/-  GPS RCU ETH PS CABLE LAB</v>
      </c>
      <c r="L3062">
        <v>1</v>
      </c>
      <c r="M3062" t="str">
        <f>"יח"</f>
        <v>יח</v>
      </c>
      <c r="N3062">
        <v>1</v>
      </c>
      <c r="O3062" t="str">
        <f>"יח"</f>
        <v>יח</v>
      </c>
      <c r="P3062" s="2">
        <v>1128.95</v>
      </c>
      <c r="Q3062" t="str">
        <f>"$"</f>
        <v>$</v>
      </c>
      <c r="R3062" t="str">
        <f>"הזמנה"</f>
        <v>הזמנה</v>
      </c>
      <c r="S3062">
        <v>0</v>
      </c>
      <c r="T3062" s="2">
        <v>1128.95</v>
      </c>
      <c r="U3062">
        <v>0</v>
      </c>
      <c r="V3062" s="2">
        <v>1128.95</v>
      </c>
      <c r="W3062" t="str">
        <f>"$"</f>
        <v>$</v>
      </c>
      <c r="X3062">
        <v>0</v>
      </c>
      <c r="Y3062">
        <v>0</v>
      </c>
      <c r="Z3062">
        <v>0</v>
      </c>
      <c r="AA3062" t="str">
        <f>"Y"</f>
        <v>Y</v>
      </c>
      <c r="AB3062" t="str">
        <f>"SO20000525"</f>
        <v>SO20000525</v>
      </c>
      <c r="AC3062">
        <v>5</v>
      </c>
      <c r="AD3062" s="1">
        <v>44150</v>
      </c>
      <c r="AE3062" t="str">
        <f>"SH21000011"</f>
        <v>SH21000011</v>
      </c>
      <c r="AF3062" t="str">
        <f>"משלוחים ללקוח"</f>
        <v>משלוחים ללקוח</v>
      </c>
      <c r="AG3062" s="1">
        <v>44200</v>
      </c>
      <c r="AM3062" t="str">
        <f>"10"</f>
        <v>10</v>
      </c>
      <c r="AN3062" t="str">
        <f>"500000"</f>
        <v>500000</v>
      </c>
      <c r="AO3062" t="str">
        <f>"הכנסות  מלקוחות"</f>
        <v>הכנסות  מלקוחות</v>
      </c>
      <c r="AQ3062" t="str">
        <f>"034"</f>
        <v>034</v>
      </c>
      <c r="AR3062">
        <v>0</v>
      </c>
      <c r="AS3062">
        <v>0</v>
      </c>
      <c r="AT3062">
        <v>3.1339999999999999</v>
      </c>
      <c r="AX3062" t="str">
        <f>"E000325995"</f>
        <v>E000325995</v>
      </c>
      <c r="BD3062" t="str">
        <f>"ערן שלו"</f>
        <v>ערן שלו</v>
      </c>
    </row>
    <row r="3063" spans="1:56" x14ac:dyDescent="0.3">
      <c r="A3063" s="1">
        <v>44210</v>
      </c>
      <c r="B3063" t="str">
        <f>"SI216000032"</f>
        <v>SI216000032</v>
      </c>
      <c r="E3063" t="str">
        <f>"Y"</f>
        <v>Y</v>
      </c>
      <c r="F3063" t="str">
        <f>"חשבוניות מרכזות"</f>
        <v>חשבוניות מרכזות</v>
      </c>
      <c r="G3063" t="str">
        <f>"700065"</f>
        <v>700065</v>
      </c>
      <c r="H3063" t="str">
        <f>"אלתא מערכות בע""מ"</f>
        <v>אלתא מערכות בע"מ</v>
      </c>
      <c r="I3063" t="str">
        <f>"10"</f>
        <v>10</v>
      </c>
      <c r="J3063" t="str">
        <f>"000"</f>
        <v>000</v>
      </c>
      <c r="K3063" t="str">
        <f>"הארכת כבל הזנה למכונת קירור"</f>
        <v>הארכת כבל הזנה למכונת קירור</v>
      </c>
      <c r="L3063">
        <v>1</v>
      </c>
      <c r="M3063" t="str">
        <f>"יח"</f>
        <v>יח</v>
      </c>
      <c r="N3063">
        <v>1</v>
      </c>
      <c r="O3063" t="str">
        <f>"יח"</f>
        <v>יח</v>
      </c>
      <c r="P3063" s="2">
        <v>2950</v>
      </c>
      <c r="Q3063" t="str">
        <f>"$"</f>
        <v>$</v>
      </c>
      <c r="R3063" t="str">
        <f>"הזמנה"</f>
        <v>הזמנה</v>
      </c>
      <c r="S3063">
        <v>0</v>
      </c>
      <c r="T3063" s="2">
        <v>2950</v>
      </c>
      <c r="U3063">
        <v>0</v>
      </c>
      <c r="V3063" s="2">
        <v>2950</v>
      </c>
      <c r="W3063" t="str">
        <f>"$"</f>
        <v>$</v>
      </c>
      <c r="X3063">
        <v>0</v>
      </c>
      <c r="Y3063">
        <v>0</v>
      </c>
      <c r="Z3063">
        <v>0</v>
      </c>
      <c r="AA3063" t="str">
        <f>"Y"</f>
        <v>Y</v>
      </c>
      <c r="AB3063" t="str">
        <f>"SO20000603"</f>
        <v>SO20000603</v>
      </c>
      <c r="AC3063">
        <v>1</v>
      </c>
      <c r="AD3063" s="1">
        <v>44187</v>
      </c>
      <c r="AM3063" t="str">
        <f>"10"</f>
        <v>10</v>
      </c>
      <c r="AN3063" t="str">
        <f>"500000"</f>
        <v>500000</v>
      </c>
      <c r="AO3063" t="str">
        <f>"הכנסות  מלקוחות"</f>
        <v>הכנסות  מלקוחות</v>
      </c>
      <c r="AQ3063" t="str">
        <f>"034"</f>
        <v>034</v>
      </c>
      <c r="AR3063">
        <v>0</v>
      </c>
      <c r="AS3063">
        <v>0</v>
      </c>
      <c r="AT3063">
        <v>3.1339999999999999</v>
      </c>
      <c r="AX3063" t="str">
        <f>"E000329191"</f>
        <v>E000329191</v>
      </c>
      <c r="BD3063" t="str">
        <f>"ערן שלו"</f>
        <v>ערן שלו</v>
      </c>
    </row>
    <row r="3064" spans="1:56" x14ac:dyDescent="0.3">
      <c r="A3064" s="1">
        <v>44206</v>
      </c>
      <c r="B3064" t="str">
        <f>"SI216000020"</f>
        <v>SI216000020</v>
      </c>
      <c r="C3064" t="str">
        <f>"PR20000799"</f>
        <v>PR20000799</v>
      </c>
      <c r="E3064" t="str">
        <f>"Y"</f>
        <v>Y</v>
      </c>
      <c r="F3064" t="str">
        <f>"חשבוניות מרכזות"</f>
        <v>חשבוניות מרכזות</v>
      </c>
      <c r="G3064" t="str">
        <f>"700065"</f>
        <v>700065</v>
      </c>
      <c r="H3064" t="str">
        <f>"אלתא מערכות בע""מ"</f>
        <v>אלתא מערכות בע"מ</v>
      </c>
      <c r="I3064" t="str">
        <f>"10"</f>
        <v>10</v>
      </c>
      <c r="J3064" t="str">
        <f>"OP-AR02092"</f>
        <v>OP-AR02092</v>
      </c>
      <c r="K3064" t="str">
        <f>"1034L740-001/-  CU POWER CABLE"</f>
        <v>1034L740-001/-  CU POWER CABLE</v>
      </c>
      <c r="L3064">
        <v>-1</v>
      </c>
      <c r="M3064" t="str">
        <f>"יח"</f>
        <v>יח</v>
      </c>
      <c r="N3064">
        <v>-1</v>
      </c>
      <c r="O3064" t="str">
        <f>"יח"</f>
        <v>יח</v>
      </c>
      <c r="P3064">
        <v>339.86</v>
      </c>
      <c r="Q3064" t="str">
        <f>"$"</f>
        <v>$</v>
      </c>
      <c r="R3064" t="str">
        <f>"הזמנה"</f>
        <v>הזמנה</v>
      </c>
      <c r="S3064">
        <v>0</v>
      </c>
      <c r="T3064">
        <v>-339.86</v>
      </c>
      <c r="U3064">
        <v>3.2</v>
      </c>
      <c r="V3064">
        <v>-328.98</v>
      </c>
      <c r="W3064" t="str">
        <f>"$"</f>
        <v>$</v>
      </c>
      <c r="X3064">
        <v>0</v>
      </c>
      <c r="Y3064">
        <v>0</v>
      </c>
      <c r="Z3064">
        <v>0</v>
      </c>
      <c r="AA3064" t="str">
        <f>"Y"</f>
        <v>Y</v>
      </c>
      <c r="AC3064">
        <v>0</v>
      </c>
      <c r="AM3064" t="str">
        <f>"10"</f>
        <v>10</v>
      </c>
      <c r="AN3064" t="str">
        <f>"500000"</f>
        <v>500000</v>
      </c>
      <c r="AO3064" t="str">
        <f>"הכנסות  מלקוחות"</f>
        <v>הכנסות  מלקוחות</v>
      </c>
      <c r="AQ3064" t="str">
        <f>"034"</f>
        <v>034</v>
      </c>
      <c r="AR3064">
        <v>0</v>
      </c>
      <c r="AS3064">
        <v>0</v>
      </c>
      <c r="AT3064">
        <v>3.1869999999999998</v>
      </c>
      <c r="BB3064" t="str">
        <f>"Y"</f>
        <v>Y</v>
      </c>
      <c r="BD3064" t="str">
        <f>"ערן שלו"</f>
        <v>ערן שלו</v>
      </c>
    </row>
    <row r="3065" spans="1:56" x14ac:dyDescent="0.3">
      <c r="A3065" s="1">
        <v>44206</v>
      </c>
      <c r="B3065" t="str">
        <f>"SI216000020"</f>
        <v>SI216000020</v>
      </c>
      <c r="C3065" t="str">
        <f>"PR20000799"</f>
        <v>PR20000799</v>
      </c>
      <c r="E3065" t="str">
        <f>"Y"</f>
        <v>Y</v>
      </c>
      <c r="F3065" t="str">
        <f>"חשבוניות מרכזות"</f>
        <v>חשבוניות מרכזות</v>
      </c>
      <c r="G3065" t="str">
        <f>"700065"</f>
        <v>700065</v>
      </c>
      <c r="H3065" t="str">
        <f>"אלתא מערכות בע""מ"</f>
        <v>אלתא מערכות בע"מ</v>
      </c>
      <c r="I3065" t="str">
        <f>"10"</f>
        <v>10</v>
      </c>
      <c r="J3065" t="str">
        <f>"OP-AR02093"</f>
        <v>OP-AR02093</v>
      </c>
      <c r="K3065" t="str">
        <f>"1034L745-001/-  TCG LAB CABLE"</f>
        <v>1034L745-001/-  TCG LAB CABLE</v>
      </c>
      <c r="L3065">
        <v>-1</v>
      </c>
      <c r="M3065" t="str">
        <f>"יח"</f>
        <v>יח</v>
      </c>
      <c r="N3065">
        <v>-1</v>
      </c>
      <c r="O3065" t="str">
        <f>"יח"</f>
        <v>יח</v>
      </c>
      <c r="P3065">
        <v>223.62</v>
      </c>
      <c r="Q3065" t="str">
        <f>"$"</f>
        <v>$</v>
      </c>
      <c r="R3065" t="str">
        <f>"הזמנה"</f>
        <v>הזמנה</v>
      </c>
      <c r="S3065">
        <v>0</v>
      </c>
      <c r="T3065">
        <v>-223.62</v>
      </c>
      <c r="U3065">
        <v>3.2</v>
      </c>
      <c r="V3065">
        <v>-216.46</v>
      </c>
      <c r="W3065" t="str">
        <f>"$"</f>
        <v>$</v>
      </c>
      <c r="X3065">
        <v>0</v>
      </c>
      <c r="Y3065">
        <v>0</v>
      </c>
      <c r="Z3065">
        <v>0</v>
      </c>
      <c r="AA3065" t="str">
        <f>"Y"</f>
        <v>Y</v>
      </c>
      <c r="AC3065">
        <v>0</v>
      </c>
      <c r="AM3065" t="str">
        <f>"10"</f>
        <v>10</v>
      </c>
      <c r="AN3065" t="str">
        <f>"500000"</f>
        <v>500000</v>
      </c>
      <c r="AO3065" t="str">
        <f>"הכנסות  מלקוחות"</f>
        <v>הכנסות  מלקוחות</v>
      </c>
      <c r="AQ3065" t="str">
        <f>"034"</f>
        <v>034</v>
      </c>
      <c r="AR3065">
        <v>0</v>
      </c>
      <c r="AS3065">
        <v>0</v>
      </c>
      <c r="AT3065">
        <v>3.1869999999999998</v>
      </c>
      <c r="BB3065" t="str">
        <f>"Y"</f>
        <v>Y</v>
      </c>
      <c r="BD3065" t="str">
        <f>"ערן שלו"</f>
        <v>ערן שלו</v>
      </c>
    </row>
    <row r="3066" spans="1:56" x14ac:dyDescent="0.3">
      <c r="A3066" s="1">
        <v>44206</v>
      </c>
      <c r="B3066" t="str">
        <f>"SI216000020"</f>
        <v>SI216000020</v>
      </c>
      <c r="C3066" t="str">
        <f>"PR20000799"</f>
        <v>PR20000799</v>
      </c>
      <c r="E3066" t="str">
        <f>"Y"</f>
        <v>Y</v>
      </c>
      <c r="F3066" t="str">
        <f>"חשבוניות מרכזות"</f>
        <v>חשבוניות מרכזות</v>
      </c>
      <c r="G3066" t="str">
        <f>"700065"</f>
        <v>700065</v>
      </c>
      <c r="H3066" t="str">
        <f>"אלתא מערכות בע""מ"</f>
        <v>אלתא מערכות בע"מ</v>
      </c>
      <c r="I3066" t="str">
        <f>"10"</f>
        <v>10</v>
      </c>
      <c r="J3066" t="str">
        <f>"OP-AR02095"</f>
        <v>OP-AR02095</v>
      </c>
      <c r="K3066" t="str">
        <f>"1034L747-001/-  GPS RCU ETH PS CABLE LAB"</f>
        <v>1034L747-001/-  GPS RCU ETH PS CABLE LAB</v>
      </c>
      <c r="L3066">
        <v>-1</v>
      </c>
      <c r="M3066" t="str">
        <f>"יח"</f>
        <v>יח</v>
      </c>
      <c r="N3066">
        <v>-1</v>
      </c>
      <c r="O3066" t="str">
        <f>"יח"</f>
        <v>יח</v>
      </c>
      <c r="P3066" s="2">
        <v>1128.95</v>
      </c>
      <c r="Q3066" t="str">
        <f>"$"</f>
        <v>$</v>
      </c>
      <c r="R3066" t="str">
        <f>"הזמנה"</f>
        <v>הזמנה</v>
      </c>
      <c r="S3066">
        <v>0</v>
      </c>
      <c r="T3066" s="2">
        <v>-1128.95</v>
      </c>
      <c r="U3066">
        <v>3.2</v>
      </c>
      <c r="V3066" s="2">
        <v>-1092.82</v>
      </c>
      <c r="W3066" t="str">
        <f>"$"</f>
        <v>$</v>
      </c>
      <c r="X3066">
        <v>0</v>
      </c>
      <c r="Y3066">
        <v>0</v>
      </c>
      <c r="Z3066">
        <v>0</v>
      </c>
      <c r="AA3066" t="str">
        <f>"Y"</f>
        <v>Y</v>
      </c>
      <c r="AC3066">
        <v>0</v>
      </c>
      <c r="AM3066" t="str">
        <f>"10"</f>
        <v>10</v>
      </c>
      <c r="AN3066" t="str">
        <f>"500000"</f>
        <v>500000</v>
      </c>
      <c r="AO3066" t="str">
        <f>"הכנסות  מלקוחות"</f>
        <v>הכנסות  מלקוחות</v>
      </c>
      <c r="AQ3066" t="str">
        <f>"034"</f>
        <v>034</v>
      </c>
      <c r="AR3066">
        <v>0</v>
      </c>
      <c r="AS3066">
        <v>0</v>
      </c>
      <c r="AT3066">
        <v>3.1869999999999998</v>
      </c>
      <c r="BB3066" t="str">
        <f>"Y"</f>
        <v>Y</v>
      </c>
      <c r="BD3066" t="str">
        <f>"ערן שלו"</f>
        <v>ערן שלו</v>
      </c>
    </row>
    <row r="3067" spans="1:56" x14ac:dyDescent="0.3">
      <c r="A3067" s="1">
        <v>44206</v>
      </c>
      <c r="B3067" t="str">
        <f>"SI216000019"</f>
        <v>SI216000019</v>
      </c>
      <c r="C3067" t="str">
        <f>"PR20000641"</f>
        <v>PR20000641</v>
      </c>
      <c r="D3067" t="str">
        <f>"PR20000641"</f>
        <v>PR20000641</v>
      </c>
      <c r="E3067" t="str">
        <f>"Y"</f>
        <v>Y</v>
      </c>
      <c r="F3067" t="str">
        <f>"חשבוניות מרכזות"</f>
        <v>חשבוניות מרכזות</v>
      </c>
      <c r="G3067" t="str">
        <f>"700065"</f>
        <v>700065</v>
      </c>
      <c r="H3067" t="str">
        <f>"אלתא מערכות בע""מ"</f>
        <v>אלתא מערכות בע"מ</v>
      </c>
      <c r="I3067" t="str">
        <f>"10"</f>
        <v>10</v>
      </c>
      <c r="J3067" t="str">
        <f>"OP-AR02027"</f>
        <v>OP-AR02027</v>
      </c>
      <c r="K3067" t="str">
        <f>"1032G447-001 W7 ENCODER CALIBRATION ADAPTER"</f>
        <v>1032G447-001 W7 ENCODER CALIBRATION ADAPTER</v>
      </c>
      <c r="L3067">
        <v>1</v>
      </c>
      <c r="M3067" t="str">
        <f>"יח"</f>
        <v>יח</v>
      </c>
      <c r="N3067">
        <v>1</v>
      </c>
      <c r="O3067" t="str">
        <f>"יח"</f>
        <v>יח</v>
      </c>
      <c r="P3067">
        <v>536.38</v>
      </c>
      <c r="Q3067" t="str">
        <f>"$"</f>
        <v>$</v>
      </c>
      <c r="R3067" t="str">
        <f>"הזמנה"</f>
        <v>הזמנה</v>
      </c>
      <c r="S3067">
        <v>0</v>
      </c>
      <c r="T3067">
        <v>536.38</v>
      </c>
      <c r="U3067">
        <v>0</v>
      </c>
      <c r="V3067">
        <v>536.38</v>
      </c>
      <c r="W3067" t="str">
        <f>"$"</f>
        <v>$</v>
      </c>
      <c r="X3067">
        <v>0</v>
      </c>
      <c r="Y3067">
        <v>0</v>
      </c>
      <c r="Z3067">
        <v>0</v>
      </c>
      <c r="AA3067" t="str">
        <f>"Y"</f>
        <v>Y</v>
      </c>
      <c r="AB3067" t="str">
        <f>"SO20000430"</f>
        <v>SO20000430</v>
      </c>
      <c r="AC3067">
        <v>1</v>
      </c>
      <c r="AD3067" s="1">
        <v>44097</v>
      </c>
      <c r="AE3067" t="str">
        <f>"SH21000021"</f>
        <v>SH21000021</v>
      </c>
      <c r="AF3067" t="str">
        <f>"משלוחים ללקוח"</f>
        <v>משלוחים ללקוח</v>
      </c>
      <c r="AG3067" s="1">
        <v>44201</v>
      </c>
      <c r="AM3067" t="str">
        <f>"10"</f>
        <v>10</v>
      </c>
      <c r="AN3067" t="str">
        <f>"500000"</f>
        <v>500000</v>
      </c>
      <c r="AO3067" t="str">
        <f>"הכנסות  מלקוחות"</f>
        <v>הכנסות  מלקוחות</v>
      </c>
      <c r="AQ3067" t="str">
        <f>"034"</f>
        <v>034</v>
      </c>
      <c r="AR3067">
        <v>0</v>
      </c>
      <c r="AS3067">
        <v>0</v>
      </c>
      <c r="AT3067">
        <v>3.1869999999999998</v>
      </c>
      <c r="AX3067" t="str">
        <f>"E000321365"</f>
        <v>E000321365</v>
      </c>
      <c r="BD3067" t="str">
        <f>"ערן שלו"</f>
        <v>ערן שלו</v>
      </c>
    </row>
    <row r="3068" spans="1:56" x14ac:dyDescent="0.3">
      <c r="A3068" s="1">
        <v>44206</v>
      </c>
      <c r="B3068" t="str">
        <f>"SI216000018"</f>
        <v>SI216000018</v>
      </c>
      <c r="C3068" t="str">
        <f>"PR20000799"</f>
        <v>PR20000799</v>
      </c>
      <c r="E3068" t="str">
        <f>"Y"</f>
        <v>Y</v>
      </c>
      <c r="F3068" t="str">
        <f>"חשבוניות מרכזות"</f>
        <v>חשבוניות מרכזות</v>
      </c>
      <c r="G3068" t="str">
        <f>"700065"</f>
        <v>700065</v>
      </c>
      <c r="H3068" t="str">
        <f>"אלתא מערכות בע""מ"</f>
        <v>אלתא מערכות בע"מ</v>
      </c>
      <c r="I3068" t="str">
        <f>"10"</f>
        <v>10</v>
      </c>
      <c r="J3068" t="str">
        <f>"OP-AR02092"</f>
        <v>OP-AR02092</v>
      </c>
      <c r="K3068" t="str">
        <f>"1034L740-001/-  CU POWER CABLE"</f>
        <v>1034L740-001/-  CU POWER CABLE</v>
      </c>
      <c r="L3068">
        <v>1</v>
      </c>
      <c r="M3068" t="str">
        <f>"יח"</f>
        <v>יח</v>
      </c>
      <c r="N3068">
        <v>1</v>
      </c>
      <c r="O3068" t="str">
        <f>"יח"</f>
        <v>יח</v>
      </c>
      <c r="P3068">
        <v>339.86</v>
      </c>
      <c r="Q3068" t="str">
        <f>"$"</f>
        <v>$</v>
      </c>
      <c r="R3068" t="str">
        <f>"הזמנה"</f>
        <v>הזמנה</v>
      </c>
      <c r="S3068">
        <v>0</v>
      </c>
      <c r="T3068">
        <v>339.86</v>
      </c>
      <c r="U3068">
        <v>3.2</v>
      </c>
      <c r="V3068">
        <v>328.98</v>
      </c>
      <c r="W3068" t="str">
        <f>"$"</f>
        <v>$</v>
      </c>
      <c r="X3068">
        <v>0</v>
      </c>
      <c r="Y3068">
        <v>0</v>
      </c>
      <c r="Z3068">
        <v>0</v>
      </c>
      <c r="AA3068" t="str">
        <f>"Y"</f>
        <v>Y</v>
      </c>
      <c r="AC3068">
        <v>0</v>
      </c>
      <c r="AM3068" t="str">
        <f>"10"</f>
        <v>10</v>
      </c>
      <c r="AN3068" t="str">
        <f>"500000"</f>
        <v>500000</v>
      </c>
      <c r="AO3068" t="str">
        <f>"הכנסות  מלקוחות"</f>
        <v>הכנסות  מלקוחות</v>
      </c>
      <c r="AQ3068" t="str">
        <f>"034"</f>
        <v>034</v>
      </c>
      <c r="AR3068">
        <v>0</v>
      </c>
      <c r="AS3068">
        <v>0</v>
      </c>
      <c r="AT3068">
        <v>3.1869999999999998</v>
      </c>
      <c r="BB3068" t="str">
        <f>"Y"</f>
        <v>Y</v>
      </c>
      <c r="BD3068" t="str">
        <f>"ערן שלו"</f>
        <v>ערן שלו</v>
      </c>
    </row>
    <row r="3069" spans="1:56" x14ac:dyDescent="0.3">
      <c r="A3069" s="1">
        <v>44206</v>
      </c>
      <c r="B3069" t="str">
        <f>"SI216000018"</f>
        <v>SI216000018</v>
      </c>
      <c r="C3069" t="str">
        <f>"PR20000799"</f>
        <v>PR20000799</v>
      </c>
      <c r="E3069" t="str">
        <f>"Y"</f>
        <v>Y</v>
      </c>
      <c r="F3069" t="str">
        <f>"חשבוניות מרכזות"</f>
        <v>חשבוניות מרכזות</v>
      </c>
      <c r="G3069" t="str">
        <f>"700065"</f>
        <v>700065</v>
      </c>
      <c r="H3069" t="str">
        <f>"אלתא מערכות בע""מ"</f>
        <v>אלתא מערכות בע"מ</v>
      </c>
      <c r="I3069" t="str">
        <f>"10"</f>
        <v>10</v>
      </c>
      <c r="J3069" t="str">
        <f>"OP-AR02093"</f>
        <v>OP-AR02093</v>
      </c>
      <c r="K3069" t="str">
        <f>"1034L745-001/-  TCG LAB CABLE"</f>
        <v>1034L745-001/-  TCG LAB CABLE</v>
      </c>
      <c r="L3069">
        <v>1</v>
      </c>
      <c r="M3069" t="str">
        <f>"יח"</f>
        <v>יח</v>
      </c>
      <c r="N3069">
        <v>1</v>
      </c>
      <c r="O3069" t="str">
        <f>"יח"</f>
        <v>יח</v>
      </c>
      <c r="P3069">
        <v>223.62</v>
      </c>
      <c r="Q3069" t="str">
        <f>"$"</f>
        <v>$</v>
      </c>
      <c r="R3069" t="str">
        <f>"הזמנה"</f>
        <v>הזמנה</v>
      </c>
      <c r="S3069">
        <v>0</v>
      </c>
      <c r="T3069">
        <v>223.62</v>
      </c>
      <c r="U3069">
        <v>3.2</v>
      </c>
      <c r="V3069">
        <v>216.46</v>
      </c>
      <c r="W3069" t="str">
        <f>"$"</f>
        <v>$</v>
      </c>
      <c r="X3069">
        <v>0</v>
      </c>
      <c r="Y3069">
        <v>0</v>
      </c>
      <c r="Z3069">
        <v>0</v>
      </c>
      <c r="AA3069" t="str">
        <f>"Y"</f>
        <v>Y</v>
      </c>
      <c r="AC3069">
        <v>0</v>
      </c>
      <c r="AM3069" t="str">
        <f>"10"</f>
        <v>10</v>
      </c>
      <c r="AN3069" t="str">
        <f>"500000"</f>
        <v>500000</v>
      </c>
      <c r="AO3069" t="str">
        <f>"הכנסות  מלקוחות"</f>
        <v>הכנסות  מלקוחות</v>
      </c>
      <c r="AQ3069" t="str">
        <f>"034"</f>
        <v>034</v>
      </c>
      <c r="AR3069">
        <v>0</v>
      </c>
      <c r="AS3069">
        <v>0</v>
      </c>
      <c r="AT3069">
        <v>3.1869999999999998</v>
      </c>
      <c r="BB3069" t="str">
        <f>"Y"</f>
        <v>Y</v>
      </c>
      <c r="BD3069" t="str">
        <f>"ערן שלו"</f>
        <v>ערן שלו</v>
      </c>
    </row>
    <row r="3070" spans="1:56" x14ac:dyDescent="0.3">
      <c r="A3070" s="1">
        <v>44206</v>
      </c>
      <c r="B3070" t="str">
        <f>"SI216000018"</f>
        <v>SI216000018</v>
      </c>
      <c r="C3070" t="str">
        <f>"PR20000799"</f>
        <v>PR20000799</v>
      </c>
      <c r="E3070" t="str">
        <f>"Y"</f>
        <v>Y</v>
      </c>
      <c r="F3070" t="str">
        <f>"חשבוניות מרכזות"</f>
        <v>חשבוניות מרכזות</v>
      </c>
      <c r="G3070" t="str">
        <f>"700065"</f>
        <v>700065</v>
      </c>
      <c r="H3070" t="str">
        <f>"אלתא מערכות בע""מ"</f>
        <v>אלתא מערכות בע"מ</v>
      </c>
      <c r="I3070" t="str">
        <f>"10"</f>
        <v>10</v>
      </c>
      <c r="J3070" t="str">
        <f>"OP-AR02095"</f>
        <v>OP-AR02095</v>
      </c>
      <c r="K3070" t="str">
        <f>"1034L747-001/-  GPS RCU ETH PS CABLE LAB"</f>
        <v>1034L747-001/-  GPS RCU ETH PS CABLE LAB</v>
      </c>
      <c r="L3070">
        <v>1</v>
      </c>
      <c r="M3070" t="str">
        <f>"יח"</f>
        <v>יח</v>
      </c>
      <c r="N3070">
        <v>1</v>
      </c>
      <c r="O3070" t="str">
        <f>"יח"</f>
        <v>יח</v>
      </c>
      <c r="P3070" s="2">
        <v>1128.95</v>
      </c>
      <c r="Q3070" t="str">
        <f>"$"</f>
        <v>$</v>
      </c>
      <c r="R3070" t="str">
        <f>"הזמנה"</f>
        <v>הזמנה</v>
      </c>
      <c r="S3070">
        <v>0</v>
      </c>
      <c r="T3070" s="2">
        <v>1128.95</v>
      </c>
      <c r="U3070">
        <v>3.2</v>
      </c>
      <c r="V3070" s="2">
        <v>1092.82</v>
      </c>
      <c r="W3070" t="str">
        <f>"$"</f>
        <v>$</v>
      </c>
      <c r="X3070">
        <v>0</v>
      </c>
      <c r="Y3070">
        <v>0</v>
      </c>
      <c r="Z3070">
        <v>0</v>
      </c>
      <c r="AA3070" t="str">
        <f>"Y"</f>
        <v>Y</v>
      </c>
      <c r="AC3070">
        <v>0</v>
      </c>
      <c r="AM3070" t="str">
        <f>"10"</f>
        <v>10</v>
      </c>
      <c r="AN3070" t="str">
        <f>"500000"</f>
        <v>500000</v>
      </c>
      <c r="AO3070" t="str">
        <f>"הכנסות  מלקוחות"</f>
        <v>הכנסות  מלקוחות</v>
      </c>
      <c r="AQ3070" t="str">
        <f>"034"</f>
        <v>034</v>
      </c>
      <c r="AR3070">
        <v>0</v>
      </c>
      <c r="AS3070">
        <v>0</v>
      </c>
      <c r="AT3070">
        <v>3.1869999999999998</v>
      </c>
      <c r="BB3070" t="str">
        <f>"Y"</f>
        <v>Y</v>
      </c>
      <c r="BD3070" t="str">
        <f>"ערן שלו"</f>
        <v>ערן שלו</v>
      </c>
    </row>
    <row r="3071" spans="1:56" x14ac:dyDescent="0.3">
      <c r="A3071" s="1">
        <v>44206</v>
      </c>
      <c r="B3071" t="str">
        <f>"SI216000017"</f>
        <v>SI216000017</v>
      </c>
      <c r="C3071" t="str">
        <f>"PR20000499"</f>
        <v>PR20000499</v>
      </c>
      <c r="D3071" t="str">
        <f>"PR20000499"</f>
        <v>PR20000499</v>
      </c>
      <c r="E3071" t="str">
        <f>"Y"</f>
        <v>Y</v>
      </c>
      <c r="F3071" t="str">
        <f>"חשבוניות מרכזות"</f>
        <v>חשבוניות מרכזות</v>
      </c>
      <c r="G3071" t="str">
        <f>"700065"</f>
        <v>700065</v>
      </c>
      <c r="H3071" t="str">
        <f>"אלתא מערכות בע""מ"</f>
        <v>אלתא מערכות בע"מ</v>
      </c>
      <c r="I3071" t="str">
        <f>"10"</f>
        <v>10</v>
      </c>
      <c r="J3071" t="str">
        <f>"OP-AR01914"</f>
        <v>OP-AR01914</v>
      </c>
      <c r="K3071" t="str">
        <f>"1013P653-001/- CABLE ASSY 1W10"</f>
        <v>1013P653-001/- CABLE ASSY 1W10</v>
      </c>
      <c r="L3071">
        <v>1</v>
      </c>
      <c r="M3071" t="str">
        <f>"יח"</f>
        <v>יח</v>
      </c>
      <c r="N3071">
        <v>1</v>
      </c>
      <c r="O3071" t="str">
        <f>"יח"</f>
        <v>יח</v>
      </c>
      <c r="P3071" s="2">
        <v>2525.38</v>
      </c>
      <c r="Q3071" t="str">
        <f>"$"</f>
        <v>$</v>
      </c>
      <c r="R3071" t="str">
        <f>"הזמנה"</f>
        <v>הזמנה</v>
      </c>
      <c r="S3071">
        <v>0</v>
      </c>
      <c r="T3071" s="2">
        <v>2525.38</v>
      </c>
      <c r="U3071">
        <v>0</v>
      </c>
      <c r="V3071" s="2">
        <v>2525.38</v>
      </c>
      <c r="W3071" t="str">
        <f>"$"</f>
        <v>$</v>
      </c>
      <c r="X3071">
        <v>0</v>
      </c>
      <c r="Y3071">
        <v>0</v>
      </c>
      <c r="Z3071">
        <v>0</v>
      </c>
      <c r="AA3071" t="str">
        <f>"Y"</f>
        <v>Y</v>
      </c>
      <c r="AB3071" t="str">
        <f>"SO20000305"</f>
        <v>SO20000305</v>
      </c>
      <c r="AC3071">
        <v>7</v>
      </c>
      <c r="AD3071" s="1">
        <v>44031</v>
      </c>
      <c r="AE3071" t="str">
        <f>"SH21000010"</f>
        <v>SH21000010</v>
      </c>
      <c r="AF3071" t="str">
        <f>"משלוחים ללקוח"</f>
        <v>משלוחים ללקוח</v>
      </c>
      <c r="AG3071" s="1">
        <v>44200</v>
      </c>
      <c r="AM3071" t="str">
        <f>"10"</f>
        <v>10</v>
      </c>
      <c r="AN3071" t="str">
        <f>"500000"</f>
        <v>500000</v>
      </c>
      <c r="AO3071" t="str">
        <f>"הכנסות  מלקוחות"</f>
        <v>הכנסות  מלקוחות</v>
      </c>
      <c r="AQ3071" t="str">
        <f>"034"</f>
        <v>034</v>
      </c>
      <c r="AR3071">
        <v>0</v>
      </c>
      <c r="AS3071">
        <v>0</v>
      </c>
      <c r="AT3071">
        <v>3.1869999999999998</v>
      </c>
      <c r="AX3071" t="str">
        <f>"E000315878"</f>
        <v>E000315878</v>
      </c>
      <c r="BD3071" t="str">
        <f>"ערן שלו"</f>
        <v>ערן שלו</v>
      </c>
    </row>
    <row r="3072" spans="1:56" x14ac:dyDescent="0.3">
      <c r="A3072" s="1">
        <v>44206</v>
      </c>
      <c r="B3072" t="str">
        <f>"SI216000017"</f>
        <v>SI216000017</v>
      </c>
      <c r="C3072" t="str">
        <f>"PR20000499"</f>
        <v>PR20000499</v>
      </c>
      <c r="D3072" t="str">
        <f>"PR20000499"</f>
        <v>PR20000499</v>
      </c>
      <c r="E3072" t="str">
        <f>"Y"</f>
        <v>Y</v>
      </c>
      <c r="F3072" t="str">
        <f>"חשבוניות מרכזות"</f>
        <v>חשבוניות מרכזות</v>
      </c>
      <c r="G3072" t="str">
        <f>"700065"</f>
        <v>700065</v>
      </c>
      <c r="H3072" t="str">
        <f>"אלתא מערכות בע""מ"</f>
        <v>אלתא מערכות בע"מ</v>
      </c>
      <c r="I3072" t="str">
        <f>"10"</f>
        <v>10</v>
      </c>
      <c r="J3072" t="str">
        <f>"OP-AR01917"</f>
        <v>OP-AR01917</v>
      </c>
      <c r="K3072" t="str">
        <f>"1013P658-001/A CABLE ASSY 1W31"</f>
        <v>1013P658-001/A CABLE ASSY 1W31</v>
      </c>
      <c r="L3072">
        <v>1</v>
      </c>
      <c r="M3072" t="str">
        <f>"יח"</f>
        <v>יח</v>
      </c>
      <c r="N3072">
        <v>1</v>
      </c>
      <c r="O3072" t="str">
        <f>"יח"</f>
        <v>יח</v>
      </c>
      <c r="P3072" s="2">
        <v>1477.39</v>
      </c>
      <c r="Q3072" t="str">
        <f>"$"</f>
        <v>$</v>
      </c>
      <c r="R3072" t="str">
        <f>"הזמנה"</f>
        <v>הזמנה</v>
      </c>
      <c r="S3072">
        <v>0</v>
      </c>
      <c r="T3072" s="2">
        <v>1477.39</v>
      </c>
      <c r="U3072">
        <v>0</v>
      </c>
      <c r="V3072" s="2">
        <v>1477.39</v>
      </c>
      <c r="W3072" t="str">
        <f>"$"</f>
        <v>$</v>
      </c>
      <c r="X3072">
        <v>0</v>
      </c>
      <c r="Y3072">
        <v>0</v>
      </c>
      <c r="Z3072">
        <v>0</v>
      </c>
      <c r="AA3072" t="str">
        <f>"Y"</f>
        <v>Y</v>
      </c>
      <c r="AB3072" t="str">
        <f>"SO20000305"</f>
        <v>SO20000305</v>
      </c>
      <c r="AC3072">
        <v>9</v>
      </c>
      <c r="AD3072" s="1">
        <v>44031</v>
      </c>
      <c r="AE3072" t="str">
        <f>"SH21000010"</f>
        <v>SH21000010</v>
      </c>
      <c r="AF3072" t="str">
        <f>"משלוחים ללקוח"</f>
        <v>משלוחים ללקוח</v>
      </c>
      <c r="AG3072" s="1">
        <v>44200</v>
      </c>
      <c r="AM3072" t="str">
        <f>"10"</f>
        <v>10</v>
      </c>
      <c r="AN3072" t="str">
        <f>"500000"</f>
        <v>500000</v>
      </c>
      <c r="AO3072" t="str">
        <f>"הכנסות  מלקוחות"</f>
        <v>הכנסות  מלקוחות</v>
      </c>
      <c r="AQ3072" t="str">
        <f>"034"</f>
        <v>034</v>
      </c>
      <c r="AR3072">
        <v>0</v>
      </c>
      <c r="AS3072">
        <v>0</v>
      </c>
      <c r="AT3072">
        <v>3.1869999999999998</v>
      </c>
      <c r="AX3072" t="str">
        <f>"E000315878"</f>
        <v>E000315878</v>
      </c>
      <c r="BD3072" t="str">
        <f>"ערן שלו"</f>
        <v>ערן שלו</v>
      </c>
    </row>
    <row r="3073" spans="1:56" x14ac:dyDescent="0.3">
      <c r="A3073" s="1">
        <v>44206</v>
      </c>
      <c r="B3073" t="str">
        <f>"SI216000016"</f>
        <v>SI216000016</v>
      </c>
      <c r="C3073" t="str">
        <f>"PR20000495"</f>
        <v>PR20000495</v>
      </c>
      <c r="D3073" t="str">
        <f>"PR20000495"</f>
        <v>PR20000495</v>
      </c>
      <c r="E3073" t="str">
        <f>"Y"</f>
        <v>Y</v>
      </c>
      <c r="F3073" t="str">
        <f>"חשבוניות מרכזות"</f>
        <v>חשבוניות מרכזות</v>
      </c>
      <c r="G3073" t="str">
        <f>"700065"</f>
        <v>700065</v>
      </c>
      <c r="H3073" t="str">
        <f>"אלתא מערכות בע""מ"</f>
        <v>אלתא מערכות בע"מ</v>
      </c>
      <c r="I3073" t="str">
        <f>"10"</f>
        <v>10</v>
      </c>
      <c r="J3073" t="str">
        <f>"OP-AR01899"</f>
        <v>OP-AR01899</v>
      </c>
      <c r="K3073" t="str">
        <f>"1039V959-002 - CABLE ASSY WR109"</f>
        <v>1039V959-002 - CABLE ASSY WR109</v>
      </c>
      <c r="L3073">
        <v>4</v>
      </c>
      <c r="M3073" t="str">
        <f>"יח"</f>
        <v>יח</v>
      </c>
      <c r="N3073">
        <v>4</v>
      </c>
      <c r="O3073" t="str">
        <f>"יח"</f>
        <v>יח</v>
      </c>
      <c r="P3073" s="2">
        <v>1935.55</v>
      </c>
      <c r="Q3073" t="str">
        <f>"$"</f>
        <v>$</v>
      </c>
      <c r="R3073" t="str">
        <f>"הזמנה"</f>
        <v>הזמנה</v>
      </c>
      <c r="S3073">
        <v>0</v>
      </c>
      <c r="T3073" s="2">
        <v>7742.2</v>
      </c>
      <c r="U3073">
        <v>0</v>
      </c>
      <c r="V3073" s="2">
        <v>7742.2</v>
      </c>
      <c r="W3073" t="str">
        <f>"$"</f>
        <v>$</v>
      </c>
      <c r="X3073">
        <v>0</v>
      </c>
      <c r="Y3073">
        <v>0</v>
      </c>
      <c r="Z3073">
        <v>0</v>
      </c>
      <c r="AA3073" t="str">
        <f>"Y"</f>
        <v>Y</v>
      </c>
      <c r="AB3073" t="str">
        <f>"SO20000302"</f>
        <v>SO20000302</v>
      </c>
      <c r="AC3073">
        <v>6</v>
      </c>
      <c r="AD3073" s="1">
        <v>44028</v>
      </c>
      <c r="AE3073" t="str">
        <f>"SH21000009"</f>
        <v>SH21000009</v>
      </c>
      <c r="AF3073" t="str">
        <f>"משלוחים ללקוח"</f>
        <v>משלוחים ללקוח</v>
      </c>
      <c r="AG3073" s="1">
        <v>44200</v>
      </c>
      <c r="AM3073" t="str">
        <f>"10"</f>
        <v>10</v>
      </c>
      <c r="AN3073" t="str">
        <f>"500000"</f>
        <v>500000</v>
      </c>
      <c r="AO3073" t="str">
        <f>"הכנסות  מלקוחות"</f>
        <v>הכנסות  מלקוחות</v>
      </c>
      <c r="AQ3073" t="str">
        <f>"034"</f>
        <v>034</v>
      </c>
      <c r="AR3073">
        <v>0</v>
      </c>
      <c r="AS3073">
        <v>0</v>
      </c>
      <c r="AT3073">
        <v>3.1869999999999998</v>
      </c>
      <c r="AX3073" t="str">
        <f>"E000315867"</f>
        <v>E000315867</v>
      </c>
      <c r="BD3073" t="str">
        <f>"ערן שלו"</f>
        <v>ערן שלו</v>
      </c>
    </row>
    <row r="3074" spans="1:56" x14ac:dyDescent="0.3">
      <c r="A3074" s="1">
        <v>44206</v>
      </c>
      <c r="B3074" t="str">
        <f>"SI216000015"</f>
        <v>SI216000015</v>
      </c>
      <c r="C3074" t="str">
        <f>"PR20000524"</f>
        <v>PR20000524</v>
      </c>
      <c r="E3074" t="str">
        <f>"Y"</f>
        <v>Y</v>
      </c>
      <c r="F3074" t="str">
        <f>"חשבוניות מרכזות"</f>
        <v>חשבוניות מרכזות</v>
      </c>
      <c r="G3074" t="str">
        <f>"700065"</f>
        <v>700065</v>
      </c>
      <c r="H3074" t="str">
        <f>"אלתא מערכות בע""מ"</f>
        <v>אלתא מערכות בע"מ</v>
      </c>
      <c r="I3074" t="str">
        <f>"10"</f>
        <v>10</v>
      </c>
      <c r="J3074" t="str">
        <f>"OP-AR01650"</f>
        <v>OP-AR01650</v>
      </c>
      <c r="K3074" t="str">
        <f>"1041G357-001 W357 - CU RACK TO PEDESTAL - CONTRO"</f>
        <v>1041G357-001 W357 - CU RACK TO PEDESTAL - CONTRO</v>
      </c>
      <c r="L3074">
        <v>1</v>
      </c>
      <c r="M3074" t="str">
        <f>"יח"</f>
        <v>יח</v>
      </c>
      <c r="N3074">
        <v>1</v>
      </c>
      <c r="O3074" t="str">
        <f>"יח"</f>
        <v>יח</v>
      </c>
      <c r="P3074">
        <v>930.53</v>
      </c>
      <c r="Q3074" t="str">
        <f>"$"</f>
        <v>$</v>
      </c>
      <c r="R3074" t="str">
        <f>"הזמנה"</f>
        <v>הזמנה</v>
      </c>
      <c r="S3074">
        <v>0</v>
      </c>
      <c r="T3074">
        <v>930.53</v>
      </c>
      <c r="U3074">
        <v>0</v>
      </c>
      <c r="V3074">
        <v>930.53</v>
      </c>
      <c r="W3074" t="str">
        <f>"$"</f>
        <v>$</v>
      </c>
      <c r="X3074">
        <v>0</v>
      </c>
      <c r="Y3074">
        <v>0</v>
      </c>
      <c r="Z3074">
        <v>0</v>
      </c>
      <c r="AA3074" t="str">
        <f>"Y"</f>
        <v>Y</v>
      </c>
      <c r="AB3074" t="str">
        <f>"SO20000329"</f>
        <v>SO20000329</v>
      </c>
      <c r="AC3074">
        <v>1</v>
      </c>
      <c r="AD3074" s="1">
        <v>44035</v>
      </c>
      <c r="AE3074" t="str">
        <f>"SH21000008"</f>
        <v>SH21000008</v>
      </c>
      <c r="AF3074" t="str">
        <f>"משלוחים ללקוח"</f>
        <v>משלוחים ללקוח</v>
      </c>
      <c r="AG3074" s="1">
        <v>44200</v>
      </c>
      <c r="AM3074" t="str">
        <f>"10"</f>
        <v>10</v>
      </c>
      <c r="AN3074" t="str">
        <f>"500000"</f>
        <v>500000</v>
      </c>
      <c r="AO3074" t="str">
        <f>"הכנסות  מלקוחות"</f>
        <v>הכנסות  מלקוחות</v>
      </c>
      <c r="AQ3074" t="str">
        <f>"034"</f>
        <v>034</v>
      </c>
      <c r="AR3074">
        <v>0</v>
      </c>
      <c r="AS3074">
        <v>0</v>
      </c>
      <c r="AT3074">
        <v>3.1869999999999998</v>
      </c>
      <c r="AX3074" t="str">
        <f>"E000316426"</f>
        <v>E000316426</v>
      </c>
      <c r="BD3074" t="str">
        <f>"ערן שלו"</f>
        <v>ערן שלו</v>
      </c>
    </row>
    <row r="3075" spans="1:56" x14ac:dyDescent="0.3">
      <c r="A3075" s="1">
        <v>44206</v>
      </c>
      <c r="B3075" t="str">
        <f>"SI216000014"</f>
        <v>SI216000014</v>
      </c>
      <c r="C3075" t="str">
        <f>"PR20000348"</f>
        <v>PR20000348</v>
      </c>
      <c r="E3075" t="str">
        <f>"Y"</f>
        <v>Y</v>
      </c>
      <c r="F3075" t="str">
        <f>"חשבוניות מרכזות"</f>
        <v>חשבוניות מרכזות</v>
      </c>
      <c r="G3075" t="str">
        <f>"700065"</f>
        <v>700065</v>
      </c>
      <c r="H3075" t="str">
        <f>"אלתא מערכות בע""מ"</f>
        <v>אלתא מערכות בע"מ</v>
      </c>
      <c r="I3075" t="str">
        <f>"10"</f>
        <v>10</v>
      </c>
      <c r="J3075" t="str">
        <f>"OP-AR01779"</f>
        <v>OP-AR01779</v>
      </c>
      <c r="K3075" t="str">
        <f>"1037V762-001 WPG102 - BONDING STRAP AUX-BOX to P"</f>
        <v>1037V762-001 WPG102 - BONDING STRAP AUX-BOX to P</v>
      </c>
      <c r="L3075">
        <v>4</v>
      </c>
      <c r="M3075" t="str">
        <f>"יח"</f>
        <v>יח</v>
      </c>
      <c r="N3075">
        <v>4</v>
      </c>
      <c r="O3075" t="str">
        <f>"יח"</f>
        <v>יח</v>
      </c>
      <c r="P3075">
        <v>90.34</v>
      </c>
      <c r="Q3075" t="str">
        <f>"$"</f>
        <v>$</v>
      </c>
      <c r="R3075" t="str">
        <f>"הזמנה"</f>
        <v>הזמנה</v>
      </c>
      <c r="S3075">
        <v>0</v>
      </c>
      <c r="T3075">
        <v>361.36</v>
      </c>
      <c r="U3075">
        <v>0</v>
      </c>
      <c r="V3075">
        <v>361.36</v>
      </c>
      <c r="W3075" t="str">
        <f>"$"</f>
        <v>$</v>
      </c>
      <c r="X3075">
        <v>0</v>
      </c>
      <c r="Y3075">
        <v>0</v>
      </c>
      <c r="Z3075">
        <v>0</v>
      </c>
      <c r="AA3075" t="str">
        <f>"Y"</f>
        <v>Y</v>
      </c>
      <c r="AB3075" t="str">
        <f>"SO20000201"</f>
        <v>SO20000201</v>
      </c>
      <c r="AC3075">
        <v>45</v>
      </c>
      <c r="AD3075" s="1">
        <v>43970</v>
      </c>
      <c r="AE3075" t="str">
        <f>"SH21000007"</f>
        <v>SH21000007</v>
      </c>
      <c r="AF3075" t="str">
        <f>"משלוחים ללקוח"</f>
        <v>משלוחים ללקוח</v>
      </c>
      <c r="AG3075" s="1">
        <v>44200</v>
      </c>
      <c r="AM3075" t="str">
        <f>"10"</f>
        <v>10</v>
      </c>
      <c r="AN3075" t="str">
        <f>"500000"</f>
        <v>500000</v>
      </c>
      <c r="AO3075" t="str">
        <f>"הכנסות  מלקוחות"</f>
        <v>הכנסות  מלקוחות</v>
      </c>
      <c r="AQ3075" t="str">
        <f>"034"</f>
        <v>034</v>
      </c>
      <c r="AR3075">
        <v>0</v>
      </c>
      <c r="AS3075">
        <v>0</v>
      </c>
      <c r="AT3075">
        <v>3.1869999999999998</v>
      </c>
      <c r="AX3075" t="str">
        <f>"E000311250"</f>
        <v>E000311250</v>
      </c>
      <c r="BD3075" t="str">
        <f>"ערן שלו"</f>
        <v>ערן שלו</v>
      </c>
    </row>
    <row r="3076" spans="1:56" x14ac:dyDescent="0.3">
      <c r="A3076" s="1">
        <v>44203</v>
      </c>
      <c r="B3076" t="str">
        <f>"SI216000117"</f>
        <v>SI216000117</v>
      </c>
      <c r="C3076" t="str">
        <f>"PR20000210"</f>
        <v>PR20000210</v>
      </c>
      <c r="D3076" t="str">
        <f>"PR20000210"</f>
        <v>PR20000210</v>
      </c>
      <c r="E3076" t="str">
        <f>"Y"</f>
        <v>Y</v>
      </c>
      <c r="F3076" t="str">
        <f>"חשבוניות מרכזות"</f>
        <v>חשבוניות מרכזות</v>
      </c>
      <c r="G3076" t="str">
        <f>"700065"</f>
        <v>700065</v>
      </c>
      <c r="H3076" t="str">
        <f>"אלתא מערכות בע""מ"</f>
        <v>אלתא מערכות בע"מ</v>
      </c>
      <c r="I3076" t="str">
        <f>"10"</f>
        <v>10</v>
      </c>
      <c r="J3076" t="str">
        <f>"OP-AR01713"</f>
        <v>OP-AR01713</v>
      </c>
      <c r="K3076" t="str">
        <f>"1022H892-002 W12 -32CH VIDEO CABLE (MASTER)"</f>
        <v>1022H892-002 W12 -32CH VIDEO CABLE (MASTER)</v>
      </c>
      <c r="L3076">
        <v>1</v>
      </c>
      <c r="M3076" t="str">
        <f>"יח"</f>
        <v>יח</v>
      </c>
      <c r="N3076">
        <v>1</v>
      </c>
      <c r="O3076" t="str">
        <f>"יח"</f>
        <v>יח</v>
      </c>
      <c r="P3076" s="2">
        <v>1347.88</v>
      </c>
      <c r="Q3076" t="str">
        <f>"$"</f>
        <v>$</v>
      </c>
      <c r="R3076" t="str">
        <f>"הזמנה"</f>
        <v>הזמנה</v>
      </c>
      <c r="S3076">
        <v>0</v>
      </c>
      <c r="T3076" s="2">
        <v>1347.88</v>
      </c>
      <c r="U3076">
        <v>0</v>
      </c>
      <c r="V3076" s="2">
        <v>1347.88</v>
      </c>
      <c r="W3076" t="str">
        <f>"$"</f>
        <v>$</v>
      </c>
      <c r="X3076">
        <v>0</v>
      </c>
      <c r="Y3076">
        <v>0</v>
      </c>
      <c r="Z3076">
        <v>0</v>
      </c>
      <c r="AA3076" t="str">
        <f>"Y"</f>
        <v>Y</v>
      </c>
      <c r="AB3076" t="str">
        <f>"SO20000139"</f>
        <v>SO20000139</v>
      </c>
      <c r="AC3076">
        <v>11</v>
      </c>
      <c r="AD3076" s="1">
        <v>43940</v>
      </c>
      <c r="AE3076" t="str">
        <f>"SH21000029"</f>
        <v>SH21000029</v>
      </c>
      <c r="AF3076" t="str">
        <f>"משלוחים ללקוח"</f>
        <v>משלוחים ללקוח</v>
      </c>
      <c r="AG3076" s="1">
        <v>44203</v>
      </c>
      <c r="AM3076" t="str">
        <f>"10"</f>
        <v>10</v>
      </c>
      <c r="AN3076" t="str">
        <f>"500000"</f>
        <v>500000</v>
      </c>
      <c r="AO3076" t="str">
        <f>"הכנסות  מלקוחות"</f>
        <v>הכנסות  מלקוחות</v>
      </c>
      <c r="AQ3076" t="str">
        <f>"034"</f>
        <v>034</v>
      </c>
      <c r="AR3076">
        <v>0</v>
      </c>
      <c r="AS3076">
        <v>0</v>
      </c>
      <c r="AT3076">
        <v>3.1859999999999999</v>
      </c>
      <c r="AX3076" t="str">
        <f>"E000309670"</f>
        <v>E000309670</v>
      </c>
      <c r="BD3076" t="str">
        <f>"ערן שלו"</f>
        <v>ערן שלו</v>
      </c>
    </row>
    <row r="3077" spans="1:56" x14ac:dyDescent="0.3">
      <c r="A3077" s="1">
        <v>44203</v>
      </c>
      <c r="B3077" t="str">
        <f>"SI216000062"</f>
        <v>SI216000062</v>
      </c>
      <c r="C3077" t="str">
        <f>"PR20000149"</f>
        <v>PR20000149</v>
      </c>
      <c r="E3077" t="str">
        <f>"Y"</f>
        <v>Y</v>
      </c>
      <c r="F3077" t="str">
        <f>"חשבוניות מרכזות"</f>
        <v>חשבוניות מרכזות</v>
      </c>
      <c r="G3077" t="str">
        <f>"700065"</f>
        <v>700065</v>
      </c>
      <c r="H3077" t="str">
        <f>"אלתא מערכות בע""מ"</f>
        <v>אלתא מערכות בע"מ</v>
      </c>
      <c r="I3077" t="str">
        <f>"10"</f>
        <v>10</v>
      </c>
      <c r="J3077" t="str">
        <f>"OP-AR09107-1"</f>
        <v>OP-AR09107-1</v>
      </c>
      <c r="K3077" t="str">
        <f>"לוח AUX BOX מק""ט לקוח 1036V320 001"</f>
        <v>לוח AUX BOX מק"ט לקוח 1036V320 001</v>
      </c>
      <c r="L3077">
        <v>1</v>
      </c>
      <c r="M3077" t="str">
        <f>"יח"</f>
        <v>יח</v>
      </c>
      <c r="N3077">
        <v>1</v>
      </c>
      <c r="O3077" t="str">
        <f>"יח"</f>
        <v>יח</v>
      </c>
      <c r="P3077" s="2">
        <v>26958</v>
      </c>
      <c r="Q3077" t="str">
        <f>"$"</f>
        <v>$</v>
      </c>
      <c r="R3077" t="str">
        <f>"הזמנה"</f>
        <v>הזמנה</v>
      </c>
      <c r="S3077">
        <v>0</v>
      </c>
      <c r="T3077" s="2">
        <v>26958</v>
      </c>
      <c r="U3077">
        <v>0</v>
      </c>
      <c r="V3077" s="2">
        <v>26958</v>
      </c>
      <c r="W3077" t="str">
        <f>"$"</f>
        <v>$</v>
      </c>
      <c r="X3077">
        <v>0</v>
      </c>
      <c r="Y3077">
        <v>0</v>
      </c>
      <c r="Z3077">
        <v>0</v>
      </c>
      <c r="AA3077" t="str">
        <f>"Y"</f>
        <v>Y</v>
      </c>
      <c r="AB3077" t="str">
        <f>"SO20000381"</f>
        <v>SO20000381</v>
      </c>
      <c r="AC3077">
        <v>17</v>
      </c>
      <c r="AD3077" s="1">
        <v>44073</v>
      </c>
      <c r="AE3077" t="str">
        <f>"SH21000030"</f>
        <v>SH21000030</v>
      </c>
      <c r="AF3077" t="str">
        <f>"משלוחים ללקוח"</f>
        <v>משלוחים ללקוח</v>
      </c>
      <c r="AG3077" s="1">
        <v>44203</v>
      </c>
      <c r="AM3077" t="str">
        <f>"10"</f>
        <v>10</v>
      </c>
      <c r="AN3077" t="str">
        <f>"500000"</f>
        <v>500000</v>
      </c>
      <c r="AO3077" t="str">
        <f>"הכנסות  מלקוחות"</f>
        <v>הכנסות  מלקוחות</v>
      </c>
      <c r="AQ3077" t="str">
        <f>"034"</f>
        <v>034</v>
      </c>
      <c r="AR3077">
        <v>0</v>
      </c>
      <c r="AS3077">
        <v>0</v>
      </c>
      <c r="AT3077">
        <v>3.1859999999999999</v>
      </c>
      <c r="AX3077" t="str">
        <f>"E000319715"</f>
        <v>E000319715</v>
      </c>
      <c r="BD3077" t="str">
        <f>"ערן שלו"</f>
        <v>ערן שלו</v>
      </c>
    </row>
    <row r="3078" spans="1:56" x14ac:dyDescent="0.3">
      <c r="A3078" s="1">
        <v>44203</v>
      </c>
      <c r="B3078" t="str">
        <f>"SI216000061"</f>
        <v>SI216000061</v>
      </c>
      <c r="C3078" t="str">
        <f>"PR19000400"</f>
        <v>PR19000400</v>
      </c>
      <c r="E3078" t="str">
        <f>"Y"</f>
        <v>Y</v>
      </c>
      <c r="F3078" t="str">
        <f>"חשבוניות מרכזות"</f>
        <v>חשבוניות מרכזות</v>
      </c>
      <c r="G3078" t="str">
        <f>"700065"</f>
        <v>700065</v>
      </c>
      <c r="H3078" t="str">
        <f>"אלתא מערכות בע""מ"</f>
        <v>אלתא מערכות בע"מ</v>
      </c>
      <c r="I3078" t="str">
        <f>"10"</f>
        <v>10</v>
      </c>
      <c r="J3078" t="str">
        <f>"OP-KT00109"</f>
        <v>OP-KT00109</v>
      </c>
      <c r="K3078" t="str">
        <f>"BEL07 P15 EPS CABLE KIT"</f>
        <v>BEL07 P15 EPS CABLE KIT</v>
      </c>
      <c r="L3078">
        <v>1</v>
      </c>
      <c r="M3078" t="str">
        <f>"יח"</f>
        <v>יח</v>
      </c>
      <c r="N3078">
        <v>1</v>
      </c>
      <c r="O3078" t="str">
        <f>"יח"</f>
        <v>יח</v>
      </c>
      <c r="P3078" s="2">
        <v>28749</v>
      </c>
      <c r="Q3078" t="str">
        <f>"$"</f>
        <v>$</v>
      </c>
      <c r="R3078" t="str">
        <f>"הזמנה"</f>
        <v>הזמנה</v>
      </c>
      <c r="S3078">
        <v>0</v>
      </c>
      <c r="T3078" s="2">
        <v>28749</v>
      </c>
      <c r="U3078">
        <v>0</v>
      </c>
      <c r="V3078" s="2">
        <v>28749</v>
      </c>
      <c r="W3078" t="str">
        <f>"$"</f>
        <v>$</v>
      </c>
      <c r="X3078">
        <v>0</v>
      </c>
      <c r="Y3078">
        <v>0</v>
      </c>
      <c r="Z3078">
        <v>0</v>
      </c>
      <c r="AA3078" t="str">
        <f>"Y"</f>
        <v>Y</v>
      </c>
      <c r="AB3078" t="str">
        <f>"SO20000012"</f>
        <v>SO20000012</v>
      </c>
      <c r="AC3078">
        <v>20</v>
      </c>
      <c r="AD3078" s="1">
        <v>43837</v>
      </c>
      <c r="AE3078" t="str">
        <f>"SH21000027"</f>
        <v>SH21000027</v>
      </c>
      <c r="AF3078" t="str">
        <f>"משלוחים ללקוח"</f>
        <v>משלוחים ללקוח</v>
      </c>
      <c r="AG3078" s="1">
        <v>44203</v>
      </c>
      <c r="AM3078" t="str">
        <f>"10"</f>
        <v>10</v>
      </c>
      <c r="AN3078" t="str">
        <f>"500000"</f>
        <v>500000</v>
      </c>
      <c r="AO3078" t="str">
        <f>"הכנסות  מלקוחות"</f>
        <v>הכנסות  מלקוחות</v>
      </c>
      <c r="AQ3078" t="str">
        <f>"034"</f>
        <v>034</v>
      </c>
      <c r="AR3078">
        <v>0</v>
      </c>
      <c r="AS3078">
        <v>0</v>
      </c>
      <c r="AT3078">
        <v>3.1859999999999999</v>
      </c>
      <c r="AX3078" t="str">
        <f>"E000301089"</f>
        <v>E000301089</v>
      </c>
      <c r="BD3078" t="str">
        <f>"ערן שלו"</f>
        <v>ערן שלו</v>
      </c>
    </row>
    <row r="3079" spans="1:56" x14ac:dyDescent="0.3">
      <c r="A3079" s="1">
        <v>44203</v>
      </c>
      <c r="B3079" t="str">
        <f>"SI216000061"</f>
        <v>SI216000061</v>
      </c>
      <c r="C3079" t="str">
        <f>"PR19000400"</f>
        <v>PR19000400</v>
      </c>
      <c r="E3079" t="str">
        <f>"Y"</f>
        <v>Y</v>
      </c>
      <c r="F3079" t="str">
        <f>"חשבוניות מרכזות"</f>
        <v>חשבוניות מרכזות</v>
      </c>
      <c r="G3079" t="str">
        <f>"700065"</f>
        <v>700065</v>
      </c>
      <c r="H3079" t="str">
        <f>"אלתא מערכות בע""מ"</f>
        <v>אלתא מערכות בע"מ</v>
      </c>
      <c r="I3079" t="str">
        <f>"10"</f>
        <v>10</v>
      </c>
      <c r="J3079" t="str">
        <f>"OP-KT00109"</f>
        <v>OP-KT00109</v>
      </c>
      <c r="K3079" t="str">
        <f>"BEL07 P15 EPS CABLE KIT"</f>
        <v>BEL07 P15 EPS CABLE KIT</v>
      </c>
      <c r="L3079">
        <v>1</v>
      </c>
      <c r="M3079" t="str">
        <f>"יח"</f>
        <v>יח</v>
      </c>
      <c r="N3079">
        <v>1</v>
      </c>
      <c r="O3079" t="str">
        <f>"יח"</f>
        <v>יח</v>
      </c>
      <c r="P3079" s="2">
        <v>28749</v>
      </c>
      <c r="Q3079" t="str">
        <f>"$"</f>
        <v>$</v>
      </c>
      <c r="R3079" t="str">
        <f>"הזמנה"</f>
        <v>הזמנה</v>
      </c>
      <c r="S3079">
        <v>0</v>
      </c>
      <c r="T3079" s="2">
        <v>28749</v>
      </c>
      <c r="U3079">
        <v>0</v>
      </c>
      <c r="V3079" s="2">
        <v>28749</v>
      </c>
      <c r="W3079" t="str">
        <f>"$"</f>
        <v>$</v>
      </c>
      <c r="X3079">
        <v>0</v>
      </c>
      <c r="Y3079">
        <v>0</v>
      </c>
      <c r="Z3079">
        <v>0</v>
      </c>
      <c r="AA3079" t="str">
        <f>"Y"</f>
        <v>Y</v>
      </c>
      <c r="AB3079" t="str">
        <f>"SO20000012"</f>
        <v>SO20000012</v>
      </c>
      <c r="AC3079">
        <v>21</v>
      </c>
      <c r="AD3079" s="1">
        <v>43837</v>
      </c>
      <c r="AE3079" t="str">
        <f>"SH21000027"</f>
        <v>SH21000027</v>
      </c>
      <c r="AF3079" t="str">
        <f>"משלוחים ללקוח"</f>
        <v>משלוחים ללקוח</v>
      </c>
      <c r="AG3079" s="1">
        <v>44203</v>
      </c>
      <c r="AM3079" t="str">
        <f>"10"</f>
        <v>10</v>
      </c>
      <c r="AN3079" t="str">
        <f>"500000"</f>
        <v>500000</v>
      </c>
      <c r="AO3079" t="str">
        <f>"הכנסות  מלקוחות"</f>
        <v>הכנסות  מלקוחות</v>
      </c>
      <c r="AQ3079" t="str">
        <f>"034"</f>
        <v>034</v>
      </c>
      <c r="AR3079">
        <v>0</v>
      </c>
      <c r="AS3079">
        <v>0</v>
      </c>
      <c r="AT3079">
        <v>3.1859999999999999</v>
      </c>
      <c r="AX3079" t="str">
        <f>"E000301089"</f>
        <v>E000301089</v>
      </c>
      <c r="BD3079" t="str">
        <f>"ערן שלו"</f>
        <v>ערן שלו</v>
      </c>
    </row>
    <row r="3080" spans="1:56" x14ac:dyDescent="0.3">
      <c r="A3080" s="1">
        <v>44203</v>
      </c>
      <c r="B3080" t="str">
        <f>"SI216000012"</f>
        <v>SI216000012</v>
      </c>
      <c r="C3080" t="str">
        <f>"PR20000696"</f>
        <v>PR20000696</v>
      </c>
      <c r="E3080" t="str">
        <f>"Y"</f>
        <v>Y</v>
      </c>
      <c r="F3080" t="str">
        <f>"חשבוניות מרכזות"</f>
        <v>חשבוניות מרכזות</v>
      </c>
      <c r="G3080" t="str">
        <f>"700065"</f>
        <v>700065</v>
      </c>
      <c r="H3080" t="str">
        <f>"אלתא מערכות בע""מ"</f>
        <v>אלתא מערכות בע"מ</v>
      </c>
      <c r="I3080" t="str">
        <f>"10"</f>
        <v>10</v>
      </c>
      <c r="J3080" t="str">
        <f>"999"</f>
        <v>999</v>
      </c>
      <c r="K3080" t="str">
        <f>"חיוב עבור מערכת באלתא +"</f>
        <v>חיוב עבור מערכת באלתא +</v>
      </c>
      <c r="L3080">
        <v>0.25</v>
      </c>
      <c r="M3080" t="str">
        <f>"חל"</f>
        <v>חל</v>
      </c>
      <c r="N3080">
        <v>0.25</v>
      </c>
      <c r="O3080" t="str">
        <f>"חל"</f>
        <v>חל</v>
      </c>
      <c r="P3080" s="2">
        <v>9800</v>
      </c>
      <c r="Q3080" t="str">
        <f>"$"</f>
        <v>$</v>
      </c>
      <c r="R3080" t="str">
        <f>"הזמנה"</f>
        <v>הזמנה</v>
      </c>
      <c r="S3080">
        <v>0</v>
      </c>
      <c r="T3080" s="2">
        <v>2450</v>
      </c>
      <c r="U3080">
        <v>0</v>
      </c>
      <c r="V3080" s="2">
        <v>2450</v>
      </c>
      <c r="W3080" t="str">
        <f>"$"</f>
        <v>$</v>
      </c>
      <c r="X3080">
        <v>0</v>
      </c>
      <c r="Y3080">
        <v>0</v>
      </c>
      <c r="Z3080">
        <v>0</v>
      </c>
      <c r="AA3080" t="str">
        <f>"Y"</f>
        <v>Y</v>
      </c>
      <c r="AC3080">
        <v>0</v>
      </c>
      <c r="AM3080" t="str">
        <f>"10"</f>
        <v>10</v>
      </c>
      <c r="AN3080" t="str">
        <f>"500000"</f>
        <v>500000</v>
      </c>
      <c r="AO3080" t="str">
        <f>"הכנסות  מלקוחות"</f>
        <v>הכנסות  מלקוחות</v>
      </c>
      <c r="AQ3080" t="str">
        <f>"034"</f>
        <v>034</v>
      </c>
      <c r="AR3080">
        <v>0</v>
      </c>
      <c r="AS3080">
        <v>0</v>
      </c>
      <c r="AT3080">
        <v>3.1859999999999999</v>
      </c>
      <c r="BB3080" t="str">
        <f>"Y"</f>
        <v>Y</v>
      </c>
      <c r="BD3080" t="str">
        <f>"ערן שלו"</f>
        <v>ערן שלו</v>
      </c>
    </row>
    <row r="3081" spans="1:56" x14ac:dyDescent="0.3">
      <c r="A3081" s="1">
        <v>44196</v>
      </c>
      <c r="B3081" t="str">
        <f>"SI206001527"</f>
        <v>SI206001527</v>
      </c>
      <c r="E3081" t="str">
        <f>"Y"</f>
        <v>Y</v>
      </c>
      <c r="F3081" t="str">
        <f>"חשבוניות מרכזות"</f>
        <v>חשבוניות מרכזות</v>
      </c>
      <c r="G3081" t="str">
        <f>"700065"</f>
        <v>700065</v>
      </c>
      <c r="H3081" t="str">
        <f>"אלתא מערכות בע""מ"</f>
        <v>אלתא מערכות בע"מ</v>
      </c>
      <c r="I3081" t="str">
        <f>"05"</f>
        <v>05</v>
      </c>
      <c r="J3081" t="str">
        <f>"OP-PD02880"</f>
        <v>OP-PD02880</v>
      </c>
      <c r="K3081" t="str">
        <f>"POWER DISTRIBUTION BOARD 06/07-SOCD"</f>
        <v>POWER DISTRIBUTION BOARD 06/07-SOCD</v>
      </c>
      <c r="L3081">
        <v>2</v>
      </c>
      <c r="M3081" t="str">
        <f>"יח"</f>
        <v>יח</v>
      </c>
      <c r="N3081">
        <v>2</v>
      </c>
      <c r="O3081" t="str">
        <f>"יח"</f>
        <v>יח</v>
      </c>
      <c r="P3081" s="2">
        <v>50800</v>
      </c>
      <c r="Q3081" t="str">
        <f>"$"</f>
        <v>$</v>
      </c>
      <c r="R3081" t="str">
        <f>"הזמנה"</f>
        <v>הזמנה</v>
      </c>
      <c r="S3081">
        <v>0</v>
      </c>
      <c r="T3081" s="2">
        <v>101600</v>
      </c>
      <c r="U3081">
        <v>0</v>
      </c>
      <c r="V3081" s="2">
        <v>101600</v>
      </c>
      <c r="W3081" t="str">
        <f>"$"</f>
        <v>$</v>
      </c>
      <c r="X3081">
        <v>0</v>
      </c>
      <c r="Y3081">
        <v>0</v>
      </c>
      <c r="Z3081">
        <v>0</v>
      </c>
      <c r="AA3081" t="str">
        <f>"Y"</f>
        <v>Y</v>
      </c>
      <c r="AB3081" t="str">
        <f>"SO19000156"</f>
        <v>SO19000156</v>
      </c>
      <c r="AC3081">
        <v>5</v>
      </c>
      <c r="AD3081" s="1">
        <v>43562</v>
      </c>
      <c r="AE3081" t="str">
        <f>"SH20001814"</f>
        <v>SH20001814</v>
      </c>
      <c r="AF3081" t="str">
        <f>"משלוחים ללקוח"</f>
        <v>משלוחים ללקוח</v>
      </c>
      <c r="AG3081" s="1">
        <v>44196</v>
      </c>
      <c r="AM3081" t="str">
        <f>"10"</f>
        <v>10</v>
      </c>
      <c r="AN3081" t="str">
        <f>"500000"</f>
        <v>500000</v>
      </c>
      <c r="AO3081" t="str">
        <f>"הכנסות  מלקוחות"</f>
        <v>הכנסות  מלקוחות</v>
      </c>
      <c r="AQ3081" t="str">
        <f>"034"</f>
        <v>034</v>
      </c>
      <c r="AR3081">
        <v>0</v>
      </c>
      <c r="AS3081">
        <v>0</v>
      </c>
      <c r="AT3081">
        <v>3.21</v>
      </c>
      <c r="AX3081" t="str">
        <f>"E000270896"</f>
        <v>E000270896</v>
      </c>
      <c r="BD3081" t="str">
        <f>"ערן שלו"</f>
        <v>ערן שלו</v>
      </c>
    </row>
    <row r="3082" spans="1:56" x14ac:dyDescent="0.3">
      <c r="A3082" s="1">
        <v>44196</v>
      </c>
      <c r="B3082" t="str">
        <f>"SI206001527"</f>
        <v>SI206001527</v>
      </c>
      <c r="E3082" t="str">
        <f>"Y"</f>
        <v>Y</v>
      </c>
      <c r="F3082" t="str">
        <f>"חשבוניות מרכזות"</f>
        <v>חשבוניות מרכזות</v>
      </c>
      <c r="G3082" t="str">
        <f>"700065"</f>
        <v>700065</v>
      </c>
      <c r="H3082" t="str">
        <f>"אלתא מערכות בע""מ"</f>
        <v>אלתא מערכות בע"מ</v>
      </c>
      <c r="I3082" t="str">
        <f>"05"</f>
        <v>05</v>
      </c>
      <c r="J3082" t="str">
        <f>"OP-PD02881"</f>
        <v>OP-PD02881</v>
      </c>
      <c r="K3082" t="str">
        <f>"POWER DISTRIBUTION BOARD 09-SOCD"</f>
        <v>POWER DISTRIBUTION BOARD 09-SOCD</v>
      </c>
      <c r="L3082">
        <v>1</v>
      </c>
      <c r="M3082" t="str">
        <f>"יח"</f>
        <v>יח</v>
      </c>
      <c r="N3082">
        <v>1</v>
      </c>
      <c r="O3082" t="str">
        <f>"יח"</f>
        <v>יח</v>
      </c>
      <c r="P3082" s="2">
        <v>43010</v>
      </c>
      <c r="Q3082" t="str">
        <f>"$"</f>
        <v>$</v>
      </c>
      <c r="R3082" t="str">
        <f>"הזמנה"</f>
        <v>הזמנה</v>
      </c>
      <c r="S3082">
        <v>0</v>
      </c>
      <c r="T3082" s="2">
        <v>43010</v>
      </c>
      <c r="U3082">
        <v>0</v>
      </c>
      <c r="V3082" s="2">
        <v>43010</v>
      </c>
      <c r="W3082" t="str">
        <f>"$"</f>
        <v>$</v>
      </c>
      <c r="X3082">
        <v>0</v>
      </c>
      <c r="Y3082">
        <v>0</v>
      </c>
      <c r="Z3082">
        <v>0</v>
      </c>
      <c r="AA3082" t="str">
        <f>"Y"</f>
        <v>Y</v>
      </c>
      <c r="AB3082" t="str">
        <f>"SO19000156"</f>
        <v>SO19000156</v>
      </c>
      <c r="AC3082">
        <v>10</v>
      </c>
      <c r="AD3082" s="1">
        <v>43562</v>
      </c>
      <c r="AE3082" t="str">
        <f>"SH20001814"</f>
        <v>SH20001814</v>
      </c>
      <c r="AF3082" t="str">
        <f>"משלוחים ללקוח"</f>
        <v>משלוחים ללקוח</v>
      </c>
      <c r="AG3082" s="1">
        <v>44196</v>
      </c>
      <c r="AM3082" t="str">
        <f>"10"</f>
        <v>10</v>
      </c>
      <c r="AN3082" t="str">
        <f>"500000"</f>
        <v>500000</v>
      </c>
      <c r="AO3082" t="str">
        <f>"הכנסות  מלקוחות"</f>
        <v>הכנסות  מלקוחות</v>
      </c>
      <c r="AQ3082" t="str">
        <f>"034"</f>
        <v>034</v>
      </c>
      <c r="AR3082">
        <v>0</v>
      </c>
      <c r="AS3082">
        <v>0</v>
      </c>
      <c r="AT3082">
        <v>3.21</v>
      </c>
      <c r="AX3082" t="str">
        <f>"E000270896"</f>
        <v>E000270896</v>
      </c>
      <c r="BD3082" t="str">
        <f>"ערן שלו"</f>
        <v>ערן שלו</v>
      </c>
    </row>
    <row r="3083" spans="1:56" x14ac:dyDescent="0.3">
      <c r="A3083" s="1">
        <v>44196</v>
      </c>
      <c r="B3083" t="str">
        <f>"SI206001527"</f>
        <v>SI206001527</v>
      </c>
      <c r="E3083" t="str">
        <f>"Y"</f>
        <v>Y</v>
      </c>
      <c r="F3083" t="str">
        <f>"חשבוניות מרכזות"</f>
        <v>חשבוניות מרכזות</v>
      </c>
      <c r="G3083" t="str">
        <f>"700065"</f>
        <v>700065</v>
      </c>
      <c r="H3083" t="str">
        <f>"אלתא מערכות בע""מ"</f>
        <v>אלתא מערכות בע"מ</v>
      </c>
      <c r="I3083" t="str">
        <f>"05"</f>
        <v>05</v>
      </c>
      <c r="J3083" t="str">
        <f>"OP-PD02882"</f>
        <v>OP-PD02882</v>
      </c>
      <c r="K3083" t="str">
        <f>"ISOLATION TRANSFORMER UNIT 200KVA"</f>
        <v>ISOLATION TRANSFORMER UNIT 200KVA</v>
      </c>
      <c r="L3083">
        <v>2</v>
      </c>
      <c r="M3083" t="str">
        <f>"יח"</f>
        <v>יח</v>
      </c>
      <c r="N3083">
        <v>2</v>
      </c>
      <c r="O3083" t="str">
        <f>"יח"</f>
        <v>יח</v>
      </c>
      <c r="P3083" s="2">
        <v>38000</v>
      </c>
      <c r="Q3083" t="str">
        <f>"$"</f>
        <v>$</v>
      </c>
      <c r="R3083" t="str">
        <f>"הזמנה"</f>
        <v>הזמנה</v>
      </c>
      <c r="S3083">
        <v>0</v>
      </c>
      <c r="T3083" s="2">
        <v>76000</v>
      </c>
      <c r="U3083">
        <v>0</v>
      </c>
      <c r="V3083" s="2">
        <v>76000</v>
      </c>
      <c r="W3083" t="str">
        <f>"$"</f>
        <v>$</v>
      </c>
      <c r="X3083">
        <v>0</v>
      </c>
      <c r="Y3083">
        <v>0</v>
      </c>
      <c r="Z3083">
        <v>0</v>
      </c>
      <c r="AA3083" t="str">
        <f>"Y"</f>
        <v>Y</v>
      </c>
      <c r="AB3083" t="str">
        <f>"SO19000156"</f>
        <v>SO19000156</v>
      </c>
      <c r="AC3083">
        <v>15</v>
      </c>
      <c r="AD3083" s="1">
        <v>43562</v>
      </c>
      <c r="AE3083" t="str">
        <f>"SH20001814"</f>
        <v>SH20001814</v>
      </c>
      <c r="AF3083" t="str">
        <f>"משלוחים ללקוח"</f>
        <v>משלוחים ללקוח</v>
      </c>
      <c r="AG3083" s="1">
        <v>44196</v>
      </c>
      <c r="AM3083" t="str">
        <f>"10"</f>
        <v>10</v>
      </c>
      <c r="AN3083" t="str">
        <f>"500000"</f>
        <v>500000</v>
      </c>
      <c r="AO3083" t="str">
        <f>"הכנסות  מלקוחות"</f>
        <v>הכנסות  מלקוחות</v>
      </c>
      <c r="AQ3083" t="str">
        <f>"034"</f>
        <v>034</v>
      </c>
      <c r="AR3083">
        <v>0</v>
      </c>
      <c r="AS3083">
        <v>0</v>
      </c>
      <c r="AT3083">
        <v>3.21</v>
      </c>
      <c r="AX3083" t="str">
        <f>"E000270896"</f>
        <v>E000270896</v>
      </c>
      <c r="BD3083" t="str">
        <f>"ערן שלו"</f>
        <v>ערן שלו</v>
      </c>
    </row>
    <row r="3084" spans="1:56" x14ac:dyDescent="0.3">
      <c r="A3084" s="1">
        <v>44196</v>
      </c>
      <c r="B3084" t="str">
        <f>"SI206001527"</f>
        <v>SI206001527</v>
      </c>
      <c r="E3084" t="str">
        <f>"Y"</f>
        <v>Y</v>
      </c>
      <c r="F3084" t="str">
        <f>"חשבוניות מרכזות"</f>
        <v>חשבוניות מרכזות</v>
      </c>
      <c r="G3084" t="str">
        <f>"700065"</f>
        <v>700065</v>
      </c>
      <c r="H3084" t="str">
        <f>"אלתא מערכות בע""מ"</f>
        <v>אלתא מערכות בע"מ</v>
      </c>
      <c r="I3084" t="str">
        <f>"05"</f>
        <v>05</v>
      </c>
      <c r="J3084" t="str">
        <f>"OP-PD02883"</f>
        <v>OP-PD02883</v>
      </c>
      <c r="K3084" t="str">
        <f>"ISOLATION TRANSFORMER UNIT 70KVA"</f>
        <v>ISOLATION TRANSFORMER UNIT 70KVA</v>
      </c>
      <c r="L3084">
        <v>1</v>
      </c>
      <c r="M3084" t="str">
        <f>"יח"</f>
        <v>יח</v>
      </c>
      <c r="N3084">
        <v>1</v>
      </c>
      <c r="O3084" t="str">
        <f>"יח"</f>
        <v>יח</v>
      </c>
      <c r="P3084" s="2">
        <v>19000</v>
      </c>
      <c r="Q3084" t="str">
        <f>"$"</f>
        <v>$</v>
      </c>
      <c r="R3084" t="str">
        <f>"הזמנה"</f>
        <v>הזמנה</v>
      </c>
      <c r="S3084">
        <v>0</v>
      </c>
      <c r="T3084" s="2">
        <v>19000</v>
      </c>
      <c r="U3084">
        <v>0</v>
      </c>
      <c r="V3084" s="2">
        <v>19000</v>
      </c>
      <c r="W3084" t="str">
        <f>"$"</f>
        <v>$</v>
      </c>
      <c r="X3084">
        <v>0</v>
      </c>
      <c r="Y3084">
        <v>0</v>
      </c>
      <c r="Z3084">
        <v>0</v>
      </c>
      <c r="AA3084" t="str">
        <f>"Y"</f>
        <v>Y</v>
      </c>
      <c r="AB3084" t="str">
        <f>"SO19000156"</f>
        <v>SO19000156</v>
      </c>
      <c r="AC3084">
        <v>20</v>
      </c>
      <c r="AD3084" s="1">
        <v>43562</v>
      </c>
      <c r="AE3084" t="str">
        <f>"SH20001814"</f>
        <v>SH20001814</v>
      </c>
      <c r="AF3084" t="str">
        <f>"משלוחים ללקוח"</f>
        <v>משלוחים ללקוח</v>
      </c>
      <c r="AG3084" s="1">
        <v>44196</v>
      </c>
      <c r="AM3084" t="str">
        <f>"10"</f>
        <v>10</v>
      </c>
      <c r="AN3084" t="str">
        <f>"500000"</f>
        <v>500000</v>
      </c>
      <c r="AO3084" t="str">
        <f>"הכנסות  מלקוחות"</f>
        <v>הכנסות  מלקוחות</v>
      </c>
      <c r="AQ3084" t="str">
        <f>"034"</f>
        <v>034</v>
      </c>
      <c r="AR3084">
        <v>0</v>
      </c>
      <c r="AS3084">
        <v>0</v>
      </c>
      <c r="AT3084">
        <v>3.21</v>
      </c>
      <c r="AX3084" t="str">
        <f>"E000270896"</f>
        <v>E000270896</v>
      </c>
      <c r="BD3084" t="str">
        <f>"ערן שלו"</f>
        <v>ערן שלו</v>
      </c>
    </row>
    <row r="3085" spans="1:56" x14ac:dyDescent="0.3">
      <c r="A3085" s="1">
        <v>44196</v>
      </c>
      <c r="B3085" t="str">
        <f>"SI206001526"</f>
        <v>SI206001526</v>
      </c>
      <c r="C3085" t="str">
        <f>"PR20000531"</f>
        <v>PR20000531</v>
      </c>
      <c r="D3085" t="str">
        <f>"PR20000531"</f>
        <v>PR20000531</v>
      </c>
      <c r="E3085" t="str">
        <f>"Y"</f>
        <v>Y</v>
      </c>
      <c r="F3085" t="str">
        <f>"חשבוניות מרכזות"</f>
        <v>חשבוניות מרכזות</v>
      </c>
      <c r="G3085" t="str">
        <f>"700065"</f>
        <v>700065</v>
      </c>
      <c r="H3085" t="str">
        <f>"אלתא מערכות בע""מ"</f>
        <v>אלתא מערכות בע"מ</v>
      </c>
      <c r="I3085" t="str">
        <f>"10"</f>
        <v>10</v>
      </c>
      <c r="J3085" t="str">
        <f>"PA0700049"</f>
        <v>PA0700049</v>
      </c>
      <c r="K3085" t="str">
        <f>"מחבר נייד נקבה D38999/26WE6SN"</f>
        <v>מחבר נייד נקבה D38999/26WE6SN</v>
      </c>
      <c r="L3085">
        <v>72</v>
      </c>
      <c r="M3085" t="str">
        <f>"יח"</f>
        <v>יח</v>
      </c>
      <c r="N3085">
        <v>72</v>
      </c>
      <c r="O3085" t="str">
        <f>"יח"</f>
        <v>יח</v>
      </c>
      <c r="P3085">
        <v>23.73</v>
      </c>
      <c r="Q3085" t="str">
        <f>"$"</f>
        <v>$</v>
      </c>
      <c r="R3085" t="str">
        <f>"הזמנה"</f>
        <v>הזמנה</v>
      </c>
      <c r="S3085">
        <v>0</v>
      </c>
      <c r="T3085" s="2">
        <v>1708.56</v>
      </c>
      <c r="U3085">
        <v>0</v>
      </c>
      <c r="V3085" s="2">
        <v>1708.56</v>
      </c>
      <c r="W3085" t="str">
        <f>"$"</f>
        <v>$</v>
      </c>
      <c r="X3085">
        <v>0</v>
      </c>
      <c r="Y3085">
        <v>0</v>
      </c>
      <c r="Z3085">
        <v>0</v>
      </c>
      <c r="AA3085" t="str">
        <f>"Y"</f>
        <v>Y</v>
      </c>
      <c r="AB3085" t="str">
        <f>"SO20000338"</f>
        <v>SO20000338</v>
      </c>
      <c r="AC3085">
        <v>2</v>
      </c>
      <c r="AD3085" s="1">
        <v>44045</v>
      </c>
      <c r="AE3085" t="str">
        <f>"SH20001809"</f>
        <v>SH20001809</v>
      </c>
      <c r="AF3085" t="str">
        <f>"משלוחים ללקוח"</f>
        <v>משלוחים ללקוח</v>
      </c>
      <c r="AG3085" s="1">
        <v>44195</v>
      </c>
      <c r="AM3085" t="str">
        <f>"10"</f>
        <v>10</v>
      </c>
      <c r="AN3085" t="str">
        <f>"500000"</f>
        <v>500000</v>
      </c>
      <c r="AO3085" t="str">
        <f>"הכנסות  מלקוחות"</f>
        <v>הכנסות  מלקוחות</v>
      </c>
      <c r="AQ3085" t="str">
        <f>"034"</f>
        <v>034</v>
      </c>
      <c r="AR3085">
        <v>0</v>
      </c>
      <c r="AS3085">
        <v>0</v>
      </c>
      <c r="AT3085">
        <v>3.21</v>
      </c>
      <c r="AX3085" t="str">
        <f>"E000317820"</f>
        <v>E000317820</v>
      </c>
      <c r="BD3085" t="str">
        <f>"ערן שלו"</f>
        <v>ערן שלו</v>
      </c>
    </row>
    <row r="3086" spans="1:56" x14ac:dyDescent="0.3">
      <c r="A3086" s="1">
        <v>44196</v>
      </c>
      <c r="B3086" t="str">
        <f>"SI206001526"</f>
        <v>SI206001526</v>
      </c>
      <c r="C3086" t="str">
        <f>"PR20000531"</f>
        <v>PR20000531</v>
      </c>
      <c r="D3086" t="str">
        <f>"PR20000531"</f>
        <v>PR20000531</v>
      </c>
      <c r="E3086" t="str">
        <f>"Y"</f>
        <v>Y</v>
      </c>
      <c r="F3086" t="str">
        <f>"חשבוניות מרכזות"</f>
        <v>חשבוניות מרכזות</v>
      </c>
      <c r="G3086" t="str">
        <f>"700065"</f>
        <v>700065</v>
      </c>
      <c r="H3086" t="str">
        <f>"אלתא מערכות בע""מ"</f>
        <v>אלתא מערכות בע"מ</v>
      </c>
      <c r="I3086" t="str">
        <f>"10"</f>
        <v>10</v>
      </c>
      <c r="J3086" t="str">
        <f>"PA11T40005"</f>
        <v>PA11T40005</v>
      </c>
      <c r="K3086" t="str">
        <f>"בוט ישר ללא דבק 202K121-25-0"</f>
        <v>בוט ישר ללא דבק 202K121-25-0</v>
      </c>
      <c r="L3086">
        <v>144</v>
      </c>
      <c r="M3086" t="str">
        <f>"יח"</f>
        <v>יח</v>
      </c>
      <c r="N3086">
        <v>144</v>
      </c>
      <c r="O3086" t="str">
        <f>"יח"</f>
        <v>יח</v>
      </c>
      <c r="P3086">
        <v>2.31</v>
      </c>
      <c r="Q3086" t="str">
        <f>"$"</f>
        <v>$</v>
      </c>
      <c r="R3086" t="str">
        <f>"הזמנה"</f>
        <v>הזמנה</v>
      </c>
      <c r="S3086">
        <v>0</v>
      </c>
      <c r="T3086">
        <v>332.64</v>
      </c>
      <c r="U3086">
        <v>0</v>
      </c>
      <c r="V3086">
        <v>332.64</v>
      </c>
      <c r="W3086" t="str">
        <f>"$"</f>
        <v>$</v>
      </c>
      <c r="X3086">
        <v>0</v>
      </c>
      <c r="Y3086">
        <v>0</v>
      </c>
      <c r="Z3086">
        <v>0</v>
      </c>
      <c r="AA3086" t="str">
        <f>"Y"</f>
        <v>Y</v>
      </c>
      <c r="AB3086" t="str">
        <f>"SO20000338"</f>
        <v>SO20000338</v>
      </c>
      <c r="AC3086">
        <v>3</v>
      </c>
      <c r="AD3086" s="1">
        <v>44045</v>
      </c>
      <c r="AE3086" t="str">
        <f>"SH20001809"</f>
        <v>SH20001809</v>
      </c>
      <c r="AF3086" t="str">
        <f>"משלוחים ללקוח"</f>
        <v>משלוחים ללקוח</v>
      </c>
      <c r="AG3086" s="1">
        <v>44195</v>
      </c>
      <c r="AM3086" t="str">
        <f>"10"</f>
        <v>10</v>
      </c>
      <c r="AN3086" t="str">
        <f>"500000"</f>
        <v>500000</v>
      </c>
      <c r="AO3086" t="str">
        <f>"הכנסות  מלקוחות"</f>
        <v>הכנסות  מלקוחות</v>
      </c>
      <c r="AQ3086" t="str">
        <f>"034"</f>
        <v>034</v>
      </c>
      <c r="AR3086">
        <v>0</v>
      </c>
      <c r="AS3086">
        <v>0</v>
      </c>
      <c r="AT3086">
        <v>3.21</v>
      </c>
      <c r="AX3086" t="str">
        <f>"E000317820"</f>
        <v>E000317820</v>
      </c>
      <c r="BD3086" t="str">
        <f>"ערן שלו"</f>
        <v>ערן שלו</v>
      </c>
    </row>
    <row r="3087" spans="1:56" x14ac:dyDescent="0.3">
      <c r="A3087" s="1">
        <v>44196</v>
      </c>
      <c r="B3087" t="str">
        <f>"SI206001526"</f>
        <v>SI206001526</v>
      </c>
      <c r="C3087" t="str">
        <f>"PR20000531"</f>
        <v>PR20000531</v>
      </c>
      <c r="D3087" t="str">
        <f>"PR20000531"</f>
        <v>PR20000531</v>
      </c>
      <c r="E3087" t="str">
        <f>"Y"</f>
        <v>Y</v>
      </c>
      <c r="F3087" t="str">
        <f>"חשבוניות מרכזות"</f>
        <v>חשבוניות מרכזות</v>
      </c>
      <c r="G3087" t="str">
        <f>"700065"</f>
        <v>700065</v>
      </c>
      <c r="H3087" t="str">
        <f>"אלתא מערכות בע""מ"</f>
        <v>אלתא מערכות בע"מ</v>
      </c>
      <c r="I3087" t="str">
        <f>"10"</f>
        <v>10</v>
      </c>
      <c r="J3087" t="str">
        <f>"PA1000608"</f>
        <v>PA1000608</v>
      </c>
      <c r="K3087" t="str">
        <f>"מתאם לפלאג RQND-40AB-S-1506-SB"</f>
        <v>מתאם לפלאג RQND-40AB-S-1506-SB</v>
      </c>
      <c r="L3087">
        <v>1</v>
      </c>
      <c r="M3087" t="str">
        <f>"יח"</f>
        <v>יח</v>
      </c>
      <c r="N3087">
        <v>1</v>
      </c>
      <c r="O3087" t="str">
        <f>"יח"</f>
        <v>יח</v>
      </c>
      <c r="P3087" s="2">
        <v>1118.8800000000001</v>
      </c>
      <c r="Q3087" t="str">
        <f>"$"</f>
        <v>$</v>
      </c>
      <c r="R3087" t="str">
        <f>"הזמנה"</f>
        <v>הזמנה</v>
      </c>
      <c r="S3087">
        <v>0</v>
      </c>
      <c r="T3087" s="2">
        <v>1118.8800000000001</v>
      </c>
      <c r="U3087">
        <v>0</v>
      </c>
      <c r="V3087" s="2">
        <v>1118.8800000000001</v>
      </c>
      <c r="W3087" t="str">
        <f>"$"</f>
        <v>$</v>
      </c>
      <c r="X3087">
        <v>0</v>
      </c>
      <c r="Y3087">
        <v>0</v>
      </c>
      <c r="Z3087">
        <v>0</v>
      </c>
      <c r="AA3087" t="str">
        <f>"Y"</f>
        <v>Y</v>
      </c>
      <c r="AB3087" t="str">
        <f>"SO20000338"</f>
        <v>SO20000338</v>
      </c>
      <c r="AC3087">
        <v>4</v>
      </c>
      <c r="AD3087" s="1">
        <v>44045</v>
      </c>
      <c r="AE3087" t="str">
        <f>"SH20001809"</f>
        <v>SH20001809</v>
      </c>
      <c r="AF3087" t="str">
        <f>"משלוחים ללקוח"</f>
        <v>משלוחים ללקוח</v>
      </c>
      <c r="AG3087" s="1">
        <v>44195</v>
      </c>
      <c r="AM3087" t="str">
        <f>"10"</f>
        <v>10</v>
      </c>
      <c r="AN3087" t="str">
        <f>"500000"</f>
        <v>500000</v>
      </c>
      <c r="AO3087" t="str">
        <f>"הכנסות  מלקוחות"</f>
        <v>הכנסות  מלקוחות</v>
      </c>
      <c r="AQ3087" t="str">
        <f>"034"</f>
        <v>034</v>
      </c>
      <c r="AR3087">
        <v>0</v>
      </c>
      <c r="AS3087">
        <v>0</v>
      </c>
      <c r="AT3087">
        <v>3.21</v>
      </c>
      <c r="AX3087" t="str">
        <f>"E000317820"</f>
        <v>E000317820</v>
      </c>
      <c r="BD3087" t="str">
        <f>"ערן שלו"</f>
        <v>ערן שלו</v>
      </c>
    </row>
    <row r="3088" spans="1:56" x14ac:dyDescent="0.3">
      <c r="A3088" s="1">
        <v>44196</v>
      </c>
      <c r="B3088" t="str">
        <f>"SI206001526"</f>
        <v>SI206001526</v>
      </c>
      <c r="C3088" t="str">
        <f>"PR20000531"</f>
        <v>PR20000531</v>
      </c>
      <c r="D3088" t="str">
        <f>"PR20000531"</f>
        <v>PR20000531</v>
      </c>
      <c r="E3088" t="str">
        <f>"Y"</f>
        <v>Y</v>
      </c>
      <c r="F3088" t="str">
        <f>"חשבוניות מרכזות"</f>
        <v>חשבוניות מרכזות</v>
      </c>
      <c r="G3088" t="str">
        <f>"700065"</f>
        <v>700065</v>
      </c>
      <c r="H3088" t="str">
        <f>"אלתא מערכות בע""מ"</f>
        <v>אלתא מערכות בע"מ</v>
      </c>
      <c r="I3088" t="str">
        <f>"10"</f>
        <v>10</v>
      </c>
      <c r="J3088" t="str">
        <f>"PA1001556"</f>
        <v>PA1001556</v>
      </c>
      <c r="K3088" t="str">
        <f>"מחבר TV07RW15-4P"</f>
        <v>מחבר TV07RW15-4P</v>
      </c>
      <c r="L3088">
        <v>72</v>
      </c>
      <c r="M3088" t="str">
        <f>"יח"</f>
        <v>יח</v>
      </c>
      <c r="N3088">
        <v>72</v>
      </c>
      <c r="O3088" t="str">
        <f>"יח"</f>
        <v>יח</v>
      </c>
      <c r="P3088">
        <v>71.989999999999995</v>
      </c>
      <c r="Q3088" t="str">
        <f>"$"</f>
        <v>$</v>
      </c>
      <c r="R3088" t="str">
        <f>"הזמנה"</f>
        <v>הזמנה</v>
      </c>
      <c r="S3088">
        <v>0</v>
      </c>
      <c r="T3088" s="2">
        <v>5183.28</v>
      </c>
      <c r="U3088">
        <v>0</v>
      </c>
      <c r="V3088" s="2">
        <v>5183.28</v>
      </c>
      <c r="W3088" t="str">
        <f>"$"</f>
        <v>$</v>
      </c>
      <c r="X3088">
        <v>0</v>
      </c>
      <c r="Y3088">
        <v>0</v>
      </c>
      <c r="Z3088">
        <v>0</v>
      </c>
      <c r="AA3088" t="str">
        <f>"Y"</f>
        <v>Y</v>
      </c>
      <c r="AB3088" t="str">
        <f>"SO20000338"</f>
        <v>SO20000338</v>
      </c>
      <c r="AC3088">
        <v>5</v>
      </c>
      <c r="AD3088" s="1">
        <v>44045</v>
      </c>
      <c r="AE3088" t="str">
        <f>"SH20001809"</f>
        <v>SH20001809</v>
      </c>
      <c r="AF3088" t="str">
        <f>"משלוחים ללקוח"</f>
        <v>משלוחים ללקוח</v>
      </c>
      <c r="AG3088" s="1">
        <v>44195</v>
      </c>
      <c r="AM3088" t="str">
        <f>"10"</f>
        <v>10</v>
      </c>
      <c r="AN3088" t="str">
        <f>"500000"</f>
        <v>500000</v>
      </c>
      <c r="AO3088" t="str">
        <f>"הכנסות  מלקוחות"</f>
        <v>הכנסות  מלקוחות</v>
      </c>
      <c r="AQ3088" t="str">
        <f>"034"</f>
        <v>034</v>
      </c>
      <c r="AR3088">
        <v>0</v>
      </c>
      <c r="AS3088">
        <v>0</v>
      </c>
      <c r="AT3088">
        <v>3.21</v>
      </c>
      <c r="AX3088" t="str">
        <f>"E000317820"</f>
        <v>E000317820</v>
      </c>
      <c r="BD3088" t="str">
        <f>"ערן שלו"</f>
        <v>ערן שלו</v>
      </c>
    </row>
    <row r="3089" spans="1:56" x14ac:dyDescent="0.3">
      <c r="A3089" s="1">
        <v>44196</v>
      </c>
      <c r="B3089" t="str">
        <f>"SI206001526"</f>
        <v>SI206001526</v>
      </c>
      <c r="C3089" t="str">
        <f>"PR20000531"</f>
        <v>PR20000531</v>
      </c>
      <c r="D3089" t="str">
        <f>"PR20000531"</f>
        <v>PR20000531</v>
      </c>
      <c r="E3089" t="str">
        <f>"Y"</f>
        <v>Y</v>
      </c>
      <c r="F3089" t="str">
        <f>"חשבוניות מרכזות"</f>
        <v>חשבוניות מרכזות</v>
      </c>
      <c r="G3089" t="str">
        <f>"700065"</f>
        <v>700065</v>
      </c>
      <c r="H3089" t="str">
        <f>"אלתא מערכות בע""מ"</f>
        <v>אלתא מערכות בע"מ</v>
      </c>
      <c r="I3089" t="str">
        <f>"10"</f>
        <v>10</v>
      </c>
      <c r="J3089" t="str">
        <f>"PA1000585"</f>
        <v>PA1000585</v>
      </c>
      <c r="K3089" t="str">
        <f>"מתאם מסוכך RQND-40AB-S-1706-SB"</f>
        <v>מתאם מסוכך RQND-40AB-S-1706-SB</v>
      </c>
      <c r="L3089">
        <v>72</v>
      </c>
      <c r="M3089" t="str">
        <f>"יח"</f>
        <v>יח</v>
      </c>
      <c r="N3089">
        <v>72</v>
      </c>
      <c r="O3089" t="str">
        <f>"יח"</f>
        <v>יח</v>
      </c>
      <c r="P3089">
        <v>14.3</v>
      </c>
      <c r="Q3089" t="str">
        <f>"$"</f>
        <v>$</v>
      </c>
      <c r="R3089" t="str">
        <f>"הזמנה"</f>
        <v>הזמנה</v>
      </c>
      <c r="S3089">
        <v>0</v>
      </c>
      <c r="T3089" s="2">
        <v>1029.5999999999999</v>
      </c>
      <c r="U3089">
        <v>0</v>
      </c>
      <c r="V3089" s="2">
        <v>1029.5999999999999</v>
      </c>
      <c r="W3089" t="str">
        <f>"$"</f>
        <v>$</v>
      </c>
      <c r="X3089">
        <v>0</v>
      </c>
      <c r="Y3089">
        <v>0</v>
      </c>
      <c r="Z3089">
        <v>0</v>
      </c>
      <c r="AA3089" t="str">
        <f>"Y"</f>
        <v>Y</v>
      </c>
      <c r="AB3089" t="str">
        <f>"SO20000338"</f>
        <v>SO20000338</v>
      </c>
      <c r="AC3089">
        <v>6</v>
      </c>
      <c r="AD3089" s="1">
        <v>44045</v>
      </c>
      <c r="AE3089" t="str">
        <f>"SH20001809"</f>
        <v>SH20001809</v>
      </c>
      <c r="AF3089" t="str">
        <f>"משלוחים ללקוח"</f>
        <v>משלוחים ללקוח</v>
      </c>
      <c r="AG3089" s="1">
        <v>44195</v>
      </c>
      <c r="AM3089" t="str">
        <f>"10"</f>
        <v>10</v>
      </c>
      <c r="AN3089" t="str">
        <f>"500000"</f>
        <v>500000</v>
      </c>
      <c r="AO3089" t="str">
        <f>"הכנסות  מלקוחות"</f>
        <v>הכנסות  מלקוחות</v>
      </c>
      <c r="AQ3089" t="str">
        <f>"034"</f>
        <v>034</v>
      </c>
      <c r="AR3089">
        <v>0</v>
      </c>
      <c r="AS3089">
        <v>0</v>
      </c>
      <c r="AT3089">
        <v>3.21</v>
      </c>
      <c r="AX3089" t="str">
        <f>"E000317820"</f>
        <v>E000317820</v>
      </c>
      <c r="BD3089" t="str">
        <f>"ערן שלו"</f>
        <v>ערן שלו</v>
      </c>
    </row>
    <row r="3090" spans="1:56" x14ac:dyDescent="0.3">
      <c r="A3090" s="1">
        <v>44196</v>
      </c>
      <c r="B3090" t="str">
        <f>"SI206001525"</f>
        <v>SI206001525</v>
      </c>
      <c r="E3090" t="str">
        <f>"Y"</f>
        <v>Y</v>
      </c>
      <c r="F3090" t="str">
        <f>"חשבוניות מרכזות"</f>
        <v>חשבוניות מרכזות</v>
      </c>
      <c r="G3090" t="str">
        <f>"700065"</f>
        <v>700065</v>
      </c>
      <c r="H3090" t="str">
        <f>"אלתא מערכות בע""מ"</f>
        <v>אלתא מערכות בע"מ</v>
      </c>
      <c r="I3090" t="str">
        <f>"10"</f>
        <v>10</v>
      </c>
      <c r="J3090" t="str">
        <f>"OP-AR01025"</f>
        <v>OP-AR01025</v>
      </c>
      <c r="K3090" t="str">
        <f>"BATTERY BOX 1039V520-001"</f>
        <v>BATTERY BOX 1039V520-001</v>
      </c>
      <c r="L3090">
        <v>2</v>
      </c>
      <c r="M3090" t="str">
        <f>"יח"</f>
        <v>יח</v>
      </c>
      <c r="N3090">
        <v>2</v>
      </c>
      <c r="O3090" t="str">
        <f>"יח"</f>
        <v>יח</v>
      </c>
      <c r="P3090" s="2">
        <v>5750</v>
      </c>
      <c r="Q3090" t="str">
        <f>"$"</f>
        <v>$</v>
      </c>
      <c r="R3090" t="str">
        <f>"הזמנה"</f>
        <v>הזמנה</v>
      </c>
      <c r="S3090">
        <v>0</v>
      </c>
      <c r="T3090" s="2">
        <v>11500</v>
      </c>
      <c r="U3090">
        <v>0</v>
      </c>
      <c r="V3090" s="2">
        <v>11500</v>
      </c>
      <c r="W3090" t="str">
        <f>"$"</f>
        <v>$</v>
      </c>
      <c r="X3090">
        <v>0</v>
      </c>
      <c r="Y3090">
        <v>0</v>
      </c>
      <c r="Z3090">
        <v>0</v>
      </c>
      <c r="AA3090" t="str">
        <f>"Y"</f>
        <v>Y</v>
      </c>
      <c r="AB3090" t="str">
        <f>"SO20000119"</f>
        <v>SO20000119</v>
      </c>
      <c r="AC3090">
        <v>1</v>
      </c>
      <c r="AD3090" s="1">
        <v>43916</v>
      </c>
      <c r="AE3090" t="str">
        <f>"SH20001812"</f>
        <v>SH20001812</v>
      </c>
      <c r="AF3090" t="str">
        <f>"משלוחים ללקוח"</f>
        <v>משלוחים ללקוח</v>
      </c>
      <c r="AG3090" s="1">
        <v>44196</v>
      </c>
      <c r="AM3090" t="str">
        <f>"10"</f>
        <v>10</v>
      </c>
      <c r="AN3090" t="str">
        <f>"500000"</f>
        <v>500000</v>
      </c>
      <c r="AO3090" t="str">
        <f>"הכנסות  מלקוחות"</f>
        <v>הכנסות  מלקוחות</v>
      </c>
      <c r="AQ3090" t="str">
        <f>"034"</f>
        <v>034</v>
      </c>
      <c r="AR3090">
        <v>0</v>
      </c>
      <c r="AS3090">
        <v>0</v>
      </c>
      <c r="AT3090">
        <v>3.21</v>
      </c>
      <c r="AX3090" t="str">
        <f>"E000308667"</f>
        <v>E000308667</v>
      </c>
      <c r="BD3090" t="str">
        <f>"ערן שלו"</f>
        <v>ערן שלו</v>
      </c>
    </row>
    <row r="3091" spans="1:56" x14ac:dyDescent="0.3">
      <c r="A3091" s="1">
        <v>44196</v>
      </c>
      <c r="B3091" t="str">
        <f>"SI206001525"</f>
        <v>SI206001525</v>
      </c>
      <c r="E3091" t="str">
        <f>"Y"</f>
        <v>Y</v>
      </c>
      <c r="F3091" t="str">
        <f>"חשבוניות מרכזות"</f>
        <v>חשבוניות מרכזות</v>
      </c>
      <c r="G3091" t="str">
        <f>"700065"</f>
        <v>700065</v>
      </c>
      <c r="H3091" t="str">
        <f>"אלתא מערכות בע""מ"</f>
        <v>אלתא מערכות בע"מ</v>
      </c>
      <c r="I3091" t="str">
        <f>"10"</f>
        <v>10</v>
      </c>
      <c r="J3091" t="str">
        <f>"OP-AR09105-1"</f>
        <v>OP-AR09105-1</v>
      </c>
      <c r="K3091" t="str">
        <f>"לוח ARMY מק""ט לקוח 1036V310-001"</f>
        <v>לוח ARMY מק"ט לקוח 1036V310-001</v>
      </c>
      <c r="L3091">
        <v>1</v>
      </c>
      <c r="M3091" t="str">
        <f>"יח"</f>
        <v>יח</v>
      </c>
      <c r="N3091">
        <v>1</v>
      </c>
      <c r="O3091" t="str">
        <f>"יח"</f>
        <v>יח</v>
      </c>
      <c r="P3091" s="2">
        <v>39948</v>
      </c>
      <c r="Q3091" t="str">
        <f>"$"</f>
        <v>$</v>
      </c>
      <c r="R3091" t="str">
        <f>"הזמנה"</f>
        <v>הזמנה</v>
      </c>
      <c r="S3091">
        <v>0</v>
      </c>
      <c r="T3091" s="2">
        <v>39948</v>
      </c>
      <c r="U3091">
        <v>0</v>
      </c>
      <c r="V3091" s="2">
        <v>39948</v>
      </c>
      <c r="W3091" t="str">
        <f>"$"</f>
        <v>$</v>
      </c>
      <c r="X3091">
        <v>0</v>
      </c>
      <c r="Y3091">
        <v>0</v>
      </c>
      <c r="Z3091">
        <v>0</v>
      </c>
      <c r="AA3091" t="str">
        <f>"Y"</f>
        <v>Y</v>
      </c>
      <c r="AB3091" t="str">
        <f>"SO20000119"</f>
        <v>SO20000119</v>
      </c>
      <c r="AC3091">
        <v>2</v>
      </c>
      <c r="AD3091" s="1">
        <v>43916</v>
      </c>
      <c r="AE3091" t="str">
        <f>"SH20001812"</f>
        <v>SH20001812</v>
      </c>
      <c r="AF3091" t="str">
        <f>"משלוחים ללקוח"</f>
        <v>משלוחים ללקוח</v>
      </c>
      <c r="AG3091" s="1">
        <v>44196</v>
      </c>
      <c r="AM3091" t="str">
        <f>"10"</f>
        <v>10</v>
      </c>
      <c r="AN3091" t="str">
        <f>"500000"</f>
        <v>500000</v>
      </c>
      <c r="AO3091" t="str">
        <f>"הכנסות  מלקוחות"</f>
        <v>הכנסות  מלקוחות</v>
      </c>
      <c r="AQ3091" t="str">
        <f>"034"</f>
        <v>034</v>
      </c>
      <c r="AR3091">
        <v>0</v>
      </c>
      <c r="AS3091">
        <v>0</v>
      </c>
      <c r="AT3091">
        <v>3.21</v>
      </c>
      <c r="AX3091" t="str">
        <f>"E000308667"</f>
        <v>E000308667</v>
      </c>
      <c r="BD3091" t="str">
        <f>"ערן שלו"</f>
        <v>ערן שלו</v>
      </c>
    </row>
    <row r="3092" spans="1:56" x14ac:dyDescent="0.3">
      <c r="A3092" s="1">
        <v>44196</v>
      </c>
      <c r="B3092" t="str">
        <f>"SI206001525"</f>
        <v>SI206001525</v>
      </c>
      <c r="E3092" t="str">
        <f>"Y"</f>
        <v>Y</v>
      </c>
      <c r="F3092" t="str">
        <f>"חשבוניות מרכזות"</f>
        <v>חשבוניות מרכזות</v>
      </c>
      <c r="G3092" t="str">
        <f>"700065"</f>
        <v>700065</v>
      </c>
      <c r="H3092" t="str">
        <f>"אלתא מערכות בע""מ"</f>
        <v>אלתא מערכות בע"מ</v>
      </c>
      <c r="I3092" t="str">
        <f>"10"</f>
        <v>10</v>
      </c>
      <c r="J3092" t="str">
        <f>"OP-AR09105-1"</f>
        <v>OP-AR09105-1</v>
      </c>
      <c r="K3092" t="str">
        <f>"לוח ARMY מק""ט לקוח 1036V310-001"</f>
        <v>לוח ARMY מק"ט לקוח 1036V310-001</v>
      </c>
      <c r="L3092">
        <v>1</v>
      </c>
      <c r="M3092" t="str">
        <f>"יח"</f>
        <v>יח</v>
      </c>
      <c r="N3092">
        <v>1</v>
      </c>
      <c r="O3092" t="str">
        <f>"יח"</f>
        <v>יח</v>
      </c>
      <c r="P3092" s="2">
        <v>39948</v>
      </c>
      <c r="Q3092" t="str">
        <f>"$"</f>
        <v>$</v>
      </c>
      <c r="R3092" t="str">
        <f>"הזמנה"</f>
        <v>הזמנה</v>
      </c>
      <c r="S3092">
        <v>0</v>
      </c>
      <c r="T3092" s="2">
        <v>39948</v>
      </c>
      <c r="U3092">
        <v>0</v>
      </c>
      <c r="V3092" s="2">
        <v>39948</v>
      </c>
      <c r="W3092" t="str">
        <f>"$"</f>
        <v>$</v>
      </c>
      <c r="X3092">
        <v>0</v>
      </c>
      <c r="Y3092">
        <v>0</v>
      </c>
      <c r="Z3092">
        <v>0</v>
      </c>
      <c r="AA3092" t="str">
        <f>"Y"</f>
        <v>Y</v>
      </c>
      <c r="AB3092" t="str">
        <f>"SO20000119"</f>
        <v>SO20000119</v>
      </c>
      <c r="AC3092">
        <v>3</v>
      </c>
      <c r="AD3092" s="1">
        <v>43916</v>
      </c>
      <c r="AE3092" t="str">
        <f>"SH20001812"</f>
        <v>SH20001812</v>
      </c>
      <c r="AF3092" t="str">
        <f>"משלוחים ללקוח"</f>
        <v>משלוחים ללקוח</v>
      </c>
      <c r="AG3092" s="1">
        <v>44196</v>
      </c>
      <c r="AM3092" t="str">
        <f>"10"</f>
        <v>10</v>
      </c>
      <c r="AN3092" t="str">
        <f>"500000"</f>
        <v>500000</v>
      </c>
      <c r="AO3092" t="str">
        <f>"הכנסות  מלקוחות"</f>
        <v>הכנסות  מלקוחות</v>
      </c>
      <c r="AQ3092" t="str">
        <f>"034"</f>
        <v>034</v>
      </c>
      <c r="AR3092">
        <v>0</v>
      </c>
      <c r="AS3092">
        <v>0</v>
      </c>
      <c r="AT3092">
        <v>3.21</v>
      </c>
      <c r="AX3092" t="str">
        <f>"E000308667"</f>
        <v>E000308667</v>
      </c>
      <c r="BD3092" t="str">
        <f>"ערן שלו"</f>
        <v>ערן שלו</v>
      </c>
    </row>
    <row r="3093" spans="1:56" x14ac:dyDescent="0.3">
      <c r="A3093" s="1">
        <v>44196</v>
      </c>
      <c r="B3093" t="str">
        <f>"SI206001525"</f>
        <v>SI206001525</v>
      </c>
      <c r="E3093" t="str">
        <f>"Y"</f>
        <v>Y</v>
      </c>
      <c r="F3093" t="str">
        <f>"חשבוניות מרכזות"</f>
        <v>חשבוניות מרכזות</v>
      </c>
      <c r="G3093" t="str">
        <f>"700065"</f>
        <v>700065</v>
      </c>
      <c r="H3093" t="str">
        <f>"אלתא מערכות בע""מ"</f>
        <v>אלתא מערכות בע"מ</v>
      </c>
      <c r="I3093" t="str">
        <f>"10"</f>
        <v>10</v>
      </c>
      <c r="J3093" t="str">
        <f>"OP-AR09107-1"</f>
        <v>OP-AR09107-1</v>
      </c>
      <c r="K3093" t="str">
        <f>"לוח AUX BOX מק""ט לקוח 1036V320 001"</f>
        <v>לוח AUX BOX מק"ט לקוח 1036V320 001</v>
      </c>
      <c r="L3093">
        <v>1</v>
      </c>
      <c r="M3093" t="str">
        <f>"יח"</f>
        <v>יח</v>
      </c>
      <c r="N3093">
        <v>1</v>
      </c>
      <c r="O3093" t="str">
        <f>"יח"</f>
        <v>יח</v>
      </c>
      <c r="P3093" s="2">
        <v>27792</v>
      </c>
      <c r="Q3093" t="str">
        <f>"$"</f>
        <v>$</v>
      </c>
      <c r="R3093" t="str">
        <f>"הזמנה"</f>
        <v>הזמנה</v>
      </c>
      <c r="S3093">
        <v>0</v>
      </c>
      <c r="T3093" s="2">
        <v>27792</v>
      </c>
      <c r="U3093">
        <v>0</v>
      </c>
      <c r="V3093" s="2">
        <v>27792</v>
      </c>
      <c r="W3093" t="str">
        <f>"$"</f>
        <v>$</v>
      </c>
      <c r="X3093">
        <v>0</v>
      </c>
      <c r="Y3093">
        <v>0</v>
      </c>
      <c r="Z3093">
        <v>0</v>
      </c>
      <c r="AA3093" t="str">
        <f>"Y"</f>
        <v>Y</v>
      </c>
      <c r="AB3093" t="str">
        <f>"SO20000119"</f>
        <v>SO20000119</v>
      </c>
      <c r="AC3093">
        <v>4</v>
      </c>
      <c r="AD3093" s="1">
        <v>43916</v>
      </c>
      <c r="AE3093" t="str">
        <f>"SH20001812"</f>
        <v>SH20001812</v>
      </c>
      <c r="AF3093" t="str">
        <f>"משלוחים ללקוח"</f>
        <v>משלוחים ללקוח</v>
      </c>
      <c r="AG3093" s="1">
        <v>44196</v>
      </c>
      <c r="AM3093" t="str">
        <f>"10"</f>
        <v>10</v>
      </c>
      <c r="AN3093" t="str">
        <f>"500000"</f>
        <v>500000</v>
      </c>
      <c r="AO3093" t="str">
        <f>"הכנסות  מלקוחות"</f>
        <v>הכנסות  מלקוחות</v>
      </c>
      <c r="AQ3093" t="str">
        <f>"034"</f>
        <v>034</v>
      </c>
      <c r="AR3093">
        <v>0</v>
      </c>
      <c r="AS3093">
        <v>0</v>
      </c>
      <c r="AT3093">
        <v>3.21</v>
      </c>
      <c r="AX3093" t="str">
        <f>"E000308667"</f>
        <v>E000308667</v>
      </c>
      <c r="BD3093" t="str">
        <f>"ערן שלו"</f>
        <v>ערן שלו</v>
      </c>
    </row>
    <row r="3094" spans="1:56" x14ac:dyDescent="0.3">
      <c r="A3094" s="1">
        <v>44196</v>
      </c>
      <c r="B3094" t="str">
        <f>"SI206001525"</f>
        <v>SI206001525</v>
      </c>
      <c r="E3094" t="str">
        <f>"Y"</f>
        <v>Y</v>
      </c>
      <c r="F3094" t="str">
        <f>"חשבוניות מרכזות"</f>
        <v>חשבוניות מרכזות</v>
      </c>
      <c r="G3094" t="str">
        <f>"700065"</f>
        <v>700065</v>
      </c>
      <c r="H3094" t="str">
        <f>"אלתא מערכות בע""מ"</f>
        <v>אלתא מערכות בע"מ</v>
      </c>
      <c r="I3094" t="str">
        <f>"10"</f>
        <v>10</v>
      </c>
      <c r="J3094" t="str">
        <f>"OP-AR09107-1"</f>
        <v>OP-AR09107-1</v>
      </c>
      <c r="K3094" t="str">
        <f>"לוח AUX BOX מק""ט לקוח 1036V320 001"</f>
        <v>לוח AUX BOX מק"ט לקוח 1036V320 001</v>
      </c>
      <c r="L3094">
        <v>1</v>
      </c>
      <c r="M3094" t="str">
        <f>"יח"</f>
        <v>יח</v>
      </c>
      <c r="N3094">
        <v>1</v>
      </c>
      <c r="O3094" t="str">
        <f>"יח"</f>
        <v>יח</v>
      </c>
      <c r="P3094" s="2">
        <v>27792</v>
      </c>
      <c r="Q3094" t="str">
        <f>"$"</f>
        <v>$</v>
      </c>
      <c r="R3094" t="str">
        <f>"הזמנה"</f>
        <v>הזמנה</v>
      </c>
      <c r="S3094">
        <v>0</v>
      </c>
      <c r="T3094" s="2">
        <v>27792</v>
      </c>
      <c r="U3094">
        <v>0</v>
      </c>
      <c r="V3094" s="2">
        <v>27792</v>
      </c>
      <c r="W3094" t="str">
        <f>"$"</f>
        <v>$</v>
      </c>
      <c r="X3094">
        <v>0</v>
      </c>
      <c r="Y3094">
        <v>0</v>
      </c>
      <c r="Z3094">
        <v>0</v>
      </c>
      <c r="AA3094" t="str">
        <f>"Y"</f>
        <v>Y</v>
      </c>
      <c r="AB3094" t="str">
        <f>"SO20000119"</f>
        <v>SO20000119</v>
      </c>
      <c r="AC3094">
        <v>5</v>
      </c>
      <c r="AD3094" s="1">
        <v>43916</v>
      </c>
      <c r="AE3094" t="str">
        <f>"SH20001812"</f>
        <v>SH20001812</v>
      </c>
      <c r="AF3094" t="str">
        <f>"משלוחים ללקוח"</f>
        <v>משלוחים ללקוח</v>
      </c>
      <c r="AG3094" s="1">
        <v>44196</v>
      </c>
      <c r="AM3094" t="str">
        <f>"10"</f>
        <v>10</v>
      </c>
      <c r="AN3094" t="str">
        <f>"500000"</f>
        <v>500000</v>
      </c>
      <c r="AO3094" t="str">
        <f>"הכנסות  מלקוחות"</f>
        <v>הכנסות  מלקוחות</v>
      </c>
      <c r="AQ3094" t="str">
        <f>"034"</f>
        <v>034</v>
      </c>
      <c r="AR3094">
        <v>0</v>
      </c>
      <c r="AS3094">
        <v>0</v>
      </c>
      <c r="AT3094">
        <v>3.21</v>
      </c>
      <c r="AX3094" t="str">
        <f>"E000308667"</f>
        <v>E000308667</v>
      </c>
      <c r="BD3094" t="str">
        <f>"ערן שלו"</f>
        <v>ערן שלו</v>
      </c>
    </row>
    <row r="3095" spans="1:56" x14ac:dyDescent="0.3">
      <c r="A3095" s="1">
        <v>44195</v>
      </c>
      <c r="B3095" t="str">
        <f>"SI206001510"</f>
        <v>SI206001510</v>
      </c>
      <c r="C3095" t="str">
        <f>"PR20000522"</f>
        <v>PR20000522</v>
      </c>
      <c r="E3095" t="str">
        <f>"Y"</f>
        <v>Y</v>
      </c>
      <c r="F3095" t="str">
        <f>"חשבוניות מרכזות"</f>
        <v>חשבוניות מרכזות</v>
      </c>
      <c r="G3095" t="str">
        <f>"700065"</f>
        <v>700065</v>
      </c>
      <c r="H3095" t="str">
        <f>"אלתא מערכות בע""מ"</f>
        <v>אלתא מערכות בע"מ</v>
      </c>
      <c r="I3095" t="str">
        <f>"10"</f>
        <v>10</v>
      </c>
      <c r="J3095" t="str">
        <f>"OP-AR01943"</f>
        <v>OP-AR01943</v>
      </c>
      <c r="K3095" t="str">
        <f>"1035E115-001 - ETHERNET CABLE W0115"</f>
        <v>1035E115-001 - ETHERNET CABLE W0115</v>
      </c>
      <c r="L3095">
        <v>1</v>
      </c>
      <c r="M3095" t="str">
        <f>"יח"</f>
        <v>יח</v>
      </c>
      <c r="N3095">
        <v>1</v>
      </c>
      <c r="O3095" t="str">
        <f>"יח"</f>
        <v>יח</v>
      </c>
      <c r="P3095" s="2">
        <v>2190.4899999999998</v>
      </c>
      <c r="Q3095" t="str">
        <f>"$"</f>
        <v>$</v>
      </c>
      <c r="R3095" t="str">
        <f>"הזמנה"</f>
        <v>הזמנה</v>
      </c>
      <c r="S3095">
        <v>0</v>
      </c>
      <c r="T3095" s="2">
        <v>2190.4899999999998</v>
      </c>
      <c r="U3095">
        <v>0</v>
      </c>
      <c r="V3095" s="2">
        <v>2190.4899999999998</v>
      </c>
      <c r="W3095" t="str">
        <f>"$"</f>
        <v>$</v>
      </c>
      <c r="X3095">
        <v>0</v>
      </c>
      <c r="Y3095">
        <v>0</v>
      </c>
      <c r="Z3095">
        <v>0</v>
      </c>
      <c r="AA3095" t="str">
        <f>"Y"</f>
        <v>Y</v>
      </c>
      <c r="AB3095" t="str">
        <f>"SO20000333"</f>
        <v>SO20000333</v>
      </c>
      <c r="AC3095">
        <v>1</v>
      </c>
      <c r="AD3095" s="1">
        <v>44039</v>
      </c>
      <c r="AE3095" t="str">
        <f>"SH20001788"</f>
        <v>SH20001788</v>
      </c>
      <c r="AF3095" t="str">
        <f>"משלוחים ללקוח"</f>
        <v>משלוחים ללקוח</v>
      </c>
      <c r="AG3095" s="1">
        <v>44193</v>
      </c>
      <c r="AM3095" t="str">
        <f>"10"</f>
        <v>10</v>
      </c>
      <c r="AN3095" t="str">
        <f>"500000"</f>
        <v>500000</v>
      </c>
      <c r="AO3095" t="str">
        <f>"הכנסות  מלקוחות"</f>
        <v>הכנסות  מלקוחות</v>
      </c>
      <c r="AQ3095" t="str">
        <f>"034"</f>
        <v>034</v>
      </c>
      <c r="AR3095">
        <v>0</v>
      </c>
      <c r="AS3095">
        <v>0</v>
      </c>
      <c r="AT3095">
        <v>3.2120000000000002</v>
      </c>
      <c r="AX3095" t="str">
        <f>"E000317706"</f>
        <v>E000317706</v>
      </c>
      <c r="BD3095" t="str">
        <f>"ערן שלו"</f>
        <v>ערן שלו</v>
      </c>
    </row>
    <row r="3096" spans="1:56" x14ac:dyDescent="0.3">
      <c r="A3096" s="1">
        <v>44194</v>
      </c>
      <c r="B3096" t="str">
        <f>"CR207000110"</f>
        <v>CR207000110</v>
      </c>
      <c r="C3096" t="str">
        <f>"PR20000121"</f>
        <v>PR20000121</v>
      </c>
      <c r="D3096" t="str">
        <f>"PR20000121"</f>
        <v>PR20000121</v>
      </c>
      <c r="E3096" t="str">
        <f>"Y"</f>
        <v>Y</v>
      </c>
      <c r="F3096" t="str">
        <f>"חשבוניות זיכוי"</f>
        <v>חשבוניות זיכוי</v>
      </c>
      <c r="G3096" t="str">
        <f>"700065"</f>
        <v>700065</v>
      </c>
      <c r="H3096" t="str">
        <f>"אלתא מערכות בע""מ"</f>
        <v>אלתא מערכות בע"מ</v>
      </c>
      <c r="I3096" t="str">
        <f>"01"</f>
        <v>01</v>
      </c>
      <c r="J3096" t="str">
        <f>"999"</f>
        <v>999</v>
      </c>
      <c r="K3096" t="str">
        <f>"חיוב בגין הפרשים שנבעו מח-ן SI206000959"</f>
        <v>חיוב בגין הפרשים שנבעו מח-ן SI206000959</v>
      </c>
      <c r="L3096">
        <v>1</v>
      </c>
      <c r="M3096" t="str">
        <f>"חל"</f>
        <v>חל</v>
      </c>
      <c r="N3096">
        <v>1</v>
      </c>
      <c r="O3096" t="str">
        <f>"חל"</f>
        <v>חל</v>
      </c>
      <c r="P3096">
        <v>116.9</v>
      </c>
      <c r="Q3096" t="str">
        <f>"$"</f>
        <v>$</v>
      </c>
      <c r="R3096" t="str">
        <f>"הזמנה"</f>
        <v>הזמנה</v>
      </c>
      <c r="S3096">
        <v>0</v>
      </c>
      <c r="T3096">
        <v>116.9</v>
      </c>
      <c r="U3096">
        <v>0</v>
      </c>
      <c r="V3096">
        <v>116.9</v>
      </c>
      <c r="W3096" t="str">
        <f>"$"</f>
        <v>$</v>
      </c>
      <c r="X3096">
        <v>0</v>
      </c>
      <c r="Y3096">
        <v>0</v>
      </c>
      <c r="Z3096">
        <v>0</v>
      </c>
      <c r="AA3096" t="str">
        <f>"Y"</f>
        <v>Y</v>
      </c>
      <c r="AB3096" t="str">
        <f>"SO20000102"</f>
        <v>SO20000102</v>
      </c>
      <c r="AC3096">
        <v>5</v>
      </c>
      <c r="AD3096" s="1">
        <v>43899</v>
      </c>
      <c r="AM3096" t="str">
        <f>"10"</f>
        <v>10</v>
      </c>
      <c r="AN3096" t="str">
        <f>"500000"</f>
        <v>500000</v>
      </c>
      <c r="AO3096" t="str">
        <f>"הכנסות  מלקוחות"</f>
        <v>הכנסות  מלקוחות</v>
      </c>
      <c r="AQ3096" t="str">
        <f>"030"</f>
        <v>030</v>
      </c>
      <c r="AR3096">
        <v>0</v>
      </c>
      <c r="AS3096">
        <v>0</v>
      </c>
      <c r="AT3096">
        <v>3.46698</v>
      </c>
      <c r="AX3096" t="str">
        <f>"E000305067"</f>
        <v>E000305067</v>
      </c>
      <c r="BD3096" t="str">
        <f>"דוד דהן"</f>
        <v>דוד דהן</v>
      </c>
    </row>
    <row r="3097" spans="1:56" x14ac:dyDescent="0.3">
      <c r="A3097" s="1">
        <v>44193</v>
      </c>
      <c r="B3097" t="str">
        <f>"SI206001499"</f>
        <v>SI206001499</v>
      </c>
      <c r="C3097" t="str">
        <f>"PR20000533"</f>
        <v>PR20000533</v>
      </c>
      <c r="E3097" t="str">
        <f>"Y"</f>
        <v>Y</v>
      </c>
      <c r="F3097" t="str">
        <f>"חשבוניות מרכזות"</f>
        <v>חשבוניות מרכזות</v>
      </c>
      <c r="G3097" t="str">
        <f>"700065"</f>
        <v>700065</v>
      </c>
      <c r="H3097" t="str">
        <f>"אלתא מערכות בע""מ"</f>
        <v>אלתא מערכות בע"מ</v>
      </c>
      <c r="I3097" t="str">
        <f>"10"</f>
        <v>10</v>
      </c>
      <c r="J3097" t="str">
        <f>"OP-AR01960"</f>
        <v>OP-AR01960</v>
      </c>
      <c r="K3097" t="str">
        <f>"NRE FOR E000316766"</f>
        <v>NRE FOR E000316766</v>
      </c>
      <c r="L3097">
        <v>-1</v>
      </c>
      <c r="M3097" t="str">
        <f>"יח"</f>
        <v>יח</v>
      </c>
      <c r="N3097">
        <v>-1</v>
      </c>
      <c r="O3097" t="str">
        <f>"יח"</f>
        <v>יח</v>
      </c>
      <c r="P3097" s="2">
        <v>2043.07</v>
      </c>
      <c r="Q3097" t="str">
        <f>"$"</f>
        <v>$</v>
      </c>
      <c r="R3097" t="str">
        <f>"הזמנה"</f>
        <v>הזמנה</v>
      </c>
      <c r="S3097">
        <v>0</v>
      </c>
      <c r="T3097" s="2">
        <v>-2043.07</v>
      </c>
      <c r="U3097">
        <v>0</v>
      </c>
      <c r="V3097" s="2">
        <v>-2043.07</v>
      </c>
      <c r="W3097" t="str">
        <f>"$"</f>
        <v>$</v>
      </c>
      <c r="X3097">
        <v>0</v>
      </c>
      <c r="Y3097">
        <v>0</v>
      </c>
      <c r="Z3097">
        <v>0</v>
      </c>
      <c r="AA3097" t="str">
        <f>"Y"</f>
        <v>Y</v>
      </c>
      <c r="AC3097">
        <v>0</v>
      </c>
      <c r="AM3097" t="str">
        <f>"10"</f>
        <v>10</v>
      </c>
      <c r="AN3097" t="str">
        <f>"500000"</f>
        <v>500000</v>
      </c>
      <c r="AO3097" t="str">
        <f>"הכנסות  מלקוחות"</f>
        <v>הכנסות  מלקוחות</v>
      </c>
      <c r="AQ3097" t="str">
        <f>"034"</f>
        <v>034</v>
      </c>
      <c r="AR3097">
        <v>0</v>
      </c>
      <c r="AS3097">
        <v>0</v>
      </c>
      <c r="AT3097">
        <v>3.218</v>
      </c>
      <c r="BB3097" t="str">
        <f>"Y"</f>
        <v>Y</v>
      </c>
      <c r="BD3097" t="str">
        <f>"ערן שלו"</f>
        <v>ערן שלו</v>
      </c>
    </row>
    <row r="3098" spans="1:56" x14ac:dyDescent="0.3">
      <c r="A3098" s="1">
        <v>44193</v>
      </c>
      <c r="B3098" t="str">
        <f>"SI206001495"</f>
        <v>SI206001495</v>
      </c>
      <c r="C3098" t="str">
        <f>"PR18000543"</f>
        <v>PR18000543</v>
      </c>
      <c r="E3098" t="str">
        <f>"Y"</f>
        <v>Y</v>
      </c>
      <c r="F3098" t="str">
        <f>"חשבוניות מרכזות"</f>
        <v>חשבוניות מרכזות</v>
      </c>
      <c r="G3098" t="str">
        <f>"700065"</f>
        <v>700065</v>
      </c>
      <c r="H3098" t="str">
        <f>"אלתא מערכות בע""מ"</f>
        <v>אלתא מערכות בע"מ</v>
      </c>
      <c r="I3098" t="str">
        <f>"10"</f>
        <v>10</v>
      </c>
      <c r="J3098" t="str">
        <f>"OP-AR01083"</f>
        <v>OP-AR01083</v>
      </c>
      <c r="K3098" t="str">
        <f>"1036C960-001 HVJB_N"</f>
        <v>1036C960-001 HVJB_N</v>
      </c>
      <c r="L3098">
        <v>6</v>
      </c>
      <c r="M3098" t="str">
        <f>"יח"</f>
        <v>יח</v>
      </c>
      <c r="N3098">
        <v>6</v>
      </c>
      <c r="O3098" t="str">
        <f>"יח"</f>
        <v>יח</v>
      </c>
      <c r="P3098" s="2">
        <v>6000</v>
      </c>
      <c r="Q3098" t="str">
        <f>"$"</f>
        <v>$</v>
      </c>
      <c r="R3098" t="str">
        <f>"הזמנה"</f>
        <v>הזמנה</v>
      </c>
      <c r="S3098">
        <v>0</v>
      </c>
      <c r="T3098" s="2">
        <v>36000</v>
      </c>
      <c r="U3098">
        <v>0</v>
      </c>
      <c r="V3098" s="2">
        <v>36000</v>
      </c>
      <c r="W3098" t="str">
        <f>"$"</f>
        <v>$</v>
      </c>
      <c r="X3098">
        <v>0</v>
      </c>
      <c r="Y3098">
        <v>0</v>
      </c>
      <c r="Z3098">
        <v>0</v>
      </c>
      <c r="AA3098" t="str">
        <f>"Y"</f>
        <v>Y</v>
      </c>
      <c r="AB3098" t="str">
        <f>"SO19000320"</f>
        <v>SO19000320</v>
      </c>
      <c r="AC3098">
        <v>6</v>
      </c>
      <c r="AD3098" s="1">
        <v>43667</v>
      </c>
      <c r="AE3098" t="str">
        <f>"SH20001758"</f>
        <v>SH20001758</v>
      </c>
      <c r="AF3098" t="str">
        <f>"משלוחים ללקוח"</f>
        <v>משלוחים ללקוח</v>
      </c>
      <c r="AG3098" s="1">
        <v>44188</v>
      </c>
      <c r="AM3098" t="str">
        <f>"10"</f>
        <v>10</v>
      </c>
      <c r="AN3098" t="str">
        <f>"500000"</f>
        <v>500000</v>
      </c>
      <c r="AO3098" t="str">
        <f>"הכנסות  מלקוחות"</f>
        <v>הכנסות  מלקוחות</v>
      </c>
      <c r="AQ3098" t="str">
        <f>"034"</f>
        <v>034</v>
      </c>
      <c r="AR3098">
        <v>0</v>
      </c>
      <c r="AS3098">
        <v>0</v>
      </c>
      <c r="AT3098">
        <v>3.218</v>
      </c>
      <c r="AX3098" t="str">
        <f>"E000290709"</f>
        <v>E000290709</v>
      </c>
      <c r="BD3098" t="str">
        <f>"ערן שלו"</f>
        <v>ערן שלו</v>
      </c>
    </row>
    <row r="3099" spans="1:56" x14ac:dyDescent="0.3">
      <c r="A3099" s="1">
        <v>44193</v>
      </c>
      <c r="B3099" t="str">
        <f>"SI206001494"</f>
        <v>SI206001494</v>
      </c>
      <c r="C3099" t="str">
        <f>"PR20000500"</f>
        <v>PR20000500</v>
      </c>
      <c r="E3099" t="str">
        <f>"Y"</f>
        <v>Y</v>
      </c>
      <c r="F3099" t="str">
        <f>"חשבוניות מרכזות"</f>
        <v>חשבוניות מרכזות</v>
      </c>
      <c r="G3099" t="str">
        <f>"700065"</f>
        <v>700065</v>
      </c>
      <c r="H3099" t="str">
        <f>"אלתא מערכות בע""מ"</f>
        <v>אלתא מערכות בע"מ</v>
      </c>
      <c r="I3099" t="str">
        <f>"10"</f>
        <v>10</v>
      </c>
      <c r="J3099" t="str">
        <f>"OP-AR01937"</f>
        <v>OP-AR01937</v>
      </c>
      <c r="K3099" t="str">
        <f>"1023B599-001  WV099 ELEVATION AXIS WARING SWIT"</f>
        <v>1023B599-001  WV099 ELEVATION AXIS WARING SWIT</v>
      </c>
      <c r="L3099">
        <v>16</v>
      </c>
      <c r="M3099" t="str">
        <f>"יח"</f>
        <v>יח</v>
      </c>
      <c r="N3099">
        <v>16</v>
      </c>
      <c r="O3099" t="str">
        <f>"יח"</f>
        <v>יח</v>
      </c>
      <c r="P3099" s="2">
        <v>1075.31</v>
      </c>
      <c r="Q3099" t="str">
        <f>"$"</f>
        <v>$</v>
      </c>
      <c r="R3099" t="str">
        <f>"הזמנה"</f>
        <v>הזמנה</v>
      </c>
      <c r="S3099">
        <v>0</v>
      </c>
      <c r="T3099" s="2">
        <v>17204.96</v>
      </c>
      <c r="U3099">
        <v>0</v>
      </c>
      <c r="V3099" s="2">
        <v>17204.96</v>
      </c>
      <c r="W3099" t="str">
        <f>"$"</f>
        <v>$</v>
      </c>
      <c r="X3099">
        <v>0</v>
      </c>
      <c r="Y3099">
        <v>0</v>
      </c>
      <c r="Z3099">
        <v>0</v>
      </c>
      <c r="AA3099" t="str">
        <f>"Y"</f>
        <v>Y</v>
      </c>
      <c r="AC3099">
        <v>0</v>
      </c>
      <c r="AM3099" t="str">
        <f>"10"</f>
        <v>10</v>
      </c>
      <c r="AN3099" t="str">
        <f>"500000"</f>
        <v>500000</v>
      </c>
      <c r="AO3099" t="str">
        <f>"הכנסות  מלקוחות"</f>
        <v>הכנסות  מלקוחות</v>
      </c>
      <c r="AQ3099" t="str">
        <f>"034"</f>
        <v>034</v>
      </c>
      <c r="AR3099">
        <v>0</v>
      </c>
      <c r="AS3099">
        <v>0</v>
      </c>
      <c r="AT3099">
        <v>3.218</v>
      </c>
      <c r="BB3099" t="str">
        <f>"Y"</f>
        <v>Y</v>
      </c>
      <c r="BD3099" t="str">
        <f>"ערן שלו"</f>
        <v>ערן שלו</v>
      </c>
    </row>
    <row r="3100" spans="1:56" x14ac:dyDescent="0.3">
      <c r="A3100" s="1">
        <v>44193</v>
      </c>
      <c r="B3100" t="str">
        <f>"SI206001493"</f>
        <v>SI206001493</v>
      </c>
      <c r="C3100" t="str">
        <f>"PR20000066"</f>
        <v>PR20000066</v>
      </c>
      <c r="D3100" t="str">
        <f>"PR20000066"</f>
        <v>PR20000066</v>
      </c>
      <c r="E3100" t="str">
        <f>"Y"</f>
        <v>Y</v>
      </c>
      <c r="F3100" t="str">
        <f>"חשבוניות מרכזות"</f>
        <v>חשבוניות מרכזות</v>
      </c>
      <c r="G3100" t="str">
        <f>"700065"</f>
        <v>700065</v>
      </c>
      <c r="H3100" t="str">
        <f>"אלתא מערכות בע""מ"</f>
        <v>אלתא מערכות בע"מ</v>
      </c>
      <c r="I3100" t="str">
        <f>"10"</f>
        <v>10</v>
      </c>
      <c r="J3100" t="str">
        <f>"OP-AR01632"</f>
        <v>OP-AR01632</v>
      </c>
      <c r="K3100" t="str">
        <f>"1041G114-001 W114-ANT RH SIDE FSC 30V PWR-cust"</f>
        <v>1041G114-001 W114-ANT RH SIDE FSC 30V PWR-cust</v>
      </c>
      <c r="L3100">
        <v>2</v>
      </c>
      <c r="M3100" t="str">
        <f>"יח"</f>
        <v>יח</v>
      </c>
      <c r="N3100">
        <v>2</v>
      </c>
      <c r="O3100" t="str">
        <f>"יח"</f>
        <v>יח</v>
      </c>
      <c r="P3100" s="2">
        <v>1587.13</v>
      </c>
      <c r="Q3100" t="str">
        <f>"$"</f>
        <v>$</v>
      </c>
      <c r="R3100" t="str">
        <f>"הזמנה"</f>
        <v>הזמנה</v>
      </c>
      <c r="S3100">
        <v>0</v>
      </c>
      <c r="T3100" s="2">
        <v>3174.26</v>
      </c>
      <c r="U3100">
        <v>0</v>
      </c>
      <c r="V3100" s="2">
        <v>3174.26</v>
      </c>
      <c r="W3100" t="str">
        <f>"$"</f>
        <v>$</v>
      </c>
      <c r="X3100">
        <v>0</v>
      </c>
      <c r="Y3100">
        <v>0</v>
      </c>
      <c r="Z3100">
        <v>0</v>
      </c>
      <c r="AA3100" t="str">
        <f>"Y"</f>
        <v>Y</v>
      </c>
      <c r="AB3100" t="str">
        <f>"SO20000062"</f>
        <v>SO20000062</v>
      </c>
      <c r="AC3100">
        <v>12</v>
      </c>
      <c r="AD3100" s="1">
        <v>43870</v>
      </c>
      <c r="AE3100" t="str">
        <f>"SH20001768"</f>
        <v>SH20001768</v>
      </c>
      <c r="AF3100" t="str">
        <f>"משלוחים ללקוח"</f>
        <v>משלוחים ללקוח</v>
      </c>
      <c r="AG3100" s="1">
        <v>44189</v>
      </c>
      <c r="AM3100" t="str">
        <f>"10"</f>
        <v>10</v>
      </c>
      <c r="AN3100" t="str">
        <f>"500000"</f>
        <v>500000</v>
      </c>
      <c r="AO3100" t="str">
        <f>"הכנסות  מלקוחות"</f>
        <v>הכנסות  מלקוחות</v>
      </c>
      <c r="AQ3100" t="str">
        <f>"034"</f>
        <v>034</v>
      </c>
      <c r="AR3100">
        <v>0</v>
      </c>
      <c r="AS3100">
        <v>0</v>
      </c>
      <c r="AT3100">
        <v>3.218</v>
      </c>
      <c r="AX3100" t="str">
        <f>"E000305063"</f>
        <v>E000305063</v>
      </c>
      <c r="BD3100" t="str">
        <f>"ערן שלו"</f>
        <v>ערן שלו</v>
      </c>
    </row>
    <row r="3101" spans="1:56" x14ac:dyDescent="0.3">
      <c r="A3101" s="1">
        <v>44193</v>
      </c>
      <c r="B3101" t="str">
        <f>"SI206001492"</f>
        <v>SI206001492</v>
      </c>
      <c r="C3101" t="str">
        <f>"PR20000499"</f>
        <v>PR20000499</v>
      </c>
      <c r="D3101" t="str">
        <f>"PR20000499"</f>
        <v>PR20000499</v>
      </c>
      <c r="E3101" t="str">
        <f>"Y"</f>
        <v>Y</v>
      </c>
      <c r="F3101" t="str">
        <f>"חשבוניות מרכזות"</f>
        <v>חשבוניות מרכזות</v>
      </c>
      <c r="G3101" t="str">
        <f>"700065"</f>
        <v>700065</v>
      </c>
      <c r="H3101" t="str">
        <f>"אלתא מערכות בע""מ"</f>
        <v>אלתא מערכות בע"מ</v>
      </c>
      <c r="I3101" t="str">
        <f>"10"</f>
        <v>10</v>
      </c>
      <c r="J3101" t="str">
        <f>"OP-AR01910"</f>
        <v>OP-AR01910</v>
      </c>
      <c r="K3101" t="str">
        <f>"1013P654-001/- CABLE ASSY 1W11"</f>
        <v>1013P654-001/- CABLE ASSY 1W11</v>
      </c>
      <c r="L3101">
        <v>1</v>
      </c>
      <c r="M3101" t="str">
        <f>"יח"</f>
        <v>יח</v>
      </c>
      <c r="N3101">
        <v>1</v>
      </c>
      <c r="O3101" t="str">
        <f>"יח"</f>
        <v>יח</v>
      </c>
      <c r="P3101" s="2">
        <v>1639.23</v>
      </c>
      <c r="Q3101" t="str">
        <f>"$"</f>
        <v>$</v>
      </c>
      <c r="R3101" t="str">
        <f>"הזמנה"</f>
        <v>הזמנה</v>
      </c>
      <c r="S3101">
        <v>0</v>
      </c>
      <c r="T3101" s="2">
        <v>1639.23</v>
      </c>
      <c r="U3101">
        <v>0</v>
      </c>
      <c r="V3101" s="2">
        <v>1639.23</v>
      </c>
      <c r="W3101" t="str">
        <f>"$"</f>
        <v>$</v>
      </c>
      <c r="X3101">
        <v>0</v>
      </c>
      <c r="Y3101">
        <v>0</v>
      </c>
      <c r="Z3101">
        <v>0</v>
      </c>
      <c r="AA3101" t="str">
        <f>"Y"</f>
        <v>Y</v>
      </c>
      <c r="AB3101" t="str">
        <f>"SO20000305"</f>
        <v>SO20000305</v>
      </c>
      <c r="AC3101">
        <v>4</v>
      </c>
      <c r="AD3101" s="1">
        <v>44031</v>
      </c>
      <c r="AE3101" t="str">
        <f>"SH20001771"</f>
        <v>SH20001771</v>
      </c>
      <c r="AF3101" t="str">
        <f>"משלוחים ללקוח"</f>
        <v>משלוחים ללקוח</v>
      </c>
      <c r="AG3101" s="1">
        <v>44189</v>
      </c>
      <c r="AM3101" t="str">
        <f>"10"</f>
        <v>10</v>
      </c>
      <c r="AN3101" t="str">
        <f>"500000"</f>
        <v>500000</v>
      </c>
      <c r="AO3101" t="str">
        <f>"הכנסות  מלקוחות"</f>
        <v>הכנסות  מלקוחות</v>
      </c>
      <c r="AQ3101" t="str">
        <f>"034"</f>
        <v>034</v>
      </c>
      <c r="AR3101">
        <v>0</v>
      </c>
      <c r="AS3101">
        <v>0</v>
      </c>
      <c r="AT3101">
        <v>3.218</v>
      </c>
      <c r="AX3101" t="str">
        <f>"E000315878"</f>
        <v>E000315878</v>
      </c>
      <c r="BD3101" t="str">
        <f>"ערן שלו"</f>
        <v>ערן שלו</v>
      </c>
    </row>
    <row r="3102" spans="1:56" x14ac:dyDescent="0.3">
      <c r="A3102" s="1">
        <v>44193</v>
      </c>
      <c r="B3102" t="str">
        <f>"SI206001492"</f>
        <v>SI206001492</v>
      </c>
      <c r="C3102" t="str">
        <f>"PR20000499"</f>
        <v>PR20000499</v>
      </c>
      <c r="D3102" t="str">
        <f>"PR20000499"</f>
        <v>PR20000499</v>
      </c>
      <c r="E3102" t="str">
        <f>"Y"</f>
        <v>Y</v>
      </c>
      <c r="F3102" t="str">
        <f>"חשבוניות מרכזות"</f>
        <v>חשבוניות מרכזות</v>
      </c>
      <c r="G3102" t="str">
        <f>"700065"</f>
        <v>700065</v>
      </c>
      <c r="H3102" t="str">
        <f>"אלתא מערכות בע""מ"</f>
        <v>אלתא מערכות בע"מ</v>
      </c>
      <c r="I3102" t="str">
        <f>"10"</f>
        <v>10</v>
      </c>
      <c r="J3102" t="str">
        <f>"OP-AR01912"</f>
        <v>OP-AR01912</v>
      </c>
      <c r="K3102" t="str">
        <f>"1013P659-001/- CABLE ASSY 1W29"</f>
        <v>1013P659-001/- CABLE ASSY 1W29</v>
      </c>
      <c r="L3102">
        <v>1</v>
      </c>
      <c r="M3102" t="str">
        <f>"יח"</f>
        <v>יח</v>
      </c>
      <c r="N3102">
        <v>1</v>
      </c>
      <c r="O3102" t="str">
        <f>"יח"</f>
        <v>יח</v>
      </c>
      <c r="P3102" s="2">
        <v>1646.85</v>
      </c>
      <c r="Q3102" t="str">
        <f>"$"</f>
        <v>$</v>
      </c>
      <c r="R3102" t="str">
        <f>"הזמנה"</f>
        <v>הזמנה</v>
      </c>
      <c r="S3102">
        <v>0</v>
      </c>
      <c r="T3102" s="2">
        <v>1646.85</v>
      </c>
      <c r="U3102">
        <v>0</v>
      </c>
      <c r="V3102" s="2">
        <v>1646.85</v>
      </c>
      <c r="W3102" t="str">
        <f>"$"</f>
        <v>$</v>
      </c>
      <c r="X3102">
        <v>0</v>
      </c>
      <c r="Y3102">
        <v>0</v>
      </c>
      <c r="Z3102">
        <v>0</v>
      </c>
      <c r="AA3102" t="str">
        <f>"Y"</f>
        <v>Y</v>
      </c>
      <c r="AB3102" t="str">
        <f>"SO20000305"</f>
        <v>SO20000305</v>
      </c>
      <c r="AC3102">
        <v>5</v>
      </c>
      <c r="AD3102" s="1">
        <v>44031</v>
      </c>
      <c r="AE3102" t="str">
        <f>"SH20001771"</f>
        <v>SH20001771</v>
      </c>
      <c r="AF3102" t="str">
        <f>"משלוחים ללקוח"</f>
        <v>משלוחים ללקוח</v>
      </c>
      <c r="AG3102" s="1">
        <v>44189</v>
      </c>
      <c r="AM3102" t="str">
        <f>"10"</f>
        <v>10</v>
      </c>
      <c r="AN3102" t="str">
        <f>"500000"</f>
        <v>500000</v>
      </c>
      <c r="AO3102" t="str">
        <f>"הכנסות  מלקוחות"</f>
        <v>הכנסות  מלקוחות</v>
      </c>
      <c r="AQ3102" t="str">
        <f>"034"</f>
        <v>034</v>
      </c>
      <c r="AR3102">
        <v>0</v>
      </c>
      <c r="AS3102">
        <v>0</v>
      </c>
      <c r="AT3102">
        <v>3.218</v>
      </c>
      <c r="AX3102" t="str">
        <f>"E000315878"</f>
        <v>E000315878</v>
      </c>
      <c r="BD3102" t="str">
        <f>"ערן שלו"</f>
        <v>ערן שלו</v>
      </c>
    </row>
    <row r="3103" spans="1:56" x14ac:dyDescent="0.3">
      <c r="A3103" s="1">
        <v>44193</v>
      </c>
      <c r="B3103" t="str">
        <f>"SI206001491"</f>
        <v>SI206001491</v>
      </c>
      <c r="C3103" t="str">
        <f>"PR20000570"</f>
        <v>PR20000570</v>
      </c>
      <c r="D3103" t="str">
        <f>"PR20000570"</f>
        <v>PR20000570</v>
      </c>
      <c r="E3103" t="str">
        <f>"Y"</f>
        <v>Y</v>
      </c>
      <c r="F3103" t="str">
        <f>"חשבוניות מרכזות"</f>
        <v>חשבוניות מרכזות</v>
      </c>
      <c r="G3103" t="str">
        <f>"700065"</f>
        <v>700065</v>
      </c>
      <c r="H3103" t="str">
        <f>"אלתא מערכות בע""מ"</f>
        <v>אלתא מערכות בע"מ</v>
      </c>
      <c r="I3103" t="str">
        <f>"10"</f>
        <v>10</v>
      </c>
      <c r="J3103" t="str">
        <f>"OP-AR01745"</f>
        <v>OP-AR01745</v>
      </c>
      <c r="K3103" t="str">
        <f>"1039V343-001 WP343 - POWER 230VAC PDB TO CHARGER"</f>
        <v>1039V343-001 WP343 - POWER 230VAC PDB TO CHARGER</v>
      </c>
      <c r="L3103">
        <v>4</v>
      </c>
      <c r="M3103" t="str">
        <f>"יח"</f>
        <v>יח</v>
      </c>
      <c r="N3103">
        <v>4</v>
      </c>
      <c r="O3103" t="str">
        <f>"יח"</f>
        <v>יח</v>
      </c>
      <c r="P3103">
        <v>334.51</v>
      </c>
      <c r="Q3103" t="str">
        <f>"$"</f>
        <v>$</v>
      </c>
      <c r="R3103" t="str">
        <f>"הזמנה"</f>
        <v>הזמנה</v>
      </c>
      <c r="S3103">
        <v>0</v>
      </c>
      <c r="T3103" s="2">
        <v>1338.04</v>
      </c>
      <c r="U3103">
        <v>0</v>
      </c>
      <c r="V3103" s="2">
        <v>1338.04</v>
      </c>
      <c r="W3103" t="str">
        <f>"$"</f>
        <v>$</v>
      </c>
      <c r="X3103">
        <v>0</v>
      </c>
      <c r="Y3103">
        <v>0</v>
      </c>
      <c r="Z3103">
        <v>0</v>
      </c>
      <c r="AA3103" t="str">
        <f>"Y"</f>
        <v>Y</v>
      </c>
      <c r="AB3103" t="str">
        <f>"SO20000367"</f>
        <v>SO20000367</v>
      </c>
      <c r="AC3103">
        <v>14</v>
      </c>
      <c r="AD3103" s="1">
        <v>44067</v>
      </c>
      <c r="AE3103" t="str">
        <f>"SH20001745"</f>
        <v>SH20001745</v>
      </c>
      <c r="AF3103" t="str">
        <f>"משלוחים ללקוח"</f>
        <v>משלוחים ללקוח</v>
      </c>
      <c r="AG3103" s="1">
        <v>44187</v>
      </c>
      <c r="AM3103" t="str">
        <f>"10"</f>
        <v>10</v>
      </c>
      <c r="AN3103" t="str">
        <f>"500000"</f>
        <v>500000</v>
      </c>
      <c r="AO3103" t="str">
        <f>"הכנסות  מלקוחות"</f>
        <v>הכנסות  מלקוחות</v>
      </c>
      <c r="AQ3103" t="str">
        <f>"034"</f>
        <v>034</v>
      </c>
      <c r="AR3103">
        <v>0</v>
      </c>
      <c r="AS3103">
        <v>0</v>
      </c>
      <c r="AT3103">
        <v>3.218</v>
      </c>
      <c r="AX3103" t="str">
        <f>"E000319026"</f>
        <v>E000319026</v>
      </c>
      <c r="BD3103" t="str">
        <f>"ערן שלו"</f>
        <v>ערן שלו</v>
      </c>
    </row>
    <row r="3104" spans="1:56" x14ac:dyDescent="0.3">
      <c r="A3104" s="1">
        <v>44193</v>
      </c>
      <c r="B3104" t="str">
        <f>"SI206001490"</f>
        <v>SI206001490</v>
      </c>
      <c r="C3104" t="str">
        <f>"PR20000570"</f>
        <v>PR20000570</v>
      </c>
      <c r="D3104" t="str">
        <f>"PR20000570"</f>
        <v>PR20000570</v>
      </c>
      <c r="E3104" t="str">
        <f>"Y"</f>
        <v>Y</v>
      </c>
      <c r="F3104" t="str">
        <f>"חשבוניות מרכזות"</f>
        <v>חשבוניות מרכזות</v>
      </c>
      <c r="G3104" t="str">
        <f>"700065"</f>
        <v>700065</v>
      </c>
      <c r="H3104" t="str">
        <f>"אלתא מערכות בע""מ"</f>
        <v>אלתא מערכות בע"מ</v>
      </c>
      <c r="I3104" t="str">
        <f>"10"</f>
        <v>10</v>
      </c>
      <c r="J3104" t="str">
        <f>"OP-AR01742"</f>
        <v>OP-AR01742</v>
      </c>
      <c r="K3104" t="str">
        <f>"1039V318-001 WP318 - CONTROL DATA MICRO SWITCH S"</f>
        <v>1039V318-001 WP318 - CONTROL DATA MICRO SWITCH S</v>
      </c>
      <c r="L3104">
        <v>4</v>
      </c>
      <c r="M3104" t="str">
        <f>"יח"</f>
        <v>יח</v>
      </c>
      <c r="N3104">
        <v>4</v>
      </c>
      <c r="O3104" t="str">
        <f>"יח"</f>
        <v>יח</v>
      </c>
      <c r="P3104">
        <v>691.5</v>
      </c>
      <c r="Q3104" t="str">
        <f>"$"</f>
        <v>$</v>
      </c>
      <c r="R3104" t="str">
        <f>"הזמנה"</f>
        <v>הזמנה</v>
      </c>
      <c r="S3104">
        <v>0</v>
      </c>
      <c r="T3104" s="2">
        <v>2766</v>
      </c>
      <c r="U3104">
        <v>0</v>
      </c>
      <c r="V3104" s="2">
        <v>2766</v>
      </c>
      <c r="W3104" t="str">
        <f>"$"</f>
        <v>$</v>
      </c>
      <c r="X3104">
        <v>0</v>
      </c>
      <c r="Y3104">
        <v>0</v>
      </c>
      <c r="Z3104">
        <v>0</v>
      </c>
      <c r="AA3104" t="str">
        <f>"Y"</f>
        <v>Y</v>
      </c>
      <c r="AB3104" t="str">
        <f>"SO20000367"</f>
        <v>SO20000367</v>
      </c>
      <c r="AC3104">
        <v>6</v>
      </c>
      <c r="AD3104" s="1">
        <v>44067</v>
      </c>
      <c r="AE3104" t="str">
        <f>"SH20001767"</f>
        <v>SH20001767</v>
      </c>
      <c r="AF3104" t="str">
        <f>"משלוחים ללקוח"</f>
        <v>משלוחים ללקוח</v>
      </c>
      <c r="AG3104" s="1">
        <v>44189</v>
      </c>
      <c r="AM3104" t="str">
        <f>"10"</f>
        <v>10</v>
      </c>
      <c r="AN3104" t="str">
        <f>"500000"</f>
        <v>500000</v>
      </c>
      <c r="AO3104" t="str">
        <f>"הכנסות  מלקוחות"</f>
        <v>הכנסות  מלקוחות</v>
      </c>
      <c r="AQ3104" t="str">
        <f>"034"</f>
        <v>034</v>
      </c>
      <c r="AR3104">
        <v>0</v>
      </c>
      <c r="AS3104">
        <v>0</v>
      </c>
      <c r="AT3104">
        <v>3.218</v>
      </c>
      <c r="AX3104" t="str">
        <f>"E000319026"</f>
        <v>E000319026</v>
      </c>
      <c r="BD3104" t="str">
        <f>"ערן שלו"</f>
        <v>ערן שלו</v>
      </c>
    </row>
    <row r="3105" spans="1:56" x14ac:dyDescent="0.3">
      <c r="A3105" s="1">
        <v>44193</v>
      </c>
      <c r="B3105" t="str">
        <f>"SI206001490"</f>
        <v>SI206001490</v>
      </c>
      <c r="C3105" t="str">
        <f>"PR20000570"</f>
        <v>PR20000570</v>
      </c>
      <c r="D3105" t="str">
        <f>"PR20000570"</f>
        <v>PR20000570</v>
      </c>
      <c r="E3105" t="str">
        <f>"Y"</f>
        <v>Y</v>
      </c>
      <c r="F3105" t="str">
        <f>"חשבוניות מרכזות"</f>
        <v>חשבוניות מרכזות</v>
      </c>
      <c r="G3105" t="str">
        <f>"700065"</f>
        <v>700065</v>
      </c>
      <c r="H3105" t="str">
        <f>"אלתא מערכות בע""מ"</f>
        <v>אלתא מערכות בע"מ</v>
      </c>
      <c r="I3105" t="str">
        <f>"10"</f>
        <v>10</v>
      </c>
      <c r="J3105" t="str">
        <f>"OP-AR01756"</f>
        <v>OP-AR01756</v>
      </c>
      <c r="K3105" t="str">
        <f>"1036U457-001 WP457 - PWR PDB TO JACK BOX"</f>
        <v>1036U457-001 WP457 - PWR PDB TO JACK BOX</v>
      </c>
      <c r="L3105">
        <v>4</v>
      </c>
      <c r="M3105" t="str">
        <f>"יח"</f>
        <v>יח</v>
      </c>
      <c r="N3105">
        <v>4</v>
      </c>
      <c r="O3105" t="str">
        <f>"יח"</f>
        <v>יח</v>
      </c>
      <c r="P3105">
        <v>655.78</v>
      </c>
      <c r="Q3105" t="str">
        <f>"$"</f>
        <v>$</v>
      </c>
      <c r="R3105" t="str">
        <f>"הזמנה"</f>
        <v>הזמנה</v>
      </c>
      <c r="S3105">
        <v>0</v>
      </c>
      <c r="T3105" s="2">
        <v>2623.12</v>
      </c>
      <c r="U3105">
        <v>0</v>
      </c>
      <c r="V3105" s="2">
        <v>2623.12</v>
      </c>
      <c r="W3105" t="str">
        <f>"$"</f>
        <v>$</v>
      </c>
      <c r="X3105">
        <v>0</v>
      </c>
      <c r="Y3105">
        <v>0</v>
      </c>
      <c r="Z3105">
        <v>0</v>
      </c>
      <c r="AA3105" t="str">
        <f>"Y"</f>
        <v>Y</v>
      </c>
      <c r="AB3105" t="str">
        <f>"SO20000367"</f>
        <v>SO20000367</v>
      </c>
      <c r="AC3105">
        <v>10</v>
      </c>
      <c r="AD3105" s="1">
        <v>44067</v>
      </c>
      <c r="AE3105" t="str">
        <f>"SH20001767"</f>
        <v>SH20001767</v>
      </c>
      <c r="AF3105" t="str">
        <f>"משלוחים ללקוח"</f>
        <v>משלוחים ללקוח</v>
      </c>
      <c r="AG3105" s="1">
        <v>44189</v>
      </c>
      <c r="AM3105" t="str">
        <f>"10"</f>
        <v>10</v>
      </c>
      <c r="AN3105" t="str">
        <f>"500000"</f>
        <v>500000</v>
      </c>
      <c r="AO3105" t="str">
        <f>"הכנסות  מלקוחות"</f>
        <v>הכנסות  מלקוחות</v>
      </c>
      <c r="AQ3105" t="str">
        <f>"034"</f>
        <v>034</v>
      </c>
      <c r="AR3105">
        <v>0</v>
      </c>
      <c r="AS3105">
        <v>0</v>
      </c>
      <c r="AT3105">
        <v>3.218</v>
      </c>
      <c r="AX3105" t="str">
        <f>"E000319026"</f>
        <v>E000319026</v>
      </c>
      <c r="BD3105" t="str">
        <f>"ערן שלו"</f>
        <v>ערן שלו</v>
      </c>
    </row>
    <row r="3106" spans="1:56" x14ac:dyDescent="0.3">
      <c r="A3106" s="1">
        <v>44193</v>
      </c>
      <c r="B3106" t="str">
        <f>"SI206001490"</f>
        <v>SI206001490</v>
      </c>
      <c r="C3106" t="str">
        <f>"PR20000570"</f>
        <v>PR20000570</v>
      </c>
      <c r="D3106" t="str">
        <f>"PR20000570"</f>
        <v>PR20000570</v>
      </c>
      <c r="E3106" t="str">
        <f>"Y"</f>
        <v>Y</v>
      </c>
      <c r="F3106" t="str">
        <f>"חשבוניות מרכזות"</f>
        <v>חשבוניות מרכזות</v>
      </c>
      <c r="G3106" t="str">
        <f>"700065"</f>
        <v>700065</v>
      </c>
      <c r="H3106" t="str">
        <f>"אלתא מערכות בע""מ"</f>
        <v>אלתא מערכות בע"מ</v>
      </c>
      <c r="I3106" t="str">
        <f>"10"</f>
        <v>10</v>
      </c>
      <c r="J3106" t="str">
        <f>"OP-AR01757"</f>
        <v>OP-AR01757</v>
      </c>
      <c r="K3106" t="str">
        <f>"1036U461-001 WP461 - RIGHT REAR POWER JACK-EXTEN"</f>
        <v>1036U461-001 WP461 - RIGHT REAR POWER JACK-EXTEN</v>
      </c>
      <c r="L3106">
        <v>4</v>
      </c>
      <c r="M3106" t="str">
        <f>"יח"</f>
        <v>יח</v>
      </c>
      <c r="N3106">
        <v>4</v>
      </c>
      <c r="O3106" t="str">
        <f>"יח"</f>
        <v>יח</v>
      </c>
      <c r="P3106">
        <v>499.33</v>
      </c>
      <c r="Q3106" t="str">
        <f>"$"</f>
        <v>$</v>
      </c>
      <c r="R3106" t="str">
        <f>"הזמנה"</f>
        <v>הזמנה</v>
      </c>
      <c r="S3106">
        <v>0</v>
      </c>
      <c r="T3106" s="2">
        <v>1997.32</v>
      </c>
      <c r="U3106">
        <v>0</v>
      </c>
      <c r="V3106" s="2">
        <v>1997.32</v>
      </c>
      <c r="W3106" t="str">
        <f>"$"</f>
        <v>$</v>
      </c>
      <c r="X3106">
        <v>0</v>
      </c>
      <c r="Y3106">
        <v>0</v>
      </c>
      <c r="Z3106">
        <v>0</v>
      </c>
      <c r="AA3106" t="str">
        <f>"Y"</f>
        <v>Y</v>
      </c>
      <c r="AB3106" t="str">
        <f>"SO20000367"</f>
        <v>SO20000367</v>
      </c>
      <c r="AC3106">
        <v>11</v>
      </c>
      <c r="AD3106" s="1">
        <v>44067</v>
      </c>
      <c r="AE3106" t="str">
        <f>"SH20001767"</f>
        <v>SH20001767</v>
      </c>
      <c r="AF3106" t="str">
        <f>"משלוחים ללקוח"</f>
        <v>משלוחים ללקוח</v>
      </c>
      <c r="AG3106" s="1">
        <v>44189</v>
      </c>
      <c r="AM3106" t="str">
        <f>"10"</f>
        <v>10</v>
      </c>
      <c r="AN3106" t="str">
        <f>"500000"</f>
        <v>500000</v>
      </c>
      <c r="AO3106" t="str">
        <f>"הכנסות  מלקוחות"</f>
        <v>הכנסות  מלקוחות</v>
      </c>
      <c r="AQ3106" t="str">
        <f>"034"</f>
        <v>034</v>
      </c>
      <c r="AR3106">
        <v>0</v>
      </c>
      <c r="AS3106">
        <v>0</v>
      </c>
      <c r="AT3106">
        <v>3.218</v>
      </c>
      <c r="AX3106" t="str">
        <f>"E000319026"</f>
        <v>E000319026</v>
      </c>
      <c r="BD3106" t="str">
        <f>"ערן שלו"</f>
        <v>ערן שלו</v>
      </c>
    </row>
    <row r="3107" spans="1:56" x14ac:dyDescent="0.3">
      <c r="A3107" s="1">
        <v>44193</v>
      </c>
      <c r="B3107" t="str">
        <f>"SI206001489"</f>
        <v>SI206001489</v>
      </c>
      <c r="C3107" t="str">
        <f>"PR20000567"</f>
        <v>PR20000567</v>
      </c>
      <c r="D3107" t="str">
        <f>"PR20000567"</f>
        <v>PR20000567</v>
      </c>
      <c r="E3107" t="str">
        <f>"Y"</f>
        <v>Y</v>
      </c>
      <c r="F3107" t="str">
        <f>"חשבוניות מרכזות"</f>
        <v>חשבוניות מרכזות</v>
      </c>
      <c r="G3107" t="str">
        <f>"700065"</f>
        <v>700065</v>
      </c>
      <c r="H3107" t="str">
        <f>"אלתא מערכות בע""מ"</f>
        <v>אלתא מערכות בע"מ</v>
      </c>
      <c r="I3107" t="str">
        <f>"10"</f>
        <v>10</v>
      </c>
      <c r="J3107" t="str">
        <f>"OP-AR01984"</f>
        <v>OP-AR01984</v>
      </c>
      <c r="K3107" t="str">
        <f>"6660L001-001/-  AKD W213 UPGRADED BUNDLE INS-D"</f>
        <v>6660L001-001/-  AKD W213 UPGRADED BUNDLE INS-D</v>
      </c>
      <c r="L3107">
        <v>2</v>
      </c>
      <c r="M3107" t="str">
        <f>"יח"</f>
        <v>יח</v>
      </c>
      <c r="N3107">
        <v>2</v>
      </c>
      <c r="O3107" t="str">
        <f>"יח"</f>
        <v>יח</v>
      </c>
      <c r="P3107" s="2">
        <v>1651.65</v>
      </c>
      <c r="Q3107" t="str">
        <f>"$"</f>
        <v>$</v>
      </c>
      <c r="R3107" t="str">
        <f>"הזמנה"</f>
        <v>הזמנה</v>
      </c>
      <c r="S3107">
        <v>0</v>
      </c>
      <c r="T3107" s="2">
        <v>3303.3</v>
      </c>
      <c r="U3107">
        <v>0</v>
      </c>
      <c r="V3107" s="2">
        <v>3303.3</v>
      </c>
      <c r="W3107" t="str">
        <f>"$"</f>
        <v>$</v>
      </c>
      <c r="X3107">
        <v>0</v>
      </c>
      <c r="Y3107">
        <v>0</v>
      </c>
      <c r="Z3107">
        <v>0</v>
      </c>
      <c r="AA3107" t="str">
        <f>"Y"</f>
        <v>Y</v>
      </c>
      <c r="AB3107" t="str">
        <f>"SO20000373"</f>
        <v>SO20000373</v>
      </c>
      <c r="AC3107">
        <v>1</v>
      </c>
      <c r="AD3107" s="1">
        <v>44068</v>
      </c>
      <c r="AE3107" t="str">
        <f>"SH20001766"</f>
        <v>SH20001766</v>
      </c>
      <c r="AF3107" t="str">
        <f>"משלוחים ללקוח"</f>
        <v>משלוחים ללקוח</v>
      </c>
      <c r="AG3107" s="1">
        <v>44189</v>
      </c>
      <c r="AM3107" t="str">
        <f>"10"</f>
        <v>10</v>
      </c>
      <c r="AN3107" t="str">
        <f>"500000"</f>
        <v>500000</v>
      </c>
      <c r="AO3107" t="str">
        <f>"הכנסות  מלקוחות"</f>
        <v>הכנסות  מלקוחות</v>
      </c>
      <c r="AQ3107" t="str">
        <f>"034"</f>
        <v>034</v>
      </c>
      <c r="AR3107">
        <v>0</v>
      </c>
      <c r="AS3107">
        <v>0</v>
      </c>
      <c r="AT3107">
        <v>3.218</v>
      </c>
      <c r="AX3107" t="str">
        <f>"E000319150"</f>
        <v>E000319150</v>
      </c>
      <c r="BD3107" t="str">
        <f>"ערן שלו"</f>
        <v>ערן שלו</v>
      </c>
    </row>
    <row r="3108" spans="1:56" x14ac:dyDescent="0.3">
      <c r="A3108" s="1">
        <v>44193</v>
      </c>
      <c r="B3108" t="str">
        <f>"SI206001488"</f>
        <v>SI206001488</v>
      </c>
      <c r="C3108" t="str">
        <f>"PR20000609"</f>
        <v>PR20000609</v>
      </c>
      <c r="D3108" t="str">
        <f>"PR20000609"</f>
        <v>PR20000609</v>
      </c>
      <c r="E3108" t="str">
        <f>"Y"</f>
        <v>Y</v>
      </c>
      <c r="F3108" t="str">
        <f>"חשבוניות מרכזות"</f>
        <v>חשבוניות מרכזות</v>
      </c>
      <c r="G3108" t="str">
        <f>"700065"</f>
        <v>700065</v>
      </c>
      <c r="H3108" t="str">
        <f>"אלתא מערכות בע""מ"</f>
        <v>אלתא מערכות בע"מ</v>
      </c>
      <c r="I3108" t="str">
        <f>"10"</f>
        <v>10</v>
      </c>
      <c r="J3108" t="str">
        <f>"OP-AR01997"</f>
        <v>OP-AR01997</v>
      </c>
      <c r="K3108" t="str">
        <f>"1040U641-001/-   HARNESS WEXT03"</f>
        <v>1040U641-001/-   HARNESS WEXT03</v>
      </c>
      <c r="L3108">
        <v>1</v>
      </c>
      <c r="M3108" t="str">
        <f>"יח"</f>
        <v>יח</v>
      </c>
      <c r="N3108">
        <v>1</v>
      </c>
      <c r="O3108" t="str">
        <f>"יח"</f>
        <v>יח</v>
      </c>
      <c r="P3108" s="2">
        <v>1968.82</v>
      </c>
      <c r="Q3108" t="str">
        <f>"$"</f>
        <v>$</v>
      </c>
      <c r="R3108" t="str">
        <f>"הזמנה"</f>
        <v>הזמנה</v>
      </c>
      <c r="S3108">
        <v>0</v>
      </c>
      <c r="T3108" s="2">
        <v>1968.82</v>
      </c>
      <c r="U3108">
        <v>0</v>
      </c>
      <c r="V3108" s="2">
        <v>1968.82</v>
      </c>
      <c r="W3108" t="str">
        <f>"$"</f>
        <v>$</v>
      </c>
      <c r="X3108">
        <v>0</v>
      </c>
      <c r="Y3108">
        <v>0</v>
      </c>
      <c r="Z3108">
        <v>0</v>
      </c>
      <c r="AA3108" t="str">
        <f>"Y"</f>
        <v>Y</v>
      </c>
      <c r="AB3108" t="str">
        <f>"SO20000408"</f>
        <v>SO20000408</v>
      </c>
      <c r="AC3108">
        <v>2</v>
      </c>
      <c r="AD3108" s="1">
        <v>44081</v>
      </c>
      <c r="AE3108" t="str">
        <f>"SH20001765"</f>
        <v>SH20001765</v>
      </c>
      <c r="AF3108" t="str">
        <f>"משלוחים ללקוח"</f>
        <v>משלוחים ללקוח</v>
      </c>
      <c r="AG3108" s="1">
        <v>44189</v>
      </c>
      <c r="AM3108" t="str">
        <f>"10"</f>
        <v>10</v>
      </c>
      <c r="AN3108" t="str">
        <f>"500000"</f>
        <v>500000</v>
      </c>
      <c r="AO3108" t="str">
        <f>"הכנסות  מלקוחות"</f>
        <v>הכנסות  מלקוחות</v>
      </c>
      <c r="AQ3108" t="str">
        <f>"034"</f>
        <v>034</v>
      </c>
      <c r="AR3108">
        <v>0</v>
      </c>
      <c r="AS3108">
        <v>0</v>
      </c>
      <c r="AT3108">
        <v>3.218</v>
      </c>
      <c r="AX3108" t="str">
        <f>"E000319385"</f>
        <v>E000319385</v>
      </c>
      <c r="BD3108" t="str">
        <f>"ערן שלו"</f>
        <v>ערן שלו</v>
      </c>
    </row>
    <row r="3109" spans="1:56" x14ac:dyDescent="0.3">
      <c r="A3109" s="1">
        <v>44193</v>
      </c>
      <c r="B3109" t="str">
        <f>"SI206001487"</f>
        <v>SI206001487</v>
      </c>
      <c r="C3109" t="str">
        <f>"PR20000697"</f>
        <v>PR20000697</v>
      </c>
      <c r="E3109" t="str">
        <f>"Y"</f>
        <v>Y</v>
      </c>
      <c r="F3109" t="str">
        <f>"חשבוניות מרכזות"</f>
        <v>חשבוניות מרכזות</v>
      </c>
      <c r="G3109" t="str">
        <f>"700065"</f>
        <v>700065</v>
      </c>
      <c r="H3109" t="str">
        <f>"אלתא מערכות בע""מ"</f>
        <v>אלתא מערכות בע"מ</v>
      </c>
      <c r="I3109" t="str">
        <f>"10"</f>
        <v>10</v>
      </c>
      <c r="J3109" t="str">
        <f>"OP-AR01702"</f>
        <v>OP-AR01702</v>
      </c>
      <c r="K3109" t="str">
        <f>"1020B584-003 P.C.U HARN/W7/ABS NC/DATA POS"</f>
        <v>1020B584-003 P.C.U HARN/W7/ABS NC/DATA POS</v>
      </c>
      <c r="L3109">
        <v>1</v>
      </c>
      <c r="M3109" t="str">
        <f>"יח"</f>
        <v>יח</v>
      </c>
      <c r="N3109">
        <v>1</v>
      </c>
      <c r="O3109" t="str">
        <f>"יח"</f>
        <v>יח</v>
      </c>
      <c r="P3109" s="2">
        <v>1400.15</v>
      </c>
      <c r="Q3109" t="str">
        <f>"$"</f>
        <v>$</v>
      </c>
      <c r="R3109" t="str">
        <f>"הזמנה"</f>
        <v>הזמנה</v>
      </c>
      <c r="S3109">
        <v>0</v>
      </c>
      <c r="T3109" s="2">
        <v>1400.15</v>
      </c>
      <c r="U3109">
        <v>0</v>
      </c>
      <c r="V3109" s="2">
        <v>1400.15</v>
      </c>
      <c r="W3109" t="str">
        <f>"$"</f>
        <v>$</v>
      </c>
      <c r="X3109">
        <v>0</v>
      </c>
      <c r="Y3109">
        <v>0</v>
      </c>
      <c r="Z3109">
        <v>0</v>
      </c>
      <c r="AA3109" t="str">
        <f>"Y"</f>
        <v>Y</v>
      </c>
      <c r="AB3109" t="str">
        <f>"SO20000141"</f>
        <v>SO20000141</v>
      </c>
      <c r="AC3109">
        <v>11</v>
      </c>
      <c r="AD3109" s="1">
        <v>43940</v>
      </c>
      <c r="AE3109" t="str">
        <f>"SH20001717"</f>
        <v>SH20001717</v>
      </c>
      <c r="AF3109" t="str">
        <f>"משלוחים ללקוח"</f>
        <v>משלוחים ללקוח</v>
      </c>
      <c r="AG3109" s="1">
        <v>44185</v>
      </c>
      <c r="AM3109" t="str">
        <f>"10"</f>
        <v>10</v>
      </c>
      <c r="AN3109" t="str">
        <f>"500000"</f>
        <v>500000</v>
      </c>
      <c r="AO3109" t="str">
        <f>"הכנסות  מלקוחות"</f>
        <v>הכנסות  מלקוחות</v>
      </c>
      <c r="AQ3109" t="str">
        <f>"034"</f>
        <v>034</v>
      </c>
      <c r="AR3109">
        <v>0</v>
      </c>
      <c r="AS3109">
        <v>0</v>
      </c>
      <c r="AT3109">
        <v>3.218</v>
      </c>
      <c r="AX3109" t="str">
        <f>"E000308646"</f>
        <v>E000308646</v>
      </c>
      <c r="BD3109" t="str">
        <f>"ערן שלו"</f>
        <v>ערן שלו</v>
      </c>
    </row>
    <row r="3110" spans="1:56" x14ac:dyDescent="0.3">
      <c r="A3110" s="1">
        <v>44193</v>
      </c>
      <c r="B3110" t="str">
        <f>"SI206001481"</f>
        <v>SI206001481</v>
      </c>
      <c r="C3110" t="str">
        <f>"PR20000533"</f>
        <v>PR20000533</v>
      </c>
      <c r="E3110" t="str">
        <f>"Y"</f>
        <v>Y</v>
      </c>
      <c r="F3110" t="str">
        <f>"חשבוניות מרכזות"</f>
        <v>חשבוניות מרכזות</v>
      </c>
      <c r="G3110" t="str">
        <f>"700065"</f>
        <v>700065</v>
      </c>
      <c r="H3110" t="str">
        <f>"אלתא מערכות בע""מ"</f>
        <v>אלתא מערכות בע"מ</v>
      </c>
      <c r="I3110" t="str">
        <f>"10"</f>
        <v>10</v>
      </c>
      <c r="J3110" t="str">
        <f>"OP-AR01960"</f>
        <v>OP-AR01960</v>
      </c>
      <c r="K3110" t="str">
        <f>"NRE FOR E000316766"</f>
        <v>NRE FOR E000316766</v>
      </c>
      <c r="L3110">
        <v>1</v>
      </c>
      <c r="M3110" t="str">
        <f>"יח"</f>
        <v>יח</v>
      </c>
      <c r="N3110">
        <v>1</v>
      </c>
      <c r="O3110" t="str">
        <f>"יח"</f>
        <v>יח</v>
      </c>
      <c r="P3110" s="2">
        <v>2043.07</v>
      </c>
      <c r="Q3110" t="str">
        <f>"$"</f>
        <v>$</v>
      </c>
      <c r="R3110" t="str">
        <f>"הזמנה"</f>
        <v>הזמנה</v>
      </c>
      <c r="S3110">
        <v>0</v>
      </c>
      <c r="T3110" s="2">
        <v>2043.07</v>
      </c>
      <c r="U3110">
        <v>0</v>
      </c>
      <c r="V3110" s="2">
        <v>2043.07</v>
      </c>
      <c r="W3110" t="str">
        <f>"$"</f>
        <v>$</v>
      </c>
      <c r="X3110">
        <v>0</v>
      </c>
      <c r="Y3110">
        <v>0</v>
      </c>
      <c r="Z3110">
        <v>0</v>
      </c>
      <c r="AA3110" t="str">
        <f>"Y"</f>
        <v>Y</v>
      </c>
      <c r="AC3110">
        <v>0</v>
      </c>
      <c r="AM3110" t="str">
        <f>"10"</f>
        <v>10</v>
      </c>
      <c r="AN3110" t="str">
        <f>"500000"</f>
        <v>500000</v>
      </c>
      <c r="AO3110" t="str">
        <f>"הכנסות  מלקוחות"</f>
        <v>הכנסות  מלקוחות</v>
      </c>
      <c r="AQ3110" t="str">
        <f>"034"</f>
        <v>034</v>
      </c>
      <c r="AR3110">
        <v>0</v>
      </c>
      <c r="AS3110">
        <v>0</v>
      </c>
      <c r="AT3110">
        <v>3.218</v>
      </c>
      <c r="BB3110" t="str">
        <f>"Y"</f>
        <v>Y</v>
      </c>
      <c r="BD3110" t="str">
        <f>"ערן שלו"</f>
        <v>ערן שלו</v>
      </c>
    </row>
    <row r="3111" spans="1:56" x14ac:dyDescent="0.3">
      <c r="A3111" s="1">
        <v>44193</v>
      </c>
      <c r="B3111" t="str">
        <f>"SI206001480"</f>
        <v>SI206001480</v>
      </c>
      <c r="C3111" t="str">
        <f>"PR20000533"</f>
        <v>PR20000533</v>
      </c>
      <c r="E3111" t="str">
        <f>"Y"</f>
        <v>Y</v>
      </c>
      <c r="F3111" t="str">
        <f>"חשבוניות מרכזות"</f>
        <v>חשבוניות מרכזות</v>
      </c>
      <c r="G3111" t="str">
        <f>"700065"</f>
        <v>700065</v>
      </c>
      <c r="H3111" t="str">
        <f>"אלתא מערכות בע""מ"</f>
        <v>אלתא מערכות בע"מ</v>
      </c>
      <c r="I3111" t="str">
        <f>"10"</f>
        <v>10</v>
      </c>
      <c r="J3111" t="str">
        <f>"OP-AR01960"</f>
        <v>OP-AR01960</v>
      </c>
      <c r="K3111" t="str">
        <f>"NRE FOR E000316766"</f>
        <v>NRE FOR E000316766</v>
      </c>
      <c r="L3111">
        <v>-1</v>
      </c>
      <c r="M3111" t="str">
        <f>"יח"</f>
        <v>יח</v>
      </c>
      <c r="N3111">
        <v>-1</v>
      </c>
      <c r="O3111" t="str">
        <f>"יח"</f>
        <v>יח</v>
      </c>
      <c r="P3111" s="2">
        <v>2782.21</v>
      </c>
      <c r="Q3111" t="str">
        <f>"$"</f>
        <v>$</v>
      </c>
      <c r="R3111" t="str">
        <f>"הזמנה"</f>
        <v>הזמנה</v>
      </c>
      <c r="S3111">
        <v>0</v>
      </c>
      <c r="T3111" s="2">
        <v>-2782.21</v>
      </c>
      <c r="U3111">
        <v>0</v>
      </c>
      <c r="V3111" s="2">
        <v>-2782.21</v>
      </c>
      <c r="W3111" t="str">
        <f>"$"</f>
        <v>$</v>
      </c>
      <c r="X3111">
        <v>0</v>
      </c>
      <c r="Y3111">
        <v>0</v>
      </c>
      <c r="Z3111">
        <v>0</v>
      </c>
      <c r="AA3111" t="str">
        <f>"Y"</f>
        <v>Y</v>
      </c>
      <c r="AC3111">
        <v>0</v>
      </c>
      <c r="AM3111" t="str">
        <f>"10"</f>
        <v>10</v>
      </c>
      <c r="AN3111" t="str">
        <f>"500000"</f>
        <v>500000</v>
      </c>
      <c r="AO3111" t="str">
        <f>"הכנסות  מלקוחות"</f>
        <v>הכנסות  מלקוחות</v>
      </c>
      <c r="AQ3111" t="str">
        <f>"034"</f>
        <v>034</v>
      </c>
      <c r="AR3111">
        <v>0</v>
      </c>
      <c r="AS3111">
        <v>0</v>
      </c>
      <c r="AT3111">
        <v>3.218</v>
      </c>
      <c r="BB3111" t="str">
        <f>"Y"</f>
        <v>Y</v>
      </c>
      <c r="BD3111" t="str">
        <f>"ערן שלו"</f>
        <v>ערן שלו</v>
      </c>
    </row>
    <row r="3112" spans="1:56" x14ac:dyDescent="0.3">
      <c r="A3112" s="1">
        <v>44193</v>
      </c>
      <c r="B3112" t="str">
        <f>"SI206001479"</f>
        <v>SI206001479</v>
      </c>
      <c r="C3112" t="str">
        <f>"PR20000533"</f>
        <v>PR20000533</v>
      </c>
      <c r="E3112" t="str">
        <f>"Y"</f>
        <v>Y</v>
      </c>
      <c r="F3112" t="str">
        <f>"חשבוניות מרכזות"</f>
        <v>חשבוניות מרכזות</v>
      </c>
      <c r="G3112" t="str">
        <f>"700065"</f>
        <v>700065</v>
      </c>
      <c r="H3112" t="str">
        <f>"אלתא מערכות בע""מ"</f>
        <v>אלתא מערכות בע"מ</v>
      </c>
      <c r="I3112" t="str">
        <f>"10"</f>
        <v>10</v>
      </c>
      <c r="J3112" t="str">
        <f>"OP-AR01960"</f>
        <v>OP-AR01960</v>
      </c>
      <c r="K3112" t="str">
        <f>"NRE FOR E000316766"</f>
        <v>NRE FOR E000316766</v>
      </c>
      <c r="L3112">
        <v>1</v>
      </c>
      <c r="M3112" t="str">
        <f>"יח"</f>
        <v>יח</v>
      </c>
      <c r="N3112">
        <v>1</v>
      </c>
      <c r="O3112" t="str">
        <f>"יח"</f>
        <v>יח</v>
      </c>
      <c r="P3112" s="2">
        <v>2782.21</v>
      </c>
      <c r="Q3112" t="str">
        <f>"$"</f>
        <v>$</v>
      </c>
      <c r="R3112" t="str">
        <f>"הזמנה"</f>
        <v>הזמנה</v>
      </c>
      <c r="S3112">
        <v>0</v>
      </c>
      <c r="T3112" s="2">
        <v>2782.21</v>
      </c>
      <c r="U3112">
        <v>0</v>
      </c>
      <c r="V3112" s="2">
        <v>2782.21</v>
      </c>
      <c r="W3112" t="str">
        <f>"$"</f>
        <v>$</v>
      </c>
      <c r="X3112">
        <v>0</v>
      </c>
      <c r="Y3112">
        <v>0</v>
      </c>
      <c r="Z3112">
        <v>0</v>
      </c>
      <c r="AA3112" t="str">
        <f>"Y"</f>
        <v>Y</v>
      </c>
      <c r="AC3112">
        <v>0</v>
      </c>
      <c r="AM3112" t="str">
        <f>"10"</f>
        <v>10</v>
      </c>
      <c r="AN3112" t="str">
        <f>"500000"</f>
        <v>500000</v>
      </c>
      <c r="AO3112" t="str">
        <f>"הכנסות  מלקוחות"</f>
        <v>הכנסות  מלקוחות</v>
      </c>
      <c r="AQ3112" t="str">
        <f>"034"</f>
        <v>034</v>
      </c>
      <c r="AR3112">
        <v>0</v>
      </c>
      <c r="AS3112">
        <v>0</v>
      </c>
      <c r="AT3112">
        <v>3.218</v>
      </c>
      <c r="BB3112" t="str">
        <f>"Y"</f>
        <v>Y</v>
      </c>
      <c r="BD3112" t="str">
        <f>"ערן שלו"</f>
        <v>ערן שלו</v>
      </c>
    </row>
    <row r="3113" spans="1:56" x14ac:dyDescent="0.3">
      <c r="A3113" s="1">
        <v>44193</v>
      </c>
      <c r="B3113" t="str">
        <f>"SI206001478"</f>
        <v>SI206001478</v>
      </c>
      <c r="C3113" t="str">
        <f>"PR20000499"</f>
        <v>PR20000499</v>
      </c>
      <c r="D3113" t="str">
        <f>"PR20000499"</f>
        <v>PR20000499</v>
      </c>
      <c r="E3113" t="str">
        <f>"Y"</f>
        <v>Y</v>
      </c>
      <c r="F3113" t="str">
        <f>"חשבוניות מרכזות"</f>
        <v>חשבוניות מרכזות</v>
      </c>
      <c r="G3113" t="str">
        <f>"700065"</f>
        <v>700065</v>
      </c>
      <c r="H3113" t="str">
        <f>"אלתא מערכות בע""מ"</f>
        <v>אלתא מערכות בע"מ</v>
      </c>
      <c r="I3113" t="str">
        <f>"10"</f>
        <v>10</v>
      </c>
      <c r="J3113" t="str">
        <f>"OP-AR01920"</f>
        <v>OP-AR01920</v>
      </c>
      <c r="K3113" t="str">
        <f>"FAI+NRE FOR E000315878"</f>
        <v>FAI+NRE FOR E000315878</v>
      </c>
      <c r="L3113">
        <v>1</v>
      </c>
      <c r="M3113" t="str">
        <f>"יח"</f>
        <v>יח</v>
      </c>
      <c r="N3113">
        <v>1</v>
      </c>
      <c r="O3113" t="str">
        <f>"יח"</f>
        <v>יח</v>
      </c>
      <c r="P3113" s="2">
        <v>6150</v>
      </c>
      <c r="Q3113" t="str">
        <f>"$"</f>
        <v>$</v>
      </c>
      <c r="R3113" t="str">
        <f>"הזמנה"</f>
        <v>הזמנה</v>
      </c>
      <c r="S3113">
        <v>0</v>
      </c>
      <c r="T3113" s="2">
        <v>6150</v>
      </c>
      <c r="U3113">
        <v>0</v>
      </c>
      <c r="V3113" s="2">
        <v>6150</v>
      </c>
      <c r="W3113" t="str">
        <f>"$"</f>
        <v>$</v>
      </c>
      <c r="X3113">
        <v>0</v>
      </c>
      <c r="Y3113">
        <v>0</v>
      </c>
      <c r="Z3113">
        <v>0</v>
      </c>
      <c r="AA3113" t="str">
        <f>"Y"</f>
        <v>Y</v>
      </c>
      <c r="AB3113" t="str">
        <f>"SO20000305"</f>
        <v>SO20000305</v>
      </c>
      <c r="AC3113">
        <v>12</v>
      </c>
      <c r="AD3113" s="1">
        <v>44031</v>
      </c>
      <c r="AM3113" t="str">
        <f>"10"</f>
        <v>10</v>
      </c>
      <c r="AN3113" t="str">
        <f>"500000"</f>
        <v>500000</v>
      </c>
      <c r="AO3113" t="str">
        <f>"הכנסות  מלקוחות"</f>
        <v>הכנסות  מלקוחות</v>
      </c>
      <c r="AQ3113" t="str">
        <f>"034"</f>
        <v>034</v>
      </c>
      <c r="AR3113">
        <v>0</v>
      </c>
      <c r="AS3113">
        <v>0</v>
      </c>
      <c r="AT3113">
        <v>3.218</v>
      </c>
      <c r="AX3113" t="str">
        <f>"E000315878"</f>
        <v>E000315878</v>
      </c>
      <c r="BD3113" t="str">
        <f>"ערן שלו"</f>
        <v>ערן שלו</v>
      </c>
    </row>
    <row r="3114" spans="1:56" x14ac:dyDescent="0.3">
      <c r="A3114" s="1">
        <v>44193</v>
      </c>
      <c r="B3114" t="str">
        <f>"SI206001477"</f>
        <v>SI206001477</v>
      </c>
      <c r="C3114" t="str">
        <f>"PR20000066"</f>
        <v>PR20000066</v>
      </c>
      <c r="D3114" t="str">
        <f>"PR20000066"</f>
        <v>PR20000066</v>
      </c>
      <c r="E3114" t="str">
        <f>"Y"</f>
        <v>Y</v>
      </c>
      <c r="F3114" t="str">
        <f>"חשבוניות מרכזות"</f>
        <v>חשבוניות מרכזות</v>
      </c>
      <c r="G3114" t="str">
        <f>"700065"</f>
        <v>700065</v>
      </c>
      <c r="H3114" t="str">
        <f>"אלתא מערכות בע""מ"</f>
        <v>אלתא מערכות בע"מ</v>
      </c>
      <c r="I3114" t="str">
        <f>"10"</f>
        <v>10</v>
      </c>
      <c r="J3114" t="str">
        <f>"OP-AR01626"</f>
        <v>OP-AR01626</v>
      </c>
      <c r="K3114" t="str">
        <f>"עבור נגדיים להזמנה E000305063"</f>
        <v>עבור נגדיים להזמנה E000305063</v>
      </c>
      <c r="L3114">
        <v>1</v>
      </c>
      <c r="M3114" t="str">
        <f>"יח"</f>
        <v>יח</v>
      </c>
      <c r="N3114">
        <v>1</v>
      </c>
      <c r="O3114" t="str">
        <f>"יח"</f>
        <v>יח</v>
      </c>
      <c r="P3114" s="2">
        <v>3102.75</v>
      </c>
      <c r="Q3114" t="str">
        <f>"$"</f>
        <v>$</v>
      </c>
      <c r="R3114" t="str">
        <f>"הזמנה"</f>
        <v>הזמנה</v>
      </c>
      <c r="S3114">
        <v>0</v>
      </c>
      <c r="T3114" s="2">
        <v>3102.75</v>
      </c>
      <c r="U3114">
        <v>0</v>
      </c>
      <c r="V3114" s="2">
        <v>3102.75</v>
      </c>
      <c r="W3114" t="str">
        <f>"$"</f>
        <v>$</v>
      </c>
      <c r="X3114">
        <v>0</v>
      </c>
      <c r="Y3114">
        <v>0</v>
      </c>
      <c r="Z3114">
        <v>0</v>
      </c>
      <c r="AA3114" t="str">
        <f>"Y"</f>
        <v>Y</v>
      </c>
      <c r="AB3114" t="str">
        <f>"SO20000062"</f>
        <v>SO20000062</v>
      </c>
      <c r="AC3114">
        <v>22</v>
      </c>
      <c r="AD3114" s="1">
        <v>43870</v>
      </c>
      <c r="AM3114" t="str">
        <f>"10"</f>
        <v>10</v>
      </c>
      <c r="AN3114" t="str">
        <f>"500000"</f>
        <v>500000</v>
      </c>
      <c r="AO3114" t="str">
        <f>"הכנסות  מלקוחות"</f>
        <v>הכנסות  מלקוחות</v>
      </c>
      <c r="AQ3114" t="str">
        <f>"034"</f>
        <v>034</v>
      </c>
      <c r="AR3114">
        <v>0</v>
      </c>
      <c r="AS3114">
        <v>0</v>
      </c>
      <c r="AT3114">
        <v>3.218</v>
      </c>
      <c r="AX3114" t="str">
        <f>"E000305063"</f>
        <v>E000305063</v>
      </c>
      <c r="BD3114" t="str">
        <f>"ערן שלו"</f>
        <v>ערן שלו</v>
      </c>
    </row>
    <row r="3115" spans="1:56" x14ac:dyDescent="0.3">
      <c r="A3115" s="1">
        <v>44193</v>
      </c>
      <c r="B3115" t="str">
        <f>"SI206001477"</f>
        <v>SI206001477</v>
      </c>
      <c r="C3115" t="str">
        <f>"PR20000066"</f>
        <v>PR20000066</v>
      </c>
      <c r="D3115" t="str">
        <f>"PR20000066"</f>
        <v>PR20000066</v>
      </c>
      <c r="E3115" t="str">
        <f>"Y"</f>
        <v>Y</v>
      </c>
      <c r="F3115" t="str">
        <f>"חשבוניות מרכזות"</f>
        <v>חשבוניות מרכזות</v>
      </c>
      <c r="G3115" t="str">
        <f>"700065"</f>
        <v>700065</v>
      </c>
      <c r="H3115" t="str">
        <f>"אלתא מערכות בע""מ"</f>
        <v>אלתא מערכות בע"מ</v>
      </c>
      <c r="I3115" t="str">
        <f>"10"</f>
        <v>10</v>
      </c>
      <c r="J3115" t="str">
        <f>"000"</f>
        <v>000</v>
      </c>
      <c r="K3115" t="str">
        <f>"תוספת תשלום לטובת קידוםאספקו"</f>
        <v>תוספת תשלום לטובת קידוםאספקו</v>
      </c>
      <c r="L3115">
        <v>1</v>
      </c>
      <c r="M3115" t="str">
        <f>"יח"</f>
        <v>יח</v>
      </c>
      <c r="N3115">
        <v>1</v>
      </c>
      <c r="O3115" t="str">
        <f>"יח"</f>
        <v>יח</v>
      </c>
      <c r="P3115" s="2">
        <v>1649.63</v>
      </c>
      <c r="Q3115" t="str">
        <f>"$"</f>
        <v>$</v>
      </c>
      <c r="R3115" t="str">
        <f>"הזמנה"</f>
        <v>הזמנה</v>
      </c>
      <c r="S3115">
        <v>0</v>
      </c>
      <c r="T3115" s="2">
        <v>1649.63</v>
      </c>
      <c r="U3115">
        <v>0</v>
      </c>
      <c r="V3115" s="2">
        <v>1649.63</v>
      </c>
      <c r="W3115" t="str">
        <f>"$"</f>
        <v>$</v>
      </c>
      <c r="X3115">
        <v>0</v>
      </c>
      <c r="Y3115">
        <v>0</v>
      </c>
      <c r="Z3115">
        <v>0</v>
      </c>
      <c r="AA3115" t="str">
        <f>"Y"</f>
        <v>Y</v>
      </c>
      <c r="AB3115" t="str">
        <f>"SO20000062"</f>
        <v>SO20000062</v>
      </c>
      <c r="AC3115">
        <v>23</v>
      </c>
      <c r="AD3115" s="1">
        <v>43870</v>
      </c>
      <c r="AM3115" t="str">
        <f>"10"</f>
        <v>10</v>
      </c>
      <c r="AN3115" t="str">
        <f>"500000"</f>
        <v>500000</v>
      </c>
      <c r="AO3115" t="str">
        <f>"הכנסות  מלקוחות"</f>
        <v>הכנסות  מלקוחות</v>
      </c>
      <c r="AQ3115" t="str">
        <f>"034"</f>
        <v>034</v>
      </c>
      <c r="AR3115">
        <v>0</v>
      </c>
      <c r="AS3115">
        <v>0</v>
      </c>
      <c r="AT3115">
        <v>3.218</v>
      </c>
      <c r="AX3115" t="str">
        <f>"E000305063"</f>
        <v>E000305063</v>
      </c>
      <c r="BD3115" t="str">
        <f>"ערן שלו"</f>
        <v>ערן שלו</v>
      </c>
    </row>
    <row r="3116" spans="1:56" x14ac:dyDescent="0.3">
      <c r="A3116" s="1">
        <v>44193</v>
      </c>
      <c r="B3116" t="str">
        <f>"SI206001477"</f>
        <v>SI206001477</v>
      </c>
      <c r="C3116" t="str">
        <f>"PR20000066"</f>
        <v>PR20000066</v>
      </c>
      <c r="D3116" t="str">
        <f>"PR20000066"</f>
        <v>PR20000066</v>
      </c>
      <c r="E3116" t="str">
        <f>"Y"</f>
        <v>Y</v>
      </c>
      <c r="F3116" t="str">
        <f>"חשבוניות מרכזות"</f>
        <v>חשבוניות מרכזות</v>
      </c>
      <c r="G3116" t="str">
        <f>"700065"</f>
        <v>700065</v>
      </c>
      <c r="H3116" t="str">
        <f>"אלתא מערכות בע""מ"</f>
        <v>אלתא מערכות בע"מ</v>
      </c>
      <c r="I3116" t="str">
        <f>"10"</f>
        <v>10</v>
      </c>
      <c r="J3116" t="str">
        <f>"000"</f>
        <v>000</v>
      </c>
      <c r="K3116" t="str">
        <f>"תוספת עבור רכש פריטיםלהזמנה"</f>
        <v>תוספת עבור רכש פריטיםלהזמנה</v>
      </c>
      <c r="L3116">
        <v>1</v>
      </c>
      <c r="M3116" t="str">
        <f>"יח"</f>
        <v>יח</v>
      </c>
      <c r="N3116">
        <v>1</v>
      </c>
      <c r="O3116" t="str">
        <f>"יח"</f>
        <v>יח</v>
      </c>
      <c r="P3116" s="2">
        <v>1640.63</v>
      </c>
      <c r="Q3116" t="str">
        <f>"$"</f>
        <v>$</v>
      </c>
      <c r="R3116" t="str">
        <f>"הזמנה"</f>
        <v>הזמנה</v>
      </c>
      <c r="S3116">
        <v>0</v>
      </c>
      <c r="T3116" s="2">
        <v>1640.63</v>
      </c>
      <c r="U3116">
        <v>0</v>
      </c>
      <c r="V3116" s="2">
        <v>1640.63</v>
      </c>
      <c r="W3116" t="str">
        <f>"$"</f>
        <v>$</v>
      </c>
      <c r="X3116">
        <v>0</v>
      </c>
      <c r="Y3116">
        <v>0</v>
      </c>
      <c r="Z3116">
        <v>0</v>
      </c>
      <c r="AA3116" t="str">
        <f>"Y"</f>
        <v>Y</v>
      </c>
      <c r="AB3116" t="str">
        <f>"SO20000062"</f>
        <v>SO20000062</v>
      </c>
      <c r="AC3116">
        <v>24</v>
      </c>
      <c r="AD3116" s="1">
        <v>43870</v>
      </c>
      <c r="AM3116" t="str">
        <f>"10"</f>
        <v>10</v>
      </c>
      <c r="AN3116" t="str">
        <f>"500000"</f>
        <v>500000</v>
      </c>
      <c r="AO3116" t="str">
        <f>"הכנסות  מלקוחות"</f>
        <v>הכנסות  מלקוחות</v>
      </c>
      <c r="AQ3116" t="str">
        <f>"034"</f>
        <v>034</v>
      </c>
      <c r="AR3116">
        <v>0</v>
      </c>
      <c r="AS3116">
        <v>0</v>
      </c>
      <c r="AT3116">
        <v>3.218</v>
      </c>
      <c r="AX3116" t="str">
        <f>"E000305063"</f>
        <v>E000305063</v>
      </c>
      <c r="BD3116" t="str">
        <f>"ערן שלו"</f>
        <v>ערן שלו</v>
      </c>
    </row>
    <row r="3117" spans="1:56" x14ac:dyDescent="0.3">
      <c r="A3117" s="1">
        <v>44189</v>
      </c>
      <c r="B3117" t="str">
        <f>"SI206001461"</f>
        <v>SI206001461</v>
      </c>
      <c r="C3117" t="str">
        <f>"PR20000821"</f>
        <v>PR20000821</v>
      </c>
      <c r="D3117" t="str">
        <f>"PR20000821"</f>
        <v>PR20000821</v>
      </c>
      <c r="E3117" t="str">
        <f>"Y"</f>
        <v>Y</v>
      </c>
      <c r="F3117" t="str">
        <f>"חשבוניות מרכזות"</f>
        <v>חשבוניות מרכזות</v>
      </c>
      <c r="G3117" t="str">
        <f>"700065"</f>
        <v>700065</v>
      </c>
      <c r="H3117" t="str">
        <f>"אלתא מערכות בע""מ"</f>
        <v>אלתא מערכות בע"מ</v>
      </c>
      <c r="I3117" t="str">
        <f>"10"</f>
        <v>10</v>
      </c>
      <c r="J3117" t="str">
        <f>"PD0300225"</f>
        <v>PD0300225</v>
      </c>
      <c r="K3117" t="str">
        <f>"רגש טמפרטורה ולחות COMET T3110 4-20mA"</f>
        <v>רגש טמפרטורה ולחות COMET T3110 4-20mA</v>
      </c>
      <c r="L3117">
        <v>1</v>
      </c>
      <c r="M3117" t="str">
        <f>"יח"</f>
        <v>יח</v>
      </c>
      <c r="N3117">
        <v>1</v>
      </c>
      <c r="O3117" t="str">
        <f>"יח"</f>
        <v>יח</v>
      </c>
      <c r="P3117">
        <v>245</v>
      </c>
      <c r="Q3117" t="str">
        <f>"$"</f>
        <v>$</v>
      </c>
      <c r="R3117" t="str">
        <f>"הזמנה"</f>
        <v>הזמנה</v>
      </c>
      <c r="S3117">
        <v>0</v>
      </c>
      <c r="T3117">
        <v>245</v>
      </c>
      <c r="U3117">
        <v>0</v>
      </c>
      <c r="V3117">
        <v>245</v>
      </c>
      <c r="W3117" t="str">
        <f>"$"</f>
        <v>$</v>
      </c>
      <c r="X3117">
        <v>0</v>
      </c>
      <c r="Y3117">
        <v>0</v>
      </c>
      <c r="Z3117">
        <v>0</v>
      </c>
      <c r="AA3117" t="str">
        <f>"Y"</f>
        <v>Y</v>
      </c>
      <c r="AB3117" t="str">
        <f>"SO20000538"</f>
        <v>SO20000538</v>
      </c>
      <c r="AC3117">
        <v>1</v>
      </c>
      <c r="AD3117" s="1">
        <v>44157</v>
      </c>
      <c r="AE3117" t="str">
        <f>"SH20001751"</f>
        <v>SH20001751</v>
      </c>
      <c r="AF3117" t="str">
        <f>"משלוחים ללקוח"</f>
        <v>משלוחים ללקוח</v>
      </c>
      <c r="AG3117" s="1">
        <v>44188</v>
      </c>
      <c r="AM3117" t="str">
        <f>"10"</f>
        <v>10</v>
      </c>
      <c r="AN3117" t="str">
        <f>"500000"</f>
        <v>500000</v>
      </c>
      <c r="AO3117" t="str">
        <f>"הכנסות  מלקוחות"</f>
        <v>הכנסות  מלקוחות</v>
      </c>
      <c r="AQ3117" t="str">
        <f>"034"</f>
        <v>034</v>
      </c>
      <c r="AR3117">
        <v>0</v>
      </c>
      <c r="AS3117">
        <v>0</v>
      </c>
      <c r="AT3117">
        <v>3.222</v>
      </c>
      <c r="AX3117" t="str">
        <f>"E000326639"</f>
        <v>E000326639</v>
      </c>
      <c r="BD3117" t="str">
        <f>"ערן שלו"</f>
        <v>ערן שלו</v>
      </c>
    </row>
    <row r="3118" spans="1:56" x14ac:dyDescent="0.3">
      <c r="A3118" s="1">
        <v>44189</v>
      </c>
      <c r="B3118" t="str">
        <f>"SI206001461"</f>
        <v>SI206001461</v>
      </c>
      <c r="C3118" t="str">
        <f>"PR20000821"</f>
        <v>PR20000821</v>
      </c>
      <c r="D3118" t="str">
        <f>"PR20000821"</f>
        <v>PR20000821</v>
      </c>
      <c r="E3118" t="str">
        <f>"Y"</f>
        <v>Y</v>
      </c>
      <c r="F3118" t="str">
        <f>"חשבוניות מרכזות"</f>
        <v>חשבוניות מרכזות</v>
      </c>
      <c r="G3118" t="str">
        <f>"700065"</f>
        <v>700065</v>
      </c>
      <c r="H3118" t="str">
        <f>"אלתא מערכות בע""מ"</f>
        <v>אלתא מערכות בע"מ</v>
      </c>
      <c r="I3118" t="str">
        <f>"10"</f>
        <v>10</v>
      </c>
      <c r="J3118" t="str">
        <f>"PD0300225"</f>
        <v>PD0300225</v>
      </c>
      <c r="K3118" t="str">
        <f>"רגש טמפרטורה ולחות COMET T3110 4-20mA"</f>
        <v>רגש טמפרטורה ולחות COMET T3110 4-20mA</v>
      </c>
      <c r="L3118">
        <v>2</v>
      </c>
      <c r="M3118" t="str">
        <f>"יח"</f>
        <v>יח</v>
      </c>
      <c r="N3118">
        <v>2</v>
      </c>
      <c r="O3118" t="str">
        <f>"יח"</f>
        <v>יח</v>
      </c>
      <c r="P3118">
        <v>245</v>
      </c>
      <c r="Q3118" t="str">
        <f>"$"</f>
        <v>$</v>
      </c>
      <c r="R3118" t="str">
        <f>"הזמנה"</f>
        <v>הזמנה</v>
      </c>
      <c r="S3118">
        <v>0</v>
      </c>
      <c r="T3118">
        <v>490</v>
      </c>
      <c r="U3118">
        <v>0</v>
      </c>
      <c r="V3118">
        <v>490</v>
      </c>
      <c r="W3118" t="str">
        <f>"$"</f>
        <v>$</v>
      </c>
      <c r="X3118">
        <v>0</v>
      </c>
      <c r="Y3118">
        <v>0</v>
      </c>
      <c r="Z3118">
        <v>0</v>
      </c>
      <c r="AA3118" t="str">
        <f>"Y"</f>
        <v>Y</v>
      </c>
      <c r="AB3118" t="str">
        <f>"SO20000538"</f>
        <v>SO20000538</v>
      </c>
      <c r="AC3118">
        <v>2</v>
      </c>
      <c r="AD3118" s="1">
        <v>44157</v>
      </c>
      <c r="AE3118" t="str">
        <f>"SH20001751"</f>
        <v>SH20001751</v>
      </c>
      <c r="AF3118" t="str">
        <f>"משלוחים ללקוח"</f>
        <v>משלוחים ללקוח</v>
      </c>
      <c r="AG3118" s="1">
        <v>44188</v>
      </c>
      <c r="AM3118" t="str">
        <f>"10"</f>
        <v>10</v>
      </c>
      <c r="AN3118" t="str">
        <f>"500000"</f>
        <v>500000</v>
      </c>
      <c r="AO3118" t="str">
        <f>"הכנסות  מלקוחות"</f>
        <v>הכנסות  מלקוחות</v>
      </c>
      <c r="AQ3118" t="str">
        <f>"034"</f>
        <v>034</v>
      </c>
      <c r="AR3118">
        <v>0</v>
      </c>
      <c r="AS3118">
        <v>0</v>
      </c>
      <c r="AT3118">
        <v>3.222</v>
      </c>
      <c r="AX3118" t="str">
        <f>"E000326639"</f>
        <v>E000326639</v>
      </c>
      <c r="BD3118" t="str">
        <f>"ערן שלו"</f>
        <v>ערן שלו</v>
      </c>
    </row>
    <row r="3119" spans="1:56" x14ac:dyDescent="0.3">
      <c r="A3119" s="1">
        <v>44189</v>
      </c>
      <c r="B3119" t="str">
        <f>"SI206001460"</f>
        <v>SI206001460</v>
      </c>
      <c r="C3119" t="str">
        <f>"PR20000348"</f>
        <v>PR20000348</v>
      </c>
      <c r="E3119" t="str">
        <f>"Y"</f>
        <v>Y</v>
      </c>
      <c r="F3119" t="str">
        <f>"חשבוניות מרכזות"</f>
        <v>חשבוניות מרכזות</v>
      </c>
      <c r="G3119" t="str">
        <f>"700065"</f>
        <v>700065</v>
      </c>
      <c r="H3119" t="str">
        <f>"אלתא מערכות בע""מ"</f>
        <v>אלתא מערכות בע"מ</v>
      </c>
      <c r="I3119" t="str">
        <f>"10"</f>
        <v>10</v>
      </c>
      <c r="J3119" t="str">
        <f>"OP-AR01764"</f>
        <v>OP-AR01764</v>
      </c>
      <c r="K3119" t="str">
        <f>"1036U404-001 WP434 - POWER 230VAC AUX-BOX TO MEB"</f>
        <v>1036U404-001 WP434 - POWER 230VAC AUX-BOX TO MEB</v>
      </c>
      <c r="L3119">
        <v>2</v>
      </c>
      <c r="M3119" t="str">
        <f>"יח"</f>
        <v>יח</v>
      </c>
      <c r="N3119">
        <v>2</v>
      </c>
      <c r="O3119" t="str">
        <f>"יח"</f>
        <v>יח</v>
      </c>
      <c r="P3119">
        <v>642.42999999999995</v>
      </c>
      <c r="Q3119" t="str">
        <f>"$"</f>
        <v>$</v>
      </c>
      <c r="R3119" t="str">
        <f>"הזמנה"</f>
        <v>הזמנה</v>
      </c>
      <c r="S3119">
        <v>0</v>
      </c>
      <c r="T3119" s="2">
        <v>1284.8599999999999</v>
      </c>
      <c r="U3119">
        <v>0</v>
      </c>
      <c r="V3119" s="2">
        <v>1284.8599999999999</v>
      </c>
      <c r="W3119" t="str">
        <f>"$"</f>
        <v>$</v>
      </c>
      <c r="X3119">
        <v>0</v>
      </c>
      <c r="Y3119">
        <v>0</v>
      </c>
      <c r="Z3119">
        <v>0</v>
      </c>
      <c r="AA3119" t="str">
        <f>"Y"</f>
        <v>Y</v>
      </c>
      <c r="AB3119" t="str">
        <f>"SO20000201"</f>
        <v>SO20000201</v>
      </c>
      <c r="AC3119">
        <v>31</v>
      </c>
      <c r="AD3119" s="1">
        <v>43970</v>
      </c>
      <c r="AE3119" t="str">
        <f>"SH20001750"</f>
        <v>SH20001750</v>
      </c>
      <c r="AF3119" t="str">
        <f>"משלוחים ללקוח"</f>
        <v>משלוחים ללקוח</v>
      </c>
      <c r="AG3119" s="1">
        <v>44188</v>
      </c>
      <c r="AM3119" t="str">
        <f>"10"</f>
        <v>10</v>
      </c>
      <c r="AN3119" t="str">
        <f>"500000"</f>
        <v>500000</v>
      </c>
      <c r="AO3119" t="str">
        <f>"הכנסות  מלקוחות"</f>
        <v>הכנסות  מלקוחות</v>
      </c>
      <c r="AQ3119" t="str">
        <f>"034"</f>
        <v>034</v>
      </c>
      <c r="AR3119">
        <v>0</v>
      </c>
      <c r="AS3119">
        <v>0</v>
      </c>
      <c r="AT3119">
        <v>3.222</v>
      </c>
      <c r="AX3119" t="str">
        <f>"E000311250"</f>
        <v>E000311250</v>
      </c>
      <c r="BD3119" t="str">
        <f>"ערן שלו"</f>
        <v>ערן שלו</v>
      </c>
    </row>
    <row r="3120" spans="1:56" x14ac:dyDescent="0.3">
      <c r="A3120" s="1">
        <v>44189</v>
      </c>
      <c r="B3120" t="str">
        <f>"SI206001459"</f>
        <v>SI206001459</v>
      </c>
      <c r="C3120" t="str">
        <f>"PR20000348"</f>
        <v>PR20000348</v>
      </c>
      <c r="E3120" t="str">
        <f>"Y"</f>
        <v>Y</v>
      </c>
      <c r="F3120" t="str">
        <f>"חשבוניות מרכזות"</f>
        <v>חשבוניות מרכזות</v>
      </c>
      <c r="G3120" t="str">
        <f>"700065"</f>
        <v>700065</v>
      </c>
      <c r="H3120" t="str">
        <f>"אלתא מערכות בע""מ"</f>
        <v>אלתא מערכות בע"מ</v>
      </c>
      <c r="I3120" t="str">
        <f>"10"</f>
        <v>10</v>
      </c>
      <c r="J3120" t="str">
        <f>"OP-AR01738"</f>
        <v>OP-AR01738</v>
      </c>
      <c r="K3120" t="str">
        <f>"1029P331-003 WP031 - PWR 230VAC FANS AUX-BOX TO"</f>
        <v>1029P331-003 WP031 - PWR 230VAC FANS AUX-BOX TO</v>
      </c>
      <c r="L3120">
        <v>2</v>
      </c>
      <c r="M3120" t="str">
        <f>"יח"</f>
        <v>יח</v>
      </c>
      <c r="N3120">
        <v>2</v>
      </c>
      <c r="O3120" t="str">
        <f>"יח"</f>
        <v>יח</v>
      </c>
      <c r="P3120" s="2">
        <v>1273.44</v>
      </c>
      <c r="Q3120" t="str">
        <f>"$"</f>
        <v>$</v>
      </c>
      <c r="R3120" t="str">
        <f>"הזמנה"</f>
        <v>הזמנה</v>
      </c>
      <c r="S3120">
        <v>0</v>
      </c>
      <c r="T3120" s="2">
        <v>2546.88</v>
      </c>
      <c r="U3120">
        <v>0</v>
      </c>
      <c r="V3120" s="2">
        <v>2546.88</v>
      </c>
      <c r="W3120" t="str">
        <f>"$"</f>
        <v>$</v>
      </c>
      <c r="X3120">
        <v>0</v>
      </c>
      <c r="Y3120">
        <v>0</v>
      </c>
      <c r="Z3120">
        <v>0</v>
      </c>
      <c r="AA3120" t="str">
        <f>"Y"</f>
        <v>Y</v>
      </c>
      <c r="AB3120" t="str">
        <f>"SO20000201"</f>
        <v>SO20000201</v>
      </c>
      <c r="AC3120">
        <v>6</v>
      </c>
      <c r="AD3120" s="1">
        <v>43970</v>
      </c>
      <c r="AE3120" t="str">
        <f>"SH20001748"</f>
        <v>SH20001748</v>
      </c>
      <c r="AF3120" t="str">
        <f>"משלוחים ללקוח"</f>
        <v>משלוחים ללקוח</v>
      </c>
      <c r="AG3120" s="1">
        <v>44187</v>
      </c>
      <c r="AM3120" t="str">
        <f>"10"</f>
        <v>10</v>
      </c>
      <c r="AN3120" t="str">
        <f>"500000"</f>
        <v>500000</v>
      </c>
      <c r="AO3120" t="str">
        <f>"הכנסות  מלקוחות"</f>
        <v>הכנסות  מלקוחות</v>
      </c>
      <c r="AQ3120" t="str">
        <f>"034"</f>
        <v>034</v>
      </c>
      <c r="AR3120">
        <v>0</v>
      </c>
      <c r="AS3120">
        <v>0</v>
      </c>
      <c r="AT3120">
        <v>3.222</v>
      </c>
      <c r="AX3120" t="str">
        <f>"E000311250"</f>
        <v>E000311250</v>
      </c>
      <c r="BD3120" t="str">
        <f>"ערן שלו"</f>
        <v>ערן שלו</v>
      </c>
    </row>
    <row r="3121" spans="1:56" x14ac:dyDescent="0.3">
      <c r="A3121" s="1">
        <v>44189</v>
      </c>
      <c r="B3121" t="str">
        <f>"SI206001459"</f>
        <v>SI206001459</v>
      </c>
      <c r="C3121" t="str">
        <f>"PR20000348"</f>
        <v>PR20000348</v>
      </c>
      <c r="E3121" t="str">
        <f>"Y"</f>
        <v>Y</v>
      </c>
      <c r="F3121" t="str">
        <f>"חשבוניות מרכזות"</f>
        <v>חשבוניות מרכזות</v>
      </c>
      <c r="G3121" t="str">
        <f>"700065"</f>
        <v>700065</v>
      </c>
      <c r="H3121" t="str">
        <f>"אלתא מערכות בע""מ"</f>
        <v>אלתא מערכות בע"מ</v>
      </c>
      <c r="I3121" t="str">
        <f>"10"</f>
        <v>10</v>
      </c>
      <c r="J3121" t="str">
        <f>"OP-AR01747"</f>
        <v>OP-AR01747</v>
      </c>
      <c r="K3121" t="str">
        <f>"1029P310-002 WP010 - CONTROL AND DATA MEB TO PED"</f>
        <v>1029P310-002 WP010 - CONTROL AND DATA MEB TO PED</v>
      </c>
      <c r="L3121">
        <v>2</v>
      </c>
      <c r="M3121" t="str">
        <f>"יח"</f>
        <v>יח</v>
      </c>
      <c r="N3121">
        <v>2</v>
      </c>
      <c r="O3121" t="str">
        <f>"יח"</f>
        <v>יח</v>
      </c>
      <c r="P3121" s="2">
        <v>1045.54</v>
      </c>
      <c r="Q3121" t="str">
        <f>"$"</f>
        <v>$</v>
      </c>
      <c r="R3121" t="str">
        <f>"הזמנה"</f>
        <v>הזמנה</v>
      </c>
      <c r="S3121">
        <v>0</v>
      </c>
      <c r="T3121" s="2">
        <v>2091.08</v>
      </c>
      <c r="U3121">
        <v>0</v>
      </c>
      <c r="V3121" s="2">
        <v>2091.08</v>
      </c>
      <c r="W3121" t="str">
        <f>"$"</f>
        <v>$</v>
      </c>
      <c r="X3121">
        <v>0</v>
      </c>
      <c r="Y3121">
        <v>0</v>
      </c>
      <c r="Z3121">
        <v>0</v>
      </c>
      <c r="AA3121" t="str">
        <f>"Y"</f>
        <v>Y</v>
      </c>
      <c r="AB3121" t="str">
        <f>"SO20000201"</f>
        <v>SO20000201</v>
      </c>
      <c r="AC3121">
        <v>15</v>
      </c>
      <c r="AD3121" s="1">
        <v>43970</v>
      </c>
      <c r="AE3121" t="str">
        <f>"SH20001748"</f>
        <v>SH20001748</v>
      </c>
      <c r="AF3121" t="str">
        <f>"משלוחים ללקוח"</f>
        <v>משלוחים ללקוח</v>
      </c>
      <c r="AG3121" s="1">
        <v>44187</v>
      </c>
      <c r="AM3121" t="str">
        <f>"10"</f>
        <v>10</v>
      </c>
      <c r="AN3121" t="str">
        <f>"500000"</f>
        <v>500000</v>
      </c>
      <c r="AO3121" t="str">
        <f>"הכנסות  מלקוחות"</f>
        <v>הכנסות  מלקוחות</v>
      </c>
      <c r="AQ3121" t="str">
        <f>"034"</f>
        <v>034</v>
      </c>
      <c r="AR3121">
        <v>0</v>
      </c>
      <c r="AS3121">
        <v>0</v>
      </c>
      <c r="AT3121">
        <v>3.222</v>
      </c>
      <c r="AX3121" t="str">
        <f>"E000311250"</f>
        <v>E000311250</v>
      </c>
      <c r="BD3121" t="str">
        <f>"ערן שלו"</f>
        <v>ערן שלו</v>
      </c>
    </row>
    <row r="3122" spans="1:56" x14ac:dyDescent="0.3">
      <c r="A3122" s="1">
        <v>44189</v>
      </c>
      <c r="B3122" t="str">
        <f>"SI206001458"</f>
        <v>SI206001458</v>
      </c>
      <c r="C3122" t="str">
        <f>"PR20000066"</f>
        <v>PR20000066</v>
      </c>
      <c r="D3122" t="str">
        <f>"PR20000066"</f>
        <v>PR20000066</v>
      </c>
      <c r="E3122" t="str">
        <f>"Y"</f>
        <v>Y</v>
      </c>
      <c r="F3122" t="str">
        <f>"חשבוניות מרכזות"</f>
        <v>חשבוניות מרכזות</v>
      </c>
      <c r="G3122" t="str">
        <f>"700065"</f>
        <v>700065</v>
      </c>
      <c r="H3122" t="str">
        <f>"אלתא מערכות בע""מ"</f>
        <v>אלתא מערכות בע"מ</v>
      </c>
      <c r="I3122" t="str">
        <f>"10"</f>
        <v>10</v>
      </c>
      <c r="J3122" t="str">
        <f>"OP-AR01629"</f>
        <v>OP-AR01629</v>
      </c>
      <c r="K3122" t="str">
        <f>"1041G111-001 W111-ANT LH SIDE FSC 30V PWR-cust"</f>
        <v>1041G111-001 W111-ANT LH SIDE FSC 30V PWR-cust</v>
      </c>
      <c r="L3122">
        <v>2</v>
      </c>
      <c r="M3122" t="str">
        <f>"יח"</f>
        <v>יח</v>
      </c>
      <c r="N3122">
        <v>2</v>
      </c>
      <c r="O3122" t="str">
        <f>"יח"</f>
        <v>יח</v>
      </c>
      <c r="P3122" s="2">
        <v>1564.01</v>
      </c>
      <c r="Q3122" t="str">
        <f>"$"</f>
        <v>$</v>
      </c>
      <c r="R3122" t="str">
        <f>"הזמנה"</f>
        <v>הזמנה</v>
      </c>
      <c r="S3122">
        <v>0</v>
      </c>
      <c r="T3122" s="2">
        <v>3128.02</v>
      </c>
      <c r="U3122">
        <v>0</v>
      </c>
      <c r="V3122" s="2">
        <v>3128.02</v>
      </c>
      <c r="W3122" t="str">
        <f>"$"</f>
        <v>$</v>
      </c>
      <c r="X3122">
        <v>0</v>
      </c>
      <c r="Y3122">
        <v>0</v>
      </c>
      <c r="Z3122">
        <v>0</v>
      </c>
      <c r="AA3122" t="str">
        <f>"Y"</f>
        <v>Y</v>
      </c>
      <c r="AB3122" t="str">
        <f>"SO20000062"</f>
        <v>SO20000062</v>
      </c>
      <c r="AC3122">
        <v>6</v>
      </c>
      <c r="AD3122" s="1">
        <v>43870</v>
      </c>
      <c r="AE3122" t="str">
        <f>"SH20001746"</f>
        <v>SH20001746</v>
      </c>
      <c r="AF3122" t="str">
        <f>"משלוחים ללקוח"</f>
        <v>משלוחים ללקוח</v>
      </c>
      <c r="AG3122" s="1">
        <v>44187</v>
      </c>
      <c r="AM3122" t="str">
        <f>"10"</f>
        <v>10</v>
      </c>
      <c r="AN3122" t="str">
        <f>"500000"</f>
        <v>500000</v>
      </c>
      <c r="AO3122" t="str">
        <f>"הכנסות  מלקוחות"</f>
        <v>הכנסות  מלקוחות</v>
      </c>
      <c r="AQ3122" t="str">
        <f>"034"</f>
        <v>034</v>
      </c>
      <c r="AR3122">
        <v>0</v>
      </c>
      <c r="AS3122">
        <v>0</v>
      </c>
      <c r="AT3122">
        <v>3.222</v>
      </c>
      <c r="AX3122" t="str">
        <f>"E000305063"</f>
        <v>E000305063</v>
      </c>
      <c r="BD3122" t="str">
        <f>"ערן שלו"</f>
        <v>ערן שלו</v>
      </c>
    </row>
    <row r="3123" spans="1:56" x14ac:dyDescent="0.3">
      <c r="A3123" s="1">
        <v>44189</v>
      </c>
      <c r="B3123" t="str">
        <f>"SI206001458"</f>
        <v>SI206001458</v>
      </c>
      <c r="C3123" t="str">
        <f>"PR20000066"</f>
        <v>PR20000066</v>
      </c>
      <c r="D3123" t="str">
        <f>"PR20000066"</f>
        <v>PR20000066</v>
      </c>
      <c r="E3123" t="str">
        <f>"Y"</f>
        <v>Y</v>
      </c>
      <c r="F3123" t="str">
        <f>"חשבוניות מרכזות"</f>
        <v>חשבוניות מרכזות</v>
      </c>
      <c r="G3123" t="str">
        <f>"700065"</f>
        <v>700065</v>
      </c>
      <c r="H3123" t="str">
        <f>"אלתא מערכות בע""מ"</f>
        <v>אלתא מערכות בע"מ</v>
      </c>
      <c r="I3123" t="str">
        <f>"10"</f>
        <v>10</v>
      </c>
      <c r="J3123" t="str">
        <f>"OP-AR01624"</f>
        <v>OP-AR01624</v>
      </c>
      <c r="K3123" t="str">
        <f>"1041G201-001 FSC control short cable"</f>
        <v>1041G201-001 FSC control short cable</v>
      </c>
      <c r="L3123">
        <v>1</v>
      </c>
      <c r="M3123" t="str">
        <f>"יח"</f>
        <v>יח</v>
      </c>
      <c r="N3123">
        <v>1</v>
      </c>
      <c r="O3123" t="str">
        <f>"יח"</f>
        <v>יח</v>
      </c>
      <c r="P3123" s="2">
        <v>1269.83</v>
      </c>
      <c r="Q3123" t="str">
        <f>"$"</f>
        <v>$</v>
      </c>
      <c r="R3123" t="str">
        <f>"הזמנה"</f>
        <v>הזמנה</v>
      </c>
      <c r="S3123">
        <v>0</v>
      </c>
      <c r="T3123" s="2">
        <v>1269.83</v>
      </c>
      <c r="U3123">
        <v>0</v>
      </c>
      <c r="V3123" s="2">
        <v>1269.83</v>
      </c>
      <c r="W3123" t="str">
        <f>"$"</f>
        <v>$</v>
      </c>
      <c r="X3123">
        <v>0</v>
      </c>
      <c r="Y3123">
        <v>0</v>
      </c>
      <c r="Z3123">
        <v>0</v>
      </c>
      <c r="AA3123" t="str">
        <f>"Y"</f>
        <v>Y</v>
      </c>
      <c r="AB3123" t="str">
        <f>"SO20000062"</f>
        <v>SO20000062</v>
      </c>
      <c r="AC3123">
        <v>18</v>
      </c>
      <c r="AD3123" s="1">
        <v>43870</v>
      </c>
      <c r="AE3123" t="str">
        <f>"SH20001746"</f>
        <v>SH20001746</v>
      </c>
      <c r="AF3123" t="str">
        <f>"משלוחים ללקוח"</f>
        <v>משלוחים ללקוח</v>
      </c>
      <c r="AG3123" s="1">
        <v>44187</v>
      </c>
      <c r="AM3123" t="str">
        <f>"10"</f>
        <v>10</v>
      </c>
      <c r="AN3123" t="str">
        <f>"500000"</f>
        <v>500000</v>
      </c>
      <c r="AO3123" t="str">
        <f>"הכנסות  מלקוחות"</f>
        <v>הכנסות  מלקוחות</v>
      </c>
      <c r="AQ3123" t="str">
        <f>"034"</f>
        <v>034</v>
      </c>
      <c r="AR3123">
        <v>0</v>
      </c>
      <c r="AS3123">
        <v>0</v>
      </c>
      <c r="AT3123">
        <v>3.222</v>
      </c>
      <c r="AX3123" t="str">
        <f>"E000305063"</f>
        <v>E000305063</v>
      </c>
      <c r="BD3123" t="str">
        <f>"ערן שלו"</f>
        <v>ערן שלו</v>
      </c>
    </row>
    <row r="3124" spans="1:56" x14ac:dyDescent="0.3">
      <c r="A3124" s="1">
        <v>44189</v>
      </c>
      <c r="B3124" t="str">
        <f>"SI206001457"</f>
        <v>SI206001457</v>
      </c>
      <c r="C3124" t="str">
        <f>"PR20000500"</f>
        <v>PR20000500</v>
      </c>
      <c r="D3124" t="str">
        <f>"PR20000500"</f>
        <v>PR20000500</v>
      </c>
      <c r="E3124" t="str">
        <f>"Y"</f>
        <v>Y</v>
      </c>
      <c r="F3124" t="str">
        <f>"חשבוניות מרכזות"</f>
        <v>חשבוניות מרכזות</v>
      </c>
      <c r="G3124" t="str">
        <f>"700065"</f>
        <v>700065</v>
      </c>
      <c r="H3124" t="str">
        <f>"אלתא מערכות בע""מ"</f>
        <v>אלתא מערכות בע"מ</v>
      </c>
      <c r="I3124" t="str">
        <f>"10"</f>
        <v>10</v>
      </c>
      <c r="J3124" t="str">
        <f>"OP-AR01935"</f>
        <v>OP-AR01935</v>
      </c>
      <c r="K3124" t="str">
        <f>"1023B563-001/B  HARNESS WV063 - JACKS MOTOR POWE"</f>
        <v>1023B563-001/B  HARNESS WV063 - JACKS MOTOR POWE</v>
      </c>
      <c r="L3124">
        <v>1</v>
      </c>
      <c r="M3124" t="str">
        <f>"יח"</f>
        <v>יח</v>
      </c>
      <c r="N3124">
        <v>1</v>
      </c>
      <c r="O3124" t="str">
        <f>"יח"</f>
        <v>יח</v>
      </c>
      <c r="P3124">
        <v>463.86</v>
      </c>
      <c r="Q3124" t="str">
        <f>"$"</f>
        <v>$</v>
      </c>
      <c r="R3124" t="str">
        <f>"הזמנה"</f>
        <v>הזמנה</v>
      </c>
      <c r="S3124">
        <v>0</v>
      </c>
      <c r="T3124">
        <v>463.86</v>
      </c>
      <c r="U3124">
        <v>0</v>
      </c>
      <c r="V3124">
        <v>463.86</v>
      </c>
      <c r="W3124" t="str">
        <f>"$"</f>
        <v>$</v>
      </c>
      <c r="X3124">
        <v>0</v>
      </c>
      <c r="Y3124">
        <v>0</v>
      </c>
      <c r="Z3124">
        <v>0</v>
      </c>
      <c r="AA3124" t="str">
        <f>"Y"</f>
        <v>Y</v>
      </c>
      <c r="AB3124" t="str">
        <f>"SO20000307"</f>
        <v>SO20000307</v>
      </c>
      <c r="AC3124">
        <v>1</v>
      </c>
      <c r="AD3124" s="1">
        <v>44031</v>
      </c>
      <c r="AE3124" t="str">
        <f>"SH20001743"</f>
        <v>SH20001743</v>
      </c>
      <c r="AF3124" t="str">
        <f>"משלוחים ללקוח"</f>
        <v>משלוחים ללקוח</v>
      </c>
      <c r="AG3124" s="1">
        <v>44187</v>
      </c>
      <c r="AM3124" t="str">
        <f>"10"</f>
        <v>10</v>
      </c>
      <c r="AN3124" t="str">
        <f>"500000"</f>
        <v>500000</v>
      </c>
      <c r="AO3124" t="str">
        <f>"הכנסות  מלקוחות"</f>
        <v>הכנסות  מלקוחות</v>
      </c>
      <c r="AQ3124" t="str">
        <f>"034"</f>
        <v>034</v>
      </c>
      <c r="AR3124">
        <v>0</v>
      </c>
      <c r="AS3124">
        <v>0</v>
      </c>
      <c r="AT3124">
        <v>3.222</v>
      </c>
      <c r="AX3124" t="str">
        <f>"E000316435"</f>
        <v>E000316435</v>
      </c>
      <c r="BD3124" t="str">
        <f>"ערן שלו"</f>
        <v>ערן שלו</v>
      </c>
    </row>
    <row r="3125" spans="1:56" x14ac:dyDescent="0.3">
      <c r="A3125" s="1">
        <v>44189</v>
      </c>
      <c r="B3125" t="str">
        <f>"SI206001457"</f>
        <v>SI206001457</v>
      </c>
      <c r="C3125" t="str">
        <f>"PR20000500"</f>
        <v>PR20000500</v>
      </c>
      <c r="D3125" t="str">
        <f>"PR20000500"</f>
        <v>PR20000500</v>
      </c>
      <c r="E3125" t="str">
        <f>"Y"</f>
        <v>Y</v>
      </c>
      <c r="F3125" t="str">
        <f>"חשבוניות מרכזות"</f>
        <v>חשבוניות מרכזות</v>
      </c>
      <c r="G3125" t="str">
        <f>"700065"</f>
        <v>700065</v>
      </c>
      <c r="H3125" t="str">
        <f>"אלתא מערכות בע""מ"</f>
        <v>אלתא מערכות בע"מ</v>
      </c>
      <c r="I3125" t="str">
        <f>"10"</f>
        <v>10</v>
      </c>
      <c r="J3125" t="str">
        <f>"OP-AR01935"</f>
        <v>OP-AR01935</v>
      </c>
      <c r="K3125" t="str">
        <f>"1023B563-001/B  HARNESS WV063 - JACKS MOTOR POWE"</f>
        <v>1023B563-001/B  HARNESS WV063 - JACKS MOTOR POWE</v>
      </c>
      <c r="L3125">
        <v>8</v>
      </c>
      <c r="M3125" t="str">
        <f>"יח"</f>
        <v>יח</v>
      </c>
      <c r="N3125">
        <v>8</v>
      </c>
      <c r="O3125" t="str">
        <f>"יח"</f>
        <v>יח</v>
      </c>
      <c r="P3125">
        <v>463.86</v>
      </c>
      <c r="Q3125" t="str">
        <f>"$"</f>
        <v>$</v>
      </c>
      <c r="R3125" t="str">
        <f>"הזמנה"</f>
        <v>הזמנה</v>
      </c>
      <c r="S3125">
        <v>0</v>
      </c>
      <c r="T3125" s="2">
        <v>3710.88</v>
      </c>
      <c r="U3125">
        <v>0</v>
      </c>
      <c r="V3125" s="2">
        <v>3710.88</v>
      </c>
      <c r="W3125" t="str">
        <f>"$"</f>
        <v>$</v>
      </c>
      <c r="X3125">
        <v>0</v>
      </c>
      <c r="Y3125">
        <v>0</v>
      </c>
      <c r="Z3125">
        <v>0</v>
      </c>
      <c r="AA3125" t="str">
        <f>"Y"</f>
        <v>Y</v>
      </c>
      <c r="AB3125" t="str">
        <f>"SO20000307"</f>
        <v>SO20000307</v>
      </c>
      <c r="AC3125">
        <v>3</v>
      </c>
      <c r="AD3125" s="1">
        <v>44031</v>
      </c>
      <c r="AE3125" t="str">
        <f>"SH20001743"</f>
        <v>SH20001743</v>
      </c>
      <c r="AF3125" t="str">
        <f>"משלוחים ללקוח"</f>
        <v>משלוחים ללקוח</v>
      </c>
      <c r="AG3125" s="1">
        <v>44187</v>
      </c>
      <c r="AM3125" t="str">
        <f>"10"</f>
        <v>10</v>
      </c>
      <c r="AN3125" t="str">
        <f>"500000"</f>
        <v>500000</v>
      </c>
      <c r="AO3125" t="str">
        <f>"הכנסות  מלקוחות"</f>
        <v>הכנסות  מלקוחות</v>
      </c>
      <c r="AQ3125" t="str">
        <f>"034"</f>
        <v>034</v>
      </c>
      <c r="AR3125">
        <v>0</v>
      </c>
      <c r="AS3125">
        <v>0</v>
      </c>
      <c r="AT3125">
        <v>3.222</v>
      </c>
      <c r="AX3125" t="str">
        <f>"E000316435"</f>
        <v>E000316435</v>
      </c>
      <c r="BD3125" t="str">
        <f>"ערן שלו"</f>
        <v>ערן שלו</v>
      </c>
    </row>
    <row r="3126" spans="1:56" x14ac:dyDescent="0.3">
      <c r="A3126" s="1">
        <v>44189</v>
      </c>
      <c r="B3126" t="str">
        <f>"SI206001456"</f>
        <v>SI206001456</v>
      </c>
      <c r="C3126" t="str">
        <f>"PR20000570"</f>
        <v>PR20000570</v>
      </c>
      <c r="D3126" t="str">
        <f>"PR20000570"</f>
        <v>PR20000570</v>
      </c>
      <c r="E3126" t="str">
        <f>"Y"</f>
        <v>Y</v>
      </c>
      <c r="F3126" t="str">
        <f>"חשבוניות מרכזות"</f>
        <v>חשבוניות מרכזות</v>
      </c>
      <c r="G3126" t="str">
        <f>"700065"</f>
        <v>700065</v>
      </c>
      <c r="H3126" t="str">
        <f>"אלתא מערכות בע""מ"</f>
        <v>אלתא מערכות בע"מ</v>
      </c>
      <c r="I3126" t="str">
        <f>"10"</f>
        <v>10</v>
      </c>
      <c r="J3126" t="str">
        <f>"OP-AR01736"</f>
        <v>OP-AR01736</v>
      </c>
      <c r="K3126" t="str">
        <f>"1039V358-001 WP358 - DATA AFT COMMAND TO LDE AND"</f>
        <v>1039V358-001 WP358 - DATA AFT COMMAND TO LDE AND</v>
      </c>
      <c r="L3126">
        <v>4</v>
      </c>
      <c r="M3126" t="str">
        <f>"יח"</f>
        <v>יח</v>
      </c>
      <c r="N3126">
        <v>4</v>
      </c>
      <c r="O3126" t="str">
        <f>"יח"</f>
        <v>יח</v>
      </c>
      <c r="P3126">
        <v>412.5</v>
      </c>
      <c r="Q3126" t="str">
        <f>"$"</f>
        <v>$</v>
      </c>
      <c r="R3126" t="str">
        <f>"הזמנה"</f>
        <v>הזמנה</v>
      </c>
      <c r="S3126">
        <v>0</v>
      </c>
      <c r="T3126" s="2">
        <v>1650</v>
      </c>
      <c r="U3126">
        <v>0</v>
      </c>
      <c r="V3126" s="2">
        <v>1650</v>
      </c>
      <c r="W3126" t="str">
        <f>"$"</f>
        <v>$</v>
      </c>
      <c r="X3126">
        <v>0</v>
      </c>
      <c r="Y3126">
        <v>0</v>
      </c>
      <c r="Z3126">
        <v>0</v>
      </c>
      <c r="AA3126" t="str">
        <f>"Y"</f>
        <v>Y</v>
      </c>
      <c r="AB3126" t="str">
        <f>"SO20000367"</f>
        <v>SO20000367</v>
      </c>
      <c r="AC3126">
        <v>8</v>
      </c>
      <c r="AD3126" s="1">
        <v>44067</v>
      </c>
      <c r="AE3126" t="str">
        <f>"SH20001742"</f>
        <v>SH20001742</v>
      </c>
      <c r="AF3126" t="str">
        <f>"משלוחים ללקוח"</f>
        <v>משלוחים ללקוח</v>
      </c>
      <c r="AG3126" s="1">
        <v>44187</v>
      </c>
      <c r="AM3126" t="str">
        <f>"10"</f>
        <v>10</v>
      </c>
      <c r="AN3126" t="str">
        <f>"500000"</f>
        <v>500000</v>
      </c>
      <c r="AO3126" t="str">
        <f>"הכנסות  מלקוחות"</f>
        <v>הכנסות  מלקוחות</v>
      </c>
      <c r="AQ3126" t="str">
        <f>"034"</f>
        <v>034</v>
      </c>
      <c r="AR3126">
        <v>0</v>
      </c>
      <c r="AS3126">
        <v>0</v>
      </c>
      <c r="AT3126">
        <v>3.222</v>
      </c>
      <c r="AX3126" t="str">
        <f>"E000319026"</f>
        <v>E000319026</v>
      </c>
      <c r="BD3126" t="str">
        <f>"ערן שלו"</f>
        <v>ערן שלו</v>
      </c>
    </row>
    <row r="3127" spans="1:56" x14ac:dyDescent="0.3">
      <c r="A3127" s="1">
        <v>44189</v>
      </c>
      <c r="B3127" t="str">
        <f>"SI206001455"</f>
        <v>SI206001455</v>
      </c>
      <c r="C3127" t="str">
        <f>"PR20000485"</f>
        <v>PR20000485</v>
      </c>
      <c r="D3127" t="str">
        <f>"PR20000485"</f>
        <v>PR20000485</v>
      </c>
      <c r="E3127" t="str">
        <f>"Y"</f>
        <v>Y</v>
      </c>
      <c r="F3127" t="str">
        <f>"חשבוניות מרכזות"</f>
        <v>חשבוניות מרכזות</v>
      </c>
      <c r="G3127" t="str">
        <f>"700065"</f>
        <v>700065</v>
      </c>
      <c r="H3127" t="str">
        <f>"אלתא מערכות בע""מ"</f>
        <v>אלתא מערכות בע"מ</v>
      </c>
      <c r="I3127" t="str">
        <f>"10"</f>
        <v>10</v>
      </c>
      <c r="J3127" t="str">
        <f>"OP-AR01876"</f>
        <v>OP-AR01876</v>
      </c>
      <c r="K3127" t="str">
        <f>"1032Y074-001  -  HARNESS W1074"</f>
        <v>1032Y074-001  -  HARNESS W1074</v>
      </c>
      <c r="L3127">
        <v>2</v>
      </c>
      <c r="M3127" t="str">
        <f>"יח"</f>
        <v>יח</v>
      </c>
      <c r="N3127">
        <v>2</v>
      </c>
      <c r="O3127" t="str">
        <f>"יח"</f>
        <v>יח</v>
      </c>
      <c r="P3127">
        <v>588.88</v>
      </c>
      <c r="Q3127" t="str">
        <f>"$"</f>
        <v>$</v>
      </c>
      <c r="R3127" t="str">
        <f>"הזמנה"</f>
        <v>הזמנה</v>
      </c>
      <c r="S3127">
        <v>0</v>
      </c>
      <c r="T3127" s="2">
        <v>1177.76</v>
      </c>
      <c r="U3127">
        <v>0</v>
      </c>
      <c r="V3127" s="2">
        <v>1177.76</v>
      </c>
      <c r="W3127" t="str">
        <f>"$"</f>
        <v>$</v>
      </c>
      <c r="X3127">
        <v>0</v>
      </c>
      <c r="Y3127">
        <v>0</v>
      </c>
      <c r="Z3127">
        <v>0</v>
      </c>
      <c r="AA3127" t="str">
        <f>"Y"</f>
        <v>Y</v>
      </c>
      <c r="AB3127" t="str">
        <f>"SO20000289"</f>
        <v>SO20000289</v>
      </c>
      <c r="AC3127">
        <v>5</v>
      </c>
      <c r="AD3127" s="1">
        <v>44019</v>
      </c>
      <c r="AE3127" t="str">
        <f>"SH20001741"</f>
        <v>SH20001741</v>
      </c>
      <c r="AF3127" t="str">
        <f>"משלוחים ללקוח"</f>
        <v>משלוחים ללקוח</v>
      </c>
      <c r="AG3127" s="1">
        <v>44187</v>
      </c>
      <c r="AM3127" t="str">
        <f>"10"</f>
        <v>10</v>
      </c>
      <c r="AN3127" t="str">
        <f>"500000"</f>
        <v>500000</v>
      </c>
      <c r="AO3127" t="str">
        <f>"הכנסות  מלקוחות"</f>
        <v>הכנסות  מלקוחות</v>
      </c>
      <c r="AQ3127" t="str">
        <f>"034"</f>
        <v>034</v>
      </c>
      <c r="AR3127">
        <v>0</v>
      </c>
      <c r="AS3127">
        <v>0</v>
      </c>
      <c r="AT3127">
        <v>3.222</v>
      </c>
      <c r="AX3127" t="str">
        <f>"E000315794"</f>
        <v>E000315794</v>
      </c>
      <c r="BD3127" t="str">
        <f>"ערן שלו"</f>
        <v>ערן שלו</v>
      </c>
    </row>
    <row r="3128" spans="1:56" x14ac:dyDescent="0.3">
      <c r="A3128" s="1">
        <v>44189</v>
      </c>
      <c r="B3128" t="str">
        <f>"SI206001454"</f>
        <v>SI206001454</v>
      </c>
      <c r="C3128" t="str">
        <f>"PR20000499"</f>
        <v>PR20000499</v>
      </c>
      <c r="D3128" t="str">
        <f>"PR20000499"</f>
        <v>PR20000499</v>
      </c>
      <c r="E3128" t="str">
        <f>"Y"</f>
        <v>Y</v>
      </c>
      <c r="F3128" t="str">
        <f>"חשבוניות מרכזות"</f>
        <v>חשבוניות מרכזות</v>
      </c>
      <c r="G3128" t="str">
        <f>"700065"</f>
        <v>700065</v>
      </c>
      <c r="H3128" t="str">
        <f>"אלתא מערכות בע""מ"</f>
        <v>אלתא מערכות בע"מ</v>
      </c>
      <c r="I3128" t="str">
        <f>"10"</f>
        <v>10</v>
      </c>
      <c r="J3128" t="str">
        <f>"OP-AR01908"</f>
        <v>OP-AR01908</v>
      </c>
      <c r="K3128" t="str">
        <f>"1013P663-001/A CABLE ASSY W41"</f>
        <v>1013P663-001/A CABLE ASSY W41</v>
      </c>
      <c r="L3128">
        <v>1</v>
      </c>
      <c r="M3128" t="str">
        <f>"יח"</f>
        <v>יח</v>
      </c>
      <c r="N3128">
        <v>1</v>
      </c>
      <c r="O3128" t="str">
        <f>"יח"</f>
        <v>יח</v>
      </c>
      <c r="P3128" s="2">
        <v>2081.86</v>
      </c>
      <c r="Q3128" t="str">
        <f>"$"</f>
        <v>$</v>
      </c>
      <c r="R3128" t="str">
        <f>"הזמנה"</f>
        <v>הזמנה</v>
      </c>
      <c r="S3128">
        <v>0</v>
      </c>
      <c r="T3128" s="2">
        <v>2081.86</v>
      </c>
      <c r="U3128">
        <v>0</v>
      </c>
      <c r="V3128" s="2">
        <v>2081.86</v>
      </c>
      <c r="W3128" t="str">
        <f>"$"</f>
        <v>$</v>
      </c>
      <c r="X3128">
        <v>0</v>
      </c>
      <c r="Y3128">
        <v>0</v>
      </c>
      <c r="Z3128">
        <v>0</v>
      </c>
      <c r="AA3128" t="str">
        <f>"Y"</f>
        <v>Y</v>
      </c>
      <c r="AB3128" t="str">
        <f>"SO20000305"</f>
        <v>SO20000305</v>
      </c>
      <c r="AC3128">
        <v>2</v>
      </c>
      <c r="AD3128" s="1">
        <v>44031</v>
      </c>
      <c r="AE3128" t="str">
        <f>"SH20001740"</f>
        <v>SH20001740</v>
      </c>
      <c r="AF3128" t="str">
        <f>"משלוחים ללקוח"</f>
        <v>משלוחים ללקוח</v>
      </c>
      <c r="AG3128" s="1">
        <v>44187</v>
      </c>
      <c r="AM3128" t="str">
        <f>"10"</f>
        <v>10</v>
      </c>
      <c r="AN3128" t="str">
        <f>"500000"</f>
        <v>500000</v>
      </c>
      <c r="AO3128" t="str">
        <f>"הכנסות  מלקוחות"</f>
        <v>הכנסות  מלקוחות</v>
      </c>
      <c r="AQ3128" t="str">
        <f>"034"</f>
        <v>034</v>
      </c>
      <c r="AR3128">
        <v>0</v>
      </c>
      <c r="AS3128">
        <v>0</v>
      </c>
      <c r="AT3128">
        <v>3.222</v>
      </c>
      <c r="AX3128" t="str">
        <f>"E000315878"</f>
        <v>E000315878</v>
      </c>
      <c r="BD3128" t="str">
        <f>"ערן שלו"</f>
        <v>ערן שלו</v>
      </c>
    </row>
    <row r="3129" spans="1:56" x14ac:dyDescent="0.3">
      <c r="A3129" s="1">
        <v>44189</v>
      </c>
      <c r="B3129" t="str">
        <f>"SI206001454"</f>
        <v>SI206001454</v>
      </c>
      <c r="C3129" t="str">
        <f>"PR20000499"</f>
        <v>PR20000499</v>
      </c>
      <c r="D3129" t="str">
        <f>"PR20000499"</f>
        <v>PR20000499</v>
      </c>
      <c r="E3129" t="str">
        <f>"Y"</f>
        <v>Y</v>
      </c>
      <c r="F3129" t="str">
        <f>"חשבוניות מרכזות"</f>
        <v>חשבוניות מרכזות</v>
      </c>
      <c r="G3129" t="str">
        <f>"700065"</f>
        <v>700065</v>
      </c>
      <c r="H3129" t="str">
        <f>"אלתא מערכות בע""מ"</f>
        <v>אלתא מערכות בע"מ</v>
      </c>
      <c r="I3129" t="str">
        <f>"10"</f>
        <v>10</v>
      </c>
      <c r="J3129" t="str">
        <f>"OP-AR01915"</f>
        <v>OP-AR01915</v>
      </c>
      <c r="K3129" t="str">
        <f>"1001U544-001/F CABLE ASSY 1W30"</f>
        <v>1001U544-001/F CABLE ASSY 1W30</v>
      </c>
      <c r="L3129">
        <v>1</v>
      </c>
      <c r="M3129" t="str">
        <f>"יח"</f>
        <v>יח</v>
      </c>
      <c r="N3129">
        <v>1</v>
      </c>
      <c r="O3129" t="str">
        <f>"יח"</f>
        <v>יח</v>
      </c>
      <c r="P3129" s="2">
        <v>1592.64</v>
      </c>
      <c r="Q3129" t="str">
        <f>"$"</f>
        <v>$</v>
      </c>
      <c r="R3129" t="str">
        <f>"הזמנה"</f>
        <v>הזמנה</v>
      </c>
      <c r="S3129">
        <v>0</v>
      </c>
      <c r="T3129" s="2">
        <v>1592.64</v>
      </c>
      <c r="U3129">
        <v>0</v>
      </c>
      <c r="V3129" s="2">
        <v>1592.64</v>
      </c>
      <c r="W3129" t="str">
        <f>"$"</f>
        <v>$</v>
      </c>
      <c r="X3129">
        <v>0</v>
      </c>
      <c r="Y3129">
        <v>0</v>
      </c>
      <c r="Z3129">
        <v>0</v>
      </c>
      <c r="AA3129" t="str">
        <f>"Y"</f>
        <v>Y</v>
      </c>
      <c r="AB3129" t="str">
        <f>"SO20000305"</f>
        <v>SO20000305</v>
      </c>
      <c r="AC3129">
        <v>8</v>
      </c>
      <c r="AD3129" s="1">
        <v>44031</v>
      </c>
      <c r="AE3129" t="str">
        <f>"SH20001740"</f>
        <v>SH20001740</v>
      </c>
      <c r="AF3129" t="str">
        <f>"משלוחים ללקוח"</f>
        <v>משלוחים ללקוח</v>
      </c>
      <c r="AG3129" s="1">
        <v>44187</v>
      </c>
      <c r="AM3129" t="str">
        <f>"10"</f>
        <v>10</v>
      </c>
      <c r="AN3129" t="str">
        <f>"500000"</f>
        <v>500000</v>
      </c>
      <c r="AO3129" t="str">
        <f>"הכנסות  מלקוחות"</f>
        <v>הכנסות  מלקוחות</v>
      </c>
      <c r="AQ3129" t="str">
        <f>"034"</f>
        <v>034</v>
      </c>
      <c r="AR3129">
        <v>0</v>
      </c>
      <c r="AS3129">
        <v>0</v>
      </c>
      <c r="AT3129">
        <v>3.222</v>
      </c>
      <c r="AX3129" t="str">
        <f>"E000315878"</f>
        <v>E000315878</v>
      </c>
      <c r="BD3129" t="str">
        <f>"ערן שלו"</f>
        <v>ערן שלו</v>
      </c>
    </row>
    <row r="3130" spans="1:56" x14ac:dyDescent="0.3">
      <c r="A3130" s="1">
        <v>44189</v>
      </c>
      <c r="B3130" t="str">
        <f>"SI206001453"</f>
        <v>SI206001453</v>
      </c>
      <c r="C3130" t="str">
        <f>"PR20000570"</f>
        <v>PR20000570</v>
      </c>
      <c r="E3130" t="str">
        <f>"Y"</f>
        <v>Y</v>
      </c>
      <c r="F3130" t="str">
        <f>"חשבוניות מרכזות"</f>
        <v>חשבוניות מרכזות</v>
      </c>
      <c r="G3130" t="str">
        <f>"700065"</f>
        <v>700065</v>
      </c>
      <c r="H3130" t="str">
        <f>"אלתא מערכות בע""מ"</f>
        <v>אלתא מערכות בע"מ</v>
      </c>
      <c r="I3130" t="str">
        <f>"10"</f>
        <v>10</v>
      </c>
      <c r="J3130" t="str">
        <f>"OP-AR01655"</f>
        <v>OP-AR01655</v>
      </c>
      <c r="K3130" t="str">
        <f>"1041G354-001 W354 - PWR FROM SHELTER TO ANT UNIT"</f>
        <v>1041G354-001 W354 - PWR FROM SHELTER TO ANT UNIT</v>
      </c>
      <c r="L3130">
        <v>1</v>
      </c>
      <c r="M3130" t="str">
        <f>"יח"</f>
        <v>יח</v>
      </c>
      <c r="N3130">
        <v>1</v>
      </c>
      <c r="O3130" t="str">
        <f>"יח"</f>
        <v>יח</v>
      </c>
      <c r="P3130" s="2">
        <v>1334.63</v>
      </c>
      <c r="Q3130" t="str">
        <f>"$"</f>
        <v>$</v>
      </c>
      <c r="R3130" t="str">
        <f>"הזמנה"</f>
        <v>הזמנה</v>
      </c>
      <c r="S3130">
        <v>0</v>
      </c>
      <c r="T3130" s="2">
        <v>1334.63</v>
      </c>
      <c r="U3130">
        <v>0</v>
      </c>
      <c r="V3130" s="2">
        <v>1334.63</v>
      </c>
      <c r="W3130" t="str">
        <f>"$"</f>
        <v>$</v>
      </c>
      <c r="X3130">
        <v>0</v>
      </c>
      <c r="Y3130">
        <v>0</v>
      </c>
      <c r="Z3130">
        <v>0</v>
      </c>
      <c r="AA3130" t="str">
        <f>"Y"</f>
        <v>Y</v>
      </c>
      <c r="AB3130" t="str">
        <f>"SO20000329"</f>
        <v>SO20000329</v>
      </c>
      <c r="AC3130">
        <v>6</v>
      </c>
      <c r="AD3130" s="1">
        <v>44035</v>
      </c>
      <c r="AE3130" t="str">
        <f>"SH20001739"</f>
        <v>SH20001739</v>
      </c>
      <c r="AF3130" t="str">
        <f>"משלוחים ללקוח"</f>
        <v>משלוחים ללקוח</v>
      </c>
      <c r="AG3130" s="1">
        <v>44187</v>
      </c>
      <c r="AM3130" t="str">
        <f>"10"</f>
        <v>10</v>
      </c>
      <c r="AN3130" t="str">
        <f>"500000"</f>
        <v>500000</v>
      </c>
      <c r="AO3130" t="str">
        <f>"הכנסות  מלקוחות"</f>
        <v>הכנסות  מלקוחות</v>
      </c>
      <c r="AQ3130" t="str">
        <f>"034"</f>
        <v>034</v>
      </c>
      <c r="AR3130">
        <v>0</v>
      </c>
      <c r="AS3130">
        <v>0</v>
      </c>
      <c r="AT3130">
        <v>3.222</v>
      </c>
      <c r="AX3130" t="str">
        <f>"E000316426"</f>
        <v>E000316426</v>
      </c>
      <c r="BD3130" t="str">
        <f>"ערן שלו"</f>
        <v>ערן שלו</v>
      </c>
    </row>
    <row r="3131" spans="1:56" x14ac:dyDescent="0.3">
      <c r="A3131" s="1">
        <v>44189</v>
      </c>
      <c r="B3131" t="str">
        <f>"SI206001453"</f>
        <v>SI206001453</v>
      </c>
      <c r="C3131" t="str">
        <f>"PR20000570"</f>
        <v>PR20000570</v>
      </c>
      <c r="E3131" t="str">
        <f>"Y"</f>
        <v>Y</v>
      </c>
      <c r="F3131" t="str">
        <f>"חשבוניות מרכזות"</f>
        <v>חשבוניות מרכזות</v>
      </c>
      <c r="G3131" t="str">
        <f>"700065"</f>
        <v>700065</v>
      </c>
      <c r="H3131" t="str">
        <f>"אלתא מערכות בע""מ"</f>
        <v>אלתא מערכות בע"מ</v>
      </c>
      <c r="I3131" t="str">
        <f>"10"</f>
        <v>10</v>
      </c>
      <c r="J3131" t="str">
        <f>"OP-AR01656"</f>
        <v>OP-AR01656</v>
      </c>
      <c r="K3131" t="str">
        <f>"1041G356-001 W356 - CU RACK TO PEDESTAL - POWER"</f>
        <v>1041G356-001 W356 - CU RACK TO PEDESTAL - POWER</v>
      </c>
      <c r="L3131">
        <v>1</v>
      </c>
      <c r="M3131" t="str">
        <f>"יח"</f>
        <v>יח</v>
      </c>
      <c r="N3131">
        <v>1</v>
      </c>
      <c r="O3131" t="str">
        <f>"יח"</f>
        <v>יח</v>
      </c>
      <c r="P3131">
        <v>846.71</v>
      </c>
      <c r="Q3131" t="str">
        <f>"$"</f>
        <v>$</v>
      </c>
      <c r="R3131" t="str">
        <f>"הזמנה"</f>
        <v>הזמנה</v>
      </c>
      <c r="S3131">
        <v>0</v>
      </c>
      <c r="T3131">
        <v>846.71</v>
      </c>
      <c r="U3131">
        <v>0</v>
      </c>
      <c r="V3131">
        <v>846.71</v>
      </c>
      <c r="W3131" t="str">
        <f>"$"</f>
        <v>$</v>
      </c>
      <c r="X3131">
        <v>0</v>
      </c>
      <c r="Y3131">
        <v>0</v>
      </c>
      <c r="Z3131">
        <v>0</v>
      </c>
      <c r="AA3131" t="str">
        <f>"Y"</f>
        <v>Y</v>
      </c>
      <c r="AB3131" t="str">
        <f>"SO20000329"</f>
        <v>SO20000329</v>
      </c>
      <c r="AC3131">
        <v>7</v>
      </c>
      <c r="AD3131" s="1">
        <v>44035</v>
      </c>
      <c r="AE3131" t="str">
        <f>"SH20001739"</f>
        <v>SH20001739</v>
      </c>
      <c r="AF3131" t="str">
        <f>"משלוחים ללקוח"</f>
        <v>משלוחים ללקוח</v>
      </c>
      <c r="AG3131" s="1">
        <v>44187</v>
      </c>
      <c r="AM3131" t="str">
        <f>"10"</f>
        <v>10</v>
      </c>
      <c r="AN3131" t="str">
        <f>"500000"</f>
        <v>500000</v>
      </c>
      <c r="AO3131" t="str">
        <f>"הכנסות  מלקוחות"</f>
        <v>הכנסות  מלקוחות</v>
      </c>
      <c r="AQ3131" t="str">
        <f>"034"</f>
        <v>034</v>
      </c>
      <c r="AR3131">
        <v>0</v>
      </c>
      <c r="AS3131">
        <v>0</v>
      </c>
      <c r="AT3131">
        <v>3.222</v>
      </c>
      <c r="AX3131" t="str">
        <f>"E000316426"</f>
        <v>E000316426</v>
      </c>
      <c r="BD3131" t="str">
        <f>"ערן שלו"</f>
        <v>ערן שלו</v>
      </c>
    </row>
    <row r="3132" spans="1:56" x14ac:dyDescent="0.3">
      <c r="A3132" s="1">
        <v>44189</v>
      </c>
      <c r="B3132" t="str">
        <f>"SI206001452"</f>
        <v>SI206001452</v>
      </c>
      <c r="C3132" t="str">
        <f>"PR20000668"</f>
        <v>PR20000668</v>
      </c>
      <c r="E3132" t="str">
        <f>"Y"</f>
        <v>Y</v>
      </c>
      <c r="F3132" t="str">
        <f>"חשבוניות מרכזות"</f>
        <v>חשבוניות מרכזות</v>
      </c>
      <c r="G3132" t="str">
        <f>"700065"</f>
        <v>700065</v>
      </c>
      <c r="H3132" t="str">
        <f>"אלתא מערכות בע""מ"</f>
        <v>אלתא מערכות בע"מ</v>
      </c>
      <c r="I3132" t="str">
        <f>"10"</f>
        <v>10</v>
      </c>
      <c r="J3132" t="str">
        <f>"OP-AR02035"</f>
        <v>OP-AR02035</v>
      </c>
      <c r="K3132" t="str">
        <f>"2201E738-001/-  JIG MCC POWER CABLE"</f>
        <v>2201E738-001/-  JIG MCC POWER CABLE</v>
      </c>
      <c r="L3132">
        <v>6</v>
      </c>
      <c r="M3132" t="str">
        <f>"יח"</f>
        <v>יח</v>
      </c>
      <c r="N3132">
        <v>6</v>
      </c>
      <c r="O3132" t="str">
        <f>"יח"</f>
        <v>יח</v>
      </c>
      <c r="P3132">
        <v>219.34</v>
      </c>
      <c r="Q3132" t="str">
        <f>"$"</f>
        <v>$</v>
      </c>
      <c r="R3132" t="str">
        <f>"הזמנה"</f>
        <v>הזמנה</v>
      </c>
      <c r="S3132">
        <v>0</v>
      </c>
      <c r="T3132" s="2">
        <v>1316.04</v>
      </c>
      <c r="U3132">
        <v>0</v>
      </c>
      <c r="V3132" s="2">
        <v>1316.04</v>
      </c>
      <c r="W3132" t="str">
        <f>"$"</f>
        <v>$</v>
      </c>
      <c r="X3132">
        <v>0</v>
      </c>
      <c r="Y3132">
        <v>0</v>
      </c>
      <c r="Z3132">
        <v>0</v>
      </c>
      <c r="AA3132" t="str">
        <f>"Y"</f>
        <v>Y</v>
      </c>
      <c r="AB3132" t="str">
        <f>"SO20000428"</f>
        <v>SO20000428</v>
      </c>
      <c r="AC3132">
        <v>1</v>
      </c>
      <c r="AD3132" s="1">
        <v>44097</v>
      </c>
      <c r="AE3132" t="str">
        <f>"SH20001738"</f>
        <v>SH20001738</v>
      </c>
      <c r="AF3132" t="str">
        <f>"משלוחים ללקוח"</f>
        <v>משלוחים ללקוח</v>
      </c>
      <c r="AG3132" s="1">
        <v>44187</v>
      </c>
      <c r="AM3132" t="str">
        <f>"10"</f>
        <v>10</v>
      </c>
      <c r="AN3132" t="str">
        <f>"500000"</f>
        <v>500000</v>
      </c>
      <c r="AO3132" t="str">
        <f>"הכנסות  מלקוחות"</f>
        <v>הכנסות  מלקוחות</v>
      </c>
      <c r="AQ3132" t="str">
        <f>"034"</f>
        <v>034</v>
      </c>
      <c r="AR3132">
        <v>0</v>
      </c>
      <c r="AS3132">
        <v>0</v>
      </c>
      <c r="AT3132">
        <v>3.222</v>
      </c>
      <c r="AX3132" t="str">
        <f>"E000321767"</f>
        <v>E000321767</v>
      </c>
      <c r="BD3132" t="str">
        <f>"ערן שלו"</f>
        <v>ערן שלו</v>
      </c>
    </row>
    <row r="3133" spans="1:56" x14ac:dyDescent="0.3">
      <c r="A3133" s="1">
        <v>44189</v>
      </c>
      <c r="B3133" t="str">
        <f>"SI206001451"</f>
        <v>SI206001451</v>
      </c>
      <c r="C3133" t="str">
        <f>"PR20000529"</f>
        <v>PR20000529</v>
      </c>
      <c r="D3133" t="str">
        <f>"PR20000529"</f>
        <v>PR20000529</v>
      </c>
      <c r="E3133" t="str">
        <f>"Y"</f>
        <v>Y</v>
      </c>
      <c r="F3133" t="str">
        <f>"חשבוניות מרכזות"</f>
        <v>חשבוניות מרכזות</v>
      </c>
      <c r="G3133" t="str">
        <f>"700065"</f>
        <v>700065</v>
      </c>
      <c r="H3133" t="str">
        <f>"אלתא מערכות בע""מ"</f>
        <v>אלתא מערכות בע"מ</v>
      </c>
      <c r="I3133" t="str">
        <f>"10"</f>
        <v>10</v>
      </c>
      <c r="J3133" t="str">
        <f>"OP-AR01967"</f>
        <v>OP-AR01967</v>
      </c>
      <c r="K3133" t="str">
        <f>"2055B580-001 - LAB POWER SUPPLY SPLITTER"</f>
        <v>2055B580-001 - LAB POWER SUPPLY SPLITTER</v>
      </c>
      <c r="L3133">
        <v>2</v>
      </c>
      <c r="M3133" t="str">
        <f>"יח"</f>
        <v>יח</v>
      </c>
      <c r="N3133">
        <v>2</v>
      </c>
      <c r="O3133" t="str">
        <f>"יח"</f>
        <v>יח</v>
      </c>
      <c r="P3133" s="2">
        <v>1831.87</v>
      </c>
      <c r="Q3133" t="str">
        <f>"$"</f>
        <v>$</v>
      </c>
      <c r="R3133" t="str">
        <f>"הזמנה"</f>
        <v>הזמנה</v>
      </c>
      <c r="S3133">
        <v>0</v>
      </c>
      <c r="T3133" s="2">
        <v>3663.74</v>
      </c>
      <c r="U3133">
        <v>0</v>
      </c>
      <c r="V3133" s="2">
        <v>3663.74</v>
      </c>
      <c r="W3133" t="str">
        <f>"$"</f>
        <v>$</v>
      </c>
      <c r="X3133">
        <v>0</v>
      </c>
      <c r="Y3133">
        <v>0</v>
      </c>
      <c r="Z3133">
        <v>0</v>
      </c>
      <c r="AA3133" t="str">
        <f>"Y"</f>
        <v>Y</v>
      </c>
      <c r="AB3133" t="str">
        <f>"SO20000346"</f>
        <v>SO20000346</v>
      </c>
      <c r="AC3133">
        <v>1</v>
      </c>
      <c r="AD3133" s="1">
        <v>44052</v>
      </c>
      <c r="AE3133" t="str">
        <f>"SH20001737"</f>
        <v>SH20001737</v>
      </c>
      <c r="AF3133" t="str">
        <f>"משלוחים ללקוח"</f>
        <v>משלוחים ללקוח</v>
      </c>
      <c r="AG3133" s="1">
        <v>44187</v>
      </c>
      <c r="AM3133" t="str">
        <f>"10"</f>
        <v>10</v>
      </c>
      <c r="AN3133" t="str">
        <f>"500000"</f>
        <v>500000</v>
      </c>
      <c r="AO3133" t="str">
        <f>"הכנסות  מלקוחות"</f>
        <v>הכנסות  מלקוחות</v>
      </c>
      <c r="AQ3133" t="str">
        <f>"034"</f>
        <v>034</v>
      </c>
      <c r="AR3133">
        <v>0</v>
      </c>
      <c r="AS3133">
        <v>0</v>
      </c>
      <c r="AT3133">
        <v>3.222</v>
      </c>
      <c r="AX3133" t="str">
        <f>"E000318002"</f>
        <v>E000318002</v>
      </c>
      <c r="BD3133" t="str">
        <f>"ערן שלו"</f>
        <v>ערן שלו</v>
      </c>
    </row>
    <row r="3134" spans="1:56" x14ac:dyDescent="0.3">
      <c r="A3134" s="1">
        <v>44189</v>
      </c>
      <c r="B3134" t="str">
        <f>"SI206001450"</f>
        <v>SI206001450</v>
      </c>
      <c r="C3134" t="str">
        <f>"PR20000609"</f>
        <v>PR20000609</v>
      </c>
      <c r="D3134" t="str">
        <f>"PR20000609"</f>
        <v>PR20000609</v>
      </c>
      <c r="E3134" t="str">
        <f>"Y"</f>
        <v>Y</v>
      </c>
      <c r="F3134" t="str">
        <f>"חשבוניות מרכזות"</f>
        <v>חשבוניות מרכזות</v>
      </c>
      <c r="G3134" t="str">
        <f>"700065"</f>
        <v>700065</v>
      </c>
      <c r="H3134" t="str">
        <f>"אלתא מערכות בע""מ"</f>
        <v>אלתא מערכות בע"מ</v>
      </c>
      <c r="I3134" t="str">
        <f>"10"</f>
        <v>10</v>
      </c>
      <c r="J3134" t="str">
        <f>"OP-AR01996"</f>
        <v>OP-AR01996</v>
      </c>
      <c r="K3134" t="str">
        <f>"1040U669-001/A    HARNESS WEXT06"</f>
        <v>1040U669-001/A    HARNESS WEXT06</v>
      </c>
      <c r="L3134">
        <v>1</v>
      </c>
      <c r="M3134" t="str">
        <f>"יח"</f>
        <v>יח</v>
      </c>
      <c r="N3134">
        <v>1</v>
      </c>
      <c r="O3134" t="str">
        <f>"יח"</f>
        <v>יח</v>
      </c>
      <c r="P3134" s="2">
        <v>1708.34</v>
      </c>
      <c r="Q3134" t="str">
        <f>"$"</f>
        <v>$</v>
      </c>
      <c r="R3134" t="str">
        <f>"הזמנה"</f>
        <v>הזמנה</v>
      </c>
      <c r="S3134">
        <v>0</v>
      </c>
      <c r="T3134" s="2">
        <v>1708.34</v>
      </c>
      <c r="U3134">
        <v>0</v>
      </c>
      <c r="V3134" s="2">
        <v>1708.34</v>
      </c>
      <c r="W3134" t="str">
        <f>"$"</f>
        <v>$</v>
      </c>
      <c r="X3134">
        <v>0</v>
      </c>
      <c r="Y3134">
        <v>0</v>
      </c>
      <c r="Z3134">
        <v>0</v>
      </c>
      <c r="AA3134" t="str">
        <f>"Y"</f>
        <v>Y</v>
      </c>
      <c r="AB3134" t="str">
        <f>"SO20000408"</f>
        <v>SO20000408</v>
      </c>
      <c r="AC3134">
        <v>1</v>
      </c>
      <c r="AD3134" s="1">
        <v>44081</v>
      </c>
      <c r="AE3134" t="str">
        <f>"SH20001736"</f>
        <v>SH20001736</v>
      </c>
      <c r="AF3134" t="str">
        <f>"משלוחים ללקוח"</f>
        <v>משלוחים ללקוח</v>
      </c>
      <c r="AG3134" s="1">
        <v>44187</v>
      </c>
      <c r="AM3134" t="str">
        <f>"10"</f>
        <v>10</v>
      </c>
      <c r="AN3134" t="str">
        <f>"500000"</f>
        <v>500000</v>
      </c>
      <c r="AO3134" t="str">
        <f>"הכנסות  מלקוחות"</f>
        <v>הכנסות  מלקוחות</v>
      </c>
      <c r="AQ3134" t="str">
        <f>"034"</f>
        <v>034</v>
      </c>
      <c r="AR3134">
        <v>0</v>
      </c>
      <c r="AS3134">
        <v>0</v>
      </c>
      <c r="AT3134">
        <v>3.222</v>
      </c>
      <c r="AX3134" t="str">
        <f>"E000319385"</f>
        <v>E000319385</v>
      </c>
      <c r="BD3134" t="str">
        <f>"ערן שלו"</f>
        <v>ערן שלו</v>
      </c>
    </row>
    <row r="3135" spans="1:56" x14ac:dyDescent="0.3">
      <c r="A3135" s="1">
        <v>44189</v>
      </c>
      <c r="B3135" t="str">
        <f>"SI206001450"</f>
        <v>SI206001450</v>
      </c>
      <c r="C3135" t="str">
        <f>"PR20000609"</f>
        <v>PR20000609</v>
      </c>
      <c r="D3135" t="str">
        <f>"PR20000609"</f>
        <v>PR20000609</v>
      </c>
      <c r="E3135" t="str">
        <f>"Y"</f>
        <v>Y</v>
      </c>
      <c r="F3135" t="str">
        <f>"חשבוניות מרכזות"</f>
        <v>חשבוניות מרכזות</v>
      </c>
      <c r="G3135" t="str">
        <f>"700065"</f>
        <v>700065</v>
      </c>
      <c r="H3135" t="str">
        <f>"אלתא מערכות בע""מ"</f>
        <v>אלתא מערכות בע"מ</v>
      </c>
      <c r="I3135" t="str">
        <f>"10"</f>
        <v>10</v>
      </c>
      <c r="J3135" t="str">
        <f>"OP-AR01998"</f>
        <v>OP-AR01998</v>
      </c>
      <c r="K3135" t="str">
        <f>"1040U606-001/-   HARNESS WEXT20"</f>
        <v>1040U606-001/-   HARNESS WEXT20</v>
      </c>
      <c r="L3135">
        <v>1</v>
      </c>
      <c r="M3135" t="str">
        <f>"יח"</f>
        <v>יח</v>
      </c>
      <c r="N3135">
        <v>1</v>
      </c>
      <c r="O3135" t="str">
        <f>"יח"</f>
        <v>יח</v>
      </c>
      <c r="P3135" s="2">
        <v>1475.59</v>
      </c>
      <c r="Q3135" t="str">
        <f>"$"</f>
        <v>$</v>
      </c>
      <c r="R3135" t="str">
        <f>"הזמנה"</f>
        <v>הזמנה</v>
      </c>
      <c r="S3135">
        <v>0</v>
      </c>
      <c r="T3135" s="2">
        <v>1475.59</v>
      </c>
      <c r="U3135">
        <v>0</v>
      </c>
      <c r="V3135" s="2">
        <v>1475.59</v>
      </c>
      <c r="W3135" t="str">
        <f>"$"</f>
        <v>$</v>
      </c>
      <c r="X3135">
        <v>0</v>
      </c>
      <c r="Y3135">
        <v>0</v>
      </c>
      <c r="Z3135">
        <v>0</v>
      </c>
      <c r="AA3135" t="str">
        <f>"Y"</f>
        <v>Y</v>
      </c>
      <c r="AB3135" t="str">
        <f>"SO20000408"</f>
        <v>SO20000408</v>
      </c>
      <c r="AC3135">
        <v>3</v>
      </c>
      <c r="AD3135" s="1">
        <v>44081</v>
      </c>
      <c r="AE3135" t="str">
        <f>"SH20001736"</f>
        <v>SH20001736</v>
      </c>
      <c r="AF3135" t="str">
        <f>"משלוחים ללקוח"</f>
        <v>משלוחים ללקוח</v>
      </c>
      <c r="AG3135" s="1">
        <v>44187</v>
      </c>
      <c r="AM3135" t="str">
        <f>"10"</f>
        <v>10</v>
      </c>
      <c r="AN3135" t="str">
        <f>"500000"</f>
        <v>500000</v>
      </c>
      <c r="AO3135" t="str">
        <f>"הכנסות  מלקוחות"</f>
        <v>הכנסות  מלקוחות</v>
      </c>
      <c r="AQ3135" t="str">
        <f>"034"</f>
        <v>034</v>
      </c>
      <c r="AR3135">
        <v>0</v>
      </c>
      <c r="AS3135">
        <v>0</v>
      </c>
      <c r="AT3135">
        <v>3.222</v>
      </c>
      <c r="AX3135" t="str">
        <f>"E000319385"</f>
        <v>E000319385</v>
      </c>
      <c r="BD3135" t="str">
        <f>"ערן שלו"</f>
        <v>ערן שלו</v>
      </c>
    </row>
    <row r="3136" spans="1:56" x14ac:dyDescent="0.3">
      <c r="A3136" s="1">
        <v>44189</v>
      </c>
      <c r="B3136" t="str">
        <f>"SI206001450"</f>
        <v>SI206001450</v>
      </c>
      <c r="C3136" t="str">
        <f>"PR20000609"</f>
        <v>PR20000609</v>
      </c>
      <c r="D3136" t="str">
        <f>"PR20000609"</f>
        <v>PR20000609</v>
      </c>
      <c r="E3136" t="str">
        <f>"Y"</f>
        <v>Y</v>
      </c>
      <c r="F3136" t="str">
        <f>"חשבוניות מרכזות"</f>
        <v>חשבוניות מרכזות</v>
      </c>
      <c r="G3136" t="str">
        <f>"700065"</f>
        <v>700065</v>
      </c>
      <c r="H3136" t="str">
        <f>"אלתא מערכות בע""מ"</f>
        <v>אלתא מערכות בע"מ</v>
      </c>
      <c r="I3136" t="str">
        <f>"10"</f>
        <v>10</v>
      </c>
      <c r="J3136" t="str">
        <f>"OP-AR01999"</f>
        <v>OP-AR01999</v>
      </c>
      <c r="K3136" t="str">
        <f>"1040U663-001/-   GROUND CABLE WEXT19"</f>
        <v>1040U663-001/-   GROUND CABLE WEXT19</v>
      </c>
      <c r="L3136">
        <v>1</v>
      </c>
      <c r="M3136" t="str">
        <f>"יח"</f>
        <v>יח</v>
      </c>
      <c r="N3136">
        <v>1</v>
      </c>
      <c r="O3136" t="str">
        <f>"יח"</f>
        <v>יח</v>
      </c>
      <c r="P3136">
        <v>195.48</v>
      </c>
      <c r="Q3136" t="str">
        <f>"$"</f>
        <v>$</v>
      </c>
      <c r="R3136" t="str">
        <f>"הזמנה"</f>
        <v>הזמנה</v>
      </c>
      <c r="S3136">
        <v>0</v>
      </c>
      <c r="T3136">
        <v>195.48</v>
      </c>
      <c r="U3136">
        <v>0</v>
      </c>
      <c r="V3136">
        <v>195.48</v>
      </c>
      <c r="W3136" t="str">
        <f>"$"</f>
        <v>$</v>
      </c>
      <c r="X3136">
        <v>0</v>
      </c>
      <c r="Y3136">
        <v>0</v>
      </c>
      <c r="Z3136">
        <v>0</v>
      </c>
      <c r="AA3136" t="str">
        <f>"Y"</f>
        <v>Y</v>
      </c>
      <c r="AB3136" t="str">
        <f>"SO20000408"</f>
        <v>SO20000408</v>
      </c>
      <c r="AC3136">
        <v>4</v>
      </c>
      <c r="AD3136" s="1">
        <v>44081</v>
      </c>
      <c r="AE3136" t="str">
        <f>"SH20001736"</f>
        <v>SH20001736</v>
      </c>
      <c r="AF3136" t="str">
        <f>"משלוחים ללקוח"</f>
        <v>משלוחים ללקוח</v>
      </c>
      <c r="AG3136" s="1">
        <v>44187</v>
      </c>
      <c r="AM3136" t="str">
        <f>"10"</f>
        <v>10</v>
      </c>
      <c r="AN3136" t="str">
        <f>"500000"</f>
        <v>500000</v>
      </c>
      <c r="AO3136" t="str">
        <f>"הכנסות  מלקוחות"</f>
        <v>הכנסות  מלקוחות</v>
      </c>
      <c r="AQ3136" t="str">
        <f>"034"</f>
        <v>034</v>
      </c>
      <c r="AR3136">
        <v>0</v>
      </c>
      <c r="AS3136">
        <v>0</v>
      </c>
      <c r="AT3136">
        <v>3.222</v>
      </c>
      <c r="AX3136" t="str">
        <f>"E000319385"</f>
        <v>E000319385</v>
      </c>
      <c r="BD3136" t="str">
        <f>"ערן שלו"</f>
        <v>ערן שלו</v>
      </c>
    </row>
    <row r="3137" spans="1:56" x14ac:dyDescent="0.3">
      <c r="A3137" s="1">
        <v>44189</v>
      </c>
      <c r="B3137" t="str">
        <f>"SI206001450"</f>
        <v>SI206001450</v>
      </c>
      <c r="C3137" t="str">
        <f>"PR20000609"</f>
        <v>PR20000609</v>
      </c>
      <c r="D3137" t="str">
        <f>"PR20000609"</f>
        <v>PR20000609</v>
      </c>
      <c r="E3137" t="str">
        <f>"Y"</f>
        <v>Y</v>
      </c>
      <c r="F3137" t="str">
        <f>"חשבוניות מרכזות"</f>
        <v>חשבוניות מרכזות</v>
      </c>
      <c r="G3137" t="str">
        <f>"700065"</f>
        <v>700065</v>
      </c>
      <c r="H3137" t="str">
        <f>"אלתא מערכות בע""מ"</f>
        <v>אלתא מערכות בע"מ</v>
      </c>
      <c r="I3137" t="str">
        <f>"10"</f>
        <v>10</v>
      </c>
      <c r="J3137" t="str">
        <f>"OP-AR02000"</f>
        <v>OP-AR02000</v>
      </c>
      <c r="K3137" t="str">
        <f>"1040U642-001/-   HARNESS WEXT12"</f>
        <v>1040U642-001/-   HARNESS WEXT12</v>
      </c>
      <c r="L3137">
        <v>1</v>
      </c>
      <c r="M3137" t="str">
        <f>"יח"</f>
        <v>יח</v>
      </c>
      <c r="N3137">
        <v>1</v>
      </c>
      <c r="O3137" t="str">
        <f>"יח"</f>
        <v>יח</v>
      </c>
      <c r="P3137" s="2">
        <v>1110.32</v>
      </c>
      <c r="Q3137" t="str">
        <f>"$"</f>
        <v>$</v>
      </c>
      <c r="R3137" t="str">
        <f>"הזמנה"</f>
        <v>הזמנה</v>
      </c>
      <c r="S3137">
        <v>0</v>
      </c>
      <c r="T3137" s="2">
        <v>1110.32</v>
      </c>
      <c r="U3137">
        <v>0</v>
      </c>
      <c r="V3137" s="2">
        <v>1110.32</v>
      </c>
      <c r="W3137" t="str">
        <f>"$"</f>
        <v>$</v>
      </c>
      <c r="X3137">
        <v>0</v>
      </c>
      <c r="Y3137">
        <v>0</v>
      </c>
      <c r="Z3137">
        <v>0</v>
      </c>
      <c r="AA3137" t="str">
        <f>"Y"</f>
        <v>Y</v>
      </c>
      <c r="AB3137" t="str">
        <f>"SO20000408"</f>
        <v>SO20000408</v>
      </c>
      <c r="AC3137">
        <v>5</v>
      </c>
      <c r="AD3137" s="1">
        <v>44081</v>
      </c>
      <c r="AE3137" t="str">
        <f>"SH20001736"</f>
        <v>SH20001736</v>
      </c>
      <c r="AF3137" t="str">
        <f>"משלוחים ללקוח"</f>
        <v>משלוחים ללקוח</v>
      </c>
      <c r="AG3137" s="1">
        <v>44187</v>
      </c>
      <c r="AM3137" t="str">
        <f>"10"</f>
        <v>10</v>
      </c>
      <c r="AN3137" t="str">
        <f>"500000"</f>
        <v>500000</v>
      </c>
      <c r="AO3137" t="str">
        <f>"הכנסות  מלקוחות"</f>
        <v>הכנסות  מלקוחות</v>
      </c>
      <c r="AQ3137" t="str">
        <f>"034"</f>
        <v>034</v>
      </c>
      <c r="AR3137">
        <v>0</v>
      </c>
      <c r="AS3137">
        <v>0</v>
      </c>
      <c r="AT3137">
        <v>3.222</v>
      </c>
      <c r="AX3137" t="str">
        <f>"E000319385"</f>
        <v>E000319385</v>
      </c>
      <c r="BD3137" t="str">
        <f>"ערן שלו"</f>
        <v>ערן שלו</v>
      </c>
    </row>
    <row r="3138" spans="1:56" x14ac:dyDescent="0.3">
      <c r="A3138" s="1">
        <v>44189</v>
      </c>
      <c r="B3138" t="str">
        <f>"SI206001449"</f>
        <v>SI206001449</v>
      </c>
      <c r="C3138" t="str">
        <f>"PR20000210"</f>
        <v>PR20000210</v>
      </c>
      <c r="D3138" t="str">
        <f>"PR20000210"</f>
        <v>PR20000210</v>
      </c>
      <c r="E3138" t="str">
        <f>"Y"</f>
        <v>Y</v>
      </c>
      <c r="F3138" t="str">
        <f>"חשבוניות מרכזות"</f>
        <v>חשבוניות מרכזות</v>
      </c>
      <c r="G3138" t="str">
        <f>"700065"</f>
        <v>700065</v>
      </c>
      <c r="H3138" t="str">
        <f>"אלתא מערכות בע""מ"</f>
        <v>אלתא מערכות בע"מ</v>
      </c>
      <c r="I3138" t="str">
        <f>"10"</f>
        <v>10</v>
      </c>
      <c r="J3138" t="str">
        <f>"OP-AR01713"</f>
        <v>OP-AR01713</v>
      </c>
      <c r="K3138" t="str">
        <f>"1022H892-002 W12 -32CH VIDEO CABLE (MASTER)"</f>
        <v>1022H892-002 W12 -32CH VIDEO CABLE (MASTER)</v>
      </c>
      <c r="L3138">
        <v>2</v>
      </c>
      <c r="M3138" t="str">
        <f>"יח"</f>
        <v>יח</v>
      </c>
      <c r="N3138">
        <v>2</v>
      </c>
      <c r="O3138" t="str">
        <f>"יח"</f>
        <v>יח</v>
      </c>
      <c r="P3138" s="2">
        <v>1347.88</v>
      </c>
      <c r="Q3138" t="str">
        <f>"$"</f>
        <v>$</v>
      </c>
      <c r="R3138" t="str">
        <f>"הזמנה"</f>
        <v>הזמנה</v>
      </c>
      <c r="S3138">
        <v>0</v>
      </c>
      <c r="T3138" s="2">
        <v>2695.76</v>
      </c>
      <c r="U3138">
        <v>0</v>
      </c>
      <c r="V3138" s="2">
        <v>2695.76</v>
      </c>
      <c r="W3138" t="str">
        <f>"$"</f>
        <v>$</v>
      </c>
      <c r="X3138">
        <v>0</v>
      </c>
      <c r="Y3138">
        <v>0</v>
      </c>
      <c r="Z3138">
        <v>0</v>
      </c>
      <c r="AA3138" t="str">
        <f>"Y"</f>
        <v>Y</v>
      </c>
      <c r="AB3138" t="str">
        <f>"SO20000139"</f>
        <v>SO20000139</v>
      </c>
      <c r="AC3138">
        <v>11</v>
      </c>
      <c r="AD3138" s="1">
        <v>43940</v>
      </c>
      <c r="AE3138" t="str">
        <f>"SH20001718"</f>
        <v>SH20001718</v>
      </c>
      <c r="AF3138" t="str">
        <f>"משלוחים ללקוח"</f>
        <v>משלוחים ללקוח</v>
      </c>
      <c r="AG3138" s="1">
        <v>44185</v>
      </c>
      <c r="AM3138" t="str">
        <f>"10"</f>
        <v>10</v>
      </c>
      <c r="AN3138" t="str">
        <f>"500000"</f>
        <v>500000</v>
      </c>
      <c r="AO3138" t="str">
        <f>"הכנסות  מלקוחות"</f>
        <v>הכנסות  מלקוחות</v>
      </c>
      <c r="AQ3138" t="str">
        <f>"034"</f>
        <v>034</v>
      </c>
      <c r="AR3138">
        <v>0</v>
      </c>
      <c r="AS3138">
        <v>0</v>
      </c>
      <c r="AT3138">
        <v>3.222</v>
      </c>
      <c r="AX3138" t="str">
        <f>"E000309670"</f>
        <v>E000309670</v>
      </c>
      <c r="BD3138" t="str">
        <f>"ערן שלו"</f>
        <v>ערן שלו</v>
      </c>
    </row>
    <row r="3139" spans="1:56" x14ac:dyDescent="0.3">
      <c r="A3139" s="1">
        <v>44189</v>
      </c>
      <c r="B3139" t="str">
        <f>"SI206001448"</f>
        <v>SI206001448</v>
      </c>
      <c r="C3139" t="str">
        <f>"PR20000502"</f>
        <v>PR20000502</v>
      </c>
      <c r="D3139" t="str">
        <f>"PR20000502"</f>
        <v>PR20000502</v>
      </c>
      <c r="E3139" t="str">
        <f>"Y"</f>
        <v>Y</v>
      </c>
      <c r="F3139" t="str">
        <f>"חשבוניות מרכזות"</f>
        <v>חשבוניות מרכזות</v>
      </c>
      <c r="G3139" t="str">
        <f>"700065"</f>
        <v>700065</v>
      </c>
      <c r="H3139" t="str">
        <f>"אלתא מערכות בע""מ"</f>
        <v>אלתא מערכות בע"מ</v>
      </c>
      <c r="I3139" t="str">
        <f>"10"</f>
        <v>10</v>
      </c>
      <c r="J3139" t="str">
        <f>"OP-AR01923"</f>
        <v>OP-AR01923</v>
      </c>
      <c r="K3139" t="str">
        <f>"2114B152-001/D BLKXW2 CABLE ASSY (SSTU DC POWER"</f>
        <v>2114B152-001/D BLKXW2 CABLE ASSY (SSTU DC POWER</v>
      </c>
      <c r="L3139">
        <v>3</v>
      </c>
      <c r="M3139" t="str">
        <f>"יח"</f>
        <v>יח</v>
      </c>
      <c r="N3139">
        <v>3</v>
      </c>
      <c r="O3139" t="str">
        <f>"יח"</f>
        <v>יח</v>
      </c>
      <c r="P3139">
        <v>634.16</v>
      </c>
      <c r="Q3139" t="str">
        <f>"$"</f>
        <v>$</v>
      </c>
      <c r="R3139" t="str">
        <f>"הזמנה"</f>
        <v>הזמנה</v>
      </c>
      <c r="S3139">
        <v>0</v>
      </c>
      <c r="T3139" s="2">
        <v>1902.48</v>
      </c>
      <c r="U3139">
        <v>0</v>
      </c>
      <c r="V3139" s="2">
        <v>1902.48</v>
      </c>
      <c r="W3139" t="str">
        <f>"$"</f>
        <v>$</v>
      </c>
      <c r="X3139">
        <v>0</v>
      </c>
      <c r="Y3139">
        <v>0</v>
      </c>
      <c r="Z3139">
        <v>0</v>
      </c>
      <c r="AA3139" t="str">
        <f>"Y"</f>
        <v>Y</v>
      </c>
      <c r="AB3139" t="str">
        <f>"SO20000309"</f>
        <v>SO20000309</v>
      </c>
      <c r="AC3139">
        <v>3</v>
      </c>
      <c r="AD3139" s="1">
        <v>44031</v>
      </c>
      <c r="AE3139" t="str">
        <f>"SH20001715"</f>
        <v>SH20001715</v>
      </c>
      <c r="AF3139" t="str">
        <f>"משלוחים ללקוח"</f>
        <v>משלוחים ללקוח</v>
      </c>
      <c r="AG3139" s="1">
        <v>44185</v>
      </c>
      <c r="AM3139" t="str">
        <f>"10"</f>
        <v>10</v>
      </c>
      <c r="AN3139" t="str">
        <f>"500000"</f>
        <v>500000</v>
      </c>
      <c r="AO3139" t="str">
        <f>"הכנסות  מלקוחות"</f>
        <v>הכנסות  מלקוחות</v>
      </c>
      <c r="AQ3139" t="str">
        <f>"034"</f>
        <v>034</v>
      </c>
      <c r="AR3139">
        <v>0</v>
      </c>
      <c r="AS3139">
        <v>0</v>
      </c>
      <c r="AT3139">
        <v>3.222</v>
      </c>
      <c r="AX3139" t="str">
        <f>"E000316387"</f>
        <v>E000316387</v>
      </c>
      <c r="BD3139" t="str">
        <f>"ערן שלו"</f>
        <v>ערן שלו</v>
      </c>
    </row>
    <row r="3140" spans="1:56" x14ac:dyDescent="0.3">
      <c r="A3140" s="1">
        <v>44189</v>
      </c>
      <c r="B3140" t="str">
        <f>"SI206001447"</f>
        <v>SI206001447</v>
      </c>
      <c r="C3140" t="str">
        <f>"PR20000538"</f>
        <v>PR20000538</v>
      </c>
      <c r="D3140" t="str">
        <f>"PR20000538"</f>
        <v>PR20000538</v>
      </c>
      <c r="E3140" t="str">
        <f>"Y"</f>
        <v>Y</v>
      </c>
      <c r="F3140" t="str">
        <f>"חשבוניות מרכזות"</f>
        <v>חשבוניות מרכזות</v>
      </c>
      <c r="G3140" t="str">
        <f>"700065"</f>
        <v>700065</v>
      </c>
      <c r="H3140" t="str">
        <f>"אלתא מערכות בע""מ"</f>
        <v>אלתא מערכות בע"מ</v>
      </c>
      <c r="I3140" t="str">
        <f>"10"</f>
        <v>10</v>
      </c>
      <c r="J3140" t="str">
        <f>"OP-AR01971"</f>
        <v>OP-AR01971</v>
      </c>
      <c r="K3140" t="str">
        <f>"2218B221-001/A - BFUW111 BL ANT CABLE ASSY"</f>
        <v>2218B221-001/A - BFUW111 BL ANT CABLE ASSY</v>
      </c>
      <c r="L3140">
        <v>3</v>
      </c>
      <c r="M3140" t="str">
        <f>"יח"</f>
        <v>יח</v>
      </c>
      <c r="N3140">
        <v>3</v>
      </c>
      <c r="O3140" t="str">
        <f>"יח"</f>
        <v>יח</v>
      </c>
      <c r="P3140" s="2">
        <v>1083.1400000000001</v>
      </c>
      <c r="Q3140" t="str">
        <f>"$"</f>
        <v>$</v>
      </c>
      <c r="R3140" t="str">
        <f>"הזמנה"</f>
        <v>הזמנה</v>
      </c>
      <c r="S3140">
        <v>0</v>
      </c>
      <c r="T3140" s="2">
        <v>3249.42</v>
      </c>
      <c r="U3140">
        <v>0</v>
      </c>
      <c r="V3140" s="2">
        <v>3249.42</v>
      </c>
      <c r="W3140" t="str">
        <f>"$"</f>
        <v>$</v>
      </c>
      <c r="X3140">
        <v>0</v>
      </c>
      <c r="Y3140">
        <v>0</v>
      </c>
      <c r="Z3140">
        <v>0</v>
      </c>
      <c r="AA3140" t="str">
        <f>"Y"</f>
        <v>Y</v>
      </c>
      <c r="AB3140" t="str">
        <f>"SO20000365"</f>
        <v>SO20000365</v>
      </c>
      <c r="AC3140">
        <v>1</v>
      </c>
      <c r="AD3140" s="1">
        <v>44062</v>
      </c>
      <c r="AE3140" t="str">
        <f>"SH20001712"</f>
        <v>SH20001712</v>
      </c>
      <c r="AF3140" t="str">
        <f>"משלוחים ללקוח"</f>
        <v>משלוחים ללקוח</v>
      </c>
      <c r="AG3140" s="1">
        <v>44185</v>
      </c>
      <c r="AM3140" t="str">
        <f>"10"</f>
        <v>10</v>
      </c>
      <c r="AN3140" t="str">
        <f>"500000"</f>
        <v>500000</v>
      </c>
      <c r="AO3140" t="str">
        <f>"הכנסות  מלקוחות"</f>
        <v>הכנסות  מלקוחות</v>
      </c>
      <c r="AQ3140" t="str">
        <f>"034"</f>
        <v>034</v>
      </c>
      <c r="AR3140">
        <v>0</v>
      </c>
      <c r="AS3140">
        <v>0</v>
      </c>
      <c r="AT3140">
        <v>3.222</v>
      </c>
      <c r="AX3140" t="str">
        <f>"E000318009"</f>
        <v>E000318009</v>
      </c>
      <c r="BD3140" t="str">
        <f>"ערן שלו"</f>
        <v>ערן שלו</v>
      </c>
    </row>
    <row r="3141" spans="1:56" x14ac:dyDescent="0.3">
      <c r="A3141" s="1">
        <v>44189</v>
      </c>
      <c r="B3141" t="str">
        <f>"SI206001447"</f>
        <v>SI206001447</v>
      </c>
      <c r="C3141" t="str">
        <f>"PR20000538"</f>
        <v>PR20000538</v>
      </c>
      <c r="D3141" t="str">
        <f>"PR20000538"</f>
        <v>PR20000538</v>
      </c>
      <c r="E3141" t="str">
        <f>"Y"</f>
        <v>Y</v>
      </c>
      <c r="F3141" t="str">
        <f>"חשבוניות מרכזות"</f>
        <v>חשבוניות מרכזות</v>
      </c>
      <c r="G3141" t="str">
        <f>"700065"</f>
        <v>700065</v>
      </c>
      <c r="H3141" t="str">
        <f>"אלתא מערכות בע""מ"</f>
        <v>אלתא מערכות בע"מ</v>
      </c>
      <c r="I3141" t="str">
        <f>"10"</f>
        <v>10</v>
      </c>
      <c r="J3141" t="str">
        <f>"OP-AR01972"</f>
        <v>OP-AR01972</v>
      </c>
      <c r="K3141" t="str">
        <f>"2209B125-001/A - ASW321 PWR TO PC3 AND ANT ARIAH"</f>
        <v>2209B125-001/A - ASW321 PWR TO PC3 AND ANT ARIAH</v>
      </c>
      <c r="L3141">
        <v>1</v>
      </c>
      <c r="M3141" t="str">
        <f>"יח"</f>
        <v>יח</v>
      </c>
      <c r="N3141">
        <v>1</v>
      </c>
      <c r="O3141" t="str">
        <f>"יח"</f>
        <v>יח</v>
      </c>
      <c r="P3141">
        <v>631.61</v>
      </c>
      <c r="Q3141" t="str">
        <f>"$"</f>
        <v>$</v>
      </c>
      <c r="R3141" t="str">
        <f>"הזמנה"</f>
        <v>הזמנה</v>
      </c>
      <c r="S3141">
        <v>0</v>
      </c>
      <c r="T3141">
        <v>631.61</v>
      </c>
      <c r="U3141">
        <v>0</v>
      </c>
      <c r="V3141">
        <v>631.61</v>
      </c>
      <c r="W3141" t="str">
        <f>"$"</f>
        <v>$</v>
      </c>
      <c r="X3141">
        <v>0</v>
      </c>
      <c r="Y3141">
        <v>0</v>
      </c>
      <c r="Z3141">
        <v>0</v>
      </c>
      <c r="AA3141" t="str">
        <f>"Y"</f>
        <v>Y</v>
      </c>
      <c r="AB3141" t="str">
        <f>"SO20000365"</f>
        <v>SO20000365</v>
      </c>
      <c r="AC3141">
        <v>2</v>
      </c>
      <c r="AD3141" s="1">
        <v>44062</v>
      </c>
      <c r="AE3141" t="str">
        <f>"SH20001712"</f>
        <v>SH20001712</v>
      </c>
      <c r="AF3141" t="str">
        <f>"משלוחים ללקוח"</f>
        <v>משלוחים ללקוח</v>
      </c>
      <c r="AG3141" s="1">
        <v>44185</v>
      </c>
      <c r="AM3141" t="str">
        <f>"10"</f>
        <v>10</v>
      </c>
      <c r="AN3141" t="str">
        <f>"500000"</f>
        <v>500000</v>
      </c>
      <c r="AO3141" t="str">
        <f>"הכנסות  מלקוחות"</f>
        <v>הכנסות  מלקוחות</v>
      </c>
      <c r="AQ3141" t="str">
        <f>"034"</f>
        <v>034</v>
      </c>
      <c r="AR3141">
        <v>0</v>
      </c>
      <c r="AS3141">
        <v>0</v>
      </c>
      <c r="AT3141">
        <v>3.222</v>
      </c>
      <c r="AX3141" t="str">
        <f>"E000318009"</f>
        <v>E000318009</v>
      </c>
      <c r="BD3141" t="str">
        <f>"ערן שלו"</f>
        <v>ערן שלו</v>
      </c>
    </row>
    <row r="3142" spans="1:56" x14ac:dyDescent="0.3">
      <c r="A3142" s="1">
        <v>44189</v>
      </c>
      <c r="B3142" t="str">
        <f>"SI206001445"</f>
        <v>SI206001445</v>
      </c>
      <c r="C3142" t="str">
        <f>"PR20000640"</f>
        <v>PR20000640</v>
      </c>
      <c r="D3142" t="str">
        <f>"PR20000640"</f>
        <v>PR20000640</v>
      </c>
      <c r="E3142" t="str">
        <f>"Y"</f>
        <v>Y</v>
      </c>
      <c r="F3142" t="str">
        <f>"חשבוניות מרכזות"</f>
        <v>חשבוניות מרכזות</v>
      </c>
      <c r="G3142" t="str">
        <f>"700065"</f>
        <v>700065</v>
      </c>
      <c r="H3142" t="str">
        <f>"אלתא מערכות בע""מ"</f>
        <v>אלתא מערכות בע"מ</v>
      </c>
      <c r="I3142" t="str">
        <f>"10"</f>
        <v>10</v>
      </c>
      <c r="J3142" t="str">
        <f>"OP-AR02028"</f>
        <v>OP-AR02028</v>
      </c>
      <c r="K3142" t="str">
        <f>"9005A542-001/- CABLE ASSY. P6 FOR SAR DTS INT.RA"</f>
        <v>9005A542-001/- CABLE ASSY. P6 FOR SAR DTS INT.RA</v>
      </c>
      <c r="L3142">
        <v>3</v>
      </c>
      <c r="M3142" t="str">
        <f>"יח"</f>
        <v>יח</v>
      </c>
      <c r="N3142">
        <v>3</v>
      </c>
      <c r="O3142" t="str">
        <f>"יח"</f>
        <v>יח</v>
      </c>
      <c r="P3142">
        <v>239.79</v>
      </c>
      <c r="Q3142" t="str">
        <f>"$"</f>
        <v>$</v>
      </c>
      <c r="R3142" t="str">
        <f>"הזמנה"</f>
        <v>הזמנה</v>
      </c>
      <c r="S3142">
        <v>0</v>
      </c>
      <c r="T3142">
        <v>719.37</v>
      </c>
      <c r="U3142">
        <v>0</v>
      </c>
      <c r="V3142">
        <v>719.37</v>
      </c>
      <c r="W3142" t="str">
        <f>"$"</f>
        <v>$</v>
      </c>
      <c r="X3142">
        <v>0</v>
      </c>
      <c r="Y3142">
        <v>0</v>
      </c>
      <c r="Z3142">
        <v>0</v>
      </c>
      <c r="AA3142" t="str">
        <f>"Y"</f>
        <v>Y</v>
      </c>
      <c r="AB3142" t="str">
        <f>"SO20000444"</f>
        <v>SO20000444</v>
      </c>
      <c r="AC3142">
        <v>1</v>
      </c>
      <c r="AD3142" s="1">
        <v>44084</v>
      </c>
      <c r="AE3142" t="str">
        <f>"SH20001711"</f>
        <v>SH20001711</v>
      </c>
      <c r="AF3142" t="str">
        <f>"משלוחים ללקוח"</f>
        <v>משלוחים ללקוח</v>
      </c>
      <c r="AG3142" s="1">
        <v>44185</v>
      </c>
      <c r="AM3142" t="str">
        <f>"10"</f>
        <v>10</v>
      </c>
      <c r="AN3142" t="str">
        <f>"500000"</f>
        <v>500000</v>
      </c>
      <c r="AO3142" t="str">
        <f>"הכנסות  מלקוחות"</f>
        <v>הכנסות  מלקוחות</v>
      </c>
      <c r="AQ3142" t="str">
        <f>"034"</f>
        <v>034</v>
      </c>
      <c r="AR3142">
        <v>0</v>
      </c>
      <c r="AS3142">
        <v>0</v>
      </c>
      <c r="AT3142">
        <v>3.222</v>
      </c>
      <c r="AX3142" t="str">
        <f>"E000321380"</f>
        <v>E000321380</v>
      </c>
      <c r="BD3142" t="str">
        <f>"ערן שלו"</f>
        <v>ערן שלו</v>
      </c>
    </row>
    <row r="3143" spans="1:56" x14ac:dyDescent="0.3">
      <c r="A3143" s="1">
        <v>44189</v>
      </c>
      <c r="B3143" t="str">
        <f>"SI206001444"</f>
        <v>SI206001444</v>
      </c>
      <c r="C3143" t="str">
        <f>"PR20000377"</f>
        <v>PR20000377</v>
      </c>
      <c r="E3143" t="str">
        <f>"Y"</f>
        <v>Y</v>
      </c>
      <c r="F3143" t="str">
        <f>"חשבוניות מרכזות"</f>
        <v>חשבוניות מרכזות</v>
      </c>
      <c r="G3143" t="str">
        <f>"700065"</f>
        <v>700065</v>
      </c>
      <c r="H3143" t="str">
        <f>"אלתא מערכות בע""מ"</f>
        <v>אלתא מערכות בע"מ</v>
      </c>
      <c r="I3143" t="str">
        <f>"10"</f>
        <v>10</v>
      </c>
      <c r="J3143" t="str">
        <f>"OP-AR01828"</f>
        <v>OP-AR01828</v>
      </c>
      <c r="K3143" t="str">
        <f>"2114B423-002 BFUW103 BFU CABLE ASSY"</f>
        <v>2114B423-002 BFUW103 BFU CABLE ASSY</v>
      </c>
      <c r="L3143">
        <v>3</v>
      </c>
      <c r="M3143" t="str">
        <f>"יח"</f>
        <v>יח</v>
      </c>
      <c r="N3143">
        <v>3</v>
      </c>
      <c r="O3143" t="str">
        <f>"יח"</f>
        <v>יח</v>
      </c>
      <c r="P3143" s="2">
        <v>1099.67</v>
      </c>
      <c r="Q3143" t="str">
        <f>"$"</f>
        <v>$</v>
      </c>
      <c r="R3143" t="str">
        <f>"הזמנה"</f>
        <v>הזמנה</v>
      </c>
      <c r="S3143">
        <v>0</v>
      </c>
      <c r="T3143" s="2">
        <v>3299.01</v>
      </c>
      <c r="U3143">
        <v>0</v>
      </c>
      <c r="V3143" s="2">
        <v>3299.01</v>
      </c>
      <c r="W3143" t="str">
        <f>"$"</f>
        <v>$</v>
      </c>
      <c r="X3143">
        <v>0</v>
      </c>
      <c r="Y3143">
        <v>0</v>
      </c>
      <c r="Z3143">
        <v>0</v>
      </c>
      <c r="AA3143" t="str">
        <f>"Y"</f>
        <v>Y</v>
      </c>
      <c r="AB3143" t="str">
        <f>"SO20000235"</f>
        <v>SO20000235</v>
      </c>
      <c r="AC3143">
        <v>1</v>
      </c>
      <c r="AD3143" s="1">
        <v>43990</v>
      </c>
      <c r="AE3143" t="str">
        <f>"SH20001710"</f>
        <v>SH20001710</v>
      </c>
      <c r="AF3143" t="str">
        <f>"משלוחים ללקוח"</f>
        <v>משלוחים ללקוח</v>
      </c>
      <c r="AG3143" s="1">
        <v>44185</v>
      </c>
      <c r="AM3143" t="str">
        <f>"10"</f>
        <v>10</v>
      </c>
      <c r="AN3143" t="str">
        <f>"500000"</f>
        <v>500000</v>
      </c>
      <c r="AO3143" t="str">
        <f>"הכנסות  מלקוחות"</f>
        <v>הכנסות  מלקוחות</v>
      </c>
      <c r="AQ3143" t="str">
        <f>"034"</f>
        <v>034</v>
      </c>
      <c r="AR3143">
        <v>0</v>
      </c>
      <c r="AS3143">
        <v>0</v>
      </c>
      <c r="AT3143">
        <v>3.222</v>
      </c>
      <c r="AX3143" t="str">
        <f>"E000314064"</f>
        <v>E000314064</v>
      </c>
      <c r="BD3143" t="str">
        <f>"ערן שלו"</f>
        <v>ערן שלו</v>
      </c>
    </row>
    <row r="3144" spans="1:56" x14ac:dyDescent="0.3">
      <c r="A3144" s="1">
        <v>44189</v>
      </c>
      <c r="B3144" t="str">
        <f>"SI206001444"</f>
        <v>SI206001444</v>
      </c>
      <c r="C3144" t="str">
        <f>"PR20000377"</f>
        <v>PR20000377</v>
      </c>
      <c r="E3144" t="str">
        <f>"Y"</f>
        <v>Y</v>
      </c>
      <c r="F3144" t="str">
        <f>"חשבוניות מרכזות"</f>
        <v>חשבוניות מרכזות</v>
      </c>
      <c r="G3144" t="str">
        <f>"700065"</f>
        <v>700065</v>
      </c>
      <c r="H3144" t="str">
        <f>"אלתא מערכות בע""מ"</f>
        <v>אלתא מערכות בע"מ</v>
      </c>
      <c r="I3144" t="str">
        <f>"10"</f>
        <v>10</v>
      </c>
      <c r="J3144" t="str">
        <f>"OP-AR01828"</f>
        <v>OP-AR01828</v>
      </c>
      <c r="K3144" t="str">
        <f>"2114B423-002 BFUW103 BFU CABLE ASSY"</f>
        <v>2114B423-002 BFUW103 BFU CABLE ASSY</v>
      </c>
      <c r="L3144">
        <v>1</v>
      </c>
      <c r="M3144" t="str">
        <f>"יח"</f>
        <v>יח</v>
      </c>
      <c r="N3144">
        <v>1</v>
      </c>
      <c r="O3144" t="str">
        <f>"יח"</f>
        <v>יח</v>
      </c>
      <c r="P3144" s="2">
        <v>1099.67</v>
      </c>
      <c r="Q3144" t="str">
        <f>"$"</f>
        <v>$</v>
      </c>
      <c r="R3144" t="str">
        <f>"הזמנה"</f>
        <v>הזמנה</v>
      </c>
      <c r="S3144">
        <v>0</v>
      </c>
      <c r="T3144" s="2">
        <v>1099.67</v>
      </c>
      <c r="U3144">
        <v>0</v>
      </c>
      <c r="V3144" s="2">
        <v>1099.67</v>
      </c>
      <c r="W3144" t="str">
        <f>"$"</f>
        <v>$</v>
      </c>
      <c r="X3144">
        <v>0</v>
      </c>
      <c r="Y3144">
        <v>0</v>
      </c>
      <c r="Z3144">
        <v>0</v>
      </c>
      <c r="AA3144" t="str">
        <f>"Y"</f>
        <v>Y</v>
      </c>
      <c r="AB3144" t="str">
        <f>"SO20000235"</f>
        <v>SO20000235</v>
      </c>
      <c r="AC3144">
        <v>3</v>
      </c>
      <c r="AD3144" s="1">
        <v>43990</v>
      </c>
      <c r="AE3144" t="str">
        <f>"SH20001710"</f>
        <v>SH20001710</v>
      </c>
      <c r="AF3144" t="str">
        <f>"משלוחים ללקוח"</f>
        <v>משלוחים ללקוח</v>
      </c>
      <c r="AG3144" s="1">
        <v>44185</v>
      </c>
      <c r="AM3144" t="str">
        <f>"10"</f>
        <v>10</v>
      </c>
      <c r="AN3144" t="str">
        <f>"500000"</f>
        <v>500000</v>
      </c>
      <c r="AO3144" t="str">
        <f>"הכנסות  מלקוחות"</f>
        <v>הכנסות  מלקוחות</v>
      </c>
      <c r="AQ3144" t="str">
        <f>"034"</f>
        <v>034</v>
      </c>
      <c r="AR3144">
        <v>0</v>
      </c>
      <c r="AS3144">
        <v>0</v>
      </c>
      <c r="AT3144">
        <v>3.222</v>
      </c>
      <c r="AX3144" t="str">
        <f>"E000314064"</f>
        <v>E000314064</v>
      </c>
      <c r="BD3144" t="str">
        <f>"ערן שלו"</f>
        <v>ערן שלו</v>
      </c>
    </row>
    <row r="3145" spans="1:56" x14ac:dyDescent="0.3">
      <c r="A3145" s="1">
        <v>44189</v>
      </c>
      <c r="B3145" t="str">
        <f>"SI206001443"</f>
        <v>SI206001443</v>
      </c>
      <c r="C3145" t="str">
        <f>"PR20000620"</f>
        <v>PR20000620</v>
      </c>
      <c r="D3145" t="str">
        <f>"PR20000620"</f>
        <v>PR20000620</v>
      </c>
      <c r="E3145" t="str">
        <f>"Y"</f>
        <v>Y</v>
      </c>
      <c r="F3145" t="str">
        <f>"חשבוניות מרכזות"</f>
        <v>חשבוניות מרכזות</v>
      </c>
      <c r="G3145" t="str">
        <f>"700065"</f>
        <v>700065</v>
      </c>
      <c r="H3145" t="str">
        <f>"אלתא מערכות בע""מ"</f>
        <v>אלתא מערכות בע"מ</v>
      </c>
      <c r="I3145" t="str">
        <f>"10"</f>
        <v>10</v>
      </c>
      <c r="J3145" t="str">
        <f>"OP-AR02009"</f>
        <v>OP-AR02009</v>
      </c>
      <c r="K3145" t="str">
        <f>"1023W667-001/D   W17-DC CABLE"</f>
        <v>1023W667-001/D   W17-DC CABLE</v>
      </c>
      <c r="L3145">
        <v>5</v>
      </c>
      <c r="M3145" t="str">
        <f>"יח"</f>
        <v>יח</v>
      </c>
      <c r="N3145">
        <v>5</v>
      </c>
      <c r="O3145" t="str">
        <f>"יח"</f>
        <v>יח</v>
      </c>
      <c r="P3145">
        <v>399.2</v>
      </c>
      <c r="Q3145" t="str">
        <f>"$"</f>
        <v>$</v>
      </c>
      <c r="R3145" t="str">
        <f>"הזמנה"</f>
        <v>הזמנה</v>
      </c>
      <c r="S3145">
        <v>0</v>
      </c>
      <c r="T3145" s="2">
        <v>1996</v>
      </c>
      <c r="U3145">
        <v>0</v>
      </c>
      <c r="V3145" s="2">
        <v>1996</v>
      </c>
      <c r="W3145" t="str">
        <f>"$"</f>
        <v>$</v>
      </c>
      <c r="X3145">
        <v>0</v>
      </c>
      <c r="Y3145">
        <v>0</v>
      </c>
      <c r="Z3145">
        <v>0</v>
      </c>
      <c r="AA3145" t="str">
        <f>"Y"</f>
        <v>Y</v>
      </c>
      <c r="AB3145" t="str">
        <f>"SO20000409"</f>
        <v>SO20000409</v>
      </c>
      <c r="AC3145">
        <v>5</v>
      </c>
      <c r="AD3145" s="1">
        <v>44082</v>
      </c>
      <c r="AE3145" t="str">
        <f>"SH20001707"</f>
        <v>SH20001707</v>
      </c>
      <c r="AF3145" t="str">
        <f>"משלוחים ללקוח"</f>
        <v>משלוחים ללקוח</v>
      </c>
      <c r="AG3145" s="1">
        <v>44185</v>
      </c>
      <c r="AM3145" t="str">
        <f>"10"</f>
        <v>10</v>
      </c>
      <c r="AN3145" t="str">
        <f>"500000"</f>
        <v>500000</v>
      </c>
      <c r="AO3145" t="str">
        <f>"הכנסות  מלקוחות"</f>
        <v>הכנסות  מלקוחות</v>
      </c>
      <c r="AQ3145" t="str">
        <f>"034"</f>
        <v>034</v>
      </c>
      <c r="AR3145">
        <v>0</v>
      </c>
      <c r="AS3145">
        <v>0</v>
      </c>
      <c r="AT3145">
        <v>3.222</v>
      </c>
      <c r="AX3145" t="str">
        <f>"E000320341"</f>
        <v>E000320341</v>
      </c>
      <c r="BD3145" t="str">
        <f>"ערן שלו"</f>
        <v>ערן שלו</v>
      </c>
    </row>
    <row r="3146" spans="1:56" x14ac:dyDescent="0.3">
      <c r="A3146" s="1">
        <v>44180</v>
      </c>
      <c r="B3146" t="str">
        <f>"SI206001412"</f>
        <v>SI206001412</v>
      </c>
      <c r="C3146" t="str">
        <f>"PR20000115"</f>
        <v>PR20000115</v>
      </c>
      <c r="D3146" t="str">
        <f>"PR20000115"</f>
        <v>PR20000115</v>
      </c>
      <c r="E3146" t="str">
        <f>"Y"</f>
        <v>Y</v>
      </c>
      <c r="F3146" t="str">
        <f>"חשבוניות מרכזות"</f>
        <v>חשבוניות מרכזות</v>
      </c>
      <c r="G3146" t="str">
        <f>"700065"</f>
        <v>700065</v>
      </c>
      <c r="H3146" t="str">
        <f>"אלתא מערכות בע""מ"</f>
        <v>אלתא מערכות בע"מ</v>
      </c>
      <c r="I3146" t="str">
        <f>"10"</f>
        <v>10</v>
      </c>
      <c r="J3146" t="str">
        <f>"OP-AR01660"</f>
        <v>OP-AR01660</v>
      </c>
      <c r="K3146" t="str">
        <f>"NRE FOR E000306197"</f>
        <v>NRE FOR E000306197</v>
      </c>
      <c r="L3146">
        <v>1</v>
      </c>
      <c r="M3146" t="str">
        <f>"יח"</f>
        <v>יח</v>
      </c>
      <c r="N3146">
        <v>1</v>
      </c>
      <c r="O3146" t="str">
        <f>"יח"</f>
        <v>יח</v>
      </c>
      <c r="P3146" s="2">
        <v>2521.6</v>
      </c>
      <c r="Q3146" t="str">
        <f>"$"</f>
        <v>$</v>
      </c>
      <c r="R3146" t="str">
        <f>"הזמנה"</f>
        <v>הזמנה</v>
      </c>
      <c r="S3146">
        <v>0</v>
      </c>
      <c r="T3146" s="2">
        <v>2521.6</v>
      </c>
      <c r="U3146">
        <v>0</v>
      </c>
      <c r="V3146" s="2">
        <v>2521.6</v>
      </c>
      <c r="W3146" t="str">
        <f>"$"</f>
        <v>$</v>
      </c>
      <c r="X3146">
        <v>0</v>
      </c>
      <c r="Y3146">
        <v>0</v>
      </c>
      <c r="Z3146">
        <v>0</v>
      </c>
      <c r="AA3146" t="str">
        <f>"Y"</f>
        <v>Y</v>
      </c>
      <c r="AB3146" t="str">
        <f>"SO20000094"</f>
        <v>SO20000094</v>
      </c>
      <c r="AC3146">
        <v>14</v>
      </c>
      <c r="AD3146" s="1">
        <v>43891</v>
      </c>
      <c r="AM3146" t="str">
        <f>"10"</f>
        <v>10</v>
      </c>
      <c r="AN3146" t="str">
        <f>"500000"</f>
        <v>500000</v>
      </c>
      <c r="AO3146" t="str">
        <f>"הכנסות  מלקוחות"</f>
        <v>הכנסות  מלקוחות</v>
      </c>
      <c r="AQ3146" t="str">
        <f>"034"</f>
        <v>034</v>
      </c>
      <c r="AR3146">
        <v>0</v>
      </c>
      <c r="AS3146">
        <v>0</v>
      </c>
      <c r="AT3146">
        <v>3.2570000000000001</v>
      </c>
      <c r="AX3146" t="str">
        <f>"E000306197"</f>
        <v>E000306197</v>
      </c>
      <c r="BD3146" t="str">
        <f>"ערן שלו"</f>
        <v>ערן שלו</v>
      </c>
    </row>
    <row r="3147" spans="1:56" x14ac:dyDescent="0.3">
      <c r="A3147" s="1">
        <v>44180</v>
      </c>
      <c r="B3147" t="str">
        <f>"SI206001412"</f>
        <v>SI206001412</v>
      </c>
      <c r="C3147" t="str">
        <f>"PR20000115"</f>
        <v>PR20000115</v>
      </c>
      <c r="D3147" t="str">
        <f>"PR20000115"</f>
        <v>PR20000115</v>
      </c>
      <c r="E3147" t="str">
        <f>"Y"</f>
        <v>Y</v>
      </c>
      <c r="F3147" t="str">
        <f>"חשבוניות מרכזות"</f>
        <v>חשבוניות מרכזות</v>
      </c>
      <c r="G3147" t="str">
        <f>"700065"</f>
        <v>700065</v>
      </c>
      <c r="H3147" t="str">
        <f>"אלתא מערכות בע""מ"</f>
        <v>אלתא מערכות בע"מ</v>
      </c>
      <c r="I3147" t="str">
        <f>"10"</f>
        <v>10</v>
      </c>
      <c r="J3147" t="str">
        <f>"000"</f>
        <v>000</v>
      </c>
      <c r="K3147" t="str">
        <f>"שינויים ברתמות"</f>
        <v>שינויים ברתמות</v>
      </c>
      <c r="L3147">
        <v>1</v>
      </c>
      <c r="M3147" t="str">
        <f>"יח"</f>
        <v>יח</v>
      </c>
      <c r="N3147">
        <v>1</v>
      </c>
      <c r="O3147" t="str">
        <f>"יח"</f>
        <v>יח</v>
      </c>
      <c r="P3147" s="2">
        <v>3693.75</v>
      </c>
      <c r="Q3147" t="str">
        <f>"$"</f>
        <v>$</v>
      </c>
      <c r="R3147" t="str">
        <f>"הזמנה"</f>
        <v>הזמנה</v>
      </c>
      <c r="S3147">
        <v>0</v>
      </c>
      <c r="T3147" s="2">
        <v>3693.75</v>
      </c>
      <c r="U3147">
        <v>0</v>
      </c>
      <c r="V3147" s="2">
        <v>3693.75</v>
      </c>
      <c r="W3147" t="str">
        <f>"$"</f>
        <v>$</v>
      </c>
      <c r="X3147">
        <v>0</v>
      </c>
      <c r="Y3147">
        <v>0</v>
      </c>
      <c r="Z3147">
        <v>0</v>
      </c>
      <c r="AA3147" t="str">
        <f>"Y"</f>
        <v>Y</v>
      </c>
      <c r="AB3147" t="str">
        <f>"SO20000094"</f>
        <v>SO20000094</v>
      </c>
      <c r="AC3147">
        <v>24</v>
      </c>
      <c r="AD3147" s="1">
        <v>43891</v>
      </c>
      <c r="AM3147" t="str">
        <f>"10"</f>
        <v>10</v>
      </c>
      <c r="AN3147" t="str">
        <f>"500000"</f>
        <v>500000</v>
      </c>
      <c r="AO3147" t="str">
        <f>"הכנסות  מלקוחות"</f>
        <v>הכנסות  מלקוחות</v>
      </c>
      <c r="AQ3147" t="str">
        <f>"034"</f>
        <v>034</v>
      </c>
      <c r="AR3147">
        <v>0</v>
      </c>
      <c r="AS3147">
        <v>0</v>
      </c>
      <c r="AT3147">
        <v>3.2570000000000001</v>
      </c>
      <c r="AX3147" t="str">
        <f>"E000306197"</f>
        <v>E000306197</v>
      </c>
      <c r="BD3147" t="str">
        <f>"ערן שלו"</f>
        <v>ערן שלו</v>
      </c>
    </row>
    <row r="3148" spans="1:56" x14ac:dyDescent="0.3">
      <c r="A3148" s="1">
        <v>44178</v>
      </c>
      <c r="B3148" t="str">
        <f>"SI206001400"</f>
        <v>SI206001400</v>
      </c>
      <c r="C3148" t="str">
        <f>"PR20000567"</f>
        <v>PR20000567</v>
      </c>
      <c r="D3148" t="str">
        <f>"PR20000567"</f>
        <v>PR20000567</v>
      </c>
      <c r="E3148" t="str">
        <f>"Y"</f>
        <v>Y</v>
      </c>
      <c r="F3148" t="str">
        <f>"חשבוניות מרכזות"</f>
        <v>חשבוניות מרכזות</v>
      </c>
      <c r="G3148" t="str">
        <f>"700065"</f>
        <v>700065</v>
      </c>
      <c r="H3148" t="str">
        <f>"אלתא מערכות בע""מ"</f>
        <v>אלתא מערכות בע"מ</v>
      </c>
      <c r="I3148" t="str">
        <f>"10"</f>
        <v>10</v>
      </c>
      <c r="J3148" t="str">
        <f>"OP-AR01984"</f>
        <v>OP-AR01984</v>
      </c>
      <c r="K3148" t="str">
        <f>"6660L001-001/-  AKD W213 UPGRADED BUNDLE INS-D"</f>
        <v>6660L001-001/-  AKD W213 UPGRADED BUNDLE INS-D</v>
      </c>
      <c r="L3148">
        <v>1</v>
      </c>
      <c r="M3148" t="str">
        <f>"יח"</f>
        <v>יח</v>
      </c>
      <c r="N3148">
        <v>1</v>
      </c>
      <c r="O3148" t="str">
        <f>"יח"</f>
        <v>יח</v>
      </c>
      <c r="P3148" s="2">
        <v>1651.65</v>
      </c>
      <c r="Q3148" t="str">
        <f>"$"</f>
        <v>$</v>
      </c>
      <c r="R3148" t="str">
        <f>"הזמנה"</f>
        <v>הזמנה</v>
      </c>
      <c r="S3148">
        <v>0</v>
      </c>
      <c r="T3148" s="2">
        <v>1651.65</v>
      </c>
      <c r="U3148">
        <v>0</v>
      </c>
      <c r="V3148" s="2">
        <v>1651.65</v>
      </c>
      <c r="W3148" t="str">
        <f>"$"</f>
        <v>$</v>
      </c>
      <c r="X3148">
        <v>0</v>
      </c>
      <c r="Y3148">
        <v>0</v>
      </c>
      <c r="Z3148">
        <v>0</v>
      </c>
      <c r="AA3148" t="str">
        <f>"Y"</f>
        <v>Y</v>
      </c>
      <c r="AB3148" t="str">
        <f>"SO20000373"</f>
        <v>SO20000373</v>
      </c>
      <c r="AC3148">
        <v>1</v>
      </c>
      <c r="AD3148" s="1">
        <v>44068</v>
      </c>
      <c r="AE3148" t="str">
        <f>"SH20001665"</f>
        <v>SH20001665</v>
      </c>
      <c r="AF3148" t="str">
        <f>"משלוחים ללקוח"</f>
        <v>משלוחים ללקוח</v>
      </c>
      <c r="AG3148" s="1">
        <v>44174</v>
      </c>
      <c r="AM3148" t="str">
        <f>"10"</f>
        <v>10</v>
      </c>
      <c r="AN3148" t="str">
        <f>"500000"</f>
        <v>500000</v>
      </c>
      <c r="AO3148" t="str">
        <f>"הכנסות  מלקוחות"</f>
        <v>הכנסות  מלקוחות</v>
      </c>
      <c r="AQ3148" t="str">
        <f>"034"</f>
        <v>034</v>
      </c>
      <c r="AR3148">
        <v>0</v>
      </c>
      <c r="AS3148">
        <v>0</v>
      </c>
      <c r="AT3148">
        <v>3.254</v>
      </c>
      <c r="AX3148" t="str">
        <f>"E000319150"</f>
        <v>E000319150</v>
      </c>
      <c r="BD3148" t="str">
        <f>"ערן שלו"</f>
        <v>ערן שלו</v>
      </c>
    </row>
    <row r="3149" spans="1:56" x14ac:dyDescent="0.3">
      <c r="A3149" s="1">
        <v>44178</v>
      </c>
      <c r="B3149" t="str">
        <f>"SI206001399"</f>
        <v>SI206001399</v>
      </c>
      <c r="C3149" t="str">
        <f>"PR20000779"</f>
        <v>PR20000779</v>
      </c>
      <c r="D3149" t="str">
        <f>"PR20000779"</f>
        <v>PR20000779</v>
      </c>
      <c r="E3149" t="str">
        <f>"Y"</f>
        <v>Y</v>
      </c>
      <c r="F3149" t="str">
        <f>"חשבוניות מרכזות"</f>
        <v>חשבוניות מרכזות</v>
      </c>
      <c r="G3149" t="str">
        <f>"700065"</f>
        <v>700065</v>
      </c>
      <c r="H3149" t="str">
        <f>"אלתא מערכות בע""מ"</f>
        <v>אלתא מערכות בע"מ</v>
      </c>
      <c r="I3149" t="str">
        <f>"10"</f>
        <v>10</v>
      </c>
      <c r="J3149" t="str">
        <f>"OP-AR02060"</f>
        <v>OP-AR02060</v>
      </c>
      <c r="K3149" t="str">
        <f>"2022E632-001/-  AirTM V2.1 LIGHT CABLE ASSY"</f>
        <v>2022E632-001/-  AirTM V2.1 LIGHT CABLE ASSY</v>
      </c>
      <c r="L3149">
        <v>4</v>
      </c>
      <c r="M3149" t="str">
        <f>"יח"</f>
        <v>יח</v>
      </c>
      <c r="N3149">
        <v>4</v>
      </c>
      <c r="O3149" t="str">
        <f>"יח"</f>
        <v>יח</v>
      </c>
      <c r="P3149">
        <v>295.55</v>
      </c>
      <c r="Q3149" t="str">
        <f>"$"</f>
        <v>$</v>
      </c>
      <c r="R3149" t="str">
        <f>"הזמנה"</f>
        <v>הזמנה</v>
      </c>
      <c r="S3149">
        <v>0</v>
      </c>
      <c r="T3149" s="2">
        <v>1182.2</v>
      </c>
      <c r="U3149">
        <v>0</v>
      </c>
      <c r="V3149" s="2">
        <v>1182.2</v>
      </c>
      <c r="W3149" t="str">
        <f>"$"</f>
        <v>$</v>
      </c>
      <c r="X3149">
        <v>0</v>
      </c>
      <c r="Y3149">
        <v>0</v>
      </c>
      <c r="Z3149">
        <v>0</v>
      </c>
      <c r="AA3149" t="str">
        <f>"Y"</f>
        <v>Y</v>
      </c>
      <c r="AB3149" t="str">
        <f>"SO20000496"</f>
        <v>SO20000496</v>
      </c>
      <c r="AC3149">
        <v>1</v>
      </c>
      <c r="AD3149" s="1">
        <v>44138</v>
      </c>
      <c r="AE3149" t="str">
        <f>"SH20001657"</f>
        <v>SH20001657</v>
      </c>
      <c r="AF3149" t="str">
        <f>"משלוחים ללקוח"</f>
        <v>משלוחים ללקוח</v>
      </c>
      <c r="AG3149" s="1">
        <v>44173</v>
      </c>
      <c r="AM3149" t="str">
        <f>"10"</f>
        <v>10</v>
      </c>
      <c r="AN3149" t="str">
        <f>"500000"</f>
        <v>500000</v>
      </c>
      <c r="AO3149" t="str">
        <f>"הכנסות  מלקוחות"</f>
        <v>הכנסות  מלקוחות</v>
      </c>
      <c r="AQ3149" t="str">
        <f>"034"</f>
        <v>034</v>
      </c>
      <c r="AR3149">
        <v>0</v>
      </c>
      <c r="AS3149">
        <v>0</v>
      </c>
      <c r="AT3149">
        <v>3.254</v>
      </c>
      <c r="AX3149" t="str">
        <f>"E000323819"</f>
        <v>E000323819</v>
      </c>
      <c r="BD3149" t="str">
        <f>"ערן שלו"</f>
        <v>ערן שלו</v>
      </c>
    </row>
    <row r="3150" spans="1:56" x14ac:dyDescent="0.3">
      <c r="A3150" s="1">
        <v>44178</v>
      </c>
      <c r="B3150" t="str">
        <f>"SI206001398"</f>
        <v>SI206001398</v>
      </c>
      <c r="C3150" t="str">
        <f>"PR20000620"</f>
        <v>PR20000620</v>
      </c>
      <c r="D3150" t="str">
        <f>"PR20000620"</f>
        <v>PR20000620</v>
      </c>
      <c r="E3150" t="str">
        <f>"Y"</f>
        <v>Y</v>
      </c>
      <c r="F3150" t="str">
        <f>"חשבוניות מרכזות"</f>
        <v>חשבוניות מרכזות</v>
      </c>
      <c r="G3150" t="str">
        <f>"700065"</f>
        <v>700065</v>
      </c>
      <c r="H3150" t="str">
        <f>"אלתא מערכות בע""מ"</f>
        <v>אלתא מערכות בע"מ</v>
      </c>
      <c r="I3150" t="str">
        <f>"10"</f>
        <v>10</v>
      </c>
      <c r="J3150" t="str">
        <f>"OP-AR02006"</f>
        <v>OP-AR02006</v>
      </c>
      <c r="K3150" t="str">
        <f>"1025Y670-001/B   W20-TX CONT CABLE"</f>
        <v>1025Y670-001/B   W20-TX CONT CABLE</v>
      </c>
      <c r="L3150">
        <v>6</v>
      </c>
      <c r="M3150" t="str">
        <f>"יח"</f>
        <v>יח</v>
      </c>
      <c r="N3150">
        <v>6</v>
      </c>
      <c r="O3150" t="str">
        <f>"יח"</f>
        <v>יח</v>
      </c>
      <c r="P3150">
        <v>212.39</v>
      </c>
      <c r="Q3150" t="str">
        <f>"$"</f>
        <v>$</v>
      </c>
      <c r="R3150" t="str">
        <f>"הזמנה"</f>
        <v>הזמנה</v>
      </c>
      <c r="S3150">
        <v>0</v>
      </c>
      <c r="T3150" s="2">
        <v>1274.3399999999999</v>
      </c>
      <c r="U3150">
        <v>0</v>
      </c>
      <c r="V3150" s="2">
        <v>1274.3399999999999</v>
      </c>
      <c r="W3150" t="str">
        <f>"$"</f>
        <v>$</v>
      </c>
      <c r="X3150">
        <v>0</v>
      </c>
      <c r="Y3150">
        <v>0</v>
      </c>
      <c r="Z3150">
        <v>0</v>
      </c>
      <c r="AA3150" t="str">
        <f>"Y"</f>
        <v>Y</v>
      </c>
      <c r="AB3150" t="str">
        <f>"SO20000409"</f>
        <v>SO20000409</v>
      </c>
      <c r="AC3150">
        <v>2</v>
      </c>
      <c r="AD3150" s="1">
        <v>44082</v>
      </c>
      <c r="AE3150" t="str">
        <f>"SH20001656"</f>
        <v>SH20001656</v>
      </c>
      <c r="AF3150" t="str">
        <f>"משלוחים ללקוח"</f>
        <v>משלוחים ללקוח</v>
      </c>
      <c r="AG3150" s="1">
        <v>44173</v>
      </c>
      <c r="AM3150" t="str">
        <f>"10"</f>
        <v>10</v>
      </c>
      <c r="AN3150" t="str">
        <f>"500000"</f>
        <v>500000</v>
      </c>
      <c r="AO3150" t="str">
        <f>"הכנסות  מלקוחות"</f>
        <v>הכנסות  מלקוחות</v>
      </c>
      <c r="AQ3150" t="str">
        <f>"034"</f>
        <v>034</v>
      </c>
      <c r="AR3150">
        <v>0</v>
      </c>
      <c r="AS3150">
        <v>0</v>
      </c>
      <c r="AT3150">
        <v>3.254</v>
      </c>
      <c r="AX3150" t="str">
        <f>"E000320341"</f>
        <v>E000320341</v>
      </c>
      <c r="BD3150" t="str">
        <f>"ערן שלו"</f>
        <v>ערן שלו</v>
      </c>
    </row>
    <row r="3151" spans="1:56" x14ac:dyDescent="0.3">
      <c r="A3151" s="1">
        <v>44171</v>
      </c>
      <c r="B3151" t="str">
        <f>"SI206001375"</f>
        <v>SI206001375</v>
      </c>
      <c r="C3151" t="str">
        <f>"PR20000490"</f>
        <v>PR20000490</v>
      </c>
      <c r="D3151" t="str">
        <f>"PR20000490"</f>
        <v>PR20000490</v>
      </c>
      <c r="E3151" t="str">
        <f>"Y"</f>
        <v>Y</v>
      </c>
      <c r="F3151" t="str">
        <f>"חשבוניות מרכזות"</f>
        <v>חשבוניות מרכזות</v>
      </c>
      <c r="G3151" t="str">
        <f>"700065"</f>
        <v>700065</v>
      </c>
      <c r="H3151" t="str">
        <f>"אלתא מערכות בע""מ"</f>
        <v>אלתא מערכות בע"מ</v>
      </c>
      <c r="I3151" t="str">
        <f>"10"</f>
        <v>10</v>
      </c>
      <c r="J3151" t="str">
        <f>"OP-AR01893"</f>
        <v>OP-AR01893</v>
      </c>
      <c r="K3151" t="str">
        <f>"כבלים לבדיקת NRE FOR E000315393 RVDU"</f>
        <v>כבלים לבדיקת NRE FOR E000315393 RVDU</v>
      </c>
      <c r="L3151">
        <v>1</v>
      </c>
      <c r="M3151" t="str">
        <f>"יח"</f>
        <v>יח</v>
      </c>
      <c r="N3151">
        <v>1</v>
      </c>
      <c r="O3151" t="str">
        <f>"יח"</f>
        <v>יח</v>
      </c>
      <c r="P3151">
        <v>250</v>
      </c>
      <c r="Q3151" t="str">
        <f>"$"</f>
        <v>$</v>
      </c>
      <c r="R3151" t="str">
        <f>"הזמנה"</f>
        <v>הזמנה</v>
      </c>
      <c r="S3151">
        <v>0</v>
      </c>
      <c r="T3151">
        <v>250</v>
      </c>
      <c r="U3151">
        <v>0</v>
      </c>
      <c r="V3151">
        <v>250</v>
      </c>
      <c r="W3151" t="str">
        <f>"$"</f>
        <v>$</v>
      </c>
      <c r="X3151">
        <v>0</v>
      </c>
      <c r="Y3151">
        <v>0</v>
      </c>
      <c r="Z3151">
        <v>0</v>
      </c>
      <c r="AA3151" t="str">
        <f>"Y"</f>
        <v>Y</v>
      </c>
      <c r="AB3151" t="str">
        <f>"SO20000298"</f>
        <v>SO20000298</v>
      </c>
      <c r="AC3151">
        <v>7</v>
      </c>
      <c r="AD3151" s="1">
        <v>44026</v>
      </c>
      <c r="AM3151" t="str">
        <f>"10"</f>
        <v>10</v>
      </c>
      <c r="AN3151" t="str">
        <f>"500000"</f>
        <v>500000</v>
      </c>
      <c r="AO3151" t="str">
        <f>"הכנסות  מלקוחות"</f>
        <v>הכנסות  מלקוחות</v>
      </c>
      <c r="AQ3151" t="str">
        <f>"034"</f>
        <v>034</v>
      </c>
      <c r="AR3151">
        <v>0</v>
      </c>
      <c r="AS3151">
        <v>0</v>
      </c>
      <c r="AT3151">
        <v>3.266</v>
      </c>
      <c r="AX3151" t="str">
        <f>"E000315393"</f>
        <v>E000315393</v>
      </c>
      <c r="BD3151" t="str">
        <f>"ערן שלו"</f>
        <v>ערן שלו</v>
      </c>
    </row>
    <row r="3152" spans="1:56" x14ac:dyDescent="0.3">
      <c r="A3152" s="1">
        <v>44168</v>
      </c>
      <c r="B3152" t="str">
        <f>"SI206001371"</f>
        <v>SI206001371</v>
      </c>
      <c r="C3152" t="str">
        <f>"PR20000318"</f>
        <v>PR20000318</v>
      </c>
      <c r="E3152" t="str">
        <f>"Y"</f>
        <v>Y</v>
      </c>
      <c r="F3152" t="str">
        <f>"חשבוניות מרכזות"</f>
        <v>חשבוניות מרכזות</v>
      </c>
      <c r="G3152" t="str">
        <f>"700065"</f>
        <v>700065</v>
      </c>
      <c r="H3152" t="str">
        <f>"אלתא מערכות בע""מ"</f>
        <v>אלתא מערכות בע"מ</v>
      </c>
      <c r="I3152" t="str">
        <f>"10"</f>
        <v>10</v>
      </c>
      <c r="J3152" t="str">
        <f>"OP-AR01088"</f>
        <v>OP-AR01088</v>
      </c>
      <c r="K3152" t="str">
        <f>"1038H185-001 SRASR POWER DISTRIUTION UNIT"</f>
        <v>1038H185-001 SRASR POWER DISTRIUTION UNIT</v>
      </c>
      <c r="L3152">
        <v>2</v>
      </c>
      <c r="M3152" t="str">
        <f>"יח"</f>
        <v>יח</v>
      </c>
      <c r="N3152">
        <v>2</v>
      </c>
      <c r="O3152" t="str">
        <f>"יח"</f>
        <v>יח</v>
      </c>
      <c r="P3152" s="2">
        <v>12505</v>
      </c>
      <c r="Q3152" t="str">
        <f>"$"</f>
        <v>$</v>
      </c>
      <c r="R3152" t="str">
        <f>"הזמנה"</f>
        <v>הזמנה</v>
      </c>
      <c r="S3152">
        <v>0</v>
      </c>
      <c r="T3152" s="2">
        <v>25010</v>
      </c>
      <c r="U3152">
        <v>0</v>
      </c>
      <c r="V3152" s="2">
        <v>25010</v>
      </c>
      <c r="W3152" t="str">
        <f>"$"</f>
        <v>$</v>
      </c>
      <c r="X3152">
        <v>0</v>
      </c>
      <c r="Y3152">
        <v>0</v>
      </c>
      <c r="Z3152">
        <v>0</v>
      </c>
      <c r="AA3152" t="str">
        <f>"Y"</f>
        <v>Y</v>
      </c>
      <c r="AB3152" t="str">
        <f>"SO20000220"</f>
        <v>SO20000220</v>
      </c>
      <c r="AC3152">
        <v>4</v>
      </c>
      <c r="AD3152" s="1">
        <v>43983</v>
      </c>
      <c r="AE3152" t="str">
        <f>"SH20001628"</f>
        <v>SH20001628</v>
      </c>
      <c r="AF3152" t="str">
        <f>"משלוחים ללקוח"</f>
        <v>משלוחים ללקוח</v>
      </c>
      <c r="AG3152" s="1">
        <v>44166</v>
      </c>
      <c r="AM3152" t="str">
        <f>"10"</f>
        <v>10</v>
      </c>
      <c r="AN3152" t="str">
        <f>"500000"</f>
        <v>500000</v>
      </c>
      <c r="AO3152" t="str">
        <f>"הכנסות  מלקוחות"</f>
        <v>הכנסות  מלקוחות</v>
      </c>
      <c r="AQ3152" t="str">
        <f>"034"</f>
        <v>034</v>
      </c>
      <c r="AR3152">
        <v>0</v>
      </c>
      <c r="AS3152">
        <v>0</v>
      </c>
      <c r="AT3152">
        <v>3.2890000000000001</v>
      </c>
      <c r="AX3152" t="str">
        <f>"E000313337"</f>
        <v>E000313337</v>
      </c>
      <c r="BD3152" t="str">
        <f>"ערן שלו"</f>
        <v>ערן שלו</v>
      </c>
    </row>
    <row r="3153" spans="1:56" x14ac:dyDescent="0.3">
      <c r="A3153" s="1">
        <v>44168</v>
      </c>
      <c r="B3153" t="str">
        <f>"SI206001370"</f>
        <v>SI206001370</v>
      </c>
      <c r="C3153" t="str">
        <f>"PR20000567"</f>
        <v>PR20000567</v>
      </c>
      <c r="D3153" t="str">
        <f>"PR20000568"</f>
        <v>PR20000568</v>
      </c>
      <c r="E3153" t="str">
        <f>"Y"</f>
        <v>Y</v>
      </c>
      <c r="F3153" t="str">
        <f>"חשבוניות מרכזות"</f>
        <v>חשבוניות מרכזות</v>
      </c>
      <c r="G3153" t="str">
        <f>"700065"</f>
        <v>700065</v>
      </c>
      <c r="H3153" t="str">
        <f>"אלתא מערכות בע""מ"</f>
        <v>אלתא מערכות בע"מ</v>
      </c>
      <c r="I3153" t="str">
        <f>"10"</f>
        <v>10</v>
      </c>
      <c r="J3153" t="str">
        <f>"OP-AR01667"</f>
        <v>OP-AR01667</v>
      </c>
      <c r="K3153" t="str">
        <f>"6660J719-003 W719"</f>
        <v>6660J719-003 W719</v>
      </c>
      <c r="L3153">
        <v>1</v>
      </c>
      <c r="M3153" t="str">
        <f>"יח"</f>
        <v>יח</v>
      </c>
      <c r="N3153">
        <v>1</v>
      </c>
      <c r="O3153" t="str">
        <f>"יח"</f>
        <v>יח</v>
      </c>
      <c r="P3153">
        <v>558.62</v>
      </c>
      <c r="Q3153" t="str">
        <f>"$"</f>
        <v>$</v>
      </c>
      <c r="R3153" t="str">
        <f>"הזמנה"</f>
        <v>הזמנה</v>
      </c>
      <c r="S3153">
        <v>0</v>
      </c>
      <c r="T3153">
        <v>558.62</v>
      </c>
      <c r="U3153">
        <v>0</v>
      </c>
      <c r="V3153">
        <v>558.62</v>
      </c>
      <c r="W3153" t="str">
        <f>"$"</f>
        <v>$</v>
      </c>
      <c r="X3153">
        <v>0</v>
      </c>
      <c r="Y3153">
        <v>0</v>
      </c>
      <c r="Z3153">
        <v>0</v>
      </c>
      <c r="AA3153" t="str">
        <f>"Y"</f>
        <v>Y</v>
      </c>
      <c r="AB3153" t="str">
        <f>"SO20000368"</f>
        <v>SO20000368</v>
      </c>
      <c r="AC3153">
        <v>1</v>
      </c>
      <c r="AD3153" s="1">
        <v>44067</v>
      </c>
      <c r="AE3153" t="str">
        <f>"SH20001625"</f>
        <v>SH20001625</v>
      </c>
      <c r="AF3153" t="str">
        <f>"משלוחים ללקוח"</f>
        <v>משלוחים ללקוח</v>
      </c>
      <c r="AG3153" s="1">
        <v>44166</v>
      </c>
      <c r="AM3153" t="str">
        <f>"10"</f>
        <v>10</v>
      </c>
      <c r="AN3153" t="str">
        <f>"500000"</f>
        <v>500000</v>
      </c>
      <c r="AO3153" t="str">
        <f>"הכנסות  מלקוחות"</f>
        <v>הכנסות  מלקוחות</v>
      </c>
      <c r="AQ3153" t="str">
        <f>"034"</f>
        <v>034</v>
      </c>
      <c r="AR3153">
        <v>0</v>
      </c>
      <c r="AS3153">
        <v>0</v>
      </c>
      <c r="AT3153">
        <v>3.2890000000000001</v>
      </c>
      <c r="AX3153" t="str">
        <f>"E000319744"</f>
        <v>E000319744</v>
      </c>
      <c r="BD3153" t="str">
        <f>"ערן שלו"</f>
        <v>ערן שלו</v>
      </c>
    </row>
    <row r="3154" spans="1:56" x14ac:dyDescent="0.3">
      <c r="A3154" s="1">
        <v>44168</v>
      </c>
      <c r="B3154" t="str">
        <f>"SI206001369"</f>
        <v>SI206001369</v>
      </c>
      <c r="C3154" t="str">
        <f>"PR20000821"</f>
        <v>PR20000821</v>
      </c>
      <c r="D3154" t="str">
        <f>"PR20000821"</f>
        <v>PR20000821</v>
      </c>
      <c r="E3154" t="str">
        <f>"Y"</f>
        <v>Y</v>
      </c>
      <c r="F3154" t="str">
        <f>"חשבוניות מרכזות"</f>
        <v>חשבוניות מרכזות</v>
      </c>
      <c r="G3154" t="str">
        <f>"700065"</f>
        <v>700065</v>
      </c>
      <c r="H3154" t="str">
        <f>"אלתא מערכות בע""מ"</f>
        <v>אלתא מערכות בע"מ</v>
      </c>
      <c r="I3154" t="str">
        <f>"10"</f>
        <v>10</v>
      </c>
      <c r="J3154" t="str">
        <f>"PD0300225"</f>
        <v>PD0300225</v>
      </c>
      <c r="K3154" t="str">
        <f>"רגש טמפרטורה ולחות COMET T3110 4-20mA"</f>
        <v>רגש טמפרטורה ולחות COMET T3110 4-20mA</v>
      </c>
      <c r="L3154">
        <v>1</v>
      </c>
      <c r="M3154" t="str">
        <f>"יח"</f>
        <v>יח</v>
      </c>
      <c r="N3154">
        <v>1</v>
      </c>
      <c r="O3154" t="str">
        <f>"יח"</f>
        <v>יח</v>
      </c>
      <c r="P3154">
        <v>245</v>
      </c>
      <c r="Q3154" t="str">
        <f>"$"</f>
        <v>$</v>
      </c>
      <c r="R3154" t="str">
        <f>"הזמנה"</f>
        <v>הזמנה</v>
      </c>
      <c r="S3154">
        <v>0</v>
      </c>
      <c r="T3154">
        <v>245</v>
      </c>
      <c r="U3154">
        <v>0</v>
      </c>
      <c r="V3154">
        <v>245</v>
      </c>
      <c r="W3154" t="str">
        <f>"$"</f>
        <v>$</v>
      </c>
      <c r="X3154">
        <v>0</v>
      </c>
      <c r="Y3154">
        <v>0</v>
      </c>
      <c r="Z3154">
        <v>0</v>
      </c>
      <c r="AA3154" t="str">
        <f>"Y"</f>
        <v>Y</v>
      </c>
      <c r="AB3154" t="str">
        <f>"SO20000538"</f>
        <v>SO20000538</v>
      </c>
      <c r="AC3154">
        <v>1</v>
      </c>
      <c r="AD3154" s="1">
        <v>44157</v>
      </c>
      <c r="AE3154" t="str">
        <f>"SH20001627"</f>
        <v>SH20001627</v>
      </c>
      <c r="AF3154" t="str">
        <f>"משלוחים ללקוח"</f>
        <v>משלוחים ללקוח</v>
      </c>
      <c r="AG3154" s="1">
        <v>44166</v>
      </c>
      <c r="AM3154" t="str">
        <f>"10"</f>
        <v>10</v>
      </c>
      <c r="AN3154" t="str">
        <f>"500000"</f>
        <v>500000</v>
      </c>
      <c r="AO3154" t="str">
        <f>"הכנסות  מלקוחות"</f>
        <v>הכנסות  מלקוחות</v>
      </c>
      <c r="AQ3154" t="str">
        <f>"034"</f>
        <v>034</v>
      </c>
      <c r="AR3154">
        <v>0</v>
      </c>
      <c r="AS3154">
        <v>0</v>
      </c>
      <c r="AT3154">
        <v>3.2890000000000001</v>
      </c>
      <c r="AX3154" t="str">
        <f>"E000326639"</f>
        <v>E000326639</v>
      </c>
      <c r="BD3154" t="str">
        <f>"ערן שלו"</f>
        <v>ערן שלו</v>
      </c>
    </row>
    <row r="3155" spans="1:56" x14ac:dyDescent="0.3">
      <c r="A3155" s="1">
        <v>44168</v>
      </c>
      <c r="B3155" t="str">
        <f>"SI206001368"</f>
        <v>SI206001368</v>
      </c>
      <c r="C3155" t="str">
        <f>"PR20000288"</f>
        <v>PR20000288</v>
      </c>
      <c r="D3155" t="str">
        <f>"PR20000288"</f>
        <v>PR20000288</v>
      </c>
      <c r="E3155" t="str">
        <f>"Y"</f>
        <v>Y</v>
      </c>
      <c r="F3155" t="str">
        <f>"חשבוניות מרכזות"</f>
        <v>חשבוניות מרכזות</v>
      </c>
      <c r="G3155" t="str">
        <f>"700065"</f>
        <v>700065</v>
      </c>
      <c r="H3155" t="str">
        <f>"אלתא מערכות בע""מ"</f>
        <v>אלתא מערכות בע"מ</v>
      </c>
      <c r="I3155" t="str">
        <f>"10"</f>
        <v>10</v>
      </c>
      <c r="J3155" t="str">
        <f>"OP-AR01729"</f>
        <v>OP-AR01729</v>
      </c>
      <c r="K3155" t="str">
        <f>"TEST CONTROL STATION"</f>
        <v>TEST CONTROL STATION</v>
      </c>
      <c r="L3155">
        <v>1</v>
      </c>
      <c r="M3155" t="str">
        <f>"יח"</f>
        <v>יח</v>
      </c>
      <c r="N3155">
        <v>1</v>
      </c>
      <c r="O3155" t="str">
        <f>"יח"</f>
        <v>יח</v>
      </c>
      <c r="P3155" s="2">
        <v>4979.8</v>
      </c>
      <c r="Q3155" t="str">
        <f>"$"</f>
        <v>$</v>
      </c>
      <c r="R3155" t="str">
        <f>"הזמנה"</f>
        <v>הזמנה</v>
      </c>
      <c r="S3155">
        <v>0</v>
      </c>
      <c r="T3155" s="2">
        <v>4979.8</v>
      </c>
      <c r="U3155">
        <v>0</v>
      </c>
      <c r="V3155" s="2">
        <v>4979.8</v>
      </c>
      <c r="W3155" t="str">
        <f>"$"</f>
        <v>$</v>
      </c>
      <c r="X3155">
        <v>0</v>
      </c>
      <c r="Y3155">
        <v>0</v>
      </c>
      <c r="Z3155">
        <v>0</v>
      </c>
      <c r="AA3155" t="str">
        <f>"Y"</f>
        <v>Y</v>
      </c>
      <c r="AB3155" t="str">
        <f>"SO20000182"</f>
        <v>SO20000182</v>
      </c>
      <c r="AC3155">
        <v>1</v>
      </c>
      <c r="AD3155" s="1">
        <v>43956</v>
      </c>
      <c r="AE3155" t="str">
        <f>"SH20001626"</f>
        <v>SH20001626</v>
      </c>
      <c r="AF3155" t="str">
        <f>"משלוחים ללקוח"</f>
        <v>משלוחים ללקוח</v>
      </c>
      <c r="AG3155" s="1">
        <v>44166</v>
      </c>
      <c r="AM3155" t="str">
        <f>"10"</f>
        <v>10</v>
      </c>
      <c r="AN3155" t="str">
        <f>"500000"</f>
        <v>500000</v>
      </c>
      <c r="AO3155" t="str">
        <f>"הכנסות  מלקוחות"</f>
        <v>הכנסות  מלקוחות</v>
      </c>
      <c r="AQ3155" t="str">
        <f>"034"</f>
        <v>034</v>
      </c>
      <c r="AR3155">
        <v>0</v>
      </c>
      <c r="AS3155">
        <v>0</v>
      </c>
      <c r="AT3155">
        <v>3.2890000000000001</v>
      </c>
      <c r="AX3155" t="str">
        <f>"E000311263"</f>
        <v>E000311263</v>
      </c>
      <c r="BD3155" t="str">
        <f>"ערן שלו"</f>
        <v>ערן שלו</v>
      </c>
    </row>
    <row r="3156" spans="1:56" x14ac:dyDescent="0.3">
      <c r="A3156" s="1">
        <v>44168</v>
      </c>
      <c r="B3156" t="str">
        <f>"SI206001367"</f>
        <v>SI206001367</v>
      </c>
      <c r="C3156" t="str">
        <f>"PR20000502"</f>
        <v>PR20000502</v>
      </c>
      <c r="D3156" t="str">
        <f>"PR20000502"</f>
        <v>PR20000502</v>
      </c>
      <c r="E3156" t="str">
        <f>"Y"</f>
        <v>Y</v>
      </c>
      <c r="F3156" t="str">
        <f>"חשבוניות מרכזות"</f>
        <v>חשבוניות מרכזות</v>
      </c>
      <c r="G3156" t="str">
        <f>"700065"</f>
        <v>700065</v>
      </c>
      <c r="H3156" t="str">
        <f>"אלתא מערכות בע""מ"</f>
        <v>אלתא מערכות בע"מ</v>
      </c>
      <c r="I3156" t="str">
        <f>"10"</f>
        <v>10</v>
      </c>
      <c r="J3156" t="str">
        <f>"OP-AR01921"</f>
        <v>OP-AR01921</v>
      </c>
      <c r="K3156" t="str">
        <f>"2114B156-001/-  BLKXW4 CABLE ASSY (MSTU CONTROL)"</f>
        <v>2114B156-001/-  BLKXW4 CABLE ASSY (MSTU CONTROL)</v>
      </c>
      <c r="L3156">
        <v>3</v>
      </c>
      <c r="M3156" t="str">
        <f>"יח"</f>
        <v>יח</v>
      </c>
      <c r="N3156">
        <v>3</v>
      </c>
      <c r="O3156" t="str">
        <f>"יח"</f>
        <v>יח</v>
      </c>
      <c r="P3156">
        <v>652.21</v>
      </c>
      <c r="Q3156" t="str">
        <f>"$"</f>
        <v>$</v>
      </c>
      <c r="R3156" t="str">
        <f>"הזמנה"</f>
        <v>הזמנה</v>
      </c>
      <c r="S3156">
        <v>0</v>
      </c>
      <c r="T3156" s="2">
        <v>1956.63</v>
      </c>
      <c r="U3156">
        <v>0</v>
      </c>
      <c r="V3156" s="2">
        <v>1956.63</v>
      </c>
      <c r="W3156" t="str">
        <f>"$"</f>
        <v>$</v>
      </c>
      <c r="X3156">
        <v>0</v>
      </c>
      <c r="Y3156">
        <v>0</v>
      </c>
      <c r="Z3156">
        <v>0</v>
      </c>
      <c r="AA3156" t="str">
        <f>"Y"</f>
        <v>Y</v>
      </c>
      <c r="AB3156" t="str">
        <f>"SO20000309"</f>
        <v>SO20000309</v>
      </c>
      <c r="AC3156">
        <v>1</v>
      </c>
      <c r="AD3156" s="1">
        <v>44031</v>
      </c>
      <c r="AE3156" t="str">
        <f>"SH20001620"</f>
        <v>SH20001620</v>
      </c>
      <c r="AF3156" t="str">
        <f>"משלוחים ללקוח"</f>
        <v>משלוחים ללקוח</v>
      </c>
      <c r="AG3156" s="1">
        <v>44165</v>
      </c>
      <c r="AM3156" t="str">
        <f>"10"</f>
        <v>10</v>
      </c>
      <c r="AN3156" t="str">
        <f>"500000"</f>
        <v>500000</v>
      </c>
      <c r="AO3156" t="str">
        <f>"הכנסות  מלקוחות"</f>
        <v>הכנסות  מלקוחות</v>
      </c>
      <c r="AQ3156" t="str">
        <f>"034"</f>
        <v>034</v>
      </c>
      <c r="AR3156">
        <v>0</v>
      </c>
      <c r="AS3156">
        <v>0</v>
      </c>
      <c r="AT3156">
        <v>3.2890000000000001</v>
      </c>
      <c r="AX3156" t="str">
        <f>"E000316387"</f>
        <v>E000316387</v>
      </c>
      <c r="BD3156" t="str">
        <f>"ערן שלו"</f>
        <v>ערן שלו</v>
      </c>
    </row>
    <row r="3157" spans="1:56" x14ac:dyDescent="0.3">
      <c r="A3157" s="1">
        <v>44168</v>
      </c>
      <c r="B3157" t="str">
        <f>"SI206001366"</f>
        <v>SI206001366</v>
      </c>
      <c r="C3157" t="str">
        <f>"PR20000697"</f>
        <v>PR20000697</v>
      </c>
      <c r="E3157" t="str">
        <f>"Y"</f>
        <v>Y</v>
      </c>
      <c r="F3157" t="str">
        <f>"חשבוניות מרכזות"</f>
        <v>חשבוניות מרכזות</v>
      </c>
      <c r="G3157" t="str">
        <f>"700065"</f>
        <v>700065</v>
      </c>
      <c r="H3157" t="str">
        <f>"אלתא מערכות בע""מ"</f>
        <v>אלתא מערכות בע"מ</v>
      </c>
      <c r="I3157" t="str">
        <f>"10"</f>
        <v>10</v>
      </c>
      <c r="J3157" t="str">
        <f>"OP-AR01703"</f>
        <v>OP-AR01703</v>
      </c>
      <c r="K3157" t="str">
        <f>"1020B570-001 P.C.U HARNESS W4"</f>
        <v>1020B570-001 P.C.U HARNESS W4</v>
      </c>
      <c r="L3157">
        <v>1</v>
      </c>
      <c r="M3157" t="str">
        <f>"יח"</f>
        <v>יח</v>
      </c>
      <c r="N3157">
        <v>1</v>
      </c>
      <c r="O3157" t="str">
        <f>"יח"</f>
        <v>יח</v>
      </c>
      <c r="P3157">
        <v>178.18</v>
      </c>
      <c r="Q3157" t="str">
        <f>"$"</f>
        <v>$</v>
      </c>
      <c r="R3157" t="str">
        <f>"הזמנה"</f>
        <v>הזמנה</v>
      </c>
      <c r="S3157">
        <v>0</v>
      </c>
      <c r="T3157">
        <v>178.18</v>
      </c>
      <c r="U3157">
        <v>0</v>
      </c>
      <c r="V3157">
        <v>178.18</v>
      </c>
      <c r="W3157" t="str">
        <f>"$"</f>
        <v>$</v>
      </c>
      <c r="X3157">
        <v>0</v>
      </c>
      <c r="Y3157">
        <v>0</v>
      </c>
      <c r="Z3157">
        <v>0</v>
      </c>
      <c r="AA3157" t="str">
        <f>"Y"</f>
        <v>Y</v>
      </c>
      <c r="AB3157" t="str">
        <f>"SO20000141"</f>
        <v>SO20000141</v>
      </c>
      <c r="AC3157">
        <v>10</v>
      </c>
      <c r="AD3157" s="1">
        <v>43940</v>
      </c>
      <c r="AE3157" t="str">
        <f>"SH20001619"</f>
        <v>SH20001619</v>
      </c>
      <c r="AF3157" t="str">
        <f>"משלוחים ללקוח"</f>
        <v>משלוחים ללקוח</v>
      </c>
      <c r="AG3157" s="1">
        <v>44165</v>
      </c>
      <c r="AM3157" t="str">
        <f>"10"</f>
        <v>10</v>
      </c>
      <c r="AN3157" t="str">
        <f>"500000"</f>
        <v>500000</v>
      </c>
      <c r="AO3157" t="str">
        <f>"הכנסות  מלקוחות"</f>
        <v>הכנסות  מלקוחות</v>
      </c>
      <c r="AQ3157" t="str">
        <f>"034"</f>
        <v>034</v>
      </c>
      <c r="AR3157">
        <v>0</v>
      </c>
      <c r="AS3157">
        <v>0</v>
      </c>
      <c r="AT3157">
        <v>3.2890000000000001</v>
      </c>
      <c r="AX3157" t="str">
        <f>"E000308646"</f>
        <v>E000308646</v>
      </c>
      <c r="BD3157" t="str">
        <f>"ערן שלו"</f>
        <v>ערן שלו</v>
      </c>
    </row>
    <row r="3158" spans="1:56" x14ac:dyDescent="0.3">
      <c r="A3158" s="1">
        <v>44168</v>
      </c>
      <c r="B3158" t="str">
        <f>"SI206001365"</f>
        <v>SI206001365</v>
      </c>
      <c r="C3158" t="str">
        <f>"PR20000348"</f>
        <v>PR20000348</v>
      </c>
      <c r="E3158" t="str">
        <f>"Y"</f>
        <v>Y</v>
      </c>
      <c r="F3158" t="str">
        <f>"חשבוניות מרכזות"</f>
        <v>חשבוניות מרכזות</v>
      </c>
      <c r="G3158" t="str">
        <f>"700065"</f>
        <v>700065</v>
      </c>
      <c r="H3158" t="str">
        <f>"אלתא מערכות בע""מ"</f>
        <v>אלתא מערכות בע"מ</v>
      </c>
      <c r="I3158" t="str">
        <f>"10"</f>
        <v>10</v>
      </c>
      <c r="J3158" t="str">
        <f>"OP-AR01733"</f>
        <v>OP-AR01733</v>
      </c>
      <c r="K3158" t="str">
        <f>"1039V330-001 WP330 - CONTROL AND DATA PED TO AFT"</f>
        <v>1039V330-001 WP330 - CONTROL AND DATA PED TO AFT</v>
      </c>
      <c r="L3158">
        <v>2</v>
      </c>
      <c r="M3158" t="str">
        <f>"יח"</f>
        <v>יח</v>
      </c>
      <c r="N3158">
        <v>2</v>
      </c>
      <c r="O3158" t="str">
        <f>"יח"</f>
        <v>יח</v>
      </c>
      <c r="P3158" s="2">
        <v>1352.46</v>
      </c>
      <c r="Q3158" t="str">
        <f>"$"</f>
        <v>$</v>
      </c>
      <c r="R3158" t="str">
        <f>"הזמנה"</f>
        <v>הזמנה</v>
      </c>
      <c r="S3158">
        <v>0</v>
      </c>
      <c r="T3158" s="2">
        <v>2704.92</v>
      </c>
      <c r="U3158">
        <v>0</v>
      </c>
      <c r="V3158" s="2">
        <v>2704.92</v>
      </c>
      <c r="W3158" t="str">
        <f>"$"</f>
        <v>$</v>
      </c>
      <c r="X3158">
        <v>0</v>
      </c>
      <c r="Y3158">
        <v>0</v>
      </c>
      <c r="Z3158">
        <v>0</v>
      </c>
      <c r="AA3158" t="str">
        <f>"Y"</f>
        <v>Y</v>
      </c>
      <c r="AB3158" t="str">
        <f>"SO20000201"</f>
        <v>SO20000201</v>
      </c>
      <c r="AC3158">
        <v>1</v>
      </c>
      <c r="AD3158" s="1">
        <v>43970</v>
      </c>
      <c r="AE3158" t="str">
        <f>"SH20001618"</f>
        <v>SH20001618</v>
      </c>
      <c r="AF3158" t="str">
        <f>"משלוחים ללקוח"</f>
        <v>משלוחים ללקוח</v>
      </c>
      <c r="AG3158" s="1">
        <v>44165</v>
      </c>
      <c r="AM3158" t="str">
        <f>"10"</f>
        <v>10</v>
      </c>
      <c r="AN3158" t="str">
        <f>"500000"</f>
        <v>500000</v>
      </c>
      <c r="AO3158" t="str">
        <f>"הכנסות  מלקוחות"</f>
        <v>הכנסות  מלקוחות</v>
      </c>
      <c r="AQ3158" t="str">
        <f>"034"</f>
        <v>034</v>
      </c>
      <c r="AR3158">
        <v>0</v>
      </c>
      <c r="AS3158">
        <v>0</v>
      </c>
      <c r="AT3158">
        <v>3.2890000000000001</v>
      </c>
      <c r="AX3158" t="str">
        <f>"E000311250"</f>
        <v>E000311250</v>
      </c>
      <c r="BD3158" t="str">
        <f>"ערן שלו"</f>
        <v>ערן שלו</v>
      </c>
    </row>
    <row r="3159" spans="1:56" x14ac:dyDescent="0.3">
      <c r="A3159" s="1">
        <v>44168</v>
      </c>
      <c r="B3159" t="str">
        <f>"SI206001365"</f>
        <v>SI206001365</v>
      </c>
      <c r="C3159" t="str">
        <f>"PR20000348"</f>
        <v>PR20000348</v>
      </c>
      <c r="E3159" t="str">
        <f>"Y"</f>
        <v>Y</v>
      </c>
      <c r="F3159" t="str">
        <f>"חשבוניות מרכזות"</f>
        <v>חשבוניות מרכזות</v>
      </c>
      <c r="G3159" t="str">
        <f>"700065"</f>
        <v>700065</v>
      </c>
      <c r="H3159" t="str">
        <f>"אלתא מערכות בע""מ"</f>
        <v>אלתא מערכות בע"מ</v>
      </c>
      <c r="I3159" t="str">
        <f>"10"</f>
        <v>10</v>
      </c>
      <c r="J3159" t="str">
        <f>"OP-AR01773"</f>
        <v>OP-AR01773</v>
      </c>
      <c r="K3159" t="str">
        <f>"1039V363-001 WP363 - CONTROL LDE TO RIGHT REAR J"</f>
        <v>1039V363-001 WP363 - CONTROL LDE TO RIGHT REAR J</v>
      </c>
      <c r="L3159">
        <v>2</v>
      </c>
      <c r="M3159" t="str">
        <f>"יח"</f>
        <v>יח</v>
      </c>
      <c r="N3159">
        <v>2</v>
      </c>
      <c r="O3159" t="str">
        <f>"יח"</f>
        <v>יח</v>
      </c>
      <c r="P3159">
        <v>618.34</v>
      </c>
      <c r="Q3159" t="str">
        <f>"$"</f>
        <v>$</v>
      </c>
      <c r="R3159" t="str">
        <f>"הזמנה"</f>
        <v>הזמנה</v>
      </c>
      <c r="S3159">
        <v>0</v>
      </c>
      <c r="T3159" s="2">
        <v>1236.68</v>
      </c>
      <c r="U3159">
        <v>0</v>
      </c>
      <c r="V3159" s="2">
        <v>1236.68</v>
      </c>
      <c r="W3159" t="str">
        <f>"$"</f>
        <v>$</v>
      </c>
      <c r="X3159">
        <v>0</v>
      </c>
      <c r="Y3159">
        <v>0</v>
      </c>
      <c r="Z3159">
        <v>0</v>
      </c>
      <c r="AA3159" t="str">
        <f>"Y"</f>
        <v>Y</v>
      </c>
      <c r="AB3159" t="str">
        <f>"SO20000201"</f>
        <v>SO20000201</v>
      </c>
      <c r="AC3159">
        <v>39</v>
      </c>
      <c r="AD3159" s="1">
        <v>43970</v>
      </c>
      <c r="AE3159" t="str">
        <f>"SH20001618"</f>
        <v>SH20001618</v>
      </c>
      <c r="AF3159" t="str">
        <f>"משלוחים ללקוח"</f>
        <v>משלוחים ללקוח</v>
      </c>
      <c r="AG3159" s="1">
        <v>44165</v>
      </c>
      <c r="AM3159" t="str">
        <f>"10"</f>
        <v>10</v>
      </c>
      <c r="AN3159" t="str">
        <f>"500000"</f>
        <v>500000</v>
      </c>
      <c r="AO3159" t="str">
        <f>"הכנסות  מלקוחות"</f>
        <v>הכנסות  מלקוחות</v>
      </c>
      <c r="AQ3159" t="str">
        <f>"034"</f>
        <v>034</v>
      </c>
      <c r="AR3159">
        <v>0</v>
      </c>
      <c r="AS3159">
        <v>0</v>
      </c>
      <c r="AT3159">
        <v>3.2890000000000001</v>
      </c>
      <c r="AX3159" t="str">
        <f>"E000311250"</f>
        <v>E000311250</v>
      </c>
      <c r="BD3159" t="str">
        <f>"ערן שלו"</f>
        <v>ערן שלו</v>
      </c>
    </row>
    <row r="3160" spans="1:56" x14ac:dyDescent="0.3">
      <c r="A3160" s="1">
        <v>44168</v>
      </c>
      <c r="B3160" t="str">
        <f>"SI206001365"</f>
        <v>SI206001365</v>
      </c>
      <c r="C3160" t="str">
        <f>"PR20000348"</f>
        <v>PR20000348</v>
      </c>
      <c r="E3160" t="str">
        <f>"Y"</f>
        <v>Y</v>
      </c>
      <c r="F3160" t="str">
        <f>"חשבוניות מרכזות"</f>
        <v>חשבוניות מרכזות</v>
      </c>
      <c r="G3160" t="str">
        <f>"700065"</f>
        <v>700065</v>
      </c>
      <c r="H3160" t="str">
        <f>"אלתא מערכות בע""מ"</f>
        <v>אלתא מערכות בע"מ</v>
      </c>
      <c r="I3160" t="str">
        <f>"10"</f>
        <v>10</v>
      </c>
      <c r="J3160" t="str">
        <f>"OP-AR01795"</f>
        <v>OP-AR01795</v>
      </c>
      <c r="K3160" t="str">
        <f>"1039V340-001 WP340 - CONTROL PEDESTAL TO PNLPED"</f>
        <v>1039V340-001 WP340 - CONTROL PEDESTAL TO PNLPED</v>
      </c>
      <c r="L3160">
        <v>2</v>
      </c>
      <c r="M3160" t="str">
        <f>"יח"</f>
        <v>יח</v>
      </c>
      <c r="N3160">
        <v>2</v>
      </c>
      <c r="O3160" t="str">
        <f>"יח"</f>
        <v>יח</v>
      </c>
      <c r="P3160" s="2">
        <v>1087.45</v>
      </c>
      <c r="Q3160" t="str">
        <f>"$"</f>
        <v>$</v>
      </c>
      <c r="R3160" t="str">
        <f>"הזמנה"</f>
        <v>הזמנה</v>
      </c>
      <c r="S3160">
        <v>0</v>
      </c>
      <c r="T3160" s="2">
        <v>2174.9</v>
      </c>
      <c r="U3160">
        <v>0</v>
      </c>
      <c r="V3160" s="2">
        <v>2174.9</v>
      </c>
      <c r="W3160" t="str">
        <f>"$"</f>
        <v>$</v>
      </c>
      <c r="X3160">
        <v>0</v>
      </c>
      <c r="Y3160">
        <v>0</v>
      </c>
      <c r="Z3160">
        <v>0</v>
      </c>
      <c r="AA3160" t="str">
        <f>"Y"</f>
        <v>Y</v>
      </c>
      <c r="AB3160" t="str">
        <f>"SO20000201"</f>
        <v>SO20000201</v>
      </c>
      <c r="AC3160">
        <v>60</v>
      </c>
      <c r="AD3160" s="1">
        <v>43970</v>
      </c>
      <c r="AE3160" t="str">
        <f>"SH20001618"</f>
        <v>SH20001618</v>
      </c>
      <c r="AF3160" t="str">
        <f>"משלוחים ללקוח"</f>
        <v>משלוחים ללקוח</v>
      </c>
      <c r="AG3160" s="1">
        <v>44165</v>
      </c>
      <c r="AM3160" t="str">
        <f>"10"</f>
        <v>10</v>
      </c>
      <c r="AN3160" t="str">
        <f>"500000"</f>
        <v>500000</v>
      </c>
      <c r="AO3160" t="str">
        <f>"הכנסות  מלקוחות"</f>
        <v>הכנסות  מלקוחות</v>
      </c>
      <c r="AQ3160" t="str">
        <f>"034"</f>
        <v>034</v>
      </c>
      <c r="AR3160">
        <v>0</v>
      </c>
      <c r="AS3160">
        <v>0</v>
      </c>
      <c r="AT3160">
        <v>3.2890000000000001</v>
      </c>
      <c r="AX3160" t="str">
        <f>"E000311250"</f>
        <v>E000311250</v>
      </c>
      <c r="BD3160" t="str">
        <f>"ערן שלו"</f>
        <v>ערן שלו</v>
      </c>
    </row>
    <row r="3161" spans="1:56" x14ac:dyDescent="0.3">
      <c r="A3161" s="1">
        <v>44168</v>
      </c>
      <c r="B3161" t="str">
        <f>"SI206001364"</f>
        <v>SI206001364</v>
      </c>
      <c r="C3161" t="str">
        <f>"PR20000485"</f>
        <v>PR20000485</v>
      </c>
      <c r="D3161" t="str">
        <f>"PR20000485"</f>
        <v>PR20000485</v>
      </c>
      <c r="E3161" t="str">
        <f>"Y"</f>
        <v>Y</v>
      </c>
      <c r="F3161" t="str">
        <f>"חשבוניות מרכזות"</f>
        <v>חשבוניות מרכזות</v>
      </c>
      <c r="G3161" t="str">
        <f>"700065"</f>
        <v>700065</v>
      </c>
      <c r="H3161" t="str">
        <f>"אלתא מערכות בע""מ"</f>
        <v>אלתא מערכות בע"מ</v>
      </c>
      <c r="I3161" t="str">
        <f>"10"</f>
        <v>10</v>
      </c>
      <c r="J3161" t="str">
        <f>"OP-AR01873"</f>
        <v>OP-AR01873</v>
      </c>
      <c r="K3161" t="str">
        <f>"1032Y073-001  -  HARNESS W1073"</f>
        <v>1032Y073-001  -  HARNESS W1073</v>
      </c>
      <c r="L3161">
        <v>2</v>
      </c>
      <c r="M3161" t="str">
        <f>"יח"</f>
        <v>יח</v>
      </c>
      <c r="N3161">
        <v>2</v>
      </c>
      <c r="O3161" t="str">
        <f>"יח"</f>
        <v>יח</v>
      </c>
      <c r="P3161" s="2">
        <v>1276.75</v>
      </c>
      <c r="Q3161" t="str">
        <f>"$"</f>
        <v>$</v>
      </c>
      <c r="R3161" t="str">
        <f>"הזמנה"</f>
        <v>הזמנה</v>
      </c>
      <c r="S3161">
        <v>0</v>
      </c>
      <c r="T3161" s="2">
        <v>2553.5</v>
      </c>
      <c r="U3161">
        <v>0</v>
      </c>
      <c r="V3161" s="2">
        <v>2553.5</v>
      </c>
      <c r="W3161" t="str">
        <f>"$"</f>
        <v>$</v>
      </c>
      <c r="X3161">
        <v>0</v>
      </c>
      <c r="Y3161">
        <v>0</v>
      </c>
      <c r="Z3161">
        <v>0</v>
      </c>
      <c r="AA3161" t="str">
        <f>"Y"</f>
        <v>Y</v>
      </c>
      <c r="AB3161" t="str">
        <f>"SO20000289"</f>
        <v>SO20000289</v>
      </c>
      <c r="AC3161">
        <v>2</v>
      </c>
      <c r="AD3161" s="1">
        <v>44019</v>
      </c>
      <c r="AE3161" t="str">
        <f>"SH20001617"</f>
        <v>SH20001617</v>
      </c>
      <c r="AF3161" t="str">
        <f>"משלוחים ללקוח"</f>
        <v>משלוחים ללקוח</v>
      </c>
      <c r="AG3161" s="1">
        <v>44165</v>
      </c>
      <c r="AM3161" t="str">
        <f>"10"</f>
        <v>10</v>
      </c>
      <c r="AN3161" t="str">
        <f>"500000"</f>
        <v>500000</v>
      </c>
      <c r="AO3161" t="str">
        <f>"הכנסות  מלקוחות"</f>
        <v>הכנסות  מלקוחות</v>
      </c>
      <c r="AQ3161" t="str">
        <f>"034"</f>
        <v>034</v>
      </c>
      <c r="AR3161">
        <v>0</v>
      </c>
      <c r="AS3161">
        <v>0</v>
      </c>
      <c r="AT3161">
        <v>3.2890000000000001</v>
      </c>
      <c r="AX3161" t="str">
        <f>"E000315794"</f>
        <v>E000315794</v>
      </c>
      <c r="BD3161" t="str">
        <f>"ערן שלו"</f>
        <v>ערן שלו</v>
      </c>
    </row>
    <row r="3162" spans="1:56" x14ac:dyDescent="0.3">
      <c r="A3162" s="1">
        <v>44168</v>
      </c>
      <c r="B3162" t="str">
        <f>"SI206001364"</f>
        <v>SI206001364</v>
      </c>
      <c r="C3162" t="str">
        <f>"PR20000485"</f>
        <v>PR20000485</v>
      </c>
      <c r="D3162" t="str">
        <f>"PR20000485"</f>
        <v>PR20000485</v>
      </c>
      <c r="E3162" t="str">
        <f>"Y"</f>
        <v>Y</v>
      </c>
      <c r="F3162" t="str">
        <f>"חשבוניות מרכזות"</f>
        <v>חשבוניות מרכזות</v>
      </c>
      <c r="G3162" t="str">
        <f>"700065"</f>
        <v>700065</v>
      </c>
      <c r="H3162" t="str">
        <f>"אלתא מערכות בע""מ"</f>
        <v>אלתא מערכות בע"מ</v>
      </c>
      <c r="I3162" t="str">
        <f>"10"</f>
        <v>10</v>
      </c>
      <c r="J3162" t="str">
        <f>"OP-AR01874"</f>
        <v>OP-AR01874</v>
      </c>
      <c r="K3162" t="str">
        <f>"1031W783-001  -  LAB CABLE ASSY W20"</f>
        <v>1031W783-001  -  LAB CABLE ASSY W20</v>
      </c>
      <c r="L3162">
        <v>2</v>
      </c>
      <c r="M3162" t="str">
        <f>"יח"</f>
        <v>יח</v>
      </c>
      <c r="N3162">
        <v>2</v>
      </c>
      <c r="O3162" t="str">
        <f>"יח"</f>
        <v>יח</v>
      </c>
      <c r="P3162">
        <v>680.11</v>
      </c>
      <c r="Q3162" t="str">
        <f>"$"</f>
        <v>$</v>
      </c>
      <c r="R3162" t="str">
        <f>"הזמנה"</f>
        <v>הזמנה</v>
      </c>
      <c r="S3162">
        <v>0</v>
      </c>
      <c r="T3162" s="2">
        <v>1360.22</v>
      </c>
      <c r="U3162">
        <v>0</v>
      </c>
      <c r="V3162" s="2">
        <v>1360.22</v>
      </c>
      <c r="W3162" t="str">
        <f>"$"</f>
        <v>$</v>
      </c>
      <c r="X3162">
        <v>0</v>
      </c>
      <c r="Y3162">
        <v>0</v>
      </c>
      <c r="Z3162">
        <v>0</v>
      </c>
      <c r="AA3162" t="str">
        <f>"Y"</f>
        <v>Y</v>
      </c>
      <c r="AB3162" t="str">
        <f>"SO20000289"</f>
        <v>SO20000289</v>
      </c>
      <c r="AC3162">
        <v>3</v>
      </c>
      <c r="AD3162" s="1">
        <v>44019</v>
      </c>
      <c r="AE3162" t="str">
        <f>"SH20001617"</f>
        <v>SH20001617</v>
      </c>
      <c r="AF3162" t="str">
        <f>"משלוחים ללקוח"</f>
        <v>משלוחים ללקוח</v>
      </c>
      <c r="AG3162" s="1">
        <v>44165</v>
      </c>
      <c r="AM3162" t="str">
        <f>"10"</f>
        <v>10</v>
      </c>
      <c r="AN3162" t="str">
        <f>"500000"</f>
        <v>500000</v>
      </c>
      <c r="AO3162" t="str">
        <f>"הכנסות  מלקוחות"</f>
        <v>הכנסות  מלקוחות</v>
      </c>
      <c r="AQ3162" t="str">
        <f>"034"</f>
        <v>034</v>
      </c>
      <c r="AR3162">
        <v>0</v>
      </c>
      <c r="AS3162">
        <v>0</v>
      </c>
      <c r="AT3162">
        <v>3.2890000000000001</v>
      </c>
      <c r="AX3162" t="str">
        <f>"E000315794"</f>
        <v>E000315794</v>
      </c>
      <c r="BD3162" t="str">
        <f>"ערן שלו"</f>
        <v>ערן שלו</v>
      </c>
    </row>
    <row r="3163" spans="1:56" x14ac:dyDescent="0.3">
      <c r="A3163" s="1">
        <v>44168</v>
      </c>
      <c r="B3163" t="str">
        <f>"SI206001364"</f>
        <v>SI206001364</v>
      </c>
      <c r="C3163" t="str">
        <f>"PR20000485"</f>
        <v>PR20000485</v>
      </c>
      <c r="D3163" t="str">
        <f>"PR20000485"</f>
        <v>PR20000485</v>
      </c>
      <c r="E3163" t="str">
        <f>"Y"</f>
        <v>Y</v>
      </c>
      <c r="F3163" t="str">
        <f>"חשבוניות מרכזות"</f>
        <v>חשבוניות מרכזות</v>
      </c>
      <c r="G3163" t="str">
        <f>"700065"</f>
        <v>700065</v>
      </c>
      <c r="H3163" t="str">
        <f>"אלתא מערכות בע""מ"</f>
        <v>אלתא מערכות בע"מ</v>
      </c>
      <c r="I3163" t="str">
        <f>"10"</f>
        <v>10</v>
      </c>
      <c r="J3163" t="str">
        <f>"OP-AR01875"</f>
        <v>OP-AR01875</v>
      </c>
      <c r="K3163" t="str">
        <f>"1032Y063-001  -  HARNESS W1063"</f>
        <v>1032Y063-001  -  HARNESS W1063</v>
      </c>
      <c r="L3163">
        <v>2</v>
      </c>
      <c r="M3163" t="str">
        <f>"יח"</f>
        <v>יח</v>
      </c>
      <c r="N3163">
        <v>2</v>
      </c>
      <c r="O3163" t="str">
        <f>"יח"</f>
        <v>יח</v>
      </c>
      <c r="P3163">
        <v>733.19</v>
      </c>
      <c r="Q3163" t="str">
        <f>"$"</f>
        <v>$</v>
      </c>
      <c r="R3163" t="str">
        <f>"הזמנה"</f>
        <v>הזמנה</v>
      </c>
      <c r="S3163">
        <v>0</v>
      </c>
      <c r="T3163" s="2">
        <v>1466.38</v>
      </c>
      <c r="U3163">
        <v>0</v>
      </c>
      <c r="V3163" s="2">
        <v>1466.38</v>
      </c>
      <c r="W3163" t="str">
        <f>"$"</f>
        <v>$</v>
      </c>
      <c r="X3163">
        <v>0</v>
      </c>
      <c r="Y3163">
        <v>0</v>
      </c>
      <c r="Z3163">
        <v>0</v>
      </c>
      <c r="AA3163" t="str">
        <f>"Y"</f>
        <v>Y</v>
      </c>
      <c r="AB3163" t="str">
        <f>"SO20000289"</f>
        <v>SO20000289</v>
      </c>
      <c r="AC3163">
        <v>4</v>
      </c>
      <c r="AD3163" s="1">
        <v>44019</v>
      </c>
      <c r="AE3163" t="str">
        <f>"SH20001617"</f>
        <v>SH20001617</v>
      </c>
      <c r="AF3163" t="str">
        <f>"משלוחים ללקוח"</f>
        <v>משלוחים ללקוח</v>
      </c>
      <c r="AG3163" s="1">
        <v>44165</v>
      </c>
      <c r="AM3163" t="str">
        <f>"10"</f>
        <v>10</v>
      </c>
      <c r="AN3163" t="str">
        <f>"500000"</f>
        <v>500000</v>
      </c>
      <c r="AO3163" t="str">
        <f>"הכנסות  מלקוחות"</f>
        <v>הכנסות  מלקוחות</v>
      </c>
      <c r="AQ3163" t="str">
        <f>"034"</f>
        <v>034</v>
      </c>
      <c r="AR3163">
        <v>0</v>
      </c>
      <c r="AS3163">
        <v>0</v>
      </c>
      <c r="AT3163">
        <v>3.2890000000000001</v>
      </c>
      <c r="AX3163" t="str">
        <f>"E000315794"</f>
        <v>E000315794</v>
      </c>
      <c r="BD3163" t="str">
        <f>"ערן שלו"</f>
        <v>ערן שלו</v>
      </c>
    </row>
    <row r="3164" spans="1:56" x14ac:dyDescent="0.3">
      <c r="A3164" s="1">
        <v>44168</v>
      </c>
      <c r="B3164" t="str">
        <f>"SI206001364"</f>
        <v>SI206001364</v>
      </c>
      <c r="C3164" t="str">
        <f>"PR20000485"</f>
        <v>PR20000485</v>
      </c>
      <c r="D3164" t="str">
        <f>"PR20000485"</f>
        <v>PR20000485</v>
      </c>
      <c r="E3164" t="str">
        <f>"Y"</f>
        <v>Y</v>
      </c>
      <c r="F3164" t="str">
        <f>"חשבוניות מרכזות"</f>
        <v>חשבוניות מרכזות</v>
      </c>
      <c r="G3164" t="str">
        <f>"700065"</f>
        <v>700065</v>
      </c>
      <c r="H3164" t="str">
        <f>"אלתא מערכות בע""מ"</f>
        <v>אלתא מערכות בע"מ</v>
      </c>
      <c r="I3164" t="str">
        <f>"10"</f>
        <v>10</v>
      </c>
      <c r="J3164" t="str">
        <f>"OP-AR01878"</f>
        <v>OP-AR01878</v>
      </c>
      <c r="K3164" t="str">
        <f>"1031A592-001  -  CU FINAL CONTROL CBL"</f>
        <v>1031A592-001  -  CU FINAL CONTROL CBL</v>
      </c>
      <c r="L3164">
        <v>2</v>
      </c>
      <c r="M3164" t="str">
        <f>"יח"</f>
        <v>יח</v>
      </c>
      <c r="N3164">
        <v>2</v>
      </c>
      <c r="O3164" t="str">
        <f>"יח"</f>
        <v>יח</v>
      </c>
      <c r="P3164" s="2">
        <v>1181.56</v>
      </c>
      <c r="Q3164" t="str">
        <f>"$"</f>
        <v>$</v>
      </c>
      <c r="R3164" t="str">
        <f>"הזמנה"</f>
        <v>הזמנה</v>
      </c>
      <c r="S3164">
        <v>0</v>
      </c>
      <c r="T3164" s="2">
        <v>2363.12</v>
      </c>
      <c r="U3164">
        <v>0</v>
      </c>
      <c r="V3164" s="2">
        <v>2363.12</v>
      </c>
      <c r="W3164" t="str">
        <f>"$"</f>
        <v>$</v>
      </c>
      <c r="X3164">
        <v>0</v>
      </c>
      <c r="Y3164">
        <v>0</v>
      </c>
      <c r="Z3164">
        <v>0</v>
      </c>
      <c r="AA3164" t="str">
        <f>"Y"</f>
        <v>Y</v>
      </c>
      <c r="AB3164" t="str">
        <f>"SO20000289"</f>
        <v>SO20000289</v>
      </c>
      <c r="AC3164">
        <v>7</v>
      </c>
      <c r="AD3164" s="1">
        <v>44019</v>
      </c>
      <c r="AE3164" t="str">
        <f>"SH20001617"</f>
        <v>SH20001617</v>
      </c>
      <c r="AF3164" t="str">
        <f>"משלוחים ללקוח"</f>
        <v>משלוחים ללקוח</v>
      </c>
      <c r="AG3164" s="1">
        <v>44165</v>
      </c>
      <c r="AM3164" t="str">
        <f>"10"</f>
        <v>10</v>
      </c>
      <c r="AN3164" t="str">
        <f>"500000"</f>
        <v>500000</v>
      </c>
      <c r="AO3164" t="str">
        <f>"הכנסות  מלקוחות"</f>
        <v>הכנסות  מלקוחות</v>
      </c>
      <c r="AQ3164" t="str">
        <f>"034"</f>
        <v>034</v>
      </c>
      <c r="AR3164">
        <v>0</v>
      </c>
      <c r="AS3164">
        <v>0</v>
      </c>
      <c r="AT3164">
        <v>3.2890000000000001</v>
      </c>
      <c r="AX3164" t="str">
        <f>"E000315794"</f>
        <v>E000315794</v>
      </c>
      <c r="BD3164" t="str">
        <f>"ערן שלו"</f>
        <v>ערן שלו</v>
      </c>
    </row>
    <row r="3165" spans="1:56" x14ac:dyDescent="0.3">
      <c r="A3165" s="1">
        <v>44168</v>
      </c>
      <c r="B3165" t="str">
        <f>"SI206001363"</f>
        <v>SI206001363</v>
      </c>
      <c r="C3165" t="str">
        <f>"PR20000066"</f>
        <v>PR20000066</v>
      </c>
      <c r="D3165" t="str">
        <f>"PR20000066"</f>
        <v>PR20000066</v>
      </c>
      <c r="E3165" t="str">
        <f>"Y"</f>
        <v>Y</v>
      </c>
      <c r="F3165" t="str">
        <f>"חשבוניות מרכזות"</f>
        <v>חשבוניות מרכזות</v>
      </c>
      <c r="G3165" t="str">
        <f>"700065"</f>
        <v>700065</v>
      </c>
      <c r="H3165" t="str">
        <f>"אלתא מערכות בע""מ"</f>
        <v>אלתא מערכות בע"מ</v>
      </c>
      <c r="I3165" t="str">
        <f>"10"</f>
        <v>10</v>
      </c>
      <c r="J3165" t="str">
        <f>"OP-AR01627"</f>
        <v>OP-AR01627</v>
      </c>
      <c r="K3165" t="str">
        <f>"1041G103-001 W103-PWR 220 ANT FRAME TO PS1-cust"</f>
        <v>1041G103-001 W103-PWR 220 ANT FRAME TO PS1-cust</v>
      </c>
      <c r="L3165">
        <v>2</v>
      </c>
      <c r="M3165" t="str">
        <f>"יח"</f>
        <v>יח</v>
      </c>
      <c r="N3165">
        <v>2</v>
      </c>
      <c r="O3165" t="str">
        <f>"יח"</f>
        <v>יח</v>
      </c>
      <c r="P3165">
        <v>185.92</v>
      </c>
      <c r="Q3165" t="str">
        <f>"$"</f>
        <v>$</v>
      </c>
      <c r="R3165" t="str">
        <f>"הזמנה"</f>
        <v>הזמנה</v>
      </c>
      <c r="S3165">
        <v>0</v>
      </c>
      <c r="T3165">
        <v>371.84</v>
      </c>
      <c r="U3165">
        <v>0</v>
      </c>
      <c r="V3165">
        <v>371.84</v>
      </c>
      <c r="W3165" t="str">
        <f>"$"</f>
        <v>$</v>
      </c>
      <c r="X3165">
        <v>0</v>
      </c>
      <c r="Y3165">
        <v>0</v>
      </c>
      <c r="Z3165">
        <v>0</v>
      </c>
      <c r="AA3165" t="str">
        <f>"Y"</f>
        <v>Y</v>
      </c>
      <c r="AB3165" t="str">
        <f>"SO20000062"</f>
        <v>SO20000062</v>
      </c>
      <c r="AC3165">
        <v>2</v>
      </c>
      <c r="AD3165" s="1">
        <v>43870</v>
      </c>
      <c r="AE3165" t="str">
        <f>"SH20001616"</f>
        <v>SH20001616</v>
      </c>
      <c r="AF3165" t="str">
        <f>"משלוחים ללקוח"</f>
        <v>משלוחים ללקוח</v>
      </c>
      <c r="AG3165" s="1">
        <v>44165</v>
      </c>
      <c r="AM3165" t="str">
        <f>"10"</f>
        <v>10</v>
      </c>
      <c r="AN3165" t="str">
        <f>"500000"</f>
        <v>500000</v>
      </c>
      <c r="AO3165" t="str">
        <f>"הכנסות  מלקוחות"</f>
        <v>הכנסות  מלקוחות</v>
      </c>
      <c r="AQ3165" t="str">
        <f>"034"</f>
        <v>034</v>
      </c>
      <c r="AR3165">
        <v>0</v>
      </c>
      <c r="AS3165">
        <v>0</v>
      </c>
      <c r="AT3165">
        <v>3.2890000000000001</v>
      </c>
      <c r="AX3165" t="str">
        <f>"E000305063"</f>
        <v>E000305063</v>
      </c>
      <c r="BD3165" t="str">
        <f>"ערן שלו"</f>
        <v>ערן שלו</v>
      </c>
    </row>
    <row r="3166" spans="1:56" x14ac:dyDescent="0.3">
      <c r="A3166" s="1">
        <v>44168</v>
      </c>
      <c r="B3166" t="str">
        <f>"SI206001363"</f>
        <v>SI206001363</v>
      </c>
      <c r="C3166" t="str">
        <f>"PR20000066"</f>
        <v>PR20000066</v>
      </c>
      <c r="D3166" t="str">
        <f>"PR20000066"</f>
        <v>PR20000066</v>
      </c>
      <c r="E3166" t="str">
        <f>"Y"</f>
        <v>Y</v>
      </c>
      <c r="F3166" t="str">
        <f>"חשבוניות מרכזות"</f>
        <v>חשבוניות מרכזות</v>
      </c>
      <c r="G3166" t="str">
        <f>"700065"</f>
        <v>700065</v>
      </c>
      <c r="H3166" t="str">
        <f>"אלתא מערכות בע""מ"</f>
        <v>אלתא מערכות בע"מ</v>
      </c>
      <c r="I3166" t="str">
        <f>"10"</f>
        <v>10</v>
      </c>
      <c r="J3166" t="str">
        <f>"OP-AR01628"</f>
        <v>OP-AR01628</v>
      </c>
      <c r="K3166" t="str">
        <f>"1041G104-001 W104-PWR 220 ANT FRAME TO PS2-cust"</f>
        <v>1041G104-001 W104-PWR 220 ANT FRAME TO PS2-cust</v>
      </c>
      <c r="L3166">
        <v>2</v>
      </c>
      <c r="M3166" t="str">
        <f>"יח"</f>
        <v>יח</v>
      </c>
      <c r="N3166">
        <v>2</v>
      </c>
      <c r="O3166" t="str">
        <f>"יח"</f>
        <v>יח</v>
      </c>
      <c r="P3166">
        <v>185.92</v>
      </c>
      <c r="Q3166" t="str">
        <f>"$"</f>
        <v>$</v>
      </c>
      <c r="R3166" t="str">
        <f>"הזמנה"</f>
        <v>הזמנה</v>
      </c>
      <c r="S3166">
        <v>0</v>
      </c>
      <c r="T3166">
        <v>371.84</v>
      </c>
      <c r="U3166">
        <v>0</v>
      </c>
      <c r="V3166">
        <v>371.84</v>
      </c>
      <c r="W3166" t="str">
        <f>"$"</f>
        <v>$</v>
      </c>
      <c r="X3166">
        <v>0</v>
      </c>
      <c r="Y3166">
        <v>0</v>
      </c>
      <c r="Z3166">
        <v>0</v>
      </c>
      <c r="AA3166" t="str">
        <f>"Y"</f>
        <v>Y</v>
      </c>
      <c r="AB3166" t="str">
        <f>"SO20000062"</f>
        <v>SO20000062</v>
      </c>
      <c r="AC3166">
        <v>4</v>
      </c>
      <c r="AD3166" s="1">
        <v>43870</v>
      </c>
      <c r="AE3166" t="str">
        <f>"SH20001616"</f>
        <v>SH20001616</v>
      </c>
      <c r="AF3166" t="str">
        <f>"משלוחים ללקוח"</f>
        <v>משלוחים ללקוח</v>
      </c>
      <c r="AG3166" s="1">
        <v>44165</v>
      </c>
      <c r="AM3166" t="str">
        <f>"10"</f>
        <v>10</v>
      </c>
      <c r="AN3166" t="str">
        <f>"500000"</f>
        <v>500000</v>
      </c>
      <c r="AO3166" t="str">
        <f>"הכנסות  מלקוחות"</f>
        <v>הכנסות  מלקוחות</v>
      </c>
      <c r="AQ3166" t="str">
        <f>"034"</f>
        <v>034</v>
      </c>
      <c r="AR3166">
        <v>0</v>
      </c>
      <c r="AS3166">
        <v>0</v>
      </c>
      <c r="AT3166">
        <v>3.2890000000000001</v>
      </c>
      <c r="AX3166" t="str">
        <f>"E000305063"</f>
        <v>E000305063</v>
      </c>
      <c r="BD3166" t="str">
        <f>"ערן שלו"</f>
        <v>ערן שלו</v>
      </c>
    </row>
    <row r="3167" spans="1:56" x14ac:dyDescent="0.3">
      <c r="A3167" s="1">
        <v>44168</v>
      </c>
      <c r="B3167" t="str">
        <f>"SI206001363"</f>
        <v>SI206001363</v>
      </c>
      <c r="C3167" t="str">
        <f>"PR20000066"</f>
        <v>PR20000066</v>
      </c>
      <c r="D3167" t="str">
        <f>"PR20000066"</f>
        <v>PR20000066</v>
      </c>
      <c r="E3167" t="str">
        <f>"Y"</f>
        <v>Y</v>
      </c>
      <c r="F3167" t="str">
        <f>"חשבוניות מרכזות"</f>
        <v>חשבוניות מרכזות</v>
      </c>
      <c r="G3167" t="str">
        <f>"700065"</f>
        <v>700065</v>
      </c>
      <c r="H3167" t="str">
        <f>"אלתא מערכות בע""מ"</f>
        <v>אלתא מערכות בע"מ</v>
      </c>
      <c r="I3167" t="str">
        <f>"10"</f>
        <v>10</v>
      </c>
      <c r="J3167" t="str">
        <f>"OP-AR01618"</f>
        <v>OP-AR01618</v>
      </c>
      <c r="K3167" t="str">
        <f>"1041G111-001 W111 - ANT LH SIDE FSC 30V PWR"</f>
        <v>1041G111-001 W111 - ANT LH SIDE FSC 30V PWR</v>
      </c>
      <c r="L3167">
        <v>1</v>
      </c>
      <c r="M3167" t="str">
        <f>"יח"</f>
        <v>יח</v>
      </c>
      <c r="N3167">
        <v>1</v>
      </c>
      <c r="O3167" t="str">
        <f>"יח"</f>
        <v>יח</v>
      </c>
      <c r="P3167" s="2">
        <v>2968.81</v>
      </c>
      <c r="Q3167" t="str">
        <f>"$"</f>
        <v>$</v>
      </c>
      <c r="R3167" t="str">
        <f>"הזמנה"</f>
        <v>הזמנה</v>
      </c>
      <c r="S3167">
        <v>0</v>
      </c>
      <c r="T3167" s="2">
        <v>2968.81</v>
      </c>
      <c r="U3167">
        <v>0</v>
      </c>
      <c r="V3167" s="2">
        <v>2968.81</v>
      </c>
      <c r="W3167" t="str">
        <f>"$"</f>
        <v>$</v>
      </c>
      <c r="X3167">
        <v>0</v>
      </c>
      <c r="Y3167">
        <v>0</v>
      </c>
      <c r="Z3167">
        <v>0</v>
      </c>
      <c r="AA3167" t="str">
        <f>"Y"</f>
        <v>Y</v>
      </c>
      <c r="AB3167" t="str">
        <f>"SO20000062"</f>
        <v>SO20000062</v>
      </c>
      <c r="AC3167">
        <v>5</v>
      </c>
      <c r="AD3167" s="1">
        <v>43870</v>
      </c>
      <c r="AE3167" t="str">
        <f>"SH20001616"</f>
        <v>SH20001616</v>
      </c>
      <c r="AF3167" t="str">
        <f>"משלוחים ללקוח"</f>
        <v>משלוחים ללקוח</v>
      </c>
      <c r="AG3167" s="1">
        <v>44165</v>
      </c>
      <c r="AM3167" t="str">
        <f>"10"</f>
        <v>10</v>
      </c>
      <c r="AN3167" t="str">
        <f>"500000"</f>
        <v>500000</v>
      </c>
      <c r="AO3167" t="str">
        <f>"הכנסות  מלקוחות"</f>
        <v>הכנסות  מלקוחות</v>
      </c>
      <c r="AQ3167" t="str">
        <f>"034"</f>
        <v>034</v>
      </c>
      <c r="AR3167">
        <v>0</v>
      </c>
      <c r="AS3167">
        <v>0</v>
      </c>
      <c r="AT3167">
        <v>3.2890000000000001</v>
      </c>
      <c r="AX3167" t="str">
        <f>"E000305063"</f>
        <v>E000305063</v>
      </c>
      <c r="BD3167" t="str">
        <f>"ערן שלו"</f>
        <v>ערן שלו</v>
      </c>
    </row>
    <row r="3168" spans="1:56" x14ac:dyDescent="0.3">
      <c r="A3168" s="1">
        <v>44168</v>
      </c>
      <c r="B3168" t="str">
        <f>"SI206001363"</f>
        <v>SI206001363</v>
      </c>
      <c r="C3168" t="str">
        <f>"PR20000066"</f>
        <v>PR20000066</v>
      </c>
      <c r="D3168" t="str">
        <f>"PR20000066"</f>
        <v>PR20000066</v>
      </c>
      <c r="E3168" t="str">
        <f>"Y"</f>
        <v>Y</v>
      </c>
      <c r="F3168" t="str">
        <f>"חשבוניות מרכזות"</f>
        <v>חשבוניות מרכזות</v>
      </c>
      <c r="G3168" t="str">
        <f>"700065"</f>
        <v>700065</v>
      </c>
      <c r="H3168" t="str">
        <f>"אלתא מערכות בע""מ"</f>
        <v>אלתא מערכות בע"מ</v>
      </c>
      <c r="I3168" t="str">
        <f>"10"</f>
        <v>10</v>
      </c>
      <c r="J3168" t="str">
        <f>"OP-AR01619"</f>
        <v>OP-AR01619</v>
      </c>
      <c r="K3168" t="str">
        <f>"1041G112-001 W112 - ANT RH SIDE FSC 30V PWR"</f>
        <v>1041G112-001 W112 - ANT RH SIDE FSC 30V PWR</v>
      </c>
      <c r="L3168">
        <v>1</v>
      </c>
      <c r="M3168" t="str">
        <f>"יח"</f>
        <v>יח</v>
      </c>
      <c r="N3168">
        <v>1</v>
      </c>
      <c r="O3168" t="str">
        <f>"יח"</f>
        <v>יח</v>
      </c>
      <c r="P3168" s="2">
        <v>2993.68</v>
      </c>
      <c r="Q3168" t="str">
        <f>"$"</f>
        <v>$</v>
      </c>
      <c r="R3168" t="str">
        <f>"הזמנה"</f>
        <v>הזמנה</v>
      </c>
      <c r="S3168">
        <v>0</v>
      </c>
      <c r="T3168" s="2">
        <v>2993.68</v>
      </c>
      <c r="U3168">
        <v>0</v>
      </c>
      <c r="V3168" s="2">
        <v>2993.68</v>
      </c>
      <c r="W3168" t="str">
        <f>"$"</f>
        <v>$</v>
      </c>
      <c r="X3168">
        <v>0</v>
      </c>
      <c r="Y3168">
        <v>0</v>
      </c>
      <c r="Z3168">
        <v>0</v>
      </c>
      <c r="AA3168" t="str">
        <f>"Y"</f>
        <v>Y</v>
      </c>
      <c r="AB3168" t="str">
        <f>"SO20000062"</f>
        <v>SO20000062</v>
      </c>
      <c r="AC3168">
        <v>7</v>
      </c>
      <c r="AD3168" s="1">
        <v>43870</v>
      </c>
      <c r="AE3168" t="str">
        <f>"SH20001616"</f>
        <v>SH20001616</v>
      </c>
      <c r="AF3168" t="str">
        <f>"משלוחים ללקוח"</f>
        <v>משלוחים ללקוח</v>
      </c>
      <c r="AG3168" s="1">
        <v>44165</v>
      </c>
      <c r="AM3168" t="str">
        <f>"10"</f>
        <v>10</v>
      </c>
      <c r="AN3168" t="str">
        <f>"500000"</f>
        <v>500000</v>
      </c>
      <c r="AO3168" t="str">
        <f>"הכנסות  מלקוחות"</f>
        <v>הכנסות  מלקוחות</v>
      </c>
      <c r="AQ3168" t="str">
        <f>"034"</f>
        <v>034</v>
      </c>
      <c r="AR3168">
        <v>0</v>
      </c>
      <c r="AS3168">
        <v>0</v>
      </c>
      <c r="AT3168">
        <v>3.2890000000000001</v>
      </c>
      <c r="AX3168" t="str">
        <f>"E000305063"</f>
        <v>E000305063</v>
      </c>
      <c r="BD3168" t="str">
        <f>"ערן שלו"</f>
        <v>ערן שלו</v>
      </c>
    </row>
    <row r="3169" spans="1:56" x14ac:dyDescent="0.3">
      <c r="A3169" s="1">
        <v>44168</v>
      </c>
      <c r="B3169" t="str">
        <f>"SI206001363"</f>
        <v>SI206001363</v>
      </c>
      <c r="C3169" t="str">
        <f>"PR20000066"</f>
        <v>PR20000066</v>
      </c>
      <c r="D3169" t="str">
        <f>"PR20000066"</f>
        <v>PR20000066</v>
      </c>
      <c r="E3169" t="str">
        <f>"Y"</f>
        <v>Y</v>
      </c>
      <c r="F3169" t="str">
        <f>"חשבוניות מרכזות"</f>
        <v>חשבוניות מרכזות</v>
      </c>
      <c r="G3169" t="str">
        <f>"700065"</f>
        <v>700065</v>
      </c>
      <c r="H3169" t="str">
        <f>"אלתא מערכות בע""מ"</f>
        <v>אלתא מערכות בע"מ</v>
      </c>
      <c r="I3169" t="str">
        <f>"10"</f>
        <v>10</v>
      </c>
      <c r="J3169" t="str">
        <f>"OP-AR01620"</f>
        <v>OP-AR01620</v>
      </c>
      <c r="K3169" t="str">
        <f>"1041G113-001 W113 - ANT LH SIDE FSC 30V PWR"</f>
        <v>1041G113-001 W113 - ANT LH SIDE FSC 30V PWR</v>
      </c>
      <c r="L3169">
        <v>1</v>
      </c>
      <c r="M3169" t="str">
        <f>"יח"</f>
        <v>יח</v>
      </c>
      <c r="N3169">
        <v>1</v>
      </c>
      <c r="O3169" t="str">
        <f>"יח"</f>
        <v>יח</v>
      </c>
      <c r="P3169" s="2">
        <v>3094.86</v>
      </c>
      <c r="Q3169" t="str">
        <f>"$"</f>
        <v>$</v>
      </c>
      <c r="R3169" t="str">
        <f>"הזמנה"</f>
        <v>הזמנה</v>
      </c>
      <c r="S3169">
        <v>0</v>
      </c>
      <c r="T3169" s="2">
        <v>3094.86</v>
      </c>
      <c r="U3169">
        <v>0</v>
      </c>
      <c r="V3169" s="2">
        <v>3094.86</v>
      </c>
      <c r="W3169" t="str">
        <f>"$"</f>
        <v>$</v>
      </c>
      <c r="X3169">
        <v>0</v>
      </c>
      <c r="Y3169">
        <v>0</v>
      </c>
      <c r="Z3169">
        <v>0</v>
      </c>
      <c r="AA3169" t="str">
        <f>"Y"</f>
        <v>Y</v>
      </c>
      <c r="AB3169" t="str">
        <f>"SO20000062"</f>
        <v>SO20000062</v>
      </c>
      <c r="AC3169">
        <v>9</v>
      </c>
      <c r="AD3169" s="1">
        <v>43870</v>
      </c>
      <c r="AE3169" t="str">
        <f>"SH20001616"</f>
        <v>SH20001616</v>
      </c>
      <c r="AF3169" t="str">
        <f>"משלוחים ללקוח"</f>
        <v>משלוחים ללקוח</v>
      </c>
      <c r="AG3169" s="1">
        <v>44165</v>
      </c>
      <c r="AM3169" t="str">
        <f>"10"</f>
        <v>10</v>
      </c>
      <c r="AN3169" t="str">
        <f>"500000"</f>
        <v>500000</v>
      </c>
      <c r="AO3169" t="str">
        <f>"הכנסות  מלקוחות"</f>
        <v>הכנסות  מלקוחות</v>
      </c>
      <c r="AQ3169" t="str">
        <f>"034"</f>
        <v>034</v>
      </c>
      <c r="AR3169">
        <v>0</v>
      </c>
      <c r="AS3169">
        <v>0</v>
      </c>
      <c r="AT3169">
        <v>3.2890000000000001</v>
      </c>
      <c r="AX3169" t="str">
        <f>"E000305063"</f>
        <v>E000305063</v>
      </c>
      <c r="BD3169" t="str">
        <f>"ערן שלו"</f>
        <v>ערן שלו</v>
      </c>
    </row>
    <row r="3170" spans="1:56" x14ac:dyDescent="0.3">
      <c r="A3170" s="1">
        <v>44168</v>
      </c>
      <c r="B3170" t="str">
        <f>"SI206001363"</f>
        <v>SI206001363</v>
      </c>
      <c r="C3170" t="str">
        <f>"PR20000066"</f>
        <v>PR20000066</v>
      </c>
      <c r="D3170" t="str">
        <f>"PR20000066"</f>
        <v>PR20000066</v>
      </c>
      <c r="E3170" t="str">
        <f>"Y"</f>
        <v>Y</v>
      </c>
      <c r="F3170" t="str">
        <f>"חשבוניות מרכזות"</f>
        <v>חשבוניות מרכזות</v>
      </c>
      <c r="G3170" t="str">
        <f>"700065"</f>
        <v>700065</v>
      </c>
      <c r="H3170" t="str">
        <f>"אלתא מערכות בע""מ"</f>
        <v>אלתא מערכות בע"מ</v>
      </c>
      <c r="I3170" t="str">
        <f>"10"</f>
        <v>10</v>
      </c>
      <c r="J3170" t="str">
        <f>"OP-AR01621"</f>
        <v>OP-AR01621</v>
      </c>
      <c r="K3170" t="str">
        <f>"1041G114-001 W114 - ANT RH SIDE FSC 30V PWR"</f>
        <v>1041G114-001 W114 - ANT RH SIDE FSC 30V PWR</v>
      </c>
      <c r="L3170">
        <v>1</v>
      </c>
      <c r="M3170" t="str">
        <f>"יח"</f>
        <v>יח</v>
      </c>
      <c r="N3170">
        <v>1</v>
      </c>
      <c r="O3170" t="str">
        <f>"יח"</f>
        <v>יח</v>
      </c>
      <c r="P3170" s="2">
        <v>3064.26</v>
      </c>
      <c r="Q3170" t="str">
        <f>"$"</f>
        <v>$</v>
      </c>
      <c r="R3170" t="str">
        <f>"הזמנה"</f>
        <v>הזמנה</v>
      </c>
      <c r="S3170">
        <v>0</v>
      </c>
      <c r="T3170" s="2">
        <v>3064.26</v>
      </c>
      <c r="U3170">
        <v>0</v>
      </c>
      <c r="V3170" s="2">
        <v>3064.26</v>
      </c>
      <c r="W3170" t="str">
        <f>"$"</f>
        <v>$</v>
      </c>
      <c r="X3170">
        <v>0</v>
      </c>
      <c r="Y3170">
        <v>0</v>
      </c>
      <c r="Z3170">
        <v>0</v>
      </c>
      <c r="AA3170" t="str">
        <f>"Y"</f>
        <v>Y</v>
      </c>
      <c r="AB3170" t="str">
        <f>"SO20000062"</f>
        <v>SO20000062</v>
      </c>
      <c r="AC3170">
        <v>11</v>
      </c>
      <c r="AD3170" s="1">
        <v>43870</v>
      </c>
      <c r="AE3170" t="str">
        <f>"SH20001616"</f>
        <v>SH20001616</v>
      </c>
      <c r="AF3170" t="str">
        <f>"משלוחים ללקוח"</f>
        <v>משלוחים ללקוח</v>
      </c>
      <c r="AG3170" s="1">
        <v>44165</v>
      </c>
      <c r="AM3170" t="str">
        <f>"10"</f>
        <v>10</v>
      </c>
      <c r="AN3170" t="str">
        <f>"500000"</f>
        <v>500000</v>
      </c>
      <c r="AO3170" t="str">
        <f>"הכנסות  מלקוחות"</f>
        <v>הכנסות  מלקוחות</v>
      </c>
      <c r="AQ3170" t="str">
        <f>"034"</f>
        <v>034</v>
      </c>
      <c r="AR3170">
        <v>0</v>
      </c>
      <c r="AS3170">
        <v>0</v>
      </c>
      <c r="AT3170">
        <v>3.2890000000000001</v>
      </c>
      <c r="AX3170" t="str">
        <f>"E000305063"</f>
        <v>E000305063</v>
      </c>
      <c r="BD3170" t="str">
        <f>"ערן שלו"</f>
        <v>ערן שלו</v>
      </c>
    </row>
    <row r="3171" spans="1:56" x14ac:dyDescent="0.3">
      <c r="A3171" s="1">
        <v>44168</v>
      </c>
      <c r="B3171" t="str">
        <f>"SI206001363"</f>
        <v>SI206001363</v>
      </c>
      <c r="C3171" t="str">
        <f>"PR20000066"</f>
        <v>PR20000066</v>
      </c>
      <c r="D3171" t="str">
        <f>"PR20000066"</f>
        <v>PR20000066</v>
      </c>
      <c r="E3171" t="str">
        <f>"Y"</f>
        <v>Y</v>
      </c>
      <c r="F3171" t="str">
        <f>"חשבוניות מרכזות"</f>
        <v>חשבוניות מרכזות</v>
      </c>
      <c r="G3171" t="str">
        <f>"700065"</f>
        <v>700065</v>
      </c>
      <c r="H3171" t="str">
        <f>"אלתא מערכות בע""מ"</f>
        <v>אלתא מערכות בע"מ</v>
      </c>
      <c r="I3171" t="str">
        <f>"10"</f>
        <v>10</v>
      </c>
      <c r="J3171" t="str">
        <f>"OP-AR01623"</f>
        <v>OP-AR01623</v>
      </c>
      <c r="K3171" t="str">
        <f>"1041G200-001 FSC control cable"</f>
        <v>1041G200-001 FSC control cable</v>
      </c>
      <c r="L3171">
        <v>1</v>
      </c>
      <c r="M3171" t="str">
        <f>"יח"</f>
        <v>יח</v>
      </c>
      <c r="N3171">
        <v>1</v>
      </c>
      <c r="O3171" t="str">
        <f>"יח"</f>
        <v>יח</v>
      </c>
      <c r="P3171" s="2">
        <v>1703.06</v>
      </c>
      <c r="Q3171" t="str">
        <f>"$"</f>
        <v>$</v>
      </c>
      <c r="R3171" t="str">
        <f>"הזמנה"</f>
        <v>הזמנה</v>
      </c>
      <c r="S3171">
        <v>0</v>
      </c>
      <c r="T3171" s="2">
        <v>1703.06</v>
      </c>
      <c r="U3171">
        <v>0</v>
      </c>
      <c r="V3171" s="2">
        <v>1703.06</v>
      </c>
      <c r="W3171" t="str">
        <f>"$"</f>
        <v>$</v>
      </c>
      <c r="X3171">
        <v>0</v>
      </c>
      <c r="Y3171">
        <v>0</v>
      </c>
      <c r="Z3171">
        <v>0</v>
      </c>
      <c r="AA3171" t="str">
        <f>"Y"</f>
        <v>Y</v>
      </c>
      <c r="AB3171" t="str">
        <f>"SO20000062"</f>
        <v>SO20000062</v>
      </c>
      <c r="AC3171">
        <v>17</v>
      </c>
      <c r="AD3171" s="1">
        <v>43870</v>
      </c>
      <c r="AE3171" t="str">
        <f>"SH20001616"</f>
        <v>SH20001616</v>
      </c>
      <c r="AF3171" t="str">
        <f>"משלוחים ללקוח"</f>
        <v>משלוחים ללקוח</v>
      </c>
      <c r="AG3171" s="1">
        <v>44165</v>
      </c>
      <c r="AM3171" t="str">
        <f>"10"</f>
        <v>10</v>
      </c>
      <c r="AN3171" t="str">
        <f>"500000"</f>
        <v>500000</v>
      </c>
      <c r="AO3171" t="str">
        <f>"הכנסות  מלקוחות"</f>
        <v>הכנסות  מלקוחות</v>
      </c>
      <c r="AQ3171" t="str">
        <f>"034"</f>
        <v>034</v>
      </c>
      <c r="AR3171">
        <v>0</v>
      </c>
      <c r="AS3171">
        <v>0</v>
      </c>
      <c r="AT3171">
        <v>3.2890000000000001</v>
      </c>
      <c r="AX3171" t="str">
        <f>"E000305063"</f>
        <v>E000305063</v>
      </c>
      <c r="BD3171" t="str">
        <f>"ערן שלו"</f>
        <v>ערן שלו</v>
      </c>
    </row>
    <row r="3172" spans="1:56" x14ac:dyDescent="0.3">
      <c r="A3172" s="1">
        <v>44166</v>
      </c>
      <c r="B3172" t="str">
        <f>"CR207000106"</f>
        <v>CR207000106</v>
      </c>
      <c r="C3172" t="str">
        <f>"PR20000013"</f>
        <v>PR20000013</v>
      </c>
      <c r="D3172" t="str">
        <f>"PR20000013"</f>
        <v>PR20000013</v>
      </c>
      <c r="E3172" t="str">
        <f>"Y"</f>
        <v>Y</v>
      </c>
      <c r="F3172" t="str">
        <f>"חשבוניות זיכוי"</f>
        <v>חשבוניות זיכוי</v>
      </c>
      <c r="G3172" t="str">
        <f>"700065"</f>
        <v>700065</v>
      </c>
      <c r="H3172" t="str">
        <f>"אלתא מערכות בע""מ"</f>
        <v>אלתא מערכות בע"מ</v>
      </c>
      <c r="I3172" t="str">
        <f>"01"</f>
        <v>01</v>
      </c>
      <c r="J3172" t="str">
        <f>"9977"</f>
        <v>9977</v>
      </c>
      <c r="K3172" t="str">
        <f>"חיוב פיגורים 51123419852020 SI206000857"</f>
        <v>חיוב פיגורים 51123419852020 SI206000857</v>
      </c>
      <c r="L3172">
        <v>1</v>
      </c>
      <c r="M3172" t="str">
        <f>"חל"</f>
        <v>חל</v>
      </c>
      <c r="N3172">
        <v>1</v>
      </c>
      <c r="O3172" t="str">
        <f>"חל"</f>
        <v>חל</v>
      </c>
      <c r="P3172">
        <v>883.98</v>
      </c>
      <c r="Q3172" t="str">
        <f>"$"</f>
        <v>$</v>
      </c>
      <c r="R3172" t="str">
        <f>"הזמנה"</f>
        <v>הזמנה</v>
      </c>
      <c r="S3172">
        <v>0</v>
      </c>
      <c r="T3172">
        <v>883.98</v>
      </c>
      <c r="U3172">
        <v>0</v>
      </c>
      <c r="V3172">
        <v>883.98</v>
      </c>
      <c r="W3172" t="str">
        <f>"$"</f>
        <v>$</v>
      </c>
      <c r="X3172">
        <v>0</v>
      </c>
      <c r="Y3172">
        <v>0</v>
      </c>
      <c r="Z3172">
        <v>0</v>
      </c>
      <c r="AA3172" t="str">
        <f>"Y"</f>
        <v>Y</v>
      </c>
      <c r="AB3172" t="str">
        <f>"SO20000011"</f>
        <v>SO20000011</v>
      </c>
      <c r="AC3172">
        <v>2</v>
      </c>
      <c r="AD3172" s="1">
        <v>43836</v>
      </c>
      <c r="AM3172" t="str">
        <f>"10"</f>
        <v>10</v>
      </c>
      <c r="AN3172" t="str">
        <f>"500000"</f>
        <v>500000</v>
      </c>
      <c r="AO3172" t="str">
        <f>"הכנסות  מלקוחות"</f>
        <v>הכנסות  מלקוחות</v>
      </c>
      <c r="AQ3172" t="str">
        <f>"030"</f>
        <v>030</v>
      </c>
      <c r="AR3172">
        <v>0</v>
      </c>
      <c r="AS3172">
        <v>0</v>
      </c>
      <c r="AT3172">
        <v>3.3678900000000001</v>
      </c>
      <c r="AX3172" t="str">
        <f>"E000300987"</f>
        <v>E000300987</v>
      </c>
      <c r="BD3172" t="str">
        <f>"דוד דהן"</f>
        <v>דוד דהן</v>
      </c>
    </row>
    <row r="3173" spans="1:56" x14ac:dyDescent="0.3">
      <c r="A3173" s="1">
        <v>44165</v>
      </c>
      <c r="B3173" t="str">
        <f>"SI206001349"</f>
        <v>SI206001349</v>
      </c>
      <c r="C3173" t="str">
        <f>"PR19000398"</f>
        <v>PR19000398</v>
      </c>
      <c r="E3173" t="str">
        <f>"Y"</f>
        <v>Y</v>
      </c>
      <c r="F3173" t="str">
        <f>"חשבוניות מרכזות"</f>
        <v>חשבוניות מרכזות</v>
      </c>
      <c r="G3173" t="str">
        <f>"700065"</f>
        <v>700065</v>
      </c>
      <c r="H3173" t="str">
        <f>"אלתא מערכות בע""מ"</f>
        <v>אלתא מערכות בע"מ</v>
      </c>
      <c r="I3173" t="str">
        <f>"10"</f>
        <v>10</v>
      </c>
      <c r="J3173" t="str">
        <f>"000"</f>
        <v>000</v>
      </c>
      <c r="K3173" t="str">
        <f>"NRE ליחידת PDU"</f>
        <v>NRE ליחידת PDU</v>
      </c>
      <c r="L3173">
        <v>1</v>
      </c>
      <c r="M3173" t="str">
        <f>"יח"</f>
        <v>יח</v>
      </c>
      <c r="N3173">
        <v>1</v>
      </c>
      <c r="O3173" t="str">
        <f>"יח"</f>
        <v>יח</v>
      </c>
      <c r="P3173" s="2">
        <v>7892.5</v>
      </c>
      <c r="Q3173" t="str">
        <f>"$"</f>
        <v>$</v>
      </c>
      <c r="R3173" t="str">
        <f>"הזמנה"</f>
        <v>הזמנה</v>
      </c>
      <c r="S3173">
        <v>0</v>
      </c>
      <c r="T3173" s="2">
        <v>7892.5</v>
      </c>
      <c r="U3173">
        <v>0</v>
      </c>
      <c r="V3173" s="2">
        <v>7892.5</v>
      </c>
      <c r="W3173" t="str">
        <f>"$"</f>
        <v>$</v>
      </c>
      <c r="X3173">
        <v>0</v>
      </c>
      <c r="Y3173">
        <v>0</v>
      </c>
      <c r="Z3173">
        <v>0</v>
      </c>
      <c r="AA3173" t="str">
        <f>"Y"</f>
        <v>Y</v>
      </c>
      <c r="AB3173" t="str">
        <f>"SO19000305"</f>
        <v>SO19000305</v>
      </c>
      <c r="AC3173">
        <v>1</v>
      </c>
      <c r="AD3173" s="1">
        <v>43657</v>
      </c>
      <c r="AE3173" t="str">
        <f>"SH19001545"</f>
        <v>SH19001545</v>
      </c>
      <c r="AF3173" t="str">
        <f>"משלוחים ללקוח"</f>
        <v>משלוחים ללקוח</v>
      </c>
      <c r="AG3173" s="1">
        <v>43774</v>
      </c>
      <c r="AM3173" t="str">
        <f>"10"</f>
        <v>10</v>
      </c>
      <c r="AN3173" t="str">
        <f>"500000"</f>
        <v>500000</v>
      </c>
      <c r="AO3173" t="str">
        <f>"הכנסות  מלקוחות"</f>
        <v>הכנסות  מלקוחות</v>
      </c>
      <c r="AQ3173" t="str">
        <f>"034"</f>
        <v>034</v>
      </c>
      <c r="AR3173">
        <v>0</v>
      </c>
      <c r="AS3173">
        <v>0</v>
      </c>
      <c r="AT3173">
        <v>3.319</v>
      </c>
      <c r="AX3173" t="str">
        <f>"E000290708"</f>
        <v>E000290708</v>
      </c>
      <c r="BD3173" t="str">
        <f>"ערן שלו"</f>
        <v>ערן שלו</v>
      </c>
    </row>
    <row r="3174" spans="1:56" x14ac:dyDescent="0.3">
      <c r="A3174" s="1">
        <v>44165</v>
      </c>
      <c r="B3174" t="str">
        <f>"SI206001340"</f>
        <v>SI206001340</v>
      </c>
      <c r="C3174" t="str">
        <f>"PR20000066"</f>
        <v>PR20000066</v>
      </c>
      <c r="D3174" t="str">
        <f>"PR20000066"</f>
        <v>PR20000066</v>
      </c>
      <c r="E3174" t="str">
        <f>"Y"</f>
        <v>Y</v>
      </c>
      <c r="F3174" t="str">
        <f>"חשבוניות מרכזות"</f>
        <v>חשבוניות מרכזות</v>
      </c>
      <c r="G3174" t="str">
        <f>"700065"</f>
        <v>700065</v>
      </c>
      <c r="H3174" t="str">
        <f>"אלתא מערכות בע""מ"</f>
        <v>אלתא מערכות בע"מ</v>
      </c>
      <c r="I3174" t="str">
        <f>"10"</f>
        <v>10</v>
      </c>
      <c r="J3174" t="str">
        <f>"OP-AR01616"</f>
        <v>OP-AR01616</v>
      </c>
      <c r="K3174" t="str">
        <f>"1041G103-001 W103 - PWR 220 ANT FRAME TO PS1"</f>
        <v>1041G103-001 W103 - PWR 220 ANT FRAME TO PS1</v>
      </c>
      <c r="L3174">
        <v>1</v>
      </c>
      <c r="M3174" t="str">
        <f>"יח"</f>
        <v>יח</v>
      </c>
      <c r="N3174">
        <v>1</v>
      </c>
      <c r="O3174" t="str">
        <f>"יח"</f>
        <v>יח</v>
      </c>
      <c r="P3174">
        <v>635.87</v>
      </c>
      <c r="Q3174" t="str">
        <f>"$"</f>
        <v>$</v>
      </c>
      <c r="R3174" t="str">
        <f>"הזמנה"</f>
        <v>הזמנה</v>
      </c>
      <c r="S3174">
        <v>0</v>
      </c>
      <c r="T3174">
        <v>635.87</v>
      </c>
      <c r="U3174">
        <v>0</v>
      </c>
      <c r="V3174">
        <v>635.87</v>
      </c>
      <c r="W3174" t="str">
        <f>"$"</f>
        <v>$</v>
      </c>
      <c r="X3174">
        <v>0</v>
      </c>
      <c r="Y3174">
        <v>0</v>
      </c>
      <c r="Z3174">
        <v>0</v>
      </c>
      <c r="AA3174" t="str">
        <f>"Y"</f>
        <v>Y</v>
      </c>
      <c r="AB3174" t="str">
        <f>"SO20000062"</f>
        <v>SO20000062</v>
      </c>
      <c r="AC3174">
        <v>1</v>
      </c>
      <c r="AD3174" s="1">
        <v>43870</v>
      </c>
      <c r="AE3174" t="str">
        <f>"SH20001059"</f>
        <v>SH20001059</v>
      </c>
      <c r="AF3174" t="str">
        <f>"משלוחים ללקוח"</f>
        <v>משלוחים ללקוח</v>
      </c>
      <c r="AG3174" s="1">
        <v>44049</v>
      </c>
      <c r="AM3174" t="str">
        <f>"10"</f>
        <v>10</v>
      </c>
      <c r="AN3174" t="str">
        <f>"500000"</f>
        <v>500000</v>
      </c>
      <c r="AO3174" t="str">
        <f>"הכנסות  מלקוחות"</f>
        <v>הכנסות  מלקוחות</v>
      </c>
      <c r="AQ3174" t="str">
        <f>"034"</f>
        <v>034</v>
      </c>
      <c r="AR3174">
        <v>0</v>
      </c>
      <c r="AS3174">
        <v>0</v>
      </c>
      <c r="AT3174">
        <v>3.319</v>
      </c>
      <c r="AX3174" t="str">
        <f>"E000305063"</f>
        <v>E000305063</v>
      </c>
      <c r="BD3174" t="str">
        <f>"ערן שלו"</f>
        <v>ערן שלו</v>
      </c>
    </row>
    <row r="3175" spans="1:56" x14ac:dyDescent="0.3">
      <c r="A3175" s="1">
        <v>44165</v>
      </c>
      <c r="B3175" t="str">
        <f>"SI206001340"</f>
        <v>SI206001340</v>
      </c>
      <c r="C3175" t="str">
        <f>"PR20000066"</f>
        <v>PR20000066</v>
      </c>
      <c r="D3175" t="str">
        <f>"PR20000066"</f>
        <v>PR20000066</v>
      </c>
      <c r="E3175" t="str">
        <f>"Y"</f>
        <v>Y</v>
      </c>
      <c r="F3175" t="str">
        <f>"חשבוניות מרכזות"</f>
        <v>חשבוניות מרכזות</v>
      </c>
      <c r="G3175" t="str">
        <f>"700065"</f>
        <v>700065</v>
      </c>
      <c r="H3175" t="str">
        <f>"אלתא מערכות בע""מ"</f>
        <v>אלתא מערכות בע"מ</v>
      </c>
      <c r="I3175" t="str">
        <f>"10"</f>
        <v>10</v>
      </c>
      <c r="J3175" t="str">
        <f>"OP-AR01617"</f>
        <v>OP-AR01617</v>
      </c>
      <c r="K3175" t="str">
        <f>"1041G104-001 W104 - PWR 220 ANT FRAME TO PS2"</f>
        <v>1041G104-001 W104 - PWR 220 ANT FRAME TO PS2</v>
      </c>
      <c r="L3175">
        <v>1</v>
      </c>
      <c r="M3175" t="str">
        <f>"יח"</f>
        <v>יח</v>
      </c>
      <c r="N3175">
        <v>1</v>
      </c>
      <c r="O3175" t="str">
        <f>"יח"</f>
        <v>יח</v>
      </c>
      <c r="P3175">
        <v>635.87</v>
      </c>
      <c r="Q3175" t="str">
        <f>"$"</f>
        <v>$</v>
      </c>
      <c r="R3175" t="str">
        <f>"הזמנה"</f>
        <v>הזמנה</v>
      </c>
      <c r="S3175">
        <v>0</v>
      </c>
      <c r="T3175">
        <v>635.87</v>
      </c>
      <c r="U3175">
        <v>0</v>
      </c>
      <c r="V3175">
        <v>635.87</v>
      </c>
      <c r="W3175" t="str">
        <f>"$"</f>
        <v>$</v>
      </c>
      <c r="X3175">
        <v>0</v>
      </c>
      <c r="Y3175">
        <v>0</v>
      </c>
      <c r="Z3175">
        <v>0</v>
      </c>
      <c r="AA3175" t="str">
        <f>"Y"</f>
        <v>Y</v>
      </c>
      <c r="AB3175" t="str">
        <f>"SO20000062"</f>
        <v>SO20000062</v>
      </c>
      <c r="AC3175">
        <v>3</v>
      </c>
      <c r="AD3175" s="1">
        <v>43870</v>
      </c>
      <c r="AE3175" t="str">
        <f>"SH20001059"</f>
        <v>SH20001059</v>
      </c>
      <c r="AF3175" t="str">
        <f>"משלוחים ללקוח"</f>
        <v>משלוחים ללקוח</v>
      </c>
      <c r="AG3175" s="1">
        <v>44049</v>
      </c>
      <c r="AM3175" t="str">
        <f>"10"</f>
        <v>10</v>
      </c>
      <c r="AN3175" t="str">
        <f>"500000"</f>
        <v>500000</v>
      </c>
      <c r="AO3175" t="str">
        <f>"הכנסות  מלקוחות"</f>
        <v>הכנסות  מלקוחות</v>
      </c>
      <c r="AQ3175" t="str">
        <f>"034"</f>
        <v>034</v>
      </c>
      <c r="AR3175">
        <v>0</v>
      </c>
      <c r="AS3175">
        <v>0</v>
      </c>
      <c r="AT3175">
        <v>3.319</v>
      </c>
      <c r="AX3175" t="str">
        <f>"E000305063"</f>
        <v>E000305063</v>
      </c>
      <c r="BD3175" t="str">
        <f>"ערן שלו"</f>
        <v>ערן שלו</v>
      </c>
    </row>
    <row r="3176" spans="1:56" x14ac:dyDescent="0.3">
      <c r="A3176" s="1">
        <v>44165</v>
      </c>
      <c r="B3176" t="str">
        <f>"SI206001340"</f>
        <v>SI206001340</v>
      </c>
      <c r="C3176" t="str">
        <f>"PR20000066"</f>
        <v>PR20000066</v>
      </c>
      <c r="D3176" t="str">
        <f>"PR20000066"</f>
        <v>PR20000066</v>
      </c>
      <c r="E3176" t="str">
        <f>"Y"</f>
        <v>Y</v>
      </c>
      <c r="F3176" t="str">
        <f>"חשבוניות מרכזות"</f>
        <v>חשבוניות מרכזות</v>
      </c>
      <c r="G3176" t="str">
        <f>"700065"</f>
        <v>700065</v>
      </c>
      <c r="H3176" t="str">
        <f>"אלתא מערכות בע""מ"</f>
        <v>אלתא מערכות בע"מ</v>
      </c>
      <c r="I3176" t="str">
        <f>"10"</f>
        <v>10</v>
      </c>
      <c r="J3176" t="str">
        <f>"OP-AR01635"</f>
        <v>OP-AR01635</v>
      </c>
      <c r="K3176" t="str">
        <f>"1041G202-001 FSC power cable-cust"</f>
        <v>1041G202-001 FSC power cable-cust</v>
      </c>
      <c r="L3176">
        <v>1</v>
      </c>
      <c r="M3176" t="str">
        <f>"יח"</f>
        <v>יח</v>
      </c>
      <c r="N3176">
        <v>1</v>
      </c>
      <c r="O3176" t="str">
        <f>"יח"</f>
        <v>יח</v>
      </c>
      <c r="P3176">
        <v>803.39</v>
      </c>
      <c r="Q3176" t="str">
        <f>"$"</f>
        <v>$</v>
      </c>
      <c r="R3176" t="str">
        <f>"הזמנה"</f>
        <v>הזמנה</v>
      </c>
      <c r="S3176">
        <v>0</v>
      </c>
      <c r="T3176">
        <v>803.39</v>
      </c>
      <c r="U3176">
        <v>0</v>
      </c>
      <c r="V3176">
        <v>803.39</v>
      </c>
      <c r="W3176" t="str">
        <f>"$"</f>
        <v>$</v>
      </c>
      <c r="X3176">
        <v>0</v>
      </c>
      <c r="Y3176">
        <v>0</v>
      </c>
      <c r="Z3176">
        <v>0</v>
      </c>
      <c r="AA3176" t="str">
        <f>"Y"</f>
        <v>Y</v>
      </c>
      <c r="AB3176" t="str">
        <f>"SO20000062"</f>
        <v>SO20000062</v>
      </c>
      <c r="AC3176">
        <v>21</v>
      </c>
      <c r="AD3176" s="1">
        <v>43870</v>
      </c>
      <c r="AE3176" t="str">
        <f>"SH20001059"</f>
        <v>SH20001059</v>
      </c>
      <c r="AF3176" t="str">
        <f>"משלוחים ללקוח"</f>
        <v>משלוחים ללקוח</v>
      </c>
      <c r="AG3176" s="1">
        <v>44049</v>
      </c>
      <c r="AM3176" t="str">
        <f>"10"</f>
        <v>10</v>
      </c>
      <c r="AN3176" t="str">
        <f>"500000"</f>
        <v>500000</v>
      </c>
      <c r="AO3176" t="str">
        <f>"הכנסות  מלקוחות"</f>
        <v>הכנסות  מלקוחות</v>
      </c>
      <c r="AQ3176" t="str">
        <f>"034"</f>
        <v>034</v>
      </c>
      <c r="AR3176">
        <v>0</v>
      </c>
      <c r="AS3176">
        <v>0</v>
      </c>
      <c r="AT3176">
        <v>3.319</v>
      </c>
      <c r="AX3176" t="str">
        <f>"E000305063"</f>
        <v>E000305063</v>
      </c>
      <c r="BD3176" t="str">
        <f>"ערן שלו"</f>
        <v>ערן שלו</v>
      </c>
    </row>
    <row r="3177" spans="1:56" x14ac:dyDescent="0.3">
      <c r="A3177" s="1">
        <v>44165</v>
      </c>
      <c r="B3177" t="str">
        <f>"SI206001339"</f>
        <v>SI206001339</v>
      </c>
      <c r="C3177" t="str">
        <f>"PR20000502"</f>
        <v>PR20000502</v>
      </c>
      <c r="D3177" t="str">
        <f>"PR20000502"</f>
        <v>PR20000502</v>
      </c>
      <c r="E3177" t="str">
        <f>"Y"</f>
        <v>Y</v>
      </c>
      <c r="F3177" t="str">
        <f>"חשבוניות מרכזות"</f>
        <v>חשבוניות מרכזות</v>
      </c>
      <c r="G3177" t="str">
        <f>"700065"</f>
        <v>700065</v>
      </c>
      <c r="H3177" t="str">
        <f>"אלתא מערכות בע""מ"</f>
        <v>אלתא מערכות בע"מ</v>
      </c>
      <c r="I3177" t="str">
        <f>"10"</f>
        <v>10</v>
      </c>
      <c r="J3177" t="str">
        <f>"OP-AR01924"</f>
        <v>OP-AR01924</v>
      </c>
      <c r="K3177" t="str">
        <f>"2114B150-001/A1 BLKXW1 CABLE ASSY (SSTU AC POWER"</f>
        <v>2114B150-001/A1 BLKXW1 CABLE ASSY (SSTU AC POWER</v>
      </c>
      <c r="L3177">
        <v>3</v>
      </c>
      <c r="M3177" t="str">
        <f>"יח"</f>
        <v>יח</v>
      </c>
      <c r="N3177">
        <v>3</v>
      </c>
      <c r="O3177" t="str">
        <f>"יח"</f>
        <v>יח</v>
      </c>
      <c r="P3177">
        <v>239.83</v>
      </c>
      <c r="Q3177" t="str">
        <f>"$"</f>
        <v>$</v>
      </c>
      <c r="R3177" t="str">
        <f>"הזמנה"</f>
        <v>הזמנה</v>
      </c>
      <c r="S3177">
        <v>0</v>
      </c>
      <c r="T3177">
        <v>719.49</v>
      </c>
      <c r="U3177">
        <v>0</v>
      </c>
      <c r="V3177">
        <v>719.49</v>
      </c>
      <c r="W3177" t="str">
        <f>"$"</f>
        <v>$</v>
      </c>
      <c r="X3177">
        <v>0</v>
      </c>
      <c r="Y3177">
        <v>0</v>
      </c>
      <c r="Z3177">
        <v>0</v>
      </c>
      <c r="AA3177" t="str">
        <f>"Y"</f>
        <v>Y</v>
      </c>
      <c r="AB3177" t="str">
        <f>"SO20000309"</f>
        <v>SO20000309</v>
      </c>
      <c r="AC3177">
        <v>4</v>
      </c>
      <c r="AD3177" s="1">
        <v>44031</v>
      </c>
      <c r="AE3177" t="str">
        <f>"SH20001525"</f>
        <v>SH20001525</v>
      </c>
      <c r="AF3177" t="str">
        <f>"משלוחים ללקוח"</f>
        <v>משלוחים ללקוח</v>
      </c>
      <c r="AG3177" s="1">
        <v>44150</v>
      </c>
      <c r="AM3177" t="str">
        <f>"10"</f>
        <v>10</v>
      </c>
      <c r="AN3177" t="str">
        <f>"500000"</f>
        <v>500000</v>
      </c>
      <c r="AO3177" t="str">
        <f>"הכנסות  מלקוחות"</f>
        <v>הכנסות  מלקוחות</v>
      </c>
      <c r="AQ3177" t="str">
        <f>"034"</f>
        <v>034</v>
      </c>
      <c r="AR3177">
        <v>0</v>
      </c>
      <c r="AS3177">
        <v>0</v>
      </c>
      <c r="AT3177">
        <v>3.319</v>
      </c>
      <c r="AX3177" t="str">
        <f>"E000316387"</f>
        <v>E000316387</v>
      </c>
      <c r="BD3177" t="str">
        <f>"ערן שלו"</f>
        <v>ערן שלו</v>
      </c>
    </row>
    <row r="3178" spans="1:56" x14ac:dyDescent="0.3">
      <c r="A3178" s="1">
        <v>44165</v>
      </c>
      <c r="B3178" t="str">
        <f>"SI206001339"</f>
        <v>SI206001339</v>
      </c>
      <c r="C3178" t="str">
        <f>"PR20000502"</f>
        <v>PR20000502</v>
      </c>
      <c r="D3178" t="str">
        <f>"PR20000502"</f>
        <v>PR20000502</v>
      </c>
      <c r="E3178" t="str">
        <f>"Y"</f>
        <v>Y</v>
      </c>
      <c r="F3178" t="str">
        <f>"חשבוניות מרכזות"</f>
        <v>חשבוניות מרכזות</v>
      </c>
      <c r="G3178" t="str">
        <f>"700065"</f>
        <v>700065</v>
      </c>
      <c r="H3178" t="str">
        <f>"אלתא מערכות בע""מ"</f>
        <v>אלתא מערכות בע"מ</v>
      </c>
      <c r="I3178" t="str">
        <f>"10"</f>
        <v>10</v>
      </c>
      <c r="J3178" t="str">
        <f>"OP-AR01925"</f>
        <v>OP-AR01925</v>
      </c>
      <c r="K3178" t="str">
        <f>"2114B421-002/-1 CABLE ASSY BFUW101"</f>
        <v>2114B421-002/-1 CABLE ASSY BFUW101</v>
      </c>
      <c r="L3178">
        <v>1</v>
      </c>
      <c r="M3178" t="str">
        <f>"יח"</f>
        <v>יח</v>
      </c>
      <c r="N3178">
        <v>1</v>
      </c>
      <c r="O3178" t="str">
        <f>"יח"</f>
        <v>יח</v>
      </c>
      <c r="P3178" s="2">
        <v>1153.67</v>
      </c>
      <c r="Q3178" t="str">
        <f>"$"</f>
        <v>$</v>
      </c>
      <c r="R3178" t="str">
        <f>"הזמנה"</f>
        <v>הזמנה</v>
      </c>
      <c r="S3178">
        <v>0</v>
      </c>
      <c r="T3178" s="2">
        <v>1153.67</v>
      </c>
      <c r="U3178">
        <v>0</v>
      </c>
      <c r="V3178" s="2">
        <v>1153.67</v>
      </c>
      <c r="W3178" t="str">
        <f>"$"</f>
        <v>$</v>
      </c>
      <c r="X3178">
        <v>0</v>
      </c>
      <c r="Y3178">
        <v>0</v>
      </c>
      <c r="Z3178">
        <v>0</v>
      </c>
      <c r="AA3178" t="str">
        <f>"Y"</f>
        <v>Y</v>
      </c>
      <c r="AB3178" t="str">
        <f>"SO20000309"</f>
        <v>SO20000309</v>
      </c>
      <c r="AC3178">
        <v>5</v>
      </c>
      <c r="AD3178" s="1">
        <v>44031</v>
      </c>
      <c r="AE3178" t="str">
        <f>"SH20001525"</f>
        <v>SH20001525</v>
      </c>
      <c r="AF3178" t="str">
        <f>"משלוחים ללקוח"</f>
        <v>משלוחים ללקוח</v>
      </c>
      <c r="AG3178" s="1">
        <v>44150</v>
      </c>
      <c r="AM3178" t="str">
        <f>"10"</f>
        <v>10</v>
      </c>
      <c r="AN3178" t="str">
        <f>"500000"</f>
        <v>500000</v>
      </c>
      <c r="AO3178" t="str">
        <f>"הכנסות  מלקוחות"</f>
        <v>הכנסות  מלקוחות</v>
      </c>
      <c r="AQ3178" t="str">
        <f>"034"</f>
        <v>034</v>
      </c>
      <c r="AR3178">
        <v>0</v>
      </c>
      <c r="AS3178">
        <v>0</v>
      </c>
      <c r="AT3178">
        <v>3.319</v>
      </c>
      <c r="AX3178" t="str">
        <f>"E000316387"</f>
        <v>E000316387</v>
      </c>
      <c r="BD3178" t="str">
        <f>"ערן שלו"</f>
        <v>ערן שלו</v>
      </c>
    </row>
    <row r="3179" spans="1:56" x14ac:dyDescent="0.3">
      <c r="A3179" s="1">
        <v>44165</v>
      </c>
      <c r="B3179" t="str">
        <f>"SI206001332"</f>
        <v>SI206001332</v>
      </c>
      <c r="C3179" t="str">
        <f>"PR20000696"</f>
        <v>PR20000696</v>
      </c>
      <c r="D3179" t="str">
        <f>"PR20000696"</f>
        <v>PR20000696</v>
      </c>
      <c r="E3179" t="str">
        <f>"Y"</f>
        <v>Y</v>
      </c>
      <c r="F3179" t="str">
        <f>"חשבוניות מרכזות"</f>
        <v>חשבוניות מרכזות</v>
      </c>
      <c r="G3179" t="str">
        <f>"700065"</f>
        <v>700065</v>
      </c>
      <c r="H3179" t="str">
        <f>"אלתא מערכות בע""מ"</f>
        <v>אלתא מערכות בע"מ</v>
      </c>
      <c r="I3179" t="str">
        <f>"10"</f>
        <v>10</v>
      </c>
      <c r="J3179" t="str">
        <f>"000"</f>
        <v>000</v>
      </c>
      <c r="K3179" t="str">
        <f>"עדכון שרטוטים"</f>
        <v>עדכון שרטוטים</v>
      </c>
      <c r="L3179">
        <v>1</v>
      </c>
      <c r="M3179" t="str">
        <f>"יח"</f>
        <v>יח</v>
      </c>
      <c r="N3179">
        <v>1</v>
      </c>
      <c r="O3179" t="str">
        <f>"יח"</f>
        <v>יח</v>
      </c>
      <c r="P3179" s="2">
        <v>2000</v>
      </c>
      <c r="Q3179" t="str">
        <f>"$"</f>
        <v>$</v>
      </c>
      <c r="R3179" t="str">
        <f>"הזמנה"</f>
        <v>הזמנה</v>
      </c>
      <c r="S3179">
        <v>0</v>
      </c>
      <c r="T3179" s="2">
        <v>2000</v>
      </c>
      <c r="U3179">
        <v>0</v>
      </c>
      <c r="V3179" s="2">
        <v>2000</v>
      </c>
      <c r="W3179" t="str">
        <f>"$"</f>
        <v>$</v>
      </c>
      <c r="X3179">
        <v>0</v>
      </c>
      <c r="Y3179">
        <v>0</v>
      </c>
      <c r="Z3179">
        <v>0</v>
      </c>
      <c r="AA3179" t="str">
        <f>"Y"</f>
        <v>Y</v>
      </c>
      <c r="AB3179" t="str">
        <f>"SO20000526"</f>
        <v>SO20000526</v>
      </c>
      <c r="AC3179">
        <v>5</v>
      </c>
      <c r="AD3179" s="1">
        <v>44151</v>
      </c>
      <c r="AM3179" t="str">
        <f>"10"</f>
        <v>10</v>
      </c>
      <c r="AN3179" t="str">
        <f>"500000"</f>
        <v>500000</v>
      </c>
      <c r="AO3179" t="str">
        <f>"הכנסות  מלקוחות"</f>
        <v>הכנסות  מלקוחות</v>
      </c>
      <c r="AQ3179" t="str">
        <f>"034"</f>
        <v>034</v>
      </c>
      <c r="AR3179">
        <v>0</v>
      </c>
      <c r="AS3179">
        <v>0</v>
      </c>
      <c r="AT3179">
        <v>3.319</v>
      </c>
      <c r="AX3179" t="str">
        <f>"E000326026"</f>
        <v>E000326026</v>
      </c>
      <c r="BD3179" t="str">
        <f>"ערן שלו"</f>
        <v>ערן שלו</v>
      </c>
    </row>
    <row r="3180" spans="1:56" x14ac:dyDescent="0.3">
      <c r="A3180" s="1">
        <v>44165</v>
      </c>
      <c r="B3180" t="str">
        <f>"SI206001327"</f>
        <v>SI206001327</v>
      </c>
      <c r="C3180" t="str">
        <f>"PR20000217"</f>
        <v>PR20000217</v>
      </c>
      <c r="D3180" t="str">
        <f>"PR20000217"</f>
        <v>PR20000217</v>
      </c>
      <c r="E3180" t="str">
        <f>"Y"</f>
        <v>Y</v>
      </c>
      <c r="F3180" t="str">
        <f>"חשבוניות מרכזות"</f>
        <v>חשבוניות מרכזות</v>
      </c>
      <c r="G3180" t="str">
        <f>"700065"</f>
        <v>700065</v>
      </c>
      <c r="H3180" t="str">
        <f>"אלתא מערכות בע""מ"</f>
        <v>אלתא מערכות בע"מ</v>
      </c>
      <c r="I3180" t="str">
        <f>"10"</f>
        <v>10</v>
      </c>
      <c r="J3180" t="str">
        <f>"OP-AR01717"</f>
        <v>OP-AR01717</v>
      </c>
      <c r="K3180" t="str">
        <f>"NRE FOR E000310458"</f>
        <v>NRE FOR E000310458</v>
      </c>
      <c r="L3180">
        <v>1</v>
      </c>
      <c r="M3180" t="str">
        <f>"יח"</f>
        <v>יח</v>
      </c>
      <c r="N3180">
        <v>1</v>
      </c>
      <c r="O3180" t="str">
        <f>"יח"</f>
        <v>יח</v>
      </c>
      <c r="P3180">
        <v>65</v>
      </c>
      <c r="Q3180" t="str">
        <f>"$"</f>
        <v>$</v>
      </c>
      <c r="R3180" t="str">
        <f>"הזמנה"</f>
        <v>הזמנה</v>
      </c>
      <c r="S3180">
        <v>0</v>
      </c>
      <c r="T3180">
        <v>65</v>
      </c>
      <c r="U3180">
        <v>0</v>
      </c>
      <c r="V3180">
        <v>65</v>
      </c>
      <c r="W3180" t="str">
        <f>"$"</f>
        <v>$</v>
      </c>
      <c r="X3180">
        <v>0</v>
      </c>
      <c r="Y3180">
        <v>0</v>
      </c>
      <c r="Z3180">
        <v>0</v>
      </c>
      <c r="AA3180" t="str">
        <f>"Y"</f>
        <v>Y</v>
      </c>
      <c r="AB3180" t="str">
        <f>"SO20000144"</f>
        <v>SO20000144</v>
      </c>
      <c r="AC3180">
        <v>2</v>
      </c>
      <c r="AD3180" s="1">
        <v>43940</v>
      </c>
      <c r="AM3180" t="str">
        <f>"10"</f>
        <v>10</v>
      </c>
      <c r="AN3180" t="str">
        <f>"500000"</f>
        <v>500000</v>
      </c>
      <c r="AO3180" t="str">
        <f>"הכנסות  מלקוחות"</f>
        <v>הכנסות  מלקוחות</v>
      </c>
      <c r="AQ3180" t="str">
        <f>"034"</f>
        <v>034</v>
      </c>
      <c r="AR3180">
        <v>0</v>
      </c>
      <c r="AS3180">
        <v>0</v>
      </c>
      <c r="AT3180">
        <v>3.319</v>
      </c>
      <c r="AX3180" t="str">
        <f>"E000310458"</f>
        <v>E000310458</v>
      </c>
      <c r="BD3180" t="str">
        <f>"ערן שלו"</f>
        <v>ערן שלו</v>
      </c>
    </row>
    <row r="3181" spans="1:56" x14ac:dyDescent="0.3">
      <c r="A3181" s="1">
        <v>44165</v>
      </c>
      <c r="B3181" t="str">
        <f>"SI206001326"</f>
        <v>SI206001326</v>
      </c>
      <c r="C3181" t="str">
        <f>"PR19000454"</f>
        <v>PR19000454</v>
      </c>
      <c r="D3181" t="str">
        <f>"PR19000454"</f>
        <v>PR19000454</v>
      </c>
      <c r="E3181" t="str">
        <f>"Y"</f>
        <v>Y</v>
      </c>
      <c r="F3181" t="str">
        <f>"חשבוניות מרכזות"</f>
        <v>חשבוניות מרכזות</v>
      </c>
      <c r="G3181" t="str">
        <f>"700065"</f>
        <v>700065</v>
      </c>
      <c r="H3181" t="str">
        <f>"אלתא מערכות בע""מ"</f>
        <v>אלתא מערכות בע"מ</v>
      </c>
      <c r="I3181" t="str">
        <f>"10"</f>
        <v>10</v>
      </c>
      <c r="J3181" t="str">
        <f>"OP-AR01297"</f>
        <v>OP-AR01297</v>
      </c>
      <c r="K3181" t="str">
        <f>"שדרוג יחידה LB PDB"</f>
        <v>שדרוג יחידה LB PDB</v>
      </c>
      <c r="L3181">
        <v>1</v>
      </c>
      <c r="M3181" t="str">
        <f>"יח"</f>
        <v>יח</v>
      </c>
      <c r="N3181">
        <v>1</v>
      </c>
      <c r="O3181" t="str">
        <f>"יח"</f>
        <v>יח</v>
      </c>
      <c r="P3181" s="2">
        <v>2549</v>
      </c>
      <c r="Q3181" t="str">
        <f>"$"</f>
        <v>$</v>
      </c>
      <c r="R3181" t="str">
        <f>"הזמנה"</f>
        <v>הזמנה</v>
      </c>
      <c r="S3181">
        <v>0</v>
      </c>
      <c r="T3181" s="2">
        <v>2549</v>
      </c>
      <c r="U3181">
        <v>0</v>
      </c>
      <c r="V3181" s="2">
        <v>2549</v>
      </c>
      <c r="W3181" t="str">
        <f>"$"</f>
        <v>$</v>
      </c>
      <c r="X3181">
        <v>0</v>
      </c>
      <c r="Y3181">
        <v>0</v>
      </c>
      <c r="Z3181">
        <v>0</v>
      </c>
      <c r="AA3181" t="str">
        <f>"Y"</f>
        <v>Y</v>
      </c>
      <c r="AB3181" t="str">
        <f>"SO20000461"</f>
        <v>SO20000461</v>
      </c>
      <c r="AC3181">
        <v>1</v>
      </c>
      <c r="AD3181" s="1">
        <v>44116</v>
      </c>
      <c r="AE3181" t="str">
        <f>"SH20001613"</f>
        <v>SH20001613</v>
      </c>
      <c r="AF3181" t="str">
        <f>"משלוחים ללקוח"</f>
        <v>משלוחים ללקוח</v>
      </c>
      <c r="AG3181" s="1">
        <v>44165</v>
      </c>
      <c r="AM3181" t="str">
        <f>"10"</f>
        <v>10</v>
      </c>
      <c r="AN3181" t="str">
        <f>"500000"</f>
        <v>500000</v>
      </c>
      <c r="AO3181" t="str">
        <f>"הכנסות  מלקוחות"</f>
        <v>הכנסות  מלקוחות</v>
      </c>
      <c r="AQ3181" t="str">
        <f>"034"</f>
        <v>034</v>
      </c>
      <c r="AR3181">
        <v>0</v>
      </c>
      <c r="AS3181">
        <v>0</v>
      </c>
      <c r="AT3181">
        <v>3.319</v>
      </c>
      <c r="AX3181" t="str">
        <f>"E000321841"</f>
        <v>E000321841</v>
      </c>
      <c r="BD3181" t="str">
        <f>"ערן שלו"</f>
        <v>ערן שלו</v>
      </c>
    </row>
    <row r="3182" spans="1:56" x14ac:dyDescent="0.3">
      <c r="A3182" s="1">
        <v>44165</v>
      </c>
      <c r="B3182" t="str">
        <f>"SI206001326"</f>
        <v>SI206001326</v>
      </c>
      <c r="C3182" t="str">
        <f>"PR19000454"</f>
        <v>PR19000454</v>
      </c>
      <c r="D3182" t="str">
        <f>"PR19000454"</f>
        <v>PR19000454</v>
      </c>
      <c r="E3182" t="str">
        <f>"Y"</f>
        <v>Y</v>
      </c>
      <c r="F3182" t="str">
        <f>"חשבוניות מרכזות"</f>
        <v>חשבוניות מרכזות</v>
      </c>
      <c r="G3182" t="str">
        <f>"700065"</f>
        <v>700065</v>
      </c>
      <c r="H3182" t="str">
        <f>"אלתא מערכות בע""מ"</f>
        <v>אלתא מערכות בע"מ</v>
      </c>
      <c r="I3182" t="str">
        <f>"10"</f>
        <v>10</v>
      </c>
      <c r="J3182" t="str">
        <f>"OP-AR01297"</f>
        <v>OP-AR01297</v>
      </c>
      <c r="K3182" t="str">
        <f>"שדרוג יחידה LB PDB"</f>
        <v>שדרוג יחידה LB PDB</v>
      </c>
      <c r="L3182">
        <v>1</v>
      </c>
      <c r="M3182" t="str">
        <f>"יח"</f>
        <v>יח</v>
      </c>
      <c r="N3182">
        <v>1</v>
      </c>
      <c r="O3182" t="str">
        <f>"יח"</f>
        <v>יח</v>
      </c>
      <c r="P3182" s="2">
        <v>2549</v>
      </c>
      <c r="Q3182" t="str">
        <f>"$"</f>
        <v>$</v>
      </c>
      <c r="R3182" t="str">
        <f>"הזמנה"</f>
        <v>הזמנה</v>
      </c>
      <c r="S3182">
        <v>0</v>
      </c>
      <c r="T3182" s="2">
        <v>2549</v>
      </c>
      <c r="U3182">
        <v>0</v>
      </c>
      <c r="V3182" s="2">
        <v>2549</v>
      </c>
      <c r="W3182" t="str">
        <f>"$"</f>
        <v>$</v>
      </c>
      <c r="X3182">
        <v>0</v>
      </c>
      <c r="Y3182">
        <v>0</v>
      </c>
      <c r="Z3182">
        <v>0</v>
      </c>
      <c r="AA3182" t="str">
        <f>"Y"</f>
        <v>Y</v>
      </c>
      <c r="AB3182" t="str">
        <f>"SO20000461"</f>
        <v>SO20000461</v>
      </c>
      <c r="AC3182">
        <v>2</v>
      </c>
      <c r="AD3182" s="1">
        <v>44116</v>
      </c>
      <c r="AE3182" t="str">
        <f>"SH20001613"</f>
        <v>SH20001613</v>
      </c>
      <c r="AF3182" t="str">
        <f>"משלוחים ללקוח"</f>
        <v>משלוחים ללקוח</v>
      </c>
      <c r="AG3182" s="1">
        <v>44165</v>
      </c>
      <c r="AM3182" t="str">
        <f>"10"</f>
        <v>10</v>
      </c>
      <c r="AN3182" t="str">
        <f>"500000"</f>
        <v>500000</v>
      </c>
      <c r="AO3182" t="str">
        <f>"הכנסות  מלקוחות"</f>
        <v>הכנסות  מלקוחות</v>
      </c>
      <c r="AQ3182" t="str">
        <f>"034"</f>
        <v>034</v>
      </c>
      <c r="AR3182">
        <v>0</v>
      </c>
      <c r="AS3182">
        <v>0</v>
      </c>
      <c r="AT3182">
        <v>3.319</v>
      </c>
      <c r="AX3182" t="str">
        <f>"E000321841"</f>
        <v>E000321841</v>
      </c>
      <c r="BD3182" t="str">
        <f>"ערן שלו"</f>
        <v>ערן שלו</v>
      </c>
    </row>
    <row r="3183" spans="1:56" x14ac:dyDescent="0.3">
      <c r="A3183" s="1">
        <v>44165</v>
      </c>
      <c r="B3183" t="str">
        <f>"SI206001326"</f>
        <v>SI206001326</v>
      </c>
      <c r="C3183" t="str">
        <f>"PR19000454"</f>
        <v>PR19000454</v>
      </c>
      <c r="D3183" t="str">
        <f>"PR19000454"</f>
        <v>PR19000454</v>
      </c>
      <c r="E3183" t="str">
        <f>"Y"</f>
        <v>Y</v>
      </c>
      <c r="F3183" t="str">
        <f>"חשבוניות מרכזות"</f>
        <v>חשבוניות מרכזות</v>
      </c>
      <c r="G3183" t="str">
        <f>"700065"</f>
        <v>700065</v>
      </c>
      <c r="H3183" t="str">
        <f>"אלתא מערכות בע""מ"</f>
        <v>אלתא מערכות בע"מ</v>
      </c>
      <c r="I3183" t="str">
        <f>"10"</f>
        <v>10</v>
      </c>
      <c r="J3183" t="str">
        <f>"OP-AR01297"</f>
        <v>OP-AR01297</v>
      </c>
      <c r="K3183" t="str">
        <f>"שדרוג יחידה LB PDB"</f>
        <v>שדרוג יחידה LB PDB</v>
      </c>
      <c r="L3183">
        <v>1</v>
      </c>
      <c r="M3183" t="str">
        <f>"יח"</f>
        <v>יח</v>
      </c>
      <c r="N3183">
        <v>1</v>
      </c>
      <c r="O3183" t="str">
        <f>"יח"</f>
        <v>יח</v>
      </c>
      <c r="P3183" s="2">
        <v>2549</v>
      </c>
      <c r="Q3183" t="str">
        <f>"$"</f>
        <v>$</v>
      </c>
      <c r="R3183" t="str">
        <f>"הזמנה"</f>
        <v>הזמנה</v>
      </c>
      <c r="S3183">
        <v>0</v>
      </c>
      <c r="T3183" s="2">
        <v>2549</v>
      </c>
      <c r="U3183">
        <v>0</v>
      </c>
      <c r="V3183" s="2">
        <v>2549</v>
      </c>
      <c r="W3183" t="str">
        <f>"$"</f>
        <v>$</v>
      </c>
      <c r="X3183">
        <v>0</v>
      </c>
      <c r="Y3183">
        <v>0</v>
      </c>
      <c r="Z3183">
        <v>0</v>
      </c>
      <c r="AA3183" t="str">
        <f>"Y"</f>
        <v>Y</v>
      </c>
      <c r="AB3183" t="str">
        <f>"SO20000461"</f>
        <v>SO20000461</v>
      </c>
      <c r="AC3183">
        <v>3</v>
      </c>
      <c r="AD3183" s="1">
        <v>44116</v>
      </c>
      <c r="AE3183" t="str">
        <f>"SH20001613"</f>
        <v>SH20001613</v>
      </c>
      <c r="AF3183" t="str">
        <f>"משלוחים ללקוח"</f>
        <v>משלוחים ללקוח</v>
      </c>
      <c r="AG3183" s="1">
        <v>44165</v>
      </c>
      <c r="AM3183" t="str">
        <f>"10"</f>
        <v>10</v>
      </c>
      <c r="AN3183" t="str">
        <f>"500000"</f>
        <v>500000</v>
      </c>
      <c r="AO3183" t="str">
        <f>"הכנסות  מלקוחות"</f>
        <v>הכנסות  מלקוחות</v>
      </c>
      <c r="AQ3183" t="str">
        <f>"034"</f>
        <v>034</v>
      </c>
      <c r="AR3183">
        <v>0</v>
      </c>
      <c r="AS3183">
        <v>0</v>
      </c>
      <c r="AT3183">
        <v>3.319</v>
      </c>
      <c r="AX3183" t="str">
        <f>"E000321841"</f>
        <v>E000321841</v>
      </c>
      <c r="BD3183" t="str">
        <f>"ערן שלו"</f>
        <v>ערן שלו</v>
      </c>
    </row>
    <row r="3184" spans="1:56" x14ac:dyDescent="0.3">
      <c r="A3184" s="1">
        <v>44165</v>
      </c>
      <c r="B3184" t="str">
        <f>"SI206001326"</f>
        <v>SI206001326</v>
      </c>
      <c r="C3184" t="str">
        <f>"PR19000454"</f>
        <v>PR19000454</v>
      </c>
      <c r="D3184" t="str">
        <f>"PR19000454"</f>
        <v>PR19000454</v>
      </c>
      <c r="E3184" t="str">
        <f>"Y"</f>
        <v>Y</v>
      </c>
      <c r="F3184" t="str">
        <f>"חשבוניות מרכזות"</f>
        <v>חשבוניות מרכזות</v>
      </c>
      <c r="G3184" t="str">
        <f>"700065"</f>
        <v>700065</v>
      </c>
      <c r="H3184" t="str">
        <f>"אלתא מערכות בע""מ"</f>
        <v>אלתא מערכות בע"מ</v>
      </c>
      <c r="I3184" t="str">
        <f>"10"</f>
        <v>10</v>
      </c>
      <c r="J3184" t="str">
        <f>"OP-AR01297"</f>
        <v>OP-AR01297</v>
      </c>
      <c r="K3184" t="str">
        <f>"שדרוג יחידה LB PDB"</f>
        <v>שדרוג יחידה LB PDB</v>
      </c>
      <c r="L3184">
        <v>1</v>
      </c>
      <c r="M3184" t="str">
        <f>"יח"</f>
        <v>יח</v>
      </c>
      <c r="N3184">
        <v>1</v>
      </c>
      <c r="O3184" t="str">
        <f>"יח"</f>
        <v>יח</v>
      </c>
      <c r="P3184" s="2">
        <v>2549</v>
      </c>
      <c r="Q3184" t="str">
        <f>"$"</f>
        <v>$</v>
      </c>
      <c r="R3184" t="str">
        <f>"הזמנה"</f>
        <v>הזמנה</v>
      </c>
      <c r="S3184">
        <v>0</v>
      </c>
      <c r="T3184" s="2">
        <v>2549</v>
      </c>
      <c r="U3184">
        <v>0</v>
      </c>
      <c r="V3184" s="2">
        <v>2549</v>
      </c>
      <c r="W3184" t="str">
        <f>"$"</f>
        <v>$</v>
      </c>
      <c r="X3184">
        <v>0</v>
      </c>
      <c r="Y3184">
        <v>0</v>
      </c>
      <c r="Z3184">
        <v>0</v>
      </c>
      <c r="AA3184" t="str">
        <f>"Y"</f>
        <v>Y</v>
      </c>
      <c r="AB3184" t="str">
        <f>"SO20000461"</f>
        <v>SO20000461</v>
      </c>
      <c r="AC3184">
        <v>4</v>
      </c>
      <c r="AD3184" s="1">
        <v>44116</v>
      </c>
      <c r="AE3184" t="str">
        <f>"SH20001613"</f>
        <v>SH20001613</v>
      </c>
      <c r="AF3184" t="str">
        <f>"משלוחים ללקוח"</f>
        <v>משלוחים ללקוח</v>
      </c>
      <c r="AG3184" s="1">
        <v>44165</v>
      </c>
      <c r="AM3184" t="str">
        <f>"10"</f>
        <v>10</v>
      </c>
      <c r="AN3184" t="str">
        <f>"500000"</f>
        <v>500000</v>
      </c>
      <c r="AO3184" t="str">
        <f>"הכנסות  מלקוחות"</f>
        <v>הכנסות  מלקוחות</v>
      </c>
      <c r="AQ3184" t="str">
        <f>"034"</f>
        <v>034</v>
      </c>
      <c r="AR3184">
        <v>0</v>
      </c>
      <c r="AS3184">
        <v>0</v>
      </c>
      <c r="AT3184">
        <v>3.319</v>
      </c>
      <c r="AX3184" t="str">
        <f>"E000321841"</f>
        <v>E000321841</v>
      </c>
      <c r="BD3184" t="str">
        <f>"ערן שלו"</f>
        <v>ערן שלו</v>
      </c>
    </row>
    <row r="3185" spans="1:56" x14ac:dyDescent="0.3">
      <c r="A3185" s="1">
        <v>44165</v>
      </c>
      <c r="B3185" t="str">
        <f>"SI206001326"</f>
        <v>SI206001326</v>
      </c>
      <c r="C3185" t="str">
        <f>"PR19000454"</f>
        <v>PR19000454</v>
      </c>
      <c r="D3185" t="str">
        <f>"PR19000454"</f>
        <v>PR19000454</v>
      </c>
      <c r="E3185" t="str">
        <f>"Y"</f>
        <v>Y</v>
      </c>
      <c r="F3185" t="str">
        <f>"חשבוניות מרכזות"</f>
        <v>חשבוניות מרכזות</v>
      </c>
      <c r="G3185" t="str">
        <f>"700065"</f>
        <v>700065</v>
      </c>
      <c r="H3185" t="str">
        <f>"אלתא מערכות בע""מ"</f>
        <v>אלתא מערכות בע"מ</v>
      </c>
      <c r="I3185" t="str">
        <f>"10"</f>
        <v>10</v>
      </c>
      <c r="J3185" t="str">
        <f>"OP-AR01297"</f>
        <v>OP-AR01297</v>
      </c>
      <c r="K3185" t="str">
        <f>"שדרוג יחידה LB PDB"</f>
        <v>שדרוג יחידה LB PDB</v>
      </c>
      <c r="L3185">
        <v>1</v>
      </c>
      <c r="M3185" t="str">
        <f>"יח"</f>
        <v>יח</v>
      </c>
      <c r="N3185">
        <v>1</v>
      </c>
      <c r="O3185" t="str">
        <f>"יח"</f>
        <v>יח</v>
      </c>
      <c r="P3185" s="2">
        <v>2549</v>
      </c>
      <c r="Q3185" t="str">
        <f>"$"</f>
        <v>$</v>
      </c>
      <c r="R3185" t="str">
        <f>"הזמנה"</f>
        <v>הזמנה</v>
      </c>
      <c r="S3185">
        <v>0</v>
      </c>
      <c r="T3185" s="2">
        <v>2549</v>
      </c>
      <c r="U3185">
        <v>0</v>
      </c>
      <c r="V3185" s="2">
        <v>2549</v>
      </c>
      <c r="W3185" t="str">
        <f>"$"</f>
        <v>$</v>
      </c>
      <c r="X3185">
        <v>0</v>
      </c>
      <c r="Y3185">
        <v>0</v>
      </c>
      <c r="Z3185">
        <v>0</v>
      </c>
      <c r="AA3185" t="str">
        <f>"Y"</f>
        <v>Y</v>
      </c>
      <c r="AB3185" t="str">
        <f>"SO20000461"</f>
        <v>SO20000461</v>
      </c>
      <c r="AC3185">
        <v>5</v>
      </c>
      <c r="AD3185" s="1">
        <v>44116</v>
      </c>
      <c r="AE3185" t="str">
        <f>"SH20001613"</f>
        <v>SH20001613</v>
      </c>
      <c r="AF3185" t="str">
        <f>"משלוחים ללקוח"</f>
        <v>משלוחים ללקוח</v>
      </c>
      <c r="AG3185" s="1">
        <v>44165</v>
      </c>
      <c r="AM3185" t="str">
        <f>"10"</f>
        <v>10</v>
      </c>
      <c r="AN3185" t="str">
        <f>"500000"</f>
        <v>500000</v>
      </c>
      <c r="AO3185" t="str">
        <f>"הכנסות  מלקוחות"</f>
        <v>הכנסות  מלקוחות</v>
      </c>
      <c r="AQ3185" t="str">
        <f>"034"</f>
        <v>034</v>
      </c>
      <c r="AR3185">
        <v>0</v>
      </c>
      <c r="AS3185">
        <v>0</v>
      </c>
      <c r="AT3185">
        <v>3.319</v>
      </c>
      <c r="AX3185" t="str">
        <f>"E000321841"</f>
        <v>E000321841</v>
      </c>
      <c r="BD3185" t="str">
        <f>"ערן שלו"</f>
        <v>ערן שלו</v>
      </c>
    </row>
    <row r="3186" spans="1:56" x14ac:dyDescent="0.3">
      <c r="A3186" s="1">
        <v>44165</v>
      </c>
      <c r="B3186" t="str">
        <f>"SI206001326"</f>
        <v>SI206001326</v>
      </c>
      <c r="C3186" t="str">
        <f>"PR19000454"</f>
        <v>PR19000454</v>
      </c>
      <c r="D3186" t="str">
        <f>"PR19000454"</f>
        <v>PR19000454</v>
      </c>
      <c r="E3186" t="str">
        <f>"Y"</f>
        <v>Y</v>
      </c>
      <c r="F3186" t="str">
        <f>"חשבוניות מרכזות"</f>
        <v>חשבוניות מרכזות</v>
      </c>
      <c r="G3186" t="str">
        <f>"700065"</f>
        <v>700065</v>
      </c>
      <c r="H3186" t="str">
        <f>"אלתא מערכות בע""מ"</f>
        <v>אלתא מערכות בע"מ</v>
      </c>
      <c r="I3186" t="str">
        <f>"10"</f>
        <v>10</v>
      </c>
      <c r="J3186" t="str">
        <f>"OP-AR01297"</f>
        <v>OP-AR01297</v>
      </c>
      <c r="K3186" t="str">
        <f>"שדרוג יחידה LB PDB"</f>
        <v>שדרוג יחידה LB PDB</v>
      </c>
      <c r="L3186">
        <v>1</v>
      </c>
      <c r="M3186" t="str">
        <f>"יח"</f>
        <v>יח</v>
      </c>
      <c r="N3186">
        <v>1</v>
      </c>
      <c r="O3186" t="str">
        <f>"יח"</f>
        <v>יח</v>
      </c>
      <c r="P3186" s="2">
        <v>2549</v>
      </c>
      <c r="Q3186" t="str">
        <f>"$"</f>
        <v>$</v>
      </c>
      <c r="R3186" t="str">
        <f>"הזמנה"</f>
        <v>הזמנה</v>
      </c>
      <c r="S3186">
        <v>0</v>
      </c>
      <c r="T3186" s="2">
        <v>2549</v>
      </c>
      <c r="U3186">
        <v>0</v>
      </c>
      <c r="V3186" s="2">
        <v>2549</v>
      </c>
      <c r="W3186" t="str">
        <f>"$"</f>
        <v>$</v>
      </c>
      <c r="X3186">
        <v>0</v>
      </c>
      <c r="Y3186">
        <v>0</v>
      </c>
      <c r="Z3186">
        <v>0</v>
      </c>
      <c r="AA3186" t="str">
        <f>"Y"</f>
        <v>Y</v>
      </c>
      <c r="AB3186" t="str">
        <f>"SO20000461"</f>
        <v>SO20000461</v>
      </c>
      <c r="AC3186">
        <v>6</v>
      </c>
      <c r="AD3186" s="1">
        <v>44116</v>
      </c>
      <c r="AE3186" t="str">
        <f>"SH20001613"</f>
        <v>SH20001613</v>
      </c>
      <c r="AF3186" t="str">
        <f>"משלוחים ללקוח"</f>
        <v>משלוחים ללקוח</v>
      </c>
      <c r="AG3186" s="1">
        <v>44165</v>
      </c>
      <c r="AM3186" t="str">
        <f>"10"</f>
        <v>10</v>
      </c>
      <c r="AN3186" t="str">
        <f>"500000"</f>
        <v>500000</v>
      </c>
      <c r="AO3186" t="str">
        <f>"הכנסות  מלקוחות"</f>
        <v>הכנסות  מלקוחות</v>
      </c>
      <c r="AQ3186" t="str">
        <f>"034"</f>
        <v>034</v>
      </c>
      <c r="AR3186">
        <v>0</v>
      </c>
      <c r="AS3186">
        <v>0</v>
      </c>
      <c r="AT3186">
        <v>3.319</v>
      </c>
      <c r="AX3186" t="str">
        <f>"E000321841"</f>
        <v>E000321841</v>
      </c>
      <c r="BD3186" t="str">
        <f>"ערן שלו"</f>
        <v>ערן שלו</v>
      </c>
    </row>
    <row r="3187" spans="1:56" x14ac:dyDescent="0.3">
      <c r="A3187" s="1">
        <v>44164</v>
      </c>
      <c r="B3187" t="str">
        <f>"SI206001322"</f>
        <v>SI206001322</v>
      </c>
      <c r="C3187" t="str">
        <f>"PR20000184"</f>
        <v>PR20000184</v>
      </c>
      <c r="E3187" t="str">
        <f>"Y"</f>
        <v>Y</v>
      </c>
      <c r="F3187" t="str">
        <f>"חשבוניות מרכזות"</f>
        <v>חשבוניות מרכזות</v>
      </c>
      <c r="G3187" t="str">
        <f>"700065"</f>
        <v>700065</v>
      </c>
      <c r="H3187" t="str">
        <f>"אלתא מערכות בע""מ"</f>
        <v>אלתא מערכות בע"מ</v>
      </c>
      <c r="I3187" t="str">
        <f>"10"</f>
        <v>10</v>
      </c>
      <c r="J3187" t="str">
        <f>"PS9900081"</f>
        <v>PS9900081</v>
      </c>
      <c r="K3187" t="str">
        <f>"מטען מצברים 1039V517-001 ירוק"</f>
        <v>מטען מצברים 1039V517-001 ירוק</v>
      </c>
      <c r="L3187">
        <v>13</v>
      </c>
      <c r="M3187" t="str">
        <f>"יח"</f>
        <v>יח</v>
      </c>
      <c r="N3187">
        <v>13</v>
      </c>
      <c r="O3187" t="str">
        <f>"יח"</f>
        <v>יח</v>
      </c>
      <c r="P3187" s="2">
        <v>5500</v>
      </c>
      <c r="Q3187" t="str">
        <f>"$"</f>
        <v>$</v>
      </c>
      <c r="R3187" t="str">
        <f>"הזמנה"</f>
        <v>הזמנה</v>
      </c>
      <c r="S3187">
        <v>0</v>
      </c>
      <c r="T3187" s="2">
        <v>71500</v>
      </c>
      <c r="U3187">
        <v>0</v>
      </c>
      <c r="V3187" s="2">
        <v>71500</v>
      </c>
      <c r="W3187" t="str">
        <f>"$"</f>
        <v>$</v>
      </c>
      <c r="X3187">
        <v>0</v>
      </c>
      <c r="Y3187">
        <v>0</v>
      </c>
      <c r="Z3187">
        <v>0</v>
      </c>
      <c r="AA3187" t="str">
        <f>"Y"</f>
        <v>Y</v>
      </c>
      <c r="AB3187" t="str">
        <f>"SO20000119"</f>
        <v>SO20000119</v>
      </c>
      <c r="AC3187">
        <v>6</v>
      </c>
      <c r="AD3187" s="1">
        <v>43916</v>
      </c>
      <c r="AE3187" t="str">
        <f>"SH20001588"</f>
        <v>SH20001588</v>
      </c>
      <c r="AF3187" t="str">
        <f>"משלוחים ללקוח"</f>
        <v>משלוחים ללקוח</v>
      </c>
      <c r="AG3187" s="1">
        <v>44160</v>
      </c>
      <c r="AM3187" t="str">
        <f>"10"</f>
        <v>10</v>
      </c>
      <c r="AN3187" t="str">
        <f>"500000"</f>
        <v>500000</v>
      </c>
      <c r="AO3187" t="str">
        <f>"הכנסות  מלקוחות"</f>
        <v>הכנסות  מלקוחות</v>
      </c>
      <c r="AQ3187" t="str">
        <f>"034"</f>
        <v>034</v>
      </c>
      <c r="AR3187">
        <v>0</v>
      </c>
      <c r="AS3187">
        <v>0</v>
      </c>
      <c r="AT3187">
        <v>3.319</v>
      </c>
      <c r="AX3187" t="str">
        <f>"E000308667"</f>
        <v>E000308667</v>
      </c>
      <c r="BD3187" t="str">
        <f>"ערן שלו"</f>
        <v>ערן שלו</v>
      </c>
    </row>
    <row r="3188" spans="1:56" x14ac:dyDescent="0.3">
      <c r="A3188" s="1">
        <v>44164</v>
      </c>
      <c r="B3188" t="str">
        <f>"SI206001321"</f>
        <v>SI206001321</v>
      </c>
      <c r="C3188" t="str">
        <f>"PR20000670"</f>
        <v>PR20000670</v>
      </c>
      <c r="D3188" t="str">
        <f>"PR20000670"</f>
        <v>PR20000670</v>
      </c>
      <c r="E3188" t="str">
        <f>"Y"</f>
        <v>Y</v>
      </c>
      <c r="F3188" t="str">
        <f>"חשבוניות מרכזות"</f>
        <v>חשבוניות מרכזות</v>
      </c>
      <c r="G3188" t="str">
        <f>"700065"</f>
        <v>700065</v>
      </c>
      <c r="H3188" t="str">
        <f>"אלתא מערכות בע""מ"</f>
        <v>אלתא מערכות בע"מ</v>
      </c>
      <c r="I3188" t="str">
        <f>"10"</f>
        <v>10</v>
      </c>
      <c r="J3188" t="str">
        <f>"cust000448"</f>
        <v>cust000448</v>
      </c>
      <c r="K3188" t="str">
        <f>"1035E001-001 אלתא"</f>
        <v>1035E001-001 אלתא</v>
      </c>
      <c r="L3188">
        <v>2</v>
      </c>
      <c r="M3188" t="str">
        <f>"יח"</f>
        <v>יח</v>
      </c>
      <c r="N3188">
        <v>2</v>
      </c>
      <c r="O3188" t="str">
        <f>"יח"</f>
        <v>יח</v>
      </c>
      <c r="P3188">
        <v>0.01</v>
      </c>
      <c r="Q3188" t="str">
        <f>"$"</f>
        <v>$</v>
      </c>
      <c r="R3188" t="str">
        <f>"הזמנה"</f>
        <v>הזמנה</v>
      </c>
      <c r="S3188">
        <v>0</v>
      </c>
      <c r="T3188">
        <v>0.02</v>
      </c>
      <c r="U3188">
        <v>0</v>
      </c>
      <c r="V3188">
        <v>0.02</v>
      </c>
      <c r="W3188" t="str">
        <f>"$"</f>
        <v>$</v>
      </c>
      <c r="X3188">
        <v>0</v>
      </c>
      <c r="Y3188">
        <v>0</v>
      </c>
      <c r="Z3188">
        <v>0</v>
      </c>
      <c r="AA3188" t="str">
        <f>"Y"</f>
        <v>Y</v>
      </c>
      <c r="AB3188" t="str">
        <f>"SO20000457"</f>
        <v>SO20000457</v>
      </c>
      <c r="AC3188">
        <v>1</v>
      </c>
      <c r="AD3188" s="1">
        <v>44105</v>
      </c>
      <c r="AE3188" t="str">
        <f>"SH20001611"</f>
        <v>SH20001611</v>
      </c>
      <c r="AF3188" t="str">
        <f>"משלוחים ללקוח"</f>
        <v>משלוחים ללקוח</v>
      </c>
      <c r="AG3188" s="1">
        <v>44164</v>
      </c>
      <c r="AM3188" t="str">
        <f>"10"</f>
        <v>10</v>
      </c>
      <c r="AN3188" t="str">
        <f>"500000"</f>
        <v>500000</v>
      </c>
      <c r="AO3188" t="str">
        <f>"הכנסות  מלקוחות"</f>
        <v>הכנסות  מלקוחות</v>
      </c>
      <c r="AQ3188" t="str">
        <f>"034"</f>
        <v>034</v>
      </c>
      <c r="AR3188">
        <v>0</v>
      </c>
      <c r="AS3188">
        <v>0</v>
      </c>
      <c r="AT3188">
        <v>3.319</v>
      </c>
      <c r="AX3188" t="str">
        <f>"E000322171"</f>
        <v>E000322171</v>
      </c>
      <c r="BD3188" t="str">
        <f>"ערן שלו"</f>
        <v>ערן שלו</v>
      </c>
    </row>
    <row r="3189" spans="1:56" x14ac:dyDescent="0.3">
      <c r="A3189" s="1">
        <v>44164</v>
      </c>
      <c r="B3189" t="str">
        <f>"SI206001321"</f>
        <v>SI206001321</v>
      </c>
      <c r="C3189" t="str">
        <f>"PR20000670"</f>
        <v>PR20000670</v>
      </c>
      <c r="D3189" t="str">
        <f>"PR20000670"</f>
        <v>PR20000670</v>
      </c>
      <c r="E3189" t="str">
        <f>"Y"</f>
        <v>Y</v>
      </c>
      <c r="F3189" t="str">
        <f>"חשבוניות מרכזות"</f>
        <v>חשבוניות מרכזות</v>
      </c>
      <c r="G3189" t="str">
        <f>"700065"</f>
        <v>700065</v>
      </c>
      <c r="H3189" t="str">
        <f>"אלתא מערכות בע""מ"</f>
        <v>אלתא מערכות בע"מ</v>
      </c>
      <c r="I3189" t="str">
        <f>"10"</f>
        <v>10</v>
      </c>
      <c r="J3189" t="str">
        <f>"cust000447"</f>
        <v>cust000447</v>
      </c>
      <c r="K3189" t="str">
        <f>"1035E002-001 אלתא"</f>
        <v>1035E002-001 אלתא</v>
      </c>
      <c r="L3189">
        <v>2</v>
      </c>
      <c r="M3189" t="str">
        <f>"יח"</f>
        <v>יח</v>
      </c>
      <c r="N3189">
        <v>2</v>
      </c>
      <c r="O3189" t="str">
        <f>"יח"</f>
        <v>יח</v>
      </c>
      <c r="P3189">
        <v>529.27</v>
      </c>
      <c r="Q3189" t="str">
        <f>"$"</f>
        <v>$</v>
      </c>
      <c r="R3189" t="str">
        <f>"הזמנה"</f>
        <v>הזמנה</v>
      </c>
      <c r="S3189">
        <v>0</v>
      </c>
      <c r="T3189" s="2">
        <v>1058.54</v>
      </c>
      <c r="U3189">
        <v>0</v>
      </c>
      <c r="V3189" s="2">
        <v>1058.54</v>
      </c>
      <c r="W3189" t="str">
        <f>"$"</f>
        <v>$</v>
      </c>
      <c r="X3189">
        <v>0</v>
      </c>
      <c r="Y3189">
        <v>0</v>
      </c>
      <c r="Z3189">
        <v>0</v>
      </c>
      <c r="AA3189" t="str">
        <f>"Y"</f>
        <v>Y</v>
      </c>
      <c r="AB3189" t="str">
        <f>"SO20000457"</f>
        <v>SO20000457</v>
      </c>
      <c r="AC3189">
        <v>2</v>
      </c>
      <c r="AD3189" s="1">
        <v>44105</v>
      </c>
      <c r="AE3189" t="str">
        <f>"SH20001611"</f>
        <v>SH20001611</v>
      </c>
      <c r="AF3189" t="str">
        <f>"משלוחים ללקוח"</f>
        <v>משלוחים ללקוח</v>
      </c>
      <c r="AG3189" s="1">
        <v>44164</v>
      </c>
      <c r="AM3189" t="str">
        <f>"10"</f>
        <v>10</v>
      </c>
      <c r="AN3189" t="str">
        <f>"500000"</f>
        <v>500000</v>
      </c>
      <c r="AO3189" t="str">
        <f>"הכנסות  מלקוחות"</f>
        <v>הכנסות  מלקוחות</v>
      </c>
      <c r="AQ3189" t="str">
        <f>"034"</f>
        <v>034</v>
      </c>
      <c r="AR3189">
        <v>0</v>
      </c>
      <c r="AS3189">
        <v>0</v>
      </c>
      <c r="AT3189">
        <v>3.319</v>
      </c>
      <c r="AX3189" t="str">
        <f>"E000322171"</f>
        <v>E000322171</v>
      </c>
      <c r="BD3189" t="str">
        <f>"ערן שלו"</f>
        <v>ערן שלו</v>
      </c>
    </row>
    <row r="3190" spans="1:56" x14ac:dyDescent="0.3">
      <c r="A3190" s="1">
        <v>44164</v>
      </c>
      <c r="B3190" t="str">
        <f>"SI206001321"</f>
        <v>SI206001321</v>
      </c>
      <c r="C3190" t="str">
        <f>"PR20000670"</f>
        <v>PR20000670</v>
      </c>
      <c r="D3190" t="str">
        <f>"PR20000670"</f>
        <v>PR20000670</v>
      </c>
      <c r="E3190" t="str">
        <f>"Y"</f>
        <v>Y</v>
      </c>
      <c r="F3190" t="str">
        <f>"חשבוניות מרכזות"</f>
        <v>חשבוניות מרכזות</v>
      </c>
      <c r="G3190" t="str">
        <f>"700065"</f>
        <v>700065</v>
      </c>
      <c r="H3190" t="str">
        <f>"אלתא מערכות בע""מ"</f>
        <v>אלתא מערכות בע"מ</v>
      </c>
      <c r="I3190" t="str">
        <f>"10"</f>
        <v>10</v>
      </c>
      <c r="J3190" t="str">
        <f>"cust000449"</f>
        <v>cust000449</v>
      </c>
      <c r="K3190" t="str">
        <f>"1035E003-001 אלתא"</f>
        <v>1035E003-001 אלתא</v>
      </c>
      <c r="L3190">
        <v>1</v>
      </c>
      <c r="M3190" t="str">
        <f>"יח"</f>
        <v>יח</v>
      </c>
      <c r="N3190">
        <v>1</v>
      </c>
      <c r="O3190" t="str">
        <f>"יח"</f>
        <v>יח</v>
      </c>
      <c r="P3190">
        <v>358.82</v>
      </c>
      <c r="Q3190" t="str">
        <f>"$"</f>
        <v>$</v>
      </c>
      <c r="R3190" t="str">
        <f>"הזמנה"</f>
        <v>הזמנה</v>
      </c>
      <c r="S3190">
        <v>0</v>
      </c>
      <c r="T3190">
        <v>358.82</v>
      </c>
      <c r="U3190">
        <v>0</v>
      </c>
      <c r="V3190">
        <v>358.82</v>
      </c>
      <c r="W3190" t="str">
        <f>"$"</f>
        <v>$</v>
      </c>
      <c r="X3190">
        <v>0</v>
      </c>
      <c r="Y3190">
        <v>0</v>
      </c>
      <c r="Z3190">
        <v>0</v>
      </c>
      <c r="AA3190" t="str">
        <f>"Y"</f>
        <v>Y</v>
      </c>
      <c r="AB3190" t="str">
        <f>"SO20000457"</f>
        <v>SO20000457</v>
      </c>
      <c r="AC3190">
        <v>3</v>
      </c>
      <c r="AD3190" s="1">
        <v>44105</v>
      </c>
      <c r="AE3190" t="str">
        <f>"SH20001611"</f>
        <v>SH20001611</v>
      </c>
      <c r="AF3190" t="str">
        <f>"משלוחים ללקוח"</f>
        <v>משלוחים ללקוח</v>
      </c>
      <c r="AG3190" s="1">
        <v>44164</v>
      </c>
      <c r="AM3190" t="str">
        <f>"10"</f>
        <v>10</v>
      </c>
      <c r="AN3190" t="str">
        <f>"500000"</f>
        <v>500000</v>
      </c>
      <c r="AO3190" t="str">
        <f>"הכנסות  מלקוחות"</f>
        <v>הכנסות  מלקוחות</v>
      </c>
      <c r="AQ3190" t="str">
        <f>"034"</f>
        <v>034</v>
      </c>
      <c r="AR3190">
        <v>0</v>
      </c>
      <c r="AS3190">
        <v>0</v>
      </c>
      <c r="AT3190">
        <v>3.319</v>
      </c>
      <c r="AX3190" t="str">
        <f>"E000322171"</f>
        <v>E000322171</v>
      </c>
      <c r="BD3190" t="str">
        <f>"ערן שלו"</f>
        <v>ערן שלו</v>
      </c>
    </row>
    <row r="3191" spans="1:56" x14ac:dyDescent="0.3">
      <c r="A3191" s="1">
        <v>44164</v>
      </c>
      <c r="B3191" t="str">
        <f>"SI206001321"</f>
        <v>SI206001321</v>
      </c>
      <c r="C3191" t="str">
        <f>"PR20000670"</f>
        <v>PR20000670</v>
      </c>
      <c r="D3191" t="str">
        <f>"PR20000670"</f>
        <v>PR20000670</v>
      </c>
      <c r="E3191" t="str">
        <f>"Y"</f>
        <v>Y</v>
      </c>
      <c r="F3191" t="str">
        <f>"חשבוניות מרכזות"</f>
        <v>חשבוניות מרכזות</v>
      </c>
      <c r="G3191" t="str">
        <f>"700065"</f>
        <v>700065</v>
      </c>
      <c r="H3191" t="str">
        <f>"אלתא מערכות בע""מ"</f>
        <v>אלתא מערכות בע"מ</v>
      </c>
      <c r="I3191" t="str">
        <f>"10"</f>
        <v>10</v>
      </c>
      <c r="J3191" t="str">
        <f>"cust000446"</f>
        <v>cust000446</v>
      </c>
      <c r="K3191" t="str">
        <f>"1035E004-001 אלתא"</f>
        <v>1035E004-001 אלתא</v>
      </c>
      <c r="L3191">
        <v>2</v>
      </c>
      <c r="M3191" t="str">
        <f>"יח"</f>
        <v>יח</v>
      </c>
      <c r="N3191">
        <v>2</v>
      </c>
      <c r="O3191" t="str">
        <f>"יח"</f>
        <v>יח</v>
      </c>
      <c r="P3191">
        <v>529.27</v>
      </c>
      <c r="Q3191" t="str">
        <f>"$"</f>
        <v>$</v>
      </c>
      <c r="R3191" t="str">
        <f>"הזמנה"</f>
        <v>הזמנה</v>
      </c>
      <c r="S3191">
        <v>0</v>
      </c>
      <c r="T3191" s="2">
        <v>1058.54</v>
      </c>
      <c r="U3191">
        <v>0</v>
      </c>
      <c r="V3191" s="2">
        <v>1058.54</v>
      </c>
      <c r="W3191" t="str">
        <f>"$"</f>
        <v>$</v>
      </c>
      <c r="X3191">
        <v>0</v>
      </c>
      <c r="Y3191">
        <v>0</v>
      </c>
      <c r="Z3191">
        <v>0</v>
      </c>
      <c r="AA3191" t="str">
        <f>"Y"</f>
        <v>Y</v>
      </c>
      <c r="AB3191" t="str">
        <f>"SO20000457"</f>
        <v>SO20000457</v>
      </c>
      <c r="AC3191">
        <v>4</v>
      </c>
      <c r="AD3191" s="1">
        <v>44105</v>
      </c>
      <c r="AE3191" t="str">
        <f>"SH20001611"</f>
        <v>SH20001611</v>
      </c>
      <c r="AF3191" t="str">
        <f>"משלוחים ללקוח"</f>
        <v>משלוחים ללקוח</v>
      </c>
      <c r="AG3191" s="1">
        <v>44164</v>
      </c>
      <c r="AM3191" t="str">
        <f>"10"</f>
        <v>10</v>
      </c>
      <c r="AN3191" t="str">
        <f>"500000"</f>
        <v>500000</v>
      </c>
      <c r="AO3191" t="str">
        <f>"הכנסות  מלקוחות"</f>
        <v>הכנסות  מלקוחות</v>
      </c>
      <c r="AQ3191" t="str">
        <f>"034"</f>
        <v>034</v>
      </c>
      <c r="AR3191">
        <v>0</v>
      </c>
      <c r="AS3191">
        <v>0</v>
      </c>
      <c r="AT3191">
        <v>3.319</v>
      </c>
      <c r="AX3191" t="str">
        <f>"E000322171"</f>
        <v>E000322171</v>
      </c>
      <c r="BD3191" t="str">
        <f>"ערן שלו"</f>
        <v>ערן שלו</v>
      </c>
    </row>
    <row r="3192" spans="1:56" x14ac:dyDescent="0.3">
      <c r="A3192" s="1">
        <v>44164</v>
      </c>
      <c r="B3192" t="str">
        <f>"SI206001321"</f>
        <v>SI206001321</v>
      </c>
      <c r="C3192" t="str">
        <f>"PR20000670"</f>
        <v>PR20000670</v>
      </c>
      <c r="D3192" t="str">
        <f>"PR20000670"</f>
        <v>PR20000670</v>
      </c>
      <c r="E3192" t="str">
        <f>"Y"</f>
        <v>Y</v>
      </c>
      <c r="F3192" t="str">
        <f>"חשבוניות מרכזות"</f>
        <v>חשבוניות מרכזות</v>
      </c>
      <c r="G3192" t="str">
        <f>"700065"</f>
        <v>700065</v>
      </c>
      <c r="H3192" t="str">
        <f>"אלתא מערכות בע""מ"</f>
        <v>אלתא מערכות בע"מ</v>
      </c>
      <c r="I3192" t="str">
        <f>"10"</f>
        <v>10</v>
      </c>
      <c r="J3192" t="str">
        <f>"cust000445"</f>
        <v>cust000445</v>
      </c>
      <c r="K3192" t="str">
        <f>"1035E005-001 אלתא"</f>
        <v>1035E005-001 אלתא</v>
      </c>
      <c r="L3192">
        <v>1</v>
      </c>
      <c r="M3192" t="str">
        <f>"יח"</f>
        <v>יח</v>
      </c>
      <c r="N3192">
        <v>1</v>
      </c>
      <c r="O3192" t="str">
        <f>"יח"</f>
        <v>יח</v>
      </c>
      <c r="P3192">
        <v>771.4</v>
      </c>
      <c r="Q3192" t="str">
        <f>"$"</f>
        <v>$</v>
      </c>
      <c r="R3192" t="str">
        <f>"הזמנה"</f>
        <v>הזמנה</v>
      </c>
      <c r="S3192">
        <v>0</v>
      </c>
      <c r="T3192">
        <v>771.4</v>
      </c>
      <c r="U3192">
        <v>0</v>
      </c>
      <c r="V3192">
        <v>771.4</v>
      </c>
      <c r="W3192" t="str">
        <f>"$"</f>
        <v>$</v>
      </c>
      <c r="X3192">
        <v>0</v>
      </c>
      <c r="Y3192">
        <v>0</v>
      </c>
      <c r="Z3192">
        <v>0</v>
      </c>
      <c r="AA3192" t="str">
        <f>"Y"</f>
        <v>Y</v>
      </c>
      <c r="AB3192" t="str">
        <f>"SO20000457"</f>
        <v>SO20000457</v>
      </c>
      <c r="AC3192">
        <v>5</v>
      </c>
      <c r="AD3192" s="1">
        <v>44105</v>
      </c>
      <c r="AE3192" t="str">
        <f>"SH20001611"</f>
        <v>SH20001611</v>
      </c>
      <c r="AF3192" t="str">
        <f>"משלוחים ללקוח"</f>
        <v>משלוחים ללקוח</v>
      </c>
      <c r="AG3192" s="1">
        <v>44164</v>
      </c>
      <c r="AM3192" t="str">
        <f>"10"</f>
        <v>10</v>
      </c>
      <c r="AN3192" t="str">
        <f>"500000"</f>
        <v>500000</v>
      </c>
      <c r="AO3192" t="str">
        <f>"הכנסות  מלקוחות"</f>
        <v>הכנסות  מלקוחות</v>
      </c>
      <c r="AQ3192" t="str">
        <f>"034"</f>
        <v>034</v>
      </c>
      <c r="AR3192">
        <v>0</v>
      </c>
      <c r="AS3192">
        <v>0</v>
      </c>
      <c r="AT3192">
        <v>3.319</v>
      </c>
      <c r="AX3192" t="str">
        <f>"E000322171"</f>
        <v>E000322171</v>
      </c>
      <c r="BD3192" t="str">
        <f>"ערן שלו"</f>
        <v>ערן שלו</v>
      </c>
    </row>
    <row r="3193" spans="1:56" x14ac:dyDescent="0.3">
      <c r="A3193" s="1">
        <v>44164</v>
      </c>
      <c r="B3193" t="str">
        <f>"SI206001321"</f>
        <v>SI206001321</v>
      </c>
      <c r="C3193" t="str">
        <f>"PR20000670"</f>
        <v>PR20000670</v>
      </c>
      <c r="D3193" t="str">
        <f>"PR20000670"</f>
        <v>PR20000670</v>
      </c>
      <c r="E3193" t="str">
        <f>"Y"</f>
        <v>Y</v>
      </c>
      <c r="F3193" t="str">
        <f>"חשבוניות מרכזות"</f>
        <v>חשבוניות מרכזות</v>
      </c>
      <c r="G3193" t="str">
        <f>"700065"</f>
        <v>700065</v>
      </c>
      <c r="H3193" t="str">
        <f>"אלתא מערכות בע""מ"</f>
        <v>אלתא מערכות בע"מ</v>
      </c>
      <c r="I3193" t="str">
        <f>"10"</f>
        <v>10</v>
      </c>
      <c r="J3193" t="str">
        <f>"cust000440"</f>
        <v>cust000440</v>
      </c>
      <c r="K3193" t="str">
        <f>"1035E006-001 אלתא"</f>
        <v>1035E006-001 אלתא</v>
      </c>
      <c r="L3193">
        <v>1</v>
      </c>
      <c r="M3193" t="str">
        <f>"יח"</f>
        <v>יח</v>
      </c>
      <c r="N3193">
        <v>1</v>
      </c>
      <c r="O3193" t="str">
        <f>"יח"</f>
        <v>יח</v>
      </c>
      <c r="P3193">
        <v>0.01</v>
      </c>
      <c r="Q3193" t="str">
        <f>"$"</f>
        <v>$</v>
      </c>
      <c r="R3193" t="str">
        <f>"הזמנה"</f>
        <v>הזמנה</v>
      </c>
      <c r="S3193">
        <v>0</v>
      </c>
      <c r="T3193">
        <v>0.01</v>
      </c>
      <c r="U3193">
        <v>0</v>
      </c>
      <c r="V3193">
        <v>0.01</v>
      </c>
      <c r="W3193" t="str">
        <f>"$"</f>
        <v>$</v>
      </c>
      <c r="X3193">
        <v>0</v>
      </c>
      <c r="Y3193">
        <v>0</v>
      </c>
      <c r="Z3193">
        <v>0</v>
      </c>
      <c r="AA3193" t="str">
        <f>"Y"</f>
        <v>Y</v>
      </c>
      <c r="AB3193" t="str">
        <f>"SO20000457"</f>
        <v>SO20000457</v>
      </c>
      <c r="AC3193">
        <v>6</v>
      </c>
      <c r="AD3193" s="1">
        <v>44105</v>
      </c>
      <c r="AE3193" t="str">
        <f>"SH20001611"</f>
        <v>SH20001611</v>
      </c>
      <c r="AF3193" t="str">
        <f>"משלוחים ללקוח"</f>
        <v>משלוחים ללקוח</v>
      </c>
      <c r="AG3193" s="1">
        <v>44164</v>
      </c>
      <c r="AM3193" t="str">
        <f>"10"</f>
        <v>10</v>
      </c>
      <c r="AN3193" t="str">
        <f>"500000"</f>
        <v>500000</v>
      </c>
      <c r="AO3193" t="str">
        <f>"הכנסות  מלקוחות"</f>
        <v>הכנסות  מלקוחות</v>
      </c>
      <c r="AQ3193" t="str">
        <f>"034"</f>
        <v>034</v>
      </c>
      <c r="AR3193">
        <v>0</v>
      </c>
      <c r="AS3193">
        <v>0</v>
      </c>
      <c r="AT3193">
        <v>3.319</v>
      </c>
      <c r="AX3193" t="str">
        <f>"E000322171"</f>
        <v>E000322171</v>
      </c>
      <c r="BD3193" t="str">
        <f>"ערן שלו"</f>
        <v>ערן שלו</v>
      </c>
    </row>
    <row r="3194" spans="1:56" x14ac:dyDescent="0.3">
      <c r="A3194" s="1">
        <v>44164</v>
      </c>
      <c r="B3194" t="str">
        <f>"SI206001321"</f>
        <v>SI206001321</v>
      </c>
      <c r="C3194" t="str">
        <f>"PR20000670"</f>
        <v>PR20000670</v>
      </c>
      <c r="D3194" t="str">
        <f>"PR20000670"</f>
        <v>PR20000670</v>
      </c>
      <c r="E3194" t="str">
        <f>"Y"</f>
        <v>Y</v>
      </c>
      <c r="F3194" t="str">
        <f>"חשבוניות מרכזות"</f>
        <v>חשבוניות מרכזות</v>
      </c>
      <c r="G3194" t="str">
        <f>"700065"</f>
        <v>700065</v>
      </c>
      <c r="H3194" t="str">
        <f>"אלתא מערכות בע""מ"</f>
        <v>אלתא מערכות בע"מ</v>
      </c>
      <c r="I3194" t="str">
        <f>"10"</f>
        <v>10</v>
      </c>
      <c r="J3194" t="str">
        <f>"cust000444"</f>
        <v>cust000444</v>
      </c>
      <c r="K3194" t="str">
        <f>"1035E007-001 אלתא"</f>
        <v>1035E007-001 אלתא</v>
      </c>
      <c r="L3194">
        <v>1</v>
      </c>
      <c r="M3194" t="str">
        <f>"יח"</f>
        <v>יח</v>
      </c>
      <c r="N3194">
        <v>1</v>
      </c>
      <c r="O3194" t="str">
        <f>"יח"</f>
        <v>יח</v>
      </c>
      <c r="P3194">
        <v>0.01</v>
      </c>
      <c r="Q3194" t="str">
        <f>"$"</f>
        <v>$</v>
      </c>
      <c r="R3194" t="str">
        <f>"הזמנה"</f>
        <v>הזמנה</v>
      </c>
      <c r="S3194">
        <v>0</v>
      </c>
      <c r="T3194">
        <v>0.01</v>
      </c>
      <c r="U3194">
        <v>0</v>
      </c>
      <c r="V3194">
        <v>0.01</v>
      </c>
      <c r="W3194" t="str">
        <f>"$"</f>
        <v>$</v>
      </c>
      <c r="X3194">
        <v>0</v>
      </c>
      <c r="Y3194">
        <v>0</v>
      </c>
      <c r="Z3194">
        <v>0</v>
      </c>
      <c r="AA3194" t="str">
        <f>"Y"</f>
        <v>Y</v>
      </c>
      <c r="AB3194" t="str">
        <f>"SO20000457"</f>
        <v>SO20000457</v>
      </c>
      <c r="AC3194">
        <v>7</v>
      </c>
      <c r="AD3194" s="1">
        <v>44105</v>
      </c>
      <c r="AE3194" t="str">
        <f>"SH20001611"</f>
        <v>SH20001611</v>
      </c>
      <c r="AF3194" t="str">
        <f>"משלוחים ללקוח"</f>
        <v>משלוחים ללקוח</v>
      </c>
      <c r="AG3194" s="1">
        <v>44164</v>
      </c>
      <c r="AM3194" t="str">
        <f>"10"</f>
        <v>10</v>
      </c>
      <c r="AN3194" t="str">
        <f>"500000"</f>
        <v>500000</v>
      </c>
      <c r="AO3194" t="str">
        <f>"הכנסות  מלקוחות"</f>
        <v>הכנסות  מלקוחות</v>
      </c>
      <c r="AQ3194" t="str">
        <f>"034"</f>
        <v>034</v>
      </c>
      <c r="AR3194">
        <v>0</v>
      </c>
      <c r="AS3194">
        <v>0</v>
      </c>
      <c r="AT3194">
        <v>3.319</v>
      </c>
      <c r="AX3194" t="str">
        <f>"E000322171"</f>
        <v>E000322171</v>
      </c>
      <c r="BD3194" t="str">
        <f>"ערן שלו"</f>
        <v>ערן שלו</v>
      </c>
    </row>
    <row r="3195" spans="1:56" x14ac:dyDescent="0.3">
      <c r="A3195" s="1">
        <v>44164</v>
      </c>
      <c r="B3195" t="str">
        <f>"SI206001321"</f>
        <v>SI206001321</v>
      </c>
      <c r="C3195" t="str">
        <f>"PR20000670"</f>
        <v>PR20000670</v>
      </c>
      <c r="D3195" t="str">
        <f>"PR20000670"</f>
        <v>PR20000670</v>
      </c>
      <c r="E3195" t="str">
        <f>"Y"</f>
        <v>Y</v>
      </c>
      <c r="F3195" t="str">
        <f>"חשבוניות מרכזות"</f>
        <v>חשבוניות מרכזות</v>
      </c>
      <c r="G3195" t="str">
        <f>"700065"</f>
        <v>700065</v>
      </c>
      <c r="H3195" t="str">
        <f>"אלתא מערכות בע""מ"</f>
        <v>אלתא מערכות בע"מ</v>
      </c>
      <c r="I3195" t="str">
        <f>"10"</f>
        <v>10</v>
      </c>
      <c r="J3195" t="str">
        <f>"cust000443"</f>
        <v>cust000443</v>
      </c>
      <c r="K3195" t="str">
        <f>"1035E008-001 אלתא"</f>
        <v>1035E008-001 אלתא</v>
      </c>
      <c r="L3195">
        <v>1</v>
      </c>
      <c r="M3195" t="str">
        <f>"יח"</f>
        <v>יח</v>
      </c>
      <c r="N3195">
        <v>1</v>
      </c>
      <c r="O3195" t="str">
        <f>"יח"</f>
        <v>יח</v>
      </c>
      <c r="P3195">
        <v>0.01</v>
      </c>
      <c r="Q3195" t="str">
        <f>"$"</f>
        <v>$</v>
      </c>
      <c r="R3195" t="str">
        <f>"הזמנה"</f>
        <v>הזמנה</v>
      </c>
      <c r="S3195">
        <v>0</v>
      </c>
      <c r="T3195">
        <v>0.01</v>
      </c>
      <c r="U3195">
        <v>0</v>
      </c>
      <c r="V3195">
        <v>0.01</v>
      </c>
      <c r="W3195" t="str">
        <f>"$"</f>
        <v>$</v>
      </c>
      <c r="X3195">
        <v>0</v>
      </c>
      <c r="Y3195">
        <v>0</v>
      </c>
      <c r="Z3195">
        <v>0</v>
      </c>
      <c r="AA3195" t="str">
        <f>"Y"</f>
        <v>Y</v>
      </c>
      <c r="AB3195" t="str">
        <f>"SO20000457"</f>
        <v>SO20000457</v>
      </c>
      <c r="AC3195">
        <v>8</v>
      </c>
      <c r="AD3195" s="1">
        <v>44105</v>
      </c>
      <c r="AE3195" t="str">
        <f>"SH20001611"</f>
        <v>SH20001611</v>
      </c>
      <c r="AF3195" t="str">
        <f>"משלוחים ללקוח"</f>
        <v>משלוחים ללקוח</v>
      </c>
      <c r="AG3195" s="1">
        <v>44164</v>
      </c>
      <c r="AM3195" t="str">
        <f>"10"</f>
        <v>10</v>
      </c>
      <c r="AN3195" t="str">
        <f>"500000"</f>
        <v>500000</v>
      </c>
      <c r="AO3195" t="str">
        <f>"הכנסות  מלקוחות"</f>
        <v>הכנסות  מלקוחות</v>
      </c>
      <c r="AQ3195" t="str">
        <f>"034"</f>
        <v>034</v>
      </c>
      <c r="AR3195">
        <v>0</v>
      </c>
      <c r="AS3195">
        <v>0</v>
      </c>
      <c r="AT3195">
        <v>3.319</v>
      </c>
      <c r="AX3195" t="str">
        <f>"E000322171"</f>
        <v>E000322171</v>
      </c>
      <c r="BD3195" t="str">
        <f>"ערן שלו"</f>
        <v>ערן שלו</v>
      </c>
    </row>
    <row r="3196" spans="1:56" x14ac:dyDescent="0.3">
      <c r="A3196" s="1">
        <v>44164</v>
      </c>
      <c r="B3196" t="str">
        <f>"SI206001321"</f>
        <v>SI206001321</v>
      </c>
      <c r="C3196" t="str">
        <f>"PR20000670"</f>
        <v>PR20000670</v>
      </c>
      <c r="D3196" t="str">
        <f>"PR20000670"</f>
        <v>PR20000670</v>
      </c>
      <c r="E3196" t="str">
        <f>"Y"</f>
        <v>Y</v>
      </c>
      <c r="F3196" t="str">
        <f>"חשבוניות מרכזות"</f>
        <v>חשבוניות מרכזות</v>
      </c>
      <c r="G3196" t="str">
        <f>"700065"</f>
        <v>700065</v>
      </c>
      <c r="H3196" t="str">
        <f>"אלתא מערכות בע""מ"</f>
        <v>אלתא מערכות בע"מ</v>
      </c>
      <c r="I3196" t="str">
        <f>"10"</f>
        <v>10</v>
      </c>
      <c r="J3196" t="str">
        <f>"cust000442"</f>
        <v>cust000442</v>
      </c>
      <c r="K3196" t="str">
        <f>"1035E009-001 אלתא"</f>
        <v>1035E009-001 אלתא</v>
      </c>
      <c r="L3196">
        <v>1</v>
      </c>
      <c r="M3196" t="str">
        <f>"יח"</f>
        <v>יח</v>
      </c>
      <c r="N3196">
        <v>1</v>
      </c>
      <c r="O3196" t="str">
        <f>"יח"</f>
        <v>יח</v>
      </c>
      <c r="P3196">
        <v>492.99</v>
      </c>
      <c r="Q3196" t="str">
        <f>"$"</f>
        <v>$</v>
      </c>
      <c r="R3196" t="str">
        <f>"הזמנה"</f>
        <v>הזמנה</v>
      </c>
      <c r="S3196">
        <v>0</v>
      </c>
      <c r="T3196">
        <v>492.99</v>
      </c>
      <c r="U3196">
        <v>0</v>
      </c>
      <c r="V3196">
        <v>492.99</v>
      </c>
      <c r="W3196" t="str">
        <f>"$"</f>
        <v>$</v>
      </c>
      <c r="X3196">
        <v>0</v>
      </c>
      <c r="Y3196">
        <v>0</v>
      </c>
      <c r="Z3196">
        <v>0</v>
      </c>
      <c r="AA3196" t="str">
        <f>"Y"</f>
        <v>Y</v>
      </c>
      <c r="AB3196" t="str">
        <f>"SO20000457"</f>
        <v>SO20000457</v>
      </c>
      <c r="AC3196">
        <v>9</v>
      </c>
      <c r="AD3196" s="1">
        <v>44105</v>
      </c>
      <c r="AE3196" t="str">
        <f>"SH20001611"</f>
        <v>SH20001611</v>
      </c>
      <c r="AF3196" t="str">
        <f>"משלוחים ללקוח"</f>
        <v>משלוחים ללקוח</v>
      </c>
      <c r="AG3196" s="1">
        <v>44164</v>
      </c>
      <c r="AM3196" t="str">
        <f>"10"</f>
        <v>10</v>
      </c>
      <c r="AN3196" t="str">
        <f>"500000"</f>
        <v>500000</v>
      </c>
      <c r="AO3196" t="str">
        <f>"הכנסות  מלקוחות"</f>
        <v>הכנסות  מלקוחות</v>
      </c>
      <c r="AQ3196" t="str">
        <f>"034"</f>
        <v>034</v>
      </c>
      <c r="AR3196">
        <v>0</v>
      </c>
      <c r="AS3196">
        <v>0</v>
      </c>
      <c r="AT3196">
        <v>3.319</v>
      </c>
      <c r="AX3196" t="str">
        <f>"E000322171"</f>
        <v>E000322171</v>
      </c>
      <c r="BD3196" t="str">
        <f>"ערן שלו"</f>
        <v>ערן שלו</v>
      </c>
    </row>
    <row r="3197" spans="1:56" x14ac:dyDescent="0.3">
      <c r="A3197" s="1">
        <v>44164</v>
      </c>
      <c r="B3197" t="str">
        <f>"SI206001321"</f>
        <v>SI206001321</v>
      </c>
      <c r="C3197" t="str">
        <f>"PR20000670"</f>
        <v>PR20000670</v>
      </c>
      <c r="D3197" t="str">
        <f>"PR20000670"</f>
        <v>PR20000670</v>
      </c>
      <c r="E3197" t="str">
        <f>"Y"</f>
        <v>Y</v>
      </c>
      <c r="F3197" t="str">
        <f>"חשבוניות מרכזות"</f>
        <v>חשבוניות מרכזות</v>
      </c>
      <c r="G3197" t="str">
        <f>"700065"</f>
        <v>700065</v>
      </c>
      <c r="H3197" t="str">
        <f>"אלתא מערכות בע""מ"</f>
        <v>אלתא מערכות בע"מ</v>
      </c>
      <c r="I3197" t="str">
        <f>"10"</f>
        <v>10</v>
      </c>
      <c r="J3197" t="str">
        <f>"cust000441"</f>
        <v>cust000441</v>
      </c>
      <c r="K3197" t="str">
        <f>"1035E010-001 אלתא"</f>
        <v>1035E010-001 אלתא</v>
      </c>
      <c r="L3197">
        <v>1</v>
      </c>
      <c r="M3197" t="str">
        <f>"יח"</f>
        <v>יח</v>
      </c>
      <c r="N3197">
        <v>1</v>
      </c>
      <c r="O3197" t="str">
        <f>"יח"</f>
        <v>יח</v>
      </c>
      <c r="P3197">
        <v>946.47</v>
      </c>
      <c r="Q3197" t="str">
        <f>"$"</f>
        <v>$</v>
      </c>
      <c r="R3197" t="str">
        <f>"הזמנה"</f>
        <v>הזמנה</v>
      </c>
      <c r="S3197">
        <v>0</v>
      </c>
      <c r="T3197">
        <v>946.47</v>
      </c>
      <c r="U3197">
        <v>0</v>
      </c>
      <c r="V3197">
        <v>946.47</v>
      </c>
      <c r="W3197" t="str">
        <f>"$"</f>
        <v>$</v>
      </c>
      <c r="X3197">
        <v>0</v>
      </c>
      <c r="Y3197">
        <v>0</v>
      </c>
      <c r="Z3197">
        <v>0</v>
      </c>
      <c r="AA3197" t="str">
        <f>"Y"</f>
        <v>Y</v>
      </c>
      <c r="AB3197" t="str">
        <f>"SO20000457"</f>
        <v>SO20000457</v>
      </c>
      <c r="AC3197">
        <v>10</v>
      </c>
      <c r="AD3197" s="1">
        <v>44105</v>
      </c>
      <c r="AE3197" t="str">
        <f>"SH20001611"</f>
        <v>SH20001611</v>
      </c>
      <c r="AF3197" t="str">
        <f>"משלוחים ללקוח"</f>
        <v>משלוחים ללקוח</v>
      </c>
      <c r="AG3197" s="1">
        <v>44164</v>
      </c>
      <c r="AM3197" t="str">
        <f>"10"</f>
        <v>10</v>
      </c>
      <c r="AN3197" t="str">
        <f>"500000"</f>
        <v>500000</v>
      </c>
      <c r="AO3197" t="str">
        <f>"הכנסות  מלקוחות"</f>
        <v>הכנסות  מלקוחות</v>
      </c>
      <c r="AQ3197" t="str">
        <f>"034"</f>
        <v>034</v>
      </c>
      <c r="AR3197">
        <v>0</v>
      </c>
      <c r="AS3197">
        <v>0</v>
      </c>
      <c r="AT3197">
        <v>3.319</v>
      </c>
      <c r="AX3197" t="str">
        <f>"E000322171"</f>
        <v>E000322171</v>
      </c>
      <c r="BD3197" t="str">
        <f>"ערן שלו"</f>
        <v>ערן שלו</v>
      </c>
    </row>
    <row r="3198" spans="1:56" x14ac:dyDescent="0.3">
      <c r="A3198" s="1">
        <v>44164</v>
      </c>
      <c r="B3198" t="str">
        <f>"SI206001320"</f>
        <v>SI206001320</v>
      </c>
      <c r="C3198" t="str">
        <f>"PR18000822"</f>
        <v>PR18000822</v>
      </c>
      <c r="E3198" t="str">
        <f>"Y"</f>
        <v>Y</v>
      </c>
      <c r="F3198" t="str">
        <f>"חשבוניות מרכזות"</f>
        <v>חשבוניות מרכזות</v>
      </c>
      <c r="G3198" t="str">
        <f>"700065"</f>
        <v>700065</v>
      </c>
      <c r="H3198" t="str">
        <f>"אלתא מערכות בע""מ"</f>
        <v>אלתא מערכות בע"מ</v>
      </c>
      <c r="I3198" t="str">
        <f>"10"</f>
        <v>10</v>
      </c>
      <c r="J3198" t="str">
        <f>"OP-AR12324"</f>
        <v>OP-AR12324</v>
      </c>
      <c r="K3198" t="str">
        <f>"לוח חלוקה DC PDB מק""ט לקוח 1025A690-001"</f>
        <v>לוח חלוקה DC PDB מק"ט לקוח 1025A690-001</v>
      </c>
      <c r="L3198">
        <v>2</v>
      </c>
      <c r="M3198" t="str">
        <f>"יח"</f>
        <v>יח</v>
      </c>
      <c r="N3198">
        <v>2</v>
      </c>
      <c r="O3198" t="str">
        <f>"יח"</f>
        <v>יח</v>
      </c>
      <c r="P3198" s="2">
        <v>101947</v>
      </c>
      <c r="Q3198" t="str">
        <f>"$"</f>
        <v>$</v>
      </c>
      <c r="R3198" t="str">
        <f>"הזמנה"</f>
        <v>הזמנה</v>
      </c>
      <c r="S3198">
        <v>0</v>
      </c>
      <c r="T3198" s="2">
        <v>203894</v>
      </c>
      <c r="U3198">
        <v>0</v>
      </c>
      <c r="V3198" s="2">
        <v>203894</v>
      </c>
      <c r="W3198" t="str">
        <f>"$"</f>
        <v>$</v>
      </c>
      <c r="X3198">
        <v>0</v>
      </c>
      <c r="Y3198">
        <v>0</v>
      </c>
      <c r="Z3198">
        <v>0</v>
      </c>
      <c r="AA3198" t="str">
        <f>"Y"</f>
        <v>Y</v>
      </c>
      <c r="AB3198" t="str">
        <f>"SO18000636"</f>
        <v>SO18000636</v>
      </c>
      <c r="AC3198">
        <v>2</v>
      </c>
      <c r="AD3198" s="1">
        <v>43418</v>
      </c>
      <c r="AE3198" t="str">
        <f>"SH20001511"</f>
        <v>SH20001511</v>
      </c>
      <c r="AF3198" t="str">
        <f>"משלוחים ללקוח"</f>
        <v>משלוחים ללקוח</v>
      </c>
      <c r="AG3198" s="1">
        <v>44150</v>
      </c>
      <c r="AM3198" t="str">
        <f>"10"</f>
        <v>10</v>
      </c>
      <c r="AN3198" t="str">
        <f>"500000"</f>
        <v>500000</v>
      </c>
      <c r="AO3198" t="str">
        <f>"הכנסות  מלקוחות"</f>
        <v>הכנסות  מלקוחות</v>
      </c>
      <c r="AQ3198" t="str">
        <f>"007"</f>
        <v>007</v>
      </c>
      <c r="AR3198">
        <v>0</v>
      </c>
      <c r="AS3198">
        <v>0</v>
      </c>
      <c r="AT3198">
        <v>3.319</v>
      </c>
      <c r="AX3198" t="str">
        <f>"E000272374"</f>
        <v>E000272374</v>
      </c>
      <c r="BD3198" t="str">
        <f>"רוני דידי"</f>
        <v>רוני דידי</v>
      </c>
    </row>
    <row r="3199" spans="1:56" x14ac:dyDescent="0.3">
      <c r="A3199" s="1">
        <v>44161</v>
      </c>
      <c r="B3199" t="str">
        <f>"SI206001315"</f>
        <v>SI206001315</v>
      </c>
      <c r="C3199" t="str">
        <f>"PR20000067"</f>
        <v>PR20000067</v>
      </c>
      <c r="D3199" t="str">
        <f>"PR20000067"</f>
        <v>PR20000067</v>
      </c>
      <c r="E3199" t="str">
        <f>"Y"</f>
        <v>Y</v>
      </c>
      <c r="F3199" t="str">
        <f>"חשבוניות מרכזות"</f>
        <v>חשבוניות מרכזות</v>
      </c>
      <c r="G3199" t="str">
        <f>"700065"</f>
        <v>700065</v>
      </c>
      <c r="H3199" t="str">
        <f>"אלתא מערכות בע""מ"</f>
        <v>אלתא מערכות בע"מ</v>
      </c>
      <c r="I3199" t="str">
        <f>"10"</f>
        <v>10</v>
      </c>
      <c r="J3199" t="str">
        <f>"cust00895"</f>
        <v>cust00895</v>
      </c>
      <c r="K3199" t="str">
        <f>"DPR6000B-48"</f>
        <v>DPR6000B-48</v>
      </c>
      <c r="L3199">
        <v>1</v>
      </c>
      <c r="M3199" t="str">
        <f>"יח"</f>
        <v>יח</v>
      </c>
      <c r="N3199">
        <v>1</v>
      </c>
      <c r="O3199" t="str">
        <f>"יח"</f>
        <v>יח</v>
      </c>
      <c r="P3199">
        <v>500</v>
      </c>
      <c r="Q3199" t="str">
        <f>"$"</f>
        <v>$</v>
      </c>
      <c r="R3199" t="str">
        <f>"הזמנה"</f>
        <v>הזמנה</v>
      </c>
      <c r="S3199">
        <v>0</v>
      </c>
      <c r="T3199">
        <v>500</v>
      </c>
      <c r="U3199">
        <v>0</v>
      </c>
      <c r="V3199">
        <v>500</v>
      </c>
      <c r="W3199" t="str">
        <f>"$"</f>
        <v>$</v>
      </c>
      <c r="X3199">
        <v>0</v>
      </c>
      <c r="Y3199">
        <v>0</v>
      </c>
      <c r="Z3199">
        <v>0</v>
      </c>
      <c r="AA3199" t="str">
        <f>"Y"</f>
        <v>Y</v>
      </c>
      <c r="AB3199" t="str">
        <f>"SO20000064"</f>
        <v>SO20000064</v>
      </c>
      <c r="AC3199">
        <v>1</v>
      </c>
      <c r="AD3199" s="1">
        <v>43871</v>
      </c>
      <c r="AE3199" t="str">
        <f>"SH20001555"</f>
        <v>SH20001555</v>
      </c>
      <c r="AF3199" t="str">
        <f>"משלוחים ללקוח"</f>
        <v>משלוחים ללקוח</v>
      </c>
      <c r="AG3199" s="1">
        <v>44157</v>
      </c>
      <c r="AM3199" t="str">
        <f>"10"</f>
        <v>10</v>
      </c>
      <c r="AN3199" t="str">
        <f>"500000"</f>
        <v>500000</v>
      </c>
      <c r="AO3199" t="str">
        <f>"הכנסות  מלקוחות"</f>
        <v>הכנסות  מלקוחות</v>
      </c>
      <c r="AQ3199" t="str">
        <f>"034"</f>
        <v>034</v>
      </c>
      <c r="AR3199">
        <v>0</v>
      </c>
      <c r="AS3199">
        <v>0</v>
      </c>
      <c r="AT3199">
        <v>3.3250000000000002</v>
      </c>
      <c r="AX3199" t="str">
        <f>"E000304846"</f>
        <v>E000304846</v>
      </c>
      <c r="BD3199" t="str">
        <f>"ערן שלו"</f>
        <v>ערן שלו</v>
      </c>
    </row>
    <row r="3200" spans="1:56" x14ac:dyDescent="0.3">
      <c r="A3200" s="1">
        <v>44161</v>
      </c>
      <c r="B3200" t="str">
        <f>"SI206001315"</f>
        <v>SI206001315</v>
      </c>
      <c r="C3200" t="str">
        <f>"PR20000067"</f>
        <v>PR20000067</v>
      </c>
      <c r="D3200" t="str">
        <f>"PR20000067"</f>
        <v>PR20000067</v>
      </c>
      <c r="E3200" t="str">
        <f>"Y"</f>
        <v>Y</v>
      </c>
      <c r="F3200" t="str">
        <f>"חשבוניות מרכזות"</f>
        <v>חשבוניות מרכזות</v>
      </c>
      <c r="G3200" t="str">
        <f>"700065"</f>
        <v>700065</v>
      </c>
      <c r="H3200" t="str">
        <f>"אלתא מערכות בע""מ"</f>
        <v>אלתא מערכות בע"מ</v>
      </c>
      <c r="I3200" t="str">
        <f>"10"</f>
        <v>10</v>
      </c>
      <c r="J3200" t="str">
        <f>"cust00895"</f>
        <v>cust00895</v>
      </c>
      <c r="K3200" t="str">
        <f>"DPR6000B-48"</f>
        <v>DPR6000B-48</v>
      </c>
      <c r="L3200">
        <v>1</v>
      </c>
      <c r="M3200" t="str">
        <f>"יח"</f>
        <v>יח</v>
      </c>
      <c r="N3200">
        <v>1</v>
      </c>
      <c r="O3200" t="str">
        <f>"יח"</f>
        <v>יח</v>
      </c>
      <c r="P3200">
        <v>500</v>
      </c>
      <c r="Q3200" t="str">
        <f>"$"</f>
        <v>$</v>
      </c>
      <c r="R3200" t="str">
        <f>"הזמנה"</f>
        <v>הזמנה</v>
      </c>
      <c r="S3200">
        <v>0</v>
      </c>
      <c r="T3200">
        <v>500</v>
      </c>
      <c r="U3200">
        <v>0</v>
      </c>
      <c r="V3200">
        <v>500</v>
      </c>
      <c r="W3200" t="str">
        <f>"$"</f>
        <v>$</v>
      </c>
      <c r="X3200">
        <v>0</v>
      </c>
      <c r="Y3200">
        <v>0</v>
      </c>
      <c r="Z3200">
        <v>0</v>
      </c>
      <c r="AA3200" t="str">
        <f>"Y"</f>
        <v>Y</v>
      </c>
      <c r="AB3200" t="str">
        <f>"SO20000064"</f>
        <v>SO20000064</v>
      </c>
      <c r="AC3200">
        <v>2</v>
      </c>
      <c r="AD3200" s="1">
        <v>43871</v>
      </c>
      <c r="AE3200" t="str">
        <f>"SH20001555"</f>
        <v>SH20001555</v>
      </c>
      <c r="AF3200" t="str">
        <f>"משלוחים ללקוח"</f>
        <v>משלוחים ללקוח</v>
      </c>
      <c r="AG3200" s="1">
        <v>44157</v>
      </c>
      <c r="AM3200" t="str">
        <f>"10"</f>
        <v>10</v>
      </c>
      <c r="AN3200" t="str">
        <f>"500000"</f>
        <v>500000</v>
      </c>
      <c r="AO3200" t="str">
        <f>"הכנסות  מלקוחות"</f>
        <v>הכנסות  מלקוחות</v>
      </c>
      <c r="AQ3200" t="str">
        <f>"034"</f>
        <v>034</v>
      </c>
      <c r="AR3200">
        <v>0</v>
      </c>
      <c r="AS3200">
        <v>0</v>
      </c>
      <c r="AT3200">
        <v>3.3250000000000002</v>
      </c>
      <c r="AX3200" t="str">
        <f>"E000304846"</f>
        <v>E000304846</v>
      </c>
      <c r="BD3200" t="str">
        <f>"ערן שלו"</f>
        <v>ערן שלו</v>
      </c>
    </row>
    <row r="3201" spans="1:56" x14ac:dyDescent="0.3">
      <c r="A3201" s="1">
        <v>44161</v>
      </c>
      <c r="B3201" t="str">
        <f>"SI206001315"</f>
        <v>SI206001315</v>
      </c>
      <c r="C3201" t="str">
        <f>"PR20000067"</f>
        <v>PR20000067</v>
      </c>
      <c r="D3201" t="str">
        <f>"PR20000067"</f>
        <v>PR20000067</v>
      </c>
      <c r="E3201" t="str">
        <f>"Y"</f>
        <v>Y</v>
      </c>
      <c r="F3201" t="str">
        <f>"חשבוניות מרכזות"</f>
        <v>חשבוניות מרכזות</v>
      </c>
      <c r="G3201" t="str">
        <f>"700065"</f>
        <v>700065</v>
      </c>
      <c r="H3201" t="str">
        <f>"אלתא מערכות בע""מ"</f>
        <v>אלתא מערכות בע"מ</v>
      </c>
      <c r="I3201" t="str">
        <f>"10"</f>
        <v>10</v>
      </c>
      <c r="J3201" t="str">
        <f>"cust00895"</f>
        <v>cust00895</v>
      </c>
      <c r="K3201" t="str">
        <f>"DPR6000B-48"</f>
        <v>DPR6000B-48</v>
      </c>
      <c r="L3201">
        <v>1</v>
      </c>
      <c r="M3201" t="str">
        <f>"יח"</f>
        <v>יח</v>
      </c>
      <c r="N3201">
        <v>1</v>
      </c>
      <c r="O3201" t="str">
        <f>"יח"</f>
        <v>יח</v>
      </c>
      <c r="P3201">
        <v>500</v>
      </c>
      <c r="Q3201" t="str">
        <f>"$"</f>
        <v>$</v>
      </c>
      <c r="R3201" t="str">
        <f>"הזמנה"</f>
        <v>הזמנה</v>
      </c>
      <c r="S3201">
        <v>0</v>
      </c>
      <c r="T3201">
        <v>500</v>
      </c>
      <c r="U3201">
        <v>0</v>
      </c>
      <c r="V3201">
        <v>500</v>
      </c>
      <c r="W3201" t="str">
        <f>"$"</f>
        <v>$</v>
      </c>
      <c r="X3201">
        <v>0</v>
      </c>
      <c r="Y3201">
        <v>0</v>
      </c>
      <c r="Z3201">
        <v>0</v>
      </c>
      <c r="AA3201" t="str">
        <f>"Y"</f>
        <v>Y</v>
      </c>
      <c r="AB3201" t="str">
        <f>"SO20000064"</f>
        <v>SO20000064</v>
      </c>
      <c r="AC3201">
        <v>3</v>
      </c>
      <c r="AD3201" s="1">
        <v>43871</v>
      </c>
      <c r="AE3201" t="str">
        <f>"SH20001555"</f>
        <v>SH20001555</v>
      </c>
      <c r="AF3201" t="str">
        <f>"משלוחים ללקוח"</f>
        <v>משלוחים ללקוח</v>
      </c>
      <c r="AG3201" s="1">
        <v>44157</v>
      </c>
      <c r="AM3201" t="str">
        <f>"10"</f>
        <v>10</v>
      </c>
      <c r="AN3201" t="str">
        <f>"500000"</f>
        <v>500000</v>
      </c>
      <c r="AO3201" t="str">
        <f>"הכנסות  מלקוחות"</f>
        <v>הכנסות  מלקוחות</v>
      </c>
      <c r="AQ3201" t="str">
        <f>"034"</f>
        <v>034</v>
      </c>
      <c r="AR3201">
        <v>0</v>
      </c>
      <c r="AS3201">
        <v>0</v>
      </c>
      <c r="AT3201">
        <v>3.3250000000000002</v>
      </c>
      <c r="AX3201" t="str">
        <f>"E000304846"</f>
        <v>E000304846</v>
      </c>
      <c r="BD3201" t="str">
        <f>"ערן שלו"</f>
        <v>ערן שלו</v>
      </c>
    </row>
    <row r="3202" spans="1:56" x14ac:dyDescent="0.3">
      <c r="A3202" s="1">
        <v>44161</v>
      </c>
      <c r="B3202" t="str">
        <f>"SI206001315"</f>
        <v>SI206001315</v>
      </c>
      <c r="C3202" t="str">
        <f>"PR20000067"</f>
        <v>PR20000067</v>
      </c>
      <c r="D3202" t="str">
        <f>"PR20000067"</f>
        <v>PR20000067</v>
      </c>
      <c r="E3202" t="str">
        <f>"Y"</f>
        <v>Y</v>
      </c>
      <c r="F3202" t="str">
        <f>"חשבוניות מרכזות"</f>
        <v>חשבוניות מרכזות</v>
      </c>
      <c r="G3202" t="str">
        <f>"700065"</f>
        <v>700065</v>
      </c>
      <c r="H3202" t="str">
        <f>"אלתא מערכות בע""מ"</f>
        <v>אלתא מערכות בע"מ</v>
      </c>
      <c r="I3202" t="str">
        <f>"10"</f>
        <v>10</v>
      </c>
      <c r="J3202" t="str">
        <f>"cust00896"</f>
        <v>cust00896</v>
      </c>
      <c r="K3202" t="str">
        <f>"MEDIA EPC 230V  P33173000 אלתא"</f>
        <v>MEDIA EPC 230V  P33173000 אלתא</v>
      </c>
      <c r="L3202">
        <v>1</v>
      </c>
      <c r="M3202" t="str">
        <f>"יח"</f>
        <v>יח</v>
      </c>
      <c r="N3202">
        <v>1</v>
      </c>
      <c r="O3202" t="str">
        <f>"יח"</f>
        <v>יח</v>
      </c>
      <c r="P3202">
        <v>150</v>
      </c>
      <c r="Q3202" t="str">
        <f>"$"</f>
        <v>$</v>
      </c>
      <c r="R3202" t="str">
        <f>"הזמנה"</f>
        <v>הזמנה</v>
      </c>
      <c r="S3202">
        <v>0</v>
      </c>
      <c r="T3202">
        <v>150</v>
      </c>
      <c r="U3202">
        <v>0</v>
      </c>
      <c r="V3202">
        <v>150</v>
      </c>
      <c r="W3202" t="str">
        <f>"$"</f>
        <v>$</v>
      </c>
      <c r="X3202">
        <v>0</v>
      </c>
      <c r="Y3202">
        <v>0</v>
      </c>
      <c r="Z3202">
        <v>0</v>
      </c>
      <c r="AA3202" t="str">
        <f>"Y"</f>
        <v>Y</v>
      </c>
      <c r="AB3202" t="str">
        <f>"SO20000064"</f>
        <v>SO20000064</v>
      </c>
      <c r="AC3202">
        <v>6</v>
      </c>
      <c r="AD3202" s="1">
        <v>43871</v>
      </c>
      <c r="AE3202" t="str">
        <f>"SH20001555"</f>
        <v>SH20001555</v>
      </c>
      <c r="AF3202" t="str">
        <f>"משלוחים ללקוח"</f>
        <v>משלוחים ללקוח</v>
      </c>
      <c r="AG3202" s="1">
        <v>44157</v>
      </c>
      <c r="AM3202" t="str">
        <f>"10"</f>
        <v>10</v>
      </c>
      <c r="AN3202" t="str">
        <f>"500000"</f>
        <v>500000</v>
      </c>
      <c r="AO3202" t="str">
        <f>"הכנסות  מלקוחות"</f>
        <v>הכנסות  מלקוחות</v>
      </c>
      <c r="AQ3202" t="str">
        <f>"034"</f>
        <v>034</v>
      </c>
      <c r="AR3202">
        <v>0</v>
      </c>
      <c r="AS3202">
        <v>0</v>
      </c>
      <c r="AT3202">
        <v>3.3250000000000002</v>
      </c>
      <c r="AX3202" t="str">
        <f>"E000304846"</f>
        <v>E000304846</v>
      </c>
      <c r="BD3202" t="str">
        <f>"ערן שלו"</f>
        <v>ערן שלו</v>
      </c>
    </row>
    <row r="3203" spans="1:56" x14ac:dyDescent="0.3">
      <c r="A3203" s="1">
        <v>44157</v>
      </c>
      <c r="B3203" t="str">
        <f>"SI206001309"</f>
        <v>SI206001309</v>
      </c>
      <c r="C3203" t="str">
        <f>"PR20000696"</f>
        <v>PR20000696</v>
      </c>
      <c r="D3203" t="str">
        <f>"PR20000696"</f>
        <v>PR20000696</v>
      </c>
      <c r="E3203" t="str">
        <f>"Y"</f>
        <v>Y</v>
      </c>
      <c r="F3203" t="str">
        <f>"חשבוניות מרכזות"</f>
        <v>חשבוניות מרכזות</v>
      </c>
      <c r="G3203" t="str">
        <f>"700065"</f>
        <v>700065</v>
      </c>
      <c r="H3203" t="str">
        <f>"אלתא מערכות בע""מ"</f>
        <v>אלתא מערכות בע"מ</v>
      </c>
      <c r="I3203" t="str">
        <f>"10"</f>
        <v>10</v>
      </c>
      <c r="J3203" t="str">
        <f>"000"</f>
        <v>000</v>
      </c>
      <c r="K3203" t="str">
        <f>"-מכאניקה עבור קוטמי מתח בPDB"</f>
        <v>-מכאניקה עבור קוטמי מתח בPDB</v>
      </c>
      <c r="L3203">
        <v>1</v>
      </c>
      <c r="M3203" t="str">
        <f>"יח"</f>
        <v>יח</v>
      </c>
      <c r="N3203">
        <v>1</v>
      </c>
      <c r="O3203" t="str">
        <f>"יח"</f>
        <v>יח</v>
      </c>
      <c r="P3203" s="2">
        <v>3555</v>
      </c>
      <c r="Q3203" t="str">
        <f>"$"</f>
        <v>$</v>
      </c>
      <c r="R3203" t="str">
        <f>"הזמנה"</f>
        <v>הזמנה</v>
      </c>
      <c r="S3203">
        <v>0</v>
      </c>
      <c r="T3203" s="2">
        <v>3555</v>
      </c>
      <c r="U3203">
        <v>0</v>
      </c>
      <c r="V3203" s="2">
        <v>3555</v>
      </c>
      <c r="W3203" t="str">
        <f>"$"</f>
        <v>$</v>
      </c>
      <c r="X3203">
        <v>0</v>
      </c>
      <c r="Y3203">
        <v>0</v>
      </c>
      <c r="Z3203">
        <v>0</v>
      </c>
      <c r="AA3203" t="str">
        <f>"Y"</f>
        <v>Y</v>
      </c>
      <c r="AB3203" t="str">
        <f>"SO20000526"</f>
        <v>SO20000526</v>
      </c>
      <c r="AC3203">
        <v>1</v>
      </c>
      <c r="AD3203" s="1">
        <v>44151</v>
      </c>
      <c r="AM3203" t="str">
        <f>"10"</f>
        <v>10</v>
      </c>
      <c r="AN3203" t="str">
        <f>"500000"</f>
        <v>500000</v>
      </c>
      <c r="AO3203" t="str">
        <f>"הכנסות  מלקוחות"</f>
        <v>הכנסות  מלקוחות</v>
      </c>
      <c r="AQ3203" t="str">
        <f>"034"</f>
        <v>034</v>
      </c>
      <c r="AR3203">
        <v>0</v>
      </c>
      <c r="AS3203">
        <v>0</v>
      </c>
      <c r="AT3203">
        <v>3.3439999999999999</v>
      </c>
      <c r="AX3203" t="str">
        <f>"E000326026"</f>
        <v>E000326026</v>
      </c>
      <c r="BD3203" t="str">
        <f>"ערן שלו"</f>
        <v>ערן שלו</v>
      </c>
    </row>
    <row r="3204" spans="1:56" x14ac:dyDescent="0.3">
      <c r="A3204" s="1">
        <v>44157</v>
      </c>
      <c r="B3204" t="str">
        <f>"SI206001309"</f>
        <v>SI206001309</v>
      </c>
      <c r="C3204" t="str">
        <f>"PR20000696"</f>
        <v>PR20000696</v>
      </c>
      <c r="D3204" t="str">
        <f>"PR20000696"</f>
        <v>PR20000696</v>
      </c>
      <c r="E3204" t="str">
        <f>"Y"</f>
        <v>Y</v>
      </c>
      <c r="F3204" t="str">
        <f>"חשבוניות מרכזות"</f>
        <v>חשבוניות מרכזות</v>
      </c>
      <c r="G3204" t="str">
        <f>"700065"</f>
        <v>700065</v>
      </c>
      <c r="H3204" t="str">
        <f>"אלתא מערכות בע""מ"</f>
        <v>אלתא מערכות בע"מ</v>
      </c>
      <c r="I3204" t="str">
        <f>"10"</f>
        <v>10</v>
      </c>
      <c r="J3204" t="str">
        <f>"000"</f>
        <v>000</v>
      </c>
      <c r="K3204" t="str">
        <f>"שדרוג באלתא"</f>
        <v>שדרוג באלתא</v>
      </c>
      <c r="L3204">
        <v>1</v>
      </c>
      <c r="M3204" t="str">
        <f>"יח"</f>
        <v>יח</v>
      </c>
      <c r="N3204">
        <v>1</v>
      </c>
      <c r="O3204" t="str">
        <f>"יח"</f>
        <v>יח</v>
      </c>
      <c r="P3204" s="2">
        <v>1250</v>
      </c>
      <c r="Q3204" t="str">
        <f>"$"</f>
        <v>$</v>
      </c>
      <c r="R3204" t="str">
        <f>"הזמנה"</f>
        <v>הזמנה</v>
      </c>
      <c r="S3204">
        <v>0</v>
      </c>
      <c r="T3204" s="2">
        <v>1250</v>
      </c>
      <c r="U3204">
        <v>0</v>
      </c>
      <c r="V3204" s="2">
        <v>1250</v>
      </c>
      <c r="W3204" t="str">
        <f>"$"</f>
        <v>$</v>
      </c>
      <c r="X3204">
        <v>0</v>
      </c>
      <c r="Y3204">
        <v>0</v>
      </c>
      <c r="Z3204">
        <v>0</v>
      </c>
      <c r="AA3204" t="str">
        <f>"Y"</f>
        <v>Y</v>
      </c>
      <c r="AB3204" t="str">
        <f>"SO20000526"</f>
        <v>SO20000526</v>
      </c>
      <c r="AC3204">
        <v>4</v>
      </c>
      <c r="AD3204" s="1">
        <v>44151</v>
      </c>
      <c r="AM3204" t="str">
        <f>"10"</f>
        <v>10</v>
      </c>
      <c r="AN3204" t="str">
        <f>"500000"</f>
        <v>500000</v>
      </c>
      <c r="AO3204" t="str">
        <f>"הכנסות  מלקוחות"</f>
        <v>הכנסות  מלקוחות</v>
      </c>
      <c r="AQ3204" t="str">
        <f>"034"</f>
        <v>034</v>
      </c>
      <c r="AR3204">
        <v>0</v>
      </c>
      <c r="AS3204">
        <v>0</v>
      </c>
      <c r="AT3204">
        <v>3.3439999999999999</v>
      </c>
      <c r="AX3204" t="str">
        <f>"E000326026"</f>
        <v>E000326026</v>
      </c>
      <c r="BD3204" t="str">
        <f>"ערן שלו"</f>
        <v>ערן שלו</v>
      </c>
    </row>
    <row r="3205" spans="1:56" x14ac:dyDescent="0.3">
      <c r="A3205" s="1">
        <v>44154</v>
      </c>
      <c r="B3205" t="str">
        <f>"SI206001306"</f>
        <v>SI206001306</v>
      </c>
      <c r="E3205" t="str">
        <f>"Y"</f>
        <v>Y</v>
      </c>
      <c r="F3205" t="str">
        <f>"חשבוניות מרכזות"</f>
        <v>חשבוניות מרכזות</v>
      </c>
      <c r="G3205" t="str">
        <f>"700065"</f>
        <v>700065</v>
      </c>
      <c r="H3205" t="str">
        <f>"אלתא מערכות בע""מ"</f>
        <v>אלתא מערכות בע"מ</v>
      </c>
      <c r="I3205" t="str">
        <f>"10"</f>
        <v>10</v>
      </c>
      <c r="J3205" t="str">
        <f>"OP-AR01827"</f>
        <v>OP-AR01827</v>
      </c>
      <c r="K3205" t="str">
        <f>"NRE FOR E000313924"</f>
        <v>NRE FOR E000313924</v>
      </c>
      <c r="L3205">
        <v>1</v>
      </c>
      <c r="M3205" t="str">
        <f>"יח"</f>
        <v>יח</v>
      </c>
      <c r="N3205">
        <v>1</v>
      </c>
      <c r="O3205" t="str">
        <f>"יח"</f>
        <v>יח</v>
      </c>
      <c r="P3205">
        <v>150</v>
      </c>
      <c r="Q3205" t="str">
        <f>"$"</f>
        <v>$</v>
      </c>
      <c r="R3205" t="str">
        <f>"הזמנה"</f>
        <v>הזמנה</v>
      </c>
      <c r="S3205">
        <v>0</v>
      </c>
      <c r="T3205">
        <v>150</v>
      </c>
      <c r="U3205">
        <v>0</v>
      </c>
      <c r="V3205">
        <v>150</v>
      </c>
      <c r="W3205" t="str">
        <f>"$"</f>
        <v>$</v>
      </c>
      <c r="X3205">
        <v>0</v>
      </c>
      <c r="Y3205">
        <v>0</v>
      </c>
      <c r="Z3205">
        <v>0</v>
      </c>
      <c r="AA3205" t="str">
        <f>"Y"</f>
        <v>Y</v>
      </c>
      <c r="AB3205" t="str">
        <f>"SO20000239"</f>
        <v>SO20000239</v>
      </c>
      <c r="AC3205">
        <v>2</v>
      </c>
      <c r="AD3205" s="1">
        <v>43991</v>
      </c>
      <c r="AM3205" t="str">
        <f>"10"</f>
        <v>10</v>
      </c>
      <c r="AN3205" t="str">
        <f>"500000"</f>
        <v>500000</v>
      </c>
      <c r="AO3205" t="str">
        <f>"הכנסות  מלקוחות"</f>
        <v>הכנסות  מלקוחות</v>
      </c>
      <c r="AQ3205" t="str">
        <f>"034"</f>
        <v>034</v>
      </c>
      <c r="AR3205">
        <v>0</v>
      </c>
      <c r="AS3205">
        <v>0</v>
      </c>
      <c r="AT3205">
        <v>3.3420000000000001</v>
      </c>
      <c r="AX3205" t="str">
        <f>"E000313924"</f>
        <v>E000313924</v>
      </c>
      <c r="BD3205" t="str">
        <f>"ערן שלו"</f>
        <v>ערן שלו</v>
      </c>
    </row>
    <row r="3206" spans="1:56" x14ac:dyDescent="0.3">
      <c r="A3206" s="1">
        <v>44153</v>
      </c>
      <c r="B3206" t="str">
        <f>"SI206001272"</f>
        <v>SI206001272</v>
      </c>
      <c r="C3206" t="str">
        <f>"PR20000318"</f>
        <v>PR20000318</v>
      </c>
      <c r="E3206" t="str">
        <f>"Y"</f>
        <v>Y</v>
      </c>
      <c r="F3206" t="str">
        <f>"חשבוניות מרכזות"</f>
        <v>חשבוניות מרכזות</v>
      </c>
      <c r="G3206" t="str">
        <f>"700065"</f>
        <v>700065</v>
      </c>
      <c r="H3206" t="str">
        <f>"אלתא מערכות בע""מ"</f>
        <v>אלתא מערכות בע"מ</v>
      </c>
      <c r="I3206" t="str">
        <f>"10"</f>
        <v>10</v>
      </c>
      <c r="J3206" t="str">
        <f>"OP-AR01088"</f>
        <v>OP-AR01088</v>
      </c>
      <c r="K3206" t="str">
        <f>"1038H185-001 SRASR POWER DISTRIUTION UNIT"</f>
        <v>1038H185-001 SRASR POWER DISTRIUTION UNIT</v>
      </c>
      <c r="L3206">
        <v>2</v>
      </c>
      <c r="M3206" t="str">
        <f>"יח"</f>
        <v>יח</v>
      </c>
      <c r="N3206">
        <v>2</v>
      </c>
      <c r="O3206" t="str">
        <f>"יח"</f>
        <v>יח</v>
      </c>
      <c r="P3206" s="2">
        <v>12505</v>
      </c>
      <c r="Q3206" t="str">
        <f>"$"</f>
        <v>$</v>
      </c>
      <c r="R3206" t="str">
        <f>"הזמנה"</f>
        <v>הזמנה</v>
      </c>
      <c r="S3206">
        <v>0</v>
      </c>
      <c r="T3206" s="2">
        <v>25010</v>
      </c>
      <c r="U3206">
        <v>0</v>
      </c>
      <c r="V3206" s="2">
        <v>25010</v>
      </c>
      <c r="W3206" t="str">
        <f>"$"</f>
        <v>$</v>
      </c>
      <c r="X3206">
        <v>0</v>
      </c>
      <c r="Y3206">
        <v>0</v>
      </c>
      <c r="Z3206">
        <v>0</v>
      </c>
      <c r="AA3206" t="str">
        <f>"Y"</f>
        <v>Y</v>
      </c>
      <c r="AB3206" t="str">
        <f>"SO20000220"</f>
        <v>SO20000220</v>
      </c>
      <c r="AC3206">
        <v>2</v>
      </c>
      <c r="AD3206" s="1">
        <v>43983</v>
      </c>
      <c r="AE3206" t="str">
        <f>"SH20001510"</f>
        <v>SH20001510</v>
      </c>
      <c r="AF3206" t="str">
        <f>"משלוחים ללקוח"</f>
        <v>משלוחים ללקוח</v>
      </c>
      <c r="AG3206" s="1">
        <v>44150</v>
      </c>
      <c r="AM3206" t="str">
        <f>"10"</f>
        <v>10</v>
      </c>
      <c r="AN3206" t="str">
        <f>"500000"</f>
        <v>500000</v>
      </c>
      <c r="AO3206" t="str">
        <f>"הכנסות  מלקוחות"</f>
        <v>הכנסות  מלקוחות</v>
      </c>
      <c r="AQ3206" t="str">
        <f>"034"</f>
        <v>034</v>
      </c>
      <c r="AR3206">
        <v>0</v>
      </c>
      <c r="AS3206">
        <v>0</v>
      </c>
      <c r="AT3206">
        <v>3.3559999999999999</v>
      </c>
      <c r="AX3206" t="str">
        <f>"E000313337"</f>
        <v>E000313337</v>
      </c>
      <c r="BD3206" t="str">
        <f>"ערן שלו"</f>
        <v>ערן שלו</v>
      </c>
    </row>
    <row r="3207" spans="1:56" x14ac:dyDescent="0.3">
      <c r="A3207" s="1">
        <v>44153</v>
      </c>
      <c r="B3207" t="str">
        <f>"SI206001272"</f>
        <v>SI206001272</v>
      </c>
      <c r="C3207" t="str">
        <f>"PR20000318"</f>
        <v>PR20000318</v>
      </c>
      <c r="E3207" t="str">
        <f>"Y"</f>
        <v>Y</v>
      </c>
      <c r="F3207" t="str">
        <f>"חשבוניות מרכזות"</f>
        <v>חשבוניות מרכזות</v>
      </c>
      <c r="G3207" t="str">
        <f>"700065"</f>
        <v>700065</v>
      </c>
      <c r="H3207" t="str">
        <f>"אלתא מערכות בע""מ"</f>
        <v>אלתא מערכות בע"מ</v>
      </c>
      <c r="I3207" t="str">
        <f>"10"</f>
        <v>10</v>
      </c>
      <c r="J3207" t="str">
        <f>"OP-AR01088"</f>
        <v>OP-AR01088</v>
      </c>
      <c r="K3207" t="str">
        <f>"1038H185-001 SRASR POWER DISTRIUTION UNIT"</f>
        <v>1038H185-001 SRASR POWER DISTRIUTION UNIT</v>
      </c>
      <c r="L3207">
        <v>1</v>
      </c>
      <c r="M3207" t="str">
        <f>"יח"</f>
        <v>יח</v>
      </c>
      <c r="N3207">
        <v>1</v>
      </c>
      <c r="O3207" t="str">
        <f>"יח"</f>
        <v>יח</v>
      </c>
      <c r="P3207" s="2">
        <v>12505</v>
      </c>
      <c r="Q3207" t="str">
        <f>"$"</f>
        <v>$</v>
      </c>
      <c r="R3207" t="str">
        <f>"הזמנה"</f>
        <v>הזמנה</v>
      </c>
      <c r="S3207">
        <v>0</v>
      </c>
      <c r="T3207" s="2">
        <v>12505</v>
      </c>
      <c r="U3207">
        <v>0</v>
      </c>
      <c r="V3207" s="2">
        <v>12505</v>
      </c>
      <c r="W3207" t="str">
        <f>"$"</f>
        <v>$</v>
      </c>
      <c r="X3207">
        <v>0</v>
      </c>
      <c r="Y3207">
        <v>0</v>
      </c>
      <c r="Z3207">
        <v>0</v>
      </c>
      <c r="AA3207" t="str">
        <f>"Y"</f>
        <v>Y</v>
      </c>
      <c r="AB3207" t="str">
        <f>"SO20000220"</f>
        <v>SO20000220</v>
      </c>
      <c r="AC3207">
        <v>3</v>
      </c>
      <c r="AD3207" s="1">
        <v>43983</v>
      </c>
      <c r="AE3207" t="str">
        <f>"SH20001510"</f>
        <v>SH20001510</v>
      </c>
      <c r="AF3207" t="str">
        <f>"משלוחים ללקוח"</f>
        <v>משלוחים ללקוח</v>
      </c>
      <c r="AG3207" s="1">
        <v>44150</v>
      </c>
      <c r="AM3207" t="str">
        <f>"10"</f>
        <v>10</v>
      </c>
      <c r="AN3207" t="str">
        <f>"500000"</f>
        <v>500000</v>
      </c>
      <c r="AO3207" t="str">
        <f>"הכנסות  מלקוחות"</f>
        <v>הכנסות  מלקוחות</v>
      </c>
      <c r="AQ3207" t="str">
        <f>"034"</f>
        <v>034</v>
      </c>
      <c r="AR3207">
        <v>0</v>
      </c>
      <c r="AS3207">
        <v>0</v>
      </c>
      <c r="AT3207">
        <v>3.3559999999999999</v>
      </c>
      <c r="AX3207" t="str">
        <f>"E000313337"</f>
        <v>E000313337</v>
      </c>
      <c r="BD3207" t="str">
        <f>"ערן שלו"</f>
        <v>ערן שלו</v>
      </c>
    </row>
    <row r="3208" spans="1:56" x14ac:dyDescent="0.3">
      <c r="A3208" s="1">
        <v>44153</v>
      </c>
      <c r="B3208" t="str">
        <f>"SI206001271"</f>
        <v>SI206001271</v>
      </c>
      <c r="C3208" t="str">
        <f>"PR20000317"</f>
        <v>PR20000317</v>
      </c>
      <c r="E3208" t="str">
        <f>"Y"</f>
        <v>Y</v>
      </c>
      <c r="F3208" t="str">
        <f>"חשבוניות מרכזות"</f>
        <v>חשבוניות מרכזות</v>
      </c>
      <c r="G3208" t="str">
        <f>"700065"</f>
        <v>700065</v>
      </c>
      <c r="H3208" t="str">
        <f>"אלתא מערכות בע""מ"</f>
        <v>אלתא מערכות בע"מ</v>
      </c>
      <c r="I3208" t="str">
        <f>"10"</f>
        <v>10</v>
      </c>
      <c r="J3208" t="str">
        <f>"OP-AR01088"</f>
        <v>OP-AR01088</v>
      </c>
      <c r="K3208" t="str">
        <f>"1038H185-001 SRASR POWER DISTRIUTION UNIT"</f>
        <v>1038H185-001 SRASR POWER DISTRIUTION UNIT</v>
      </c>
      <c r="L3208">
        <v>1</v>
      </c>
      <c r="M3208" t="str">
        <f>"יח"</f>
        <v>יח</v>
      </c>
      <c r="N3208">
        <v>1</v>
      </c>
      <c r="O3208" t="str">
        <f>"יח"</f>
        <v>יח</v>
      </c>
      <c r="P3208" s="2">
        <v>12505</v>
      </c>
      <c r="Q3208" t="str">
        <f>"$"</f>
        <v>$</v>
      </c>
      <c r="R3208" t="str">
        <f>"הזמנה"</f>
        <v>הזמנה</v>
      </c>
      <c r="S3208">
        <v>0</v>
      </c>
      <c r="T3208" s="2">
        <v>12505</v>
      </c>
      <c r="U3208">
        <v>0</v>
      </c>
      <c r="V3208" s="2">
        <v>12505</v>
      </c>
      <c r="W3208" t="str">
        <f>"$"</f>
        <v>$</v>
      </c>
      <c r="X3208">
        <v>0</v>
      </c>
      <c r="Y3208">
        <v>0</v>
      </c>
      <c r="Z3208">
        <v>0</v>
      </c>
      <c r="AA3208" t="str">
        <f>"Y"</f>
        <v>Y</v>
      </c>
      <c r="AB3208" t="str">
        <f>"SO20000220"</f>
        <v>SO20000220</v>
      </c>
      <c r="AC3208">
        <v>1</v>
      </c>
      <c r="AD3208" s="1">
        <v>43983</v>
      </c>
      <c r="AE3208" t="str">
        <f>"SH20001509"</f>
        <v>SH20001509</v>
      </c>
      <c r="AF3208" t="str">
        <f>"משלוחים ללקוח"</f>
        <v>משלוחים ללקוח</v>
      </c>
      <c r="AG3208" s="1">
        <v>44150</v>
      </c>
      <c r="AM3208" t="str">
        <f>"10"</f>
        <v>10</v>
      </c>
      <c r="AN3208" t="str">
        <f>"500000"</f>
        <v>500000</v>
      </c>
      <c r="AO3208" t="str">
        <f>"הכנסות  מלקוחות"</f>
        <v>הכנסות  מלקוחות</v>
      </c>
      <c r="AQ3208" t="str">
        <f>"034"</f>
        <v>034</v>
      </c>
      <c r="AR3208">
        <v>0</v>
      </c>
      <c r="AS3208">
        <v>0</v>
      </c>
      <c r="AT3208">
        <v>3.3559999999999999</v>
      </c>
      <c r="AX3208" t="str">
        <f>"E000313337"</f>
        <v>E000313337</v>
      </c>
      <c r="BD3208" t="str">
        <f>"ערן שלו"</f>
        <v>ערן שלו</v>
      </c>
    </row>
    <row r="3209" spans="1:56" x14ac:dyDescent="0.3">
      <c r="A3209" s="1">
        <v>44153</v>
      </c>
      <c r="B3209" t="str">
        <f>"SI206001270"</f>
        <v>SI206001270</v>
      </c>
      <c r="C3209" t="str">
        <f>"PR20000495"</f>
        <v>PR20000495</v>
      </c>
      <c r="D3209" t="str">
        <f>"PR20000495"</f>
        <v>PR20000495</v>
      </c>
      <c r="E3209" t="str">
        <f>"Y"</f>
        <v>Y</v>
      </c>
      <c r="F3209" t="str">
        <f>"חשבוניות מרכזות"</f>
        <v>חשבוניות מרכזות</v>
      </c>
      <c r="G3209" t="str">
        <f>"700065"</f>
        <v>700065</v>
      </c>
      <c r="H3209" t="str">
        <f>"אלתא מערכות בע""מ"</f>
        <v>אלתא מערכות בע"מ</v>
      </c>
      <c r="I3209" t="str">
        <f>"10"</f>
        <v>10</v>
      </c>
      <c r="J3209" t="str">
        <f>"OP-AR01905"</f>
        <v>OP-AR01905</v>
      </c>
      <c r="K3209" t="str">
        <f>"1027L265-001 - CABLE ASSY WR015"</f>
        <v>1027L265-001 - CABLE ASSY WR015</v>
      </c>
      <c r="L3209">
        <v>8</v>
      </c>
      <c r="M3209" t="str">
        <f>"יח"</f>
        <v>יח</v>
      </c>
      <c r="N3209">
        <v>8</v>
      </c>
      <c r="O3209" t="str">
        <f>"יח"</f>
        <v>יח</v>
      </c>
      <c r="P3209" s="2">
        <v>1050</v>
      </c>
      <c r="Q3209" t="str">
        <f>"$"</f>
        <v>$</v>
      </c>
      <c r="R3209" t="str">
        <f>"הזמנה"</f>
        <v>הזמנה</v>
      </c>
      <c r="S3209">
        <v>0</v>
      </c>
      <c r="T3209" s="2">
        <v>8400</v>
      </c>
      <c r="U3209">
        <v>0</v>
      </c>
      <c r="V3209" s="2">
        <v>8400</v>
      </c>
      <c r="W3209" t="str">
        <f>"$"</f>
        <v>$</v>
      </c>
      <c r="X3209">
        <v>0</v>
      </c>
      <c r="Y3209">
        <v>0</v>
      </c>
      <c r="Z3209">
        <v>0</v>
      </c>
      <c r="AA3209" t="str">
        <f>"Y"</f>
        <v>Y</v>
      </c>
      <c r="AB3209" t="str">
        <f>"SO20000306"</f>
        <v>SO20000306</v>
      </c>
      <c r="AC3209">
        <v>1</v>
      </c>
      <c r="AD3209" s="1">
        <v>44031</v>
      </c>
      <c r="AE3209" t="str">
        <f>"SH20001516"</f>
        <v>SH20001516</v>
      </c>
      <c r="AF3209" t="str">
        <f>"משלוחים ללקוח"</f>
        <v>משלוחים ללקוח</v>
      </c>
      <c r="AG3209" s="1">
        <v>44150</v>
      </c>
      <c r="AM3209" t="str">
        <f>"10"</f>
        <v>10</v>
      </c>
      <c r="AN3209" t="str">
        <f>"500000"</f>
        <v>500000</v>
      </c>
      <c r="AO3209" t="str">
        <f>"הכנסות  מלקוחות"</f>
        <v>הכנסות  מלקוחות</v>
      </c>
      <c r="AQ3209" t="str">
        <f>"034"</f>
        <v>034</v>
      </c>
      <c r="AR3209">
        <v>0</v>
      </c>
      <c r="AS3209">
        <v>0</v>
      </c>
      <c r="AT3209">
        <v>3.3559999999999999</v>
      </c>
      <c r="AX3209" t="str">
        <f>"E000317220"</f>
        <v>E000317220</v>
      </c>
      <c r="BD3209" t="str">
        <f>"ערן שלו"</f>
        <v>ערן שלו</v>
      </c>
    </row>
    <row r="3210" spans="1:56" x14ac:dyDescent="0.3">
      <c r="A3210" s="1">
        <v>44153</v>
      </c>
      <c r="B3210" t="str">
        <f>"SI206001269"</f>
        <v>SI206001269</v>
      </c>
      <c r="C3210" t="str">
        <f>"PR20000348"</f>
        <v>PR20000348</v>
      </c>
      <c r="E3210" t="str">
        <f>"Y"</f>
        <v>Y</v>
      </c>
      <c r="F3210" t="str">
        <f>"חשבוניות מרכזות"</f>
        <v>חשבוניות מרכזות</v>
      </c>
      <c r="G3210" t="str">
        <f>"700065"</f>
        <v>700065</v>
      </c>
      <c r="H3210" t="str">
        <f>"אלתא מערכות בע""מ"</f>
        <v>אלתא מערכות בע"מ</v>
      </c>
      <c r="I3210" t="str">
        <f>"10"</f>
        <v>10</v>
      </c>
      <c r="J3210" t="str">
        <f>"OP-AR01736"</f>
        <v>OP-AR01736</v>
      </c>
      <c r="K3210" t="str">
        <f>"1039V358-001 WP358 - DATA AFT COMMAND TO LDE AND"</f>
        <v>1039V358-001 WP358 - DATA AFT COMMAND TO LDE AND</v>
      </c>
      <c r="L3210">
        <v>2</v>
      </c>
      <c r="M3210" t="str">
        <f>"יח"</f>
        <v>יח</v>
      </c>
      <c r="N3210">
        <v>2</v>
      </c>
      <c r="O3210" t="str">
        <f>"יח"</f>
        <v>יח</v>
      </c>
      <c r="P3210">
        <v>412.51</v>
      </c>
      <c r="Q3210" t="str">
        <f>"$"</f>
        <v>$</v>
      </c>
      <c r="R3210" t="str">
        <f>"הזמנה"</f>
        <v>הזמנה</v>
      </c>
      <c r="S3210">
        <v>0</v>
      </c>
      <c r="T3210">
        <v>825.02</v>
      </c>
      <c r="U3210">
        <v>0</v>
      </c>
      <c r="V3210">
        <v>825.02</v>
      </c>
      <c r="W3210" t="str">
        <f>"$"</f>
        <v>$</v>
      </c>
      <c r="X3210">
        <v>0</v>
      </c>
      <c r="Y3210">
        <v>0</v>
      </c>
      <c r="Z3210">
        <v>0</v>
      </c>
      <c r="AA3210" t="str">
        <f>"Y"</f>
        <v>Y</v>
      </c>
      <c r="AB3210" t="str">
        <f>"SO20000201"</f>
        <v>SO20000201</v>
      </c>
      <c r="AC3210">
        <v>4</v>
      </c>
      <c r="AD3210" s="1">
        <v>43970</v>
      </c>
      <c r="AE3210" t="str">
        <f>"SH20001520"</f>
        <v>SH20001520</v>
      </c>
      <c r="AF3210" t="str">
        <f>"משלוחים ללקוח"</f>
        <v>משלוחים ללקוח</v>
      </c>
      <c r="AG3210" s="1">
        <v>44150</v>
      </c>
      <c r="AM3210" t="str">
        <f>"10"</f>
        <v>10</v>
      </c>
      <c r="AN3210" t="str">
        <f>"500000"</f>
        <v>500000</v>
      </c>
      <c r="AO3210" t="str">
        <f>"הכנסות  מלקוחות"</f>
        <v>הכנסות  מלקוחות</v>
      </c>
      <c r="AQ3210" t="str">
        <f>"034"</f>
        <v>034</v>
      </c>
      <c r="AR3210">
        <v>0</v>
      </c>
      <c r="AS3210">
        <v>0</v>
      </c>
      <c r="AT3210">
        <v>3.3559999999999999</v>
      </c>
      <c r="AX3210" t="str">
        <f>"E000311250"</f>
        <v>E000311250</v>
      </c>
      <c r="BD3210" t="str">
        <f>"ערן שלו"</f>
        <v>ערן שלו</v>
      </c>
    </row>
    <row r="3211" spans="1:56" x14ac:dyDescent="0.3">
      <c r="A3211" s="1">
        <v>44153</v>
      </c>
      <c r="B3211" t="str">
        <f>"SI206001269"</f>
        <v>SI206001269</v>
      </c>
      <c r="C3211" t="str">
        <f>"PR20000348"</f>
        <v>PR20000348</v>
      </c>
      <c r="E3211" t="str">
        <f>"Y"</f>
        <v>Y</v>
      </c>
      <c r="F3211" t="str">
        <f>"חשבוניות מרכזות"</f>
        <v>חשבוניות מרכזות</v>
      </c>
      <c r="G3211" t="str">
        <f>"700065"</f>
        <v>700065</v>
      </c>
      <c r="H3211" t="str">
        <f>"אלתא מערכות בע""מ"</f>
        <v>אלתא מערכות בע"מ</v>
      </c>
      <c r="I3211" t="str">
        <f>"10"</f>
        <v>10</v>
      </c>
      <c r="J3211" t="str">
        <f>"OP-AR01758"</f>
        <v>OP-AR01758</v>
      </c>
      <c r="K3211" t="str">
        <f>"1039V368-001 WP368 - CONTROL LDE TO LEFT FRONT J"</f>
        <v>1039V368-001 WP368 - CONTROL LDE TO LEFT FRONT J</v>
      </c>
      <c r="L3211">
        <v>2</v>
      </c>
      <c r="M3211" t="str">
        <f>"יח"</f>
        <v>יח</v>
      </c>
      <c r="N3211">
        <v>2</v>
      </c>
      <c r="O3211" t="str">
        <f>"יח"</f>
        <v>יח</v>
      </c>
      <c r="P3211">
        <v>752.69</v>
      </c>
      <c r="Q3211" t="str">
        <f>"$"</f>
        <v>$</v>
      </c>
      <c r="R3211" t="str">
        <f>"הזמנה"</f>
        <v>הזמנה</v>
      </c>
      <c r="S3211">
        <v>0</v>
      </c>
      <c r="T3211" s="2">
        <v>1505.38</v>
      </c>
      <c r="U3211">
        <v>0</v>
      </c>
      <c r="V3211" s="2">
        <v>1505.38</v>
      </c>
      <c r="W3211" t="str">
        <f>"$"</f>
        <v>$</v>
      </c>
      <c r="X3211">
        <v>0</v>
      </c>
      <c r="Y3211">
        <v>0</v>
      </c>
      <c r="Z3211">
        <v>0</v>
      </c>
      <c r="AA3211" t="str">
        <f>"Y"</f>
        <v>Y</v>
      </c>
      <c r="AB3211" t="str">
        <f>"SO20000201"</f>
        <v>SO20000201</v>
      </c>
      <c r="AC3211">
        <v>26</v>
      </c>
      <c r="AD3211" s="1">
        <v>43970</v>
      </c>
      <c r="AE3211" t="str">
        <f>"SH20001520"</f>
        <v>SH20001520</v>
      </c>
      <c r="AF3211" t="str">
        <f>"משלוחים ללקוח"</f>
        <v>משלוחים ללקוח</v>
      </c>
      <c r="AG3211" s="1">
        <v>44150</v>
      </c>
      <c r="AM3211" t="str">
        <f>"10"</f>
        <v>10</v>
      </c>
      <c r="AN3211" t="str">
        <f>"500000"</f>
        <v>500000</v>
      </c>
      <c r="AO3211" t="str">
        <f>"הכנסות  מלקוחות"</f>
        <v>הכנסות  מלקוחות</v>
      </c>
      <c r="AQ3211" t="str">
        <f>"034"</f>
        <v>034</v>
      </c>
      <c r="AR3211">
        <v>0</v>
      </c>
      <c r="AS3211">
        <v>0</v>
      </c>
      <c r="AT3211">
        <v>3.3559999999999999</v>
      </c>
      <c r="AX3211" t="str">
        <f>"E000311250"</f>
        <v>E000311250</v>
      </c>
      <c r="BD3211" t="str">
        <f>"ערן שלו"</f>
        <v>ערן שלו</v>
      </c>
    </row>
    <row r="3212" spans="1:56" x14ac:dyDescent="0.3">
      <c r="A3212" s="1">
        <v>44153</v>
      </c>
      <c r="B3212" t="str">
        <f>"SI206001269"</f>
        <v>SI206001269</v>
      </c>
      <c r="C3212" t="str">
        <f>"PR20000348"</f>
        <v>PR20000348</v>
      </c>
      <c r="E3212" t="str">
        <f>"Y"</f>
        <v>Y</v>
      </c>
      <c r="F3212" t="str">
        <f>"חשבוניות מרכזות"</f>
        <v>חשבוניות מרכזות</v>
      </c>
      <c r="G3212" t="str">
        <f>"700065"</f>
        <v>700065</v>
      </c>
      <c r="H3212" t="str">
        <f>"אלתא מערכות בע""מ"</f>
        <v>אלתא מערכות בע"מ</v>
      </c>
      <c r="I3212" t="str">
        <f>"10"</f>
        <v>10</v>
      </c>
      <c r="J3212" t="str">
        <f>"OP-AR01768"</f>
        <v>OP-AR01768</v>
      </c>
      <c r="K3212" t="str">
        <f>"1036U410-001 WP440 - CONTROL MEB TO PEDPNL AND S"</f>
        <v>1036U410-001 WP440 - CONTROL MEB TO PEDPNL AND S</v>
      </c>
      <c r="L3212">
        <v>2</v>
      </c>
      <c r="M3212" t="str">
        <f>"יח"</f>
        <v>יח</v>
      </c>
      <c r="N3212">
        <v>2</v>
      </c>
      <c r="O3212" t="str">
        <f>"יח"</f>
        <v>יח</v>
      </c>
      <c r="P3212">
        <v>981.84</v>
      </c>
      <c r="Q3212" t="str">
        <f>"$"</f>
        <v>$</v>
      </c>
      <c r="R3212" t="str">
        <f>"הזמנה"</f>
        <v>הזמנה</v>
      </c>
      <c r="S3212">
        <v>0</v>
      </c>
      <c r="T3212" s="2">
        <v>1963.68</v>
      </c>
      <c r="U3212">
        <v>0</v>
      </c>
      <c r="V3212" s="2">
        <v>1963.68</v>
      </c>
      <c r="W3212" t="str">
        <f>"$"</f>
        <v>$</v>
      </c>
      <c r="X3212">
        <v>0</v>
      </c>
      <c r="Y3212">
        <v>0</v>
      </c>
      <c r="Z3212">
        <v>0</v>
      </c>
      <c r="AA3212" t="str">
        <f>"Y"</f>
        <v>Y</v>
      </c>
      <c r="AB3212" t="str">
        <f>"SO20000201"</f>
        <v>SO20000201</v>
      </c>
      <c r="AC3212">
        <v>34</v>
      </c>
      <c r="AD3212" s="1">
        <v>43970</v>
      </c>
      <c r="AE3212" t="str">
        <f>"SH20001520"</f>
        <v>SH20001520</v>
      </c>
      <c r="AF3212" t="str">
        <f>"משלוחים ללקוח"</f>
        <v>משלוחים ללקוח</v>
      </c>
      <c r="AG3212" s="1">
        <v>44150</v>
      </c>
      <c r="AM3212" t="str">
        <f>"10"</f>
        <v>10</v>
      </c>
      <c r="AN3212" t="str">
        <f>"500000"</f>
        <v>500000</v>
      </c>
      <c r="AO3212" t="str">
        <f>"הכנסות  מלקוחות"</f>
        <v>הכנסות  מלקוחות</v>
      </c>
      <c r="AQ3212" t="str">
        <f>"034"</f>
        <v>034</v>
      </c>
      <c r="AR3212">
        <v>0</v>
      </c>
      <c r="AS3212">
        <v>0</v>
      </c>
      <c r="AT3212">
        <v>3.3559999999999999</v>
      </c>
      <c r="AX3212" t="str">
        <f>"E000311250"</f>
        <v>E000311250</v>
      </c>
      <c r="BD3212" t="str">
        <f>"ערן שלו"</f>
        <v>ערן שלו</v>
      </c>
    </row>
    <row r="3213" spans="1:56" x14ac:dyDescent="0.3">
      <c r="A3213" s="1">
        <v>44153</v>
      </c>
      <c r="B3213" t="str">
        <f>"SI206001269"</f>
        <v>SI206001269</v>
      </c>
      <c r="C3213" t="str">
        <f>"PR20000348"</f>
        <v>PR20000348</v>
      </c>
      <c r="E3213" t="str">
        <f>"Y"</f>
        <v>Y</v>
      </c>
      <c r="F3213" t="str">
        <f>"חשבוניות מרכזות"</f>
        <v>חשבוניות מרכזות</v>
      </c>
      <c r="G3213" t="str">
        <f>"700065"</f>
        <v>700065</v>
      </c>
      <c r="H3213" t="str">
        <f>"אלתא מערכות בע""מ"</f>
        <v>אלתא מערכות בע"מ</v>
      </c>
      <c r="I3213" t="str">
        <f>"10"</f>
        <v>10</v>
      </c>
      <c r="J3213" t="str">
        <f>"OP-AR01769"</f>
        <v>OP-AR01769</v>
      </c>
      <c r="K3213" t="str">
        <f>"1036U403-001 WP433 - MEB AZ/EL MOTORS"</f>
        <v>1036U403-001 WP433 - MEB AZ/EL MOTORS</v>
      </c>
      <c r="L3213">
        <v>2</v>
      </c>
      <c r="M3213" t="str">
        <f>"יח"</f>
        <v>יח</v>
      </c>
      <c r="N3213">
        <v>2</v>
      </c>
      <c r="O3213" t="str">
        <f>"יח"</f>
        <v>יח</v>
      </c>
      <c r="P3213">
        <v>585.83000000000004</v>
      </c>
      <c r="Q3213" t="str">
        <f>"$"</f>
        <v>$</v>
      </c>
      <c r="R3213" t="str">
        <f>"הזמנה"</f>
        <v>הזמנה</v>
      </c>
      <c r="S3213">
        <v>0</v>
      </c>
      <c r="T3213" s="2">
        <v>1171.6600000000001</v>
      </c>
      <c r="U3213">
        <v>0</v>
      </c>
      <c r="V3213" s="2">
        <v>1171.6600000000001</v>
      </c>
      <c r="W3213" t="str">
        <f>"$"</f>
        <v>$</v>
      </c>
      <c r="X3213">
        <v>0</v>
      </c>
      <c r="Y3213">
        <v>0</v>
      </c>
      <c r="Z3213">
        <v>0</v>
      </c>
      <c r="AA3213" t="str">
        <f>"Y"</f>
        <v>Y</v>
      </c>
      <c r="AB3213" t="str">
        <f>"SO20000201"</f>
        <v>SO20000201</v>
      </c>
      <c r="AC3213">
        <v>35</v>
      </c>
      <c r="AD3213" s="1">
        <v>43970</v>
      </c>
      <c r="AE3213" t="str">
        <f>"SH20001520"</f>
        <v>SH20001520</v>
      </c>
      <c r="AF3213" t="str">
        <f>"משלוחים ללקוח"</f>
        <v>משלוחים ללקוח</v>
      </c>
      <c r="AG3213" s="1">
        <v>44150</v>
      </c>
      <c r="AM3213" t="str">
        <f>"10"</f>
        <v>10</v>
      </c>
      <c r="AN3213" t="str">
        <f>"500000"</f>
        <v>500000</v>
      </c>
      <c r="AO3213" t="str">
        <f>"הכנסות  מלקוחות"</f>
        <v>הכנסות  מלקוחות</v>
      </c>
      <c r="AQ3213" t="str">
        <f>"034"</f>
        <v>034</v>
      </c>
      <c r="AR3213">
        <v>0</v>
      </c>
      <c r="AS3213">
        <v>0</v>
      </c>
      <c r="AT3213">
        <v>3.3559999999999999</v>
      </c>
      <c r="AX3213" t="str">
        <f>"E000311250"</f>
        <v>E000311250</v>
      </c>
      <c r="BD3213" t="str">
        <f>"ערן שלו"</f>
        <v>ערן שלו</v>
      </c>
    </row>
    <row r="3214" spans="1:56" x14ac:dyDescent="0.3">
      <c r="A3214" s="1">
        <v>44153</v>
      </c>
      <c r="B3214" t="str">
        <f>"SI206001269"</f>
        <v>SI206001269</v>
      </c>
      <c r="C3214" t="str">
        <f>"PR20000348"</f>
        <v>PR20000348</v>
      </c>
      <c r="E3214" t="str">
        <f>"Y"</f>
        <v>Y</v>
      </c>
      <c r="F3214" t="str">
        <f>"חשבוניות מרכזות"</f>
        <v>חשבוניות מרכזות</v>
      </c>
      <c r="G3214" t="str">
        <f>"700065"</f>
        <v>700065</v>
      </c>
      <c r="H3214" t="str">
        <f>"אלתא מערכות בע""מ"</f>
        <v>אלתא מערכות בע"מ</v>
      </c>
      <c r="I3214" t="str">
        <f>"10"</f>
        <v>10</v>
      </c>
      <c r="J3214" t="str">
        <f>"OP-AR01772"</f>
        <v>OP-AR01772</v>
      </c>
      <c r="K3214" t="str">
        <f>"1039V364-001 WP364 - CONTROL LDE TO LEFT REAR JA"</f>
        <v>1039V364-001 WP364 - CONTROL LDE TO LEFT REAR JA</v>
      </c>
      <c r="L3214">
        <v>2</v>
      </c>
      <c r="M3214" t="str">
        <f>"יח"</f>
        <v>יח</v>
      </c>
      <c r="N3214">
        <v>2</v>
      </c>
      <c r="O3214" t="str">
        <f>"יח"</f>
        <v>יח</v>
      </c>
      <c r="P3214">
        <v>581.74</v>
      </c>
      <c r="Q3214" t="str">
        <f>"$"</f>
        <v>$</v>
      </c>
      <c r="R3214" t="str">
        <f>"הזמנה"</f>
        <v>הזמנה</v>
      </c>
      <c r="S3214">
        <v>0</v>
      </c>
      <c r="T3214" s="2">
        <v>1163.48</v>
      </c>
      <c r="U3214">
        <v>0</v>
      </c>
      <c r="V3214" s="2">
        <v>1163.48</v>
      </c>
      <c r="W3214" t="str">
        <f>"$"</f>
        <v>$</v>
      </c>
      <c r="X3214">
        <v>0</v>
      </c>
      <c r="Y3214">
        <v>0</v>
      </c>
      <c r="Z3214">
        <v>0</v>
      </c>
      <c r="AA3214" t="str">
        <f>"Y"</f>
        <v>Y</v>
      </c>
      <c r="AB3214" t="str">
        <f>"SO20000201"</f>
        <v>SO20000201</v>
      </c>
      <c r="AC3214">
        <v>38</v>
      </c>
      <c r="AD3214" s="1">
        <v>43970</v>
      </c>
      <c r="AE3214" t="str">
        <f>"SH20001520"</f>
        <v>SH20001520</v>
      </c>
      <c r="AF3214" t="str">
        <f>"משלוחים ללקוח"</f>
        <v>משלוחים ללקוח</v>
      </c>
      <c r="AG3214" s="1">
        <v>44150</v>
      </c>
      <c r="AM3214" t="str">
        <f>"10"</f>
        <v>10</v>
      </c>
      <c r="AN3214" t="str">
        <f>"500000"</f>
        <v>500000</v>
      </c>
      <c r="AO3214" t="str">
        <f>"הכנסות  מלקוחות"</f>
        <v>הכנסות  מלקוחות</v>
      </c>
      <c r="AQ3214" t="str">
        <f>"034"</f>
        <v>034</v>
      </c>
      <c r="AR3214">
        <v>0</v>
      </c>
      <c r="AS3214">
        <v>0</v>
      </c>
      <c r="AT3214">
        <v>3.3559999999999999</v>
      </c>
      <c r="AX3214" t="str">
        <f>"E000311250"</f>
        <v>E000311250</v>
      </c>
      <c r="BD3214" t="str">
        <f>"ערן שלו"</f>
        <v>ערן שלו</v>
      </c>
    </row>
    <row r="3215" spans="1:56" x14ac:dyDescent="0.3">
      <c r="A3215" s="1">
        <v>44153</v>
      </c>
      <c r="B3215" t="str">
        <f>"SI206001269"</f>
        <v>SI206001269</v>
      </c>
      <c r="C3215" t="str">
        <f>"PR20000348"</f>
        <v>PR20000348</v>
      </c>
      <c r="E3215" t="str">
        <f>"Y"</f>
        <v>Y</v>
      </c>
      <c r="F3215" t="str">
        <f>"חשבוניות מרכזות"</f>
        <v>חשבוניות מרכזות</v>
      </c>
      <c r="G3215" t="str">
        <f>"700065"</f>
        <v>700065</v>
      </c>
      <c r="H3215" t="str">
        <f>"אלתא מערכות בע""מ"</f>
        <v>אלתא מערכות בע"מ</v>
      </c>
      <c r="I3215" t="str">
        <f>"10"</f>
        <v>10</v>
      </c>
      <c r="J3215" t="str">
        <f>"OP-AR01781"</f>
        <v>OP-AR01781</v>
      </c>
      <c r="K3215" t="str">
        <f>"1036U472-001 WP472 - PYLON RIGHT SW2"</f>
        <v>1036U472-001 WP472 - PYLON RIGHT SW2</v>
      </c>
      <c r="L3215">
        <v>3</v>
      </c>
      <c r="M3215" t="str">
        <f>"יח"</f>
        <v>יח</v>
      </c>
      <c r="N3215">
        <v>3</v>
      </c>
      <c r="O3215" t="str">
        <f>"יח"</f>
        <v>יח</v>
      </c>
      <c r="P3215">
        <v>608.89</v>
      </c>
      <c r="Q3215" t="str">
        <f>"$"</f>
        <v>$</v>
      </c>
      <c r="R3215" t="str">
        <f>"הזמנה"</f>
        <v>הזמנה</v>
      </c>
      <c r="S3215">
        <v>0</v>
      </c>
      <c r="T3215" s="2">
        <v>1826.67</v>
      </c>
      <c r="U3215">
        <v>0</v>
      </c>
      <c r="V3215" s="2">
        <v>1826.67</v>
      </c>
      <c r="W3215" t="str">
        <f>"$"</f>
        <v>$</v>
      </c>
      <c r="X3215">
        <v>0</v>
      </c>
      <c r="Y3215">
        <v>0</v>
      </c>
      <c r="Z3215">
        <v>0</v>
      </c>
      <c r="AA3215" t="str">
        <f>"Y"</f>
        <v>Y</v>
      </c>
      <c r="AB3215" t="str">
        <f>"SO20000201"</f>
        <v>SO20000201</v>
      </c>
      <c r="AC3215">
        <v>47</v>
      </c>
      <c r="AD3215" s="1">
        <v>43970</v>
      </c>
      <c r="AE3215" t="str">
        <f>"SH20001520"</f>
        <v>SH20001520</v>
      </c>
      <c r="AF3215" t="str">
        <f>"משלוחים ללקוח"</f>
        <v>משלוחים ללקוח</v>
      </c>
      <c r="AG3215" s="1">
        <v>44150</v>
      </c>
      <c r="AM3215" t="str">
        <f>"10"</f>
        <v>10</v>
      </c>
      <c r="AN3215" t="str">
        <f>"500000"</f>
        <v>500000</v>
      </c>
      <c r="AO3215" t="str">
        <f>"הכנסות  מלקוחות"</f>
        <v>הכנסות  מלקוחות</v>
      </c>
      <c r="AQ3215" t="str">
        <f>"034"</f>
        <v>034</v>
      </c>
      <c r="AR3215">
        <v>0</v>
      </c>
      <c r="AS3215">
        <v>0</v>
      </c>
      <c r="AT3215">
        <v>3.3559999999999999</v>
      </c>
      <c r="AX3215" t="str">
        <f>"E000311250"</f>
        <v>E000311250</v>
      </c>
      <c r="BD3215" t="str">
        <f>"ערן שלו"</f>
        <v>ערן שלו</v>
      </c>
    </row>
    <row r="3216" spans="1:56" x14ac:dyDescent="0.3">
      <c r="A3216" s="1">
        <v>44153</v>
      </c>
      <c r="B3216" t="str">
        <f>"SI206001268"</f>
        <v>SI206001268</v>
      </c>
      <c r="C3216" t="str">
        <f>"PR20000495"</f>
        <v>PR20000495</v>
      </c>
      <c r="D3216" t="str">
        <f>"PR20000495"</f>
        <v>PR20000495</v>
      </c>
      <c r="E3216" t="str">
        <f>"Y"</f>
        <v>Y</v>
      </c>
      <c r="F3216" t="str">
        <f>"חשבוניות מרכזות"</f>
        <v>חשבוניות מרכזות</v>
      </c>
      <c r="G3216" t="str">
        <f>"700065"</f>
        <v>700065</v>
      </c>
      <c r="H3216" t="str">
        <f>"אלתא מערכות בע""מ"</f>
        <v>אלתא מערכות בע"מ</v>
      </c>
      <c r="I3216" t="str">
        <f>"10"</f>
        <v>10</v>
      </c>
      <c r="J3216" t="str">
        <f>"OP-AR01896"</f>
        <v>OP-AR01896</v>
      </c>
      <c r="K3216" t="str">
        <f>"1027L260-001 - CABLE ASSY WR010"</f>
        <v>1027L260-001 - CABLE ASSY WR010</v>
      </c>
      <c r="L3216">
        <v>7</v>
      </c>
      <c r="M3216" t="str">
        <f>"יח"</f>
        <v>יח</v>
      </c>
      <c r="N3216">
        <v>7</v>
      </c>
      <c r="O3216" t="str">
        <f>"יח"</f>
        <v>יח</v>
      </c>
      <c r="P3216">
        <v>311.3</v>
      </c>
      <c r="Q3216" t="str">
        <f>"$"</f>
        <v>$</v>
      </c>
      <c r="R3216" t="str">
        <f>"הזמנה"</f>
        <v>הזמנה</v>
      </c>
      <c r="S3216">
        <v>0</v>
      </c>
      <c r="T3216" s="2">
        <v>2179.1</v>
      </c>
      <c r="U3216">
        <v>0</v>
      </c>
      <c r="V3216" s="2">
        <v>2179.1</v>
      </c>
      <c r="W3216" t="str">
        <f>"$"</f>
        <v>$</v>
      </c>
      <c r="X3216">
        <v>0</v>
      </c>
      <c r="Y3216">
        <v>0</v>
      </c>
      <c r="Z3216">
        <v>0</v>
      </c>
      <c r="AA3216" t="str">
        <f>"Y"</f>
        <v>Y</v>
      </c>
      <c r="AB3216" t="str">
        <f>"SO20000302"</f>
        <v>SO20000302</v>
      </c>
      <c r="AC3216">
        <v>3</v>
      </c>
      <c r="AD3216" s="1">
        <v>44028</v>
      </c>
      <c r="AE3216" t="str">
        <f>"SH20001521"</f>
        <v>SH20001521</v>
      </c>
      <c r="AF3216" t="str">
        <f>"משלוחים ללקוח"</f>
        <v>משלוחים ללקוח</v>
      </c>
      <c r="AG3216" s="1">
        <v>44150</v>
      </c>
      <c r="AM3216" t="str">
        <f>"10"</f>
        <v>10</v>
      </c>
      <c r="AN3216" t="str">
        <f>"500000"</f>
        <v>500000</v>
      </c>
      <c r="AO3216" t="str">
        <f>"הכנסות  מלקוחות"</f>
        <v>הכנסות  מלקוחות</v>
      </c>
      <c r="AQ3216" t="str">
        <f>"034"</f>
        <v>034</v>
      </c>
      <c r="AR3216">
        <v>0</v>
      </c>
      <c r="AS3216">
        <v>0</v>
      </c>
      <c r="AT3216">
        <v>3.3559999999999999</v>
      </c>
      <c r="AX3216" t="str">
        <f>"E000315867"</f>
        <v>E000315867</v>
      </c>
      <c r="BD3216" t="str">
        <f>"ערן שלו"</f>
        <v>ערן שלו</v>
      </c>
    </row>
    <row r="3217" spans="1:56" x14ac:dyDescent="0.3">
      <c r="A3217" s="1">
        <v>44153</v>
      </c>
      <c r="B3217" t="str">
        <f>"SI206001267"</f>
        <v>SI206001267</v>
      </c>
      <c r="C3217" t="str">
        <f>"PR20000505"</f>
        <v>PR20000505</v>
      </c>
      <c r="D3217" t="str">
        <f>"PR20000505"</f>
        <v>PR20000505</v>
      </c>
      <c r="E3217" t="str">
        <f>"Y"</f>
        <v>Y</v>
      </c>
      <c r="F3217" t="str">
        <f>"חשבוניות מרכזות"</f>
        <v>חשבוניות מרכזות</v>
      </c>
      <c r="G3217" t="str">
        <f>"700065"</f>
        <v>700065</v>
      </c>
      <c r="H3217" t="str">
        <f>"אלתא מערכות בע""מ"</f>
        <v>אלתא מערכות בע"מ</v>
      </c>
      <c r="I3217" t="str">
        <f>"10"</f>
        <v>10</v>
      </c>
      <c r="J3217" t="str">
        <f>"OP-AR01931"</f>
        <v>OP-AR01931</v>
      </c>
      <c r="K3217" t="str">
        <f>"1038H744-001/-  WF2 MEDIA CONVERTOR P.S. CABLE"</f>
        <v>1038H744-001/-  WF2 MEDIA CONVERTOR P.S. CABLE</v>
      </c>
      <c r="L3217">
        <v>2</v>
      </c>
      <c r="M3217" t="str">
        <f>"יח"</f>
        <v>יח</v>
      </c>
      <c r="N3217">
        <v>2</v>
      </c>
      <c r="O3217" t="str">
        <f>"יח"</f>
        <v>יח</v>
      </c>
      <c r="P3217">
        <v>280.88</v>
      </c>
      <c r="Q3217" t="str">
        <f>"$"</f>
        <v>$</v>
      </c>
      <c r="R3217" t="str">
        <f>"הזמנה"</f>
        <v>הזמנה</v>
      </c>
      <c r="S3217">
        <v>0</v>
      </c>
      <c r="T3217">
        <v>561.76</v>
      </c>
      <c r="U3217">
        <v>0</v>
      </c>
      <c r="V3217">
        <v>561.76</v>
      </c>
      <c r="W3217" t="str">
        <f>"$"</f>
        <v>$</v>
      </c>
      <c r="X3217">
        <v>0</v>
      </c>
      <c r="Y3217">
        <v>0</v>
      </c>
      <c r="Z3217">
        <v>0</v>
      </c>
      <c r="AA3217" t="str">
        <f>"Y"</f>
        <v>Y</v>
      </c>
      <c r="AB3217" t="str">
        <f>"SO20000311"</f>
        <v>SO20000311</v>
      </c>
      <c r="AC3217">
        <v>1</v>
      </c>
      <c r="AD3217" s="1">
        <v>44032</v>
      </c>
      <c r="AE3217" t="str">
        <f>"SH20001513"</f>
        <v>SH20001513</v>
      </c>
      <c r="AF3217" t="str">
        <f>"משלוחים ללקוח"</f>
        <v>משלוחים ללקוח</v>
      </c>
      <c r="AG3217" s="1">
        <v>44150</v>
      </c>
      <c r="AM3217" t="str">
        <f>"10"</f>
        <v>10</v>
      </c>
      <c r="AN3217" t="str">
        <f>"500000"</f>
        <v>500000</v>
      </c>
      <c r="AO3217" t="str">
        <f>"הכנסות  מלקוחות"</f>
        <v>הכנסות  מלקוחות</v>
      </c>
      <c r="AQ3217" t="str">
        <f>"034"</f>
        <v>034</v>
      </c>
      <c r="AR3217">
        <v>0</v>
      </c>
      <c r="AS3217">
        <v>0</v>
      </c>
      <c r="AT3217">
        <v>3.3559999999999999</v>
      </c>
      <c r="AX3217" t="str">
        <f>"E000316388"</f>
        <v>E000316388</v>
      </c>
      <c r="BD3217" t="str">
        <f>"ערן שלו"</f>
        <v>ערן שלו</v>
      </c>
    </row>
    <row r="3218" spans="1:56" x14ac:dyDescent="0.3">
      <c r="A3218" s="1">
        <v>44153</v>
      </c>
      <c r="B3218" t="str">
        <f>"SI206001266"</f>
        <v>SI206001266</v>
      </c>
      <c r="C3218" t="str">
        <f>"PR20000502"</f>
        <v>PR20000502</v>
      </c>
      <c r="E3218" t="str">
        <f>"Y"</f>
        <v>Y</v>
      </c>
      <c r="F3218" t="str">
        <f>"חשבוניות מרכזות"</f>
        <v>חשבוניות מרכזות</v>
      </c>
      <c r="G3218" t="str">
        <f>"700065"</f>
        <v>700065</v>
      </c>
      <c r="H3218" t="str">
        <f>"אלתא מערכות בע""מ"</f>
        <v>אלתא מערכות בע"מ</v>
      </c>
      <c r="I3218" t="str">
        <f>"10"</f>
        <v>10</v>
      </c>
      <c r="J3218" t="str">
        <f>"OP-AR01941"</f>
        <v>OP-AR01941</v>
      </c>
      <c r="K3218" t="str">
        <f>"1013P657-001/- CABLE ASSY 1W27"</f>
        <v>1013P657-001/- CABLE ASSY 1W27</v>
      </c>
      <c r="L3218">
        <v>1</v>
      </c>
      <c r="M3218" t="str">
        <f>"יח"</f>
        <v>יח</v>
      </c>
      <c r="N3218">
        <v>1</v>
      </c>
      <c r="O3218" t="str">
        <f>"יח"</f>
        <v>יח</v>
      </c>
      <c r="P3218">
        <v>704.8</v>
      </c>
      <c r="Q3218" t="str">
        <f>"$"</f>
        <v>$</v>
      </c>
      <c r="R3218" t="str">
        <f>"הזמנה"</f>
        <v>הזמנה</v>
      </c>
      <c r="S3218">
        <v>0</v>
      </c>
      <c r="T3218">
        <v>704.8</v>
      </c>
      <c r="U3218">
        <v>0</v>
      </c>
      <c r="V3218">
        <v>704.8</v>
      </c>
      <c r="W3218" t="str">
        <f>"$"</f>
        <v>$</v>
      </c>
      <c r="X3218">
        <v>0</v>
      </c>
      <c r="Y3218">
        <v>0</v>
      </c>
      <c r="Z3218">
        <v>0</v>
      </c>
      <c r="AA3218" t="str">
        <f>"Y"</f>
        <v>Y</v>
      </c>
      <c r="AB3218" t="str">
        <f>"SO20000332"</f>
        <v>SO20000332</v>
      </c>
      <c r="AC3218">
        <v>1</v>
      </c>
      <c r="AD3218" s="1">
        <v>44039</v>
      </c>
      <c r="AE3218" t="str">
        <f>"SH20001515"</f>
        <v>SH20001515</v>
      </c>
      <c r="AF3218" t="str">
        <f>"משלוחים ללקוח"</f>
        <v>משלוחים ללקוח</v>
      </c>
      <c r="AG3218" s="1">
        <v>44150</v>
      </c>
      <c r="AM3218" t="str">
        <f>"10"</f>
        <v>10</v>
      </c>
      <c r="AN3218" t="str">
        <f>"500000"</f>
        <v>500000</v>
      </c>
      <c r="AO3218" t="str">
        <f>"הכנסות  מלקוחות"</f>
        <v>הכנסות  מלקוחות</v>
      </c>
      <c r="AQ3218" t="str">
        <f>"034"</f>
        <v>034</v>
      </c>
      <c r="AR3218">
        <v>0</v>
      </c>
      <c r="AS3218">
        <v>0</v>
      </c>
      <c r="AT3218">
        <v>3.3559999999999999</v>
      </c>
      <c r="AX3218" t="str">
        <f>"E000317502"</f>
        <v>E000317502</v>
      </c>
      <c r="BD3218" t="str">
        <f>"ערן שלו"</f>
        <v>ערן שלו</v>
      </c>
    </row>
    <row r="3219" spans="1:56" x14ac:dyDescent="0.3">
      <c r="A3219" s="1">
        <v>44153</v>
      </c>
      <c r="B3219" t="str">
        <f>"SI206001265"</f>
        <v>SI206001265</v>
      </c>
      <c r="C3219" t="str">
        <f>"PR20000609"</f>
        <v>PR20000609</v>
      </c>
      <c r="D3219" t="str">
        <f>"PR20000609"</f>
        <v>PR20000609</v>
      </c>
      <c r="E3219" t="str">
        <f>"Y"</f>
        <v>Y</v>
      </c>
      <c r="F3219" t="str">
        <f>"חשבוניות מרכזות"</f>
        <v>חשבוניות מרכזות</v>
      </c>
      <c r="G3219" t="str">
        <f>"700065"</f>
        <v>700065</v>
      </c>
      <c r="H3219" t="str">
        <f>"אלתא מערכות בע""מ"</f>
        <v>אלתא מערכות בע"מ</v>
      </c>
      <c r="I3219" t="str">
        <f>"10"</f>
        <v>10</v>
      </c>
      <c r="J3219" t="str">
        <f>"OP-AR02002"</f>
        <v>OP-AR02002</v>
      </c>
      <c r="K3219" t="str">
        <f>"1040T744-001/-   HARNESS WPD100"</f>
        <v>1040T744-001/-   HARNESS WPD100</v>
      </c>
      <c r="L3219">
        <v>1</v>
      </c>
      <c r="M3219" t="str">
        <f>"יח"</f>
        <v>יח</v>
      </c>
      <c r="N3219">
        <v>1</v>
      </c>
      <c r="O3219" t="str">
        <f>"יח"</f>
        <v>יח</v>
      </c>
      <c r="P3219" s="2">
        <v>1009.12</v>
      </c>
      <c r="Q3219" t="str">
        <f>"$"</f>
        <v>$</v>
      </c>
      <c r="R3219" t="str">
        <f>"הזמנה"</f>
        <v>הזמנה</v>
      </c>
      <c r="S3219">
        <v>0</v>
      </c>
      <c r="T3219" s="2">
        <v>1009.12</v>
      </c>
      <c r="U3219">
        <v>0</v>
      </c>
      <c r="V3219" s="2">
        <v>1009.12</v>
      </c>
      <c r="W3219" t="str">
        <f>"$"</f>
        <v>$</v>
      </c>
      <c r="X3219">
        <v>0</v>
      </c>
      <c r="Y3219">
        <v>0</v>
      </c>
      <c r="Z3219">
        <v>0</v>
      </c>
      <c r="AA3219" t="str">
        <f>"Y"</f>
        <v>Y</v>
      </c>
      <c r="AB3219" t="str">
        <f>"SO20000408"</f>
        <v>SO20000408</v>
      </c>
      <c r="AC3219">
        <v>7</v>
      </c>
      <c r="AD3219" s="1">
        <v>44081</v>
      </c>
      <c r="AE3219" t="str">
        <f>"SH20001526"</f>
        <v>SH20001526</v>
      </c>
      <c r="AF3219" t="str">
        <f>"משלוחים ללקוח"</f>
        <v>משלוחים ללקוח</v>
      </c>
      <c r="AG3219" s="1">
        <v>44150</v>
      </c>
      <c r="AM3219" t="str">
        <f>"10"</f>
        <v>10</v>
      </c>
      <c r="AN3219" t="str">
        <f>"500000"</f>
        <v>500000</v>
      </c>
      <c r="AO3219" t="str">
        <f>"הכנסות  מלקוחות"</f>
        <v>הכנסות  מלקוחות</v>
      </c>
      <c r="AQ3219" t="str">
        <f>"034"</f>
        <v>034</v>
      </c>
      <c r="AR3219">
        <v>0</v>
      </c>
      <c r="AS3219">
        <v>0</v>
      </c>
      <c r="AT3219">
        <v>3.3559999999999999</v>
      </c>
      <c r="AX3219" t="str">
        <f>"E000319385"</f>
        <v>E000319385</v>
      </c>
      <c r="BD3219" t="str">
        <f>"ערן שלו"</f>
        <v>ערן שלו</v>
      </c>
    </row>
    <row r="3220" spans="1:56" x14ac:dyDescent="0.3">
      <c r="A3220" s="1">
        <v>44153</v>
      </c>
      <c r="B3220" t="str">
        <f>"SI206001264"</f>
        <v>SI206001264</v>
      </c>
      <c r="C3220" t="str">
        <f>"PR20000709"</f>
        <v>PR20000709</v>
      </c>
      <c r="D3220" t="str">
        <f>"PR20000709"</f>
        <v>PR20000709</v>
      </c>
      <c r="E3220" t="str">
        <f>"Y"</f>
        <v>Y</v>
      </c>
      <c r="F3220" t="str">
        <f>"חשבוניות מרכזות"</f>
        <v>חשבוניות מרכזות</v>
      </c>
      <c r="G3220" t="str">
        <f>"700065"</f>
        <v>700065</v>
      </c>
      <c r="H3220" t="str">
        <f>"אלתא מערכות בע""מ"</f>
        <v>אלתא מערכות בע"מ</v>
      </c>
      <c r="I3220" t="str">
        <f>"10"</f>
        <v>10</v>
      </c>
      <c r="J3220" t="str">
        <f>"OP-AR02047"</f>
        <v>OP-AR02047</v>
      </c>
      <c r="K3220" t="str">
        <f>"1032F785-001/B - HARNESS W785"</f>
        <v>1032F785-001/B - HARNESS W785</v>
      </c>
      <c r="L3220">
        <v>1</v>
      </c>
      <c r="M3220" t="str">
        <f>"יח"</f>
        <v>יח</v>
      </c>
      <c r="N3220">
        <v>1</v>
      </c>
      <c r="O3220" t="str">
        <f>"יח"</f>
        <v>יח</v>
      </c>
      <c r="P3220">
        <v>769.94</v>
      </c>
      <c r="Q3220" t="str">
        <f>"$"</f>
        <v>$</v>
      </c>
      <c r="R3220" t="str">
        <f>"הזמנה"</f>
        <v>הזמנה</v>
      </c>
      <c r="S3220">
        <v>0</v>
      </c>
      <c r="T3220">
        <v>769.94</v>
      </c>
      <c r="U3220">
        <v>0</v>
      </c>
      <c r="V3220">
        <v>769.94</v>
      </c>
      <c r="W3220" t="str">
        <f>"$"</f>
        <v>$</v>
      </c>
      <c r="X3220">
        <v>0</v>
      </c>
      <c r="Y3220">
        <v>0</v>
      </c>
      <c r="Z3220">
        <v>0</v>
      </c>
      <c r="AA3220" t="str">
        <f>"Y"</f>
        <v>Y</v>
      </c>
      <c r="AB3220" t="str">
        <f>"SO20000465"</f>
        <v>SO20000465</v>
      </c>
      <c r="AC3220">
        <v>1</v>
      </c>
      <c r="AD3220" s="1">
        <v>44119</v>
      </c>
      <c r="AE3220" t="str">
        <f>"SH20001512"</f>
        <v>SH20001512</v>
      </c>
      <c r="AF3220" t="str">
        <f>"משלוחים ללקוח"</f>
        <v>משלוחים ללקוח</v>
      </c>
      <c r="AG3220" s="1">
        <v>44150</v>
      </c>
      <c r="AM3220" t="str">
        <f>"10"</f>
        <v>10</v>
      </c>
      <c r="AN3220" t="str">
        <f>"500000"</f>
        <v>500000</v>
      </c>
      <c r="AO3220" t="str">
        <f>"הכנסות  מלקוחות"</f>
        <v>הכנסות  מלקוחות</v>
      </c>
      <c r="AQ3220" t="str">
        <f>"034"</f>
        <v>034</v>
      </c>
      <c r="AR3220">
        <v>0</v>
      </c>
      <c r="AS3220">
        <v>0</v>
      </c>
      <c r="AT3220">
        <v>3.3559999999999999</v>
      </c>
      <c r="AX3220" t="str">
        <f>"E000323390"</f>
        <v>E000323390</v>
      </c>
      <c r="BD3220" t="str">
        <f>"ערן שלו"</f>
        <v>ערן שלו</v>
      </c>
    </row>
    <row r="3221" spans="1:56" x14ac:dyDescent="0.3">
      <c r="A3221" s="1">
        <v>44153</v>
      </c>
      <c r="B3221" t="str">
        <f>"SI206001264"</f>
        <v>SI206001264</v>
      </c>
      <c r="C3221" t="str">
        <f>"PR20000709"</f>
        <v>PR20000709</v>
      </c>
      <c r="D3221" t="str">
        <f>"PR20000709"</f>
        <v>PR20000709</v>
      </c>
      <c r="E3221" t="str">
        <f>"Y"</f>
        <v>Y</v>
      </c>
      <c r="F3221" t="str">
        <f>"חשבוניות מרכזות"</f>
        <v>חשבוניות מרכזות</v>
      </c>
      <c r="G3221" t="str">
        <f>"700065"</f>
        <v>700065</v>
      </c>
      <c r="H3221" t="str">
        <f>"אלתא מערכות בע""מ"</f>
        <v>אלתא מערכות בע"מ</v>
      </c>
      <c r="I3221" t="str">
        <f>"10"</f>
        <v>10</v>
      </c>
      <c r="J3221" t="str">
        <f>"OP-AR02048"</f>
        <v>OP-AR02048</v>
      </c>
      <c r="K3221" t="str">
        <f>"1032F786-001/B - HARNESS W786"</f>
        <v>1032F786-001/B - HARNESS W786</v>
      </c>
      <c r="L3221">
        <v>1</v>
      </c>
      <c r="M3221" t="str">
        <f>"יח"</f>
        <v>יח</v>
      </c>
      <c r="N3221">
        <v>1</v>
      </c>
      <c r="O3221" t="str">
        <f>"יח"</f>
        <v>יח</v>
      </c>
      <c r="P3221">
        <v>276.61</v>
      </c>
      <c r="Q3221" t="str">
        <f>"$"</f>
        <v>$</v>
      </c>
      <c r="R3221" t="str">
        <f>"הזמנה"</f>
        <v>הזמנה</v>
      </c>
      <c r="S3221">
        <v>0</v>
      </c>
      <c r="T3221">
        <v>276.61</v>
      </c>
      <c r="U3221">
        <v>0</v>
      </c>
      <c r="V3221">
        <v>276.61</v>
      </c>
      <c r="W3221" t="str">
        <f>"$"</f>
        <v>$</v>
      </c>
      <c r="X3221">
        <v>0</v>
      </c>
      <c r="Y3221">
        <v>0</v>
      </c>
      <c r="Z3221">
        <v>0</v>
      </c>
      <c r="AA3221" t="str">
        <f>"Y"</f>
        <v>Y</v>
      </c>
      <c r="AB3221" t="str">
        <f>"SO20000465"</f>
        <v>SO20000465</v>
      </c>
      <c r="AC3221">
        <v>2</v>
      </c>
      <c r="AD3221" s="1">
        <v>44119</v>
      </c>
      <c r="AE3221" t="str">
        <f>"SH20001512"</f>
        <v>SH20001512</v>
      </c>
      <c r="AF3221" t="str">
        <f>"משלוחים ללקוח"</f>
        <v>משלוחים ללקוח</v>
      </c>
      <c r="AG3221" s="1">
        <v>44150</v>
      </c>
      <c r="AM3221" t="str">
        <f>"10"</f>
        <v>10</v>
      </c>
      <c r="AN3221" t="str">
        <f>"500000"</f>
        <v>500000</v>
      </c>
      <c r="AO3221" t="str">
        <f>"הכנסות  מלקוחות"</f>
        <v>הכנסות  מלקוחות</v>
      </c>
      <c r="AQ3221" t="str">
        <f>"034"</f>
        <v>034</v>
      </c>
      <c r="AR3221">
        <v>0</v>
      </c>
      <c r="AS3221">
        <v>0</v>
      </c>
      <c r="AT3221">
        <v>3.3559999999999999</v>
      </c>
      <c r="AX3221" t="str">
        <f>"E000323390"</f>
        <v>E000323390</v>
      </c>
      <c r="BD3221" t="str">
        <f>"ערן שלו"</f>
        <v>ערן שלו</v>
      </c>
    </row>
    <row r="3222" spans="1:56" x14ac:dyDescent="0.3">
      <c r="A3222" s="1">
        <v>44153</v>
      </c>
      <c r="B3222" t="str">
        <f>"SI206001263"</f>
        <v>SI206001263</v>
      </c>
      <c r="C3222" t="str">
        <f>"PR18000543"</f>
        <v>PR18000543</v>
      </c>
      <c r="E3222" t="str">
        <f>"Y"</f>
        <v>Y</v>
      </c>
      <c r="F3222" t="str">
        <f>"חשבוניות מרכזות"</f>
        <v>חשבוניות מרכזות</v>
      </c>
      <c r="G3222" t="str">
        <f>"700065"</f>
        <v>700065</v>
      </c>
      <c r="H3222" t="str">
        <f>"אלתא מערכות בע""מ"</f>
        <v>אלתא מערכות בע"מ</v>
      </c>
      <c r="I3222" t="str">
        <f>"10"</f>
        <v>10</v>
      </c>
      <c r="J3222" t="str">
        <f>"OP-AR01083"</f>
        <v>OP-AR01083</v>
      </c>
      <c r="K3222" t="str">
        <f>"1036C960-001 HVJB_N"</f>
        <v>1036C960-001 HVJB_N</v>
      </c>
      <c r="L3222">
        <v>6</v>
      </c>
      <c r="M3222" t="str">
        <f>"יח"</f>
        <v>יח</v>
      </c>
      <c r="N3222">
        <v>6</v>
      </c>
      <c r="O3222" t="str">
        <f>"יח"</f>
        <v>יח</v>
      </c>
      <c r="P3222" s="2">
        <v>6000</v>
      </c>
      <c r="Q3222" t="str">
        <f>"$"</f>
        <v>$</v>
      </c>
      <c r="R3222" t="str">
        <f>"הזמנה"</f>
        <v>הזמנה</v>
      </c>
      <c r="S3222">
        <v>0</v>
      </c>
      <c r="T3222" s="2">
        <v>36000</v>
      </c>
      <c r="U3222">
        <v>0</v>
      </c>
      <c r="V3222" s="2">
        <v>36000</v>
      </c>
      <c r="W3222" t="str">
        <f>"$"</f>
        <v>$</v>
      </c>
      <c r="X3222">
        <v>0</v>
      </c>
      <c r="Y3222">
        <v>0</v>
      </c>
      <c r="Z3222">
        <v>0</v>
      </c>
      <c r="AA3222" t="str">
        <f>"Y"</f>
        <v>Y</v>
      </c>
      <c r="AB3222" t="str">
        <f>"SO19000320"</f>
        <v>SO19000320</v>
      </c>
      <c r="AC3222">
        <v>4</v>
      </c>
      <c r="AD3222" s="1">
        <v>43667</v>
      </c>
      <c r="AE3222" t="str">
        <f>"SH20001518"</f>
        <v>SH20001518</v>
      </c>
      <c r="AF3222" t="str">
        <f>"משלוחים ללקוח"</f>
        <v>משלוחים ללקוח</v>
      </c>
      <c r="AG3222" s="1">
        <v>44150</v>
      </c>
      <c r="AM3222" t="str">
        <f>"10"</f>
        <v>10</v>
      </c>
      <c r="AN3222" t="str">
        <f>"500000"</f>
        <v>500000</v>
      </c>
      <c r="AO3222" t="str">
        <f>"הכנסות  מלקוחות"</f>
        <v>הכנסות  מלקוחות</v>
      </c>
      <c r="AQ3222" t="str">
        <f>"034"</f>
        <v>034</v>
      </c>
      <c r="AR3222">
        <v>0</v>
      </c>
      <c r="AS3222">
        <v>0</v>
      </c>
      <c r="AT3222">
        <v>3.3559999999999999</v>
      </c>
      <c r="AX3222" t="str">
        <f>"E000290709"</f>
        <v>E000290709</v>
      </c>
      <c r="BD3222" t="str">
        <f>"ערן שלו"</f>
        <v>ערן שלו</v>
      </c>
    </row>
    <row r="3223" spans="1:56" x14ac:dyDescent="0.3">
      <c r="A3223" s="1">
        <v>44153</v>
      </c>
      <c r="B3223" t="str">
        <f>"SI206001263"</f>
        <v>SI206001263</v>
      </c>
      <c r="C3223" t="str">
        <f>"PR18000543"</f>
        <v>PR18000543</v>
      </c>
      <c r="E3223" t="str">
        <f>"Y"</f>
        <v>Y</v>
      </c>
      <c r="F3223" t="str">
        <f>"חשבוניות מרכזות"</f>
        <v>חשבוניות מרכזות</v>
      </c>
      <c r="G3223" t="str">
        <f>"700065"</f>
        <v>700065</v>
      </c>
      <c r="H3223" t="str">
        <f>"אלתא מערכות בע""מ"</f>
        <v>אלתא מערכות בע"מ</v>
      </c>
      <c r="I3223" t="str">
        <f>"10"</f>
        <v>10</v>
      </c>
      <c r="J3223" t="str">
        <f>"OP-AR01083"</f>
        <v>OP-AR01083</v>
      </c>
      <c r="K3223" t="str">
        <f>"1036C960-001 HVJB_N"</f>
        <v>1036C960-001 HVJB_N</v>
      </c>
      <c r="L3223">
        <v>8</v>
      </c>
      <c r="M3223" t="str">
        <f>"יח"</f>
        <v>יח</v>
      </c>
      <c r="N3223">
        <v>8</v>
      </c>
      <c r="O3223" t="str">
        <f>"יח"</f>
        <v>יח</v>
      </c>
      <c r="P3223" s="2">
        <v>6000</v>
      </c>
      <c r="Q3223" t="str">
        <f>"$"</f>
        <v>$</v>
      </c>
      <c r="R3223" t="str">
        <f>"הזמנה"</f>
        <v>הזמנה</v>
      </c>
      <c r="S3223">
        <v>0</v>
      </c>
      <c r="T3223" s="2">
        <v>48000</v>
      </c>
      <c r="U3223">
        <v>0</v>
      </c>
      <c r="V3223" s="2">
        <v>48000</v>
      </c>
      <c r="W3223" t="str">
        <f>"$"</f>
        <v>$</v>
      </c>
      <c r="X3223">
        <v>0</v>
      </c>
      <c r="Y3223">
        <v>0</v>
      </c>
      <c r="Z3223">
        <v>0</v>
      </c>
      <c r="AA3223" t="str">
        <f>"Y"</f>
        <v>Y</v>
      </c>
      <c r="AB3223" t="str">
        <f>"SO19000320"</f>
        <v>SO19000320</v>
      </c>
      <c r="AC3223">
        <v>5</v>
      </c>
      <c r="AD3223" s="1">
        <v>43667</v>
      </c>
      <c r="AE3223" t="str">
        <f>"SH20001518"</f>
        <v>SH20001518</v>
      </c>
      <c r="AF3223" t="str">
        <f>"משלוחים ללקוח"</f>
        <v>משלוחים ללקוח</v>
      </c>
      <c r="AG3223" s="1">
        <v>44150</v>
      </c>
      <c r="AM3223" t="str">
        <f>"10"</f>
        <v>10</v>
      </c>
      <c r="AN3223" t="str">
        <f>"500000"</f>
        <v>500000</v>
      </c>
      <c r="AO3223" t="str">
        <f>"הכנסות  מלקוחות"</f>
        <v>הכנסות  מלקוחות</v>
      </c>
      <c r="AQ3223" t="str">
        <f>"034"</f>
        <v>034</v>
      </c>
      <c r="AR3223">
        <v>0</v>
      </c>
      <c r="AS3223">
        <v>0</v>
      </c>
      <c r="AT3223">
        <v>3.3559999999999999</v>
      </c>
      <c r="AX3223" t="str">
        <f>"E000290709"</f>
        <v>E000290709</v>
      </c>
      <c r="BD3223" t="str">
        <f>"ערן שלו"</f>
        <v>ערן שלו</v>
      </c>
    </row>
    <row r="3224" spans="1:56" x14ac:dyDescent="0.3">
      <c r="A3224" s="1">
        <v>44153</v>
      </c>
      <c r="B3224" t="str">
        <f>"SI206001262"</f>
        <v>SI206001262</v>
      </c>
      <c r="C3224" t="str">
        <f>"PR20000561"</f>
        <v>PR20000561</v>
      </c>
      <c r="D3224" t="str">
        <f>"PR20000561"</f>
        <v>PR20000561</v>
      </c>
      <c r="E3224" t="str">
        <f>"Y"</f>
        <v>Y</v>
      </c>
      <c r="F3224" t="str">
        <f>"חשבוניות מרכזות"</f>
        <v>חשבוניות מרכזות</v>
      </c>
      <c r="G3224" t="str">
        <f>"700065"</f>
        <v>700065</v>
      </c>
      <c r="H3224" t="str">
        <f>"אלתא מערכות בע""מ"</f>
        <v>אלתא מערכות בע"מ</v>
      </c>
      <c r="I3224" t="str">
        <f>"10"</f>
        <v>10</v>
      </c>
      <c r="J3224" t="str">
        <f>"OP-AR01975"</f>
        <v>OP-AR01975</v>
      </c>
      <c r="K3224" t="str">
        <f>"2023E226-001/-01  CABLE ASSY POWER J1"</f>
        <v>2023E226-001/-01  CABLE ASSY POWER J1</v>
      </c>
      <c r="L3224">
        <v>2</v>
      </c>
      <c r="M3224" t="str">
        <f>"יח"</f>
        <v>יח</v>
      </c>
      <c r="N3224">
        <v>2</v>
      </c>
      <c r="O3224" t="str">
        <f>"יח"</f>
        <v>יח</v>
      </c>
      <c r="P3224">
        <v>342.36</v>
      </c>
      <c r="Q3224" t="str">
        <f>"$"</f>
        <v>$</v>
      </c>
      <c r="R3224" t="str">
        <f>"הזמנה"</f>
        <v>הזמנה</v>
      </c>
      <c r="S3224">
        <v>0</v>
      </c>
      <c r="T3224">
        <v>684.72</v>
      </c>
      <c r="U3224">
        <v>0</v>
      </c>
      <c r="V3224">
        <v>684.72</v>
      </c>
      <c r="W3224" t="str">
        <f>"$"</f>
        <v>$</v>
      </c>
      <c r="X3224">
        <v>0</v>
      </c>
      <c r="Y3224">
        <v>0</v>
      </c>
      <c r="Z3224">
        <v>0</v>
      </c>
      <c r="AA3224" t="str">
        <f>"Y"</f>
        <v>Y</v>
      </c>
      <c r="AB3224" t="str">
        <f>"SO20000364"</f>
        <v>SO20000364</v>
      </c>
      <c r="AC3224">
        <v>1</v>
      </c>
      <c r="AD3224" s="1">
        <v>44061</v>
      </c>
      <c r="AE3224" t="str">
        <f>"SH20001524"</f>
        <v>SH20001524</v>
      </c>
      <c r="AF3224" t="str">
        <f>"משלוחים ללקוח"</f>
        <v>משלוחים ללקוח</v>
      </c>
      <c r="AG3224" s="1">
        <v>44150</v>
      </c>
      <c r="AM3224" t="str">
        <f>"10"</f>
        <v>10</v>
      </c>
      <c r="AN3224" t="str">
        <f>"500000"</f>
        <v>500000</v>
      </c>
      <c r="AO3224" t="str">
        <f>"הכנסות  מלקוחות"</f>
        <v>הכנסות  מלקוחות</v>
      </c>
      <c r="AQ3224" t="str">
        <f>"034"</f>
        <v>034</v>
      </c>
      <c r="AR3224">
        <v>0</v>
      </c>
      <c r="AS3224">
        <v>0</v>
      </c>
      <c r="AT3224">
        <v>3.3559999999999999</v>
      </c>
      <c r="AX3224" t="str">
        <f>"E000319399"</f>
        <v>E000319399</v>
      </c>
      <c r="BD3224" t="str">
        <f>"ערן שלו"</f>
        <v>ערן שלו</v>
      </c>
    </row>
    <row r="3225" spans="1:56" x14ac:dyDescent="0.3">
      <c r="A3225" s="1">
        <v>44153</v>
      </c>
      <c r="B3225" t="str">
        <f>"SI206001261"</f>
        <v>SI206001261</v>
      </c>
      <c r="C3225" t="str">
        <f>"PR20000697"</f>
        <v>PR20000697</v>
      </c>
      <c r="E3225" t="str">
        <f>"Y"</f>
        <v>Y</v>
      </c>
      <c r="F3225" t="str">
        <f>"חשבוניות מרכזות"</f>
        <v>חשבוניות מרכזות</v>
      </c>
      <c r="G3225" t="str">
        <f>"700065"</f>
        <v>700065</v>
      </c>
      <c r="H3225" t="str">
        <f>"אלתא מערכות בע""מ"</f>
        <v>אלתא מערכות בע"מ</v>
      </c>
      <c r="I3225" t="str">
        <f>"10"</f>
        <v>10</v>
      </c>
      <c r="J3225" t="str">
        <f>"OP-AR01696"</f>
        <v>OP-AR01696</v>
      </c>
      <c r="K3225" t="str">
        <f>"1020B582-001 P.C.U W6 HARNESS INPUT AC 3 PHASE T"</f>
        <v>1020B582-001 P.C.U W6 HARNESS INPUT AC 3 PHASE T</v>
      </c>
      <c r="L3225">
        <v>1</v>
      </c>
      <c r="M3225" t="str">
        <f>"יח"</f>
        <v>יח</v>
      </c>
      <c r="N3225">
        <v>1</v>
      </c>
      <c r="O3225" t="str">
        <f>"יח"</f>
        <v>יח</v>
      </c>
      <c r="P3225">
        <v>324.37</v>
      </c>
      <c r="Q3225" t="str">
        <f>"$"</f>
        <v>$</v>
      </c>
      <c r="R3225" t="str">
        <f>"הזמנה"</f>
        <v>הזמנה</v>
      </c>
      <c r="S3225">
        <v>0</v>
      </c>
      <c r="T3225">
        <v>324.37</v>
      </c>
      <c r="U3225">
        <v>0</v>
      </c>
      <c r="V3225">
        <v>324.37</v>
      </c>
      <c r="W3225" t="str">
        <f>"$"</f>
        <v>$</v>
      </c>
      <c r="X3225">
        <v>0</v>
      </c>
      <c r="Y3225">
        <v>0</v>
      </c>
      <c r="Z3225">
        <v>0</v>
      </c>
      <c r="AA3225" t="str">
        <f>"Y"</f>
        <v>Y</v>
      </c>
      <c r="AB3225" t="str">
        <f>"SO20000141"</f>
        <v>SO20000141</v>
      </c>
      <c r="AC3225">
        <v>12</v>
      </c>
      <c r="AD3225" s="1">
        <v>43940</v>
      </c>
      <c r="AE3225" t="str">
        <f>"SH20001514"</f>
        <v>SH20001514</v>
      </c>
      <c r="AF3225" t="str">
        <f>"משלוחים ללקוח"</f>
        <v>משלוחים ללקוח</v>
      </c>
      <c r="AG3225" s="1">
        <v>44150</v>
      </c>
      <c r="AM3225" t="str">
        <f>"10"</f>
        <v>10</v>
      </c>
      <c r="AN3225" t="str">
        <f>"500000"</f>
        <v>500000</v>
      </c>
      <c r="AO3225" t="str">
        <f>"הכנסות  מלקוחות"</f>
        <v>הכנסות  מלקוחות</v>
      </c>
      <c r="AQ3225" t="str">
        <f>"034"</f>
        <v>034</v>
      </c>
      <c r="AR3225">
        <v>0</v>
      </c>
      <c r="AS3225">
        <v>0</v>
      </c>
      <c r="AT3225">
        <v>3.3559999999999999</v>
      </c>
      <c r="AX3225" t="str">
        <f>"E000308646"</f>
        <v>E000308646</v>
      </c>
      <c r="BD3225" t="str">
        <f>"ערן שלו"</f>
        <v>ערן שלו</v>
      </c>
    </row>
    <row r="3226" spans="1:56" x14ac:dyDescent="0.3">
      <c r="A3226" s="1">
        <v>44153</v>
      </c>
      <c r="B3226" t="str">
        <f>"SI206001260"</f>
        <v>SI206001260</v>
      </c>
      <c r="C3226" t="str">
        <f>"PR20000502"</f>
        <v>PR20000502</v>
      </c>
      <c r="D3226" t="str">
        <f>"PR20000501"</f>
        <v>PR20000501</v>
      </c>
      <c r="E3226" t="str">
        <f>"Y"</f>
        <v>Y</v>
      </c>
      <c r="F3226" t="str">
        <f>"חשבוניות מרכזות"</f>
        <v>חשבוניות מרכזות</v>
      </c>
      <c r="G3226" t="str">
        <f>"700065"</f>
        <v>700065</v>
      </c>
      <c r="H3226" t="str">
        <f>"אלתא מערכות בע""מ"</f>
        <v>אלתא מערכות בע"מ</v>
      </c>
      <c r="I3226" t="str">
        <f>"10"</f>
        <v>10</v>
      </c>
      <c r="J3226" t="str">
        <f>"OP-AR01934"</f>
        <v>OP-AR01934</v>
      </c>
      <c r="K3226" t="str">
        <f>"1038N524-001/A   CONTROL CABLE"</f>
        <v>1038N524-001/A   CONTROL CABLE</v>
      </c>
      <c r="L3226">
        <v>2</v>
      </c>
      <c r="M3226" t="str">
        <f>"יח"</f>
        <v>יח</v>
      </c>
      <c r="N3226">
        <v>2</v>
      </c>
      <c r="O3226" t="str">
        <f>"יח"</f>
        <v>יח</v>
      </c>
      <c r="P3226">
        <v>742.21</v>
      </c>
      <c r="Q3226" t="str">
        <f>"$"</f>
        <v>$</v>
      </c>
      <c r="R3226" t="str">
        <f>"הזמנה"</f>
        <v>הזמנה</v>
      </c>
      <c r="S3226">
        <v>0</v>
      </c>
      <c r="T3226" s="2">
        <v>1484.42</v>
      </c>
      <c r="U3226">
        <v>0</v>
      </c>
      <c r="V3226" s="2">
        <v>1484.42</v>
      </c>
      <c r="W3226" t="str">
        <f>"$"</f>
        <v>$</v>
      </c>
      <c r="X3226">
        <v>0</v>
      </c>
      <c r="Y3226">
        <v>0</v>
      </c>
      <c r="Z3226">
        <v>0</v>
      </c>
      <c r="AA3226" t="str">
        <f>"Y"</f>
        <v>Y</v>
      </c>
      <c r="AB3226" t="str">
        <f>"SO20000308"</f>
        <v>SO20000308</v>
      </c>
      <c r="AC3226">
        <v>1</v>
      </c>
      <c r="AD3226" s="1">
        <v>44031</v>
      </c>
      <c r="AE3226" t="str">
        <f>"SH20001522"</f>
        <v>SH20001522</v>
      </c>
      <c r="AF3226" t="str">
        <f>"משלוחים ללקוח"</f>
        <v>משלוחים ללקוח</v>
      </c>
      <c r="AG3226" s="1">
        <v>44150</v>
      </c>
      <c r="AM3226" t="str">
        <f>"10"</f>
        <v>10</v>
      </c>
      <c r="AN3226" t="str">
        <f>"500000"</f>
        <v>500000</v>
      </c>
      <c r="AO3226" t="str">
        <f>"הכנסות  מלקוחות"</f>
        <v>הכנסות  מלקוחות</v>
      </c>
      <c r="AQ3226" t="str">
        <f>"034"</f>
        <v>034</v>
      </c>
      <c r="AR3226">
        <v>0</v>
      </c>
      <c r="AS3226">
        <v>0</v>
      </c>
      <c r="AT3226">
        <v>3.3559999999999999</v>
      </c>
      <c r="AX3226" t="str">
        <f>"E000316577"</f>
        <v>E000316577</v>
      </c>
      <c r="BD3226" t="str">
        <f>"ערן שלו"</f>
        <v>ערן שלו</v>
      </c>
    </row>
    <row r="3227" spans="1:56" x14ac:dyDescent="0.3">
      <c r="A3227" s="1">
        <v>44153</v>
      </c>
      <c r="B3227" t="str">
        <f>"SI206001260"</f>
        <v>SI206001260</v>
      </c>
      <c r="C3227" t="str">
        <f>"PR20000502"</f>
        <v>PR20000502</v>
      </c>
      <c r="D3227" t="str">
        <f>"PR20000501"</f>
        <v>PR20000501</v>
      </c>
      <c r="E3227" t="str">
        <f>"Y"</f>
        <v>Y</v>
      </c>
      <c r="F3227" t="str">
        <f>"חשבוניות מרכזות"</f>
        <v>חשבוניות מרכזות</v>
      </c>
      <c r="G3227" t="str">
        <f>"700065"</f>
        <v>700065</v>
      </c>
      <c r="H3227" t="str">
        <f>"אלתא מערכות בע""מ"</f>
        <v>אלתא מערכות בע"מ</v>
      </c>
      <c r="I3227" t="str">
        <f>"10"</f>
        <v>10</v>
      </c>
      <c r="J3227" t="str">
        <f>"OP-AR01934"</f>
        <v>OP-AR01934</v>
      </c>
      <c r="K3227" t="str">
        <f>"1038N524-001/A   CONTROL CABLE"</f>
        <v>1038N524-001/A   CONTROL CABLE</v>
      </c>
      <c r="L3227">
        <v>2</v>
      </c>
      <c r="M3227" t="str">
        <f>"יח"</f>
        <v>יח</v>
      </c>
      <c r="N3227">
        <v>2</v>
      </c>
      <c r="O3227" t="str">
        <f>"יח"</f>
        <v>יח</v>
      </c>
      <c r="P3227">
        <v>742.21</v>
      </c>
      <c r="Q3227" t="str">
        <f>"$"</f>
        <v>$</v>
      </c>
      <c r="R3227" t="str">
        <f>"הזמנה"</f>
        <v>הזמנה</v>
      </c>
      <c r="S3227">
        <v>0</v>
      </c>
      <c r="T3227" s="2">
        <v>1484.42</v>
      </c>
      <c r="U3227">
        <v>0</v>
      </c>
      <c r="V3227" s="2">
        <v>1484.42</v>
      </c>
      <c r="W3227" t="str">
        <f>"$"</f>
        <v>$</v>
      </c>
      <c r="X3227">
        <v>0</v>
      </c>
      <c r="Y3227">
        <v>0</v>
      </c>
      <c r="Z3227">
        <v>0</v>
      </c>
      <c r="AA3227" t="str">
        <f>"Y"</f>
        <v>Y</v>
      </c>
      <c r="AB3227" t="str">
        <f>"SO20000308"</f>
        <v>SO20000308</v>
      </c>
      <c r="AC3227">
        <v>2</v>
      </c>
      <c r="AD3227" s="1">
        <v>44031</v>
      </c>
      <c r="AE3227" t="str">
        <f>"SH20001522"</f>
        <v>SH20001522</v>
      </c>
      <c r="AF3227" t="str">
        <f>"משלוחים ללקוח"</f>
        <v>משלוחים ללקוח</v>
      </c>
      <c r="AG3227" s="1">
        <v>44150</v>
      </c>
      <c r="AM3227" t="str">
        <f>"10"</f>
        <v>10</v>
      </c>
      <c r="AN3227" t="str">
        <f>"500000"</f>
        <v>500000</v>
      </c>
      <c r="AO3227" t="str">
        <f>"הכנסות  מלקוחות"</f>
        <v>הכנסות  מלקוחות</v>
      </c>
      <c r="AQ3227" t="str">
        <f>"034"</f>
        <v>034</v>
      </c>
      <c r="AR3227">
        <v>0</v>
      </c>
      <c r="AS3227">
        <v>0</v>
      </c>
      <c r="AT3227">
        <v>3.3559999999999999</v>
      </c>
      <c r="AX3227" t="str">
        <f>"E000316577"</f>
        <v>E000316577</v>
      </c>
      <c r="BD3227" t="str">
        <f>"ערן שלו"</f>
        <v>ערן שלו</v>
      </c>
    </row>
    <row r="3228" spans="1:56" x14ac:dyDescent="0.3">
      <c r="A3228" s="1">
        <v>44153</v>
      </c>
      <c r="B3228" t="str">
        <f>"SI206001260"</f>
        <v>SI206001260</v>
      </c>
      <c r="C3228" t="str">
        <f>"PR20000502"</f>
        <v>PR20000502</v>
      </c>
      <c r="D3228" t="str">
        <f>"PR20000501"</f>
        <v>PR20000501</v>
      </c>
      <c r="E3228" t="str">
        <f>"Y"</f>
        <v>Y</v>
      </c>
      <c r="F3228" t="str">
        <f>"חשבוניות מרכזות"</f>
        <v>חשבוניות מרכזות</v>
      </c>
      <c r="G3228" t="str">
        <f>"700065"</f>
        <v>700065</v>
      </c>
      <c r="H3228" t="str">
        <f>"אלתא מערכות בע""מ"</f>
        <v>אלתא מערכות בע"מ</v>
      </c>
      <c r="I3228" t="str">
        <f>"10"</f>
        <v>10</v>
      </c>
      <c r="J3228" t="str">
        <f>"OP-AR01934"</f>
        <v>OP-AR01934</v>
      </c>
      <c r="K3228" t="str">
        <f>"1038N524-001/A   CONTROL CABLE"</f>
        <v>1038N524-001/A   CONTROL CABLE</v>
      </c>
      <c r="L3228">
        <v>2</v>
      </c>
      <c r="M3228" t="str">
        <f>"יח"</f>
        <v>יח</v>
      </c>
      <c r="N3228">
        <v>2</v>
      </c>
      <c r="O3228" t="str">
        <f>"יח"</f>
        <v>יח</v>
      </c>
      <c r="P3228">
        <v>742.21</v>
      </c>
      <c r="Q3228" t="str">
        <f>"$"</f>
        <v>$</v>
      </c>
      <c r="R3228" t="str">
        <f>"הזמנה"</f>
        <v>הזמנה</v>
      </c>
      <c r="S3228">
        <v>0</v>
      </c>
      <c r="T3228" s="2">
        <v>1484.42</v>
      </c>
      <c r="U3228">
        <v>0</v>
      </c>
      <c r="V3228" s="2">
        <v>1484.42</v>
      </c>
      <c r="W3228" t="str">
        <f>"$"</f>
        <v>$</v>
      </c>
      <c r="X3228">
        <v>0</v>
      </c>
      <c r="Y3228">
        <v>0</v>
      </c>
      <c r="Z3228">
        <v>0</v>
      </c>
      <c r="AA3228" t="str">
        <f>"Y"</f>
        <v>Y</v>
      </c>
      <c r="AB3228" t="str">
        <f>"SO20000308"</f>
        <v>SO20000308</v>
      </c>
      <c r="AC3228">
        <v>3</v>
      </c>
      <c r="AD3228" s="1">
        <v>44031</v>
      </c>
      <c r="AE3228" t="str">
        <f>"SH20001522"</f>
        <v>SH20001522</v>
      </c>
      <c r="AF3228" t="str">
        <f>"משלוחים ללקוח"</f>
        <v>משלוחים ללקוח</v>
      </c>
      <c r="AG3228" s="1">
        <v>44150</v>
      </c>
      <c r="AM3228" t="str">
        <f>"10"</f>
        <v>10</v>
      </c>
      <c r="AN3228" t="str">
        <f>"500000"</f>
        <v>500000</v>
      </c>
      <c r="AO3228" t="str">
        <f>"הכנסות  מלקוחות"</f>
        <v>הכנסות  מלקוחות</v>
      </c>
      <c r="AQ3228" t="str">
        <f>"034"</f>
        <v>034</v>
      </c>
      <c r="AR3228">
        <v>0</v>
      </c>
      <c r="AS3228">
        <v>0</v>
      </c>
      <c r="AT3228">
        <v>3.3559999999999999</v>
      </c>
      <c r="AX3228" t="str">
        <f>"E000316577"</f>
        <v>E000316577</v>
      </c>
      <c r="BD3228" t="str">
        <f>"ערן שלו"</f>
        <v>ערן שלו</v>
      </c>
    </row>
    <row r="3229" spans="1:56" x14ac:dyDescent="0.3">
      <c r="A3229" s="1">
        <v>44153</v>
      </c>
      <c r="B3229" t="str">
        <f>"SI206001259"</f>
        <v>SI206001259</v>
      </c>
      <c r="C3229" t="str">
        <f>"PR20000502"</f>
        <v>PR20000502</v>
      </c>
      <c r="D3229" t="str">
        <f>"PR20000502"</f>
        <v>PR20000502</v>
      </c>
      <c r="E3229" t="str">
        <f>"Y"</f>
        <v>Y</v>
      </c>
      <c r="F3229" t="str">
        <f>"חשבוניות מרכזות"</f>
        <v>חשבוניות מרכזות</v>
      </c>
      <c r="G3229" t="str">
        <f>"700065"</f>
        <v>700065</v>
      </c>
      <c r="H3229" t="str">
        <f>"אלתא מערכות בע""מ"</f>
        <v>אלתא מערכות בע"מ</v>
      </c>
      <c r="I3229" t="str">
        <f>"10"</f>
        <v>10</v>
      </c>
      <c r="J3229" t="str">
        <f>"OP-AR01927"</f>
        <v>OP-AR01927</v>
      </c>
      <c r="K3229" t="str">
        <f>"4006M608-001/C1  RSW53 CABLE ASSY"</f>
        <v>4006M608-001/C1  RSW53 CABLE ASSY</v>
      </c>
      <c r="L3229">
        <v>2</v>
      </c>
      <c r="M3229" t="str">
        <f>"יח"</f>
        <v>יח</v>
      </c>
      <c r="N3229">
        <v>2</v>
      </c>
      <c r="O3229" t="str">
        <f>"יח"</f>
        <v>יח</v>
      </c>
      <c r="P3229">
        <v>761.11</v>
      </c>
      <c r="Q3229" t="str">
        <f>"$"</f>
        <v>$</v>
      </c>
      <c r="R3229" t="str">
        <f>"הזמנה"</f>
        <v>הזמנה</v>
      </c>
      <c r="S3229">
        <v>0</v>
      </c>
      <c r="T3229" s="2">
        <v>1522.22</v>
      </c>
      <c r="U3229">
        <v>0</v>
      </c>
      <c r="V3229" s="2">
        <v>1522.22</v>
      </c>
      <c r="W3229" t="str">
        <f>"$"</f>
        <v>$</v>
      </c>
      <c r="X3229">
        <v>0</v>
      </c>
      <c r="Y3229">
        <v>0</v>
      </c>
      <c r="Z3229">
        <v>0</v>
      </c>
      <c r="AA3229" t="str">
        <f>"Y"</f>
        <v>Y</v>
      </c>
      <c r="AB3229" t="str">
        <f>"SO20000309"</f>
        <v>SO20000309</v>
      </c>
      <c r="AC3229">
        <v>7</v>
      </c>
      <c r="AD3229" s="1">
        <v>44031</v>
      </c>
      <c r="AE3229" t="str">
        <f>"SH20001517"</f>
        <v>SH20001517</v>
      </c>
      <c r="AF3229" t="str">
        <f>"משלוחים ללקוח"</f>
        <v>משלוחים ללקוח</v>
      </c>
      <c r="AG3229" s="1">
        <v>44150</v>
      </c>
      <c r="AM3229" t="str">
        <f>"10"</f>
        <v>10</v>
      </c>
      <c r="AN3229" t="str">
        <f>"500000"</f>
        <v>500000</v>
      </c>
      <c r="AO3229" t="str">
        <f>"הכנסות  מלקוחות"</f>
        <v>הכנסות  מלקוחות</v>
      </c>
      <c r="AQ3229" t="str">
        <f>"034"</f>
        <v>034</v>
      </c>
      <c r="AR3229">
        <v>0</v>
      </c>
      <c r="AS3229">
        <v>0</v>
      </c>
      <c r="AT3229">
        <v>3.3559999999999999</v>
      </c>
      <c r="AX3229" t="str">
        <f>"E000316387"</f>
        <v>E000316387</v>
      </c>
      <c r="BD3229" t="str">
        <f>"ערן שלו"</f>
        <v>ערן שלו</v>
      </c>
    </row>
    <row r="3230" spans="1:56" x14ac:dyDescent="0.3">
      <c r="A3230" s="1">
        <v>44153</v>
      </c>
      <c r="B3230" t="str">
        <f>"SI206001258"</f>
        <v>SI206001258</v>
      </c>
      <c r="C3230" t="str">
        <f>"PR19000400"</f>
        <v>PR19000400</v>
      </c>
      <c r="E3230" t="str">
        <f>"Y"</f>
        <v>Y</v>
      </c>
      <c r="F3230" t="str">
        <f>"חשבוניות מרכזות"</f>
        <v>חשבוניות מרכזות</v>
      </c>
      <c r="G3230" t="str">
        <f>"700065"</f>
        <v>700065</v>
      </c>
      <c r="H3230" t="str">
        <f>"אלתא מערכות בע""מ"</f>
        <v>אלתא מערכות בע"מ</v>
      </c>
      <c r="I3230" t="str">
        <f>"11"</f>
        <v>11</v>
      </c>
      <c r="J3230" t="str">
        <f>"OP-KT00109"</f>
        <v>OP-KT00109</v>
      </c>
      <c r="K3230" t="str">
        <f>"BEL07 P15 EPS CABLE KIT"</f>
        <v>BEL07 P15 EPS CABLE KIT</v>
      </c>
      <c r="L3230">
        <v>3</v>
      </c>
      <c r="M3230" t="str">
        <f>"יח"</f>
        <v>יח</v>
      </c>
      <c r="N3230">
        <v>3</v>
      </c>
      <c r="O3230" t="str">
        <f>"יח"</f>
        <v>יח</v>
      </c>
      <c r="P3230" s="2">
        <v>28749</v>
      </c>
      <c r="Q3230" t="str">
        <f>"$"</f>
        <v>$</v>
      </c>
      <c r="R3230" t="str">
        <f>"הזמנה"</f>
        <v>הזמנה</v>
      </c>
      <c r="S3230">
        <v>0</v>
      </c>
      <c r="T3230" s="2">
        <v>86247</v>
      </c>
      <c r="U3230">
        <v>0</v>
      </c>
      <c r="V3230" s="2">
        <v>86247</v>
      </c>
      <c r="W3230" t="str">
        <f>"$"</f>
        <v>$</v>
      </c>
      <c r="X3230">
        <v>0</v>
      </c>
      <c r="Y3230">
        <v>0</v>
      </c>
      <c r="Z3230">
        <v>0</v>
      </c>
      <c r="AA3230" t="str">
        <f>"Y"</f>
        <v>Y</v>
      </c>
      <c r="AB3230" t="str">
        <f>"SO20000012"</f>
        <v>SO20000012</v>
      </c>
      <c r="AC3230">
        <v>19</v>
      </c>
      <c r="AD3230" s="1">
        <v>43837</v>
      </c>
      <c r="AE3230" t="str">
        <f>"SH20001523"</f>
        <v>SH20001523</v>
      </c>
      <c r="AF3230" t="str">
        <f>"משלוחים ללקוח"</f>
        <v>משלוחים ללקוח</v>
      </c>
      <c r="AG3230" s="1">
        <v>44150</v>
      </c>
      <c r="AM3230" t="str">
        <f>"10"</f>
        <v>10</v>
      </c>
      <c r="AN3230" t="str">
        <f>"500000"</f>
        <v>500000</v>
      </c>
      <c r="AO3230" t="str">
        <f>"הכנסות  מלקוחות"</f>
        <v>הכנסות  מלקוחות</v>
      </c>
      <c r="AQ3230" t="str">
        <f>"034"</f>
        <v>034</v>
      </c>
      <c r="AR3230">
        <v>0</v>
      </c>
      <c r="AS3230">
        <v>0</v>
      </c>
      <c r="AT3230">
        <v>3.3559999999999999</v>
      </c>
      <c r="AX3230" t="str">
        <f>"E000301089"</f>
        <v>E000301089</v>
      </c>
      <c r="BD3230" t="str">
        <f>"ערן שלו"</f>
        <v>ערן שלו</v>
      </c>
    </row>
    <row r="3231" spans="1:56" x14ac:dyDescent="0.3">
      <c r="A3231" s="1">
        <v>44153</v>
      </c>
      <c r="B3231" t="str">
        <f>"SI206001257"</f>
        <v>SI206001257</v>
      </c>
      <c r="C3231" t="str">
        <f>"PR19000750"</f>
        <v>PR19000750</v>
      </c>
      <c r="D3231" t="str">
        <f>"PR19000750"</f>
        <v>PR19000750</v>
      </c>
      <c r="E3231" t="str">
        <f>"Y"</f>
        <v>Y</v>
      </c>
      <c r="F3231" t="str">
        <f>"חשבוניות מרכזות"</f>
        <v>חשבוניות מרכזות</v>
      </c>
      <c r="G3231" t="str">
        <f>"700065"</f>
        <v>700065</v>
      </c>
      <c r="H3231" t="str">
        <f>"אלתא מערכות בע""מ"</f>
        <v>אלתא מערכות בע"מ</v>
      </c>
      <c r="I3231" t="str">
        <f>"10"</f>
        <v>10</v>
      </c>
      <c r="J3231" t="str">
        <f>"OP-KT00099"</f>
        <v>OP-KT00099</v>
      </c>
      <c r="K3231" t="str">
        <f>"1037C837-001 - PDB SPARES I LEVEL"</f>
        <v>1037C837-001 - PDB SPARES I LEVEL</v>
      </c>
      <c r="L3231">
        <v>1</v>
      </c>
      <c r="M3231" t="str">
        <f>"יח"</f>
        <v>יח</v>
      </c>
      <c r="N3231">
        <v>1</v>
      </c>
      <c r="O3231" t="str">
        <f>"יח"</f>
        <v>יח</v>
      </c>
      <c r="P3231" s="2">
        <v>15240</v>
      </c>
      <c r="Q3231" t="str">
        <f>"$"</f>
        <v>$</v>
      </c>
      <c r="R3231" t="str">
        <f>"הזמנה"</f>
        <v>הזמנה</v>
      </c>
      <c r="S3231">
        <v>0</v>
      </c>
      <c r="T3231" s="2">
        <v>15240</v>
      </c>
      <c r="U3231">
        <v>0</v>
      </c>
      <c r="V3231" s="2">
        <v>15240</v>
      </c>
      <c r="W3231" t="str">
        <f>"$"</f>
        <v>$</v>
      </c>
      <c r="X3231">
        <v>0</v>
      </c>
      <c r="Y3231">
        <v>0</v>
      </c>
      <c r="Z3231">
        <v>0</v>
      </c>
      <c r="AA3231" t="str">
        <f>"Y"</f>
        <v>Y</v>
      </c>
      <c r="AB3231" t="str">
        <f>"SO19000535"</f>
        <v>SO19000535</v>
      </c>
      <c r="AC3231">
        <v>12</v>
      </c>
      <c r="AD3231" s="1">
        <v>43823</v>
      </c>
      <c r="AE3231" t="str">
        <f>"SH20001519"</f>
        <v>SH20001519</v>
      </c>
      <c r="AF3231" t="str">
        <f>"משלוחים ללקוח"</f>
        <v>משלוחים ללקוח</v>
      </c>
      <c r="AG3231" s="1">
        <v>44150</v>
      </c>
      <c r="AM3231" t="str">
        <f>"10"</f>
        <v>10</v>
      </c>
      <c r="AN3231" t="str">
        <f>"500000"</f>
        <v>500000</v>
      </c>
      <c r="AO3231" t="str">
        <f>"הכנסות  מלקוחות"</f>
        <v>הכנסות  מלקוחות</v>
      </c>
      <c r="AQ3231" t="str">
        <f>"034"</f>
        <v>034</v>
      </c>
      <c r="AR3231">
        <v>0</v>
      </c>
      <c r="AS3231">
        <v>0</v>
      </c>
      <c r="AT3231">
        <v>3.3559999999999999</v>
      </c>
      <c r="AX3231" t="str">
        <f>"E000303378"</f>
        <v>E000303378</v>
      </c>
      <c r="BD3231" t="str">
        <f>"ערן שלו"</f>
        <v>ערן שלו</v>
      </c>
    </row>
    <row r="3232" spans="1:56" x14ac:dyDescent="0.3">
      <c r="A3232" s="1">
        <v>44151</v>
      </c>
      <c r="B3232" t="str">
        <f>"SI206001248"</f>
        <v>SI206001248</v>
      </c>
      <c r="C3232" t="str">
        <f>"PR20000561"</f>
        <v>PR20000561</v>
      </c>
      <c r="D3232" t="str">
        <f>"PR20000561"</f>
        <v>PR20000561</v>
      </c>
      <c r="E3232" t="str">
        <f>"Y"</f>
        <v>Y</v>
      </c>
      <c r="F3232" t="str">
        <f>"חשבוניות מרכזות"</f>
        <v>חשבוניות מרכזות</v>
      </c>
      <c r="G3232" t="str">
        <f>"700065"</f>
        <v>700065</v>
      </c>
      <c r="H3232" t="str">
        <f>"אלתא מערכות בע""מ"</f>
        <v>אלתא מערכות בע"מ</v>
      </c>
      <c r="I3232" t="str">
        <f>"10"</f>
        <v>10</v>
      </c>
      <c r="J3232" t="str">
        <f>"OP-AR01976"</f>
        <v>OP-AR01976</v>
      </c>
      <c r="K3232" t="str">
        <f>"NRE FOR E000319399"</f>
        <v>NRE FOR E000319399</v>
      </c>
      <c r="L3232">
        <v>1</v>
      </c>
      <c r="M3232" t="str">
        <f>"יח"</f>
        <v>יח</v>
      </c>
      <c r="N3232">
        <v>1</v>
      </c>
      <c r="O3232" t="str">
        <f>"יח"</f>
        <v>יח</v>
      </c>
      <c r="P3232">
        <v>125</v>
      </c>
      <c r="Q3232" t="str">
        <f>"$"</f>
        <v>$</v>
      </c>
      <c r="R3232" t="str">
        <f>"הזמנה"</f>
        <v>הזמנה</v>
      </c>
      <c r="S3232">
        <v>0</v>
      </c>
      <c r="T3232">
        <v>125</v>
      </c>
      <c r="U3232">
        <v>0</v>
      </c>
      <c r="V3232">
        <v>125</v>
      </c>
      <c r="W3232" t="str">
        <f>"$"</f>
        <v>$</v>
      </c>
      <c r="X3232">
        <v>0</v>
      </c>
      <c r="Y3232">
        <v>0</v>
      </c>
      <c r="Z3232">
        <v>0</v>
      </c>
      <c r="AA3232" t="str">
        <f>"Y"</f>
        <v>Y</v>
      </c>
      <c r="AB3232" t="str">
        <f>"SO20000364"</f>
        <v>SO20000364</v>
      </c>
      <c r="AC3232">
        <v>2</v>
      </c>
      <c r="AD3232" s="1">
        <v>44061</v>
      </c>
      <c r="AM3232" t="str">
        <f>"10"</f>
        <v>10</v>
      </c>
      <c r="AN3232" t="str">
        <f>"500000"</f>
        <v>500000</v>
      </c>
      <c r="AO3232" t="str">
        <f>"הכנסות  מלקוחות"</f>
        <v>הכנסות  מלקוחות</v>
      </c>
      <c r="AQ3232" t="str">
        <f>"034"</f>
        <v>034</v>
      </c>
      <c r="AR3232">
        <v>0</v>
      </c>
      <c r="AS3232">
        <v>0</v>
      </c>
      <c r="AT3232">
        <v>3.3620000000000001</v>
      </c>
      <c r="AX3232" t="str">
        <f>"E000319399"</f>
        <v>E000319399</v>
      </c>
      <c r="BD3232" t="str">
        <f>"ערן שלו"</f>
        <v>ערן שלו</v>
      </c>
    </row>
    <row r="3233" spans="1:56" x14ac:dyDescent="0.3">
      <c r="A3233" s="1">
        <v>44147</v>
      </c>
      <c r="B3233" t="str">
        <f>"SI206001241"</f>
        <v>SI206001241</v>
      </c>
      <c r="C3233" t="str">
        <f>"PR20000568"</f>
        <v>PR20000568</v>
      </c>
      <c r="D3233" t="str">
        <f>"PR20000568"</f>
        <v>PR20000568</v>
      </c>
      <c r="E3233" t="str">
        <f>"Y"</f>
        <v>Y</v>
      </c>
      <c r="F3233" t="str">
        <f>"חשבוניות מרכזות"</f>
        <v>חשבוניות מרכזות</v>
      </c>
      <c r="G3233" t="str">
        <f>"700065"</f>
        <v>700065</v>
      </c>
      <c r="H3233" t="str">
        <f>"אלתא מערכות בע""מ"</f>
        <v>אלתא מערכות בע"מ</v>
      </c>
      <c r="I3233" t="str">
        <f>"10"</f>
        <v>10</v>
      </c>
      <c r="J3233" t="str">
        <f>"OP-AR01664"</f>
        <v>OP-AR01664</v>
      </c>
      <c r="K3233" t="str">
        <f>"6649E012-001 SYSTEM BUNDLE TO RSU - COMMUNICATIO"</f>
        <v>6649E012-001 SYSTEM BUNDLE TO RSU - COMMUNICATIO</v>
      </c>
      <c r="L3233">
        <v>1</v>
      </c>
      <c r="M3233" t="str">
        <f>"יח"</f>
        <v>יח</v>
      </c>
      <c r="N3233">
        <v>1</v>
      </c>
      <c r="O3233" t="str">
        <f>"יח"</f>
        <v>יח</v>
      </c>
      <c r="P3233">
        <v>490.17</v>
      </c>
      <c r="Q3233" t="str">
        <f>"$"</f>
        <v>$</v>
      </c>
      <c r="R3233" t="str">
        <f>"הזמנה"</f>
        <v>הזמנה</v>
      </c>
      <c r="S3233">
        <v>0</v>
      </c>
      <c r="T3233">
        <v>490.17</v>
      </c>
      <c r="U3233">
        <v>0</v>
      </c>
      <c r="V3233">
        <v>490.17</v>
      </c>
      <c r="W3233" t="str">
        <f>"$"</f>
        <v>$</v>
      </c>
      <c r="X3233">
        <v>0</v>
      </c>
      <c r="Y3233">
        <v>0</v>
      </c>
      <c r="Z3233">
        <v>0</v>
      </c>
      <c r="AA3233" t="str">
        <f>"Y"</f>
        <v>Y</v>
      </c>
      <c r="AB3233" t="str">
        <f>"SO20000368"</f>
        <v>SO20000368</v>
      </c>
      <c r="AC3233">
        <v>2</v>
      </c>
      <c r="AD3233" s="1">
        <v>44067</v>
      </c>
      <c r="AE3233" t="str">
        <f>"SH20001464"</f>
        <v>SH20001464</v>
      </c>
      <c r="AF3233" t="str">
        <f>"משלוחים ללקוח"</f>
        <v>משלוחים ללקוח</v>
      </c>
      <c r="AG3233" s="1">
        <v>44143</v>
      </c>
      <c r="AM3233" t="str">
        <f>"10"</f>
        <v>10</v>
      </c>
      <c r="AN3233" t="str">
        <f>"500000"</f>
        <v>500000</v>
      </c>
      <c r="AO3233" t="str">
        <f>"הכנסות  מלקוחות"</f>
        <v>הכנסות  מלקוחות</v>
      </c>
      <c r="AQ3233" t="str">
        <f>"034"</f>
        <v>034</v>
      </c>
      <c r="AR3233">
        <v>0</v>
      </c>
      <c r="AS3233">
        <v>0</v>
      </c>
      <c r="AT3233">
        <v>3.3860000000000001</v>
      </c>
      <c r="AX3233" t="str">
        <f>"E000319744"</f>
        <v>E000319744</v>
      </c>
      <c r="BD3233" t="str">
        <f>"ערן שלו"</f>
        <v>ערן שלו</v>
      </c>
    </row>
    <row r="3234" spans="1:56" x14ac:dyDescent="0.3">
      <c r="A3234" s="1">
        <v>44147</v>
      </c>
      <c r="B3234" t="str">
        <f>"SI206001241"</f>
        <v>SI206001241</v>
      </c>
      <c r="C3234" t="str">
        <f>"PR20000568"</f>
        <v>PR20000568</v>
      </c>
      <c r="D3234" t="str">
        <f>"PR20000568"</f>
        <v>PR20000568</v>
      </c>
      <c r="E3234" t="str">
        <f>"Y"</f>
        <v>Y</v>
      </c>
      <c r="F3234" t="str">
        <f>"חשבוניות מרכזות"</f>
        <v>חשבוניות מרכזות</v>
      </c>
      <c r="G3234" t="str">
        <f>"700065"</f>
        <v>700065</v>
      </c>
      <c r="H3234" t="str">
        <f>"אלתא מערכות בע""מ"</f>
        <v>אלתא מערכות בע"מ</v>
      </c>
      <c r="I3234" t="str">
        <f>"10"</f>
        <v>10</v>
      </c>
      <c r="J3234" t="str">
        <f>"OP-AR01685"</f>
        <v>OP-AR01685</v>
      </c>
      <c r="K3234" t="str">
        <f>"6660J731-001 W731"</f>
        <v>6660J731-001 W731</v>
      </c>
      <c r="L3234">
        <v>1</v>
      </c>
      <c r="M3234" t="str">
        <f>"יח"</f>
        <v>יח</v>
      </c>
      <c r="N3234">
        <v>1</v>
      </c>
      <c r="O3234" t="str">
        <f>"יח"</f>
        <v>יח</v>
      </c>
      <c r="P3234">
        <v>402.48</v>
      </c>
      <c r="Q3234" t="str">
        <f>"$"</f>
        <v>$</v>
      </c>
      <c r="R3234" t="str">
        <f>"הזמנה"</f>
        <v>הזמנה</v>
      </c>
      <c r="S3234">
        <v>0</v>
      </c>
      <c r="T3234">
        <v>402.48</v>
      </c>
      <c r="U3234">
        <v>0</v>
      </c>
      <c r="V3234">
        <v>402.48</v>
      </c>
      <c r="W3234" t="str">
        <f>"$"</f>
        <v>$</v>
      </c>
      <c r="X3234">
        <v>0</v>
      </c>
      <c r="Y3234">
        <v>0</v>
      </c>
      <c r="Z3234">
        <v>0</v>
      </c>
      <c r="AA3234" t="str">
        <f>"Y"</f>
        <v>Y</v>
      </c>
      <c r="AB3234" t="str">
        <f>"SO20000368"</f>
        <v>SO20000368</v>
      </c>
      <c r="AC3234">
        <v>4</v>
      </c>
      <c r="AD3234" s="1">
        <v>44067</v>
      </c>
      <c r="AE3234" t="str">
        <f>"SH20001464"</f>
        <v>SH20001464</v>
      </c>
      <c r="AF3234" t="str">
        <f>"משלוחים ללקוח"</f>
        <v>משלוחים ללקוח</v>
      </c>
      <c r="AG3234" s="1">
        <v>44143</v>
      </c>
      <c r="AM3234" t="str">
        <f>"10"</f>
        <v>10</v>
      </c>
      <c r="AN3234" t="str">
        <f>"500000"</f>
        <v>500000</v>
      </c>
      <c r="AO3234" t="str">
        <f>"הכנסות  מלקוחות"</f>
        <v>הכנסות  מלקוחות</v>
      </c>
      <c r="AQ3234" t="str">
        <f>"034"</f>
        <v>034</v>
      </c>
      <c r="AR3234">
        <v>0</v>
      </c>
      <c r="AS3234">
        <v>0</v>
      </c>
      <c r="AT3234">
        <v>3.3860000000000001</v>
      </c>
      <c r="AX3234" t="str">
        <f>"E000319744"</f>
        <v>E000319744</v>
      </c>
      <c r="BD3234" t="str">
        <f>"ערן שלו"</f>
        <v>ערן שלו</v>
      </c>
    </row>
    <row r="3235" spans="1:56" x14ac:dyDescent="0.3">
      <c r="A3235" s="1">
        <v>44147</v>
      </c>
      <c r="B3235" t="str">
        <f>"SI206001240"</f>
        <v>SI206001240</v>
      </c>
      <c r="C3235" t="str">
        <f>"PR20000609"</f>
        <v>PR20000609</v>
      </c>
      <c r="D3235" t="str">
        <f>"PR20000609"</f>
        <v>PR20000609</v>
      </c>
      <c r="E3235" t="str">
        <f>"Y"</f>
        <v>Y</v>
      </c>
      <c r="F3235" t="str">
        <f>"חשבוניות מרכזות"</f>
        <v>חשבוניות מרכזות</v>
      </c>
      <c r="G3235" t="str">
        <f>"700065"</f>
        <v>700065</v>
      </c>
      <c r="H3235" t="str">
        <f>"אלתא מערכות בע""מ"</f>
        <v>אלתא מערכות בע"מ</v>
      </c>
      <c r="I3235" t="str">
        <f>"10"</f>
        <v>10</v>
      </c>
      <c r="J3235" t="str">
        <f>"OP-AR02001"</f>
        <v>OP-AR02001</v>
      </c>
      <c r="K3235" t="str">
        <f>"1040T616-001/-    HARNESS PDIW34"</f>
        <v>1040T616-001/-    HARNESS PDIW34</v>
      </c>
      <c r="L3235">
        <v>1</v>
      </c>
      <c r="M3235" t="str">
        <f>"יח"</f>
        <v>יח</v>
      </c>
      <c r="N3235">
        <v>1</v>
      </c>
      <c r="O3235" t="str">
        <f>"יח"</f>
        <v>יח</v>
      </c>
      <c r="P3235">
        <v>659.91</v>
      </c>
      <c r="Q3235" t="str">
        <f>"$"</f>
        <v>$</v>
      </c>
      <c r="R3235" t="str">
        <f>"הזמנה"</f>
        <v>הזמנה</v>
      </c>
      <c r="S3235">
        <v>0</v>
      </c>
      <c r="T3235">
        <v>659.91</v>
      </c>
      <c r="U3235">
        <v>0</v>
      </c>
      <c r="V3235">
        <v>659.91</v>
      </c>
      <c r="W3235" t="str">
        <f>"$"</f>
        <v>$</v>
      </c>
      <c r="X3235">
        <v>0</v>
      </c>
      <c r="Y3235">
        <v>0</v>
      </c>
      <c r="Z3235">
        <v>0</v>
      </c>
      <c r="AA3235" t="str">
        <f>"Y"</f>
        <v>Y</v>
      </c>
      <c r="AB3235" t="str">
        <f>"SO20000408"</f>
        <v>SO20000408</v>
      </c>
      <c r="AC3235">
        <v>6</v>
      </c>
      <c r="AD3235" s="1">
        <v>44081</v>
      </c>
      <c r="AE3235" t="str">
        <f>"SH20001475"</f>
        <v>SH20001475</v>
      </c>
      <c r="AF3235" t="str">
        <f>"משלוחים ללקוח"</f>
        <v>משלוחים ללקוח</v>
      </c>
      <c r="AG3235" s="1">
        <v>44143</v>
      </c>
      <c r="AM3235" t="str">
        <f>"10"</f>
        <v>10</v>
      </c>
      <c r="AN3235" t="str">
        <f>"500000"</f>
        <v>500000</v>
      </c>
      <c r="AO3235" t="str">
        <f>"הכנסות  מלקוחות"</f>
        <v>הכנסות  מלקוחות</v>
      </c>
      <c r="AQ3235" t="str">
        <f>"034"</f>
        <v>034</v>
      </c>
      <c r="AR3235">
        <v>0</v>
      </c>
      <c r="AS3235">
        <v>0</v>
      </c>
      <c r="AT3235">
        <v>3.3860000000000001</v>
      </c>
      <c r="AX3235" t="str">
        <f>"E000319385"</f>
        <v>E000319385</v>
      </c>
      <c r="BD3235" t="str">
        <f>"ערן שלו"</f>
        <v>ערן שלו</v>
      </c>
    </row>
    <row r="3236" spans="1:56" x14ac:dyDescent="0.3">
      <c r="A3236" s="1">
        <v>44147</v>
      </c>
      <c r="B3236" t="str">
        <f>"SI206001240"</f>
        <v>SI206001240</v>
      </c>
      <c r="C3236" t="str">
        <f>"PR20000609"</f>
        <v>PR20000609</v>
      </c>
      <c r="D3236" t="str">
        <f>"PR20000609"</f>
        <v>PR20000609</v>
      </c>
      <c r="E3236" t="str">
        <f>"Y"</f>
        <v>Y</v>
      </c>
      <c r="F3236" t="str">
        <f>"חשבוניות מרכזות"</f>
        <v>חשבוניות מרכזות</v>
      </c>
      <c r="G3236" t="str">
        <f>"700065"</f>
        <v>700065</v>
      </c>
      <c r="H3236" t="str">
        <f>"אלתא מערכות בע""מ"</f>
        <v>אלתא מערכות בע"מ</v>
      </c>
      <c r="I3236" t="str">
        <f>"10"</f>
        <v>10</v>
      </c>
      <c r="J3236" t="str">
        <f>"OP-AR02003"</f>
        <v>OP-AR02003</v>
      </c>
      <c r="K3236" t="str">
        <f>"1040T040-001/-   HARNESS PDEW40"</f>
        <v>1040T040-001/-   HARNESS PDEW40</v>
      </c>
      <c r="L3236">
        <v>1</v>
      </c>
      <c r="M3236" t="str">
        <f>"יח"</f>
        <v>יח</v>
      </c>
      <c r="N3236">
        <v>1</v>
      </c>
      <c r="O3236" t="str">
        <f>"יח"</f>
        <v>יח</v>
      </c>
      <c r="P3236">
        <v>530.03</v>
      </c>
      <c r="Q3236" t="str">
        <f>"$"</f>
        <v>$</v>
      </c>
      <c r="R3236" t="str">
        <f>"הזמנה"</f>
        <v>הזמנה</v>
      </c>
      <c r="S3236">
        <v>0</v>
      </c>
      <c r="T3236">
        <v>530.03</v>
      </c>
      <c r="U3236">
        <v>0</v>
      </c>
      <c r="V3236">
        <v>530.03</v>
      </c>
      <c r="W3236" t="str">
        <f>"$"</f>
        <v>$</v>
      </c>
      <c r="X3236">
        <v>0</v>
      </c>
      <c r="Y3236">
        <v>0</v>
      </c>
      <c r="Z3236">
        <v>0</v>
      </c>
      <c r="AA3236" t="str">
        <f>"Y"</f>
        <v>Y</v>
      </c>
      <c r="AB3236" t="str">
        <f>"SO20000408"</f>
        <v>SO20000408</v>
      </c>
      <c r="AC3236">
        <v>8</v>
      </c>
      <c r="AD3236" s="1">
        <v>44081</v>
      </c>
      <c r="AE3236" t="str">
        <f>"SH20001475"</f>
        <v>SH20001475</v>
      </c>
      <c r="AF3236" t="str">
        <f>"משלוחים ללקוח"</f>
        <v>משלוחים ללקוח</v>
      </c>
      <c r="AG3236" s="1">
        <v>44143</v>
      </c>
      <c r="AM3236" t="str">
        <f>"10"</f>
        <v>10</v>
      </c>
      <c r="AN3236" t="str">
        <f>"500000"</f>
        <v>500000</v>
      </c>
      <c r="AO3236" t="str">
        <f>"הכנסות  מלקוחות"</f>
        <v>הכנסות  מלקוחות</v>
      </c>
      <c r="AQ3236" t="str">
        <f>"034"</f>
        <v>034</v>
      </c>
      <c r="AR3236">
        <v>0</v>
      </c>
      <c r="AS3236">
        <v>0</v>
      </c>
      <c r="AT3236">
        <v>3.3860000000000001</v>
      </c>
      <c r="AX3236" t="str">
        <f>"E000319385"</f>
        <v>E000319385</v>
      </c>
      <c r="BD3236" t="str">
        <f>"ערן שלו"</f>
        <v>ערן שלו</v>
      </c>
    </row>
    <row r="3237" spans="1:56" x14ac:dyDescent="0.3">
      <c r="A3237" s="1">
        <v>44147</v>
      </c>
      <c r="B3237" t="str">
        <f>"SI206001239"</f>
        <v>SI206001239</v>
      </c>
      <c r="C3237" t="str">
        <f>"PR20000572"</f>
        <v>PR20000572</v>
      </c>
      <c r="D3237" t="str">
        <f>"PR20000572"</f>
        <v>PR20000572</v>
      </c>
      <c r="E3237" t="str">
        <f>"Y"</f>
        <v>Y</v>
      </c>
      <c r="F3237" t="str">
        <f>"חשבוניות מרכזות"</f>
        <v>חשבוניות מרכזות</v>
      </c>
      <c r="G3237" t="str">
        <f>"700065"</f>
        <v>700065</v>
      </c>
      <c r="H3237" t="str">
        <f>"אלתא מערכות בע""מ"</f>
        <v>אלתא מערכות בע"מ</v>
      </c>
      <c r="I3237" t="str">
        <f>"10"</f>
        <v>10</v>
      </c>
      <c r="J3237" t="str">
        <f>"OP-AR01977"</f>
        <v>OP-AR01977</v>
      </c>
      <c r="K3237" t="str">
        <f>"1022H567-001  - W17-RG178 CABLE ASSY"</f>
        <v>1022H567-001  - W17-RG178 CABLE ASSY</v>
      </c>
      <c r="L3237">
        <v>5</v>
      </c>
      <c r="M3237" t="str">
        <f>"יח"</f>
        <v>יח</v>
      </c>
      <c r="N3237">
        <v>5</v>
      </c>
      <c r="O3237" t="str">
        <f>"יח"</f>
        <v>יח</v>
      </c>
      <c r="P3237">
        <v>141.63999999999999</v>
      </c>
      <c r="Q3237" t="str">
        <f>"$"</f>
        <v>$</v>
      </c>
      <c r="R3237" t="str">
        <f>"הזמנה"</f>
        <v>הזמנה</v>
      </c>
      <c r="S3237">
        <v>0</v>
      </c>
      <c r="T3237">
        <v>708.2</v>
      </c>
      <c r="U3237">
        <v>0</v>
      </c>
      <c r="V3237">
        <v>708.2</v>
      </c>
      <c r="W3237" t="str">
        <f>"$"</f>
        <v>$</v>
      </c>
      <c r="X3237">
        <v>0</v>
      </c>
      <c r="Y3237">
        <v>0</v>
      </c>
      <c r="Z3237">
        <v>0</v>
      </c>
      <c r="AA3237" t="str">
        <f>"Y"</f>
        <v>Y</v>
      </c>
      <c r="AB3237" t="str">
        <f>"SO20000384"</f>
        <v>SO20000384</v>
      </c>
      <c r="AC3237">
        <v>1</v>
      </c>
      <c r="AD3237" s="1">
        <v>44073</v>
      </c>
      <c r="AE3237" t="str">
        <f>"SH20001457"</f>
        <v>SH20001457</v>
      </c>
      <c r="AF3237" t="str">
        <f>"משלוחים ללקוח"</f>
        <v>משלוחים ללקוח</v>
      </c>
      <c r="AG3237" s="1">
        <v>44143</v>
      </c>
      <c r="AM3237" t="str">
        <f>"10"</f>
        <v>10</v>
      </c>
      <c r="AN3237" t="str">
        <f>"500000"</f>
        <v>500000</v>
      </c>
      <c r="AO3237" t="str">
        <f>"הכנסות  מלקוחות"</f>
        <v>הכנסות  מלקוחות</v>
      </c>
      <c r="AQ3237" t="str">
        <f>"034"</f>
        <v>034</v>
      </c>
      <c r="AR3237">
        <v>0</v>
      </c>
      <c r="AS3237">
        <v>0</v>
      </c>
      <c r="AT3237">
        <v>3.3860000000000001</v>
      </c>
      <c r="AX3237" t="str">
        <f>"E000319391"</f>
        <v>E000319391</v>
      </c>
      <c r="BD3237" t="str">
        <f>"ערן שלו"</f>
        <v>ערן שלו</v>
      </c>
    </row>
    <row r="3238" spans="1:56" x14ac:dyDescent="0.3">
      <c r="A3238" s="1">
        <v>44147</v>
      </c>
      <c r="B3238" t="str">
        <f>"SI206001239"</f>
        <v>SI206001239</v>
      </c>
      <c r="C3238" t="str">
        <f>"PR20000572"</f>
        <v>PR20000572</v>
      </c>
      <c r="D3238" t="str">
        <f>"PR20000572"</f>
        <v>PR20000572</v>
      </c>
      <c r="E3238" t="str">
        <f>"Y"</f>
        <v>Y</v>
      </c>
      <c r="F3238" t="str">
        <f>"חשבוניות מרכזות"</f>
        <v>חשבוניות מרכזות</v>
      </c>
      <c r="G3238" t="str">
        <f>"700065"</f>
        <v>700065</v>
      </c>
      <c r="H3238" t="str">
        <f>"אלתא מערכות בע""מ"</f>
        <v>אלתא מערכות בע"מ</v>
      </c>
      <c r="I3238" t="str">
        <f>"10"</f>
        <v>10</v>
      </c>
      <c r="J3238" t="str">
        <f>"OP-AR01978"</f>
        <v>OP-AR01978</v>
      </c>
      <c r="K3238" t="str">
        <f>"1022H704-001  -  W4- DC CABLE ASSY"</f>
        <v>1022H704-001  -  W4- DC CABLE ASSY</v>
      </c>
      <c r="L3238">
        <v>5</v>
      </c>
      <c r="M3238" t="str">
        <f>"יח"</f>
        <v>יח</v>
      </c>
      <c r="N3238">
        <v>5</v>
      </c>
      <c r="O3238" t="str">
        <f>"יח"</f>
        <v>יח</v>
      </c>
      <c r="P3238">
        <v>366.67</v>
      </c>
      <c r="Q3238" t="str">
        <f>"$"</f>
        <v>$</v>
      </c>
      <c r="R3238" t="str">
        <f>"הזמנה"</f>
        <v>הזמנה</v>
      </c>
      <c r="S3238">
        <v>0</v>
      </c>
      <c r="T3238" s="2">
        <v>1833.35</v>
      </c>
      <c r="U3238">
        <v>0</v>
      </c>
      <c r="V3238" s="2">
        <v>1833.35</v>
      </c>
      <c r="W3238" t="str">
        <f>"$"</f>
        <v>$</v>
      </c>
      <c r="X3238">
        <v>0</v>
      </c>
      <c r="Y3238">
        <v>0</v>
      </c>
      <c r="Z3238">
        <v>0</v>
      </c>
      <c r="AA3238" t="str">
        <f>"Y"</f>
        <v>Y</v>
      </c>
      <c r="AB3238" t="str">
        <f>"SO20000384"</f>
        <v>SO20000384</v>
      </c>
      <c r="AC3238">
        <v>2</v>
      </c>
      <c r="AD3238" s="1">
        <v>44073</v>
      </c>
      <c r="AE3238" t="str">
        <f>"SH20001457"</f>
        <v>SH20001457</v>
      </c>
      <c r="AF3238" t="str">
        <f>"משלוחים ללקוח"</f>
        <v>משלוחים ללקוח</v>
      </c>
      <c r="AG3238" s="1">
        <v>44143</v>
      </c>
      <c r="AM3238" t="str">
        <f>"10"</f>
        <v>10</v>
      </c>
      <c r="AN3238" t="str">
        <f>"500000"</f>
        <v>500000</v>
      </c>
      <c r="AO3238" t="str">
        <f>"הכנסות  מלקוחות"</f>
        <v>הכנסות  מלקוחות</v>
      </c>
      <c r="AQ3238" t="str">
        <f>"034"</f>
        <v>034</v>
      </c>
      <c r="AR3238">
        <v>0</v>
      </c>
      <c r="AS3238">
        <v>0</v>
      </c>
      <c r="AT3238">
        <v>3.3860000000000001</v>
      </c>
      <c r="AX3238" t="str">
        <f>"E000319391"</f>
        <v>E000319391</v>
      </c>
      <c r="BD3238" t="str">
        <f>"ערן שלו"</f>
        <v>ערן שלו</v>
      </c>
    </row>
    <row r="3239" spans="1:56" x14ac:dyDescent="0.3">
      <c r="A3239" s="1">
        <v>44147</v>
      </c>
      <c r="B3239" t="str">
        <f>"SI206001239"</f>
        <v>SI206001239</v>
      </c>
      <c r="C3239" t="str">
        <f>"PR20000572"</f>
        <v>PR20000572</v>
      </c>
      <c r="D3239" t="str">
        <f>"PR20000572"</f>
        <v>PR20000572</v>
      </c>
      <c r="E3239" t="str">
        <f>"Y"</f>
        <v>Y</v>
      </c>
      <c r="F3239" t="str">
        <f>"חשבוניות מרכזות"</f>
        <v>חשבוניות מרכזות</v>
      </c>
      <c r="G3239" t="str">
        <f>"700065"</f>
        <v>700065</v>
      </c>
      <c r="H3239" t="str">
        <f>"אלתא מערכות בע""מ"</f>
        <v>אלתא מערכות בע"מ</v>
      </c>
      <c r="I3239" t="str">
        <f>"10"</f>
        <v>10</v>
      </c>
      <c r="J3239" t="str">
        <f>"OP-AR01979"</f>
        <v>OP-AR01979</v>
      </c>
      <c r="K3239" t="str">
        <f>"1024Y807-001  - W7-INPUT DC CABLE ASSY"</f>
        <v>1024Y807-001  - W7-INPUT DC CABLE ASSY</v>
      </c>
      <c r="L3239">
        <v>5</v>
      </c>
      <c r="M3239" t="str">
        <f>"יח"</f>
        <v>יח</v>
      </c>
      <c r="N3239">
        <v>5</v>
      </c>
      <c r="O3239" t="str">
        <f>"יח"</f>
        <v>יח</v>
      </c>
      <c r="P3239">
        <v>282.97000000000003</v>
      </c>
      <c r="Q3239" t="str">
        <f>"$"</f>
        <v>$</v>
      </c>
      <c r="R3239" t="str">
        <f>"הזמנה"</f>
        <v>הזמנה</v>
      </c>
      <c r="S3239">
        <v>0</v>
      </c>
      <c r="T3239" s="2">
        <v>1414.85</v>
      </c>
      <c r="U3239">
        <v>0</v>
      </c>
      <c r="V3239" s="2">
        <v>1414.85</v>
      </c>
      <c r="W3239" t="str">
        <f>"$"</f>
        <v>$</v>
      </c>
      <c r="X3239">
        <v>0</v>
      </c>
      <c r="Y3239">
        <v>0</v>
      </c>
      <c r="Z3239">
        <v>0</v>
      </c>
      <c r="AA3239" t="str">
        <f>"Y"</f>
        <v>Y</v>
      </c>
      <c r="AB3239" t="str">
        <f>"SO20000384"</f>
        <v>SO20000384</v>
      </c>
      <c r="AC3239">
        <v>3</v>
      </c>
      <c r="AD3239" s="1">
        <v>44073</v>
      </c>
      <c r="AE3239" t="str">
        <f>"SH20001457"</f>
        <v>SH20001457</v>
      </c>
      <c r="AF3239" t="str">
        <f>"משלוחים ללקוח"</f>
        <v>משלוחים ללקוח</v>
      </c>
      <c r="AG3239" s="1">
        <v>44143</v>
      </c>
      <c r="AM3239" t="str">
        <f>"10"</f>
        <v>10</v>
      </c>
      <c r="AN3239" t="str">
        <f>"500000"</f>
        <v>500000</v>
      </c>
      <c r="AO3239" t="str">
        <f>"הכנסות  מלקוחות"</f>
        <v>הכנסות  מלקוחות</v>
      </c>
      <c r="AQ3239" t="str">
        <f>"034"</f>
        <v>034</v>
      </c>
      <c r="AR3239">
        <v>0</v>
      </c>
      <c r="AS3239">
        <v>0</v>
      </c>
      <c r="AT3239">
        <v>3.3860000000000001</v>
      </c>
      <c r="AX3239" t="str">
        <f>"E000319391"</f>
        <v>E000319391</v>
      </c>
      <c r="BD3239" t="str">
        <f>"ערן שלו"</f>
        <v>ערן שלו</v>
      </c>
    </row>
    <row r="3240" spans="1:56" x14ac:dyDescent="0.3">
      <c r="A3240" s="1">
        <v>44147</v>
      </c>
      <c r="B3240" t="str">
        <f>"SI206001238"</f>
        <v>SI206001238</v>
      </c>
      <c r="C3240" t="str">
        <f>"PR20000490"</f>
        <v>PR20000490</v>
      </c>
      <c r="D3240" t="str">
        <f>"PR20000490"</f>
        <v>PR20000490</v>
      </c>
      <c r="E3240" t="str">
        <f>"Y"</f>
        <v>Y</v>
      </c>
      <c r="F3240" t="str">
        <f>"חשבוניות מרכזות"</f>
        <v>חשבוניות מרכזות</v>
      </c>
      <c r="G3240" t="str">
        <f>"700065"</f>
        <v>700065</v>
      </c>
      <c r="H3240" t="str">
        <f>"אלתא מערכות בע""מ"</f>
        <v>אלתא מערכות בע"מ</v>
      </c>
      <c r="I3240" t="str">
        <f>"10"</f>
        <v>10</v>
      </c>
      <c r="J3240" t="str">
        <f>"OP-AR01888"</f>
        <v>OP-AR01888</v>
      </c>
      <c r="K3240" t="str">
        <f>"1021M844-001 - CABLE ASSY W24"</f>
        <v>1021M844-001 - CABLE ASSY W24</v>
      </c>
      <c r="L3240">
        <v>1</v>
      </c>
      <c r="M3240" t="str">
        <f>"יח"</f>
        <v>יח</v>
      </c>
      <c r="N3240">
        <v>1</v>
      </c>
      <c r="O3240" t="str">
        <f>"יח"</f>
        <v>יח</v>
      </c>
      <c r="P3240">
        <v>691.48</v>
      </c>
      <c r="Q3240" t="str">
        <f>"$"</f>
        <v>$</v>
      </c>
      <c r="R3240" t="str">
        <f>"הזמנה"</f>
        <v>הזמנה</v>
      </c>
      <c r="S3240">
        <v>0</v>
      </c>
      <c r="T3240">
        <v>691.48</v>
      </c>
      <c r="U3240">
        <v>0</v>
      </c>
      <c r="V3240">
        <v>691.48</v>
      </c>
      <c r="W3240" t="str">
        <f>"$"</f>
        <v>$</v>
      </c>
      <c r="X3240">
        <v>0</v>
      </c>
      <c r="Y3240">
        <v>0</v>
      </c>
      <c r="Z3240">
        <v>0</v>
      </c>
      <c r="AA3240" t="str">
        <f>"Y"</f>
        <v>Y</v>
      </c>
      <c r="AB3240" t="str">
        <f>"SO20000298"</f>
        <v>SO20000298</v>
      </c>
      <c r="AC3240">
        <v>2</v>
      </c>
      <c r="AD3240" s="1">
        <v>44026</v>
      </c>
      <c r="AE3240" t="str">
        <f>"SH20001473"</f>
        <v>SH20001473</v>
      </c>
      <c r="AF3240" t="str">
        <f>"משלוחים ללקוח"</f>
        <v>משלוחים ללקוח</v>
      </c>
      <c r="AG3240" s="1">
        <v>44143</v>
      </c>
      <c r="AM3240" t="str">
        <f>"10"</f>
        <v>10</v>
      </c>
      <c r="AN3240" t="str">
        <f>"500000"</f>
        <v>500000</v>
      </c>
      <c r="AO3240" t="str">
        <f>"הכנסות  מלקוחות"</f>
        <v>הכנסות  מלקוחות</v>
      </c>
      <c r="AQ3240" t="str">
        <f>"034"</f>
        <v>034</v>
      </c>
      <c r="AR3240">
        <v>0</v>
      </c>
      <c r="AS3240">
        <v>0</v>
      </c>
      <c r="AT3240">
        <v>3.3860000000000001</v>
      </c>
      <c r="AX3240" t="str">
        <f>"E000315393"</f>
        <v>E000315393</v>
      </c>
      <c r="BD3240" t="str">
        <f>"ערן שלו"</f>
        <v>ערן שלו</v>
      </c>
    </row>
    <row r="3241" spans="1:56" x14ac:dyDescent="0.3">
      <c r="A3241" s="1">
        <v>44147</v>
      </c>
      <c r="B3241" t="str">
        <f>"SI206001238"</f>
        <v>SI206001238</v>
      </c>
      <c r="C3241" t="str">
        <f>"PR20000490"</f>
        <v>PR20000490</v>
      </c>
      <c r="D3241" t="str">
        <f>"PR20000490"</f>
        <v>PR20000490</v>
      </c>
      <c r="E3241" t="str">
        <f>"Y"</f>
        <v>Y</v>
      </c>
      <c r="F3241" t="str">
        <f>"חשבוניות מרכזות"</f>
        <v>חשבוניות מרכזות</v>
      </c>
      <c r="G3241" t="str">
        <f>"700065"</f>
        <v>700065</v>
      </c>
      <c r="H3241" t="str">
        <f>"אלתא מערכות בע""מ"</f>
        <v>אלתא מערכות בע"מ</v>
      </c>
      <c r="I3241" t="str">
        <f>"10"</f>
        <v>10</v>
      </c>
      <c r="J3241" t="str">
        <f>"OP-AR01889"</f>
        <v>OP-AR01889</v>
      </c>
      <c r="K3241" t="str">
        <f>"1021M846-001 - CABLE ASSY W25"</f>
        <v>1021M846-001 - CABLE ASSY W25</v>
      </c>
      <c r="L3241">
        <v>1</v>
      </c>
      <c r="M3241" t="str">
        <f>"יח"</f>
        <v>יח</v>
      </c>
      <c r="N3241">
        <v>1</v>
      </c>
      <c r="O3241" t="str">
        <f>"יח"</f>
        <v>יח</v>
      </c>
      <c r="P3241">
        <v>718.76</v>
      </c>
      <c r="Q3241" t="str">
        <f>"$"</f>
        <v>$</v>
      </c>
      <c r="R3241" t="str">
        <f>"הזמנה"</f>
        <v>הזמנה</v>
      </c>
      <c r="S3241">
        <v>0</v>
      </c>
      <c r="T3241">
        <v>718.76</v>
      </c>
      <c r="U3241">
        <v>0</v>
      </c>
      <c r="V3241">
        <v>718.76</v>
      </c>
      <c r="W3241" t="str">
        <f>"$"</f>
        <v>$</v>
      </c>
      <c r="X3241">
        <v>0</v>
      </c>
      <c r="Y3241">
        <v>0</v>
      </c>
      <c r="Z3241">
        <v>0</v>
      </c>
      <c r="AA3241" t="str">
        <f>"Y"</f>
        <v>Y</v>
      </c>
      <c r="AB3241" t="str">
        <f>"SO20000298"</f>
        <v>SO20000298</v>
      </c>
      <c r="AC3241">
        <v>3</v>
      </c>
      <c r="AD3241" s="1">
        <v>44026</v>
      </c>
      <c r="AE3241" t="str">
        <f>"SH20001473"</f>
        <v>SH20001473</v>
      </c>
      <c r="AF3241" t="str">
        <f>"משלוחים ללקוח"</f>
        <v>משלוחים ללקוח</v>
      </c>
      <c r="AG3241" s="1">
        <v>44143</v>
      </c>
      <c r="AM3241" t="str">
        <f>"10"</f>
        <v>10</v>
      </c>
      <c r="AN3241" t="str">
        <f>"500000"</f>
        <v>500000</v>
      </c>
      <c r="AO3241" t="str">
        <f>"הכנסות  מלקוחות"</f>
        <v>הכנסות  מלקוחות</v>
      </c>
      <c r="AQ3241" t="str">
        <f>"034"</f>
        <v>034</v>
      </c>
      <c r="AR3241">
        <v>0</v>
      </c>
      <c r="AS3241">
        <v>0</v>
      </c>
      <c r="AT3241">
        <v>3.3860000000000001</v>
      </c>
      <c r="AX3241" t="str">
        <f>"E000315393"</f>
        <v>E000315393</v>
      </c>
      <c r="BD3241" t="str">
        <f>"ערן שלו"</f>
        <v>ערן שלו</v>
      </c>
    </row>
    <row r="3242" spans="1:56" x14ac:dyDescent="0.3">
      <c r="A3242" s="1">
        <v>44147</v>
      </c>
      <c r="B3242" t="str">
        <f>"SI206001237"</f>
        <v>SI206001237</v>
      </c>
      <c r="C3242" t="str">
        <f>"PR20000348"</f>
        <v>PR20000348</v>
      </c>
      <c r="E3242" t="str">
        <f>"Y"</f>
        <v>Y</v>
      </c>
      <c r="F3242" t="str">
        <f>"חשבוניות מרכזות"</f>
        <v>חשבוניות מרכזות</v>
      </c>
      <c r="G3242" t="str">
        <f>"700065"</f>
        <v>700065</v>
      </c>
      <c r="H3242" t="str">
        <f>"אלתא מערכות בע""מ"</f>
        <v>אלתא מערכות בע"מ</v>
      </c>
      <c r="I3242" t="str">
        <f>"10"</f>
        <v>10</v>
      </c>
      <c r="J3242" t="str">
        <f>"OP-AR01741"</f>
        <v>OP-AR01741</v>
      </c>
      <c r="K3242" t="str">
        <f>"1039V321-001 WP321 - POWER 400VAC PDB TO ROTARY"</f>
        <v>1039V321-001 WP321 - POWER 400VAC PDB TO ROTARY</v>
      </c>
      <c r="L3242">
        <v>2</v>
      </c>
      <c r="M3242" t="str">
        <f>"יח"</f>
        <v>יח</v>
      </c>
      <c r="N3242">
        <v>2</v>
      </c>
      <c r="O3242" t="str">
        <f>"יח"</f>
        <v>יח</v>
      </c>
      <c r="P3242">
        <v>929.5</v>
      </c>
      <c r="Q3242" t="str">
        <f>"$"</f>
        <v>$</v>
      </c>
      <c r="R3242" t="str">
        <f>"הזמנה"</f>
        <v>הזמנה</v>
      </c>
      <c r="S3242">
        <v>0</v>
      </c>
      <c r="T3242" s="2">
        <v>1859</v>
      </c>
      <c r="U3242">
        <v>0</v>
      </c>
      <c r="V3242" s="2">
        <v>1859</v>
      </c>
      <c r="W3242" t="str">
        <f>"$"</f>
        <v>$</v>
      </c>
      <c r="X3242">
        <v>0</v>
      </c>
      <c r="Y3242">
        <v>0</v>
      </c>
      <c r="Z3242">
        <v>0</v>
      </c>
      <c r="AA3242" t="str">
        <f>"Y"</f>
        <v>Y</v>
      </c>
      <c r="AB3242" t="str">
        <f>"SO20000201"</f>
        <v>SO20000201</v>
      </c>
      <c r="AC3242">
        <v>9</v>
      </c>
      <c r="AD3242" s="1">
        <v>43970</v>
      </c>
      <c r="AE3242" t="str">
        <f>"SH20001458"</f>
        <v>SH20001458</v>
      </c>
      <c r="AF3242" t="str">
        <f>"משלוחים ללקוח"</f>
        <v>משלוחים ללקוח</v>
      </c>
      <c r="AG3242" s="1">
        <v>44143</v>
      </c>
      <c r="AM3242" t="str">
        <f>"10"</f>
        <v>10</v>
      </c>
      <c r="AN3242" t="str">
        <f>"500000"</f>
        <v>500000</v>
      </c>
      <c r="AO3242" t="str">
        <f>"הכנסות  מלקוחות"</f>
        <v>הכנסות  מלקוחות</v>
      </c>
      <c r="AQ3242" t="str">
        <f>"034"</f>
        <v>034</v>
      </c>
      <c r="AR3242">
        <v>0</v>
      </c>
      <c r="AS3242">
        <v>0</v>
      </c>
      <c r="AT3242">
        <v>3.3860000000000001</v>
      </c>
      <c r="AX3242" t="str">
        <f>"E000311250"</f>
        <v>E000311250</v>
      </c>
      <c r="BD3242" t="str">
        <f>"ערן שלו"</f>
        <v>ערן שלו</v>
      </c>
    </row>
    <row r="3243" spans="1:56" x14ac:dyDescent="0.3">
      <c r="A3243" s="1">
        <v>44147</v>
      </c>
      <c r="B3243" t="str">
        <f>"SI206001237"</f>
        <v>SI206001237</v>
      </c>
      <c r="C3243" t="str">
        <f>"PR20000348"</f>
        <v>PR20000348</v>
      </c>
      <c r="E3243" t="str">
        <f>"Y"</f>
        <v>Y</v>
      </c>
      <c r="F3243" t="str">
        <f>"חשבוניות מרכזות"</f>
        <v>חשבוניות מרכזות</v>
      </c>
      <c r="G3243" t="str">
        <f>"700065"</f>
        <v>700065</v>
      </c>
      <c r="H3243" t="str">
        <f>"אלתא מערכות בע""מ"</f>
        <v>אלתא מערכות בע"מ</v>
      </c>
      <c r="I3243" t="str">
        <f>"10"</f>
        <v>10</v>
      </c>
      <c r="J3243" t="str">
        <f>"OP-AR01753"</f>
        <v>OP-AR01753</v>
      </c>
      <c r="K3243" t="str">
        <f>"1039V355-001 WP355 - POWER PDB to LTSU and LOAD"</f>
        <v>1039V355-001 WP355 - POWER PDB to LTSU and LOAD</v>
      </c>
      <c r="L3243">
        <v>2</v>
      </c>
      <c r="M3243" t="str">
        <f>"יח"</f>
        <v>יח</v>
      </c>
      <c r="N3243">
        <v>2</v>
      </c>
      <c r="O3243" t="str">
        <f>"יח"</f>
        <v>יח</v>
      </c>
      <c r="P3243">
        <v>781.79</v>
      </c>
      <c r="Q3243" t="str">
        <f>"$"</f>
        <v>$</v>
      </c>
      <c r="R3243" t="str">
        <f>"הזמנה"</f>
        <v>הזמנה</v>
      </c>
      <c r="S3243">
        <v>0</v>
      </c>
      <c r="T3243" s="2">
        <v>1563.58</v>
      </c>
      <c r="U3243">
        <v>0</v>
      </c>
      <c r="V3243" s="2">
        <v>1563.58</v>
      </c>
      <c r="W3243" t="str">
        <f>"$"</f>
        <v>$</v>
      </c>
      <c r="X3243">
        <v>0</v>
      </c>
      <c r="Y3243">
        <v>0</v>
      </c>
      <c r="Z3243">
        <v>0</v>
      </c>
      <c r="AA3243" t="str">
        <f>"Y"</f>
        <v>Y</v>
      </c>
      <c r="AB3243" t="str">
        <f>"SO20000201"</f>
        <v>SO20000201</v>
      </c>
      <c r="AC3243">
        <v>21</v>
      </c>
      <c r="AD3243" s="1">
        <v>43970</v>
      </c>
      <c r="AE3243" t="str">
        <f>"SH20001458"</f>
        <v>SH20001458</v>
      </c>
      <c r="AF3243" t="str">
        <f>"משלוחים ללקוח"</f>
        <v>משלוחים ללקוח</v>
      </c>
      <c r="AG3243" s="1">
        <v>44143</v>
      </c>
      <c r="AM3243" t="str">
        <f>"10"</f>
        <v>10</v>
      </c>
      <c r="AN3243" t="str">
        <f>"500000"</f>
        <v>500000</v>
      </c>
      <c r="AO3243" t="str">
        <f>"הכנסות  מלקוחות"</f>
        <v>הכנסות  מלקוחות</v>
      </c>
      <c r="AQ3243" t="str">
        <f>"034"</f>
        <v>034</v>
      </c>
      <c r="AR3243">
        <v>0</v>
      </c>
      <c r="AS3243">
        <v>0</v>
      </c>
      <c r="AT3243">
        <v>3.3860000000000001</v>
      </c>
      <c r="AX3243" t="str">
        <f>"E000311250"</f>
        <v>E000311250</v>
      </c>
      <c r="BD3243" t="str">
        <f>"ערן שלו"</f>
        <v>ערן שלו</v>
      </c>
    </row>
    <row r="3244" spans="1:56" x14ac:dyDescent="0.3">
      <c r="A3244" s="1">
        <v>44147</v>
      </c>
      <c r="B3244" t="str">
        <f>"SI206001237"</f>
        <v>SI206001237</v>
      </c>
      <c r="C3244" t="str">
        <f>"PR20000348"</f>
        <v>PR20000348</v>
      </c>
      <c r="E3244" t="str">
        <f>"Y"</f>
        <v>Y</v>
      </c>
      <c r="F3244" t="str">
        <f>"חשבוניות מרכזות"</f>
        <v>חשבוניות מרכזות</v>
      </c>
      <c r="G3244" t="str">
        <f>"700065"</f>
        <v>700065</v>
      </c>
      <c r="H3244" t="str">
        <f>"אלתא מערכות בע""מ"</f>
        <v>אלתא מערכות בע"מ</v>
      </c>
      <c r="I3244" t="str">
        <f>"10"</f>
        <v>10</v>
      </c>
      <c r="J3244" t="str">
        <f>"OP-AR01756"</f>
        <v>OP-AR01756</v>
      </c>
      <c r="K3244" t="str">
        <f>"1036U457-001 WP457 - PWR PDB TO JACK BOX"</f>
        <v>1036U457-001 WP457 - PWR PDB TO JACK BOX</v>
      </c>
      <c r="L3244">
        <v>2</v>
      </c>
      <c r="M3244" t="str">
        <f>"יח"</f>
        <v>יח</v>
      </c>
      <c r="N3244">
        <v>2</v>
      </c>
      <c r="O3244" t="str">
        <f>"יח"</f>
        <v>יח</v>
      </c>
      <c r="P3244">
        <v>655.78</v>
      </c>
      <c r="Q3244" t="str">
        <f>"$"</f>
        <v>$</v>
      </c>
      <c r="R3244" t="str">
        <f>"הזמנה"</f>
        <v>הזמנה</v>
      </c>
      <c r="S3244">
        <v>0</v>
      </c>
      <c r="T3244" s="2">
        <v>1311.56</v>
      </c>
      <c r="U3244">
        <v>0</v>
      </c>
      <c r="V3244" s="2">
        <v>1311.56</v>
      </c>
      <c r="W3244" t="str">
        <f>"$"</f>
        <v>$</v>
      </c>
      <c r="X3244">
        <v>0</v>
      </c>
      <c r="Y3244">
        <v>0</v>
      </c>
      <c r="Z3244">
        <v>0</v>
      </c>
      <c r="AA3244" t="str">
        <f>"Y"</f>
        <v>Y</v>
      </c>
      <c r="AB3244" t="str">
        <f>"SO20000201"</f>
        <v>SO20000201</v>
      </c>
      <c r="AC3244">
        <v>24</v>
      </c>
      <c r="AD3244" s="1">
        <v>43970</v>
      </c>
      <c r="AE3244" t="str">
        <f>"SH20001458"</f>
        <v>SH20001458</v>
      </c>
      <c r="AF3244" t="str">
        <f>"משלוחים ללקוח"</f>
        <v>משלוחים ללקוח</v>
      </c>
      <c r="AG3244" s="1">
        <v>44143</v>
      </c>
      <c r="AM3244" t="str">
        <f>"10"</f>
        <v>10</v>
      </c>
      <c r="AN3244" t="str">
        <f>"500000"</f>
        <v>500000</v>
      </c>
      <c r="AO3244" t="str">
        <f>"הכנסות  מלקוחות"</f>
        <v>הכנסות  מלקוחות</v>
      </c>
      <c r="AQ3244" t="str">
        <f>"034"</f>
        <v>034</v>
      </c>
      <c r="AR3244">
        <v>0</v>
      </c>
      <c r="AS3244">
        <v>0</v>
      </c>
      <c r="AT3244">
        <v>3.3860000000000001</v>
      </c>
      <c r="AX3244" t="str">
        <f>"E000311250"</f>
        <v>E000311250</v>
      </c>
      <c r="BD3244" t="str">
        <f>"ערן שלו"</f>
        <v>ערן שלו</v>
      </c>
    </row>
    <row r="3245" spans="1:56" x14ac:dyDescent="0.3">
      <c r="A3245" s="1">
        <v>44147</v>
      </c>
      <c r="B3245" t="str">
        <f>"SI206001237"</f>
        <v>SI206001237</v>
      </c>
      <c r="C3245" t="str">
        <f>"PR20000348"</f>
        <v>PR20000348</v>
      </c>
      <c r="E3245" t="str">
        <f>"Y"</f>
        <v>Y</v>
      </c>
      <c r="F3245" t="str">
        <f>"חשבוניות מרכזות"</f>
        <v>חשבוניות מרכזות</v>
      </c>
      <c r="G3245" t="str">
        <f>"700065"</f>
        <v>700065</v>
      </c>
      <c r="H3245" t="str">
        <f>"אלתא מערכות בע""מ"</f>
        <v>אלתא מערכות בע"מ</v>
      </c>
      <c r="I3245" t="str">
        <f>"10"</f>
        <v>10</v>
      </c>
      <c r="J3245" t="str">
        <f>"OP-AR01791"</f>
        <v>OP-AR01791</v>
      </c>
      <c r="K3245" t="str">
        <f>"1037V768-001 WPG108 - BONDING STRAP MAIN COM PLA"</f>
        <v>1037V768-001 WPG108 - BONDING STRAP MAIN COM PLA</v>
      </c>
      <c r="L3245">
        <v>4</v>
      </c>
      <c r="M3245" t="str">
        <f>"יח"</f>
        <v>יח</v>
      </c>
      <c r="N3245">
        <v>4</v>
      </c>
      <c r="O3245" t="str">
        <f>"יח"</f>
        <v>יח</v>
      </c>
      <c r="P3245">
        <v>60.39</v>
      </c>
      <c r="Q3245" t="str">
        <f>"$"</f>
        <v>$</v>
      </c>
      <c r="R3245" t="str">
        <f>"הזמנה"</f>
        <v>הזמנה</v>
      </c>
      <c r="S3245">
        <v>0</v>
      </c>
      <c r="T3245">
        <v>241.56</v>
      </c>
      <c r="U3245">
        <v>0</v>
      </c>
      <c r="V3245">
        <v>241.56</v>
      </c>
      <c r="W3245" t="str">
        <f>"$"</f>
        <v>$</v>
      </c>
      <c r="X3245">
        <v>0</v>
      </c>
      <c r="Y3245">
        <v>0</v>
      </c>
      <c r="Z3245">
        <v>0</v>
      </c>
      <c r="AA3245" t="str">
        <f>"Y"</f>
        <v>Y</v>
      </c>
      <c r="AB3245" t="str">
        <f>"SO20000201"</f>
        <v>SO20000201</v>
      </c>
      <c r="AC3245">
        <v>56</v>
      </c>
      <c r="AD3245" s="1">
        <v>43970</v>
      </c>
      <c r="AE3245" t="str">
        <f>"SH20001458"</f>
        <v>SH20001458</v>
      </c>
      <c r="AF3245" t="str">
        <f>"משלוחים ללקוח"</f>
        <v>משלוחים ללקוח</v>
      </c>
      <c r="AG3245" s="1">
        <v>44143</v>
      </c>
      <c r="AM3245" t="str">
        <f>"10"</f>
        <v>10</v>
      </c>
      <c r="AN3245" t="str">
        <f>"500000"</f>
        <v>500000</v>
      </c>
      <c r="AO3245" t="str">
        <f>"הכנסות  מלקוחות"</f>
        <v>הכנסות  מלקוחות</v>
      </c>
      <c r="AQ3245" t="str">
        <f>"034"</f>
        <v>034</v>
      </c>
      <c r="AR3245">
        <v>0</v>
      </c>
      <c r="AS3245">
        <v>0</v>
      </c>
      <c r="AT3245">
        <v>3.3860000000000001</v>
      </c>
      <c r="AX3245" t="str">
        <f>"E000311250"</f>
        <v>E000311250</v>
      </c>
      <c r="BD3245" t="str">
        <f>"ערן שלו"</f>
        <v>ערן שלו</v>
      </c>
    </row>
    <row r="3246" spans="1:56" x14ac:dyDescent="0.3">
      <c r="A3246" s="1">
        <v>44147</v>
      </c>
      <c r="B3246" t="str">
        <f>"SI206001236"</f>
        <v>SI206001236</v>
      </c>
      <c r="C3246" t="str">
        <f>"PR20000485"</f>
        <v>PR20000485</v>
      </c>
      <c r="D3246" t="str">
        <f>"PR20000485"</f>
        <v>PR20000485</v>
      </c>
      <c r="E3246" t="str">
        <f>"Y"</f>
        <v>Y</v>
      </c>
      <c r="F3246" t="str">
        <f>"חשבוניות מרכזות"</f>
        <v>חשבוניות מרכזות</v>
      </c>
      <c r="G3246" t="str">
        <f>"700065"</f>
        <v>700065</v>
      </c>
      <c r="H3246" t="str">
        <f>"אלתא מערכות בע""מ"</f>
        <v>אלתא מערכות בע"מ</v>
      </c>
      <c r="I3246" t="str">
        <f>"10"</f>
        <v>10</v>
      </c>
      <c r="J3246" t="str">
        <f>"OP-AR01877"</f>
        <v>OP-AR01877</v>
      </c>
      <c r="K3246" t="str">
        <f>"1032Y075-001  -  HARNESS W1075"</f>
        <v>1032Y075-001  -  HARNESS W1075</v>
      </c>
      <c r="L3246">
        <v>2</v>
      </c>
      <c r="M3246" t="str">
        <f>"יח"</f>
        <v>יח</v>
      </c>
      <c r="N3246">
        <v>2</v>
      </c>
      <c r="O3246" t="str">
        <f>"יח"</f>
        <v>יח</v>
      </c>
      <c r="P3246">
        <v>588.88</v>
      </c>
      <c r="Q3246" t="str">
        <f>"$"</f>
        <v>$</v>
      </c>
      <c r="R3246" t="str">
        <f>"הזמנה"</f>
        <v>הזמנה</v>
      </c>
      <c r="S3246">
        <v>0</v>
      </c>
      <c r="T3246" s="2">
        <v>1177.76</v>
      </c>
      <c r="U3246">
        <v>0</v>
      </c>
      <c r="V3246" s="2">
        <v>1177.76</v>
      </c>
      <c r="W3246" t="str">
        <f>"$"</f>
        <v>$</v>
      </c>
      <c r="X3246">
        <v>0</v>
      </c>
      <c r="Y3246">
        <v>0</v>
      </c>
      <c r="Z3246">
        <v>0</v>
      </c>
      <c r="AA3246" t="str">
        <f>"Y"</f>
        <v>Y</v>
      </c>
      <c r="AB3246" t="str">
        <f>"SO20000289"</f>
        <v>SO20000289</v>
      </c>
      <c r="AC3246">
        <v>6</v>
      </c>
      <c r="AD3246" s="1">
        <v>44019</v>
      </c>
      <c r="AE3246" t="str">
        <f>"SH20001459"</f>
        <v>SH20001459</v>
      </c>
      <c r="AF3246" t="str">
        <f>"משלוחים ללקוח"</f>
        <v>משלוחים ללקוח</v>
      </c>
      <c r="AG3246" s="1">
        <v>44143</v>
      </c>
      <c r="AM3246" t="str">
        <f>"10"</f>
        <v>10</v>
      </c>
      <c r="AN3246" t="str">
        <f>"500000"</f>
        <v>500000</v>
      </c>
      <c r="AO3246" t="str">
        <f>"הכנסות  מלקוחות"</f>
        <v>הכנסות  מלקוחות</v>
      </c>
      <c r="AQ3246" t="str">
        <f>"034"</f>
        <v>034</v>
      </c>
      <c r="AR3246">
        <v>0</v>
      </c>
      <c r="AS3246">
        <v>0</v>
      </c>
      <c r="AT3246">
        <v>3.3860000000000001</v>
      </c>
      <c r="AX3246" t="str">
        <f>"E000315794"</f>
        <v>E000315794</v>
      </c>
      <c r="BD3246" t="str">
        <f>"ערן שלו"</f>
        <v>ערן שלו</v>
      </c>
    </row>
    <row r="3247" spans="1:56" x14ac:dyDescent="0.3">
      <c r="A3247" s="1">
        <v>44147</v>
      </c>
      <c r="B3247" t="str">
        <f>"SI206001235"</f>
        <v>SI206001235</v>
      </c>
      <c r="C3247" t="str">
        <f>"PR20000697"</f>
        <v>PR20000697</v>
      </c>
      <c r="E3247" t="str">
        <f>"Y"</f>
        <v>Y</v>
      </c>
      <c r="F3247" t="str">
        <f>"חשבוניות מרכזות"</f>
        <v>חשבוניות מרכזות</v>
      </c>
      <c r="G3247" t="str">
        <f>"700065"</f>
        <v>700065</v>
      </c>
      <c r="H3247" t="str">
        <f>"אלתא מערכות בע""מ"</f>
        <v>אלתא מערכות בע"מ</v>
      </c>
      <c r="I3247" t="str">
        <f>"10"</f>
        <v>10</v>
      </c>
      <c r="J3247" t="str">
        <f>"OP-AR01701"</f>
        <v>OP-AR01701</v>
      </c>
      <c r="K3247" t="str">
        <f>"1020B573-003 P.C.U W2 HARNESS MOTOR POWER"</f>
        <v>1020B573-003 P.C.U W2 HARNESS MOTOR POWER</v>
      </c>
      <c r="L3247">
        <v>1</v>
      </c>
      <c r="M3247" t="str">
        <f>"יח"</f>
        <v>יח</v>
      </c>
      <c r="N3247">
        <v>1</v>
      </c>
      <c r="O3247" t="str">
        <f>"יח"</f>
        <v>יח</v>
      </c>
      <c r="P3247">
        <v>663.36</v>
      </c>
      <c r="Q3247" t="str">
        <f>"$"</f>
        <v>$</v>
      </c>
      <c r="R3247" t="str">
        <f>"הזמנה"</f>
        <v>הזמנה</v>
      </c>
      <c r="S3247">
        <v>0</v>
      </c>
      <c r="T3247">
        <v>663.36</v>
      </c>
      <c r="U3247">
        <v>0</v>
      </c>
      <c r="V3247">
        <v>663.36</v>
      </c>
      <c r="W3247" t="str">
        <f>"$"</f>
        <v>$</v>
      </c>
      <c r="X3247">
        <v>0</v>
      </c>
      <c r="Y3247">
        <v>0</v>
      </c>
      <c r="Z3247">
        <v>0</v>
      </c>
      <c r="AA3247" t="str">
        <f>"Y"</f>
        <v>Y</v>
      </c>
      <c r="AB3247" t="str">
        <f>"SO20000141"</f>
        <v>SO20000141</v>
      </c>
      <c r="AC3247">
        <v>4</v>
      </c>
      <c r="AD3247" s="1">
        <v>43940</v>
      </c>
      <c r="AE3247" t="str">
        <f>"SH20001474"</f>
        <v>SH20001474</v>
      </c>
      <c r="AF3247" t="str">
        <f>"משלוחים ללקוח"</f>
        <v>משלוחים ללקוח</v>
      </c>
      <c r="AG3247" s="1">
        <v>44143</v>
      </c>
      <c r="AM3247" t="str">
        <f>"10"</f>
        <v>10</v>
      </c>
      <c r="AN3247" t="str">
        <f>"500000"</f>
        <v>500000</v>
      </c>
      <c r="AO3247" t="str">
        <f>"הכנסות  מלקוחות"</f>
        <v>הכנסות  מלקוחות</v>
      </c>
      <c r="AQ3247" t="str">
        <f>"034"</f>
        <v>034</v>
      </c>
      <c r="AR3247">
        <v>0</v>
      </c>
      <c r="AS3247">
        <v>0</v>
      </c>
      <c r="AT3247">
        <v>3.3860000000000001</v>
      </c>
      <c r="AX3247" t="str">
        <f>"E000308646"</f>
        <v>E000308646</v>
      </c>
      <c r="BD3247" t="str">
        <f>"ערן שלו"</f>
        <v>ערן שלו</v>
      </c>
    </row>
    <row r="3248" spans="1:56" x14ac:dyDescent="0.3">
      <c r="A3248" s="1">
        <v>44147</v>
      </c>
      <c r="B3248" t="str">
        <f>"SI206001234"</f>
        <v>SI206001234</v>
      </c>
      <c r="C3248" t="str">
        <f>"PR20000355"</f>
        <v>PR20000355</v>
      </c>
      <c r="D3248" t="str">
        <f>"PR20000355"</f>
        <v>PR20000355</v>
      </c>
      <c r="E3248" t="str">
        <f>"Y"</f>
        <v>Y</v>
      </c>
      <c r="F3248" t="str">
        <f>"חשבוניות מרכזות"</f>
        <v>חשבוניות מרכזות</v>
      </c>
      <c r="G3248" t="str">
        <f>"700065"</f>
        <v>700065</v>
      </c>
      <c r="H3248" t="str">
        <f>"אלתא מערכות בע""מ"</f>
        <v>אלתא מערכות בע"מ</v>
      </c>
      <c r="I3248" t="str">
        <f>"10"</f>
        <v>10</v>
      </c>
      <c r="J3248" t="str">
        <f>"OP-AR01824"</f>
        <v>OP-AR01824</v>
      </c>
      <c r="K3248" t="str">
        <f>"1029K764-001 PED/ANT. GROUND CABLE"</f>
        <v>1029K764-001 PED/ANT. GROUND CABLE</v>
      </c>
      <c r="L3248">
        <v>4</v>
      </c>
      <c r="M3248" t="str">
        <f>"יח"</f>
        <v>יח</v>
      </c>
      <c r="N3248">
        <v>4</v>
      </c>
      <c r="O3248" t="str">
        <f>"יח"</f>
        <v>יח</v>
      </c>
      <c r="P3248">
        <v>180</v>
      </c>
      <c r="Q3248" t="str">
        <f>"$"</f>
        <v>$</v>
      </c>
      <c r="R3248" t="str">
        <f>"הזמנה"</f>
        <v>הזמנה</v>
      </c>
      <c r="S3248">
        <v>0</v>
      </c>
      <c r="T3248">
        <v>720</v>
      </c>
      <c r="U3248">
        <v>0</v>
      </c>
      <c r="V3248">
        <v>720</v>
      </c>
      <c r="W3248" t="str">
        <f>"$"</f>
        <v>$</v>
      </c>
      <c r="X3248">
        <v>0</v>
      </c>
      <c r="Y3248">
        <v>0</v>
      </c>
      <c r="Z3248">
        <v>0</v>
      </c>
      <c r="AA3248" t="str">
        <f>"Y"</f>
        <v>Y</v>
      </c>
      <c r="AB3248" t="str">
        <f>"SO20000216"</f>
        <v>SO20000216</v>
      </c>
      <c r="AC3248">
        <v>1</v>
      </c>
      <c r="AD3248" s="1">
        <v>43978</v>
      </c>
      <c r="AE3248" t="str">
        <f>"SH20001463"</f>
        <v>SH20001463</v>
      </c>
      <c r="AF3248" t="str">
        <f>"משלוחים ללקוח"</f>
        <v>משלוחים ללקוח</v>
      </c>
      <c r="AG3248" s="1">
        <v>44143</v>
      </c>
      <c r="AM3248" t="str">
        <f>"10"</f>
        <v>10</v>
      </c>
      <c r="AN3248" t="str">
        <f>"500000"</f>
        <v>500000</v>
      </c>
      <c r="AO3248" t="str">
        <f>"הכנסות  מלקוחות"</f>
        <v>הכנסות  מלקוחות</v>
      </c>
      <c r="AQ3248" t="str">
        <f>"034"</f>
        <v>034</v>
      </c>
      <c r="AR3248">
        <v>0</v>
      </c>
      <c r="AS3248">
        <v>0</v>
      </c>
      <c r="AT3248">
        <v>3.3860000000000001</v>
      </c>
      <c r="AX3248" t="str">
        <f>"E000310975"</f>
        <v>E000310975</v>
      </c>
      <c r="BD3248" t="str">
        <f>"ערן שלו"</f>
        <v>ערן שלו</v>
      </c>
    </row>
    <row r="3249" spans="1:56" x14ac:dyDescent="0.3">
      <c r="A3249" s="1">
        <v>44147</v>
      </c>
      <c r="B3249" t="str">
        <f>"SI206001233"</f>
        <v>SI206001233</v>
      </c>
      <c r="C3249" t="str">
        <f>"PR20000502"</f>
        <v>PR20000502</v>
      </c>
      <c r="D3249" t="str">
        <f>"PR20000502"</f>
        <v>PR20000502</v>
      </c>
      <c r="E3249" t="str">
        <f>"Y"</f>
        <v>Y</v>
      </c>
      <c r="F3249" t="str">
        <f>"חשבוניות מרכזות"</f>
        <v>חשבוניות מרכזות</v>
      </c>
      <c r="G3249" t="str">
        <f>"700065"</f>
        <v>700065</v>
      </c>
      <c r="H3249" t="str">
        <f>"אלתא מערכות בע""מ"</f>
        <v>אלתא מערכות בע"מ</v>
      </c>
      <c r="I3249" t="str">
        <f>"10"</f>
        <v>10</v>
      </c>
      <c r="J3249" t="str">
        <f>"OP-AR01929"</f>
        <v>OP-AR01929</v>
      </c>
      <c r="K3249" t="str">
        <f>"2109B896-001/-  GHXW9 CABLE ASSY (PR GU TRU POWE"</f>
        <v>2109B896-001/-  GHXW9 CABLE ASSY (PR GU TRU POWE</v>
      </c>
      <c r="L3249">
        <v>2</v>
      </c>
      <c r="M3249" t="str">
        <f>"יח"</f>
        <v>יח</v>
      </c>
      <c r="N3249">
        <v>2</v>
      </c>
      <c r="O3249" t="str">
        <f>"יח"</f>
        <v>יח</v>
      </c>
      <c r="P3249">
        <v>298.3</v>
      </c>
      <c r="Q3249" t="str">
        <f>"$"</f>
        <v>$</v>
      </c>
      <c r="R3249" t="str">
        <f>"הזמנה"</f>
        <v>הזמנה</v>
      </c>
      <c r="S3249">
        <v>0</v>
      </c>
      <c r="T3249">
        <v>596.6</v>
      </c>
      <c r="U3249">
        <v>0</v>
      </c>
      <c r="V3249">
        <v>596.6</v>
      </c>
      <c r="W3249" t="str">
        <f>"$"</f>
        <v>$</v>
      </c>
      <c r="X3249">
        <v>0</v>
      </c>
      <c r="Y3249">
        <v>0</v>
      </c>
      <c r="Z3249">
        <v>0</v>
      </c>
      <c r="AA3249" t="str">
        <f>"Y"</f>
        <v>Y</v>
      </c>
      <c r="AB3249" t="str">
        <f>"SO20000309"</f>
        <v>SO20000309</v>
      </c>
      <c r="AC3249">
        <v>9</v>
      </c>
      <c r="AD3249" s="1">
        <v>44031</v>
      </c>
      <c r="AE3249" t="str">
        <f>"SH20001465"</f>
        <v>SH20001465</v>
      </c>
      <c r="AF3249" t="str">
        <f>"משלוחים ללקוח"</f>
        <v>משלוחים ללקוח</v>
      </c>
      <c r="AG3249" s="1">
        <v>44143</v>
      </c>
      <c r="AM3249" t="str">
        <f>"10"</f>
        <v>10</v>
      </c>
      <c r="AN3249" t="str">
        <f>"500000"</f>
        <v>500000</v>
      </c>
      <c r="AO3249" t="str">
        <f>"הכנסות  מלקוחות"</f>
        <v>הכנסות  מלקוחות</v>
      </c>
      <c r="AQ3249" t="str">
        <f>"034"</f>
        <v>034</v>
      </c>
      <c r="AR3249">
        <v>0</v>
      </c>
      <c r="AS3249">
        <v>0</v>
      </c>
      <c r="AT3249">
        <v>3.3860000000000001</v>
      </c>
      <c r="AX3249" t="str">
        <f>"E000316387"</f>
        <v>E000316387</v>
      </c>
      <c r="BD3249" t="str">
        <f>"ערן שלו"</f>
        <v>ערן שלו</v>
      </c>
    </row>
    <row r="3250" spans="1:56" x14ac:dyDescent="0.3">
      <c r="A3250" s="1">
        <v>44144</v>
      </c>
      <c r="B3250" t="str">
        <f>"SI206001211"</f>
        <v>SI206001211</v>
      </c>
      <c r="C3250" t="str">
        <f>"PR20000355"</f>
        <v>PR20000355</v>
      </c>
      <c r="D3250" t="str">
        <f>"PR20000355"</f>
        <v>PR20000355</v>
      </c>
      <c r="E3250" t="str">
        <f>"Y"</f>
        <v>Y</v>
      </c>
      <c r="F3250" t="str">
        <f>"חשבוניות מרכזות"</f>
        <v>חשבוניות מרכזות</v>
      </c>
      <c r="G3250" t="str">
        <f>"700065"</f>
        <v>700065</v>
      </c>
      <c r="H3250" t="str">
        <f>"אלתא מערכות בע""מ"</f>
        <v>אלתא מערכות בע"מ</v>
      </c>
      <c r="I3250" t="str">
        <f>"10"</f>
        <v>10</v>
      </c>
      <c r="J3250" t="str">
        <f>"OP-AR01825"</f>
        <v>OP-AR01825</v>
      </c>
      <c r="K3250" t="str">
        <f>"MOQ FOR E000310975"</f>
        <v>MOQ FOR E000310975</v>
      </c>
      <c r="L3250">
        <v>1</v>
      </c>
      <c r="M3250" t="str">
        <f>"יח"</f>
        <v>יח</v>
      </c>
      <c r="N3250">
        <v>1</v>
      </c>
      <c r="O3250" t="str">
        <f>"יח"</f>
        <v>יח</v>
      </c>
      <c r="P3250">
        <v>364</v>
      </c>
      <c r="Q3250" t="str">
        <f>"$"</f>
        <v>$</v>
      </c>
      <c r="R3250" t="str">
        <f>"הזמנה"</f>
        <v>הזמנה</v>
      </c>
      <c r="S3250">
        <v>0</v>
      </c>
      <c r="T3250">
        <v>364</v>
      </c>
      <c r="U3250">
        <v>0</v>
      </c>
      <c r="V3250">
        <v>364</v>
      </c>
      <c r="W3250" t="str">
        <f>"$"</f>
        <v>$</v>
      </c>
      <c r="X3250">
        <v>0</v>
      </c>
      <c r="Y3250">
        <v>0</v>
      </c>
      <c r="Z3250">
        <v>0</v>
      </c>
      <c r="AA3250" t="str">
        <f>"Y"</f>
        <v>Y</v>
      </c>
      <c r="AB3250" t="str">
        <f>"SO20000216"</f>
        <v>SO20000216</v>
      </c>
      <c r="AC3250">
        <v>2</v>
      </c>
      <c r="AD3250" s="1">
        <v>43978</v>
      </c>
      <c r="AM3250" t="str">
        <f>"10"</f>
        <v>10</v>
      </c>
      <c r="AN3250" t="str">
        <f>"500000"</f>
        <v>500000</v>
      </c>
      <c r="AO3250" t="str">
        <f>"הכנסות  מלקוחות"</f>
        <v>הכנסות  מלקוחות</v>
      </c>
      <c r="AQ3250" t="str">
        <f>"034"</f>
        <v>034</v>
      </c>
      <c r="AR3250">
        <v>0</v>
      </c>
      <c r="AS3250">
        <v>0</v>
      </c>
      <c r="AT3250">
        <v>3.3769999999999998</v>
      </c>
      <c r="AX3250" t="str">
        <f>"E000310975"</f>
        <v>E000310975</v>
      </c>
      <c r="BD3250" t="str">
        <f>"ערן שלו"</f>
        <v>ערן שלו</v>
      </c>
    </row>
    <row r="3251" spans="1:56" x14ac:dyDescent="0.3">
      <c r="A3251" s="1">
        <v>44140</v>
      </c>
      <c r="B3251" t="str">
        <f>"CR207000105"</f>
        <v>CR207000105</v>
      </c>
      <c r="E3251" t="str">
        <f>"Y"</f>
        <v>Y</v>
      </c>
      <c r="F3251" t="str">
        <f>"חשבוניות זיכוי"</f>
        <v>חשבוניות זיכוי</v>
      </c>
      <c r="G3251" t="str">
        <f>"700065"</f>
        <v>700065</v>
      </c>
      <c r="H3251" t="str">
        <f>"אלתא מערכות בע""מ"</f>
        <v>אלתא מערכות בע"מ</v>
      </c>
      <c r="I3251" t="str">
        <f>"10"</f>
        <v>10</v>
      </c>
      <c r="J3251" t="str">
        <f>"9977"</f>
        <v>9977</v>
      </c>
      <c r="K3251" t="str">
        <f>"זיכוי בגין פיגורים 5112334344 SI206000847"</f>
        <v>זיכוי בגין פיגורים 5112334344 SI206000847</v>
      </c>
      <c r="L3251">
        <v>1</v>
      </c>
      <c r="M3251" t="str">
        <f>"חל"</f>
        <v>חל</v>
      </c>
      <c r="N3251">
        <v>1</v>
      </c>
      <c r="O3251" t="str">
        <f>"חל"</f>
        <v>חל</v>
      </c>
      <c r="P3251" s="2">
        <v>3994.8</v>
      </c>
      <c r="Q3251" t="str">
        <f>"$"</f>
        <v>$</v>
      </c>
      <c r="R3251" t="str">
        <f>"הזמנה"</f>
        <v>הזמנה</v>
      </c>
      <c r="S3251">
        <v>0</v>
      </c>
      <c r="T3251" s="2">
        <v>3994.8</v>
      </c>
      <c r="U3251">
        <v>0</v>
      </c>
      <c r="V3251" s="2">
        <v>3994.8</v>
      </c>
      <c r="W3251" t="str">
        <f>"$"</f>
        <v>$</v>
      </c>
      <c r="X3251">
        <v>0</v>
      </c>
      <c r="Y3251">
        <v>0</v>
      </c>
      <c r="Z3251">
        <v>0</v>
      </c>
      <c r="AA3251" t="str">
        <f>"Y"</f>
        <v>Y</v>
      </c>
      <c r="AB3251" t="str">
        <f>"SO19000397"</f>
        <v>SO19000397</v>
      </c>
      <c r="AC3251">
        <v>11</v>
      </c>
      <c r="AD3251" s="1">
        <v>43716</v>
      </c>
      <c r="AM3251" t="str">
        <f>"10"</f>
        <v>10</v>
      </c>
      <c r="AN3251" t="str">
        <f>"500000"</f>
        <v>500000</v>
      </c>
      <c r="AO3251" t="str">
        <f>"הכנסות  מלקוחות"</f>
        <v>הכנסות  מלקוחות</v>
      </c>
      <c r="AQ3251" t="str">
        <f>"034"</f>
        <v>034</v>
      </c>
      <c r="AR3251">
        <v>0</v>
      </c>
      <c r="AS3251">
        <v>0</v>
      </c>
      <c r="AT3251">
        <v>3.4039999999999999</v>
      </c>
      <c r="AX3251" t="str">
        <f>"E000294050"</f>
        <v>E000294050</v>
      </c>
      <c r="BD3251" t="str">
        <f>"ערן שלו"</f>
        <v>ערן שלו</v>
      </c>
    </row>
    <row r="3252" spans="1:56" x14ac:dyDescent="0.3">
      <c r="A3252" s="1">
        <v>44140</v>
      </c>
      <c r="B3252" t="str">
        <f>"CR207000104"</f>
        <v>CR207000104</v>
      </c>
      <c r="C3252" t="str">
        <f>"PR20000115"</f>
        <v>PR20000115</v>
      </c>
      <c r="D3252" t="str">
        <f>"PR20000115"</f>
        <v>PR20000115</v>
      </c>
      <c r="E3252" t="str">
        <f>"Y"</f>
        <v>Y</v>
      </c>
      <c r="F3252" t="str">
        <f>"חשבוניות זיכוי"</f>
        <v>חשבוניות זיכוי</v>
      </c>
      <c r="G3252" t="str">
        <f>"700065"</f>
        <v>700065</v>
      </c>
      <c r="H3252" t="str">
        <f>"אלתא מערכות בע""מ"</f>
        <v>אלתא מערכות בע"מ</v>
      </c>
      <c r="I3252" t="str">
        <f>"10"</f>
        <v>10</v>
      </c>
      <c r="J3252" t="str">
        <f>"9977"</f>
        <v>9977</v>
      </c>
      <c r="K3252" t="str">
        <f>"חיוב בגין פיגורים 5112332958 SI206000836"</f>
        <v>חיוב בגין פיגורים 5112332958 SI206000836</v>
      </c>
      <c r="L3252">
        <v>1</v>
      </c>
      <c r="M3252" t="str">
        <f>"חל"</f>
        <v>חל</v>
      </c>
      <c r="N3252">
        <v>1</v>
      </c>
      <c r="O3252" t="str">
        <f>"חל"</f>
        <v>חל</v>
      </c>
      <c r="P3252">
        <v>56.19</v>
      </c>
      <c r="Q3252" t="str">
        <f>"$"</f>
        <v>$</v>
      </c>
      <c r="R3252" t="str">
        <f>"הזמנה"</f>
        <v>הזמנה</v>
      </c>
      <c r="S3252">
        <v>0</v>
      </c>
      <c r="T3252">
        <v>56.19</v>
      </c>
      <c r="U3252">
        <v>0</v>
      </c>
      <c r="V3252">
        <v>56.19</v>
      </c>
      <c r="W3252" t="str">
        <f>"$"</f>
        <v>$</v>
      </c>
      <c r="X3252">
        <v>0</v>
      </c>
      <c r="Y3252">
        <v>0</v>
      </c>
      <c r="Z3252">
        <v>0</v>
      </c>
      <c r="AA3252" t="str">
        <f>"Y"</f>
        <v>Y</v>
      </c>
      <c r="AB3252" t="str">
        <f>"SO20000094"</f>
        <v>SO20000094</v>
      </c>
      <c r="AC3252">
        <v>19</v>
      </c>
      <c r="AD3252" s="1">
        <v>43891</v>
      </c>
      <c r="AM3252" t="str">
        <f>"10"</f>
        <v>10</v>
      </c>
      <c r="AN3252" t="str">
        <f>"500000"</f>
        <v>500000</v>
      </c>
      <c r="AO3252" t="str">
        <f>"הכנסות  מלקוחות"</f>
        <v>הכנסות  מלקוחות</v>
      </c>
      <c r="AQ3252" t="str">
        <f>"034"</f>
        <v>034</v>
      </c>
      <c r="AR3252">
        <v>0</v>
      </c>
      <c r="AS3252">
        <v>0</v>
      </c>
      <c r="AT3252">
        <v>3.4</v>
      </c>
      <c r="AX3252" t="str">
        <f>"E000306197"</f>
        <v>E000306197</v>
      </c>
      <c r="BD3252" t="str">
        <f>"ערן שלו"</f>
        <v>ערן שלו</v>
      </c>
    </row>
    <row r="3253" spans="1:56" x14ac:dyDescent="0.3">
      <c r="A3253" s="1">
        <v>44140</v>
      </c>
      <c r="B3253" t="str">
        <f>"CR207000103"</f>
        <v>CR207000103</v>
      </c>
      <c r="C3253" t="str">
        <f>"PR20000210"</f>
        <v>PR20000210</v>
      </c>
      <c r="D3253" t="str">
        <f>"PR20000210"</f>
        <v>PR20000210</v>
      </c>
      <c r="E3253" t="str">
        <f>"Y"</f>
        <v>Y</v>
      </c>
      <c r="F3253" t="str">
        <f>"חשבוניות זיכוי"</f>
        <v>חשבוניות זיכוי</v>
      </c>
      <c r="G3253" t="str">
        <f>"700065"</f>
        <v>700065</v>
      </c>
      <c r="H3253" t="str">
        <f>"אלתא מערכות בע""מ"</f>
        <v>אלתא מערכות בע"מ</v>
      </c>
      <c r="I3253" t="str">
        <f>"10"</f>
        <v>10</v>
      </c>
      <c r="J3253" t="str">
        <f>"9977"</f>
        <v>9977</v>
      </c>
      <c r="K3253" t="str">
        <f>"חיוב פיגורים בגין 5112332927 SI206000835"</f>
        <v>חיוב פיגורים בגין 5112332927 SI206000835</v>
      </c>
      <c r="L3253">
        <v>1</v>
      </c>
      <c r="M3253" t="str">
        <f>"חל"</f>
        <v>חל</v>
      </c>
      <c r="N3253">
        <v>1</v>
      </c>
      <c r="O3253" t="str">
        <f>"חל"</f>
        <v>חל</v>
      </c>
      <c r="P3253">
        <v>87.15</v>
      </c>
      <c r="Q3253" t="str">
        <f>"$"</f>
        <v>$</v>
      </c>
      <c r="R3253" t="str">
        <f>"הזמנה"</f>
        <v>הזמנה</v>
      </c>
      <c r="S3253">
        <v>0</v>
      </c>
      <c r="T3253">
        <v>87.15</v>
      </c>
      <c r="U3253">
        <v>0</v>
      </c>
      <c r="V3253">
        <v>87.15</v>
      </c>
      <c r="W3253" t="str">
        <f>"$"</f>
        <v>$</v>
      </c>
      <c r="X3253">
        <v>0</v>
      </c>
      <c r="Y3253">
        <v>0</v>
      </c>
      <c r="Z3253">
        <v>0</v>
      </c>
      <c r="AA3253" t="str">
        <f>"Y"</f>
        <v>Y</v>
      </c>
      <c r="AB3253" t="str">
        <f>"SO20000139"</f>
        <v>SO20000139</v>
      </c>
      <c r="AC3253">
        <v>7</v>
      </c>
      <c r="AD3253" s="1">
        <v>43940</v>
      </c>
      <c r="AM3253" t="str">
        <f>"10"</f>
        <v>10</v>
      </c>
      <c r="AN3253" t="str">
        <f>"500000"</f>
        <v>500000</v>
      </c>
      <c r="AO3253" t="str">
        <f>"הכנסות  מלקוחות"</f>
        <v>הכנסות  מלקוחות</v>
      </c>
      <c r="AQ3253" t="str">
        <f>"034"</f>
        <v>034</v>
      </c>
      <c r="AR3253">
        <v>0</v>
      </c>
      <c r="AS3253">
        <v>0</v>
      </c>
      <c r="AT3253">
        <v>3.3999000000000001</v>
      </c>
      <c r="AX3253" t="str">
        <f>"E000309670"</f>
        <v>E000309670</v>
      </c>
      <c r="BD3253" t="str">
        <f>"ערן שלו"</f>
        <v>ערן שלו</v>
      </c>
    </row>
    <row r="3254" spans="1:56" x14ac:dyDescent="0.3">
      <c r="A3254" s="1">
        <v>44140</v>
      </c>
      <c r="B3254" t="str">
        <f>"CR207000103"</f>
        <v>CR207000103</v>
      </c>
      <c r="C3254" t="str">
        <f>"PR20000210"</f>
        <v>PR20000210</v>
      </c>
      <c r="D3254" t="str">
        <f>"PR20000210"</f>
        <v>PR20000210</v>
      </c>
      <c r="E3254" t="str">
        <f>"Y"</f>
        <v>Y</v>
      </c>
      <c r="F3254" t="str">
        <f>"חשבוניות זיכוי"</f>
        <v>חשבוניות זיכוי</v>
      </c>
      <c r="G3254" t="str">
        <f>"700065"</f>
        <v>700065</v>
      </c>
      <c r="H3254" t="str">
        <f>"אלתא מערכות בע""מ"</f>
        <v>אלתא מערכות בע"מ</v>
      </c>
      <c r="I3254" t="str">
        <f>"10"</f>
        <v>10</v>
      </c>
      <c r="J3254" t="str">
        <f>"9977"</f>
        <v>9977</v>
      </c>
      <c r="K3254" t="str">
        <f>"חיוב פיגורים בגין 5112332927 SI206000835"</f>
        <v>חיוב פיגורים בגין 5112332927 SI206000835</v>
      </c>
      <c r="L3254">
        <v>1</v>
      </c>
      <c r="M3254" t="str">
        <f>"חל"</f>
        <v>חל</v>
      </c>
      <c r="N3254">
        <v>1</v>
      </c>
      <c r="O3254" t="str">
        <f>"חל"</f>
        <v>חל</v>
      </c>
      <c r="P3254">
        <v>16.68</v>
      </c>
      <c r="Q3254" t="str">
        <f>"$"</f>
        <v>$</v>
      </c>
      <c r="R3254" t="str">
        <f>"הזמנה"</f>
        <v>הזמנה</v>
      </c>
      <c r="S3254">
        <v>0</v>
      </c>
      <c r="T3254">
        <v>16.68</v>
      </c>
      <c r="U3254">
        <v>0</v>
      </c>
      <c r="V3254">
        <v>16.68</v>
      </c>
      <c r="W3254" t="str">
        <f>"$"</f>
        <v>$</v>
      </c>
      <c r="X3254">
        <v>0</v>
      </c>
      <c r="Y3254">
        <v>0</v>
      </c>
      <c r="Z3254">
        <v>0</v>
      </c>
      <c r="AA3254" t="str">
        <f>"Y"</f>
        <v>Y</v>
      </c>
      <c r="AB3254" t="str">
        <f>"SO20000139"</f>
        <v>SO20000139</v>
      </c>
      <c r="AC3254">
        <v>9</v>
      </c>
      <c r="AD3254" s="1">
        <v>43940</v>
      </c>
      <c r="AM3254" t="str">
        <f>"10"</f>
        <v>10</v>
      </c>
      <c r="AN3254" t="str">
        <f>"500000"</f>
        <v>500000</v>
      </c>
      <c r="AO3254" t="str">
        <f>"הכנסות  מלקוחות"</f>
        <v>הכנסות  מלקוחות</v>
      </c>
      <c r="AQ3254" t="str">
        <f>"034"</f>
        <v>034</v>
      </c>
      <c r="AR3254">
        <v>0</v>
      </c>
      <c r="AS3254">
        <v>0</v>
      </c>
      <c r="AT3254">
        <v>3.3999000000000001</v>
      </c>
      <c r="AX3254" t="str">
        <f>"E000309670"</f>
        <v>E000309670</v>
      </c>
      <c r="BD3254" t="str">
        <f>"ערן שלו"</f>
        <v>ערן שלו</v>
      </c>
    </row>
    <row r="3255" spans="1:56" x14ac:dyDescent="0.3">
      <c r="A3255" s="1">
        <v>44140</v>
      </c>
      <c r="B3255" t="str">
        <f>"CR207000102"</f>
        <v>CR207000102</v>
      </c>
      <c r="E3255" t="str">
        <f>"Y"</f>
        <v>Y</v>
      </c>
      <c r="F3255" t="str">
        <f>"חשבוניות זיכוי"</f>
        <v>חשבוניות זיכוי</v>
      </c>
      <c r="G3255" t="str">
        <f>"700065"</f>
        <v>700065</v>
      </c>
      <c r="H3255" t="str">
        <f>"אלתא מערכות בע""מ"</f>
        <v>אלתא מערכות בע"מ</v>
      </c>
      <c r="I3255" t="str">
        <f>"10"</f>
        <v>10</v>
      </c>
      <c r="J3255" t="str">
        <f>"9977"</f>
        <v>9977</v>
      </c>
      <c r="K3255" t="str">
        <f>"חיוב פיגורים בגין 5112327330 SI206000819"</f>
        <v>חיוב פיגורים בגין 5112327330 SI206000819</v>
      </c>
      <c r="L3255">
        <v>1</v>
      </c>
      <c r="M3255" t="str">
        <f>"חל"</f>
        <v>חל</v>
      </c>
      <c r="N3255">
        <v>1</v>
      </c>
      <c r="O3255" t="str">
        <f>"חל"</f>
        <v>חל</v>
      </c>
      <c r="P3255">
        <v>614.67999999999995</v>
      </c>
      <c r="Q3255" t="str">
        <f>"$"</f>
        <v>$</v>
      </c>
      <c r="R3255" t="str">
        <f>"הזמנה"</f>
        <v>הזמנה</v>
      </c>
      <c r="S3255">
        <v>0</v>
      </c>
      <c r="T3255">
        <v>614.67999999999995</v>
      </c>
      <c r="U3255">
        <v>0</v>
      </c>
      <c r="V3255">
        <v>614.67999999999995</v>
      </c>
      <c r="W3255" t="str">
        <f>"$"</f>
        <v>$</v>
      </c>
      <c r="X3255">
        <v>0</v>
      </c>
      <c r="Y3255">
        <v>0</v>
      </c>
      <c r="Z3255">
        <v>0</v>
      </c>
      <c r="AA3255" t="str">
        <f>"Y"</f>
        <v>Y</v>
      </c>
      <c r="AB3255" t="str">
        <f>"SO19000524"</f>
        <v>SO19000524</v>
      </c>
      <c r="AC3255">
        <v>25</v>
      </c>
      <c r="AD3255" s="1">
        <v>43809</v>
      </c>
      <c r="AM3255" t="str">
        <f>"10"</f>
        <v>10</v>
      </c>
      <c r="AN3255" t="str">
        <f>"500000"</f>
        <v>500000</v>
      </c>
      <c r="AO3255" t="str">
        <f>"הכנסות  מלקוחות"</f>
        <v>הכנסות  מלקוחות</v>
      </c>
      <c r="AQ3255" t="str">
        <f>"034"</f>
        <v>034</v>
      </c>
      <c r="AR3255">
        <v>0</v>
      </c>
      <c r="AS3255">
        <v>0</v>
      </c>
      <c r="AT3255">
        <v>3.4039999999999999</v>
      </c>
      <c r="AX3255" t="str">
        <f>"E000300228"</f>
        <v>E000300228</v>
      </c>
      <c r="BD3255" t="str">
        <f>"ערן שלו"</f>
        <v>ערן שלו</v>
      </c>
    </row>
    <row r="3256" spans="1:56" x14ac:dyDescent="0.3">
      <c r="A3256" s="1">
        <v>44140</v>
      </c>
      <c r="B3256" t="str">
        <f>"CR207000102"</f>
        <v>CR207000102</v>
      </c>
      <c r="E3256" t="str">
        <f>"Y"</f>
        <v>Y</v>
      </c>
      <c r="F3256" t="str">
        <f>"חשבוניות זיכוי"</f>
        <v>חשבוניות זיכוי</v>
      </c>
      <c r="G3256" t="str">
        <f>"700065"</f>
        <v>700065</v>
      </c>
      <c r="H3256" t="str">
        <f>"אלתא מערכות בע""מ"</f>
        <v>אלתא מערכות בע"מ</v>
      </c>
      <c r="I3256" t="str">
        <f>"10"</f>
        <v>10</v>
      </c>
      <c r="J3256" t="str">
        <f>"9977"</f>
        <v>9977</v>
      </c>
      <c r="K3256" t="str">
        <f>"חיוב פיגורים בגין 5112327330 SI206000819"</f>
        <v>חיוב פיגורים בגין 5112327330 SI206000819</v>
      </c>
      <c r="L3256">
        <v>1</v>
      </c>
      <c r="M3256" t="str">
        <f>"חל"</f>
        <v>חל</v>
      </c>
      <c r="N3256">
        <v>1</v>
      </c>
      <c r="O3256" t="str">
        <f>"חל"</f>
        <v>חל</v>
      </c>
      <c r="P3256" s="2">
        <v>1211.94</v>
      </c>
      <c r="Q3256" t="str">
        <f>"$"</f>
        <v>$</v>
      </c>
      <c r="R3256" t="str">
        <f>"הזמנה"</f>
        <v>הזמנה</v>
      </c>
      <c r="S3256">
        <v>0</v>
      </c>
      <c r="T3256" s="2">
        <v>1211.94</v>
      </c>
      <c r="U3256">
        <v>0</v>
      </c>
      <c r="V3256" s="2">
        <v>1211.94</v>
      </c>
      <c r="W3256" t="str">
        <f>"$"</f>
        <v>$</v>
      </c>
      <c r="X3256">
        <v>0</v>
      </c>
      <c r="Y3256">
        <v>0</v>
      </c>
      <c r="Z3256">
        <v>0</v>
      </c>
      <c r="AA3256" t="str">
        <f>"Y"</f>
        <v>Y</v>
      </c>
      <c r="AB3256" t="str">
        <f>"SO19000524"</f>
        <v>SO19000524</v>
      </c>
      <c r="AC3256">
        <v>29</v>
      </c>
      <c r="AD3256" s="1">
        <v>43809</v>
      </c>
      <c r="AM3256" t="str">
        <f>"10"</f>
        <v>10</v>
      </c>
      <c r="AN3256" t="str">
        <f>"500000"</f>
        <v>500000</v>
      </c>
      <c r="AO3256" t="str">
        <f>"הכנסות  מלקוחות"</f>
        <v>הכנסות  מלקוחות</v>
      </c>
      <c r="AQ3256" t="str">
        <f>"034"</f>
        <v>034</v>
      </c>
      <c r="AR3256">
        <v>0</v>
      </c>
      <c r="AS3256">
        <v>0</v>
      </c>
      <c r="AT3256">
        <v>3.4039999999999999</v>
      </c>
      <c r="AX3256" t="str">
        <f>"E000300228"</f>
        <v>E000300228</v>
      </c>
      <c r="BD3256" t="str">
        <f>"ערן שלו"</f>
        <v>ערן שלו</v>
      </c>
    </row>
    <row r="3257" spans="1:56" x14ac:dyDescent="0.3">
      <c r="A3257" s="1">
        <v>44140</v>
      </c>
      <c r="B3257" t="str">
        <f>"CR207000102"</f>
        <v>CR207000102</v>
      </c>
      <c r="E3257" t="str">
        <f>"Y"</f>
        <v>Y</v>
      </c>
      <c r="F3257" t="str">
        <f>"חשבוניות זיכוי"</f>
        <v>חשבוניות זיכוי</v>
      </c>
      <c r="G3257" t="str">
        <f>"700065"</f>
        <v>700065</v>
      </c>
      <c r="H3257" t="str">
        <f>"אלתא מערכות בע""מ"</f>
        <v>אלתא מערכות בע"מ</v>
      </c>
      <c r="I3257" t="str">
        <f>"10"</f>
        <v>10</v>
      </c>
      <c r="J3257" t="str">
        <f>"9977"</f>
        <v>9977</v>
      </c>
      <c r="K3257" t="str">
        <f>"חיוב פיגורים בגין 5112327330 SI206000819"</f>
        <v>חיוב פיגורים בגין 5112327330 SI206000819</v>
      </c>
      <c r="L3257">
        <v>1</v>
      </c>
      <c r="M3257" t="str">
        <f>"חל"</f>
        <v>חל</v>
      </c>
      <c r="N3257">
        <v>1</v>
      </c>
      <c r="O3257" t="str">
        <f>"חל"</f>
        <v>חל</v>
      </c>
      <c r="P3257">
        <v>325.55</v>
      </c>
      <c r="Q3257" t="str">
        <f>"$"</f>
        <v>$</v>
      </c>
      <c r="R3257" t="str">
        <f>"הזמנה"</f>
        <v>הזמנה</v>
      </c>
      <c r="S3257">
        <v>0</v>
      </c>
      <c r="T3257">
        <v>325.55</v>
      </c>
      <c r="U3257">
        <v>0</v>
      </c>
      <c r="V3257">
        <v>325.55</v>
      </c>
      <c r="W3257" t="str">
        <f>"$"</f>
        <v>$</v>
      </c>
      <c r="X3257">
        <v>0</v>
      </c>
      <c r="Y3257">
        <v>0</v>
      </c>
      <c r="Z3257">
        <v>0</v>
      </c>
      <c r="AA3257" t="str">
        <f>"Y"</f>
        <v>Y</v>
      </c>
      <c r="AB3257" t="str">
        <f>"SO19000524"</f>
        <v>SO19000524</v>
      </c>
      <c r="AC3257">
        <v>45</v>
      </c>
      <c r="AD3257" s="1">
        <v>43809</v>
      </c>
      <c r="AM3257" t="str">
        <f>"10"</f>
        <v>10</v>
      </c>
      <c r="AN3257" t="str">
        <f>"500000"</f>
        <v>500000</v>
      </c>
      <c r="AO3257" t="str">
        <f>"הכנסות  מלקוחות"</f>
        <v>הכנסות  מלקוחות</v>
      </c>
      <c r="AQ3257" t="str">
        <f>"034"</f>
        <v>034</v>
      </c>
      <c r="AR3257">
        <v>0</v>
      </c>
      <c r="AS3257">
        <v>0</v>
      </c>
      <c r="AT3257">
        <v>3.4039999999999999</v>
      </c>
      <c r="AX3257" t="str">
        <f>"E000300228"</f>
        <v>E000300228</v>
      </c>
      <c r="BD3257" t="str">
        <f>"ערן שלו"</f>
        <v>ערן שלו</v>
      </c>
    </row>
    <row r="3258" spans="1:56" x14ac:dyDescent="0.3">
      <c r="A3258" s="1">
        <v>44140</v>
      </c>
      <c r="B3258" t="str">
        <f>"CR207000102"</f>
        <v>CR207000102</v>
      </c>
      <c r="E3258" t="str">
        <f>"Y"</f>
        <v>Y</v>
      </c>
      <c r="F3258" t="str">
        <f>"חשבוניות זיכוי"</f>
        <v>חשבוניות זיכוי</v>
      </c>
      <c r="G3258" t="str">
        <f>"700065"</f>
        <v>700065</v>
      </c>
      <c r="H3258" t="str">
        <f>"אלתא מערכות בע""מ"</f>
        <v>אלתא מערכות בע"מ</v>
      </c>
      <c r="I3258" t="str">
        <f>"10"</f>
        <v>10</v>
      </c>
      <c r="J3258" t="str">
        <f>"9977"</f>
        <v>9977</v>
      </c>
      <c r="K3258" t="str">
        <f>"חיוב פיגורים בגין 5112327330 SI206000819"</f>
        <v>חיוב פיגורים בגין 5112327330 SI206000819</v>
      </c>
      <c r="L3258">
        <v>1</v>
      </c>
      <c r="M3258" t="str">
        <f>"חל"</f>
        <v>חל</v>
      </c>
      <c r="N3258">
        <v>1</v>
      </c>
      <c r="O3258" t="str">
        <f>"חל"</f>
        <v>חל</v>
      </c>
      <c r="P3258">
        <v>106.69</v>
      </c>
      <c r="Q3258" t="str">
        <f>"$"</f>
        <v>$</v>
      </c>
      <c r="R3258" t="str">
        <f>"הזמנה"</f>
        <v>הזמנה</v>
      </c>
      <c r="S3258">
        <v>0</v>
      </c>
      <c r="T3258">
        <v>106.69</v>
      </c>
      <c r="U3258">
        <v>0</v>
      </c>
      <c r="V3258">
        <v>106.69</v>
      </c>
      <c r="W3258" t="str">
        <f>"$"</f>
        <v>$</v>
      </c>
      <c r="X3258">
        <v>0</v>
      </c>
      <c r="Y3258">
        <v>0</v>
      </c>
      <c r="Z3258">
        <v>0</v>
      </c>
      <c r="AA3258" t="str">
        <f>"Y"</f>
        <v>Y</v>
      </c>
      <c r="AB3258" t="str">
        <f>"SO19000524"</f>
        <v>SO19000524</v>
      </c>
      <c r="AC3258">
        <v>46</v>
      </c>
      <c r="AD3258" s="1">
        <v>43809</v>
      </c>
      <c r="AM3258" t="str">
        <f>"10"</f>
        <v>10</v>
      </c>
      <c r="AN3258" t="str">
        <f>"500000"</f>
        <v>500000</v>
      </c>
      <c r="AO3258" t="str">
        <f>"הכנסות  מלקוחות"</f>
        <v>הכנסות  מלקוחות</v>
      </c>
      <c r="AQ3258" t="str">
        <f>"034"</f>
        <v>034</v>
      </c>
      <c r="AR3258">
        <v>0</v>
      </c>
      <c r="AS3258">
        <v>0</v>
      </c>
      <c r="AT3258">
        <v>3.4039999999999999</v>
      </c>
      <c r="AX3258" t="str">
        <f>"E000300228"</f>
        <v>E000300228</v>
      </c>
      <c r="BD3258" t="str">
        <f>"ערן שלו"</f>
        <v>ערן שלו</v>
      </c>
    </row>
    <row r="3259" spans="1:56" x14ac:dyDescent="0.3">
      <c r="A3259" s="1">
        <v>44140</v>
      </c>
      <c r="B3259" t="str">
        <f>"CR207000102"</f>
        <v>CR207000102</v>
      </c>
      <c r="E3259" t="str">
        <f>"Y"</f>
        <v>Y</v>
      </c>
      <c r="F3259" t="str">
        <f>"חשבוניות זיכוי"</f>
        <v>חשבוניות זיכוי</v>
      </c>
      <c r="G3259" t="str">
        <f>"700065"</f>
        <v>700065</v>
      </c>
      <c r="H3259" t="str">
        <f>"אלתא מערכות בע""מ"</f>
        <v>אלתא מערכות בע"מ</v>
      </c>
      <c r="I3259" t="str">
        <f>"10"</f>
        <v>10</v>
      </c>
      <c r="J3259" t="str">
        <f>"9977"</f>
        <v>9977</v>
      </c>
      <c r="K3259" t="str">
        <f>"חיוב פיגורים בגין 5112327330 SI206000819"</f>
        <v>חיוב פיגורים בגין 5112327330 SI206000819</v>
      </c>
      <c r="L3259">
        <v>1</v>
      </c>
      <c r="M3259" t="str">
        <f>"חל"</f>
        <v>חל</v>
      </c>
      <c r="N3259">
        <v>1</v>
      </c>
      <c r="O3259" t="str">
        <f>"חל"</f>
        <v>חל</v>
      </c>
      <c r="P3259">
        <v>163.12</v>
      </c>
      <c r="Q3259" t="str">
        <f>"$"</f>
        <v>$</v>
      </c>
      <c r="R3259" t="str">
        <f>"הזמנה"</f>
        <v>הזמנה</v>
      </c>
      <c r="S3259">
        <v>0</v>
      </c>
      <c r="T3259">
        <v>163.12</v>
      </c>
      <c r="U3259">
        <v>0</v>
      </c>
      <c r="V3259">
        <v>163.12</v>
      </c>
      <c r="W3259" t="str">
        <f>"$"</f>
        <v>$</v>
      </c>
      <c r="X3259">
        <v>0</v>
      </c>
      <c r="Y3259">
        <v>0</v>
      </c>
      <c r="Z3259">
        <v>0</v>
      </c>
      <c r="AA3259" t="str">
        <f>"Y"</f>
        <v>Y</v>
      </c>
      <c r="AB3259" t="str">
        <f>"SO19000524"</f>
        <v>SO19000524</v>
      </c>
      <c r="AC3259">
        <v>50</v>
      </c>
      <c r="AD3259" s="1">
        <v>43809</v>
      </c>
      <c r="AM3259" t="str">
        <f>"10"</f>
        <v>10</v>
      </c>
      <c r="AN3259" t="str">
        <f>"500000"</f>
        <v>500000</v>
      </c>
      <c r="AO3259" t="str">
        <f>"הכנסות  מלקוחות"</f>
        <v>הכנסות  מלקוחות</v>
      </c>
      <c r="AQ3259" t="str">
        <f>"034"</f>
        <v>034</v>
      </c>
      <c r="AR3259">
        <v>0</v>
      </c>
      <c r="AS3259">
        <v>0</v>
      </c>
      <c r="AT3259">
        <v>3.4039999999999999</v>
      </c>
      <c r="AX3259" t="str">
        <f>"E000300228"</f>
        <v>E000300228</v>
      </c>
      <c r="BD3259" t="str">
        <f>"ערן שלו"</f>
        <v>ערן שלו</v>
      </c>
    </row>
    <row r="3260" spans="1:56" x14ac:dyDescent="0.3">
      <c r="A3260" s="1">
        <v>44140</v>
      </c>
      <c r="B3260" t="str">
        <f>"CR207000101"</f>
        <v>CR207000101</v>
      </c>
      <c r="E3260" t="str">
        <f>"Y"</f>
        <v>Y</v>
      </c>
      <c r="F3260" t="str">
        <f>"חשבוניות זיכוי"</f>
        <v>חשבוניות זיכוי</v>
      </c>
      <c r="G3260" t="str">
        <f>"700065"</f>
        <v>700065</v>
      </c>
      <c r="H3260" t="str">
        <f>"אלתא מערכות בע""מ"</f>
        <v>אלתא מערכות בע"מ</v>
      </c>
      <c r="I3260" t="str">
        <f>"10"</f>
        <v>10</v>
      </c>
      <c r="J3260" t="str">
        <f>"9977"</f>
        <v>9977</v>
      </c>
      <c r="K3260" t="str">
        <f>"חיוב פיגורים בגין 5112307658 SI20600744"</f>
        <v>חיוב פיגורים בגין 5112307658 SI20600744</v>
      </c>
      <c r="L3260">
        <v>1</v>
      </c>
      <c r="M3260" t="str">
        <f>"חל"</f>
        <v>חל</v>
      </c>
      <c r="N3260">
        <v>1</v>
      </c>
      <c r="O3260" t="str">
        <f>"חל"</f>
        <v>חל</v>
      </c>
      <c r="P3260" s="2">
        <v>2362.3200000000002</v>
      </c>
      <c r="Q3260" t="str">
        <f>"$"</f>
        <v>$</v>
      </c>
      <c r="R3260" t="str">
        <f>"הזמנה"</f>
        <v>הזמנה</v>
      </c>
      <c r="S3260">
        <v>0</v>
      </c>
      <c r="T3260" s="2">
        <v>2362.3200000000002</v>
      </c>
      <c r="U3260">
        <v>0</v>
      </c>
      <c r="V3260" s="2">
        <v>2362.3200000000002</v>
      </c>
      <c r="W3260" t="str">
        <f>"$"</f>
        <v>$</v>
      </c>
      <c r="X3260">
        <v>0</v>
      </c>
      <c r="Y3260">
        <v>0</v>
      </c>
      <c r="Z3260">
        <v>0</v>
      </c>
      <c r="AA3260" t="str">
        <f>"Y"</f>
        <v>Y</v>
      </c>
      <c r="AB3260" t="str">
        <f>"SO19000397"</f>
        <v>SO19000397</v>
      </c>
      <c r="AC3260">
        <v>14</v>
      </c>
      <c r="AD3260" s="1">
        <v>43716</v>
      </c>
      <c r="AM3260" t="str">
        <f>"10"</f>
        <v>10</v>
      </c>
      <c r="AN3260" t="str">
        <f>"500000"</f>
        <v>500000</v>
      </c>
      <c r="AO3260" t="str">
        <f>"הכנסות  מלקוחות"</f>
        <v>הכנסות  מלקוחות</v>
      </c>
      <c r="AQ3260" t="str">
        <f>"034"</f>
        <v>034</v>
      </c>
      <c r="AR3260">
        <v>0</v>
      </c>
      <c r="AS3260">
        <v>0</v>
      </c>
      <c r="AT3260">
        <v>3.4129999999999998</v>
      </c>
      <c r="AX3260" t="str">
        <f>"E000294050"</f>
        <v>E000294050</v>
      </c>
      <c r="BD3260" t="str">
        <f>"ערן שלו"</f>
        <v>ערן שלו</v>
      </c>
    </row>
    <row r="3261" spans="1:56" x14ac:dyDescent="0.3">
      <c r="A3261" s="1">
        <v>44140</v>
      </c>
      <c r="B3261" t="str">
        <f>"CR207000101"</f>
        <v>CR207000101</v>
      </c>
      <c r="E3261" t="str">
        <f>"Y"</f>
        <v>Y</v>
      </c>
      <c r="F3261" t="str">
        <f>"חשבוניות זיכוי"</f>
        <v>חשבוניות זיכוי</v>
      </c>
      <c r="G3261" t="str">
        <f>"700065"</f>
        <v>700065</v>
      </c>
      <c r="H3261" t="str">
        <f>"אלתא מערכות בע""מ"</f>
        <v>אלתא מערכות בע"מ</v>
      </c>
      <c r="I3261" t="str">
        <f>"10"</f>
        <v>10</v>
      </c>
      <c r="J3261" t="str">
        <f>"9977"</f>
        <v>9977</v>
      </c>
      <c r="K3261" t="str">
        <f>"חיוב פיגורים בגין 5112307658 SI20600744"</f>
        <v>חיוב פיגורים בגין 5112307658 SI20600744</v>
      </c>
      <c r="L3261">
        <v>1</v>
      </c>
      <c r="M3261" t="str">
        <f>"חל"</f>
        <v>חל</v>
      </c>
      <c r="N3261">
        <v>1</v>
      </c>
      <c r="O3261" t="str">
        <f>"חל"</f>
        <v>חל</v>
      </c>
      <c r="P3261" s="2">
        <v>2362.3200000000002</v>
      </c>
      <c r="Q3261" t="str">
        <f>"$"</f>
        <v>$</v>
      </c>
      <c r="R3261" t="str">
        <f>"הזמנה"</f>
        <v>הזמנה</v>
      </c>
      <c r="S3261">
        <v>0</v>
      </c>
      <c r="T3261" s="2">
        <v>2362.3200000000002</v>
      </c>
      <c r="U3261">
        <v>0</v>
      </c>
      <c r="V3261" s="2">
        <v>2362.3200000000002</v>
      </c>
      <c r="W3261" t="str">
        <f>"$"</f>
        <v>$</v>
      </c>
      <c r="X3261">
        <v>0</v>
      </c>
      <c r="Y3261">
        <v>0</v>
      </c>
      <c r="Z3261">
        <v>0</v>
      </c>
      <c r="AA3261" t="str">
        <f>"Y"</f>
        <v>Y</v>
      </c>
      <c r="AB3261" t="str">
        <f>"SO19000397"</f>
        <v>SO19000397</v>
      </c>
      <c r="AC3261">
        <v>20</v>
      </c>
      <c r="AD3261" s="1">
        <v>43716</v>
      </c>
      <c r="AM3261" t="str">
        <f>"10"</f>
        <v>10</v>
      </c>
      <c r="AN3261" t="str">
        <f>"500000"</f>
        <v>500000</v>
      </c>
      <c r="AO3261" t="str">
        <f>"הכנסות  מלקוחות"</f>
        <v>הכנסות  מלקוחות</v>
      </c>
      <c r="AQ3261" t="str">
        <f>"034"</f>
        <v>034</v>
      </c>
      <c r="AR3261">
        <v>0</v>
      </c>
      <c r="AS3261">
        <v>0</v>
      </c>
      <c r="AT3261">
        <v>3.4129999999999998</v>
      </c>
      <c r="AX3261" t="str">
        <f>"E000294050"</f>
        <v>E000294050</v>
      </c>
      <c r="BD3261" t="str">
        <f>"ערן שלו"</f>
        <v>ערן שלו</v>
      </c>
    </row>
    <row r="3262" spans="1:56" x14ac:dyDescent="0.3">
      <c r="A3262" s="1">
        <v>44140</v>
      </c>
      <c r="B3262" t="str">
        <f>"CR207000100"</f>
        <v>CR207000100</v>
      </c>
      <c r="E3262" t="str">
        <f>"Y"</f>
        <v>Y</v>
      </c>
      <c r="F3262" t="str">
        <f>"חשבוניות זיכוי"</f>
        <v>חשבוניות זיכוי</v>
      </c>
      <c r="G3262" t="str">
        <f>"700065"</f>
        <v>700065</v>
      </c>
      <c r="H3262" t="str">
        <f>"אלתא מערכות בע""מ"</f>
        <v>אלתא מערכות בע"מ</v>
      </c>
      <c r="I3262" t="str">
        <f>"10"</f>
        <v>10</v>
      </c>
      <c r="J3262" t="str">
        <f>"9977"</f>
        <v>9977</v>
      </c>
      <c r="K3262" t="str">
        <f>"זיכוי בגין פיגורים 5112307683 SI206000743"</f>
        <v>זיכוי בגין פיגורים 5112307683 SI206000743</v>
      </c>
      <c r="L3262">
        <v>1</v>
      </c>
      <c r="M3262" t="str">
        <f>"חל"</f>
        <v>חל</v>
      </c>
      <c r="N3262">
        <v>1</v>
      </c>
      <c r="O3262" t="str">
        <f>"חל"</f>
        <v>חל</v>
      </c>
      <c r="P3262" s="2">
        <v>3395.58</v>
      </c>
      <c r="Q3262" t="str">
        <f>"$"</f>
        <v>$</v>
      </c>
      <c r="R3262" t="str">
        <f>"הזמנה"</f>
        <v>הזמנה</v>
      </c>
      <c r="S3262">
        <v>0</v>
      </c>
      <c r="T3262" s="2">
        <v>3395.58</v>
      </c>
      <c r="U3262">
        <v>0</v>
      </c>
      <c r="V3262" s="2">
        <v>3395.58</v>
      </c>
      <c r="W3262" t="str">
        <f>"$"</f>
        <v>$</v>
      </c>
      <c r="X3262">
        <v>0</v>
      </c>
      <c r="Y3262">
        <v>0</v>
      </c>
      <c r="Z3262">
        <v>0</v>
      </c>
      <c r="AA3262" t="str">
        <f>"Y"</f>
        <v>Y</v>
      </c>
      <c r="AB3262" t="str">
        <f>"SO19000397"</f>
        <v>SO19000397</v>
      </c>
      <c r="AC3262">
        <v>9</v>
      </c>
      <c r="AD3262" s="1">
        <v>43716</v>
      </c>
      <c r="AM3262" t="str">
        <f>"10"</f>
        <v>10</v>
      </c>
      <c r="AN3262" t="str">
        <f>"500000"</f>
        <v>500000</v>
      </c>
      <c r="AO3262" t="str">
        <f>"הכנסות  מלקוחות"</f>
        <v>הכנסות  מלקוחות</v>
      </c>
      <c r="AQ3262" t="str">
        <f>"034"</f>
        <v>034</v>
      </c>
      <c r="AR3262">
        <v>0</v>
      </c>
      <c r="AS3262">
        <v>0</v>
      </c>
      <c r="AT3262">
        <v>3.4129999999999998</v>
      </c>
      <c r="AX3262" t="str">
        <f>"E000294050"</f>
        <v>E000294050</v>
      </c>
      <c r="BD3262" t="str">
        <f>"ערן שלו"</f>
        <v>ערן שלו</v>
      </c>
    </row>
    <row r="3263" spans="1:56" x14ac:dyDescent="0.3">
      <c r="A3263" s="1">
        <v>44140</v>
      </c>
      <c r="B3263" t="str">
        <f>"CR207000099"</f>
        <v>CR207000099</v>
      </c>
      <c r="E3263" t="str">
        <f>"Y"</f>
        <v>Y</v>
      </c>
      <c r="F3263" t="str">
        <f>"חשבוניות זיכוי"</f>
        <v>חשבוניות זיכוי</v>
      </c>
      <c r="G3263" t="str">
        <f>"700065"</f>
        <v>700065</v>
      </c>
      <c r="H3263" t="str">
        <f>"אלתא מערכות בע""מ"</f>
        <v>אלתא מערכות בע"מ</v>
      </c>
      <c r="I3263" t="str">
        <f>"10"</f>
        <v>10</v>
      </c>
      <c r="J3263" t="str">
        <f>"9977"</f>
        <v>9977</v>
      </c>
      <c r="K3263" t="str">
        <f>"זיכוי בגין פיגורים 5112303860 SI206000735"</f>
        <v>זיכוי בגין פיגורים 5112303860 SI206000735</v>
      </c>
      <c r="L3263">
        <v>1</v>
      </c>
      <c r="M3263" t="str">
        <f>"חל"</f>
        <v>חל</v>
      </c>
      <c r="N3263">
        <v>1</v>
      </c>
      <c r="O3263" t="str">
        <f>"חל"</f>
        <v>חל</v>
      </c>
      <c r="P3263">
        <v>345.53</v>
      </c>
      <c r="Q3263" t="str">
        <f>"$"</f>
        <v>$</v>
      </c>
      <c r="R3263" t="str">
        <f>"הזמנה"</f>
        <v>הזמנה</v>
      </c>
      <c r="S3263">
        <v>0</v>
      </c>
      <c r="T3263">
        <v>345.53</v>
      </c>
      <c r="U3263">
        <v>0</v>
      </c>
      <c r="V3263">
        <v>345.53</v>
      </c>
      <c r="W3263" t="str">
        <f>"$"</f>
        <v>$</v>
      </c>
      <c r="X3263">
        <v>0</v>
      </c>
      <c r="Y3263">
        <v>0</v>
      </c>
      <c r="Z3263">
        <v>0</v>
      </c>
      <c r="AA3263" t="str">
        <f>"Y"</f>
        <v>Y</v>
      </c>
      <c r="AB3263" t="str">
        <f>"SO19000524"</f>
        <v>SO19000524</v>
      </c>
      <c r="AC3263">
        <v>11</v>
      </c>
      <c r="AD3263" s="1">
        <v>43809</v>
      </c>
      <c r="AM3263" t="str">
        <f>"10"</f>
        <v>10</v>
      </c>
      <c r="AN3263" t="str">
        <f>"500000"</f>
        <v>500000</v>
      </c>
      <c r="AO3263" t="str">
        <f>"הכנסות  מלקוחות"</f>
        <v>הכנסות  מלקוחות</v>
      </c>
      <c r="AQ3263" t="str">
        <f>"034"</f>
        <v>034</v>
      </c>
      <c r="AR3263">
        <v>0</v>
      </c>
      <c r="AS3263">
        <v>0</v>
      </c>
      <c r="AT3263">
        <v>3.4199899999999999</v>
      </c>
      <c r="AX3263" t="str">
        <f>"E000300228"</f>
        <v>E000300228</v>
      </c>
      <c r="BD3263" t="str">
        <f>"ערן שלו"</f>
        <v>ערן שלו</v>
      </c>
    </row>
    <row r="3264" spans="1:56" x14ac:dyDescent="0.3">
      <c r="A3264" s="1">
        <v>44140</v>
      </c>
      <c r="B3264" t="str">
        <f>"CR207000099"</f>
        <v>CR207000099</v>
      </c>
      <c r="E3264" t="str">
        <f>"Y"</f>
        <v>Y</v>
      </c>
      <c r="F3264" t="str">
        <f>"חשבוניות זיכוי"</f>
        <v>חשבוניות זיכוי</v>
      </c>
      <c r="G3264" t="str">
        <f>"700065"</f>
        <v>700065</v>
      </c>
      <c r="H3264" t="str">
        <f>"אלתא מערכות בע""מ"</f>
        <v>אלתא מערכות בע"מ</v>
      </c>
      <c r="I3264" t="str">
        <f>"10"</f>
        <v>10</v>
      </c>
      <c r="J3264" t="str">
        <f>"9977"</f>
        <v>9977</v>
      </c>
      <c r="K3264" t="str">
        <f>"זיכוי בגין פיגורים 5112303860 SI206000735"</f>
        <v>זיכוי בגין פיגורים 5112303860 SI206000735</v>
      </c>
      <c r="L3264">
        <v>1</v>
      </c>
      <c r="M3264" t="str">
        <f>"חל"</f>
        <v>חל</v>
      </c>
      <c r="N3264">
        <v>1</v>
      </c>
      <c r="O3264" t="str">
        <f>"חל"</f>
        <v>חל</v>
      </c>
      <c r="P3264">
        <v>108.6</v>
      </c>
      <c r="Q3264" t="str">
        <f>"$"</f>
        <v>$</v>
      </c>
      <c r="R3264" t="str">
        <f>"הזמנה"</f>
        <v>הזמנה</v>
      </c>
      <c r="S3264">
        <v>0</v>
      </c>
      <c r="T3264">
        <v>108.6</v>
      </c>
      <c r="U3264">
        <v>0</v>
      </c>
      <c r="V3264">
        <v>108.6</v>
      </c>
      <c r="W3264" t="str">
        <f>"$"</f>
        <v>$</v>
      </c>
      <c r="X3264">
        <v>0</v>
      </c>
      <c r="Y3264">
        <v>0</v>
      </c>
      <c r="Z3264">
        <v>0</v>
      </c>
      <c r="AA3264" t="str">
        <f>"Y"</f>
        <v>Y</v>
      </c>
      <c r="AB3264" t="str">
        <f>"SO19000524"</f>
        <v>SO19000524</v>
      </c>
      <c r="AC3264">
        <v>12</v>
      </c>
      <c r="AD3264" s="1">
        <v>43809</v>
      </c>
      <c r="AM3264" t="str">
        <f>"10"</f>
        <v>10</v>
      </c>
      <c r="AN3264" t="str">
        <f>"500000"</f>
        <v>500000</v>
      </c>
      <c r="AO3264" t="str">
        <f>"הכנסות  מלקוחות"</f>
        <v>הכנסות  מלקוחות</v>
      </c>
      <c r="AQ3264" t="str">
        <f>"034"</f>
        <v>034</v>
      </c>
      <c r="AR3264">
        <v>0</v>
      </c>
      <c r="AS3264">
        <v>0</v>
      </c>
      <c r="AT3264">
        <v>3.4199899999999999</v>
      </c>
      <c r="AX3264" t="str">
        <f>"E000300228"</f>
        <v>E000300228</v>
      </c>
      <c r="BD3264" t="str">
        <f>"ערן שלו"</f>
        <v>ערן שלו</v>
      </c>
    </row>
    <row r="3265" spans="1:56" x14ac:dyDescent="0.3">
      <c r="A3265" s="1">
        <v>44140</v>
      </c>
      <c r="B3265" t="str">
        <f>"CR207000099"</f>
        <v>CR207000099</v>
      </c>
      <c r="E3265" t="str">
        <f>"Y"</f>
        <v>Y</v>
      </c>
      <c r="F3265" t="str">
        <f>"חשבוניות זיכוי"</f>
        <v>חשבוניות זיכוי</v>
      </c>
      <c r="G3265" t="str">
        <f>"700065"</f>
        <v>700065</v>
      </c>
      <c r="H3265" t="str">
        <f>"אלתא מערכות בע""מ"</f>
        <v>אלתא מערכות בע"מ</v>
      </c>
      <c r="I3265" t="str">
        <f>"10"</f>
        <v>10</v>
      </c>
      <c r="J3265" t="str">
        <f>"9977"</f>
        <v>9977</v>
      </c>
      <c r="K3265" t="str">
        <f>"זיכוי בגין פיגורים 5112303860 SI206000735"</f>
        <v>זיכוי בגין פיגורים 5112303860 SI206000735</v>
      </c>
      <c r="L3265">
        <v>1</v>
      </c>
      <c r="M3265" t="str">
        <f>"חל"</f>
        <v>חל</v>
      </c>
      <c r="N3265">
        <v>1</v>
      </c>
      <c r="O3265" t="str">
        <f>"חל"</f>
        <v>חל</v>
      </c>
      <c r="P3265">
        <v>230.16</v>
      </c>
      <c r="Q3265" t="str">
        <f>"$"</f>
        <v>$</v>
      </c>
      <c r="R3265" t="str">
        <f>"הזמנה"</f>
        <v>הזמנה</v>
      </c>
      <c r="S3265">
        <v>0</v>
      </c>
      <c r="T3265">
        <v>230.16</v>
      </c>
      <c r="U3265">
        <v>0</v>
      </c>
      <c r="V3265">
        <v>230.16</v>
      </c>
      <c r="W3265" t="str">
        <f>"$"</f>
        <v>$</v>
      </c>
      <c r="X3265">
        <v>0</v>
      </c>
      <c r="Y3265">
        <v>0</v>
      </c>
      <c r="Z3265">
        <v>0</v>
      </c>
      <c r="AA3265" t="str">
        <f>"Y"</f>
        <v>Y</v>
      </c>
      <c r="AB3265" t="str">
        <f>"SO19000524"</f>
        <v>SO19000524</v>
      </c>
      <c r="AC3265">
        <v>33</v>
      </c>
      <c r="AD3265" s="1">
        <v>43809</v>
      </c>
      <c r="AM3265" t="str">
        <f>"10"</f>
        <v>10</v>
      </c>
      <c r="AN3265" t="str">
        <f>"500000"</f>
        <v>500000</v>
      </c>
      <c r="AO3265" t="str">
        <f>"הכנסות  מלקוחות"</f>
        <v>הכנסות  מלקוחות</v>
      </c>
      <c r="AQ3265" t="str">
        <f>"034"</f>
        <v>034</v>
      </c>
      <c r="AR3265">
        <v>0</v>
      </c>
      <c r="AS3265">
        <v>0</v>
      </c>
      <c r="AT3265">
        <v>3.4199899999999999</v>
      </c>
      <c r="AX3265" t="str">
        <f>"E000300228"</f>
        <v>E000300228</v>
      </c>
      <c r="BD3265" t="str">
        <f>"ערן שלו"</f>
        <v>ערן שלו</v>
      </c>
    </row>
    <row r="3266" spans="1:56" x14ac:dyDescent="0.3">
      <c r="A3266" s="1">
        <v>44140</v>
      </c>
      <c r="B3266" t="str">
        <f>"CR207000099"</f>
        <v>CR207000099</v>
      </c>
      <c r="E3266" t="str">
        <f>"Y"</f>
        <v>Y</v>
      </c>
      <c r="F3266" t="str">
        <f>"חשבוניות זיכוי"</f>
        <v>חשבוניות זיכוי</v>
      </c>
      <c r="G3266" t="str">
        <f>"700065"</f>
        <v>700065</v>
      </c>
      <c r="H3266" t="str">
        <f>"אלתא מערכות בע""מ"</f>
        <v>אלתא מערכות בע"מ</v>
      </c>
      <c r="I3266" t="str">
        <f>"10"</f>
        <v>10</v>
      </c>
      <c r="J3266" t="str">
        <f>"9977"</f>
        <v>9977</v>
      </c>
      <c r="K3266" t="str">
        <f>"זיכוי בגין פיגורים 5112303860 SI206000735"</f>
        <v>זיכוי בגין פיגורים 5112303860 SI206000735</v>
      </c>
      <c r="L3266">
        <v>1</v>
      </c>
      <c r="M3266" t="str">
        <f>"חל"</f>
        <v>חל</v>
      </c>
      <c r="N3266">
        <v>1</v>
      </c>
      <c r="O3266" t="str">
        <f>"חל"</f>
        <v>חל</v>
      </c>
      <c r="P3266">
        <v>72.34</v>
      </c>
      <c r="Q3266" t="str">
        <f>"$"</f>
        <v>$</v>
      </c>
      <c r="R3266" t="str">
        <f>"הזמנה"</f>
        <v>הזמנה</v>
      </c>
      <c r="S3266">
        <v>0</v>
      </c>
      <c r="T3266">
        <v>72.34</v>
      </c>
      <c r="U3266">
        <v>0</v>
      </c>
      <c r="V3266">
        <v>72.34</v>
      </c>
      <c r="W3266" t="str">
        <f>"$"</f>
        <v>$</v>
      </c>
      <c r="X3266">
        <v>0</v>
      </c>
      <c r="Y3266">
        <v>0</v>
      </c>
      <c r="Z3266">
        <v>0</v>
      </c>
      <c r="AA3266" t="str">
        <f>"Y"</f>
        <v>Y</v>
      </c>
      <c r="AB3266" t="str">
        <f>"SO19000524"</f>
        <v>SO19000524</v>
      </c>
      <c r="AC3266">
        <v>34</v>
      </c>
      <c r="AD3266" s="1">
        <v>43809</v>
      </c>
      <c r="AM3266" t="str">
        <f>"10"</f>
        <v>10</v>
      </c>
      <c r="AN3266" t="str">
        <f>"500000"</f>
        <v>500000</v>
      </c>
      <c r="AO3266" t="str">
        <f>"הכנסות  מלקוחות"</f>
        <v>הכנסות  מלקוחות</v>
      </c>
      <c r="AQ3266" t="str">
        <f>"034"</f>
        <v>034</v>
      </c>
      <c r="AR3266">
        <v>0</v>
      </c>
      <c r="AS3266">
        <v>0</v>
      </c>
      <c r="AT3266">
        <v>3.4199899999999999</v>
      </c>
      <c r="AX3266" t="str">
        <f>"E000300228"</f>
        <v>E000300228</v>
      </c>
      <c r="BD3266" t="str">
        <f>"ערן שלו"</f>
        <v>ערן שלו</v>
      </c>
    </row>
    <row r="3267" spans="1:56" x14ac:dyDescent="0.3">
      <c r="A3267" s="1">
        <v>44140</v>
      </c>
      <c r="B3267" t="str">
        <f>"CR207000098"</f>
        <v>CR207000098</v>
      </c>
      <c r="C3267" t="str">
        <f>"PR20000066"</f>
        <v>PR20000066</v>
      </c>
      <c r="D3267" t="str">
        <f>"PR20000066"</f>
        <v>PR20000066</v>
      </c>
      <c r="E3267" t="str">
        <f>"Y"</f>
        <v>Y</v>
      </c>
      <c r="F3267" t="str">
        <f>"חשבוניות זיכוי"</f>
        <v>חשבוניות זיכוי</v>
      </c>
      <c r="G3267" t="str">
        <f>"700065"</f>
        <v>700065</v>
      </c>
      <c r="H3267" t="str">
        <f>"אלתא מערכות בע""מ"</f>
        <v>אלתא מערכות בע"מ</v>
      </c>
      <c r="I3267" t="str">
        <f>"10"</f>
        <v>10</v>
      </c>
      <c r="J3267" t="str">
        <f>"9977"</f>
        <v>9977</v>
      </c>
      <c r="K3267" t="str">
        <f>"חיוב פיגורים בגין 5112300040 SI206000734"</f>
        <v>חיוב פיגורים בגין 5112300040 SI206000734</v>
      </c>
      <c r="L3267">
        <v>1</v>
      </c>
      <c r="M3267" t="str">
        <f>"חל"</f>
        <v>חל</v>
      </c>
      <c r="N3267">
        <v>1</v>
      </c>
      <c r="O3267" t="str">
        <f>"חל"</f>
        <v>חל</v>
      </c>
      <c r="P3267">
        <v>155.65</v>
      </c>
      <c r="Q3267" t="str">
        <f>"$"</f>
        <v>$</v>
      </c>
      <c r="R3267" t="str">
        <f>"הזמנה"</f>
        <v>הזמנה</v>
      </c>
      <c r="S3267">
        <v>0</v>
      </c>
      <c r="T3267">
        <v>155.65</v>
      </c>
      <c r="U3267">
        <v>0</v>
      </c>
      <c r="V3267">
        <v>155.65</v>
      </c>
      <c r="W3267" t="str">
        <f>"$"</f>
        <v>$</v>
      </c>
      <c r="X3267">
        <v>0</v>
      </c>
      <c r="Y3267">
        <v>0</v>
      </c>
      <c r="Z3267">
        <v>0</v>
      </c>
      <c r="AA3267" t="str">
        <f>"Y"</f>
        <v>Y</v>
      </c>
      <c r="AB3267" t="str">
        <f>"SO20000062"</f>
        <v>SO20000062</v>
      </c>
      <c r="AC3267">
        <v>14</v>
      </c>
      <c r="AD3267" s="1">
        <v>43870</v>
      </c>
      <c r="AM3267" t="str">
        <f>"10"</f>
        <v>10</v>
      </c>
      <c r="AN3267" t="str">
        <f>"500000"</f>
        <v>500000</v>
      </c>
      <c r="AO3267" t="str">
        <f>"הכנסות  מלקוחות"</f>
        <v>הכנסות  מלקוחות</v>
      </c>
      <c r="AQ3267" t="str">
        <f>"034"</f>
        <v>034</v>
      </c>
      <c r="AR3267">
        <v>0</v>
      </c>
      <c r="AS3267">
        <v>0</v>
      </c>
      <c r="AT3267">
        <v>3.42</v>
      </c>
      <c r="AX3267" t="str">
        <f>"E000305063"</f>
        <v>E000305063</v>
      </c>
      <c r="BD3267" t="str">
        <f>"ערן שלו"</f>
        <v>ערן שלו</v>
      </c>
    </row>
    <row r="3268" spans="1:56" x14ac:dyDescent="0.3">
      <c r="A3268" s="1">
        <v>44140</v>
      </c>
      <c r="B3268" t="str">
        <f>"CR207000097"</f>
        <v>CR207000097</v>
      </c>
      <c r="E3268" t="str">
        <f>"Y"</f>
        <v>Y</v>
      </c>
      <c r="F3268" t="str">
        <f>"חשבוניות זיכוי"</f>
        <v>חשבוניות זיכוי</v>
      </c>
      <c r="G3268" t="str">
        <f>"700065"</f>
        <v>700065</v>
      </c>
      <c r="H3268" t="str">
        <f>"אלתא מערכות בע""מ"</f>
        <v>אלתא מערכות בע"מ</v>
      </c>
      <c r="I3268" t="str">
        <f>"10"</f>
        <v>10</v>
      </c>
      <c r="J3268" t="str">
        <f>"9977"</f>
        <v>9977</v>
      </c>
      <c r="K3268" t="str">
        <f>"חיוב פיגורים בגין 5112300060 SI206000731"</f>
        <v>חיוב פיגורים בגין 5112300060 SI206000731</v>
      </c>
      <c r="L3268">
        <v>1</v>
      </c>
      <c r="M3268" t="str">
        <f>"חל"</f>
        <v>חל</v>
      </c>
      <c r="N3268">
        <v>1</v>
      </c>
      <c r="O3268" t="str">
        <f>"חל"</f>
        <v>חל</v>
      </c>
      <c r="P3268">
        <v>600.86</v>
      </c>
      <c r="Q3268" t="str">
        <f>"$"</f>
        <v>$</v>
      </c>
      <c r="R3268" t="str">
        <f>"הזמנה"</f>
        <v>הזמנה</v>
      </c>
      <c r="S3268">
        <v>0</v>
      </c>
      <c r="T3268">
        <v>600.86</v>
      </c>
      <c r="U3268">
        <v>0</v>
      </c>
      <c r="V3268">
        <v>600.86</v>
      </c>
      <c r="W3268" t="str">
        <f>"$"</f>
        <v>$</v>
      </c>
      <c r="X3268">
        <v>0</v>
      </c>
      <c r="Y3268">
        <v>0</v>
      </c>
      <c r="Z3268">
        <v>0</v>
      </c>
      <c r="AA3268" t="str">
        <f>"Y"</f>
        <v>Y</v>
      </c>
      <c r="AB3268" t="str">
        <f>"SO19000524"</f>
        <v>SO19000524</v>
      </c>
      <c r="AC3268">
        <v>16</v>
      </c>
      <c r="AD3268" s="1">
        <v>43809</v>
      </c>
      <c r="AM3268" t="str">
        <f>"10"</f>
        <v>10</v>
      </c>
      <c r="AN3268" t="str">
        <f>"500000"</f>
        <v>500000</v>
      </c>
      <c r="AO3268" t="str">
        <f>"הכנסות  מלקוחות"</f>
        <v>הכנסות  מלקוחות</v>
      </c>
      <c r="AQ3268" t="str">
        <f>"034"</f>
        <v>034</v>
      </c>
      <c r="AR3268">
        <v>0</v>
      </c>
      <c r="AS3268">
        <v>0</v>
      </c>
      <c r="AT3268">
        <v>3.4199899999999999</v>
      </c>
      <c r="AX3268" t="str">
        <f>"E000300228"</f>
        <v>E000300228</v>
      </c>
      <c r="BD3268" t="str">
        <f>"ערן שלו"</f>
        <v>ערן שלו</v>
      </c>
    </row>
    <row r="3269" spans="1:56" x14ac:dyDescent="0.3">
      <c r="A3269" s="1">
        <v>44140</v>
      </c>
      <c r="B3269" t="str">
        <f>"CR207000096"</f>
        <v>CR207000096</v>
      </c>
      <c r="E3269" t="str">
        <f>"Y"</f>
        <v>Y</v>
      </c>
      <c r="F3269" t="str">
        <f>"חשבוניות זיכוי"</f>
        <v>חשבוניות זיכוי</v>
      </c>
      <c r="G3269" t="str">
        <f>"700065"</f>
        <v>700065</v>
      </c>
      <c r="H3269" t="str">
        <f>"אלתא מערכות בע""מ"</f>
        <v>אלתא מערכות בע"מ</v>
      </c>
      <c r="I3269" t="str">
        <f>"10"</f>
        <v>10</v>
      </c>
      <c r="J3269" t="str">
        <f>"9977"</f>
        <v>9977</v>
      </c>
      <c r="K3269" t="str">
        <f>"חיוב פיגורים בגין 4112203932 SI206000446"</f>
        <v>חיוב פיגורים בגין 4112203932 SI206000446</v>
      </c>
      <c r="L3269">
        <v>1</v>
      </c>
      <c r="M3269" t="str">
        <f>"חל"</f>
        <v>חל</v>
      </c>
      <c r="N3269">
        <v>1</v>
      </c>
      <c r="O3269" t="str">
        <f>"חל"</f>
        <v>חל</v>
      </c>
      <c r="P3269">
        <v>694.8</v>
      </c>
      <c r="Q3269" t="str">
        <f>"$"</f>
        <v>$</v>
      </c>
      <c r="R3269" t="str">
        <f>"הזמנה"</f>
        <v>הזמנה</v>
      </c>
      <c r="S3269">
        <v>0</v>
      </c>
      <c r="T3269">
        <v>694.8</v>
      </c>
      <c r="U3269">
        <v>0</v>
      </c>
      <c r="V3269">
        <v>694.8</v>
      </c>
      <c r="W3269" t="str">
        <f>"$"</f>
        <v>$</v>
      </c>
      <c r="X3269">
        <v>0</v>
      </c>
      <c r="Y3269">
        <v>0</v>
      </c>
      <c r="Z3269">
        <v>0</v>
      </c>
      <c r="AA3269" t="str">
        <f>"Y"</f>
        <v>Y</v>
      </c>
      <c r="AB3269" t="str">
        <f>"SO19000397"</f>
        <v>SO19000397</v>
      </c>
      <c r="AC3269">
        <v>15</v>
      </c>
      <c r="AD3269" s="1">
        <v>43716</v>
      </c>
      <c r="AM3269" t="str">
        <f>"10"</f>
        <v>10</v>
      </c>
      <c r="AN3269" t="str">
        <f>"500000"</f>
        <v>500000</v>
      </c>
      <c r="AO3269" t="str">
        <f>"הכנסות  מלקוחות"</f>
        <v>הכנסות  מלקוחות</v>
      </c>
      <c r="AQ3269" t="str">
        <f>"034"</f>
        <v>034</v>
      </c>
      <c r="AR3269">
        <v>0</v>
      </c>
      <c r="AS3269">
        <v>0</v>
      </c>
      <c r="AT3269">
        <v>3.516</v>
      </c>
      <c r="AX3269" t="str">
        <f>"E000294050"</f>
        <v>E000294050</v>
      </c>
      <c r="BD3269" t="str">
        <f>"ערן שלו"</f>
        <v>ערן שלו</v>
      </c>
    </row>
    <row r="3270" spans="1:56" x14ac:dyDescent="0.3">
      <c r="A3270" s="1">
        <v>44140</v>
      </c>
      <c r="B3270" t="str">
        <f>"CR207000095"</f>
        <v>CR207000095</v>
      </c>
      <c r="C3270" t="str">
        <f>"PR18000543"</f>
        <v>PR18000543</v>
      </c>
      <c r="D3270" t="str">
        <f>"PR18000543"</f>
        <v>PR18000543</v>
      </c>
      <c r="E3270" t="str">
        <f>"Y"</f>
        <v>Y</v>
      </c>
      <c r="F3270" t="str">
        <f>"חשבוניות זיכוי"</f>
        <v>חשבוניות זיכוי</v>
      </c>
      <c r="G3270" t="str">
        <f>"700065"</f>
        <v>700065</v>
      </c>
      <c r="H3270" t="str">
        <f>"אלתא מערכות בע""מ"</f>
        <v>אלתא מערכות בע"מ</v>
      </c>
      <c r="I3270" t="str">
        <f>"10"</f>
        <v>10</v>
      </c>
      <c r="J3270" t="str">
        <f>"9977"</f>
        <v>9977</v>
      </c>
      <c r="K3270" t="str">
        <f>"חיוב פיגורים בגין 5112203936 SI206000371"</f>
        <v>חיוב פיגורים בגין 5112203936 SI206000371</v>
      </c>
      <c r="L3270">
        <v>1</v>
      </c>
      <c r="M3270" t="str">
        <f>"חל"</f>
        <v>חל</v>
      </c>
      <c r="N3270">
        <v>1</v>
      </c>
      <c r="O3270" t="str">
        <f>"חל"</f>
        <v>חל</v>
      </c>
      <c r="P3270">
        <v>65</v>
      </c>
      <c r="Q3270" t="str">
        <f>"$"</f>
        <v>$</v>
      </c>
      <c r="R3270" t="str">
        <f>"הזמנה"</f>
        <v>הזמנה</v>
      </c>
      <c r="S3270">
        <v>0</v>
      </c>
      <c r="T3270">
        <v>65</v>
      </c>
      <c r="U3270">
        <v>0</v>
      </c>
      <c r="V3270">
        <v>65</v>
      </c>
      <c r="W3270" t="str">
        <f>"$"</f>
        <v>$</v>
      </c>
      <c r="X3270">
        <v>0</v>
      </c>
      <c r="Y3270">
        <v>0</v>
      </c>
      <c r="Z3270">
        <v>0</v>
      </c>
      <c r="AA3270" t="str">
        <f>"Y"</f>
        <v>Y</v>
      </c>
      <c r="AB3270" t="str">
        <f>"SO20000506"</f>
        <v>SO20000506</v>
      </c>
      <c r="AC3270">
        <v>1</v>
      </c>
      <c r="AD3270" s="1">
        <v>44140</v>
      </c>
      <c r="AM3270" t="str">
        <f>"10"</f>
        <v>10</v>
      </c>
      <c r="AN3270" t="str">
        <f>"500000"</f>
        <v>500000</v>
      </c>
      <c r="AO3270" t="str">
        <f>"הכנסות  מלקוחות"</f>
        <v>הכנסות  מלקוחות</v>
      </c>
      <c r="AQ3270" t="str">
        <f>"034"</f>
        <v>034</v>
      </c>
      <c r="AR3270">
        <v>0</v>
      </c>
      <c r="AS3270">
        <v>0</v>
      </c>
      <c r="AT3270">
        <v>3.597</v>
      </c>
      <c r="AX3270" t="str">
        <f>"E000266439"</f>
        <v>E000266439</v>
      </c>
      <c r="BD3270" t="str">
        <f>"ערן שלו"</f>
        <v>ערן שלו</v>
      </c>
    </row>
    <row r="3271" spans="1:56" x14ac:dyDescent="0.3">
      <c r="A3271" s="1">
        <v>44140</v>
      </c>
      <c r="B3271" t="str">
        <f>"CR207000095"</f>
        <v>CR207000095</v>
      </c>
      <c r="C3271" t="str">
        <f>"PR18000543"</f>
        <v>PR18000543</v>
      </c>
      <c r="D3271" t="str">
        <f>"PR18000543"</f>
        <v>PR18000543</v>
      </c>
      <c r="E3271" t="str">
        <f>"Y"</f>
        <v>Y</v>
      </c>
      <c r="F3271" t="str">
        <f>"חשבוניות זיכוי"</f>
        <v>חשבוניות זיכוי</v>
      </c>
      <c r="G3271" t="str">
        <f>"700065"</f>
        <v>700065</v>
      </c>
      <c r="H3271" t="str">
        <f>"אלתא מערכות בע""מ"</f>
        <v>אלתא מערכות בע"מ</v>
      </c>
      <c r="I3271" t="str">
        <f>"10"</f>
        <v>10</v>
      </c>
      <c r="J3271" t="str">
        <f>"9977"</f>
        <v>9977</v>
      </c>
      <c r="K3271" t="str">
        <f>"חיוב פיגורים בגין 5112203936 SI206000371"</f>
        <v>חיוב פיגורים בגין 5112203936 SI206000371</v>
      </c>
      <c r="L3271">
        <v>1</v>
      </c>
      <c r="M3271" t="str">
        <f>"חל"</f>
        <v>חל</v>
      </c>
      <c r="N3271">
        <v>1</v>
      </c>
      <c r="O3271" t="str">
        <f>"חל"</f>
        <v>חל</v>
      </c>
      <c r="P3271">
        <v>65</v>
      </c>
      <c r="Q3271" t="str">
        <f>"$"</f>
        <v>$</v>
      </c>
      <c r="R3271" t="str">
        <f>"הזמנה"</f>
        <v>הזמנה</v>
      </c>
      <c r="S3271">
        <v>0</v>
      </c>
      <c r="T3271">
        <v>65</v>
      </c>
      <c r="U3271">
        <v>0</v>
      </c>
      <c r="V3271">
        <v>65</v>
      </c>
      <c r="W3271" t="str">
        <f>"$"</f>
        <v>$</v>
      </c>
      <c r="X3271">
        <v>0</v>
      </c>
      <c r="Y3271">
        <v>0</v>
      </c>
      <c r="Z3271">
        <v>0</v>
      </c>
      <c r="AA3271" t="str">
        <f>"Y"</f>
        <v>Y</v>
      </c>
      <c r="AB3271" t="str">
        <f>"SO20000506"</f>
        <v>SO20000506</v>
      </c>
      <c r="AC3271">
        <v>2</v>
      </c>
      <c r="AD3271" s="1">
        <v>44140</v>
      </c>
      <c r="AM3271" t="str">
        <f>"10"</f>
        <v>10</v>
      </c>
      <c r="AN3271" t="str">
        <f>"500000"</f>
        <v>500000</v>
      </c>
      <c r="AO3271" t="str">
        <f>"הכנסות  מלקוחות"</f>
        <v>הכנסות  מלקוחות</v>
      </c>
      <c r="AQ3271" t="str">
        <f>"034"</f>
        <v>034</v>
      </c>
      <c r="AR3271">
        <v>0</v>
      </c>
      <c r="AS3271">
        <v>0</v>
      </c>
      <c r="AT3271">
        <v>3.597</v>
      </c>
      <c r="AX3271" t="str">
        <f>"E000266439"</f>
        <v>E000266439</v>
      </c>
      <c r="BD3271" t="str">
        <f>"ערן שלו"</f>
        <v>ערן שלו</v>
      </c>
    </row>
    <row r="3272" spans="1:56" x14ac:dyDescent="0.3">
      <c r="A3272" s="1">
        <v>44140</v>
      </c>
      <c r="B3272" t="str">
        <f>"CR207000094"</f>
        <v>CR207000094</v>
      </c>
      <c r="E3272" t="str">
        <f>"Y"</f>
        <v>Y</v>
      </c>
      <c r="F3272" t="str">
        <f>"חשבוניות זיכוי"</f>
        <v>חשבוניות זיכוי</v>
      </c>
      <c r="G3272" t="str">
        <f>"700065"</f>
        <v>700065</v>
      </c>
      <c r="H3272" t="str">
        <f>"אלתא מערכות בע""מ"</f>
        <v>אלתא מערכות בע"מ</v>
      </c>
      <c r="I3272" t="str">
        <f>"10"</f>
        <v>10</v>
      </c>
      <c r="J3272" t="str">
        <f>"9977"</f>
        <v>9977</v>
      </c>
      <c r="K3272" t="str">
        <f>"חיוב פיגורים בגין 5112172429 SI206000353"</f>
        <v>חיוב פיגורים בגין 5112172429 SI206000353</v>
      </c>
      <c r="L3272">
        <v>1</v>
      </c>
      <c r="M3272" t="str">
        <f>"חל"</f>
        <v>חל</v>
      </c>
      <c r="N3272">
        <v>1</v>
      </c>
      <c r="O3272" t="str">
        <f>"חל"</f>
        <v>חל</v>
      </c>
      <c r="P3272">
        <v>597.24</v>
      </c>
      <c r="Q3272" t="str">
        <f>"$"</f>
        <v>$</v>
      </c>
      <c r="R3272" t="str">
        <f>"הזמנה"</f>
        <v>הזמנה</v>
      </c>
      <c r="S3272">
        <v>0</v>
      </c>
      <c r="T3272">
        <v>597.24</v>
      </c>
      <c r="U3272">
        <v>0</v>
      </c>
      <c r="V3272">
        <v>597.24</v>
      </c>
      <c r="W3272" t="str">
        <f>"$"</f>
        <v>$</v>
      </c>
      <c r="X3272">
        <v>0</v>
      </c>
      <c r="Y3272">
        <v>0</v>
      </c>
      <c r="Z3272">
        <v>0</v>
      </c>
      <c r="AA3272" t="str">
        <f>"Y"</f>
        <v>Y</v>
      </c>
      <c r="AB3272" t="str">
        <f>"SO20000009"</f>
        <v>SO20000009</v>
      </c>
      <c r="AC3272">
        <v>2</v>
      </c>
      <c r="AD3272" s="1">
        <v>43835</v>
      </c>
      <c r="AM3272" t="str">
        <f>"10"</f>
        <v>10</v>
      </c>
      <c r="AN3272" t="str">
        <f>"500000"</f>
        <v>500000</v>
      </c>
      <c r="AO3272" t="str">
        <f>"הכנסות  מלקוחות"</f>
        <v>הכנסות  מלקוחות</v>
      </c>
      <c r="AQ3272" t="str">
        <f>"034"</f>
        <v>034</v>
      </c>
      <c r="AR3272">
        <v>0</v>
      </c>
      <c r="AS3272">
        <v>0</v>
      </c>
      <c r="AT3272">
        <v>3.5790000000000002</v>
      </c>
      <c r="AX3272" t="str">
        <f>"E000301744"</f>
        <v>E000301744</v>
      </c>
      <c r="BD3272" t="str">
        <f>"ערן שלו"</f>
        <v>ערן שלו</v>
      </c>
    </row>
    <row r="3273" spans="1:56" x14ac:dyDescent="0.3">
      <c r="A3273" s="1">
        <v>44140</v>
      </c>
      <c r="B3273" t="str">
        <f>"CR207000093"</f>
        <v>CR207000093</v>
      </c>
      <c r="E3273" t="str">
        <f>"Y"</f>
        <v>Y</v>
      </c>
      <c r="F3273" t="str">
        <f>"חשבוניות זיכוי"</f>
        <v>חשבוניות זיכוי</v>
      </c>
      <c r="G3273" t="str">
        <f>"700065"</f>
        <v>700065</v>
      </c>
      <c r="H3273" t="str">
        <f>"אלתא מערכות בע""מ"</f>
        <v>אלתא מערכות בע"מ</v>
      </c>
      <c r="I3273" t="str">
        <f>"10"</f>
        <v>10</v>
      </c>
      <c r="J3273" t="str">
        <f>"9977"</f>
        <v>9977</v>
      </c>
      <c r="K3273" t="str">
        <f>"חיוב פיגורים בגין 5112203923 SI206000299"</f>
        <v>חיוב פיגורים בגין 5112203923 SI206000299</v>
      </c>
      <c r="L3273">
        <v>1</v>
      </c>
      <c r="M3273" t="str">
        <f>"חל"</f>
        <v>חל</v>
      </c>
      <c r="N3273">
        <v>1</v>
      </c>
      <c r="O3273" t="str">
        <f>"חל"</f>
        <v>חל</v>
      </c>
      <c r="P3273">
        <v>62.87</v>
      </c>
      <c r="Q3273" t="str">
        <f>"$"</f>
        <v>$</v>
      </c>
      <c r="R3273" t="str">
        <f>"הזמנה"</f>
        <v>הזמנה</v>
      </c>
      <c r="S3273">
        <v>0</v>
      </c>
      <c r="T3273">
        <v>62.87</v>
      </c>
      <c r="U3273">
        <v>0</v>
      </c>
      <c r="V3273">
        <v>62.87</v>
      </c>
      <c r="W3273" t="str">
        <f>"$"</f>
        <v>$</v>
      </c>
      <c r="X3273">
        <v>0</v>
      </c>
      <c r="Y3273">
        <v>0</v>
      </c>
      <c r="Z3273">
        <v>0</v>
      </c>
      <c r="AA3273" t="str">
        <f>"Y"</f>
        <v>Y</v>
      </c>
      <c r="AB3273" t="str">
        <f>"SO19000524"</f>
        <v>SO19000524</v>
      </c>
      <c r="AC3273">
        <v>9</v>
      </c>
      <c r="AD3273" s="1">
        <v>43809</v>
      </c>
      <c r="AM3273" t="str">
        <f>"10"</f>
        <v>10</v>
      </c>
      <c r="AN3273" t="str">
        <f>"500000"</f>
        <v>500000</v>
      </c>
      <c r="AO3273" t="str">
        <f>"הכנסות  מלקוחות"</f>
        <v>הכנסות  מלקוחות</v>
      </c>
      <c r="AQ3273" t="str">
        <f>"034"</f>
        <v>034</v>
      </c>
      <c r="AR3273">
        <v>0</v>
      </c>
      <c r="AS3273">
        <v>0</v>
      </c>
      <c r="AT3273">
        <v>3.5859700000000001</v>
      </c>
      <c r="AX3273" t="str">
        <f>"E000300228"</f>
        <v>E000300228</v>
      </c>
      <c r="BD3273" t="str">
        <f>"ערן שלו"</f>
        <v>ערן שלו</v>
      </c>
    </row>
    <row r="3274" spans="1:56" x14ac:dyDescent="0.3">
      <c r="A3274" s="1">
        <v>44140</v>
      </c>
      <c r="B3274" t="str">
        <f>"CR207000092"</f>
        <v>CR207000092</v>
      </c>
      <c r="C3274" t="str">
        <f>"PR18000543"</f>
        <v>PR18000543</v>
      </c>
      <c r="D3274" t="str">
        <f>"PR18000543"</f>
        <v>PR18000543</v>
      </c>
      <c r="E3274" t="str">
        <f>"Y"</f>
        <v>Y</v>
      </c>
      <c r="F3274" t="str">
        <f>"חשבוניות זיכוי"</f>
        <v>חשבוניות זיכוי</v>
      </c>
      <c r="G3274" t="str">
        <f>"700065"</f>
        <v>700065</v>
      </c>
      <c r="H3274" t="str">
        <f>"אלתא מערכות בע""מ"</f>
        <v>אלתא מערכות בע"מ</v>
      </c>
      <c r="I3274" t="str">
        <f>"10"</f>
        <v>10</v>
      </c>
      <c r="J3274" t="str">
        <f>"9977"</f>
        <v>9977</v>
      </c>
      <c r="K3274" t="str">
        <f>"חיוב פיגורים בגין 5112279195 SI206000290"</f>
        <v>חיוב פיגורים בגין 5112279195 SI206000290</v>
      </c>
      <c r="L3274">
        <v>1</v>
      </c>
      <c r="M3274" t="str">
        <f>"חל"</f>
        <v>חל</v>
      </c>
      <c r="N3274">
        <v>1</v>
      </c>
      <c r="O3274" t="str">
        <f>"חל"</f>
        <v>חל</v>
      </c>
      <c r="P3274">
        <v>94.88</v>
      </c>
      <c r="Q3274" t="str">
        <f>"$"</f>
        <v>$</v>
      </c>
      <c r="R3274" t="str">
        <f>"הזמנה"</f>
        <v>הזמנה</v>
      </c>
      <c r="S3274">
        <v>0</v>
      </c>
      <c r="T3274">
        <v>94.88</v>
      </c>
      <c r="U3274">
        <v>0</v>
      </c>
      <c r="V3274">
        <v>94.88</v>
      </c>
      <c r="W3274" t="str">
        <f>"$"</f>
        <v>$</v>
      </c>
      <c r="X3274">
        <v>0</v>
      </c>
      <c r="Y3274">
        <v>0</v>
      </c>
      <c r="Z3274">
        <v>0</v>
      </c>
      <c r="AA3274" t="str">
        <f>"Y"</f>
        <v>Y</v>
      </c>
      <c r="AB3274" t="str">
        <f>"SO19000474"</f>
        <v>SO19000474</v>
      </c>
      <c r="AC3274">
        <v>4</v>
      </c>
      <c r="AD3274" s="1">
        <v>43774</v>
      </c>
      <c r="AM3274" t="str">
        <f>"10"</f>
        <v>10</v>
      </c>
      <c r="AN3274" t="str">
        <f>"500000"</f>
        <v>500000</v>
      </c>
      <c r="AO3274" t="str">
        <f>"הכנסות  מלקוחות"</f>
        <v>הכנסות  מלקוחות</v>
      </c>
      <c r="AQ3274" t="str">
        <f>"034"</f>
        <v>034</v>
      </c>
      <c r="AR3274">
        <v>0</v>
      </c>
      <c r="AS3274">
        <v>0</v>
      </c>
      <c r="AT3274">
        <v>3.59802</v>
      </c>
      <c r="AX3274" t="str">
        <f>"E000298231"</f>
        <v>E000298231</v>
      </c>
      <c r="BD3274" t="str">
        <f>"ערן שלו"</f>
        <v>ערן שלו</v>
      </c>
    </row>
    <row r="3275" spans="1:56" x14ac:dyDescent="0.3">
      <c r="A3275" s="1">
        <v>44140</v>
      </c>
      <c r="B3275" t="str">
        <f>"CR207000091"</f>
        <v>CR207000091</v>
      </c>
      <c r="E3275" t="str">
        <f>"Y"</f>
        <v>Y</v>
      </c>
      <c r="F3275" t="str">
        <f>"חשבוניות זיכוי"</f>
        <v>חשבוניות זיכוי</v>
      </c>
      <c r="G3275" t="str">
        <f>"700065"</f>
        <v>700065</v>
      </c>
      <c r="H3275" t="str">
        <f>"אלתא מערכות בע""מ"</f>
        <v>אלתא מערכות בע"מ</v>
      </c>
      <c r="I3275" t="str">
        <f>"10"</f>
        <v>10</v>
      </c>
      <c r="J3275" t="str">
        <f>"9977"</f>
        <v>9977</v>
      </c>
      <c r="K3275" t="str">
        <f>"חיוב פיגורים בגין 5112158155 SI206000245"</f>
        <v>חיוב פיגורים בגין 5112158155 SI206000245</v>
      </c>
      <c r="L3275">
        <v>1</v>
      </c>
      <c r="M3275" t="str">
        <f>"חל"</f>
        <v>חל</v>
      </c>
      <c r="N3275">
        <v>1</v>
      </c>
      <c r="O3275" t="str">
        <f>"חל"</f>
        <v>חל</v>
      </c>
      <c r="P3275">
        <v>94.85</v>
      </c>
      <c r="Q3275" t="str">
        <f>"$"</f>
        <v>$</v>
      </c>
      <c r="R3275" t="str">
        <f>"הזמנה"</f>
        <v>הזמנה</v>
      </c>
      <c r="S3275">
        <v>0</v>
      </c>
      <c r="T3275">
        <v>94.85</v>
      </c>
      <c r="U3275">
        <v>0</v>
      </c>
      <c r="V3275">
        <v>94.85</v>
      </c>
      <c r="W3275" t="str">
        <f>"$"</f>
        <v>$</v>
      </c>
      <c r="X3275">
        <v>0</v>
      </c>
      <c r="Y3275">
        <v>0</v>
      </c>
      <c r="Z3275">
        <v>0</v>
      </c>
      <c r="AA3275" t="str">
        <f>"Y"</f>
        <v>Y</v>
      </c>
      <c r="AB3275" t="str">
        <f>"SO19000305"</f>
        <v>SO19000305</v>
      </c>
      <c r="AC3275">
        <v>5</v>
      </c>
      <c r="AD3275" s="1">
        <v>43657</v>
      </c>
      <c r="AM3275" t="str">
        <f>"10"</f>
        <v>10</v>
      </c>
      <c r="AN3275" t="str">
        <f>"500000"</f>
        <v>500000</v>
      </c>
      <c r="AO3275" t="str">
        <f>"הכנסות  מלקוחות"</f>
        <v>הכנסות  מלקוחות</v>
      </c>
      <c r="AQ3275" t="str">
        <f>"034"</f>
        <v>034</v>
      </c>
      <c r="AR3275">
        <v>0</v>
      </c>
      <c r="AS3275">
        <v>0</v>
      </c>
      <c r="AT3275">
        <v>3.7279900000000001</v>
      </c>
      <c r="AX3275" t="str">
        <f>"E000290708"</f>
        <v>E000290708</v>
      </c>
      <c r="BD3275" t="str">
        <f>"ערן שלו"</f>
        <v>ערן שלו</v>
      </c>
    </row>
    <row r="3276" spans="1:56" x14ac:dyDescent="0.3">
      <c r="A3276" s="1">
        <v>44140</v>
      </c>
      <c r="B3276" t="str">
        <f>"CR207000090"</f>
        <v>CR207000090</v>
      </c>
      <c r="E3276" t="str">
        <f>"Y"</f>
        <v>Y</v>
      </c>
      <c r="F3276" t="str">
        <f>"חשבוניות זיכוי"</f>
        <v>חשבוניות זיכוי</v>
      </c>
      <c r="G3276" t="str">
        <f>"700065"</f>
        <v>700065</v>
      </c>
      <c r="H3276" t="str">
        <f>"אלתא מערכות בע""מ"</f>
        <v>אלתא מערכות בע"מ</v>
      </c>
      <c r="I3276" t="str">
        <f>"05"</f>
        <v>05</v>
      </c>
      <c r="J3276" t="str">
        <f>"9977"</f>
        <v>9977</v>
      </c>
      <c r="K3276" t="str">
        <f>"חיוב פיגורים בגין 5112263839 SI206000232"</f>
        <v>חיוב פיגורים בגין 5112263839 SI206000232</v>
      </c>
      <c r="L3276">
        <v>1</v>
      </c>
      <c r="M3276" t="str">
        <f>"חל"</f>
        <v>חל</v>
      </c>
      <c r="N3276">
        <v>1</v>
      </c>
      <c r="O3276" t="str">
        <f>"חל"</f>
        <v>חל</v>
      </c>
      <c r="P3276">
        <v>35</v>
      </c>
      <c r="Q3276" t="str">
        <f>"$"</f>
        <v>$</v>
      </c>
      <c r="R3276" t="str">
        <f>"הזמנה"</f>
        <v>הזמנה</v>
      </c>
      <c r="S3276">
        <v>0</v>
      </c>
      <c r="T3276">
        <v>35</v>
      </c>
      <c r="U3276">
        <v>0</v>
      </c>
      <c r="V3276">
        <v>35</v>
      </c>
      <c r="W3276" t="str">
        <f>"$"</f>
        <v>$</v>
      </c>
      <c r="X3276">
        <v>0</v>
      </c>
      <c r="Y3276">
        <v>0</v>
      </c>
      <c r="Z3276">
        <v>0</v>
      </c>
      <c r="AA3276" t="str">
        <f>"Y"</f>
        <v>Y</v>
      </c>
      <c r="AB3276" t="str">
        <f>"SO19000156"</f>
        <v>SO19000156</v>
      </c>
      <c r="AC3276">
        <v>30</v>
      </c>
      <c r="AD3276" s="1">
        <v>43562</v>
      </c>
      <c r="AM3276" t="str">
        <f>"10"</f>
        <v>10</v>
      </c>
      <c r="AN3276" t="str">
        <f>"500000"</f>
        <v>500000</v>
      </c>
      <c r="AO3276" t="str">
        <f>"הכנסות  מלקוחות"</f>
        <v>הכנסות  מלקוחות</v>
      </c>
      <c r="AQ3276" t="str">
        <f>"034"</f>
        <v>034</v>
      </c>
      <c r="AR3276">
        <v>0</v>
      </c>
      <c r="AS3276">
        <v>0</v>
      </c>
      <c r="AT3276">
        <v>3.508</v>
      </c>
      <c r="AX3276" t="str">
        <f>"E000270896"</f>
        <v>E000270896</v>
      </c>
      <c r="BD3276" t="str">
        <f>"ערן שלו"</f>
        <v>ערן שלו</v>
      </c>
    </row>
    <row r="3277" spans="1:56" x14ac:dyDescent="0.3">
      <c r="A3277" s="1">
        <v>44140</v>
      </c>
      <c r="B3277" t="str">
        <f>"CR207000089"</f>
        <v>CR207000089</v>
      </c>
      <c r="C3277" t="str">
        <f>"PR19000753"</f>
        <v>PR19000753</v>
      </c>
      <c r="D3277" t="str">
        <f>"PR19000753"</f>
        <v>PR19000753</v>
      </c>
      <c r="E3277" t="str">
        <f>"Y"</f>
        <v>Y</v>
      </c>
      <c r="F3277" t="str">
        <f>"חשבוניות זיכוי"</f>
        <v>חשבוניות זיכוי</v>
      </c>
      <c r="G3277" t="str">
        <f>"700065"</f>
        <v>700065</v>
      </c>
      <c r="H3277" t="str">
        <f>"אלתא מערכות בע""מ"</f>
        <v>אלתא מערכות בע"מ</v>
      </c>
      <c r="I3277" t="str">
        <f>"10"</f>
        <v>10</v>
      </c>
      <c r="J3277" t="str">
        <f>"9977"</f>
        <v>9977</v>
      </c>
      <c r="K3277" t="str">
        <f>"חיוב פיגורים בגין 5112240341 SI206000169"</f>
        <v>חיוב פיגורים בגין 5112240341 SI206000169</v>
      </c>
      <c r="L3277">
        <v>1</v>
      </c>
      <c r="M3277" t="str">
        <f>"חל"</f>
        <v>חל</v>
      </c>
      <c r="N3277">
        <v>1</v>
      </c>
      <c r="O3277" t="str">
        <f>"חל"</f>
        <v>חל</v>
      </c>
      <c r="P3277">
        <v>35</v>
      </c>
      <c r="Q3277" t="str">
        <f>"$"</f>
        <v>$</v>
      </c>
      <c r="R3277" t="str">
        <f>"הזמנה"</f>
        <v>הזמנה</v>
      </c>
      <c r="S3277">
        <v>0</v>
      </c>
      <c r="T3277">
        <v>35</v>
      </c>
      <c r="U3277">
        <v>0</v>
      </c>
      <c r="V3277">
        <v>35</v>
      </c>
      <c r="W3277" t="str">
        <f>"$"</f>
        <v>$</v>
      </c>
      <c r="X3277">
        <v>0</v>
      </c>
      <c r="Y3277">
        <v>0</v>
      </c>
      <c r="Z3277">
        <v>0</v>
      </c>
      <c r="AA3277" t="str">
        <f>"Y"</f>
        <v>Y</v>
      </c>
      <c r="AB3277" t="str">
        <f>"SO19000458"</f>
        <v>SO19000458</v>
      </c>
      <c r="AC3277">
        <v>5</v>
      </c>
      <c r="AD3277" s="1">
        <v>43767</v>
      </c>
      <c r="AM3277" t="str">
        <f>"10"</f>
        <v>10</v>
      </c>
      <c r="AN3277" t="str">
        <f>"500000"</f>
        <v>500000</v>
      </c>
      <c r="AO3277" t="str">
        <f>"הכנסות  מלקוחות"</f>
        <v>הכנסות  מלקוחות</v>
      </c>
      <c r="AQ3277" t="str">
        <f>"034"</f>
        <v>034</v>
      </c>
      <c r="AR3277">
        <v>0</v>
      </c>
      <c r="AS3277">
        <v>0</v>
      </c>
      <c r="AT3277">
        <v>3.4279999999999999</v>
      </c>
      <c r="AX3277" t="str">
        <f>"E000297273"</f>
        <v>E000297273</v>
      </c>
      <c r="BD3277" t="str">
        <f>"ערן שלו"</f>
        <v>ערן שלו</v>
      </c>
    </row>
    <row r="3278" spans="1:56" x14ac:dyDescent="0.3">
      <c r="A3278" s="1">
        <v>44140</v>
      </c>
      <c r="B3278" t="str">
        <f>"CR207000088"</f>
        <v>CR207000088</v>
      </c>
      <c r="E3278" t="str">
        <f>"Y"</f>
        <v>Y</v>
      </c>
      <c r="F3278" t="str">
        <f>"חשבוניות זיכוי"</f>
        <v>חשבוניות זיכוי</v>
      </c>
      <c r="G3278" t="str">
        <f>"700065"</f>
        <v>700065</v>
      </c>
      <c r="H3278" t="str">
        <f>"אלתא מערכות בע""מ"</f>
        <v>אלתא מערכות בע"מ</v>
      </c>
      <c r="I3278" t="str">
        <f>"10"</f>
        <v>10</v>
      </c>
      <c r="J3278" t="str">
        <f>"9977"</f>
        <v>9977</v>
      </c>
      <c r="K3278" t="str">
        <f>"חיוב פיגורים בגין 5112155944 SI196001465"</f>
        <v>חיוב פיגורים בגין 5112155944 SI196001465</v>
      </c>
      <c r="L3278">
        <v>1</v>
      </c>
      <c r="M3278" t="str">
        <f>"חל"</f>
        <v>חל</v>
      </c>
      <c r="N3278">
        <v>1</v>
      </c>
      <c r="O3278" t="str">
        <f>"חל"</f>
        <v>חל</v>
      </c>
      <c r="P3278">
        <v>551.30999999999995</v>
      </c>
      <c r="Q3278" t="str">
        <f>"$"</f>
        <v>$</v>
      </c>
      <c r="R3278" t="str">
        <f>"הזמנה"</f>
        <v>הזמנה</v>
      </c>
      <c r="S3278">
        <v>0</v>
      </c>
      <c r="T3278">
        <v>551.30999999999995</v>
      </c>
      <c r="U3278">
        <v>0</v>
      </c>
      <c r="V3278">
        <v>551.30999999999995</v>
      </c>
      <c r="W3278" t="str">
        <f>"$"</f>
        <v>$</v>
      </c>
      <c r="X3278">
        <v>0</v>
      </c>
      <c r="Y3278">
        <v>0</v>
      </c>
      <c r="Z3278">
        <v>0</v>
      </c>
      <c r="AA3278" t="str">
        <f>"Y"</f>
        <v>Y</v>
      </c>
      <c r="AB3278" t="str">
        <f>"SO19000481"</f>
        <v>SO19000481</v>
      </c>
      <c r="AC3278">
        <v>5</v>
      </c>
      <c r="AD3278" s="1">
        <v>43782</v>
      </c>
      <c r="AM3278" t="str">
        <f>"10"</f>
        <v>10</v>
      </c>
      <c r="AN3278" t="str">
        <f>"500000"</f>
        <v>500000</v>
      </c>
      <c r="AO3278" t="str">
        <f>"הכנסות  מלקוחות"</f>
        <v>הכנסות  מלקוחות</v>
      </c>
      <c r="AQ3278" t="str">
        <f>"034"</f>
        <v>034</v>
      </c>
      <c r="AR3278">
        <v>0</v>
      </c>
      <c r="AS3278">
        <v>0</v>
      </c>
      <c r="AT3278">
        <v>3.4630000000000001</v>
      </c>
      <c r="AX3278" t="str">
        <f>"E000298440"</f>
        <v>E000298440</v>
      </c>
      <c r="BD3278" t="str">
        <f>"ערן שלו"</f>
        <v>ערן שלו</v>
      </c>
    </row>
    <row r="3279" spans="1:56" x14ac:dyDescent="0.3">
      <c r="A3279" s="1">
        <v>44140</v>
      </c>
      <c r="B3279" t="str">
        <f>"CR207000087"</f>
        <v>CR207000087</v>
      </c>
      <c r="E3279" t="str">
        <f>"Y"</f>
        <v>Y</v>
      </c>
      <c r="F3279" t="str">
        <f>"חשבוניות זיכוי"</f>
        <v>חשבוניות זיכוי</v>
      </c>
      <c r="G3279" t="str">
        <f>"700065"</f>
        <v>700065</v>
      </c>
      <c r="H3279" t="str">
        <f>"אלתא מערכות בע""מ"</f>
        <v>אלתא מערכות בע"מ</v>
      </c>
      <c r="I3279" t="str">
        <f>"10"</f>
        <v>10</v>
      </c>
      <c r="J3279" t="str">
        <f>"9977"</f>
        <v>9977</v>
      </c>
      <c r="K3279" t="str">
        <f>"זיכוי בגין פיגורים 5112334344 SI206000847"</f>
        <v>זיכוי בגין פיגורים 5112334344 SI206000847</v>
      </c>
      <c r="L3279">
        <v>-1</v>
      </c>
      <c r="M3279" t="str">
        <f>"חל"</f>
        <v>חל</v>
      </c>
      <c r="N3279">
        <v>-1</v>
      </c>
      <c r="O3279" t="str">
        <f>"חל"</f>
        <v>חל</v>
      </c>
      <c r="P3279" s="2">
        <v>3994.8</v>
      </c>
      <c r="Q3279" t="str">
        <f>"$"</f>
        <v>$</v>
      </c>
      <c r="R3279" t="str">
        <f>"ידני"</f>
        <v>ידני</v>
      </c>
      <c r="S3279">
        <v>0</v>
      </c>
      <c r="T3279" s="2">
        <v>-13598.3</v>
      </c>
      <c r="U3279">
        <v>0</v>
      </c>
      <c r="V3279" s="2">
        <v>-13598.3</v>
      </c>
      <c r="W3279" t="str">
        <f>"ש""ח"</f>
        <v>ש"ח</v>
      </c>
      <c r="X3279">
        <v>0</v>
      </c>
      <c r="Y3279">
        <v>0</v>
      </c>
      <c r="Z3279">
        <v>0</v>
      </c>
      <c r="AA3279" t="str">
        <f>"Y"</f>
        <v>Y</v>
      </c>
      <c r="AC3279">
        <v>0</v>
      </c>
      <c r="AM3279" t="str">
        <f>"10"</f>
        <v>10</v>
      </c>
      <c r="AN3279" t="str">
        <f>"500000"</f>
        <v>500000</v>
      </c>
      <c r="AO3279" t="str">
        <f>"הכנסות  מלקוחות"</f>
        <v>הכנסות  מלקוחות</v>
      </c>
      <c r="AQ3279" t="str">
        <f>"034"</f>
        <v>034</v>
      </c>
      <c r="AR3279">
        <v>0</v>
      </c>
      <c r="AS3279">
        <v>0</v>
      </c>
      <c r="AT3279">
        <v>3.4039999999999999</v>
      </c>
      <c r="BB3279" t="str">
        <f>"Y"</f>
        <v>Y</v>
      </c>
      <c r="BD3279" t="str">
        <f>"ערן שלו"</f>
        <v>ערן שלו</v>
      </c>
    </row>
    <row r="3280" spans="1:56" x14ac:dyDescent="0.3">
      <c r="A3280" s="1">
        <v>44140</v>
      </c>
      <c r="B3280" t="str">
        <f>"CR207000086"</f>
        <v>CR207000086</v>
      </c>
      <c r="C3280" t="str">
        <f>"PR20000115"</f>
        <v>PR20000115</v>
      </c>
      <c r="E3280" t="str">
        <f>"Y"</f>
        <v>Y</v>
      </c>
      <c r="F3280" t="str">
        <f>"חשבוניות זיכוי"</f>
        <v>חשבוניות זיכוי</v>
      </c>
      <c r="G3280" t="str">
        <f>"700065"</f>
        <v>700065</v>
      </c>
      <c r="H3280" t="str">
        <f>"אלתא מערכות בע""מ"</f>
        <v>אלתא מערכות בע"מ</v>
      </c>
      <c r="I3280" t="str">
        <f>"10"</f>
        <v>10</v>
      </c>
      <c r="J3280" t="str">
        <f>"9977"</f>
        <v>9977</v>
      </c>
      <c r="K3280" t="str">
        <f>"חיוב בגין פיגורים 5112332958 SI206000836"</f>
        <v>חיוב בגין פיגורים 5112332958 SI206000836</v>
      </c>
      <c r="L3280">
        <v>-1</v>
      </c>
      <c r="M3280" t="str">
        <f>"חל"</f>
        <v>חל</v>
      </c>
      <c r="N3280">
        <v>-1</v>
      </c>
      <c r="O3280" t="str">
        <f>"חל"</f>
        <v>חל</v>
      </c>
      <c r="P3280">
        <v>56.19</v>
      </c>
      <c r="Q3280" t="str">
        <f>"$"</f>
        <v>$</v>
      </c>
      <c r="R3280" t="str">
        <f>"ידני"</f>
        <v>ידני</v>
      </c>
      <c r="S3280">
        <v>0</v>
      </c>
      <c r="T3280">
        <v>-191.05</v>
      </c>
      <c r="U3280">
        <v>0</v>
      </c>
      <c r="V3280">
        <v>-191.05</v>
      </c>
      <c r="W3280" t="str">
        <f>"ש""ח"</f>
        <v>ש"ח</v>
      </c>
      <c r="X3280">
        <v>0</v>
      </c>
      <c r="Y3280">
        <v>0</v>
      </c>
      <c r="Z3280">
        <v>0</v>
      </c>
      <c r="AA3280" t="str">
        <f>"Y"</f>
        <v>Y</v>
      </c>
      <c r="AC3280">
        <v>0</v>
      </c>
      <c r="AM3280" t="str">
        <f>"10"</f>
        <v>10</v>
      </c>
      <c r="AN3280" t="str">
        <f>"500000"</f>
        <v>500000</v>
      </c>
      <c r="AO3280" t="str">
        <f>"הכנסות  מלקוחות"</f>
        <v>הכנסות  מלקוחות</v>
      </c>
      <c r="AQ3280" t="str">
        <f>"034"</f>
        <v>034</v>
      </c>
      <c r="AR3280">
        <v>0</v>
      </c>
      <c r="AS3280">
        <v>0</v>
      </c>
      <c r="AT3280">
        <v>3.4</v>
      </c>
      <c r="BB3280" t="str">
        <f>"Y"</f>
        <v>Y</v>
      </c>
      <c r="BD3280" t="str">
        <f>"ערן שלו"</f>
        <v>ערן שלו</v>
      </c>
    </row>
    <row r="3281" spans="1:56" x14ac:dyDescent="0.3">
      <c r="A3281" s="1">
        <v>44140</v>
      </c>
      <c r="B3281" t="str">
        <f>"CR207000085"</f>
        <v>CR207000085</v>
      </c>
      <c r="C3281" t="str">
        <f>"PR20000210"</f>
        <v>PR20000210</v>
      </c>
      <c r="E3281" t="str">
        <f>"Y"</f>
        <v>Y</v>
      </c>
      <c r="F3281" t="str">
        <f>"חשבוניות זיכוי"</f>
        <v>חשבוניות זיכוי</v>
      </c>
      <c r="G3281" t="str">
        <f>"700065"</f>
        <v>700065</v>
      </c>
      <c r="H3281" t="str">
        <f>"אלתא מערכות בע""מ"</f>
        <v>אלתא מערכות בע"מ</v>
      </c>
      <c r="I3281" t="str">
        <f>"10"</f>
        <v>10</v>
      </c>
      <c r="J3281" t="str">
        <f>"9977"</f>
        <v>9977</v>
      </c>
      <c r="K3281" t="str">
        <f>"חיוב פיגורים בגין 5112332927 SI206000835"</f>
        <v>חיוב פיגורים בגין 5112332927 SI206000835</v>
      </c>
      <c r="L3281">
        <v>-1</v>
      </c>
      <c r="M3281" t="str">
        <f>"חל"</f>
        <v>חל</v>
      </c>
      <c r="N3281">
        <v>-1</v>
      </c>
      <c r="O3281" t="str">
        <f>"חל"</f>
        <v>חל</v>
      </c>
      <c r="P3281">
        <v>87.15</v>
      </c>
      <c r="Q3281" t="str">
        <f>"$"</f>
        <v>$</v>
      </c>
      <c r="R3281" t="str">
        <f>"ידני"</f>
        <v>ידני</v>
      </c>
      <c r="S3281">
        <v>0</v>
      </c>
      <c r="T3281">
        <v>-296.3</v>
      </c>
      <c r="U3281">
        <v>0</v>
      </c>
      <c r="V3281">
        <v>-296.3</v>
      </c>
      <c r="W3281" t="str">
        <f>"ש""ח"</f>
        <v>ש"ח</v>
      </c>
      <c r="X3281">
        <v>0</v>
      </c>
      <c r="Y3281">
        <v>0</v>
      </c>
      <c r="Z3281">
        <v>0</v>
      </c>
      <c r="AA3281" t="str">
        <f>"Y"</f>
        <v>Y</v>
      </c>
      <c r="AC3281">
        <v>0</v>
      </c>
      <c r="AM3281" t="str">
        <f>"10"</f>
        <v>10</v>
      </c>
      <c r="AN3281" t="str">
        <f>"500000"</f>
        <v>500000</v>
      </c>
      <c r="AO3281" t="str">
        <f>"הכנסות  מלקוחות"</f>
        <v>הכנסות  מלקוחות</v>
      </c>
      <c r="AQ3281" t="str">
        <f>"034"</f>
        <v>034</v>
      </c>
      <c r="AR3281">
        <v>0</v>
      </c>
      <c r="AS3281">
        <v>0</v>
      </c>
      <c r="AT3281">
        <v>3.3999000000000001</v>
      </c>
      <c r="BB3281" t="str">
        <f>"Y"</f>
        <v>Y</v>
      </c>
      <c r="BD3281" t="str">
        <f>"ערן שלו"</f>
        <v>ערן שלו</v>
      </c>
    </row>
    <row r="3282" spans="1:56" x14ac:dyDescent="0.3">
      <c r="A3282" s="1">
        <v>44140</v>
      </c>
      <c r="B3282" t="str">
        <f>"CR207000085"</f>
        <v>CR207000085</v>
      </c>
      <c r="C3282" t="str">
        <f>"PR20000210"</f>
        <v>PR20000210</v>
      </c>
      <c r="E3282" t="str">
        <f>"Y"</f>
        <v>Y</v>
      </c>
      <c r="F3282" t="str">
        <f>"חשבוניות זיכוי"</f>
        <v>חשבוניות זיכוי</v>
      </c>
      <c r="G3282" t="str">
        <f>"700065"</f>
        <v>700065</v>
      </c>
      <c r="H3282" t="str">
        <f>"אלתא מערכות בע""מ"</f>
        <v>אלתא מערכות בע"מ</v>
      </c>
      <c r="I3282" t="str">
        <f>"10"</f>
        <v>10</v>
      </c>
      <c r="J3282" t="str">
        <f>"9977"</f>
        <v>9977</v>
      </c>
      <c r="K3282" t="str">
        <f>"חיוב פיגורים בגין 5112332927 SI206000835"</f>
        <v>חיוב פיגורים בגין 5112332927 SI206000835</v>
      </c>
      <c r="L3282">
        <v>-1</v>
      </c>
      <c r="M3282" t="str">
        <f>"חל"</f>
        <v>חל</v>
      </c>
      <c r="N3282">
        <v>-1</v>
      </c>
      <c r="O3282" t="str">
        <f>"חל"</f>
        <v>חל</v>
      </c>
      <c r="P3282">
        <v>16.68</v>
      </c>
      <c r="Q3282" t="str">
        <f>"$"</f>
        <v>$</v>
      </c>
      <c r="R3282" t="str">
        <f>"ידני"</f>
        <v>ידני</v>
      </c>
      <c r="S3282">
        <v>0</v>
      </c>
      <c r="T3282">
        <v>-56.71</v>
      </c>
      <c r="U3282">
        <v>0</v>
      </c>
      <c r="V3282">
        <v>-56.71</v>
      </c>
      <c r="W3282" t="str">
        <f>"ש""ח"</f>
        <v>ש"ח</v>
      </c>
      <c r="X3282">
        <v>0</v>
      </c>
      <c r="Y3282">
        <v>0</v>
      </c>
      <c r="Z3282">
        <v>0</v>
      </c>
      <c r="AA3282" t="str">
        <f>"Y"</f>
        <v>Y</v>
      </c>
      <c r="AC3282">
        <v>0</v>
      </c>
      <c r="AM3282" t="str">
        <f>"10"</f>
        <v>10</v>
      </c>
      <c r="AN3282" t="str">
        <f>"500000"</f>
        <v>500000</v>
      </c>
      <c r="AO3282" t="str">
        <f>"הכנסות  מלקוחות"</f>
        <v>הכנסות  מלקוחות</v>
      </c>
      <c r="AQ3282" t="str">
        <f>"034"</f>
        <v>034</v>
      </c>
      <c r="AR3282">
        <v>0</v>
      </c>
      <c r="AS3282">
        <v>0</v>
      </c>
      <c r="AT3282">
        <v>3.3999000000000001</v>
      </c>
      <c r="BB3282" t="str">
        <f>"Y"</f>
        <v>Y</v>
      </c>
      <c r="BD3282" t="str">
        <f>"ערן שלו"</f>
        <v>ערן שלו</v>
      </c>
    </row>
    <row r="3283" spans="1:56" x14ac:dyDescent="0.3">
      <c r="A3283" s="1">
        <v>44140</v>
      </c>
      <c r="B3283" t="str">
        <f>"CR207000084"</f>
        <v>CR207000084</v>
      </c>
      <c r="E3283" t="str">
        <f>"Y"</f>
        <v>Y</v>
      </c>
      <c r="F3283" t="str">
        <f>"חשבוניות זיכוי"</f>
        <v>חשבוניות זיכוי</v>
      </c>
      <c r="G3283" t="str">
        <f>"700065"</f>
        <v>700065</v>
      </c>
      <c r="H3283" t="str">
        <f>"אלתא מערכות בע""מ"</f>
        <v>אלתא מערכות בע"מ</v>
      </c>
      <c r="I3283" t="str">
        <f>"10"</f>
        <v>10</v>
      </c>
      <c r="J3283" t="str">
        <f>"9977"</f>
        <v>9977</v>
      </c>
      <c r="K3283" t="str">
        <f>"חיוב פיגורים בגין 5112327330 SI206000819"</f>
        <v>חיוב פיגורים בגין 5112327330 SI206000819</v>
      </c>
      <c r="L3283">
        <v>-1</v>
      </c>
      <c r="M3283" t="str">
        <f>"חל"</f>
        <v>חל</v>
      </c>
      <c r="N3283">
        <v>-1</v>
      </c>
      <c r="O3283" t="str">
        <f>"חל"</f>
        <v>חל</v>
      </c>
      <c r="P3283">
        <v>614.67999999999995</v>
      </c>
      <c r="Q3283" t="str">
        <f>"$"</f>
        <v>$</v>
      </c>
      <c r="R3283" t="str">
        <f>"ידני"</f>
        <v>ידני</v>
      </c>
      <c r="S3283">
        <v>0</v>
      </c>
      <c r="T3283" s="2">
        <v>-2092.37</v>
      </c>
      <c r="U3283">
        <v>0</v>
      </c>
      <c r="V3283" s="2">
        <v>-2092.37</v>
      </c>
      <c r="W3283" t="str">
        <f>"ש""ח"</f>
        <v>ש"ח</v>
      </c>
      <c r="X3283">
        <v>0</v>
      </c>
      <c r="Y3283">
        <v>0</v>
      </c>
      <c r="Z3283">
        <v>0</v>
      </c>
      <c r="AA3283" t="str">
        <f>"Y"</f>
        <v>Y</v>
      </c>
      <c r="AC3283">
        <v>0</v>
      </c>
      <c r="AM3283" t="str">
        <f>"10"</f>
        <v>10</v>
      </c>
      <c r="AN3283" t="str">
        <f>"500000"</f>
        <v>500000</v>
      </c>
      <c r="AO3283" t="str">
        <f>"הכנסות  מלקוחות"</f>
        <v>הכנסות  מלקוחות</v>
      </c>
      <c r="AQ3283" t="str">
        <f>"034"</f>
        <v>034</v>
      </c>
      <c r="AR3283">
        <v>0</v>
      </c>
      <c r="AS3283">
        <v>0</v>
      </c>
      <c r="AT3283">
        <v>3.4039999999999999</v>
      </c>
      <c r="BB3283" t="str">
        <f>"Y"</f>
        <v>Y</v>
      </c>
      <c r="BD3283" t="str">
        <f>"ערן שלו"</f>
        <v>ערן שלו</v>
      </c>
    </row>
    <row r="3284" spans="1:56" x14ac:dyDescent="0.3">
      <c r="A3284" s="1">
        <v>44140</v>
      </c>
      <c r="B3284" t="str">
        <f>"CR207000084"</f>
        <v>CR207000084</v>
      </c>
      <c r="E3284" t="str">
        <f>"Y"</f>
        <v>Y</v>
      </c>
      <c r="F3284" t="str">
        <f>"חשבוניות זיכוי"</f>
        <v>חשבוניות זיכוי</v>
      </c>
      <c r="G3284" t="str">
        <f>"700065"</f>
        <v>700065</v>
      </c>
      <c r="H3284" t="str">
        <f>"אלתא מערכות בע""מ"</f>
        <v>אלתא מערכות בע"מ</v>
      </c>
      <c r="I3284" t="str">
        <f>"10"</f>
        <v>10</v>
      </c>
      <c r="J3284" t="str">
        <f>"9977"</f>
        <v>9977</v>
      </c>
      <c r="K3284" t="str">
        <f>"חיוב פיגורים בגין 5112327330 SI206000819"</f>
        <v>חיוב פיגורים בגין 5112327330 SI206000819</v>
      </c>
      <c r="L3284">
        <v>-1</v>
      </c>
      <c r="M3284" t="str">
        <f>"חל"</f>
        <v>חל</v>
      </c>
      <c r="N3284">
        <v>-1</v>
      </c>
      <c r="O3284" t="str">
        <f>"חל"</f>
        <v>חל</v>
      </c>
      <c r="P3284" s="2">
        <v>1211.94</v>
      </c>
      <c r="Q3284" t="str">
        <f>"$"</f>
        <v>$</v>
      </c>
      <c r="R3284" t="str">
        <f>"ידני"</f>
        <v>ידני</v>
      </c>
      <c r="S3284">
        <v>0</v>
      </c>
      <c r="T3284" s="2">
        <v>-4125.4399999999996</v>
      </c>
      <c r="U3284">
        <v>0</v>
      </c>
      <c r="V3284" s="2">
        <v>-4125.4399999999996</v>
      </c>
      <c r="W3284" t="str">
        <f>"ש""ח"</f>
        <v>ש"ח</v>
      </c>
      <c r="X3284">
        <v>0</v>
      </c>
      <c r="Y3284">
        <v>0</v>
      </c>
      <c r="Z3284">
        <v>0</v>
      </c>
      <c r="AA3284" t="str">
        <f>"Y"</f>
        <v>Y</v>
      </c>
      <c r="AC3284">
        <v>0</v>
      </c>
      <c r="AM3284" t="str">
        <f>"10"</f>
        <v>10</v>
      </c>
      <c r="AN3284" t="str">
        <f>"500000"</f>
        <v>500000</v>
      </c>
      <c r="AO3284" t="str">
        <f>"הכנסות  מלקוחות"</f>
        <v>הכנסות  מלקוחות</v>
      </c>
      <c r="AQ3284" t="str">
        <f>"034"</f>
        <v>034</v>
      </c>
      <c r="AR3284">
        <v>0</v>
      </c>
      <c r="AS3284">
        <v>0</v>
      </c>
      <c r="AT3284">
        <v>3.4039999999999999</v>
      </c>
      <c r="BB3284" t="str">
        <f>"Y"</f>
        <v>Y</v>
      </c>
      <c r="BD3284" t="str">
        <f>"ערן שלו"</f>
        <v>ערן שלו</v>
      </c>
    </row>
    <row r="3285" spans="1:56" x14ac:dyDescent="0.3">
      <c r="A3285" s="1">
        <v>44140</v>
      </c>
      <c r="B3285" t="str">
        <f>"CR207000084"</f>
        <v>CR207000084</v>
      </c>
      <c r="E3285" t="str">
        <f>"Y"</f>
        <v>Y</v>
      </c>
      <c r="F3285" t="str">
        <f>"חשבוניות זיכוי"</f>
        <v>חשבוניות זיכוי</v>
      </c>
      <c r="G3285" t="str">
        <f>"700065"</f>
        <v>700065</v>
      </c>
      <c r="H3285" t="str">
        <f>"אלתא מערכות בע""מ"</f>
        <v>אלתא מערכות בע"מ</v>
      </c>
      <c r="I3285" t="str">
        <f>"10"</f>
        <v>10</v>
      </c>
      <c r="J3285" t="str">
        <f>"9977"</f>
        <v>9977</v>
      </c>
      <c r="K3285" t="str">
        <f>"חיוב פיגורים בגין 5112327330 SI206000819"</f>
        <v>חיוב פיגורים בגין 5112327330 SI206000819</v>
      </c>
      <c r="L3285">
        <v>-1</v>
      </c>
      <c r="M3285" t="str">
        <f>"חל"</f>
        <v>חל</v>
      </c>
      <c r="N3285">
        <v>-1</v>
      </c>
      <c r="O3285" t="str">
        <f>"חל"</f>
        <v>חל</v>
      </c>
      <c r="P3285">
        <v>325.55</v>
      </c>
      <c r="Q3285" t="str">
        <f>"$"</f>
        <v>$</v>
      </c>
      <c r="R3285" t="str">
        <f>"ידני"</f>
        <v>ידני</v>
      </c>
      <c r="S3285">
        <v>0</v>
      </c>
      <c r="T3285" s="2">
        <v>-1108.17</v>
      </c>
      <c r="U3285">
        <v>0</v>
      </c>
      <c r="V3285" s="2">
        <v>-1108.17</v>
      </c>
      <c r="W3285" t="str">
        <f>"ש""ח"</f>
        <v>ש"ח</v>
      </c>
      <c r="X3285">
        <v>0</v>
      </c>
      <c r="Y3285">
        <v>0</v>
      </c>
      <c r="Z3285">
        <v>0</v>
      </c>
      <c r="AA3285" t="str">
        <f>"Y"</f>
        <v>Y</v>
      </c>
      <c r="AC3285">
        <v>0</v>
      </c>
      <c r="AM3285" t="str">
        <f>"10"</f>
        <v>10</v>
      </c>
      <c r="AN3285" t="str">
        <f>"500000"</f>
        <v>500000</v>
      </c>
      <c r="AO3285" t="str">
        <f>"הכנסות  מלקוחות"</f>
        <v>הכנסות  מלקוחות</v>
      </c>
      <c r="AQ3285" t="str">
        <f>"034"</f>
        <v>034</v>
      </c>
      <c r="AR3285">
        <v>0</v>
      </c>
      <c r="AS3285">
        <v>0</v>
      </c>
      <c r="AT3285">
        <v>3.4039999999999999</v>
      </c>
      <c r="BB3285" t="str">
        <f>"Y"</f>
        <v>Y</v>
      </c>
      <c r="BD3285" t="str">
        <f>"ערן שלו"</f>
        <v>ערן שלו</v>
      </c>
    </row>
    <row r="3286" spans="1:56" x14ac:dyDescent="0.3">
      <c r="A3286" s="1">
        <v>44140</v>
      </c>
      <c r="B3286" t="str">
        <f>"CR207000084"</f>
        <v>CR207000084</v>
      </c>
      <c r="E3286" t="str">
        <f>"Y"</f>
        <v>Y</v>
      </c>
      <c r="F3286" t="str">
        <f>"חשבוניות זיכוי"</f>
        <v>חשבוניות זיכוי</v>
      </c>
      <c r="G3286" t="str">
        <f>"700065"</f>
        <v>700065</v>
      </c>
      <c r="H3286" t="str">
        <f>"אלתא מערכות בע""מ"</f>
        <v>אלתא מערכות בע"מ</v>
      </c>
      <c r="I3286" t="str">
        <f>"10"</f>
        <v>10</v>
      </c>
      <c r="J3286" t="str">
        <f>"9977"</f>
        <v>9977</v>
      </c>
      <c r="K3286" t="str">
        <f>"חיוב פיגורים בגין 5112327330 SI206000819"</f>
        <v>חיוב פיגורים בגין 5112327330 SI206000819</v>
      </c>
      <c r="L3286">
        <v>-1</v>
      </c>
      <c r="M3286" t="str">
        <f>"חל"</f>
        <v>חל</v>
      </c>
      <c r="N3286">
        <v>-1</v>
      </c>
      <c r="O3286" t="str">
        <f>"חל"</f>
        <v>חל</v>
      </c>
      <c r="P3286">
        <v>106.69</v>
      </c>
      <c r="Q3286" t="str">
        <f>"$"</f>
        <v>$</v>
      </c>
      <c r="R3286" t="str">
        <f>"ידני"</f>
        <v>ידני</v>
      </c>
      <c r="S3286">
        <v>0</v>
      </c>
      <c r="T3286">
        <v>-363.17</v>
      </c>
      <c r="U3286">
        <v>0</v>
      </c>
      <c r="V3286">
        <v>-363.17</v>
      </c>
      <c r="W3286" t="str">
        <f>"ש""ח"</f>
        <v>ש"ח</v>
      </c>
      <c r="X3286">
        <v>0</v>
      </c>
      <c r="Y3286">
        <v>0</v>
      </c>
      <c r="Z3286">
        <v>0</v>
      </c>
      <c r="AA3286" t="str">
        <f>"Y"</f>
        <v>Y</v>
      </c>
      <c r="AC3286">
        <v>0</v>
      </c>
      <c r="AM3286" t="str">
        <f>"10"</f>
        <v>10</v>
      </c>
      <c r="AN3286" t="str">
        <f>"500000"</f>
        <v>500000</v>
      </c>
      <c r="AO3286" t="str">
        <f>"הכנסות  מלקוחות"</f>
        <v>הכנסות  מלקוחות</v>
      </c>
      <c r="AQ3286" t="str">
        <f>"034"</f>
        <v>034</v>
      </c>
      <c r="AR3286">
        <v>0</v>
      </c>
      <c r="AS3286">
        <v>0</v>
      </c>
      <c r="AT3286">
        <v>3.4039999999999999</v>
      </c>
      <c r="BB3286" t="str">
        <f>"Y"</f>
        <v>Y</v>
      </c>
      <c r="BD3286" t="str">
        <f>"ערן שלו"</f>
        <v>ערן שלו</v>
      </c>
    </row>
    <row r="3287" spans="1:56" x14ac:dyDescent="0.3">
      <c r="A3287" s="1">
        <v>44140</v>
      </c>
      <c r="B3287" t="str">
        <f>"CR207000084"</f>
        <v>CR207000084</v>
      </c>
      <c r="E3287" t="str">
        <f>"Y"</f>
        <v>Y</v>
      </c>
      <c r="F3287" t="str">
        <f>"חשבוניות זיכוי"</f>
        <v>חשבוניות זיכוי</v>
      </c>
      <c r="G3287" t="str">
        <f>"700065"</f>
        <v>700065</v>
      </c>
      <c r="H3287" t="str">
        <f>"אלתא מערכות בע""מ"</f>
        <v>אלתא מערכות בע"מ</v>
      </c>
      <c r="I3287" t="str">
        <f>"10"</f>
        <v>10</v>
      </c>
      <c r="J3287" t="str">
        <f>"9977"</f>
        <v>9977</v>
      </c>
      <c r="K3287" t="str">
        <f>"חיוב פיגורים בגין 5112327330 SI206000819"</f>
        <v>חיוב פיגורים בגין 5112327330 SI206000819</v>
      </c>
      <c r="L3287">
        <v>-1</v>
      </c>
      <c r="M3287" t="str">
        <f>"חל"</f>
        <v>חל</v>
      </c>
      <c r="N3287">
        <v>-1</v>
      </c>
      <c r="O3287" t="str">
        <f>"חל"</f>
        <v>חל</v>
      </c>
      <c r="P3287">
        <v>163.12</v>
      </c>
      <c r="Q3287" t="str">
        <f>"$"</f>
        <v>$</v>
      </c>
      <c r="R3287" t="str">
        <f>"ידני"</f>
        <v>ידני</v>
      </c>
      <c r="S3287">
        <v>0</v>
      </c>
      <c r="T3287">
        <v>-555.26</v>
      </c>
      <c r="U3287">
        <v>0</v>
      </c>
      <c r="V3287">
        <v>-555.26</v>
      </c>
      <c r="W3287" t="str">
        <f>"ש""ח"</f>
        <v>ש"ח</v>
      </c>
      <c r="X3287">
        <v>0</v>
      </c>
      <c r="Y3287">
        <v>0</v>
      </c>
      <c r="Z3287">
        <v>0</v>
      </c>
      <c r="AA3287" t="str">
        <f>"Y"</f>
        <v>Y</v>
      </c>
      <c r="AC3287">
        <v>0</v>
      </c>
      <c r="AM3287" t="str">
        <f>"10"</f>
        <v>10</v>
      </c>
      <c r="AN3287" t="str">
        <f>"500000"</f>
        <v>500000</v>
      </c>
      <c r="AO3287" t="str">
        <f>"הכנסות  מלקוחות"</f>
        <v>הכנסות  מלקוחות</v>
      </c>
      <c r="AQ3287" t="str">
        <f>"034"</f>
        <v>034</v>
      </c>
      <c r="AR3287">
        <v>0</v>
      </c>
      <c r="AS3287">
        <v>0</v>
      </c>
      <c r="AT3287">
        <v>3.4039999999999999</v>
      </c>
      <c r="BB3287" t="str">
        <f>"Y"</f>
        <v>Y</v>
      </c>
      <c r="BD3287" t="str">
        <f>"ערן שלו"</f>
        <v>ערן שלו</v>
      </c>
    </row>
    <row r="3288" spans="1:56" x14ac:dyDescent="0.3">
      <c r="A3288" s="1">
        <v>44140</v>
      </c>
      <c r="B3288" t="str">
        <f>"CR207000083"</f>
        <v>CR207000083</v>
      </c>
      <c r="E3288" t="str">
        <f>"Y"</f>
        <v>Y</v>
      </c>
      <c r="F3288" t="str">
        <f>"חשבוניות זיכוי"</f>
        <v>חשבוניות זיכוי</v>
      </c>
      <c r="G3288" t="str">
        <f>"700065"</f>
        <v>700065</v>
      </c>
      <c r="H3288" t="str">
        <f>"אלתא מערכות בע""מ"</f>
        <v>אלתא מערכות בע"מ</v>
      </c>
      <c r="I3288" t="str">
        <f>"10"</f>
        <v>10</v>
      </c>
      <c r="J3288" t="str">
        <f>"9977"</f>
        <v>9977</v>
      </c>
      <c r="K3288" t="str">
        <f>"חיוב פיגורים בגין 5112307658 SI20600744"</f>
        <v>חיוב פיגורים בגין 5112307658 SI20600744</v>
      </c>
      <c r="L3288">
        <v>-1</v>
      </c>
      <c r="M3288" t="str">
        <f>"חל"</f>
        <v>חל</v>
      </c>
      <c r="N3288">
        <v>-1</v>
      </c>
      <c r="O3288" t="str">
        <f>"חל"</f>
        <v>חל</v>
      </c>
      <c r="P3288" s="2">
        <v>2362.3200000000002</v>
      </c>
      <c r="Q3288" t="str">
        <f>"$"</f>
        <v>$</v>
      </c>
      <c r="R3288" t="str">
        <f>"ידני"</f>
        <v>ידני</v>
      </c>
      <c r="S3288">
        <v>0</v>
      </c>
      <c r="T3288" s="2">
        <v>-8062.6</v>
      </c>
      <c r="U3288">
        <v>0</v>
      </c>
      <c r="V3288" s="2">
        <v>-8062.6</v>
      </c>
      <c r="W3288" t="str">
        <f>"ש""ח"</f>
        <v>ש"ח</v>
      </c>
      <c r="X3288">
        <v>0</v>
      </c>
      <c r="Y3288">
        <v>0</v>
      </c>
      <c r="Z3288">
        <v>0</v>
      </c>
      <c r="AA3288" t="str">
        <f>"Y"</f>
        <v>Y</v>
      </c>
      <c r="AC3288">
        <v>0</v>
      </c>
      <c r="AM3288" t="str">
        <f>"10"</f>
        <v>10</v>
      </c>
      <c r="AN3288" t="str">
        <f>"500000"</f>
        <v>500000</v>
      </c>
      <c r="AO3288" t="str">
        <f>"הכנסות  מלקוחות"</f>
        <v>הכנסות  מלקוחות</v>
      </c>
      <c r="AQ3288" t="str">
        <f>"034"</f>
        <v>034</v>
      </c>
      <c r="AR3288">
        <v>0</v>
      </c>
      <c r="AS3288">
        <v>0</v>
      </c>
      <c r="AT3288">
        <v>3.4129999999999998</v>
      </c>
      <c r="BB3288" t="str">
        <f>"Y"</f>
        <v>Y</v>
      </c>
      <c r="BD3288" t="str">
        <f>"ערן שלו"</f>
        <v>ערן שלו</v>
      </c>
    </row>
    <row r="3289" spans="1:56" x14ac:dyDescent="0.3">
      <c r="A3289" s="1">
        <v>44140</v>
      </c>
      <c r="B3289" t="str">
        <f>"CR207000083"</f>
        <v>CR207000083</v>
      </c>
      <c r="E3289" t="str">
        <f>"Y"</f>
        <v>Y</v>
      </c>
      <c r="F3289" t="str">
        <f>"חשבוניות זיכוי"</f>
        <v>חשבוניות זיכוי</v>
      </c>
      <c r="G3289" t="str">
        <f>"700065"</f>
        <v>700065</v>
      </c>
      <c r="H3289" t="str">
        <f>"אלתא מערכות בע""מ"</f>
        <v>אלתא מערכות בע"מ</v>
      </c>
      <c r="I3289" t="str">
        <f>"10"</f>
        <v>10</v>
      </c>
      <c r="J3289" t="str">
        <f>"9977"</f>
        <v>9977</v>
      </c>
      <c r="K3289" t="str">
        <f>"חיוב פיגורים בגין 5112307658 SI20600744"</f>
        <v>חיוב פיגורים בגין 5112307658 SI20600744</v>
      </c>
      <c r="L3289">
        <v>-1</v>
      </c>
      <c r="M3289" t="str">
        <f>"חל"</f>
        <v>חל</v>
      </c>
      <c r="N3289">
        <v>-1</v>
      </c>
      <c r="O3289" t="str">
        <f>"חל"</f>
        <v>חל</v>
      </c>
      <c r="P3289" s="2">
        <v>2362.3200000000002</v>
      </c>
      <c r="Q3289" t="str">
        <f>"$"</f>
        <v>$</v>
      </c>
      <c r="R3289" t="str">
        <f>"ידני"</f>
        <v>ידני</v>
      </c>
      <c r="S3289">
        <v>0</v>
      </c>
      <c r="T3289" s="2">
        <v>-8062.6</v>
      </c>
      <c r="U3289">
        <v>0</v>
      </c>
      <c r="V3289" s="2">
        <v>-8062.6</v>
      </c>
      <c r="W3289" t="str">
        <f>"ש""ח"</f>
        <v>ש"ח</v>
      </c>
      <c r="X3289">
        <v>0</v>
      </c>
      <c r="Y3289">
        <v>0</v>
      </c>
      <c r="Z3289">
        <v>0</v>
      </c>
      <c r="AA3289" t="str">
        <f>"Y"</f>
        <v>Y</v>
      </c>
      <c r="AC3289">
        <v>0</v>
      </c>
      <c r="AM3289" t="str">
        <f>"10"</f>
        <v>10</v>
      </c>
      <c r="AN3289" t="str">
        <f>"500000"</f>
        <v>500000</v>
      </c>
      <c r="AO3289" t="str">
        <f>"הכנסות  מלקוחות"</f>
        <v>הכנסות  מלקוחות</v>
      </c>
      <c r="AQ3289" t="str">
        <f>"034"</f>
        <v>034</v>
      </c>
      <c r="AR3289">
        <v>0</v>
      </c>
      <c r="AS3289">
        <v>0</v>
      </c>
      <c r="AT3289">
        <v>3.4129999999999998</v>
      </c>
      <c r="BB3289" t="str">
        <f>"Y"</f>
        <v>Y</v>
      </c>
      <c r="BD3289" t="str">
        <f>"ערן שלו"</f>
        <v>ערן שלו</v>
      </c>
    </row>
    <row r="3290" spans="1:56" x14ac:dyDescent="0.3">
      <c r="A3290" s="1">
        <v>44140</v>
      </c>
      <c r="B3290" t="str">
        <f>"CR207000082"</f>
        <v>CR207000082</v>
      </c>
      <c r="E3290" t="str">
        <f>"Y"</f>
        <v>Y</v>
      </c>
      <c r="F3290" t="str">
        <f>"חשבוניות זיכוי"</f>
        <v>חשבוניות זיכוי</v>
      </c>
      <c r="G3290" t="str">
        <f>"700065"</f>
        <v>700065</v>
      </c>
      <c r="H3290" t="str">
        <f>"אלתא מערכות בע""מ"</f>
        <v>אלתא מערכות בע"מ</v>
      </c>
      <c r="I3290" t="str">
        <f>"10"</f>
        <v>10</v>
      </c>
      <c r="J3290" t="str">
        <f>"9977"</f>
        <v>9977</v>
      </c>
      <c r="K3290" t="str">
        <f>"זיכוי בגין פיגורים 5112307683 SI206000743"</f>
        <v>זיכוי בגין פיגורים 5112307683 SI206000743</v>
      </c>
      <c r="L3290">
        <v>-1</v>
      </c>
      <c r="M3290" t="str">
        <f>"חל"</f>
        <v>חל</v>
      </c>
      <c r="N3290">
        <v>-1</v>
      </c>
      <c r="O3290" t="str">
        <f>"חל"</f>
        <v>חל</v>
      </c>
      <c r="P3290" s="2">
        <v>3395.58</v>
      </c>
      <c r="Q3290" t="str">
        <f>"$"</f>
        <v>$</v>
      </c>
      <c r="R3290" t="str">
        <f>"ידני"</f>
        <v>ידני</v>
      </c>
      <c r="S3290">
        <v>0</v>
      </c>
      <c r="T3290" s="2">
        <v>-11589.11</v>
      </c>
      <c r="U3290">
        <v>0</v>
      </c>
      <c r="V3290" s="2">
        <v>-11589.11</v>
      </c>
      <c r="W3290" t="str">
        <f>"ש""ח"</f>
        <v>ש"ח</v>
      </c>
      <c r="X3290">
        <v>0</v>
      </c>
      <c r="Y3290">
        <v>0</v>
      </c>
      <c r="Z3290">
        <v>0</v>
      </c>
      <c r="AA3290" t="str">
        <f>"Y"</f>
        <v>Y</v>
      </c>
      <c r="AC3290">
        <v>0</v>
      </c>
      <c r="AM3290" t="str">
        <f>"10"</f>
        <v>10</v>
      </c>
      <c r="AN3290" t="str">
        <f>"500000"</f>
        <v>500000</v>
      </c>
      <c r="AO3290" t="str">
        <f>"הכנסות  מלקוחות"</f>
        <v>הכנסות  מלקוחות</v>
      </c>
      <c r="AQ3290" t="str">
        <f>"034"</f>
        <v>034</v>
      </c>
      <c r="AR3290">
        <v>0</v>
      </c>
      <c r="AS3290">
        <v>0</v>
      </c>
      <c r="AT3290">
        <v>3.4129990000000001</v>
      </c>
      <c r="BB3290" t="str">
        <f>"Y"</f>
        <v>Y</v>
      </c>
      <c r="BD3290" t="str">
        <f>"ערן שלו"</f>
        <v>ערן שלו</v>
      </c>
    </row>
    <row r="3291" spans="1:56" x14ac:dyDescent="0.3">
      <c r="A3291" s="1">
        <v>44140</v>
      </c>
      <c r="B3291" t="str">
        <f>"CR207000081"</f>
        <v>CR207000081</v>
      </c>
      <c r="E3291" t="str">
        <f>"Y"</f>
        <v>Y</v>
      </c>
      <c r="F3291" t="str">
        <f>"חשבוניות זיכוי"</f>
        <v>חשבוניות זיכוי</v>
      </c>
      <c r="G3291" t="str">
        <f>"700065"</f>
        <v>700065</v>
      </c>
      <c r="H3291" t="str">
        <f>"אלתא מערכות בע""מ"</f>
        <v>אלתא מערכות בע"מ</v>
      </c>
      <c r="I3291" t="str">
        <f>"10"</f>
        <v>10</v>
      </c>
      <c r="J3291" t="str">
        <f>"9977"</f>
        <v>9977</v>
      </c>
      <c r="K3291" t="str">
        <f>"זיכוי בגין פיגורים 5112303860 SI206000735"</f>
        <v>זיכוי בגין פיגורים 5112303860 SI206000735</v>
      </c>
      <c r="L3291">
        <v>-1</v>
      </c>
      <c r="M3291" t="str">
        <f>"חל"</f>
        <v>חל</v>
      </c>
      <c r="N3291">
        <v>-1</v>
      </c>
      <c r="O3291" t="str">
        <f>"חל"</f>
        <v>חל</v>
      </c>
      <c r="P3291">
        <v>108.6</v>
      </c>
      <c r="Q3291" t="str">
        <f>"$"</f>
        <v>$</v>
      </c>
      <c r="R3291" t="str">
        <f>"ידני"</f>
        <v>ידני</v>
      </c>
      <c r="S3291">
        <v>0</v>
      </c>
      <c r="T3291">
        <v>-371.41</v>
      </c>
      <c r="U3291">
        <v>0</v>
      </c>
      <c r="V3291">
        <v>-371.41</v>
      </c>
      <c r="W3291" t="str">
        <f>"ש""ח"</f>
        <v>ש"ח</v>
      </c>
      <c r="X3291">
        <v>0</v>
      </c>
      <c r="Y3291">
        <v>0</v>
      </c>
      <c r="Z3291">
        <v>0</v>
      </c>
      <c r="AA3291" t="str">
        <f>"Y"</f>
        <v>Y</v>
      </c>
      <c r="AC3291">
        <v>0</v>
      </c>
      <c r="AM3291" t="str">
        <f>"10"</f>
        <v>10</v>
      </c>
      <c r="AN3291" t="str">
        <f>"500000"</f>
        <v>500000</v>
      </c>
      <c r="AO3291" t="str">
        <f>"הכנסות  מלקוחות"</f>
        <v>הכנסות  מלקוחות</v>
      </c>
      <c r="AQ3291" t="str">
        <f>"034"</f>
        <v>034</v>
      </c>
      <c r="AR3291">
        <v>0</v>
      </c>
      <c r="AS3291">
        <v>0</v>
      </c>
      <c r="AT3291">
        <v>3.4199929999999998</v>
      </c>
      <c r="BB3291" t="str">
        <f>"Y"</f>
        <v>Y</v>
      </c>
      <c r="BD3291" t="str">
        <f>"ערן שלו"</f>
        <v>ערן שלו</v>
      </c>
    </row>
    <row r="3292" spans="1:56" x14ac:dyDescent="0.3">
      <c r="A3292" s="1">
        <v>44140</v>
      </c>
      <c r="B3292" t="str">
        <f>"CR207000081"</f>
        <v>CR207000081</v>
      </c>
      <c r="E3292" t="str">
        <f>"Y"</f>
        <v>Y</v>
      </c>
      <c r="F3292" t="str">
        <f>"חשבוניות זיכוי"</f>
        <v>חשבוניות זיכוי</v>
      </c>
      <c r="G3292" t="str">
        <f>"700065"</f>
        <v>700065</v>
      </c>
      <c r="H3292" t="str">
        <f>"אלתא מערכות בע""מ"</f>
        <v>אלתא מערכות בע"מ</v>
      </c>
      <c r="I3292" t="str">
        <f>"10"</f>
        <v>10</v>
      </c>
      <c r="J3292" t="str">
        <f>"9977"</f>
        <v>9977</v>
      </c>
      <c r="K3292" t="str">
        <f>"זיכוי בגין פיגורים 5112303860 SI206000735"</f>
        <v>זיכוי בגין פיגורים 5112303860 SI206000735</v>
      </c>
      <c r="L3292">
        <v>-1</v>
      </c>
      <c r="M3292" t="str">
        <f>"חל"</f>
        <v>חל</v>
      </c>
      <c r="N3292">
        <v>-1</v>
      </c>
      <c r="O3292" t="str">
        <f>"חל"</f>
        <v>חל</v>
      </c>
      <c r="P3292">
        <v>345.53</v>
      </c>
      <c r="Q3292" t="str">
        <f>"$"</f>
        <v>$</v>
      </c>
      <c r="R3292" t="str">
        <f>"ידני"</f>
        <v>ידני</v>
      </c>
      <c r="S3292">
        <v>0</v>
      </c>
      <c r="T3292" s="2">
        <v>-1181.71</v>
      </c>
      <c r="U3292">
        <v>0</v>
      </c>
      <c r="V3292" s="2">
        <v>-1181.71</v>
      </c>
      <c r="W3292" t="str">
        <f>"ש""ח"</f>
        <v>ש"ח</v>
      </c>
      <c r="X3292">
        <v>0</v>
      </c>
      <c r="Y3292">
        <v>0</v>
      </c>
      <c r="Z3292">
        <v>0</v>
      </c>
      <c r="AA3292" t="str">
        <f>"Y"</f>
        <v>Y</v>
      </c>
      <c r="AC3292">
        <v>0</v>
      </c>
      <c r="AM3292" t="str">
        <f>"10"</f>
        <v>10</v>
      </c>
      <c r="AN3292" t="str">
        <f>"500000"</f>
        <v>500000</v>
      </c>
      <c r="AO3292" t="str">
        <f>"הכנסות  מלקוחות"</f>
        <v>הכנסות  מלקוחות</v>
      </c>
      <c r="AQ3292" t="str">
        <f>"034"</f>
        <v>034</v>
      </c>
      <c r="AR3292">
        <v>0</v>
      </c>
      <c r="AS3292">
        <v>0</v>
      </c>
      <c r="AT3292">
        <v>3.4199929999999998</v>
      </c>
      <c r="BB3292" t="str">
        <f>"Y"</f>
        <v>Y</v>
      </c>
      <c r="BD3292" t="str">
        <f>"ערן שלו"</f>
        <v>ערן שלו</v>
      </c>
    </row>
    <row r="3293" spans="1:56" x14ac:dyDescent="0.3">
      <c r="A3293" s="1">
        <v>44140</v>
      </c>
      <c r="B3293" t="str">
        <f>"CR207000081"</f>
        <v>CR207000081</v>
      </c>
      <c r="E3293" t="str">
        <f>"Y"</f>
        <v>Y</v>
      </c>
      <c r="F3293" t="str">
        <f>"חשבוניות זיכוי"</f>
        <v>חשבוניות זיכוי</v>
      </c>
      <c r="G3293" t="str">
        <f>"700065"</f>
        <v>700065</v>
      </c>
      <c r="H3293" t="str">
        <f>"אלתא מערכות בע""מ"</f>
        <v>אלתא מערכות בע"מ</v>
      </c>
      <c r="I3293" t="str">
        <f>"10"</f>
        <v>10</v>
      </c>
      <c r="J3293" t="str">
        <f>"9977"</f>
        <v>9977</v>
      </c>
      <c r="K3293" t="str">
        <f>"זיכוי בגין פיגורים 5112303860 SI206000735"</f>
        <v>זיכוי בגין פיגורים 5112303860 SI206000735</v>
      </c>
      <c r="L3293">
        <v>-1</v>
      </c>
      <c r="M3293" t="str">
        <f>"חל"</f>
        <v>חל</v>
      </c>
      <c r="N3293">
        <v>-1</v>
      </c>
      <c r="O3293" t="str">
        <f>"חל"</f>
        <v>חל</v>
      </c>
      <c r="P3293">
        <v>230.16</v>
      </c>
      <c r="Q3293" t="str">
        <f>"$"</f>
        <v>$</v>
      </c>
      <c r="R3293" t="str">
        <f>"ידני"</f>
        <v>ידני</v>
      </c>
      <c r="S3293">
        <v>0</v>
      </c>
      <c r="T3293">
        <v>-787.15</v>
      </c>
      <c r="U3293">
        <v>0</v>
      </c>
      <c r="V3293">
        <v>-787.15</v>
      </c>
      <c r="W3293" t="str">
        <f>"ש""ח"</f>
        <v>ש"ח</v>
      </c>
      <c r="X3293">
        <v>0</v>
      </c>
      <c r="Y3293">
        <v>0</v>
      </c>
      <c r="Z3293">
        <v>0</v>
      </c>
      <c r="AA3293" t="str">
        <f>"Y"</f>
        <v>Y</v>
      </c>
      <c r="AC3293">
        <v>0</v>
      </c>
      <c r="AM3293" t="str">
        <f>"10"</f>
        <v>10</v>
      </c>
      <c r="AN3293" t="str">
        <f>"500000"</f>
        <v>500000</v>
      </c>
      <c r="AO3293" t="str">
        <f>"הכנסות  מלקוחות"</f>
        <v>הכנסות  מלקוחות</v>
      </c>
      <c r="AQ3293" t="str">
        <f>"034"</f>
        <v>034</v>
      </c>
      <c r="AR3293">
        <v>0</v>
      </c>
      <c r="AS3293">
        <v>0</v>
      </c>
      <c r="AT3293">
        <v>3.4199929999999998</v>
      </c>
      <c r="BB3293" t="str">
        <f>"Y"</f>
        <v>Y</v>
      </c>
      <c r="BD3293" t="str">
        <f>"ערן שלו"</f>
        <v>ערן שלו</v>
      </c>
    </row>
    <row r="3294" spans="1:56" x14ac:dyDescent="0.3">
      <c r="A3294" s="1">
        <v>44140</v>
      </c>
      <c r="B3294" t="str">
        <f>"CR207000081"</f>
        <v>CR207000081</v>
      </c>
      <c r="E3294" t="str">
        <f>"Y"</f>
        <v>Y</v>
      </c>
      <c r="F3294" t="str">
        <f>"חשבוניות זיכוי"</f>
        <v>חשבוניות זיכוי</v>
      </c>
      <c r="G3294" t="str">
        <f>"700065"</f>
        <v>700065</v>
      </c>
      <c r="H3294" t="str">
        <f>"אלתא מערכות בע""מ"</f>
        <v>אלתא מערכות בע"מ</v>
      </c>
      <c r="I3294" t="str">
        <f>"10"</f>
        <v>10</v>
      </c>
      <c r="J3294" t="str">
        <f>"9977"</f>
        <v>9977</v>
      </c>
      <c r="K3294" t="str">
        <f>"זיכוי בגין פיגורים 5112303860 SI206000735"</f>
        <v>זיכוי בגין פיגורים 5112303860 SI206000735</v>
      </c>
      <c r="L3294">
        <v>-1</v>
      </c>
      <c r="M3294" t="str">
        <f>"חל"</f>
        <v>חל</v>
      </c>
      <c r="N3294">
        <v>-1</v>
      </c>
      <c r="O3294" t="str">
        <f>"חל"</f>
        <v>חל</v>
      </c>
      <c r="P3294">
        <v>72.34</v>
      </c>
      <c r="Q3294" t="str">
        <f>"$"</f>
        <v>$</v>
      </c>
      <c r="R3294" t="str">
        <f>"ידני"</f>
        <v>ידני</v>
      </c>
      <c r="S3294">
        <v>0</v>
      </c>
      <c r="T3294">
        <v>-247.4</v>
      </c>
      <c r="U3294">
        <v>0</v>
      </c>
      <c r="V3294">
        <v>-247.4</v>
      </c>
      <c r="W3294" t="str">
        <f>"ש""ח"</f>
        <v>ש"ח</v>
      </c>
      <c r="X3294">
        <v>0</v>
      </c>
      <c r="Y3294">
        <v>0</v>
      </c>
      <c r="Z3294">
        <v>0</v>
      </c>
      <c r="AA3294" t="str">
        <f>"Y"</f>
        <v>Y</v>
      </c>
      <c r="AC3294">
        <v>0</v>
      </c>
      <c r="AM3294" t="str">
        <f>"10"</f>
        <v>10</v>
      </c>
      <c r="AN3294" t="str">
        <f>"500000"</f>
        <v>500000</v>
      </c>
      <c r="AO3294" t="str">
        <f>"הכנסות  מלקוחות"</f>
        <v>הכנסות  מלקוחות</v>
      </c>
      <c r="AQ3294" t="str">
        <f>"034"</f>
        <v>034</v>
      </c>
      <c r="AR3294">
        <v>0</v>
      </c>
      <c r="AS3294">
        <v>0</v>
      </c>
      <c r="AT3294">
        <v>3.4199929999999998</v>
      </c>
      <c r="BB3294" t="str">
        <f>"Y"</f>
        <v>Y</v>
      </c>
      <c r="BD3294" t="str">
        <f>"ערן שלו"</f>
        <v>ערן שלו</v>
      </c>
    </row>
    <row r="3295" spans="1:56" x14ac:dyDescent="0.3">
      <c r="A3295" s="1">
        <v>44140</v>
      </c>
      <c r="B3295" t="str">
        <f>"CR207000080"</f>
        <v>CR207000080</v>
      </c>
      <c r="C3295" t="str">
        <f>"PR20000066"</f>
        <v>PR20000066</v>
      </c>
      <c r="E3295" t="str">
        <f>"Y"</f>
        <v>Y</v>
      </c>
      <c r="F3295" t="str">
        <f>"חשבוניות זיכוי"</f>
        <v>חשבוניות זיכוי</v>
      </c>
      <c r="G3295" t="str">
        <f>"700065"</f>
        <v>700065</v>
      </c>
      <c r="H3295" t="str">
        <f>"אלתא מערכות בע""מ"</f>
        <v>אלתא מערכות בע"מ</v>
      </c>
      <c r="I3295" t="str">
        <f>"10"</f>
        <v>10</v>
      </c>
      <c r="J3295" t="str">
        <f>"9977"</f>
        <v>9977</v>
      </c>
      <c r="K3295" t="str">
        <f>"חיוב פיגורים בגין 5112300040 SI206000734"</f>
        <v>חיוב פיגורים בגין 5112300040 SI206000734</v>
      </c>
      <c r="L3295">
        <v>-1</v>
      </c>
      <c r="M3295" t="str">
        <f>"חל"</f>
        <v>חל</v>
      </c>
      <c r="N3295">
        <v>-1</v>
      </c>
      <c r="O3295" t="str">
        <f>"חל"</f>
        <v>חל</v>
      </c>
      <c r="P3295">
        <v>155.65</v>
      </c>
      <c r="Q3295" t="str">
        <f>"$"</f>
        <v>$</v>
      </c>
      <c r="R3295" t="str">
        <f>"ידני"</f>
        <v>ידני</v>
      </c>
      <c r="S3295">
        <v>0</v>
      </c>
      <c r="T3295">
        <v>-532.32000000000005</v>
      </c>
      <c r="U3295">
        <v>0</v>
      </c>
      <c r="V3295">
        <v>-532.32000000000005</v>
      </c>
      <c r="W3295" t="str">
        <f>"ש""ח"</f>
        <v>ש"ח</v>
      </c>
      <c r="X3295">
        <v>0</v>
      </c>
      <c r="Y3295">
        <v>0</v>
      </c>
      <c r="Z3295">
        <v>0</v>
      </c>
      <c r="AA3295" t="str">
        <f>"Y"</f>
        <v>Y</v>
      </c>
      <c r="AC3295">
        <v>0</v>
      </c>
      <c r="AM3295" t="str">
        <f>"10"</f>
        <v>10</v>
      </c>
      <c r="AN3295" t="str">
        <f>"500000"</f>
        <v>500000</v>
      </c>
      <c r="AO3295" t="str">
        <f>"הכנסות  מלקוחות"</f>
        <v>הכנסות  מלקוחות</v>
      </c>
      <c r="AQ3295" t="str">
        <f>"034"</f>
        <v>034</v>
      </c>
      <c r="AR3295">
        <v>0</v>
      </c>
      <c r="AS3295">
        <v>0</v>
      </c>
      <c r="AT3295">
        <v>3.42</v>
      </c>
      <c r="BB3295" t="str">
        <f>"Y"</f>
        <v>Y</v>
      </c>
      <c r="BD3295" t="str">
        <f>"ערן שלו"</f>
        <v>ערן שלו</v>
      </c>
    </row>
    <row r="3296" spans="1:56" x14ac:dyDescent="0.3">
      <c r="A3296" s="1">
        <v>44140</v>
      </c>
      <c r="B3296" t="str">
        <f>"CR207000079"</f>
        <v>CR207000079</v>
      </c>
      <c r="E3296" t="str">
        <f>"Y"</f>
        <v>Y</v>
      </c>
      <c r="F3296" t="str">
        <f>"חשבוניות זיכוי"</f>
        <v>חשבוניות זיכוי</v>
      </c>
      <c r="G3296" t="str">
        <f>"700065"</f>
        <v>700065</v>
      </c>
      <c r="H3296" t="str">
        <f>"אלתא מערכות בע""מ"</f>
        <v>אלתא מערכות בע"מ</v>
      </c>
      <c r="I3296" t="str">
        <f>"10"</f>
        <v>10</v>
      </c>
      <c r="J3296" t="str">
        <f>"9977"</f>
        <v>9977</v>
      </c>
      <c r="K3296" t="str">
        <f>"חיוב פיגורים בגין 5112300060 SI206000731"</f>
        <v>חיוב פיגורים בגין 5112300060 SI206000731</v>
      </c>
      <c r="L3296">
        <v>-1</v>
      </c>
      <c r="M3296" t="str">
        <f>"חל"</f>
        <v>חל</v>
      </c>
      <c r="N3296">
        <v>-1</v>
      </c>
      <c r="O3296" t="str">
        <f>"חל"</f>
        <v>חל</v>
      </c>
      <c r="P3296">
        <v>600.86</v>
      </c>
      <c r="Q3296" t="str">
        <f>"$"</f>
        <v>$</v>
      </c>
      <c r="R3296" t="str">
        <f>"ידני"</f>
        <v>ידני</v>
      </c>
      <c r="S3296">
        <v>0</v>
      </c>
      <c r="T3296" s="2">
        <v>-2054.94</v>
      </c>
      <c r="U3296">
        <v>0</v>
      </c>
      <c r="V3296" s="2">
        <v>-2054.94</v>
      </c>
      <c r="W3296" t="str">
        <f>"ש""ח"</f>
        <v>ש"ח</v>
      </c>
      <c r="X3296">
        <v>0</v>
      </c>
      <c r="Y3296">
        <v>0</v>
      </c>
      <c r="Z3296">
        <v>0</v>
      </c>
      <c r="AA3296" t="str">
        <f>"Y"</f>
        <v>Y</v>
      </c>
      <c r="AC3296">
        <v>0</v>
      </c>
      <c r="AM3296" t="str">
        <f>"10"</f>
        <v>10</v>
      </c>
      <c r="AN3296" t="str">
        <f>"500000"</f>
        <v>500000</v>
      </c>
      <c r="AO3296" t="str">
        <f>"הכנסות  מלקוחות"</f>
        <v>הכנסות  מלקוחות</v>
      </c>
      <c r="AQ3296" t="str">
        <f>"034"</f>
        <v>034</v>
      </c>
      <c r="AR3296">
        <v>0</v>
      </c>
      <c r="AS3296">
        <v>0</v>
      </c>
      <c r="AT3296">
        <v>3.4199899999999999</v>
      </c>
      <c r="BB3296" t="str">
        <f>"Y"</f>
        <v>Y</v>
      </c>
      <c r="BD3296" t="str">
        <f>"ערן שלו"</f>
        <v>ערן שלו</v>
      </c>
    </row>
    <row r="3297" spans="1:56" x14ac:dyDescent="0.3">
      <c r="A3297" s="1">
        <v>44140</v>
      </c>
      <c r="B3297" t="str">
        <f>"CR207000078"</f>
        <v>CR207000078</v>
      </c>
      <c r="E3297" t="str">
        <f>"Y"</f>
        <v>Y</v>
      </c>
      <c r="F3297" t="str">
        <f>"חשבוניות זיכוי"</f>
        <v>חשבוניות זיכוי</v>
      </c>
      <c r="G3297" t="str">
        <f>"700065"</f>
        <v>700065</v>
      </c>
      <c r="H3297" t="str">
        <f>"אלתא מערכות בע""מ"</f>
        <v>אלתא מערכות בע"מ</v>
      </c>
      <c r="I3297" t="str">
        <f>"10"</f>
        <v>10</v>
      </c>
      <c r="J3297" t="str">
        <f>"9977"</f>
        <v>9977</v>
      </c>
      <c r="K3297" t="str">
        <f>"חיוב פיגורים בגין 4112203932 SI206000446"</f>
        <v>חיוב פיגורים בגין 4112203932 SI206000446</v>
      </c>
      <c r="L3297">
        <v>-1</v>
      </c>
      <c r="M3297" t="str">
        <f>"חל"</f>
        <v>חל</v>
      </c>
      <c r="N3297">
        <v>-1</v>
      </c>
      <c r="O3297" t="str">
        <f>"חל"</f>
        <v>חל</v>
      </c>
      <c r="P3297">
        <v>694.8</v>
      </c>
      <c r="Q3297" t="str">
        <f>"$"</f>
        <v>$</v>
      </c>
      <c r="R3297" t="str">
        <f>"ידני"</f>
        <v>ידני</v>
      </c>
      <c r="S3297">
        <v>0</v>
      </c>
      <c r="T3297" s="2">
        <v>-2442.92</v>
      </c>
      <c r="U3297">
        <v>0</v>
      </c>
      <c r="V3297" s="2">
        <v>-2442.92</v>
      </c>
      <c r="W3297" t="str">
        <f>"ש""ח"</f>
        <v>ש"ח</v>
      </c>
      <c r="X3297">
        <v>0</v>
      </c>
      <c r="Y3297">
        <v>0</v>
      </c>
      <c r="Z3297">
        <v>0</v>
      </c>
      <c r="AA3297" t="str">
        <f>"Y"</f>
        <v>Y</v>
      </c>
      <c r="AC3297">
        <v>0</v>
      </c>
      <c r="AM3297" t="str">
        <f>"10"</f>
        <v>10</v>
      </c>
      <c r="AN3297" t="str">
        <f>"500000"</f>
        <v>500000</v>
      </c>
      <c r="AO3297" t="str">
        <f>"הכנסות  מלקוחות"</f>
        <v>הכנסות  מלקוחות</v>
      </c>
      <c r="AQ3297" t="str">
        <f>"034"</f>
        <v>034</v>
      </c>
      <c r="AR3297">
        <v>0</v>
      </c>
      <c r="AS3297">
        <v>0</v>
      </c>
      <c r="AT3297">
        <v>3.516</v>
      </c>
      <c r="BB3297" t="str">
        <f>"Y"</f>
        <v>Y</v>
      </c>
      <c r="BD3297" t="str">
        <f>"ערן שלו"</f>
        <v>ערן שלו</v>
      </c>
    </row>
    <row r="3298" spans="1:56" x14ac:dyDescent="0.3">
      <c r="A3298" s="1">
        <v>44140</v>
      </c>
      <c r="B3298" t="str">
        <f>"CR207000077"</f>
        <v>CR207000077</v>
      </c>
      <c r="C3298" t="str">
        <f>"PR18000543"</f>
        <v>PR18000543</v>
      </c>
      <c r="E3298" t="str">
        <f>"Y"</f>
        <v>Y</v>
      </c>
      <c r="F3298" t="str">
        <f>"חשבוניות זיכוי"</f>
        <v>חשבוניות זיכוי</v>
      </c>
      <c r="G3298" t="str">
        <f>"700065"</f>
        <v>700065</v>
      </c>
      <c r="H3298" t="str">
        <f>"אלתא מערכות בע""מ"</f>
        <v>אלתא מערכות בע"מ</v>
      </c>
      <c r="I3298" t="str">
        <f>"10"</f>
        <v>10</v>
      </c>
      <c r="J3298" t="str">
        <f>"9977"</f>
        <v>9977</v>
      </c>
      <c r="K3298" t="str">
        <f>"חיוב פיגורים בגין 5112203936 SI206000371"</f>
        <v>חיוב פיגורים בגין 5112203936 SI206000371</v>
      </c>
      <c r="L3298">
        <v>-1</v>
      </c>
      <c r="M3298" t="str">
        <f>"חל"</f>
        <v>חל</v>
      </c>
      <c r="N3298">
        <v>-1</v>
      </c>
      <c r="O3298" t="str">
        <f>"חל"</f>
        <v>חל</v>
      </c>
      <c r="P3298">
        <v>65</v>
      </c>
      <c r="Q3298" t="str">
        <f>"$"</f>
        <v>$</v>
      </c>
      <c r="R3298" t="str">
        <f>"ידני"</f>
        <v>ידני</v>
      </c>
      <c r="S3298">
        <v>0</v>
      </c>
      <c r="T3298">
        <v>-233.81</v>
      </c>
      <c r="U3298">
        <v>0</v>
      </c>
      <c r="V3298">
        <v>-233.81</v>
      </c>
      <c r="W3298" t="str">
        <f>"ש""ח"</f>
        <v>ש"ח</v>
      </c>
      <c r="X3298">
        <v>0</v>
      </c>
      <c r="Y3298">
        <v>0</v>
      </c>
      <c r="Z3298">
        <v>0</v>
      </c>
      <c r="AA3298" t="str">
        <f>"Y"</f>
        <v>Y</v>
      </c>
      <c r="AC3298">
        <v>0</v>
      </c>
      <c r="AM3298" t="str">
        <f>"10"</f>
        <v>10</v>
      </c>
      <c r="AN3298" t="str">
        <f>"500000"</f>
        <v>500000</v>
      </c>
      <c r="AO3298" t="str">
        <f>"הכנסות  מלקוחות"</f>
        <v>הכנסות  מלקוחות</v>
      </c>
      <c r="AQ3298" t="str">
        <f>"034"</f>
        <v>034</v>
      </c>
      <c r="AR3298">
        <v>0</v>
      </c>
      <c r="AS3298">
        <v>0</v>
      </c>
      <c r="AT3298">
        <v>3.597</v>
      </c>
      <c r="BB3298" t="str">
        <f>"Y"</f>
        <v>Y</v>
      </c>
      <c r="BD3298" t="str">
        <f>"ערן שלו"</f>
        <v>ערן שלו</v>
      </c>
    </row>
    <row r="3299" spans="1:56" x14ac:dyDescent="0.3">
      <c r="A3299" s="1">
        <v>44140</v>
      </c>
      <c r="B3299" t="str">
        <f>"CR207000077"</f>
        <v>CR207000077</v>
      </c>
      <c r="C3299" t="str">
        <f>"PR18000543"</f>
        <v>PR18000543</v>
      </c>
      <c r="E3299" t="str">
        <f>"Y"</f>
        <v>Y</v>
      </c>
      <c r="F3299" t="str">
        <f>"חשבוניות זיכוי"</f>
        <v>חשבוניות זיכוי</v>
      </c>
      <c r="G3299" t="str">
        <f>"700065"</f>
        <v>700065</v>
      </c>
      <c r="H3299" t="str">
        <f>"אלתא מערכות בע""מ"</f>
        <v>אלתא מערכות בע"מ</v>
      </c>
      <c r="I3299" t="str">
        <f>"10"</f>
        <v>10</v>
      </c>
      <c r="J3299" t="str">
        <f>"9977"</f>
        <v>9977</v>
      </c>
      <c r="K3299" t="str">
        <f>"חיוב פיגורים בגין 5112203936 SI206000371"</f>
        <v>חיוב פיגורים בגין 5112203936 SI206000371</v>
      </c>
      <c r="L3299">
        <v>-1</v>
      </c>
      <c r="M3299" t="str">
        <f>"חל"</f>
        <v>חל</v>
      </c>
      <c r="N3299">
        <v>-1</v>
      </c>
      <c r="O3299" t="str">
        <f>"חל"</f>
        <v>חל</v>
      </c>
      <c r="P3299">
        <v>65</v>
      </c>
      <c r="Q3299" t="str">
        <f>"$"</f>
        <v>$</v>
      </c>
      <c r="R3299" t="str">
        <f>"ידני"</f>
        <v>ידני</v>
      </c>
      <c r="S3299">
        <v>0</v>
      </c>
      <c r="T3299">
        <v>-233.81</v>
      </c>
      <c r="U3299">
        <v>0</v>
      </c>
      <c r="V3299">
        <v>-233.81</v>
      </c>
      <c r="W3299" t="str">
        <f>"ש""ח"</f>
        <v>ש"ח</v>
      </c>
      <c r="X3299">
        <v>0</v>
      </c>
      <c r="Y3299">
        <v>0</v>
      </c>
      <c r="Z3299">
        <v>0</v>
      </c>
      <c r="AA3299" t="str">
        <f>"Y"</f>
        <v>Y</v>
      </c>
      <c r="AC3299">
        <v>0</v>
      </c>
      <c r="AM3299" t="str">
        <f>"10"</f>
        <v>10</v>
      </c>
      <c r="AN3299" t="str">
        <f>"500000"</f>
        <v>500000</v>
      </c>
      <c r="AO3299" t="str">
        <f>"הכנסות  מלקוחות"</f>
        <v>הכנסות  מלקוחות</v>
      </c>
      <c r="AQ3299" t="str">
        <f>"034"</f>
        <v>034</v>
      </c>
      <c r="AR3299">
        <v>0</v>
      </c>
      <c r="AS3299">
        <v>0</v>
      </c>
      <c r="AT3299">
        <v>3.597</v>
      </c>
      <c r="BB3299" t="str">
        <f>"Y"</f>
        <v>Y</v>
      </c>
      <c r="BD3299" t="str">
        <f>"ערן שלו"</f>
        <v>ערן שלו</v>
      </c>
    </row>
    <row r="3300" spans="1:56" x14ac:dyDescent="0.3">
      <c r="A3300" s="1">
        <v>44140</v>
      </c>
      <c r="B3300" t="str">
        <f>"CR207000076"</f>
        <v>CR207000076</v>
      </c>
      <c r="E3300" t="str">
        <f>"Y"</f>
        <v>Y</v>
      </c>
      <c r="F3300" t="str">
        <f>"חשבוניות זיכוי"</f>
        <v>חשבוניות זיכוי</v>
      </c>
      <c r="G3300" t="str">
        <f>"700065"</f>
        <v>700065</v>
      </c>
      <c r="H3300" t="str">
        <f>"אלתא מערכות בע""מ"</f>
        <v>אלתא מערכות בע"מ</v>
      </c>
      <c r="I3300" t="str">
        <f>"10"</f>
        <v>10</v>
      </c>
      <c r="J3300" t="str">
        <f>"9977"</f>
        <v>9977</v>
      </c>
      <c r="K3300" t="str">
        <f>"חיוב פיגורים בגין 5112172429 SI206000353"</f>
        <v>חיוב פיגורים בגין 5112172429 SI206000353</v>
      </c>
      <c r="L3300">
        <v>-1</v>
      </c>
      <c r="M3300" t="str">
        <f>"חל"</f>
        <v>חל</v>
      </c>
      <c r="N3300">
        <v>-1</v>
      </c>
      <c r="O3300" t="str">
        <f>"חל"</f>
        <v>חל</v>
      </c>
      <c r="P3300">
        <v>597.24</v>
      </c>
      <c r="Q3300" t="str">
        <f>"$"</f>
        <v>$</v>
      </c>
      <c r="R3300" t="str">
        <f>"ידני"</f>
        <v>ידני</v>
      </c>
      <c r="S3300">
        <v>0</v>
      </c>
      <c r="T3300" s="2">
        <v>-2137.52</v>
      </c>
      <c r="U3300">
        <v>0</v>
      </c>
      <c r="V3300" s="2">
        <v>-2137.52</v>
      </c>
      <c r="W3300" t="str">
        <f>"ש""ח"</f>
        <v>ש"ח</v>
      </c>
      <c r="X3300">
        <v>0</v>
      </c>
      <c r="Y3300">
        <v>0</v>
      </c>
      <c r="Z3300">
        <v>0</v>
      </c>
      <c r="AA3300" t="str">
        <f>"Y"</f>
        <v>Y</v>
      </c>
      <c r="AC3300">
        <v>0</v>
      </c>
      <c r="AM3300" t="str">
        <f>"10"</f>
        <v>10</v>
      </c>
      <c r="AN3300" t="str">
        <f>"500000"</f>
        <v>500000</v>
      </c>
      <c r="AO3300" t="str">
        <f>"הכנסות  מלקוחות"</f>
        <v>הכנסות  מלקוחות</v>
      </c>
      <c r="AQ3300" t="str">
        <f>"034"</f>
        <v>034</v>
      </c>
      <c r="AR3300">
        <v>0</v>
      </c>
      <c r="AS3300">
        <v>0</v>
      </c>
      <c r="AT3300">
        <v>3.5789960000000001</v>
      </c>
      <c r="BB3300" t="str">
        <f>"Y"</f>
        <v>Y</v>
      </c>
      <c r="BD3300" t="str">
        <f>"ערן שלו"</f>
        <v>ערן שלו</v>
      </c>
    </row>
    <row r="3301" spans="1:56" x14ac:dyDescent="0.3">
      <c r="A3301" s="1">
        <v>44140</v>
      </c>
      <c r="B3301" t="str">
        <f>"CR207000075"</f>
        <v>CR207000075</v>
      </c>
      <c r="E3301" t="str">
        <f>"Y"</f>
        <v>Y</v>
      </c>
      <c r="F3301" t="str">
        <f>"חשבוניות זיכוי"</f>
        <v>חשבוניות זיכוי</v>
      </c>
      <c r="G3301" t="str">
        <f>"700065"</f>
        <v>700065</v>
      </c>
      <c r="H3301" t="str">
        <f>"אלתא מערכות בע""מ"</f>
        <v>אלתא מערכות בע"מ</v>
      </c>
      <c r="I3301" t="str">
        <f>"10"</f>
        <v>10</v>
      </c>
      <c r="J3301" t="str">
        <f>"9977"</f>
        <v>9977</v>
      </c>
      <c r="K3301" t="str">
        <f>"חיוב פיגורים בגין 5112203923 SI206000299"</f>
        <v>חיוב פיגורים בגין 5112203923 SI206000299</v>
      </c>
      <c r="L3301">
        <v>-1</v>
      </c>
      <c r="M3301" t="str">
        <f>"חל"</f>
        <v>חל</v>
      </c>
      <c r="N3301">
        <v>-1</v>
      </c>
      <c r="O3301" t="str">
        <f>"חל"</f>
        <v>חל</v>
      </c>
      <c r="P3301">
        <v>62.87</v>
      </c>
      <c r="Q3301" t="str">
        <f>"$"</f>
        <v>$</v>
      </c>
      <c r="R3301" t="str">
        <f>"ידני"</f>
        <v>ידני</v>
      </c>
      <c r="S3301">
        <v>0</v>
      </c>
      <c r="T3301">
        <v>-225.45</v>
      </c>
      <c r="U3301">
        <v>0</v>
      </c>
      <c r="V3301">
        <v>-225.45</v>
      </c>
      <c r="W3301" t="str">
        <f>"ש""ח"</f>
        <v>ש"ח</v>
      </c>
      <c r="X3301">
        <v>0</v>
      </c>
      <c r="Y3301">
        <v>0</v>
      </c>
      <c r="Z3301">
        <v>0</v>
      </c>
      <c r="AA3301" t="str">
        <f>"Y"</f>
        <v>Y</v>
      </c>
      <c r="AC3301">
        <v>0</v>
      </c>
      <c r="AM3301" t="str">
        <f>"10"</f>
        <v>10</v>
      </c>
      <c r="AN3301" t="str">
        <f>"500000"</f>
        <v>500000</v>
      </c>
      <c r="AO3301" t="str">
        <f>"הכנסות  מלקוחות"</f>
        <v>הכנסות  מלקוחות</v>
      </c>
      <c r="AQ3301" t="str">
        <f>"034"</f>
        <v>034</v>
      </c>
      <c r="AR3301">
        <v>0</v>
      </c>
      <c r="AS3301">
        <v>0</v>
      </c>
      <c r="AT3301">
        <v>3.5859709999999998</v>
      </c>
      <c r="BB3301" t="str">
        <f>"Y"</f>
        <v>Y</v>
      </c>
      <c r="BD3301" t="str">
        <f>"ערן שלו"</f>
        <v>ערן שלו</v>
      </c>
    </row>
    <row r="3302" spans="1:56" x14ac:dyDescent="0.3">
      <c r="A3302" s="1">
        <v>44140</v>
      </c>
      <c r="B3302" t="str">
        <f>"CR207000074"</f>
        <v>CR207000074</v>
      </c>
      <c r="C3302" t="str">
        <f>"PR18000543"</f>
        <v>PR18000543</v>
      </c>
      <c r="E3302" t="str">
        <f>"Y"</f>
        <v>Y</v>
      </c>
      <c r="F3302" t="str">
        <f>"חשבוניות זיכוי"</f>
        <v>חשבוניות זיכוי</v>
      </c>
      <c r="G3302" t="str">
        <f>"700065"</f>
        <v>700065</v>
      </c>
      <c r="H3302" t="str">
        <f>"אלתא מערכות בע""מ"</f>
        <v>אלתא מערכות בע"מ</v>
      </c>
      <c r="I3302" t="str">
        <f>"10"</f>
        <v>10</v>
      </c>
      <c r="J3302" t="str">
        <f>"9977"</f>
        <v>9977</v>
      </c>
      <c r="K3302" t="str">
        <f>"חיוב פיגורים בגין 5112279195 SI206000290"</f>
        <v>חיוב פיגורים בגין 5112279195 SI206000290</v>
      </c>
      <c r="L3302">
        <v>-1</v>
      </c>
      <c r="M3302" t="str">
        <f>"חל"</f>
        <v>חל</v>
      </c>
      <c r="N3302">
        <v>-1</v>
      </c>
      <c r="O3302" t="str">
        <f>"חל"</f>
        <v>חל</v>
      </c>
      <c r="P3302">
        <v>94.88</v>
      </c>
      <c r="Q3302" t="str">
        <f>"$"</f>
        <v>$</v>
      </c>
      <c r="R3302" t="str">
        <f>"ידני"</f>
        <v>ידני</v>
      </c>
      <c r="S3302">
        <v>0</v>
      </c>
      <c r="T3302">
        <v>-341.38</v>
      </c>
      <c r="U3302">
        <v>0</v>
      </c>
      <c r="V3302">
        <v>-341.38</v>
      </c>
      <c r="W3302" t="str">
        <f>"ש""ח"</f>
        <v>ש"ח</v>
      </c>
      <c r="X3302">
        <v>0</v>
      </c>
      <c r="Y3302">
        <v>0</v>
      </c>
      <c r="Z3302">
        <v>0</v>
      </c>
      <c r="AA3302" t="str">
        <f>"Y"</f>
        <v>Y</v>
      </c>
      <c r="AC3302">
        <v>0</v>
      </c>
      <c r="AM3302" t="str">
        <f>"10"</f>
        <v>10</v>
      </c>
      <c r="AN3302" t="str">
        <f>"500000"</f>
        <v>500000</v>
      </c>
      <c r="AO3302" t="str">
        <f>"הכנסות  מלקוחות"</f>
        <v>הכנסות  מלקוחות</v>
      </c>
      <c r="AQ3302" t="str">
        <f>"034"</f>
        <v>034</v>
      </c>
      <c r="AR3302">
        <v>0</v>
      </c>
      <c r="AS3302">
        <v>0</v>
      </c>
      <c r="AT3302">
        <v>3.5980180000000002</v>
      </c>
      <c r="BB3302" t="str">
        <f>"Y"</f>
        <v>Y</v>
      </c>
      <c r="BD3302" t="str">
        <f>"ערן שלו"</f>
        <v>ערן שלו</v>
      </c>
    </row>
    <row r="3303" spans="1:56" x14ac:dyDescent="0.3">
      <c r="A3303" s="1">
        <v>44140</v>
      </c>
      <c r="B3303" t="str">
        <f>"CR207000073"</f>
        <v>CR207000073</v>
      </c>
      <c r="E3303" t="str">
        <f>"Y"</f>
        <v>Y</v>
      </c>
      <c r="F3303" t="str">
        <f>"חשבוניות זיכוי"</f>
        <v>חשבוניות זיכוי</v>
      </c>
      <c r="G3303" t="str">
        <f>"700065"</f>
        <v>700065</v>
      </c>
      <c r="H3303" t="str">
        <f>"אלתא מערכות בע""מ"</f>
        <v>אלתא מערכות בע"מ</v>
      </c>
      <c r="I3303" t="str">
        <f>"10"</f>
        <v>10</v>
      </c>
      <c r="J3303" t="str">
        <f>"9977"</f>
        <v>9977</v>
      </c>
      <c r="K3303" t="str">
        <f>"חיוב פיגורים בגין 5112158155 SI206000245"</f>
        <v>חיוב פיגורים בגין 5112158155 SI206000245</v>
      </c>
      <c r="L3303">
        <v>-1</v>
      </c>
      <c r="M3303" t="str">
        <f>"חל"</f>
        <v>חל</v>
      </c>
      <c r="N3303">
        <v>-1</v>
      </c>
      <c r="O3303" t="str">
        <f>"חל"</f>
        <v>חל</v>
      </c>
      <c r="P3303">
        <v>94.85</v>
      </c>
      <c r="Q3303" t="str">
        <f>"$"</f>
        <v>$</v>
      </c>
      <c r="R3303" t="str">
        <f>"ידני"</f>
        <v>ידני</v>
      </c>
      <c r="S3303">
        <v>0</v>
      </c>
      <c r="T3303">
        <v>-353.6</v>
      </c>
      <c r="U3303">
        <v>0</v>
      </c>
      <c r="V3303">
        <v>-353.6</v>
      </c>
      <c r="W3303" t="str">
        <f>"ש""ח"</f>
        <v>ש"ח</v>
      </c>
      <c r="X3303">
        <v>0</v>
      </c>
      <c r="Y3303">
        <v>0</v>
      </c>
      <c r="Z3303">
        <v>0</v>
      </c>
      <c r="AA3303" t="str">
        <f>"Y"</f>
        <v>Y</v>
      </c>
      <c r="AC3303">
        <v>0</v>
      </c>
      <c r="AM3303" t="str">
        <f>"10"</f>
        <v>10</v>
      </c>
      <c r="AN3303" t="str">
        <f>"500000"</f>
        <v>500000</v>
      </c>
      <c r="AO3303" t="str">
        <f>"הכנסות  מלקוחות"</f>
        <v>הכנסות  מלקוחות</v>
      </c>
      <c r="AQ3303" t="str">
        <f>"034"</f>
        <v>034</v>
      </c>
      <c r="AR3303">
        <v>0</v>
      </c>
      <c r="AS3303">
        <v>0</v>
      </c>
      <c r="AT3303">
        <v>3.7279909999999998</v>
      </c>
      <c r="BB3303" t="str">
        <f>"Y"</f>
        <v>Y</v>
      </c>
      <c r="BD3303" t="str">
        <f>"ערן שלו"</f>
        <v>ערן שלו</v>
      </c>
    </row>
    <row r="3304" spans="1:56" x14ac:dyDescent="0.3">
      <c r="A3304" s="1">
        <v>44140</v>
      </c>
      <c r="B3304" t="str">
        <f>"CR207000072"</f>
        <v>CR207000072</v>
      </c>
      <c r="E3304" t="str">
        <f>"Y"</f>
        <v>Y</v>
      </c>
      <c r="F3304" t="str">
        <f>"חשבוניות זיכוי"</f>
        <v>חשבוניות זיכוי</v>
      </c>
      <c r="G3304" t="str">
        <f>"700065"</f>
        <v>700065</v>
      </c>
      <c r="H3304" t="str">
        <f>"אלתא מערכות בע""מ"</f>
        <v>אלתא מערכות בע"מ</v>
      </c>
      <c r="I3304" t="str">
        <f>"05"</f>
        <v>05</v>
      </c>
      <c r="J3304" t="str">
        <f>"9977"</f>
        <v>9977</v>
      </c>
      <c r="K3304" t="str">
        <f>"חיוב פיגורים בגין 5112263839 SI206000232"</f>
        <v>חיוב פיגורים בגין 5112263839 SI206000232</v>
      </c>
      <c r="L3304">
        <v>-1</v>
      </c>
      <c r="M3304" t="str">
        <f>"חל"</f>
        <v>חל</v>
      </c>
      <c r="N3304">
        <v>-1</v>
      </c>
      <c r="O3304" t="str">
        <f>"חל"</f>
        <v>חל</v>
      </c>
      <c r="P3304">
        <v>35</v>
      </c>
      <c r="Q3304" t="str">
        <f>"$"</f>
        <v>$</v>
      </c>
      <c r="R3304" t="str">
        <f>"ידני"</f>
        <v>ידני</v>
      </c>
      <c r="S3304">
        <v>0</v>
      </c>
      <c r="T3304">
        <v>-122.78</v>
      </c>
      <c r="U3304">
        <v>0</v>
      </c>
      <c r="V3304">
        <v>-122.78</v>
      </c>
      <c r="W3304" t="str">
        <f>"ש""ח"</f>
        <v>ש"ח</v>
      </c>
      <c r="X3304">
        <v>0</v>
      </c>
      <c r="Y3304">
        <v>0</v>
      </c>
      <c r="Z3304">
        <v>0</v>
      </c>
      <c r="AA3304" t="str">
        <f>"Y"</f>
        <v>Y</v>
      </c>
      <c r="AC3304">
        <v>0</v>
      </c>
      <c r="AM3304" t="str">
        <f>"10"</f>
        <v>10</v>
      </c>
      <c r="AN3304" t="str">
        <f>"500000"</f>
        <v>500000</v>
      </c>
      <c r="AO3304" t="str">
        <f>"הכנסות  מלקוחות"</f>
        <v>הכנסות  מלקוחות</v>
      </c>
      <c r="AQ3304" t="str">
        <f>"034"</f>
        <v>034</v>
      </c>
      <c r="AR3304">
        <v>0</v>
      </c>
      <c r="AS3304">
        <v>0</v>
      </c>
      <c r="AT3304">
        <v>3.508</v>
      </c>
      <c r="BB3304" t="str">
        <f>"Y"</f>
        <v>Y</v>
      </c>
      <c r="BD3304" t="str">
        <f>"ערן שלו"</f>
        <v>ערן שלו</v>
      </c>
    </row>
    <row r="3305" spans="1:56" x14ac:dyDescent="0.3">
      <c r="A3305" s="1">
        <v>44140</v>
      </c>
      <c r="B3305" t="str">
        <f>"CR207000071"</f>
        <v>CR207000071</v>
      </c>
      <c r="C3305" t="str">
        <f>"PR19000753"</f>
        <v>PR19000753</v>
      </c>
      <c r="E3305" t="str">
        <f>"Y"</f>
        <v>Y</v>
      </c>
      <c r="F3305" t="str">
        <f>"חשבוניות זיכוי"</f>
        <v>חשבוניות זיכוי</v>
      </c>
      <c r="G3305" t="str">
        <f>"700065"</f>
        <v>700065</v>
      </c>
      <c r="H3305" t="str">
        <f>"אלתא מערכות בע""מ"</f>
        <v>אלתא מערכות בע"מ</v>
      </c>
      <c r="I3305" t="str">
        <f>"10"</f>
        <v>10</v>
      </c>
      <c r="J3305" t="str">
        <f>"9977"</f>
        <v>9977</v>
      </c>
      <c r="K3305" t="str">
        <f>"חיוב פיגורים בגין 5112240341 SI206000169"</f>
        <v>חיוב פיגורים בגין 5112240341 SI206000169</v>
      </c>
      <c r="L3305">
        <v>-1</v>
      </c>
      <c r="M3305" t="str">
        <f>"חל"</f>
        <v>חל</v>
      </c>
      <c r="N3305">
        <v>-1</v>
      </c>
      <c r="O3305" t="str">
        <f>"חל"</f>
        <v>חל</v>
      </c>
      <c r="P3305">
        <v>35</v>
      </c>
      <c r="Q3305" t="str">
        <f>"$"</f>
        <v>$</v>
      </c>
      <c r="R3305" t="str">
        <f>"ידני"</f>
        <v>ידני</v>
      </c>
      <c r="S3305">
        <v>0</v>
      </c>
      <c r="T3305">
        <v>-119.98</v>
      </c>
      <c r="U3305">
        <v>0</v>
      </c>
      <c r="V3305">
        <v>-119.98</v>
      </c>
      <c r="W3305" t="str">
        <f>"ש""ח"</f>
        <v>ש"ח</v>
      </c>
      <c r="X3305">
        <v>0</v>
      </c>
      <c r="Y3305">
        <v>0</v>
      </c>
      <c r="Z3305">
        <v>0</v>
      </c>
      <c r="AA3305" t="str">
        <f>"Y"</f>
        <v>Y</v>
      </c>
      <c r="AC3305">
        <v>0</v>
      </c>
      <c r="AM3305" t="str">
        <f>"10"</f>
        <v>10</v>
      </c>
      <c r="AN3305" t="str">
        <f>"500000"</f>
        <v>500000</v>
      </c>
      <c r="AO3305" t="str">
        <f>"הכנסות  מלקוחות"</f>
        <v>הכנסות  מלקוחות</v>
      </c>
      <c r="AQ3305" t="str">
        <f>"034"</f>
        <v>034</v>
      </c>
      <c r="AR3305">
        <v>0</v>
      </c>
      <c r="AS3305">
        <v>0</v>
      </c>
      <c r="AT3305">
        <v>3.4279999999999999</v>
      </c>
      <c r="BB3305" t="str">
        <f>"Y"</f>
        <v>Y</v>
      </c>
      <c r="BD3305" t="str">
        <f>"ערן שלו"</f>
        <v>ערן שלו</v>
      </c>
    </row>
    <row r="3306" spans="1:56" x14ac:dyDescent="0.3">
      <c r="A3306" s="1">
        <v>44140</v>
      </c>
      <c r="B3306" t="str">
        <f>"CR207000070"</f>
        <v>CR207000070</v>
      </c>
      <c r="E3306" t="str">
        <f>"Y"</f>
        <v>Y</v>
      </c>
      <c r="F3306" t="str">
        <f>"חשבוניות זיכוי"</f>
        <v>חשבוניות זיכוי</v>
      </c>
      <c r="G3306" t="str">
        <f>"700065"</f>
        <v>700065</v>
      </c>
      <c r="H3306" t="str">
        <f>"אלתא מערכות בע""מ"</f>
        <v>אלתא מערכות בע"מ</v>
      </c>
      <c r="I3306" t="str">
        <f>"10"</f>
        <v>10</v>
      </c>
      <c r="J3306" t="str">
        <f>"9977"</f>
        <v>9977</v>
      </c>
      <c r="K3306" t="str">
        <f>"חיוב פיגורים בגין 5112155944 SI196001465"</f>
        <v>חיוב פיגורים בגין 5112155944 SI196001465</v>
      </c>
      <c r="L3306">
        <v>-1</v>
      </c>
      <c r="M3306" t="str">
        <f>"חל"</f>
        <v>חל</v>
      </c>
      <c r="N3306">
        <v>-1</v>
      </c>
      <c r="O3306" t="str">
        <f>"חל"</f>
        <v>חל</v>
      </c>
      <c r="P3306">
        <v>551.30999999999995</v>
      </c>
      <c r="Q3306" t="str">
        <f>"$"</f>
        <v>$</v>
      </c>
      <c r="R3306" t="str">
        <f>"ידני"</f>
        <v>ידני</v>
      </c>
      <c r="S3306">
        <v>0</v>
      </c>
      <c r="T3306" s="2">
        <v>-1909.19</v>
      </c>
      <c r="U3306">
        <v>0</v>
      </c>
      <c r="V3306" s="2">
        <v>-1909.19</v>
      </c>
      <c r="W3306" t="str">
        <f>"ש""ח"</f>
        <v>ש"ח</v>
      </c>
      <c r="X3306">
        <v>0</v>
      </c>
      <c r="Y3306">
        <v>0</v>
      </c>
      <c r="Z3306">
        <v>0</v>
      </c>
      <c r="AA3306" t="str">
        <f>"Y"</f>
        <v>Y</v>
      </c>
      <c r="AC3306">
        <v>0</v>
      </c>
      <c r="AM3306" t="str">
        <f>"10"</f>
        <v>10</v>
      </c>
      <c r="AN3306" t="str">
        <f>"500000"</f>
        <v>500000</v>
      </c>
      <c r="AO3306" t="str">
        <f>"הכנסות  מלקוחות"</f>
        <v>הכנסות  מלקוחות</v>
      </c>
      <c r="AQ3306" t="str">
        <f>"034"</f>
        <v>034</v>
      </c>
      <c r="AR3306">
        <v>0</v>
      </c>
      <c r="AS3306">
        <v>0</v>
      </c>
      <c r="AT3306">
        <v>3.463006</v>
      </c>
      <c r="BB3306" t="str">
        <f>"Y"</f>
        <v>Y</v>
      </c>
      <c r="BD3306" t="str">
        <f>"ערן שלו"</f>
        <v>ערן שלו</v>
      </c>
    </row>
    <row r="3307" spans="1:56" x14ac:dyDescent="0.3">
      <c r="A3307" s="1">
        <v>44140</v>
      </c>
      <c r="B3307" t="str">
        <f>"CR207000068"</f>
        <v>CR207000068</v>
      </c>
      <c r="E3307" t="str">
        <f>"Y"</f>
        <v>Y</v>
      </c>
      <c r="F3307" t="str">
        <f>"חשבוניות זיכוי"</f>
        <v>חשבוניות זיכוי</v>
      </c>
      <c r="G3307" t="str">
        <f>"700065"</f>
        <v>700065</v>
      </c>
      <c r="H3307" t="str">
        <f>"אלתא מערכות בע""מ"</f>
        <v>אלתא מערכות בע"מ</v>
      </c>
      <c r="I3307" t="str">
        <f>"10"</f>
        <v>10</v>
      </c>
      <c r="J3307" t="str">
        <f>"9977"</f>
        <v>9977</v>
      </c>
      <c r="K3307" t="str">
        <f>"חיוב פיגורים בגין 5112203915 SI206000444"</f>
        <v>חיוב פיגורים בגין 5112203915 SI206000444</v>
      </c>
      <c r="L3307">
        <v>-1</v>
      </c>
      <c r="M3307" t="str">
        <f>"חל"</f>
        <v>חל</v>
      </c>
      <c r="N3307">
        <v>-1</v>
      </c>
      <c r="O3307" t="str">
        <f>"חל"</f>
        <v>חל</v>
      </c>
      <c r="P3307">
        <v>201.52</v>
      </c>
      <c r="Q3307" t="str">
        <f>"$"</f>
        <v>$</v>
      </c>
      <c r="R3307" t="str">
        <f>"ידני"</f>
        <v>ידני</v>
      </c>
      <c r="S3307">
        <v>0</v>
      </c>
      <c r="T3307">
        <v>-708.54</v>
      </c>
      <c r="U3307">
        <v>0</v>
      </c>
      <c r="V3307">
        <v>-708.54</v>
      </c>
      <c r="W3307" t="str">
        <f>"ש""ח"</f>
        <v>ש"ח</v>
      </c>
      <c r="X3307">
        <v>0</v>
      </c>
      <c r="Y3307">
        <v>0</v>
      </c>
      <c r="Z3307">
        <v>0</v>
      </c>
      <c r="AA3307" t="str">
        <f>"Y"</f>
        <v>Y</v>
      </c>
      <c r="AC3307">
        <v>0</v>
      </c>
      <c r="AM3307" t="str">
        <f>"10"</f>
        <v>10</v>
      </c>
      <c r="AN3307" t="str">
        <f>"500000"</f>
        <v>500000</v>
      </c>
      <c r="AO3307" t="str">
        <f>"הכנסות  מלקוחות"</f>
        <v>הכנסות  מלקוחות</v>
      </c>
      <c r="AQ3307" t="str">
        <f>"034"</f>
        <v>034</v>
      </c>
      <c r="AR3307">
        <v>0</v>
      </c>
      <c r="AS3307">
        <v>0</v>
      </c>
      <c r="AT3307">
        <v>3.516</v>
      </c>
      <c r="BB3307" t="str">
        <f>"Y"</f>
        <v>Y</v>
      </c>
      <c r="BD3307" t="str">
        <f>"ערן שלו"</f>
        <v>ערן שלו</v>
      </c>
    </row>
    <row r="3308" spans="1:56" x14ac:dyDescent="0.3">
      <c r="A3308" s="1">
        <v>44140</v>
      </c>
      <c r="B3308" t="str">
        <f>"CR207000068"</f>
        <v>CR207000068</v>
      </c>
      <c r="E3308" t="str">
        <f>"Y"</f>
        <v>Y</v>
      </c>
      <c r="F3308" t="str">
        <f>"חשבוניות זיכוי"</f>
        <v>חשבוניות זיכוי</v>
      </c>
      <c r="G3308" t="str">
        <f>"700065"</f>
        <v>700065</v>
      </c>
      <c r="H3308" t="str">
        <f>"אלתא מערכות בע""מ"</f>
        <v>אלתא מערכות בע"מ</v>
      </c>
      <c r="I3308" t="str">
        <f>"10"</f>
        <v>10</v>
      </c>
      <c r="J3308" t="str">
        <f>"9977"</f>
        <v>9977</v>
      </c>
      <c r="K3308" t="str">
        <f>"חיוב פיגורים בגין 5112203915 SI206000444"</f>
        <v>חיוב פיגורים בגין 5112203915 SI206000444</v>
      </c>
      <c r="L3308">
        <v>-1</v>
      </c>
      <c r="M3308" t="str">
        <f>"חל"</f>
        <v>חל</v>
      </c>
      <c r="N3308">
        <v>-1</v>
      </c>
      <c r="O3308" t="str">
        <f>"חל"</f>
        <v>חל</v>
      </c>
      <c r="P3308">
        <v>26.3</v>
      </c>
      <c r="Q3308" t="str">
        <f>"$"</f>
        <v>$</v>
      </c>
      <c r="R3308" t="str">
        <f>"ידני"</f>
        <v>ידני</v>
      </c>
      <c r="S3308">
        <v>0</v>
      </c>
      <c r="T3308">
        <v>-92.47</v>
      </c>
      <c r="U3308">
        <v>0</v>
      </c>
      <c r="V3308">
        <v>-92.47</v>
      </c>
      <c r="W3308" t="str">
        <f>"ש""ח"</f>
        <v>ש"ח</v>
      </c>
      <c r="X3308">
        <v>0</v>
      </c>
      <c r="Y3308">
        <v>0</v>
      </c>
      <c r="Z3308">
        <v>0</v>
      </c>
      <c r="AA3308" t="str">
        <f>"Y"</f>
        <v>Y</v>
      </c>
      <c r="AC3308">
        <v>0</v>
      </c>
      <c r="AM3308" t="str">
        <f>"10"</f>
        <v>10</v>
      </c>
      <c r="AN3308" t="str">
        <f>"500000"</f>
        <v>500000</v>
      </c>
      <c r="AO3308" t="str">
        <f>"הכנסות  מלקוחות"</f>
        <v>הכנסות  מלקוחות</v>
      </c>
      <c r="AQ3308" t="str">
        <f>"034"</f>
        <v>034</v>
      </c>
      <c r="AR3308">
        <v>0</v>
      </c>
      <c r="AS3308">
        <v>0</v>
      </c>
      <c r="AT3308">
        <v>3.516</v>
      </c>
      <c r="BB3308" t="str">
        <f>"Y"</f>
        <v>Y</v>
      </c>
      <c r="BD3308" t="str">
        <f>"ערן שלו"</f>
        <v>ערן שלו</v>
      </c>
    </row>
    <row r="3309" spans="1:56" x14ac:dyDescent="0.3">
      <c r="A3309" s="1">
        <v>44140</v>
      </c>
      <c r="B3309" t="str">
        <f>"CR207000068"</f>
        <v>CR207000068</v>
      </c>
      <c r="E3309" t="str">
        <f>"Y"</f>
        <v>Y</v>
      </c>
      <c r="F3309" t="str">
        <f>"חשבוניות זיכוי"</f>
        <v>חשבוניות זיכוי</v>
      </c>
      <c r="G3309" t="str">
        <f>"700065"</f>
        <v>700065</v>
      </c>
      <c r="H3309" t="str">
        <f>"אלתא מערכות בע""מ"</f>
        <v>אלתא מערכות בע"מ</v>
      </c>
      <c r="I3309" t="str">
        <f>"10"</f>
        <v>10</v>
      </c>
      <c r="J3309" t="str">
        <f>"9977"</f>
        <v>9977</v>
      </c>
      <c r="K3309" t="str">
        <f>"חיוב פיגורים בגין 5112203915 SI206000444"</f>
        <v>חיוב פיגורים בגין 5112203915 SI206000444</v>
      </c>
      <c r="L3309">
        <v>-1</v>
      </c>
      <c r="M3309" t="str">
        <f>"חל"</f>
        <v>חל</v>
      </c>
      <c r="N3309">
        <v>-1</v>
      </c>
      <c r="O3309" t="str">
        <f>"חל"</f>
        <v>חל</v>
      </c>
      <c r="P3309">
        <v>39.49</v>
      </c>
      <c r="Q3309" t="str">
        <f>"$"</f>
        <v>$</v>
      </c>
      <c r="R3309" t="str">
        <f>"ידני"</f>
        <v>ידני</v>
      </c>
      <c r="S3309">
        <v>0</v>
      </c>
      <c r="T3309">
        <v>-138.85</v>
      </c>
      <c r="U3309">
        <v>0</v>
      </c>
      <c r="V3309">
        <v>-138.85</v>
      </c>
      <c r="W3309" t="str">
        <f>"ש""ח"</f>
        <v>ש"ח</v>
      </c>
      <c r="X3309">
        <v>0</v>
      </c>
      <c r="Y3309">
        <v>0</v>
      </c>
      <c r="Z3309">
        <v>0</v>
      </c>
      <c r="AA3309" t="str">
        <f>"Y"</f>
        <v>Y</v>
      </c>
      <c r="AC3309">
        <v>0</v>
      </c>
      <c r="AM3309" t="str">
        <f>"10"</f>
        <v>10</v>
      </c>
      <c r="AN3309" t="str">
        <f>"500000"</f>
        <v>500000</v>
      </c>
      <c r="AO3309" t="str">
        <f>"הכנסות  מלקוחות"</f>
        <v>הכנסות  מלקוחות</v>
      </c>
      <c r="AQ3309" t="str">
        <f>"034"</f>
        <v>034</v>
      </c>
      <c r="AR3309">
        <v>0</v>
      </c>
      <c r="AS3309">
        <v>0</v>
      </c>
      <c r="AT3309">
        <v>3.516</v>
      </c>
      <c r="BB3309" t="str">
        <f>"Y"</f>
        <v>Y</v>
      </c>
      <c r="BD3309" t="str">
        <f>"ערן שלו"</f>
        <v>ערן שלו</v>
      </c>
    </row>
    <row r="3310" spans="1:56" x14ac:dyDescent="0.3">
      <c r="A3310" s="1">
        <v>44140</v>
      </c>
      <c r="B3310" t="str">
        <f>"CR207000068"</f>
        <v>CR207000068</v>
      </c>
      <c r="E3310" t="str">
        <f>"Y"</f>
        <v>Y</v>
      </c>
      <c r="F3310" t="str">
        <f>"חשבוניות זיכוי"</f>
        <v>חשבוניות זיכוי</v>
      </c>
      <c r="G3310" t="str">
        <f>"700065"</f>
        <v>700065</v>
      </c>
      <c r="H3310" t="str">
        <f>"אלתא מערכות בע""מ"</f>
        <v>אלתא מערכות בע"מ</v>
      </c>
      <c r="I3310" t="str">
        <f>"10"</f>
        <v>10</v>
      </c>
      <c r="J3310" t="str">
        <f>"9977"</f>
        <v>9977</v>
      </c>
      <c r="K3310" t="str">
        <f>"חיוב פיגורים בגין 5112203915 SI206000444"</f>
        <v>חיוב פיגורים בגין 5112203915 SI206000444</v>
      </c>
      <c r="L3310">
        <v>-1</v>
      </c>
      <c r="M3310" t="str">
        <f>"חל"</f>
        <v>חל</v>
      </c>
      <c r="N3310">
        <v>-1</v>
      </c>
      <c r="O3310" t="str">
        <f>"חל"</f>
        <v>חל</v>
      </c>
      <c r="P3310">
        <v>32.83</v>
      </c>
      <c r="Q3310" t="str">
        <f>"$"</f>
        <v>$</v>
      </c>
      <c r="R3310" t="str">
        <f>"ידני"</f>
        <v>ידני</v>
      </c>
      <c r="S3310">
        <v>0</v>
      </c>
      <c r="T3310">
        <v>-115.43</v>
      </c>
      <c r="U3310">
        <v>0</v>
      </c>
      <c r="V3310">
        <v>-115.43</v>
      </c>
      <c r="W3310" t="str">
        <f>"ש""ח"</f>
        <v>ש"ח</v>
      </c>
      <c r="X3310">
        <v>0</v>
      </c>
      <c r="Y3310">
        <v>0</v>
      </c>
      <c r="Z3310">
        <v>0</v>
      </c>
      <c r="AA3310" t="str">
        <f>"Y"</f>
        <v>Y</v>
      </c>
      <c r="AC3310">
        <v>0</v>
      </c>
      <c r="AM3310" t="str">
        <f>"10"</f>
        <v>10</v>
      </c>
      <c r="AN3310" t="str">
        <f>"500000"</f>
        <v>500000</v>
      </c>
      <c r="AO3310" t="str">
        <f>"הכנסות  מלקוחות"</f>
        <v>הכנסות  מלקוחות</v>
      </c>
      <c r="AQ3310" t="str">
        <f>"034"</f>
        <v>034</v>
      </c>
      <c r="AR3310">
        <v>0</v>
      </c>
      <c r="AS3310">
        <v>0</v>
      </c>
      <c r="AT3310">
        <v>3.516</v>
      </c>
      <c r="BB3310" t="str">
        <f>"Y"</f>
        <v>Y</v>
      </c>
      <c r="BD3310" t="str">
        <f>"ערן שלו"</f>
        <v>ערן שלו</v>
      </c>
    </row>
    <row r="3311" spans="1:56" x14ac:dyDescent="0.3">
      <c r="A3311" s="1">
        <v>44140</v>
      </c>
      <c r="B3311" t="str">
        <f>"CR207000068"</f>
        <v>CR207000068</v>
      </c>
      <c r="E3311" t="str">
        <f>"Y"</f>
        <v>Y</v>
      </c>
      <c r="F3311" t="str">
        <f>"חשבוניות זיכוי"</f>
        <v>חשבוניות זיכוי</v>
      </c>
      <c r="G3311" t="str">
        <f>"700065"</f>
        <v>700065</v>
      </c>
      <c r="H3311" t="str">
        <f>"אלתא מערכות בע""מ"</f>
        <v>אלתא מערכות בע"מ</v>
      </c>
      <c r="I3311" t="str">
        <f>"10"</f>
        <v>10</v>
      </c>
      <c r="J3311" t="str">
        <f>"9977"</f>
        <v>9977</v>
      </c>
      <c r="K3311" t="str">
        <f>"חיוב פיגורים בגין 5112203915 SI206000444"</f>
        <v>חיוב פיגורים בגין 5112203915 SI206000444</v>
      </c>
      <c r="L3311">
        <v>-1</v>
      </c>
      <c r="M3311" t="str">
        <f>"חל"</f>
        <v>חל</v>
      </c>
      <c r="N3311">
        <v>-1</v>
      </c>
      <c r="O3311" t="str">
        <f>"חל"</f>
        <v>חל</v>
      </c>
      <c r="P3311">
        <v>8.07</v>
      </c>
      <c r="Q3311" t="str">
        <f>"$"</f>
        <v>$</v>
      </c>
      <c r="R3311" t="str">
        <f>"ידני"</f>
        <v>ידני</v>
      </c>
      <c r="S3311">
        <v>0</v>
      </c>
      <c r="T3311">
        <v>-28.37</v>
      </c>
      <c r="U3311">
        <v>0</v>
      </c>
      <c r="V3311">
        <v>-28.37</v>
      </c>
      <c r="W3311" t="str">
        <f>"ש""ח"</f>
        <v>ש"ח</v>
      </c>
      <c r="X3311">
        <v>0</v>
      </c>
      <c r="Y3311">
        <v>0</v>
      </c>
      <c r="Z3311">
        <v>0</v>
      </c>
      <c r="AA3311" t="str">
        <f>"Y"</f>
        <v>Y</v>
      </c>
      <c r="AC3311">
        <v>0</v>
      </c>
      <c r="AM3311" t="str">
        <f>"10"</f>
        <v>10</v>
      </c>
      <c r="AN3311" t="str">
        <f>"500000"</f>
        <v>500000</v>
      </c>
      <c r="AO3311" t="str">
        <f>"הכנסות  מלקוחות"</f>
        <v>הכנסות  מלקוחות</v>
      </c>
      <c r="AQ3311" t="str">
        <f>"034"</f>
        <v>034</v>
      </c>
      <c r="AR3311">
        <v>0</v>
      </c>
      <c r="AS3311">
        <v>0</v>
      </c>
      <c r="AT3311">
        <v>3.516</v>
      </c>
      <c r="BB3311" t="str">
        <f>"Y"</f>
        <v>Y</v>
      </c>
      <c r="BD3311" t="str">
        <f>"ערן שלו"</f>
        <v>ערן שלו</v>
      </c>
    </row>
    <row r="3312" spans="1:56" x14ac:dyDescent="0.3">
      <c r="A3312" s="1">
        <v>44140</v>
      </c>
      <c r="B3312" t="str">
        <f>"CR207000059"</f>
        <v>CR207000059</v>
      </c>
      <c r="C3312" t="str">
        <f>"PR18000453"</f>
        <v>PR18000453</v>
      </c>
      <c r="E3312" t="str">
        <f>"Y"</f>
        <v>Y</v>
      </c>
      <c r="F3312" t="str">
        <f>"חשבוניות זיכוי"</f>
        <v>חשבוניות זיכוי</v>
      </c>
      <c r="G3312" t="str">
        <f>"700065"</f>
        <v>700065</v>
      </c>
      <c r="H3312" t="str">
        <f>"אלתא מערכות בע""מ"</f>
        <v>אלתא מערכות בע"מ</v>
      </c>
      <c r="I3312" t="str">
        <f>"10"</f>
        <v>10</v>
      </c>
      <c r="J3312" t="str">
        <f>"9977"</f>
        <v>9977</v>
      </c>
      <c r="K3312" t="str">
        <f>"חיוב פיגורים בגין 5111704846 SI1906000288"</f>
        <v>חיוב פיגורים בגין 5111704846 SI1906000288</v>
      </c>
      <c r="L3312">
        <v>-1</v>
      </c>
      <c r="M3312" t="str">
        <f>"חל"</f>
        <v>חל</v>
      </c>
      <c r="N3312">
        <v>-1</v>
      </c>
      <c r="O3312" t="str">
        <f>"חל"</f>
        <v>חל</v>
      </c>
      <c r="P3312">
        <v>73.11</v>
      </c>
      <c r="Q3312" t="str">
        <f>"$"</f>
        <v>$</v>
      </c>
      <c r="R3312" t="str">
        <f>"ידני"</f>
        <v>ידני</v>
      </c>
      <c r="S3312">
        <v>0</v>
      </c>
      <c r="T3312">
        <v>-264.73</v>
      </c>
      <c r="U3312">
        <v>0</v>
      </c>
      <c r="V3312">
        <v>-264.73</v>
      </c>
      <c r="W3312" t="str">
        <f>"ש""ח"</f>
        <v>ש"ח</v>
      </c>
      <c r="X3312">
        <v>0</v>
      </c>
      <c r="Y3312">
        <v>0</v>
      </c>
      <c r="Z3312">
        <v>0</v>
      </c>
      <c r="AA3312" t="str">
        <f>"Y"</f>
        <v>Y</v>
      </c>
      <c r="AC3312">
        <v>0</v>
      </c>
      <c r="AM3312" t="str">
        <f>"10"</f>
        <v>10</v>
      </c>
      <c r="AN3312" t="str">
        <f>"500000"</f>
        <v>500000</v>
      </c>
      <c r="AO3312" t="str">
        <f>"הכנסות  מלקוחות"</f>
        <v>הכנסות  מלקוחות</v>
      </c>
      <c r="AQ3312" t="str">
        <f>"017"</f>
        <v>017</v>
      </c>
      <c r="AR3312">
        <v>0</v>
      </c>
      <c r="AS3312">
        <v>0</v>
      </c>
      <c r="AT3312">
        <v>3.6209820000000001</v>
      </c>
      <c r="BB3312" t="str">
        <f>"Y"</f>
        <v>Y</v>
      </c>
      <c r="BD3312" t="str">
        <f>"שחר דאהמן"</f>
        <v>שחר דאהמן</v>
      </c>
    </row>
    <row r="3313" spans="1:56" x14ac:dyDescent="0.3">
      <c r="A3313" s="1">
        <v>44140</v>
      </c>
      <c r="B3313" t="str">
        <f>"CR207000058"</f>
        <v>CR207000058</v>
      </c>
      <c r="E3313" t="str">
        <f>"Y"</f>
        <v>Y</v>
      </c>
      <c r="F3313" t="str">
        <f>"חשבוניות זיכוי"</f>
        <v>חשבוניות זיכוי</v>
      </c>
      <c r="G3313" t="str">
        <f>"700065"</f>
        <v>700065</v>
      </c>
      <c r="H3313" t="str">
        <f>"אלתא מערכות בע""מ"</f>
        <v>אלתא מערכות בע"מ</v>
      </c>
      <c r="I3313" t="str">
        <f>"10"</f>
        <v>10</v>
      </c>
      <c r="J3313" t="str">
        <f>"9977"</f>
        <v>9977</v>
      </c>
      <c r="K3313" t="str">
        <f>"חיוב פיגורים בגין 5112155944 SI196001465"</f>
        <v>חיוב פיגורים בגין 5112155944 SI196001465</v>
      </c>
      <c r="L3313">
        <v>1</v>
      </c>
      <c r="M3313" t="str">
        <f>"חל"</f>
        <v>חל</v>
      </c>
      <c r="N3313">
        <v>1</v>
      </c>
      <c r="O3313" t="str">
        <f>"חל"</f>
        <v>חל</v>
      </c>
      <c r="P3313">
        <v>551.30999999999995</v>
      </c>
      <c r="Q3313" t="str">
        <f>"$"</f>
        <v>$</v>
      </c>
      <c r="R3313" t="str">
        <f>"ידני"</f>
        <v>ידני</v>
      </c>
      <c r="S3313">
        <v>0</v>
      </c>
      <c r="T3313" s="2">
        <v>1909.19</v>
      </c>
      <c r="U3313">
        <v>0</v>
      </c>
      <c r="V3313" s="2">
        <v>1909.19</v>
      </c>
      <c r="W3313" t="str">
        <f>"ש""ח"</f>
        <v>ש"ח</v>
      </c>
      <c r="X3313">
        <v>0</v>
      </c>
      <c r="Y3313">
        <v>0</v>
      </c>
      <c r="Z3313">
        <v>0</v>
      </c>
      <c r="AA3313" t="str">
        <f>"Y"</f>
        <v>Y</v>
      </c>
      <c r="AC3313">
        <v>0</v>
      </c>
      <c r="AM3313" t="str">
        <f>"10"</f>
        <v>10</v>
      </c>
      <c r="AN3313" t="str">
        <f>"500000"</f>
        <v>500000</v>
      </c>
      <c r="AO3313" t="str">
        <f>"הכנסות  מלקוחות"</f>
        <v>הכנסות  מלקוחות</v>
      </c>
      <c r="AQ3313" t="str">
        <f>"034"</f>
        <v>034</v>
      </c>
      <c r="AR3313">
        <v>0</v>
      </c>
      <c r="AS3313">
        <v>0</v>
      </c>
      <c r="AT3313">
        <v>3.463006</v>
      </c>
      <c r="BB3313" t="str">
        <f>"Y"</f>
        <v>Y</v>
      </c>
      <c r="BD3313" t="str">
        <f>"ערן שלו"</f>
        <v>ערן שלו</v>
      </c>
    </row>
    <row r="3314" spans="1:56" x14ac:dyDescent="0.3">
      <c r="A3314" s="1">
        <v>44140</v>
      </c>
      <c r="B3314" t="str">
        <f>"CR207000057"</f>
        <v>CR207000057</v>
      </c>
      <c r="C3314" t="str">
        <f>"PR19000753"</f>
        <v>PR19000753</v>
      </c>
      <c r="E3314" t="str">
        <f>"Y"</f>
        <v>Y</v>
      </c>
      <c r="F3314" t="str">
        <f>"חשבוניות זיכוי"</f>
        <v>חשבוניות זיכוי</v>
      </c>
      <c r="G3314" t="str">
        <f>"700065"</f>
        <v>700065</v>
      </c>
      <c r="H3314" t="str">
        <f>"אלתא מערכות בע""מ"</f>
        <v>אלתא מערכות בע"מ</v>
      </c>
      <c r="I3314" t="str">
        <f>"10"</f>
        <v>10</v>
      </c>
      <c r="J3314" t="str">
        <f>"9977"</f>
        <v>9977</v>
      </c>
      <c r="K3314" t="str">
        <f>"חיוב פיגורים בגין 5112240341 SI206000169"</f>
        <v>חיוב פיגורים בגין 5112240341 SI206000169</v>
      </c>
      <c r="L3314">
        <v>1</v>
      </c>
      <c r="M3314" t="str">
        <f>"חל"</f>
        <v>חל</v>
      </c>
      <c r="N3314">
        <v>1</v>
      </c>
      <c r="O3314" t="str">
        <f>"חל"</f>
        <v>חל</v>
      </c>
      <c r="P3314">
        <v>35</v>
      </c>
      <c r="Q3314" t="str">
        <f>"$"</f>
        <v>$</v>
      </c>
      <c r="R3314" t="str">
        <f>"ידני"</f>
        <v>ידני</v>
      </c>
      <c r="S3314">
        <v>0</v>
      </c>
      <c r="T3314">
        <v>119.98</v>
      </c>
      <c r="U3314">
        <v>0</v>
      </c>
      <c r="V3314">
        <v>119.98</v>
      </c>
      <c r="W3314" t="str">
        <f>"ש""ח"</f>
        <v>ש"ח</v>
      </c>
      <c r="X3314">
        <v>0</v>
      </c>
      <c r="Y3314">
        <v>0</v>
      </c>
      <c r="Z3314">
        <v>0</v>
      </c>
      <c r="AA3314" t="str">
        <f>"Y"</f>
        <v>Y</v>
      </c>
      <c r="AC3314">
        <v>0</v>
      </c>
      <c r="AM3314" t="str">
        <f>"10"</f>
        <v>10</v>
      </c>
      <c r="AN3314" t="str">
        <f>"500000"</f>
        <v>500000</v>
      </c>
      <c r="AO3314" t="str">
        <f>"הכנסות  מלקוחות"</f>
        <v>הכנסות  מלקוחות</v>
      </c>
      <c r="AQ3314" t="str">
        <f>"034"</f>
        <v>034</v>
      </c>
      <c r="AR3314">
        <v>0</v>
      </c>
      <c r="AS3314">
        <v>0</v>
      </c>
      <c r="AT3314">
        <v>3.4279999999999999</v>
      </c>
      <c r="BB3314" t="str">
        <f>"Y"</f>
        <v>Y</v>
      </c>
      <c r="BD3314" t="str">
        <f>"ערן שלו"</f>
        <v>ערן שלו</v>
      </c>
    </row>
    <row r="3315" spans="1:56" x14ac:dyDescent="0.3">
      <c r="A3315" s="1">
        <v>44140</v>
      </c>
      <c r="B3315" t="str">
        <f>"CR207000056"</f>
        <v>CR207000056</v>
      </c>
      <c r="E3315" t="str">
        <f>"Y"</f>
        <v>Y</v>
      </c>
      <c r="F3315" t="str">
        <f>"חשבוניות זיכוי"</f>
        <v>חשבוניות זיכוי</v>
      </c>
      <c r="G3315" t="str">
        <f>"700065"</f>
        <v>700065</v>
      </c>
      <c r="H3315" t="str">
        <f>"אלתא מערכות בע""מ"</f>
        <v>אלתא מערכות בע"מ</v>
      </c>
      <c r="I3315" t="str">
        <f>"05"</f>
        <v>05</v>
      </c>
      <c r="J3315" t="str">
        <f>"9977"</f>
        <v>9977</v>
      </c>
      <c r="K3315" t="str">
        <f>"חיוב פיגורים בגין 5112263839 SI206000232"</f>
        <v>חיוב פיגורים בגין 5112263839 SI206000232</v>
      </c>
      <c r="L3315">
        <v>1</v>
      </c>
      <c r="M3315" t="str">
        <f>"חל"</f>
        <v>חל</v>
      </c>
      <c r="N3315">
        <v>1</v>
      </c>
      <c r="O3315" t="str">
        <f>"חל"</f>
        <v>חל</v>
      </c>
      <c r="P3315">
        <v>35</v>
      </c>
      <c r="Q3315" t="str">
        <f>"$"</f>
        <v>$</v>
      </c>
      <c r="R3315" t="str">
        <f>"ידני"</f>
        <v>ידני</v>
      </c>
      <c r="S3315">
        <v>0</v>
      </c>
      <c r="T3315">
        <v>122.78</v>
      </c>
      <c r="U3315">
        <v>0</v>
      </c>
      <c r="V3315">
        <v>122.78</v>
      </c>
      <c r="W3315" t="str">
        <f>"ש""ח"</f>
        <v>ש"ח</v>
      </c>
      <c r="X3315">
        <v>0</v>
      </c>
      <c r="Y3315">
        <v>0</v>
      </c>
      <c r="Z3315">
        <v>0</v>
      </c>
      <c r="AA3315" t="str">
        <f>"Y"</f>
        <v>Y</v>
      </c>
      <c r="AC3315">
        <v>0</v>
      </c>
      <c r="AM3315" t="str">
        <f>"10"</f>
        <v>10</v>
      </c>
      <c r="AN3315" t="str">
        <f>"500000"</f>
        <v>500000</v>
      </c>
      <c r="AO3315" t="str">
        <f>"הכנסות  מלקוחות"</f>
        <v>הכנסות  מלקוחות</v>
      </c>
      <c r="AQ3315" t="str">
        <f>"034"</f>
        <v>034</v>
      </c>
      <c r="AR3315">
        <v>0</v>
      </c>
      <c r="AS3315">
        <v>0</v>
      </c>
      <c r="AT3315">
        <v>3.508</v>
      </c>
      <c r="BB3315" t="str">
        <f>"Y"</f>
        <v>Y</v>
      </c>
      <c r="BD3315" t="str">
        <f>"ערן שלו"</f>
        <v>ערן שלו</v>
      </c>
    </row>
    <row r="3316" spans="1:56" x14ac:dyDescent="0.3">
      <c r="A3316" s="1">
        <v>44140</v>
      </c>
      <c r="B3316" t="str">
        <f>"CR207000055"</f>
        <v>CR207000055</v>
      </c>
      <c r="E3316" t="str">
        <f>"Y"</f>
        <v>Y</v>
      </c>
      <c r="F3316" t="str">
        <f>"חשבוניות זיכוי"</f>
        <v>חשבוניות זיכוי</v>
      </c>
      <c r="G3316" t="str">
        <f>"700065"</f>
        <v>700065</v>
      </c>
      <c r="H3316" t="str">
        <f>"אלתא מערכות בע""מ"</f>
        <v>אלתא מערכות בע"מ</v>
      </c>
      <c r="I3316" t="str">
        <f>"10"</f>
        <v>10</v>
      </c>
      <c r="J3316" t="str">
        <f>"9977"</f>
        <v>9977</v>
      </c>
      <c r="K3316" t="str">
        <f>"חיוב פיגורים בגין 5112158155 SI206000245"</f>
        <v>חיוב פיגורים בגין 5112158155 SI206000245</v>
      </c>
      <c r="L3316">
        <v>1</v>
      </c>
      <c r="M3316" t="str">
        <f>"חל"</f>
        <v>חל</v>
      </c>
      <c r="N3316">
        <v>1</v>
      </c>
      <c r="O3316" t="str">
        <f>"חל"</f>
        <v>חל</v>
      </c>
      <c r="P3316">
        <v>94.85</v>
      </c>
      <c r="Q3316" t="str">
        <f>"$"</f>
        <v>$</v>
      </c>
      <c r="R3316" t="str">
        <f>"ידני"</f>
        <v>ידני</v>
      </c>
      <c r="S3316">
        <v>0</v>
      </c>
      <c r="T3316">
        <v>353.6</v>
      </c>
      <c r="U3316">
        <v>0</v>
      </c>
      <c r="V3316">
        <v>353.6</v>
      </c>
      <c r="W3316" t="str">
        <f>"ש""ח"</f>
        <v>ש"ח</v>
      </c>
      <c r="X3316">
        <v>0</v>
      </c>
      <c r="Y3316">
        <v>0</v>
      </c>
      <c r="Z3316">
        <v>0</v>
      </c>
      <c r="AA3316" t="str">
        <f>"Y"</f>
        <v>Y</v>
      </c>
      <c r="AC3316">
        <v>0</v>
      </c>
      <c r="AM3316" t="str">
        <f>"10"</f>
        <v>10</v>
      </c>
      <c r="AN3316" t="str">
        <f>"500000"</f>
        <v>500000</v>
      </c>
      <c r="AO3316" t="str">
        <f>"הכנסות  מלקוחות"</f>
        <v>הכנסות  מלקוחות</v>
      </c>
      <c r="AQ3316" t="str">
        <f>"034"</f>
        <v>034</v>
      </c>
      <c r="AR3316">
        <v>0</v>
      </c>
      <c r="AS3316">
        <v>0</v>
      </c>
      <c r="AT3316">
        <v>3.7279909999999998</v>
      </c>
      <c r="BB3316" t="str">
        <f>"Y"</f>
        <v>Y</v>
      </c>
      <c r="BD3316" t="str">
        <f>"ערן שלו"</f>
        <v>ערן שלו</v>
      </c>
    </row>
    <row r="3317" spans="1:56" x14ac:dyDescent="0.3">
      <c r="A3317" s="1">
        <v>44140</v>
      </c>
      <c r="B3317" t="str">
        <f>"CR207000054"</f>
        <v>CR207000054</v>
      </c>
      <c r="C3317" t="str">
        <f>"PR18000453"</f>
        <v>PR18000453</v>
      </c>
      <c r="E3317" t="str">
        <f>"Y"</f>
        <v>Y</v>
      </c>
      <c r="F3317" t="str">
        <f>"חשבוניות זיכוי"</f>
        <v>חשבוניות זיכוי</v>
      </c>
      <c r="G3317" t="str">
        <f>"700065"</f>
        <v>700065</v>
      </c>
      <c r="H3317" t="str">
        <f>"אלתא מערכות בע""מ"</f>
        <v>אלתא מערכות בע"מ</v>
      </c>
      <c r="I3317" t="str">
        <f>"10"</f>
        <v>10</v>
      </c>
      <c r="J3317" t="str">
        <f>"9977"</f>
        <v>9977</v>
      </c>
      <c r="K3317" t="str">
        <f>"חיוב פיגורים בגין 5111704846 SI1906000288"</f>
        <v>חיוב פיגורים בגין 5111704846 SI1906000288</v>
      </c>
      <c r="L3317">
        <v>1</v>
      </c>
      <c r="M3317" t="str">
        <f>"חל"</f>
        <v>חל</v>
      </c>
      <c r="N3317">
        <v>1</v>
      </c>
      <c r="O3317" t="str">
        <f>"חל"</f>
        <v>חל</v>
      </c>
      <c r="P3317">
        <v>73.11</v>
      </c>
      <c r="Q3317" t="str">
        <f>"$"</f>
        <v>$</v>
      </c>
      <c r="R3317" t="str">
        <f>"ידני"</f>
        <v>ידני</v>
      </c>
      <c r="S3317">
        <v>0</v>
      </c>
      <c r="T3317">
        <v>264.73</v>
      </c>
      <c r="U3317">
        <v>0</v>
      </c>
      <c r="V3317">
        <v>264.73</v>
      </c>
      <c r="W3317" t="str">
        <f>"ש""ח"</f>
        <v>ש"ח</v>
      </c>
      <c r="X3317">
        <v>0</v>
      </c>
      <c r="Y3317">
        <v>0</v>
      </c>
      <c r="Z3317">
        <v>0</v>
      </c>
      <c r="AA3317" t="str">
        <f>"Y"</f>
        <v>Y</v>
      </c>
      <c r="AC3317">
        <v>0</v>
      </c>
      <c r="AM3317" t="str">
        <f>"10"</f>
        <v>10</v>
      </c>
      <c r="AN3317" t="str">
        <f>"500000"</f>
        <v>500000</v>
      </c>
      <c r="AO3317" t="str">
        <f>"הכנסות  מלקוחות"</f>
        <v>הכנסות  מלקוחות</v>
      </c>
      <c r="AQ3317" t="str">
        <f>"017"</f>
        <v>017</v>
      </c>
      <c r="AR3317">
        <v>0</v>
      </c>
      <c r="AS3317">
        <v>0</v>
      </c>
      <c r="AT3317">
        <v>3.6209820000000001</v>
      </c>
      <c r="BB3317" t="str">
        <f>"Y"</f>
        <v>Y</v>
      </c>
      <c r="BD3317" t="str">
        <f>"שחר דאהמן"</f>
        <v>שחר דאהמן</v>
      </c>
    </row>
    <row r="3318" spans="1:56" x14ac:dyDescent="0.3">
      <c r="A3318" s="1">
        <v>44140</v>
      </c>
      <c r="B3318" t="str">
        <f>"CR207000053"</f>
        <v>CR207000053</v>
      </c>
      <c r="C3318" t="str">
        <f>"PR18000543"</f>
        <v>PR18000543</v>
      </c>
      <c r="E3318" t="str">
        <f>"Y"</f>
        <v>Y</v>
      </c>
      <c r="F3318" t="str">
        <f>"חשבוניות זיכוי"</f>
        <v>חשבוניות זיכוי</v>
      </c>
      <c r="G3318" t="str">
        <f>"700065"</f>
        <v>700065</v>
      </c>
      <c r="H3318" t="str">
        <f>"אלתא מערכות בע""מ"</f>
        <v>אלתא מערכות בע"מ</v>
      </c>
      <c r="I3318" t="str">
        <f>"10"</f>
        <v>10</v>
      </c>
      <c r="J3318" t="str">
        <f>"9977"</f>
        <v>9977</v>
      </c>
      <c r="K3318" t="str">
        <f>"חיוב פיגורים בגין 5112279195 SI206000290"</f>
        <v>חיוב פיגורים בגין 5112279195 SI206000290</v>
      </c>
      <c r="L3318">
        <v>1</v>
      </c>
      <c r="M3318" t="str">
        <f>"חל"</f>
        <v>חל</v>
      </c>
      <c r="N3318">
        <v>1</v>
      </c>
      <c r="O3318" t="str">
        <f>"חל"</f>
        <v>חל</v>
      </c>
      <c r="P3318">
        <v>94.88</v>
      </c>
      <c r="Q3318" t="str">
        <f>"$"</f>
        <v>$</v>
      </c>
      <c r="R3318" t="str">
        <f>"ידני"</f>
        <v>ידני</v>
      </c>
      <c r="S3318">
        <v>0</v>
      </c>
      <c r="T3318">
        <v>341.38</v>
      </c>
      <c r="U3318">
        <v>0</v>
      </c>
      <c r="V3318">
        <v>341.38</v>
      </c>
      <c r="W3318" t="str">
        <f>"ש""ח"</f>
        <v>ש"ח</v>
      </c>
      <c r="X3318">
        <v>0</v>
      </c>
      <c r="Y3318">
        <v>0</v>
      </c>
      <c r="Z3318">
        <v>0</v>
      </c>
      <c r="AA3318" t="str">
        <f>"Y"</f>
        <v>Y</v>
      </c>
      <c r="AC3318">
        <v>0</v>
      </c>
      <c r="AM3318" t="str">
        <f>"10"</f>
        <v>10</v>
      </c>
      <c r="AN3318" t="str">
        <f>"500000"</f>
        <v>500000</v>
      </c>
      <c r="AO3318" t="str">
        <f>"הכנסות  מלקוחות"</f>
        <v>הכנסות  מלקוחות</v>
      </c>
      <c r="AQ3318" t="str">
        <f>"034"</f>
        <v>034</v>
      </c>
      <c r="AR3318">
        <v>0</v>
      </c>
      <c r="AS3318">
        <v>0</v>
      </c>
      <c r="AT3318">
        <v>3.5980180000000002</v>
      </c>
      <c r="BB3318" t="str">
        <f>"Y"</f>
        <v>Y</v>
      </c>
      <c r="BD3318" t="str">
        <f>"ערן שלו"</f>
        <v>ערן שלו</v>
      </c>
    </row>
    <row r="3319" spans="1:56" x14ac:dyDescent="0.3">
      <c r="A3319" s="1">
        <v>44140</v>
      </c>
      <c r="B3319" t="str">
        <f>"CR207000052"</f>
        <v>CR207000052</v>
      </c>
      <c r="E3319" t="str">
        <f>"Y"</f>
        <v>Y</v>
      </c>
      <c r="F3319" t="str">
        <f>"חשבוניות זיכוי"</f>
        <v>חשבוניות זיכוי</v>
      </c>
      <c r="G3319" t="str">
        <f>"700065"</f>
        <v>700065</v>
      </c>
      <c r="H3319" t="str">
        <f>"אלתא מערכות בע""מ"</f>
        <v>אלתא מערכות בע"מ</v>
      </c>
      <c r="I3319" t="str">
        <f>"10"</f>
        <v>10</v>
      </c>
      <c r="J3319" t="str">
        <f>"9977"</f>
        <v>9977</v>
      </c>
      <c r="K3319" t="str">
        <f>"חיוב פיגורים בגין 5112203923 SI206000299"</f>
        <v>חיוב פיגורים בגין 5112203923 SI206000299</v>
      </c>
      <c r="L3319">
        <v>1</v>
      </c>
      <c r="M3319" t="str">
        <f>"חל"</f>
        <v>חל</v>
      </c>
      <c r="N3319">
        <v>1</v>
      </c>
      <c r="O3319" t="str">
        <f>"חל"</f>
        <v>חל</v>
      </c>
      <c r="P3319">
        <v>62.87</v>
      </c>
      <c r="Q3319" t="str">
        <f>"$"</f>
        <v>$</v>
      </c>
      <c r="R3319" t="str">
        <f>"ידני"</f>
        <v>ידני</v>
      </c>
      <c r="S3319">
        <v>0</v>
      </c>
      <c r="T3319">
        <v>225.45</v>
      </c>
      <c r="U3319">
        <v>0</v>
      </c>
      <c r="V3319">
        <v>225.45</v>
      </c>
      <c r="W3319" t="str">
        <f>"ש""ח"</f>
        <v>ש"ח</v>
      </c>
      <c r="X3319">
        <v>0</v>
      </c>
      <c r="Y3319">
        <v>0</v>
      </c>
      <c r="Z3319">
        <v>0</v>
      </c>
      <c r="AA3319" t="str">
        <f>"Y"</f>
        <v>Y</v>
      </c>
      <c r="AC3319">
        <v>0</v>
      </c>
      <c r="AM3319" t="str">
        <f>"10"</f>
        <v>10</v>
      </c>
      <c r="AN3319" t="str">
        <f>"500000"</f>
        <v>500000</v>
      </c>
      <c r="AO3319" t="str">
        <f>"הכנסות  מלקוחות"</f>
        <v>הכנסות  מלקוחות</v>
      </c>
      <c r="AQ3319" t="str">
        <f>"034"</f>
        <v>034</v>
      </c>
      <c r="AR3319">
        <v>0</v>
      </c>
      <c r="AS3319">
        <v>0</v>
      </c>
      <c r="AT3319">
        <v>3.5859709999999998</v>
      </c>
      <c r="BB3319" t="str">
        <f>"Y"</f>
        <v>Y</v>
      </c>
      <c r="BD3319" t="str">
        <f>"ערן שלו"</f>
        <v>ערן שלו</v>
      </c>
    </row>
    <row r="3320" spans="1:56" x14ac:dyDescent="0.3">
      <c r="A3320" s="1">
        <v>44140</v>
      </c>
      <c r="B3320" t="str">
        <f>"CR207000051"</f>
        <v>CR207000051</v>
      </c>
      <c r="E3320" t="str">
        <f>"Y"</f>
        <v>Y</v>
      </c>
      <c r="F3320" t="str">
        <f>"חשבוניות זיכוי"</f>
        <v>חשבוניות זיכוי</v>
      </c>
      <c r="G3320" t="str">
        <f>"700065"</f>
        <v>700065</v>
      </c>
      <c r="H3320" t="str">
        <f>"אלתא מערכות בע""מ"</f>
        <v>אלתא מערכות בע"מ</v>
      </c>
      <c r="I3320" t="str">
        <f>"10"</f>
        <v>10</v>
      </c>
      <c r="J3320" t="str">
        <f>"9977"</f>
        <v>9977</v>
      </c>
      <c r="K3320" t="str">
        <f>"חיוב פיגורים בגין 5112172429 SI206000353"</f>
        <v>חיוב פיגורים בגין 5112172429 SI206000353</v>
      </c>
      <c r="L3320">
        <v>1</v>
      </c>
      <c r="M3320" t="str">
        <f>"חל"</f>
        <v>חל</v>
      </c>
      <c r="N3320">
        <v>1</v>
      </c>
      <c r="O3320" t="str">
        <f>"חל"</f>
        <v>חל</v>
      </c>
      <c r="P3320">
        <v>597.24</v>
      </c>
      <c r="Q3320" t="str">
        <f>"$"</f>
        <v>$</v>
      </c>
      <c r="R3320" t="str">
        <f>"ידני"</f>
        <v>ידני</v>
      </c>
      <c r="S3320">
        <v>0</v>
      </c>
      <c r="T3320" s="2">
        <v>2137.52</v>
      </c>
      <c r="U3320">
        <v>0</v>
      </c>
      <c r="V3320" s="2">
        <v>2137.52</v>
      </c>
      <c r="W3320" t="str">
        <f>"ש""ח"</f>
        <v>ש"ח</v>
      </c>
      <c r="X3320">
        <v>0</v>
      </c>
      <c r="Y3320">
        <v>0</v>
      </c>
      <c r="Z3320">
        <v>0</v>
      </c>
      <c r="AA3320" t="str">
        <f>"Y"</f>
        <v>Y</v>
      </c>
      <c r="AC3320">
        <v>0</v>
      </c>
      <c r="AM3320" t="str">
        <f>"10"</f>
        <v>10</v>
      </c>
      <c r="AN3320" t="str">
        <f>"500000"</f>
        <v>500000</v>
      </c>
      <c r="AO3320" t="str">
        <f>"הכנסות  מלקוחות"</f>
        <v>הכנסות  מלקוחות</v>
      </c>
      <c r="AQ3320" t="str">
        <f>"034"</f>
        <v>034</v>
      </c>
      <c r="AR3320">
        <v>0</v>
      </c>
      <c r="AS3320">
        <v>0</v>
      </c>
      <c r="AT3320">
        <v>3.5789960000000001</v>
      </c>
      <c r="BB3320" t="str">
        <f>"Y"</f>
        <v>Y</v>
      </c>
      <c r="BD3320" t="str">
        <f>"ערן שלו"</f>
        <v>ערן שלו</v>
      </c>
    </row>
    <row r="3321" spans="1:56" x14ac:dyDescent="0.3">
      <c r="A3321" s="1">
        <v>44140</v>
      </c>
      <c r="B3321" t="str">
        <f>"CR207000050"</f>
        <v>CR207000050</v>
      </c>
      <c r="C3321" t="str">
        <f>"PR18000543"</f>
        <v>PR18000543</v>
      </c>
      <c r="E3321" t="str">
        <f>"Y"</f>
        <v>Y</v>
      </c>
      <c r="F3321" t="str">
        <f>"חשבוניות זיכוי"</f>
        <v>חשבוניות זיכוי</v>
      </c>
      <c r="G3321" t="str">
        <f>"700065"</f>
        <v>700065</v>
      </c>
      <c r="H3321" t="str">
        <f>"אלתא מערכות בע""מ"</f>
        <v>אלתא מערכות בע"מ</v>
      </c>
      <c r="I3321" t="str">
        <f>"10"</f>
        <v>10</v>
      </c>
      <c r="J3321" t="str">
        <f>"9977"</f>
        <v>9977</v>
      </c>
      <c r="K3321" t="str">
        <f>"חיוב פיגורים בגין 5112203936 SI206000371"</f>
        <v>חיוב פיגורים בגין 5112203936 SI206000371</v>
      </c>
      <c r="L3321">
        <v>1</v>
      </c>
      <c r="M3321" t="str">
        <f>"חל"</f>
        <v>חל</v>
      </c>
      <c r="N3321">
        <v>1</v>
      </c>
      <c r="O3321" t="str">
        <f>"חל"</f>
        <v>חל</v>
      </c>
      <c r="P3321">
        <v>65</v>
      </c>
      <c r="Q3321" t="str">
        <f>"$"</f>
        <v>$</v>
      </c>
      <c r="R3321" t="str">
        <f>"ידני"</f>
        <v>ידני</v>
      </c>
      <c r="S3321">
        <v>0</v>
      </c>
      <c r="T3321">
        <v>233.81</v>
      </c>
      <c r="U3321">
        <v>0</v>
      </c>
      <c r="V3321">
        <v>233.81</v>
      </c>
      <c r="W3321" t="str">
        <f>"ש""ח"</f>
        <v>ש"ח</v>
      </c>
      <c r="X3321">
        <v>0</v>
      </c>
      <c r="Y3321">
        <v>0</v>
      </c>
      <c r="Z3321">
        <v>0</v>
      </c>
      <c r="AA3321" t="str">
        <f>"Y"</f>
        <v>Y</v>
      </c>
      <c r="AC3321">
        <v>0</v>
      </c>
      <c r="AM3321" t="str">
        <f>"10"</f>
        <v>10</v>
      </c>
      <c r="AN3321" t="str">
        <f>"500000"</f>
        <v>500000</v>
      </c>
      <c r="AO3321" t="str">
        <f>"הכנסות  מלקוחות"</f>
        <v>הכנסות  מלקוחות</v>
      </c>
      <c r="AQ3321" t="str">
        <f>"034"</f>
        <v>034</v>
      </c>
      <c r="AR3321">
        <v>0</v>
      </c>
      <c r="AS3321">
        <v>0</v>
      </c>
      <c r="AT3321">
        <v>3.597</v>
      </c>
      <c r="BB3321" t="str">
        <f>"Y"</f>
        <v>Y</v>
      </c>
      <c r="BD3321" t="str">
        <f>"ערן שלו"</f>
        <v>ערן שלו</v>
      </c>
    </row>
    <row r="3322" spans="1:56" x14ac:dyDescent="0.3">
      <c r="A3322" s="1">
        <v>44140</v>
      </c>
      <c r="B3322" t="str">
        <f>"CR207000050"</f>
        <v>CR207000050</v>
      </c>
      <c r="C3322" t="str">
        <f>"PR18000543"</f>
        <v>PR18000543</v>
      </c>
      <c r="E3322" t="str">
        <f>"Y"</f>
        <v>Y</v>
      </c>
      <c r="F3322" t="str">
        <f>"חשבוניות זיכוי"</f>
        <v>חשבוניות זיכוי</v>
      </c>
      <c r="G3322" t="str">
        <f>"700065"</f>
        <v>700065</v>
      </c>
      <c r="H3322" t="str">
        <f>"אלתא מערכות בע""מ"</f>
        <v>אלתא מערכות בע"מ</v>
      </c>
      <c r="I3322" t="str">
        <f>"10"</f>
        <v>10</v>
      </c>
      <c r="J3322" t="str">
        <f>"9977"</f>
        <v>9977</v>
      </c>
      <c r="K3322" t="str">
        <f>"חיוב פיגורים בגין 5112203936 SI206000371"</f>
        <v>חיוב פיגורים בגין 5112203936 SI206000371</v>
      </c>
      <c r="L3322">
        <v>1</v>
      </c>
      <c r="M3322" t="str">
        <f>"חל"</f>
        <v>חל</v>
      </c>
      <c r="N3322">
        <v>1</v>
      </c>
      <c r="O3322" t="str">
        <f>"חל"</f>
        <v>חל</v>
      </c>
      <c r="P3322">
        <v>65</v>
      </c>
      <c r="Q3322" t="str">
        <f>"$"</f>
        <v>$</v>
      </c>
      <c r="R3322" t="str">
        <f>"ידני"</f>
        <v>ידני</v>
      </c>
      <c r="S3322">
        <v>0</v>
      </c>
      <c r="T3322">
        <v>233.81</v>
      </c>
      <c r="U3322">
        <v>0</v>
      </c>
      <c r="V3322">
        <v>233.81</v>
      </c>
      <c r="W3322" t="str">
        <f>"ש""ח"</f>
        <v>ש"ח</v>
      </c>
      <c r="X3322">
        <v>0</v>
      </c>
      <c r="Y3322">
        <v>0</v>
      </c>
      <c r="Z3322">
        <v>0</v>
      </c>
      <c r="AA3322" t="str">
        <f>"Y"</f>
        <v>Y</v>
      </c>
      <c r="AC3322">
        <v>0</v>
      </c>
      <c r="AM3322" t="str">
        <f>"10"</f>
        <v>10</v>
      </c>
      <c r="AN3322" t="str">
        <f>"500000"</f>
        <v>500000</v>
      </c>
      <c r="AO3322" t="str">
        <f>"הכנסות  מלקוחות"</f>
        <v>הכנסות  מלקוחות</v>
      </c>
      <c r="AQ3322" t="str">
        <f>"034"</f>
        <v>034</v>
      </c>
      <c r="AR3322">
        <v>0</v>
      </c>
      <c r="AS3322">
        <v>0</v>
      </c>
      <c r="AT3322">
        <v>3.597</v>
      </c>
      <c r="BB3322" t="str">
        <f>"Y"</f>
        <v>Y</v>
      </c>
      <c r="BD3322" t="str">
        <f>"ערן שלו"</f>
        <v>ערן שלו</v>
      </c>
    </row>
    <row r="3323" spans="1:56" x14ac:dyDescent="0.3">
      <c r="A3323" s="1">
        <v>44140</v>
      </c>
      <c r="B3323" t="str">
        <f>"CR207000049"</f>
        <v>CR207000049</v>
      </c>
      <c r="E3323" t="str">
        <f>"Y"</f>
        <v>Y</v>
      </c>
      <c r="F3323" t="str">
        <f>"חשבוניות זיכוי"</f>
        <v>חשבוניות זיכוי</v>
      </c>
      <c r="G3323" t="str">
        <f>"700065"</f>
        <v>700065</v>
      </c>
      <c r="H3323" t="str">
        <f>"אלתא מערכות בע""מ"</f>
        <v>אלתא מערכות בע"מ</v>
      </c>
      <c r="I3323" t="str">
        <f>"10"</f>
        <v>10</v>
      </c>
      <c r="J3323" t="str">
        <f>"9977"</f>
        <v>9977</v>
      </c>
      <c r="K3323" t="str">
        <f>"חיוב פיגורים בגין 5112203915 SI206000444"</f>
        <v>חיוב פיגורים בגין 5112203915 SI206000444</v>
      </c>
      <c r="L3323">
        <v>1</v>
      </c>
      <c r="M3323" t="str">
        <f>"חל"</f>
        <v>חל</v>
      </c>
      <c r="N3323">
        <v>1</v>
      </c>
      <c r="O3323" t="str">
        <f>"חל"</f>
        <v>חל</v>
      </c>
      <c r="P3323">
        <v>201.52</v>
      </c>
      <c r="Q3323" t="str">
        <f>"$"</f>
        <v>$</v>
      </c>
      <c r="R3323" t="str">
        <f>"ידני"</f>
        <v>ידני</v>
      </c>
      <c r="S3323">
        <v>0</v>
      </c>
      <c r="T3323">
        <v>708.54</v>
      </c>
      <c r="U3323">
        <v>0</v>
      </c>
      <c r="V3323">
        <v>708.54</v>
      </c>
      <c r="W3323" t="str">
        <f>"ש""ח"</f>
        <v>ש"ח</v>
      </c>
      <c r="X3323">
        <v>0</v>
      </c>
      <c r="Y3323">
        <v>0</v>
      </c>
      <c r="Z3323">
        <v>0</v>
      </c>
      <c r="AA3323" t="str">
        <f>"Y"</f>
        <v>Y</v>
      </c>
      <c r="AC3323">
        <v>0</v>
      </c>
      <c r="AM3323" t="str">
        <f>"10"</f>
        <v>10</v>
      </c>
      <c r="AN3323" t="str">
        <f>"500000"</f>
        <v>500000</v>
      </c>
      <c r="AO3323" t="str">
        <f>"הכנסות  מלקוחות"</f>
        <v>הכנסות  מלקוחות</v>
      </c>
      <c r="AQ3323" t="str">
        <f>"034"</f>
        <v>034</v>
      </c>
      <c r="AR3323">
        <v>0</v>
      </c>
      <c r="AS3323">
        <v>0</v>
      </c>
      <c r="AT3323">
        <v>3.516</v>
      </c>
      <c r="BB3323" t="str">
        <f>"Y"</f>
        <v>Y</v>
      </c>
      <c r="BD3323" t="str">
        <f>"ערן שלו"</f>
        <v>ערן שלו</v>
      </c>
    </row>
    <row r="3324" spans="1:56" x14ac:dyDescent="0.3">
      <c r="A3324" s="1">
        <v>44140</v>
      </c>
      <c r="B3324" t="str">
        <f>"CR207000049"</f>
        <v>CR207000049</v>
      </c>
      <c r="E3324" t="str">
        <f>"Y"</f>
        <v>Y</v>
      </c>
      <c r="F3324" t="str">
        <f>"חשבוניות זיכוי"</f>
        <v>חשבוניות זיכוי</v>
      </c>
      <c r="G3324" t="str">
        <f>"700065"</f>
        <v>700065</v>
      </c>
      <c r="H3324" t="str">
        <f>"אלתא מערכות בע""מ"</f>
        <v>אלתא מערכות בע"מ</v>
      </c>
      <c r="I3324" t="str">
        <f>"10"</f>
        <v>10</v>
      </c>
      <c r="J3324" t="str">
        <f>"9977"</f>
        <v>9977</v>
      </c>
      <c r="K3324" t="str">
        <f>"חיוב פיגורים בגין 5112203915 SI206000444"</f>
        <v>חיוב פיגורים בגין 5112203915 SI206000444</v>
      </c>
      <c r="L3324">
        <v>1</v>
      </c>
      <c r="M3324" t="str">
        <f>"חל"</f>
        <v>חל</v>
      </c>
      <c r="N3324">
        <v>1</v>
      </c>
      <c r="O3324" t="str">
        <f>"חל"</f>
        <v>חל</v>
      </c>
      <c r="P3324">
        <v>26.3</v>
      </c>
      <c r="Q3324" t="str">
        <f>"$"</f>
        <v>$</v>
      </c>
      <c r="R3324" t="str">
        <f>"ידני"</f>
        <v>ידני</v>
      </c>
      <c r="S3324">
        <v>0</v>
      </c>
      <c r="T3324">
        <v>92.47</v>
      </c>
      <c r="U3324">
        <v>0</v>
      </c>
      <c r="V3324">
        <v>92.47</v>
      </c>
      <c r="W3324" t="str">
        <f>"ש""ח"</f>
        <v>ש"ח</v>
      </c>
      <c r="X3324">
        <v>0</v>
      </c>
      <c r="Y3324">
        <v>0</v>
      </c>
      <c r="Z3324">
        <v>0</v>
      </c>
      <c r="AA3324" t="str">
        <f>"Y"</f>
        <v>Y</v>
      </c>
      <c r="AC3324">
        <v>0</v>
      </c>
      <c r="AM3324" t="str">
        <f>"10"</f>
        <v>10</v>
      </c>
      <c r="AN3324" t="str">
        <f>"500000"</f>
        <v>500000</v>
      </c>
      <c r="AO3324" t="str">
        <f>"הכנסות  מלקוחות"</f>
        <v>הכנסות  מלקוחות</v>
      </c>
      <c r="AQ3324" t="str">
        <f>"034"</f>
        <v>034</v>
      </c>
      <c r="AR3324">
        <v>0</v>
      </c>
      <c r="AS3324">
        <v>0</v>
      </c>
      <c r="AT3324">
        <v>3.516</v>
      </c>
      <c r="BB3324" t="str">
        <f>"Y"</f>
        <v>Y</v>
      </c>
      <c r="BD3324" t="str">
        <f>"ערן שלו"</f>
        <v>ערן שלו</v>
      </c>
    </row>
    <row r="3325" spans="1:56" x14ac:dyDescent="0.3">
      <c r="A3325" s="1">
        <v>44140</v>
      </c>
      <c r="B3325" t="str">
        <f>"CR207000049"</f>
        <v>CR207000049</v>
      </c>
      <c r="E3325" t="str">
        <f>"Y"</f>
        <v>Y</v>
      </c>
      <c r="F3325" t="str">
        <f>"חשבוניות זיכוי"</f>
        <v>חשבוניות זיכוי</v>
      </c>
      <c r="G3325" t="str">
        <f>"700065"</f>
        <v>700065</v>
      </c>
      <c r="H3325" t="str">
        <f>"אלתא מערכות בע""מ"</f>
        <v>אלתא מערכות בע"מ</v>
      </c>
      <c r="I3325" t="str">
        <f>"10"</f>
        <v>10</v>
      </c>
      <c r="J3325" t="str">
        <f>"9977"</f>
        <v>9977</v>
      </c>
      <c r="K3325" t="str">
        <f>"חיוב פיגורים בגין 5112203915 SI206000444"</f>
        <v>חיוב פיגורים בגין 5112203915 SI206000444</v>
      </c>
      <c r="L3325">
        <v>1</v>
      </c>
      <c r="M3325" t="str">
        <f>"חל"</f>
        <v>חל</v>
      </c>
      <c r="N3325">
        <v>1</v>
      </c>
      <c r="O3325" t="str">
        <f>"חל"</f>
        <v>חל</v>
      </c>
      <c r="P3325">
        <v>39.49</v>
      </c>
      <c r="Q3325" t="str">
        <f>"$"</f>
        <v>$</v>
      </c>
      <c r="R3325" t="str">
        <f>"ידני"</f>
        <v>ידני</v>
      </c>
      <c r="S3325">
        <v>0</v>
      </c>
      <c r="T3325">
        <v>138.85</v>
      </c>
      <c r="U3325">
        <v>0</v>
      </c>
      <c r="V3325">
        <v>138.85</v>
      </c>
      <c r="W3325" t="str">
        <f>"ש""ח"</f>
        <v>ש"ח</v>
      </c>
      <c r="X3325">
        <v>0</v>
      </c>
      <c r="Y3325">
        <v>0</v>
      </c>
      <c r="Z3325">
        <v>0</v>
      </c>
      <c r="AA3325" t="str">
        <f>"Y"</f>
        <v>Y</v>
      </c>
      <c r="AC3325">
        <v>0</v>
      </c>
      <c r="AM3325" t="str">
        <f>"10"</f>
        <v>10</v>
      </c>
      <c r="AN3325" t="str">
        <f>"500000"</f>
        <v>500000</v>
      </c>
      <c r="AO3325" t="str">
        <f>"הכנסות  מלקוחות"</f>
        <v>הכנסות  מלקוחות</v>
      </c>
      <c r="AQ3325" t="str">
        <f>"034"</f>
        <v>034</v>
      </c>
      <c r="AR3325">
        <v>0</v>
      </c>
      <c r="AS3325">
        <v>0</v>
      </c>
      <c r="AT3325">
        <v>3.516</v>
      </c>
      <c r="BB3325" t="str">
        <f>"Y"</f>
        <v>Y</v>
      </c>
      <c r="BD3325" t="str">
        <f>"ערן שלו"</f>
        <v>ערן שלו</v>
      </c>
    </row>
    <row r="3326" spans="1:56" x14ac:dyDescent="0.3">
      <c r="A3326" s="1">
        <v>44140</v>
      </c>
      <c r="B3326" t="str">
        <f>"CR207000049"</f>
        <v>CR207000049</v>
      </c>
      <c r="E3326" t="str">
        <f>"Y"</f>
        <v>Y</v>
      </c>
      <c r="F3326" t="str">
        <f>"חשבוניות זיכוי"</f>
        <v>חשבוניות זיכוי</v>
      </c>
      <c r="G3326" t="str">
        <f>"700065"</f>
        <v>700065</v>
      </c>
      <c r="H3326" t="str">
        <f>"אלתא מערכות בע""מ"</f>
        <v>אלתא מערכות בע"מ</v>
      </c>
      <c r="I3326" t="str">
        <f>"10"</f>
        <v>10</v>
      </c>
      <c r="J3326" t="str">
        <f>"9977"</f>
        <v>9977</v>
      </c>
      <c r="K3326" t="str">
        <f>"חיוב פיגורים בגין 5112203915 SI206000444"</f>
        <v>חיוב פיגורים בגין 5112203915 SI206000444</v>
      </c>
      <c r="L3326">
        <v>1</v>
      </c>
      <c r="M3326" t="str">
        <f>"חל"</f>
        <v>חל</v>
      </c>
      <c r="N3326">
        <v>1</v>
      </c>
      <c r="O3326" t="str">
        <f>"חל"</f>
        <v>חל</v>
      </c>
      <c r="P3326">
        <v>32.83</v>
      </c>
      <c r="Q3326" t="str">
        <f>"$"</f>
        <v>$</v>
      </c>
      <c r="R3326" t="str">
        <f>"ידני"</f>
        <v>ידני</v>
      </c>
      <c r="S3326">
        <v>0</v>
      </c>
      <c r="T3326">
        <v>115.43</v>
      </c>
      <c r="U3326">
        <v>0</v>
      </c>
      <c r="V3326">
        <v>115.43</v>
      </c>
      <c r="W3326" t="str">
        <f>"ש""ח"</f>
        <v>ש"ח</v>
      </c>
      <c r="X3326">
        <v>0</v>
      </c>
      <c r="Y3326">
        <v>0</v>
      </c>
      <c r="Z3326">
        <v>0</v>
      </c>
      <c r="AA3326" t="str">
        <f>"Y"</f>
        <v>Y</v>
      </c>
      <c r="AC3326">
        <v>0</v>
      </c>
      <c r="AM3326" t="str">
        <f>"10"</f>
        <v>10</v>
      </c>
      <c r="AN3326" t="str">
        <f>"500000"</f>
        <v>500000</v>
      </c>
      <c r="AO3326" t="str">
        <f>"הכנסות  מלקוחות"</f>
        <v>הכנסות  מלקוחות</v>
      </c>
      <c r="AQ3326" t="str">
        <f>"034"</f>
        <v>034</v>
      </c>
      <c r="AR3326">
        <v>0</v>
      </c>
      <c r="AS3326">
        <v>0</v>
      </c>
      <c r="AT3326">
        <v>3.516</v>
      </c>
      <c r="BB3326" t="str">
        <f>"Y"</f>
        <v>Y</v>
      </c>
      <c r="BD3326" t="str">
        <f>"ערן שלו"</f>
        <v>ערן שלו</v>
      </c>
    </row>
    <row r="3327" spans="1:56" x14ac:dyDescent="0.3">
      <c r="A3327" s="1">
        <v>44140</v>
      </c>
      <c r="B3327" t="str">
        <f>"CR207000049"</f>
        <v>CR207000049</v>
      </c>
      <c r="E3327" t="str">
        <f>"Y"</f>
        <v>Y</v>
      </c>
      <c r="F3327" t="str">
        <f>"חשבוניות זיכוי"</f>
        <v>חשבוניות זיכוי</v>
      </c>
      <c r="G3327" t="str">
        <f>"700065"</f>
        <v>700065</v>
      </c>
      <c r="H3327" t="str">
        <f>"אלתא מערכות בע""מ"</f>
        <v>אלתא מערכות בע"מ</v>
      </c>
      <c r="I3327" t="str">
        <f>"10"</f>
        <v>10</v>
      </c>
      <c r="J3327" t="str">
        <f>"9977"</f>
        <v>9977</v>
      </c>
      <c r="K3327" t="str">
        <f>"חיוב פיגורים בגין 5112203915 SI206000444"</f>
        <v>חיוב פיגורים בגין 5112203915 SI206000444</v>
      </c>
      <c r="L3327">
        <v>1</v>
      </c>
      <c r="M3327" t="str">
        <f>"חל"</f>
        <v>חל</v>
      </c>
      <c r="N3327">
        <v>1</v>
      </c>
      <c r="O3327" t="str">
        <f>"חל"</f>
        <v>חל</v>
      </c>
      <c r="P3327">
        <v>8.07</v>
      </c>
      <c r="Q3327" t="str">
        <f>"$"</f>
        <v>$</v>
      </c>
      <c r="R3327" t="str">
        <f>"ידני"</f>
        <v>ידני</v>
      </c>
      <c r="S3327">
        <v>0</v>
      </c>
      <c r="T3327">
        <v>28.37</v>
      </c>
      <c r="U3327">
        <v>0</v>
      </c>
      <c r="V3327">
        <v>28.37</v>
      </c>
      <c r="W3327" t="str">
        <f>"ש""ח"</f>
        <v>ש"ח</v>
      </c>
      <c r="X3327">
        <v>0</v>
      </c>
      <c r="Y3327">
        <v>0</v>
      </c>
      <c r="Z3327">
        <v>0</v>
      </c>
      <c r="AA3327" t="str">
        <f>"Y"</f>
        <v>Y</v>
      </c>
      <c r="AC3327">
        <v>0</v>
      </c>
      <c r="AM3327" t="str">
        <f>"10"</f>
        <v>10</v>
      </c>
      <c r="AN3327" t="str">
        <f>"500000"</f>
        <v>500000</v>
      </c>
      <c r="AO3327" t="str">
        <f>"הכנסות  מלקוחות"</f>
        <v>הכנסות  מלקוחות</v>
      </c>
      <c r="AQ3327" t="str">
        <f>"034"</f>
        <v>034</v>
      </c>
      <c r="AR3327">
        <v>0</v>
      </c>
      <c r="AS3327">
        <v>0</v>
      </c>
      <c r="AT3327">
        <v>3.516</v>
      </c>
      <c r="BB3327" t="str">
        <f>"Y"</f>
        <v>Y</v>
      </c>
      <c r="BD3327" t="str">
        <f>"ערן שלו"</f>
        <v>ערן שלו</v>
      </c>
    </row>
    <row r="3328" spans="1:56" x14ac:dyDescent="0.3">
      <c r="A3328" s="1">
        <v>44140</v>
      </c>
      <c r="B3328" t="str">
        <f>"CR207000048"</f>
        <v>CR207000048</v>
      </c>
      <c r="E3328" t="str">
        <f>"Y"</f>
        <v>Y</v>
      </c>
      <c r="F3328" t="str">
        <f>"חשבוניות זיכוי"</f>
        <v>חשבוניות זיכוי</v>
      </c>
      <c r="G3328" t="str">
        <f>"700065"</f>
        <v>700065</v>
      </c>
      <c r="H3328" t="str">
        <f>"אלתא מערכות בע""מ"</f>
        <v>אלתא מערכות בע"מ</v>
      </c>
      <c r="I3328" t="str">
        <f>"10"</f>
        <v>10</v>
      </c>
      <c r="J3328" t="str">
        <f>"9977"</f>
        <v>9977</v>
      </c>
      <c r="K3328" t="str">
        <f>"חיוב פיגורים בגין 4112203932 SI206000446"</f>
        <v>חיוב פיגורים בגין 4112203932 SI206000446</v>
      </c>
      <c r="L3328">
        <v>1</v>
      </c>
      <c r="M3328" t="str">
        <f>"חל"</f>
        <v>חל</v>
      </c>
      <c r="N3328">
        <v>1</v>
      </c>
      <c r="O3328" t="str">
        <f>"חל"</f>
        <v>חל</v>
      </c>
      <c r="P3328">
        <v>694.8</v>
      </c>
      <c r="Q3328" t="str">
        <f>"$"</f>
        <v>$</v>
      </c>
      <c r="R3328" t="str">
        <f>"ידני"</f>
        <v>ידני</v>
      </c>
      <c r="S3328">
        <v>0</v>
      </c>
      <c r="T3328" s="2">
        <v>2442.92</v>
      </c>
      <c r="U3328">
        <v>0</v>
      </c>
      <c r="V3328" s="2">
        <v>2442.92</v>
      </c>
      <c r="W3328" t="str">
        <f>"ש""ח"</f>
        <v>ש"ח</v>
      </c>
      <c r="X3328">
        <v>0</v>
      </c>
      <c r="Y3328">
        <v>0</v>
      </c>
      <c r="Z3328">
        <v>0</v>
      </c>
      <c r="AA3328" t="str">
        <f>"Y"</f>
        <v>Y</v>
      </c>
      <c r="AC3328">
        <v>0</v>
      </c>
      <c r="AM3328" t="str">
        <f>"10"</f>
        <v>10</v>
      </c>
      <c r="AN3328" t="str">
        <f>"500000"</f>
        <v>500000</v>
      </c>
      <c r="AO3328" t="str">
        <f>"הכנסות  מלקוחות"</f>
        <v>הכנסות  מלקוחות</v>
      </c>
      <c r="AQ3328" t="str">
        <f>"034"</f>
        <v>034</v>
      </c>
      <c r="AR3328">
        <v>0</v>
      </c>
      <c r="AS3328">
        <v>0</v>
      </c>
      <c r="AT3328">
        <v>3.516</v>
      </c>
      <c r="BB3328" t="str">
        <f>"Y"</f>
        <v>Y</v>
      </c>
      <c r="BD3328" t="str">
        <f>"ערן שלו"</f>
        <v>ערן שלו</v>
      </c>
    </row>
    <row r="3329" spans="1:56" x14ac:dyDescent="0.3">
      <c r="A3329" s="1">
        <v>44140</v>
      </c>
      <c r="B3329" t="str">
        <f>"CR207000047"</f>
        <v>CR207000047</v>
      </c>
      <c r="E3329" t="str">
        <f>"Y"</f>
        <v>Y</v>
      </c>
      <c r="F3329" t="str">
        <f>"חשבוניות זיכוי"</f>
        <v>חשבוניות זיכוי</v>
      </c>
      <c r="G3329" t="str">
        <f>"700065"</f>
        <v>700065</v>
      </c>
      <c r="H3329" t="str">
        <f>"אלתא מערכות בע""מ"</f>
        <v>אלתא מערכות בע"מ</v>
      </c>
      <c r="I3329" t="str">
        <f>"10"</f>
        <v>10</v>
      </c>
      <c r="J3329" t="str">
        <f>"9977"</f>
        <v>9977</v>
      </c>
      <c r="K3329" t="str">
        <f>"חיוב פיגורים בגין 5112300060 SI206000731"</f>
        <v>חיוב פיגורים בגין 5112300060 SI206000731</v>
      </c>
      <c r="L3329">
        <v>1</v>
      </c>
      <c r="M3329" t="str">
        <f>"חל"</f>
        <v>חל</v>
      </c>
      <c r="N3329">
        <v>1</v>
      </c>
      <c r="O3329" t="str">
        <f>"חל"</f>
        <v>חל</v>
      </c>
      <c r="P3329">
        <v>600.86</v>
      </c>
      <c r="Q3329" t="str">
        <f>"$"</f>
        <v>$</v>
      </c>
      <c r="R3329" t="str">
        <f>"ידני"</f>
        <v>ידני</v>
      </c>
      <c r="S3329">
        <v>0</v>
      </c>
      <c r="T3329" s="2">
        <v>2054.94</v>
      </c>
      <c r="U3329">
        <v>0</v>
      </c>
      <c r="V3329" s="2">
        <v>2054.94</v>
      </c>
      <c r="W3329" t="str">
        <f>"ש""ח"</f>
        <v>ש"ח</v>
      </c>
      <c r="X3329">
        <v>0</v>
      </c>
      <c r="Y3329">
        <v>0</v>
      </c>
      <c r="Z3329">
        <v>0</v>
      </c>
      <c r="AA3329" t="str">
        <f>"Y"</f>
        <v>Y</v>
      </c>
      <c r="AC3329">
        <v>0</v>
      </c>
      <c r="AM3329" t="str">
        <f>"10"</f>
        <v>10</v>
      </c>
      <c r="AN3329" t="str">
        <f>"500000"</f>
        <v>500000</v>
      </c>
      <c r="AO3329" t="str">
        <f>"הכנסות  מלקוחות"</f>
        <v>הכנסות  מלקוחות</v>
      </c>
      <c r="AQ3329" t="str">
        <f>"034"</f>
        <v>034</v>
      </c>
      <c r="AR3329">
        <v>0</v>
      </c>
      <c r="AS3329">
        <v>0</v>
      </c>
      <c r="AT3329">
        <v>3.4199899999999999</v>
      </c>
      <c r="BB3329" t="str">
        <f>"Y"</f>
        <v>Y</v>
      </c>
      <c r="BD3329" t="str">
        <f>"ערן שלו"</f>
        <v>ערן שלו</v>
      </c>
    </row>
    <row r="3330" spans="1:56" x14ac:dyDescent="0.3">
      <c r="A3330" s="1">
        <v>44140</v>
      </c>
      <c r="B3330" t="str">
        <f>"CR207000046"</f>
        <v>CR207000046</v>
      </c>
      <c r="C3330" t="str">
        <f>"PR20000066"</f>
        <v>PR20000066</v>
      </c>
      <c r="E3330" t="str">
        <f>"Y"</f>
        <v>Y</v>
      </c>
      <c r="F3330" t="str">
        <f>"חשבוניות זיכוי"</f>
        <v>חשבוניות זיכוי</v>
      </c>
      <c r="G3330" t="str">
        <f>"700065"</f>
        <v>700065</v>
      </c>
      <c r="H3330" t="str">
        <f>"אלתא מערכות בע""מ"</f>
        <v>אלתא מערכות בע"מ</v>
      </c>
      <c r="I3330" t="str">
        <f>"10"</f>
        <v>10</v>
      </c>
      <c r="J3330" t="str">
        <f>"9977"</f>
        <v>9977</v>
      </c>
      <c r="K3330" t="str">
        <f>"חיוב פיגורים בגין 5112300040 SI206000734"</f>
        <v>חיוב פיגורים בגין 5112300040 SI206000734</v>
      </c>
      <c r="L3330">
        <v>1</v>
      </c>
      <c r="M3330" t="str">
        <f>"חל"</f>
        <v>חל</v>
      </c>
      <c r="N3330">
        <v>1</v>
      </c>
      <c r="O3330" t="str">
        <f>"חל"</f>
        <v>חל</v>
      </c>
      <c r="P3330">
        <v>155.65</v>
      </c>
      <c r="Q3330" t="str">
        <f>"$"</f>
        <v>$</v>
      </c>
      <c r="R3330" t="str">
        <f>"ידני"</f>
        <v>ידני</v>
      </c>
      <c r="S3330">
        <v>0</v>
      </c>
      <c r="T3330">
        <v>532.32000000000005</v>
      </c>
      <c r="U3330">
        <v>0</v>
      </c>
      <c r="V3330">
        <v>532.32000000000005</v>
      </c>
      <c r="W3330" t="str">
        <f>"ש""ח"</f>
        <v>ש"ח</v>
      </c>
      <c r="X3330">
        <v>0</v>
      </c>
      <c r="Y3330">
        <v>0</v>
      </c>
      <c r="Z3330">
        <v>0</v>
      </c>
      <c r="AA3330" t="str">
        <f>"Y"</f>
        <v>Y</v>
      </c>
      <c r="AC3330">
        <v>0</v>
      </c>
      <c r="AM3330" t="str">
        <f>"10"</f>
        <v>10</v>
      </c>
      <c r="AN3330" t="str">
        <f>"500000"</f>
        <v>500000</v>
      </c>
      <c r="AO3330" t="str">
        <f>"הכנסות  מלקוחות"</f>
        <v>הכנסות  מלקוחות</v>
      </c>
      <c r="AQ3330" t="str">
        <f>"034"</f>
        <v>034</v>
      </c>
      <c r="AR3330">
        <v>0</v>
      </c>
      <c r="AS3330">
        <v>0</v>
      </c>
      <c r="AT3330">
        <v>3.42</v>
      </c>
      <c r="BB3330" t="str">
        <f>"Y"</f>
        <v>Y</v>
      </c>
      <c r="BD3330" t="str">
        <f>"ערן שלו"</f>
        <v>ערן שלו</v>
      </c>
    </row>
    <row r="3331" spans="1:56" x14ac:dyDescent="0.3">
      <c r="A3331" s="1">
        <v>44140</v>
      </c>
      <c r="B3331" t="str">
        <f>"CR207000045"</f>
        <v>CR207000045</v>
      </c>
      <c r="E3331" t="str">
        <f>"Y"</f>
        <v>Y</v>
      </c>
      <c r="F3331" t="str">
        <f>"חשבוניות זיכוי"</f>
        <v>חשבוניות זיכוי</v>
      </c>
      <c r="G3331" t="str">
        <f>"700065"</f>
        <v>700065</v>
      </c>
      <c r="H3331" t="str">
        <f>"אלתא מערכות בע""מ"</f>
        <v>אלתא מערכות בע"מ</v>
      </c>
      <c r="I3331" t="str">
        <f>"10"</f>
        <v>10</v>
      </c>
      <c r="J3331" t="str">
        <f>"9977"</f>
        <v>9977</v>
      </c>
      <c r="K3331" t="str">
        <f>"זיכוי בגין פיגורים 5112303860 SI206000735"</f>
        <v>זיכוי בגין פיגורים 5112303860 SI206000735</v>
      </c>
      <c r="L3331">
        <v>1</v>
      </c>
      <c r="M3331" t="str">
        <f>"חל"</f>
        <v>חל</v>
      </c>
      <c r="N3331">
        <v>1</v>
      </c>
      <c r="O3331" t="str">
        <f>"חל"</f>
        <v>חל</v>
      </c>
      <c r="P3331">
        <v>108.6</v>
      </c>
      <c r="Q3331" t="str">
        <f>"$"</f>
        <v>$</v>
      </c>
      <c r="R3331" t="str">
        <f>"ידני"</f>
        <v>ידני</v>
      </c>
      <c r="S3331">
        <v>0</v>
      </c>
      <c r="T3331">
        <v>371.41</v>
      </c>
      <c r="U3331">
        <v>0</v>
      </c>
      <c r="V3331">
        <v>371.41</v>
      </c>
      <c r="W3331" t="str">
        <f>"ש""ח"</f>
        <v>ש"ח</v>
      </c>
      <c r="X3331">
        <v>0</v>
      </c>
      <c r="Y3331">
        <v>0</v>
      </c>
      <c r="Z3331">
        <v>0</v>
      </c>
      <c r="AA3331" t="str">
        <f>"Y"</f>
        <v>Y</v>
      </c>
      <c r="AC3331">
        <v>0</v>
      </c>
      <c r="AM3331" t="str">
        <f>"10"</f>
        <v>10</v>
      </c>
      <c r="AN3331" t="str">
        <f>"500000"</f>
        <v>500000</v>
      </c>
      <c r="AO3331" t="str">
        <f>"הכנסות  מלקוחות"</f>
        <v>הכנסות  מלקוחות</v>
      </c>
      <c r="AQ3331" t="str">
        <f>"034"</f>
        <v>034</v>
      </c>
      <c r="AR3331">
        <v>0</v>
      </c>
      <c r="AS3331">
        <v>0</v>
      </c>
      <c r="AT3331">
        <v>3.4199929999999998</v>
      </c>
      <c r="BB3331" t="str">
        <f>"Y"</f>
        <v>Y</v>
      </c>
      <c r="BD3331" t="str">
        <f>"ערן שלו"</f>
        <v>ערן שלו</v>
      </c>
    </row>
    <row r="3332" spans="1:56" x14ac:dyDescent="0.3">
      <c r="A3332" s="1">
        <v>44140</v>
      </c>
      <c r="B3332" t="str">
        <f>"CR207000045"</f>
        <v>CR207000045</v>
      </c>
      <c r="E3332" t="str">
        <f>"Y"</f>
        <v>Y</v>
      </c>
      <c r="F3332" t="str">
        <f>"חשבוניות זיכוי"</f>
        <v>חשבוניות זיכוי</v>
      </c>
      <c r="G3332" t="str">
        <f>"700065"</f>
        <v>700065</v>
      </c>
      <c r="H3332" t="str">
        <f>"אלתא מערכות בע""מ"</f>
        <v>אלתא מערכות בע"מ</v>
      </c>
      <c r="I3332" t="str">
        <f>"10"</f>
        <v>10</v>
      </c>
      <c r="J3332" t="str">
        <f>"9977"</f>
        <v>9977</v>
      </c>
      <c r="K3332" t="str">
        <f>"זיכוי בגין פיגורים 5112303860 SI206000735"</f>
        <v>זיכוי בגין פיגורים 5112303860 SI206000735</v>
      </c>
      <c r="L3332">
        <v>1</v>
      </c>
      <c r="M3332" t="str">
        <f>"חל"</f>
        <v>חל</v>
      </c>
      <c r="N3332">
        <v>1</v>
      </c>
      <c r="O3332" t="str">
        <f>"חל"</f>
        <v>חל</v>
      </c>
      <c r="P3332">
        <v>345.53</v>
      </c>
      <c r="Q3332" t="str">
        <f>"$"</f>
        <v>$</v>
      </c>
      <c r="R3332" t="str">
        <f>"ידני"</f>
        <v>ידני</v>
      </c>
      <c r="S3332">
        <v>0</v>
      </c>
      <c r="T3332" s="2">
        <v>1181.71</v>
      </c>
      <c r="U3332">
        <v>0</v>
      </c>
      <c r="V3332" s="2">
        <v>1181.71</v>
      </c>
      <c r="W3332" t="str">
        <f>"ש""ח"</f>
        <v>ש"ח</v>
      </c>
      <c r="X3332">
        <v>0</v>
      </c>
      <c r="Y3332">
        <v>0</v>
      </c>
      <c r="Z3332">
        <v>0</v>
      </c>
      <c r="AA3332" t="str">
        <f>"Y"</f>
        <v>Y</v>
      </c>
      <c r="AC3332">
        <v>0</v>
      </c>
      <c r="AM3332" t="str">
        <f>"10"</f>
        <v>10</v>
      </c>
      <c r="AN3332" t="str">
        <f>"500000"</f>
        <v>500000</v>
      </c>
      <c r="AO3332" t="str">
        <f>"הכנסות  מלקוחות"</f>
        <v>הכנסות  מלקוחות</v>
      </c>
      <c r="AQ3332" t="str">
        <f>"034"</f>
        <v>034</v>
      </c>
      <c r="AR3332">
        <v>0</v>
      </c>
      <c r="AS3332">
        <v>0</v>
      </c>
      <c r="AT3332">
        <v>3.4199929999999998</v>
      </c>
      <c r="BB3332" t="str">
        <f>"Y"</f>
        <v>Y</v>
      </c>
      <c r="BD3332" t="str">
        <f>"ערן שלו"</f>
        <v>ערן שלו</v>
      </c>
    </row>
    <row r="3333" spans="1:56" x14ac:dyDescent="0.3">
      <c r="A3333" s="1">
        <v>44140</v>
      </c>
      <c r="B3333" t="str">
        <f>"CR207000045"</f>
        <v>CR207000045</v>
      </c>
      <c r="E3333" t="str">
        <f>"Y"</f>
        <v>Y</v>
      </c>
      <c r="F3333" t="str">
        <f>"חשבוניות זיכוי"</f>
        <v>חשבוניות זיכוי</v>
      </c>
      <c r="G3333" t="str">
        <f>"700065"</f>
        <v>700065</v>
      </c>
      <c r="H3333" t="str">
        <f>"אלתא מערכות בע""מ"</f>
        <v>אלתא מערכות בע"מ</v>
      </c>
      <c r="I3333" t="str">
        <f>"10"</f>
        <v>10</v>
      </c>
      <c r="J3333" t="str">
        <f>"9977"</f>
        <v>9977</v>
      </c>
      <c r="K3333" t="str">
        <f>"זיכוי בגין פיגורים 5112303860 SI206000735"</f>
        <v>זיכוי בגין פיגורים 5112303860 SI206000735</v>
      </c>
      <c r="L3333">
        <v>1</v>
      </c>
      <c r="M3333" t="str">
        <f>"חל"</f>
        <v>חל</v>
      </c>
      <c r="N3333">
        <v>1</v>
      </c>
      <c r="O3333" t="str">
        <f>"חל"</f>
        <v>חל</v>
      </c>
      <c r="P3333">
        <v>230.16</v>
      </c>
      <c r="Q3333" t="str">
        <f>"$"</f>
        <v>$</v>
      </c>
      <c r="R3333" t="str">
        <f>"ידני"</f>
        <v>ידני</v>
      </c>
      <c r="S3333">
        <v>0</v>
      </c>
      <c r="T3333">
        <v>787.15</v>
      </c>
      <c r="U3333">
        <v>0</v>
      </c>
      <c r="V3333">
        <v>787.15</v>
      </c>
      <c r="W3333" t="str">
        <f>"ש""ח"</f>
        <v>ש"ח</v>
      </c>
      <c r="X3333">
        <v>0</v>
      </c>
      <c r="Y3333">
        <v>0</v>
      </c>
      <c r="Z3333">
        <v>0</v>
      </c>
      <c r="AA3333" t="str">
        <f>"Y"</f>
        <v>Y</v>
      </c>
      <c r="AC3333">
        <v>0</v>
      </c>
      <c r="AM3333" t="str">
        <f>"10"</f>
        <v>10</v>
      </c>
      <c r="AN3333" t="str">
        <f>"500000"</f>
        <v>500000</v>
      </c>
      <c r="AO3333" t="str">
        <f>"הכנסות  מלקוחות"</f>
        <v>הכנסות  מלקוחות</v>
      </c>
      <c r="AQ3333" t="str">
        <f>"034"</f>
        <v>034</v>
      </c>
      <c r="AR3333">
        <v>0</v>
      </c>
      <c r="AS3333">
        <v>0</v>
      </c>
      <c r="AT3333">
        <v>3.4199929999999998</v>
      </c>
      <c r="BB3333" t="str">
        <f>"Y"</f>
        <v>Y</v>
      </c>
      <c r="BD3333" t="str">
        <f>"ערן שלו"</f>
        <v>ערן שלו</v>
      </c>
    </row>
    <row r="3334" spans="1:56" x14ac:dyDescent="0.3">
      <c r="A3334" s="1">
        <v>44140</v>
      </c>
      <c r="B3334" t="str">
        <f>"CR207000045"</f>
        <v>CR207000045</v>
      </c>
      <c r="E3334" t="str">
        <f>"Y"</f>
        <v>Y</v>
      </c>
      <c r="F3334" t="str">
        <f>"חשבוניות זיכוי"</f>
        <v>חשבוניות זיכוי</v>
      </c>
      <c r="G3334" t="str">
        <f>"700065"</f>
        <v>700065</v>
      </c>
      <c r="H3334" t="str">
        <f>"אלתא מערכות בע""מ"</f>
        <v>אלתא מערכות בע"מ</v>
      </c>
      <c r="I3334" t="str">
        <f>"10"</f>
        <v>10</v>
      </c>
      <c r="J3334" t="str">
        <f>"9977"</f>
        <v>9977</v>
      </c>
      <c r="K3334" t="str">
        <f>"זיכוי בגין פיגורים 5112303860 SI206000735"</f>
        <v>זיכוי בגין פיגורים 5112303860 SI206000735</v>
      </c>
      <c r="L3334">
        <v>1</v>
      </c>
      <c r="M3334" t="str">
        <f>"חל"</f>
        <v>חל</v>
      </c>
      <c r="N3334">
        <v>1</v>
      </c>
      <c r="O3334" t="str">
        <f>"חל"</f>
        <v>חל</v>
      </c>
      <c r="P3334">
        <v>72.34</v>
      </c>
      <c r="Q3334" t="str">
        <f>"$"</f>
        <v>$</v>
      </c>
      <c r="R3334" t="str">
        <f>"ידני"</f>
        <v>ידני</v>
      </c>
      <c r="S3334">
        <v>0</v>
      </c>
      <c r="T3334">
        <v>247.4</v>
      </c>
      <c r="U3334">
        <v>0</v>
      </c>
      <c r="V3334">
        <v>247.4</v>
      </c>
      <c r="W3334" t="str">
        <f>"ש""ח"</f>
        <v>ש"ח</v>
      </c>
      <c r="X3334">
        <v>0</v>
      </c>
      <c r="Y3334">
        <v>0</v>
      </c>
      <c r="Z3334">
        <v>0</v>
      </c>
      <c r="AA3334" t="str">
        <f>"Y"</f>
        <v>Y</v>
      </c>
      <c r="AC3334">
        <v>0</v>
      </c>
      <c r="AM3334" t="str">
        <f>"10"</f>
        <v>10</v>
      </c>
      <c r="AN3334" t="str">
        <f>"500000"</f>
        <v>500000</v>
      </c>
      <c r="AO3334" t="str">
        <f>"הכנסות  מלקוחות"</f>
        <v>הכנסות  מלקוחות</v>
      </c>
      <c r="AQ3334" t="str">
        <f>"034"</f>
        <v>034</v>
      </c>
      <c r="AR3334">
        <v>0</v>
      </c>
      <c r="AS3334">
        <v>0</v>
      </c>
      <c r="AT3334">
        <v>3.4199929999999998</v>
      </c>
      <c r="BB3334" t="str">
        <f>"Y"</f>
        <v>Y</v>
      </c>
      <c r="BD3334" t="str">
        <f>"ערן שלו"</f>
        <v>ערן שלו</v>
      </c>
    </row>
    <row r="3335" spans="1:56" x14ac:dyDescent="0.3">
      <c r="A3335" s="1">
        <v>44140</v>
      </c>
      <c r="B3335" t="str">
        <f>"CR207000044"</f>
        <v>CR207000044</v>
      </c>
      <c r="E3335" t="str">
        <f>"Y"</f>
        <v>Y</v>
      </c>
      <c r="F3335" t="str">
        <f>"חשבוניות זיכוי"</f>
        <v>חשבוניות זיכוי</v>
      </c>
      <c r="G3335" t="str">
        <f>"700065"</f>
        <v>700065</v>
      </c>
      <c r="H3335" t="str">
        <f>"אלתא מערכות בע""מ"</f>
        <v>אלתא מערכות בע"מ</v>
      </c>
      <c r="I3335" t="str">
        <f>"10"</f>
        <v>10</v>
      </c>
      <c r="J3335" t="str">
        <f>"9977"</f>
        <v>9977</v>
      </c>
      <c r="K3335" t="str">
        <f>"זיכוי בגין פיגורים 5112307683 SI206000743"</f>
        <v>זיכוי בגין פיגורים 5112307683 SI206000743</v>
      </c>
      <c r="L3335">
        <v>1</v>
      </c>
      <c r="M3335" t="str">
        <f>"חל"</f>
        <v>חל</v>
      </c>
      <c r="N3335">
        <v>1</v>
      </c>
      <c r="O3335" t="str">
        <f>"חל"</f>
        <v>חל</v>
      </c>
      <c r="P3335" s="2">
        <v>3395.58</v>
      </c>
      <c r="Q3335" t="str">
        <f>"$"</f>
        <v>$</v>
      </c>
      <c r="R3335" t="str">
        <f>"ידני"</f>
        <v>ידני</v>
      </c>
      <c r="S3335">
        <v>0</v>
      </c>
      <c r="T3335" s="2">
        <v>11589.11</v>
      </c>
      <c r="U3335">
        <v>0</v>
      </c>
      <c r="V3335" s="2">
        <v>11589.11</v>
      </c>
      <c r="W3335" t="str">
        <f>"ש""ח"</f>
        <v>ש"ח</v>
      </c>
      <c r="X3335">
        <v>0</v>
      </c>
      <c r="Y3335">
        <v>0</v>
      </c>
      <c r="Z3335">
        <v>0</v>
      </c>
      <c r="AA3335" t="str">
        <f>"Y"</f>
        <v>Y</v>
      </c>
      <c r="AC3335">
        <v>0</v>
      </c>
      <c r="AM3335" t="str">
        <f>"10"</f>
        <v>10</v>
      </c>
      <c r="AN3335" t="str">
        <f>"500000"</f>
        <v>500000</v>
      </c>
      <c r="AO3335" t="str">
        <f>"הכנסות  מלקוחות"</f>
        <v>הכנסות  מלקוחות</v>
      </c>
      <c r="AQ3335" t="str">
        <f>"034"</f>
        <v>034</v>
      </c>
      <c r="AR3335">
        <v>0</v>
      </c>
      <c r="AS3335">
        <v>0</v>
      </c>
      <c r="AT3335">
        <v>3.4129990000000001</v>
      </c>
      <c r="BB3335" t="str">
        <f>"Y"</f>
        <v>Y</v>
      </c>
      <c r="BD3335" t="str">
        <f>"ערן שלו"</f>
        <v>ערן שלו</v>
      </c>
    </row>
    <row r="3336" spans="1:56" x14ac:dyDescent="0.3">
      <c r="A3336" s="1">
        <v>44140</v>
      </c>
      <c r="B3336" t="str">
        <f>"CR207000043"</f>
        <v>CR207000043</v>
      </c>
      <c r="E3336" t="str">
        <f>"Y"</f>
        <v>Y</v>
      </c>
      <c r="F3336" t="str">
        <f>"חשבוניות זיכוי"</f>
        <v>חשבוניות זיכוי</v>
      </c>
      <c r="G3336" t="str">
        <f>"700065"</f>
        <v>700065</v>
      </c>
      <c r="H3336" t="str">
        <f>"אלתא מערכות בע""מ"</f>
        <v>אלתא מערכות בע"מ</v>
      </c>
      <c r="I3336" t="str">
        <f>"10"</f>
        <v>10</v>
      </c>
      <c r="J3336" t="str">
        <f>"9977"</f>
        <v>9977</v>
      </c>
      <c r="K3336" t="str">
        <f>"חיוב פיגורים בגין 5112307658 SI20600744"</f>
        <v>חיוב פיגורים בגין 5112307658 SI20600744</v>
      </c>
      <c r="L3336">
        <v>1</v>
      </c>
      <c r="M3336" t="str">
        <f>"חל"</f>
        <v>חל</v>
      </c>
      <c r="N3336">
        <v>1</v>
      </c>
      <c r="O3336" t="str">
        <f>"חל"</f>
        <v>חל</v>
      </c>
      <c r="P3336" s="2">
        <v>2362.3200000000002</v>
      </c>
      <c r="Q3336" t="str">
        <f>"$"</f>
        <v>$</v>
      </c>
      <c r="R3336" t="str">
        <f>"ידני"</f>
        <v>ידני</v>
      </c>
      <c r="S3336">
        <v>0</v>
      </c>
      <c r="T3336" s="2">
        <v>8062.6</v>
      </c>
      <c r="U3336">
        <v>0</v>
      </c>
      <c r="V3336" s="2">
        <v>8062.6</v>
      </c>
      <c r="W3336" t="str">
        <f>"ש""ח"</f>
        <v>ש"ח</v>
      </c>
      <c r="X3336">
        <v>0</v>
      </c>
      <c r="Y3336">
        <v>0</v>
      </c>
      <c r="Z3336">
        <v>0</v>
      </c>
      <c r="AA3336" t="str">
        <f>"Y"</f>
        <v>Y</v>
      </c>
      <c r="AC3336">
        <v>0</v>
      </c>
      <c r="AM3336" t="str">
        <f>"10"</f>
        <v>10</v>
      </c>
      <c r="AN3336" t="str">
        <f>"500000"</f>
        <v>500000</v>
      </c>
      <c r="AO3336" t="str">
        <f>"הכנסות  מלקוחות"</f>
        <v>הכנסות  מלקוחות</v>
      </c>
      <c r="AQ3336" t="str">
        <f>"034"</f>
        <v>034</v>
      </c>
      <c r="AR3336">
        <v>0</v>
      </c>
      <c r="AS3336">
        <v>0</v>
      </c>
      <c r="AT3336">
        <v>3.4129999999999998</v>
      </c>
      <c r="BB3336" t="str">
        <f>"Y"</f>
        <v>Y</v>
      </c>
      <c r="BD3336" t="str">
        <f>"ערן שלו"</f>
        <v>ערן שלו</v>
      </c>
    </row>
    <row r="3337" spans="1:56" x14ac:dyDescent="0.3">
      <c r="A3337" s="1">
        <v>44140</v>
      </c>
      <c r="B3337" t="str">
        <f>"CR207000043"</f>
        <v>CR207000043</v>
      </c>
      <c r="E3337" t="str">
        <f>"Y"</f>
        <v>Y</v>
      </c>
      <c r="F3337" t="str">
        <f>"חשבוניות זיכוי"</f>
        <v>חשבוניות זיכוי</v>
      </c>
      <c r="G3337" t="str">
        <f>"700065"</f>
        <v>700065</v>
      </c>
      <c r="H3337" t="str">
        <f>"אלתא מערכות בע""מ"</f>
        <v>אלתא מערכות בע"מ</v>
      </c>
      <c r="I3337" t="str">
        <f>"10"</f>
        <v>10</v>
      </c>
      <c r="J3337" t="str">
        <f>"9977"</f>
        <v>9977</v>
      </c>
      <c r="K3337" t="str">
        <f>"חיוב פיגורים בגין 5112307658 SI20600744"</f>
        <v>חיוב פיגורים בגין 5112307658 SI20600744</v>
      </c>
      <c r="L3337">
        <v>1</v>
      </c>
      <c r="M3337" t="str">
        <f>"חל"</f>
        <v>חל</v>
      </c>
      <c r="N3337">
        <v>1</v>
      </c>
      <c r="O3337" t="str">
        <f>"חל"</f>
        <v>חל</v>
      </c>
      <c r="P3337" s="2">
        <v>2362.3200000000002</v>
      </c>
      <c r="Q3337" t="str">
        <f>"$"</f>
        <v>$</v>
      </c>
      <c r="R3337" t="str">
        <f>"ידני"</f>
        <v>ידני</v>
      </c>
      <c r="S3337">
        <v>0</v>
      </c>
      <c r="T3337" s="2">
        <v>8062.6</v>
      </c>
      <c r="U3337">
        <v>0</v>
      </c>
      <c r="V3337" s="2">
        <v>8062.6</v>
      </c>
      <c r="W3337" t="str">
        <f>"ש""ח"</f>
        <v>ש"ח</v>
      </c>
      <c r="X3337">
        <v>0</v>
      </c>
      <c r="Y3337">
        <v>0</v>
      </c>
      <c r="Z3337">
        <v>0</v>
      </c>
      <c r="AA3337" t="str">
        <f>"Y"</f>
        <v>Y</v>
      </c>
      <c r="AC3337">
        <v>0</v>
      </c>
      <c r="AM3337" t="str">
        <f>"10"</f>
        <v>10</v>
      </c>
      <c r="AN3337" t="str">
        <f>"500000"</f>
        <v>500000</v>
      </c>
      <c r="AO3337" t="str">
        <f>"הכנסות  מלקוחות"</f>
        <v>הכנסות  מלקוחות</v>
      </c>
      <c r="AQ3337" t="str">
        <f>"034"</f>
        <v>034</v>
      </c>
      <c r="AR3337">
        <v>0</v>
      </c>
      <c r="AS3337">
        <v>0</v>
      </c>
      <c r="AT3337">
        <v>3.4129999999999998</v>
      </c>
      <c r="BB3337" t="str">
        <f>"Y"</f>
        <v>Y</v>
      </c>
      <c r="BD3337" t="str">
        <f>"ערן שלו"</f>
        <v>ערן שלו</v>
      </c>
    </row>
    <row r="3338" spans="1:56" x14ac:dyDescent="0.3">
      <c r="A3338" s="1">
        <v>44140</v>
      </c>
      <c r="B3338" t="str">
        <f>"CR207000042"</f>
        <v>CR207000042</v>
      </c>
      <c r="E3338" t="str">
        <f>"Y"</f>
        <v>Y</v>
      </c>
      <c r="F3338" t="str">
        <f>"חשבוניות זיכוי"</f>
        <v>חשבוניות זיכוי</v>
      </c>
      <c r="G3338" t="str">
        <f>"700065"</f>
        <v>700065</v>
      </c>
      <c r="H3338" t="str">
        <f>"אלתא מערכות בע""מ"</f>
        <v>אלתא מערכות בע"מ</v>
      </c>
      <c r="I3338" t="str">
        <f>"10"</f>
        <v>10</v>
      </c>
      <c r="J3338" t="str">
        <f>"9977"</f>
        <v>9977</v>
      </c>
      <c r="K3338" t="str">
        <f>"חיוב פיגורים בגין 5112327330 SI206000819"</f>
        <v>חיוב פיגורים בגין 5112327330 SI206000819</v>
      </c>
      <c r="L3338">
        <v>1</v>
      </c>
      <c r="M3338" t="str">
        <f>"חל"</f>
        <v>חל</v>
      </c>
      <c r="N3338">
        <v>1</v>
      </c>
      <c r="O3338" t="str">
        <f>"חל"</f>
        <v>חל</v>
      </c>
      <c r="P3338">
        <v>614.67999999999995</v>
      </c>
      <c r="Q3338" t="str">
        <f>"$"</f>
        <v>$</v>
      </c>
      <c r="R3338" t="str">
        <f>"ידני"</f>
        <v>ידני</v>
      </c>
      <c r="S3338">
        <v>0</v>
      </c>
      <c r="T3338" s="2">
        <v>2092.37</v>
      </c>
      <c r="U3338">
        <v>0</v>
      </c>
      <c r="V3338" s="2">
        <v>2092.37</v>
      </c>
      <c r="W3338" t="str">
        <f>"ש""ח"</f>
        <v>ש"ח</v>
      </c>
      <c r="X3338">
        <v>0</v>
      </c>
      <c r="Y3338">
        <v>0</v>
      </c>
      <c r="Z3338">
        <v>0</v>
      </c>
      <c r="AA3338" t="str">
        <f>"Y"</f>
        <v>Y</v>
      </c>
      <c r="AC3338">
        <v>0</v>
      </c>
      <c r="AM3338" t="str">
        <f>"10"</f>
        <v>10</v>
      </c>
      <c r="AN3338" t="str">
        <f>"500000"</f>
        <v>500000</v>
      </c>
      <c r="AO3338" t="str">
        <f>"הכנסות  מלקוחות"</f>
        <v>הכנסות  מלקוחות</v>
      </c>
      <c r="AQ3338" t="str">
        <f>"034"</f>
        <v>034</v>
      </c>
      <c r="AR3338">
        <v>0</v>
      </c>
      <c r="AS3338">
        <v>0</v>
      </c>
      <c r="AT3338">
        <v>3.4039999999999999</v>
      </c>
      <c r="BB3338" t="str">
        <f>"Y"</f>
        <v>Y</v>
      </c>
      <c r="BD3338" t="str">
        <f>"ערן שלו"</f>
        <v>ערן שלו</v>
      </c>
    </row>
    <row r="3339" spans="1:56" x14ac:dyDescent="0.3">
      <c r="A3339" s="1">
        <v>44140</v>
      </c>
      <c r="B3339" t="str">
        <f>"CR207000042"</f>
        <v>CR207000042</v>
      </c>
      <c r="E3339" t="str">
        <f>"Y"</f>
        <v>Y</v>
      </c>
      <c r="F3339" t="str">
        <f>"חשבוניות זיכוי"</f>
        <v>חשבוניות זיכוי</v>
      </c>
      <c r="G3339" t="str">
        <f>"700065"</f>
        <v>700065</v>
      </c>
      <c r="H3339" t="str">
        <f>"אלתא מערכות בע""מ"</f>
        <v>אלתא מערכות בע"מ</v>
      </c>
      <c r="I3339" t="str">
        <f>"10"</f>
        <v>10</v>
      </c>
      <c r="J3339" t="str">
        <f>"9977"</f>
        <v>9977</v>
      </c>
      <c r="K3339" t="str">
        <f>"חיוב פיגורים בגין 5112327330 SI206000819"</f>
        <v>חיוב פיגורים בגין 5112327330 SI206000819</v>
      </c>
      <c r="L3339">
        <v>1</v>
      </c>
      <c r="M3339" t="str">
        <f>"חל"</f>
        <v>חל</v>
      </c>
      <c r="N3339">
        <v>1</v>
      </c>
      <c r="O3339" t="str">
        <f>"חל"</f>
        <v>חל</v>
      </c>
      <c r="P3339" s="2">
        <v>1211.94</v>
      </c>
      <c r="Q3339" t="str">
        <f>"$"</f>
        <v>$</v>
      </c>
      <c r="R3339" t="str">
        <f>"ידני"</f>
        <v>ידני</v>
      </c>
      <c r="S3339">
        <v>0</v>
      </c>
      <c r="T3339" s="2">
        <v>4125.4399999999996</v>
      </c>
      <c r="U3339">
        <v>0</v>
      </c>
      <c r="V3339" s="2">
        <v>4125.4399999999996</v>
      </c>
      <c r="W3339" t="str">
        <f>"ש""ח"</f>
        <v>ש"ח</v>
      </c>
      <c r="X3339">
        <v>0</v>
      </c>
      <c r="Y3339">
        <v>0</v>
      </c>
      <c r="Z3339">
        <v>0</v>
      </c>
      <c r="AA3339" t="str">
        <f>"Y"</f>
        <v>Y</v>
      </c>
      <c r="AC3339">
        <v>0</v>
      </c>
      <c r="AM3339" t="str">
        <f>"10"</f>
        <v>10</v>
      </c>
      <c r="AN3339" t="str">
        <f>"500000"</f>
        <v>500000</v>
      </c>
      <c r="AO3339" t="str">
        <f>"הכנסות  מלקוחות"</f>
        <v>הכנסות  מלקוחות</v>
      </c>
      <c r="AQ3339" t="str">
        <f>"034"</f>
        <v>034</v>
      </c>
      <c r="AR3339">
        <v>0</v>
      </c>
      <c r="AS3339">
        <v>0</v>
      </c>
      <c r="AT3339">
        <v>3.4039999999999999</v>
      </c>
      <c r="BB3339" t="str">
        <f>"Y"</f>
        <v>Y</v>
      </c>
      <c r="BD3339" t="str">
        <f>"ערן שלו"</f>
        <v>ערן שלו</v>
      </c>
    </row>
    <row r="3340" spans="1:56" x14ac:dyDescent="0.3">
      <c r="A3340" s="1">
        <v>44140</v>
      </c>
      <c r="B3340" t="str">
        <f>"CR207000042"</f>
        <v>CR207000042</v>
      </c>
      <c r="E3340" t="str">
        <f>"Y"</f>
        <v>Y</v>
      </c>
      <c r="F3340" t="str">
        <f>"חשבוניות זיכוי"</f>
        <v>חשבוניות זיכוי</v>
      </c>
      <c r="G3340" t="str">
        <f>"700065"</f>
        <v>700065</v>
      </c>
      <c r="H3340" t="str">
        <f>"אלתא מערכות בע""מ"</f>
        <v>אלתא מערכות בע"מ</v>
      </c>
      <c r="I3340" t="str">
        <f>"10"</f>
        <v>10</v>
      </c>
      <c r="J3340" t="str">
        <f>"9977"</f>
        <v>9977</v>
      </c>
      <c r="K3340" t="str">
        <f>"חיוב פיגורים בגין 5112327330 SI206000819"</f>
        <v>חיוב פיגורים בגין 5112327330 SI206000819</v>
      </c>
      <c r="L3340">
        <v>1</v>
      </c>
      <c r="M3340" t="str">
        <f>"חל"</f>
        <v>חל</v>
      </c>
      <c r="N3340">
        <v>1</v>
      </c>
      <c r="O3340" t="str">
        <f>"חל"</f>
        <v>חל</v>
      </c>
      <c r="P3340">
        <v>325.55</v>
      </c>
      <c r="Q3340" t="str">
        <f>"$"</f>
        <v>$</v>
      </c>
      <c r="R3340" t="str">
        <f>"ידני"</f>
        <v>ידני</v>
      </c>
      <c r="S3340">
        <v>0</v>
      </c>
      <c r="T3340" s="2">
        <v>1108.17</v>
      </c>
      <c r="U3340">
        <v>0</v>
      </c>
      <c r="V3340" s="2">
        <v>1108.17</v>
      </c>
      <c r="W3340" t="str">
        <f>"ש""ח"</f>
        <v>ש"ח</v>
      </c>
      <c r="X3340">
        <v>0</v>
      </c>
      <c r="Y3340">
        <v>0</v>
      </c>
      <c r="Z3340">
        <v>0</v>
      </c>
      <c r="AA3340" t="str">
        <f>"Y"</f>
        <v>Y</v>
      </c>
      <c r="AC3340">
        <v>0</v>
      </c>
      <c r="AM3340" t="str">
        <f>"10"</f>
        <v>10</v>
      </c>
      <c r="AN3340" t="str">
        <f>"500000"</f>
        <v>500000</v>
      </c>
      <c r="AO3340" t="str">
        <f>"הכנסות  מלקוחות"</f>
        <v>הכנסות  מלקוחות</v>
      </c>
      <c r="AQ3340" t="str">
        <f>"034"</f>
        <v>034</v>
      </c>
      <c r="AR3340">
        <v>0</v>
      </c>
      <c r="AS3340">
        <v>0</v>
      </c>
      <c r="AT3340">
        <v>3.4039999999999999</v>
      </c>
      <c r="BB3340" t="str">
        <f>"Y"</f>
        <v>Y</v>
      </c>
      <c r="BD3340" t="str">
        <f>"ערן שלו"</f>
        <v>ערן שלו</v>
      </c>
    </row>
    <row r="3341" spans="1:56" x14ac:dyDescent="0.3">
      <c r="A3341" s="1">
        <v>44140</v>
      </c>
      <c r="B3341" t="str">
        <f>"CR207000042"</f>
        <v>CR207000042</v>
      </c>
      <c r="E3341" t="str">
        <f>"Y"</f>
        <v>Y</v>
      </c>
      <c r="F3341" t="str">
        <f>"חשבוניות זיכוי"</f>
        <v>חשבוניות זיכוי</v>
      </c>
      <c r="G3341" t="str">
        <f>"700065"</f>
        <v>700065</v>
      </c>
      <c r="H3341" t="str">
        <f>"אלתא מערכות בע""מ"</f>
        <v>אלתא מערכות בע"מ</v>
      </c>
      <c r="I3341" t="str">
        <f>"10"</f>
        <v>10</v>
      </c>
      <c r="J3341" t="str">
        <f>"9977"</f>
        <v>9977</v>
      </c>
      <c r="K3341" t="str">
        <f>"חיוב פיגורים בגין 5112327330 SI206000819"</f>
        <v>חיוב פיגורים בגין 5112327330 SI206000819</v>
      </c>
      <c r="L3341">
        <v>1</v>
      </c>
      <c r="M3341" t="str">
        <f>"חל"</f>
        <v>חל</v>
      </c>
      <c r="N3341">
        <v>1</v>
      </c>
      <c r="O3341" t="str">
        <f>"חל"</f>
        <v>חל</v>
      </c>
      <c r="P3341">
        <v>106.69</v>
      </c>
      <c r="Q3341" t="str">
        <f>"$"</f>
        <v>$</v>
      </c>
      <c r="R3341" t="str">
        <f>"ידני"</f>
        <v>ידני</v>
      </c>
      <c r="S3341">
        <v>0</v>
      </c>
      <c r="T3341">
        <v>363.17</v>
      </c>
      <c r="U3341">
        <v>0</v>
      </c>
      <c r="V3341">
        <v>363.17</v>
      </c>
      <c r="W3341" t="str">
        <f>"ש""ח"</f>
        <v>ש"ח</v>
      </c>
      <c r="X3341">
        <v>0</v>
      </c>
      <c r="Y3341">
        <v>0</v>
      </c>
      <c r="Z3341">
        <v>0</v>
      </c>
      <c r="AA3341" t="str">
        <f>"Y"</f>
        <v>Y</v>
      </c>
      <c r="AC3341">
        <v>0</v>
      </c>
      <c r="AM3341" t="str">
        <f>"10"</f>
        <v>10</v>
      </c>
      <c r="AN3341" t="str">
        <f>"500000"</f>
        <v>500000</v>
      </c>
      <c r="AO3341" t="str">
        <f>"הכנסות  מלקוחות"</f>
        <v>הכנסות  מלקוחות</v>
      </c>
      <c r="AQ3341" t="str">
        <f>"034"</f>
        <v>034</v>
      </c>
      <c r="AR3341">
        <v>0</v>
      </c>
      <c r="AS3341">
        <v>0</v>
      </c>
      <c r="AT3341">
        <v>3.4039999999999999</v>
      </c>
      <c r="BB3341" t="str">
        <f>"Y"</f>
        <v>Y</v>
      </c>
      <c r="BD3341" t="str">
        <f>"ערן שלו"</f>
        <v>ערן שלו</v>
      </c>
    </row>
    <row r="3342" spans="1:56" x14ac:dyDescent="0.3">
      <c r="A3342" s="1">
        <v>44140</v>
      </c>
      <c r="B3342" t="str">
        <f>"CR207000042"</f>
        <v>CR207000042</v>
      </c>
      <c r="E3342" t="str">
        <f>"Y"</f>
        <v>Y</v>
      </c>
      <c r="F3342" t="str">
        <f>"חשבוניות זיכוי"</f>
        <v>חשבוניות זיכוי</v>
      </c>
      <c r="G3342" t="str">
        <f>"700065"</f>
        <v>700065</v>
      </c>
      <c r="H3342" t="str">
        <f>"אלתא מערכות בע""מ"</f>
        <v>אלתא מערכות בע"מ</v>
      </c>
      <c r="I3342" t="str">
        <f>"10"</f>
        <v>10</v>
      </c>
      <c r="J3342" t="str">
        <f>"9977"</f>
        <v>9977</v>
      </c>
      <c r="K3342" t="str">
        <f>"חיוב פיגורים בגין 5112327330 SI206000819"</f>
        <v>חיוב פיגורים בגין 5112327330 SI206000819</v>
      </c>
      <c r="L3342">
        <v>1</v>
      </c>
      <c r="M3342" t="str">
        <f>"חל"</f>
        <v>חל</v>
      </c>
      <c r="N3342">
        <v>1</v>
      </c>
      <c r="O3342" t="str">
        <f>"חל"</f>
        <v>חל</v>
      </c>
      <c r="P3342">
        <v>163.12</v>
      </c>
      <c r="Q3342" t="str">
        <f>"$"</f>
        <v>$</v>
      </c>
      <c r="R3342" t="str">
        <f>"ידני"</f>
        <v>ידני</v>
      </c>
      <c r="S3342">
        <v>0</v>
      </c>
      <c r="T3342">
        <v>555.26</v>
      </c>
      <c r="U3342">
        <v>0</v>
      </c>
      <c r="V3342">
        <v>555.26</v>
      </c>
      <c r="W3342" t="str">
        <f>"ש""ח"</f>
        <v>ש"ח</v>
      </c>
      <c r="X3342">
        <v>0</v>
      </c>
      <c r="Y3342">
        <v>0</v>
      </c>
      <c r="Z3342">
        <v>0</v>
      </c>
      <c r="AA3342" t="str">
        <f>"Y"</f>
        <v>Y</v>
      </c>
      <c r="AC3342">
        <v>0</v>
      </c>
      <c r="AM3342" t="str">
        <f>"10"</f>
        <v>10</v>
      </c>
      <c r="AN3342" t="str">
        <f>"500000"</f>
        <v>500000</v>
      </c>
      <c r="AO3342" t="str">
        <f>"הכנסות  מלקוחות"</f>
        <v>הכנסות  מלקוחות</v>
      </c>
      <c r="AQ3342" t="str">
        <f>"034"</f>
        <v>034</v>
      </c>
      <c r="AR3342">
        <v>0</v>
      </c>
      <c r="AS3342">
        <v>0</v>
      </c>
      <c r="AT3342">
        <v>3.4039999999999999</v>
      </c>
      <c r="BB3342" t="str">
        <f>"Y"</f>
        <v>Y</v>
      </c>
      <c r="BD3342" t="str">
        <f>"ערן שלו"</f>
        <v>ערן שלו</v>
      </c>
    </row>
    <row r="3343" spans="1:56" x14ac:dyDescent="0.3">
      <c r="A3343" s="1">
        <v>44140</v>
      </c>
      <c r="B3343" t="str">
        <f>"CR207000041"</f>
        <v>CR207000041</v>
      </c>
      <c r="C3343" t="str">
        <f>"PR20000210"</f>
        <v>PR20000210</v>
      </c>
      <c r="E3343" t="str">
        <f>"Y"</f>
        <v>Y</v>
      </c>
      <c r="F3343" t="str">
        <f>"חשבוניות זיכוי"</f>
        <v>חשבוניות זיכוי</v>
      </c>
      <c r="G3343" t="str">
        <f>"700065"</f>
        <v>700065</v>
      </c>
      <c r="H3343" t="str">
        <f>"אלתא מערכות בע""מ"</f>
        <v>אלתא מערכות בע"מ</v>
      </c>
      <c r="I3343" t="str">
        <f>"10"</f>
        <v>10</v>
      </c>
      <c r="J3343" t="str">
        <f>"9977"</f>
        <v>9977</v>
      </c>
      <c r="K3343" t="str">
        <f>"חיוב פיגורים בגין 5112332927 SI206000835"</f>
        <v>חיוב פיגורים בגין 5112332927 SI206000835</v>
      </c>
      <c r="L3343">
        <v>1</v>
      </c>
      <c r="M3343" t="str">
        <f>"חל"</f>
        <v>חל</v>
      </c>
      <c r="N3343">
        <v>1</v>
      </c>
      <c r="O3343" t="str">
        <f>"חל"</f>
        <v>חל</v>
      </c>
      <c r="P3343">
        <v>87.15</v>
      </c>
      <c r="Q3343" t="str">
        <f>"$"</f>
        <v>$</v>
      </c>
      <c r="R3343" t="str">
        <f>"ידני"</f>
        <v>ידני</v>
      </c>
      <c r="S3343">
        <v>0</v>
      </c>
      <c r="T3343">
        <v>296.3</v>
      </c>
      <c r="U3343">
        <v>0</v>
      </c>
      <c r="V3343">
        <v>296.3</v>
      </c>
      <c r="W3343" t="str">
        <f>"ש""ח"</f>
        <v>ש"ח</v>
      </c>
      <c r="X3343">
        <v>0</v>
      </c>
      <c r="Y3343">
        <v>0</v>
      </c>
      <c r="Z3343">
        <v>0</v>
      </c>
      <c r="AA3343" t="str">
        <f>"Y"</f>
        <v>Y</v>
      </c>
      <c r="AC3343">
        <v>0</v>
      </c>
      <c r="AM3343" t="str">
        <f>"10"</f>
        <v>10</v>
      </c>
      <c r="AN3343" t="str">
        <f>"500000"</f>
        <v>500000</v>
      </c>
      <c r="AO3343" t="str">
        <f>"הכנסות  מלקוחות"</f>
        <v>הכנסות  מלקוחות</v>
      </c>
      <c r="AQ3343" t="str">
        <f>"034"</f>
        <v>034</v>
      </c>
      <c r="AR3343">
        <v>0</v>
      </c>
      <c r="AS3343">
        <v>0</v>
      </c>
      <c r="AT3343">
        <v>3.3999000000000001</v>
      </c>
      <c r="BB3343" t="str">
        <f>"Y"</f>
        <v>Y</v>
      </c>
      <c r="BD3343" t="str">
        <f>"ערן שלו"</f>
        <v>ערן שלו</v>
      </c>
    </row>
    <row r="3344" spans="1:56" x14ac:dyDescent="0.3">
      <c r="A3344" s="1">
        <v>44140</v>
      </c>
      <c r="B3344" t="str">
        <f>"CR207000041"</f>
        <v>CR207000041</v>
      </c>
      <c r="C3344" t="str">
        <f>"PR20000210"</f>
        <v>PR20000210</v>
      </c>
      <c r="E3344" t="str">
        <f>"Y"</f>
        <v>Y</v>
      </c>
      <c r="F3344" t="str">
        <f>"חשבוניות זיכוי"</f>
        <v>חשבוניות זיכוי</v>
      </c>
      <c r="G3344" t="str">
        <f>"700065"</f>
        <v>700065</v>
      </c>
      <c r="H3344" t="str">
        <f>"אלתא מערכות בע""מ"</f>
        <v>אלתא מערכות בע"מ</v>
      </c>
      <c r="I3344" t="str">
        <f>"10"</f>
        <v>10</v>
      </c>
      <c r="J3344" t="str">
        <f>"9977"</f>
        <v>9977</v>
      </c>
      <c r="K3344" t="str">
        <f>"חיוב פיגורים בגין 5112332927 SI206000835"</f>
        <v>חיוב פיגורים בגין 5112332927 SI206000835</v>
      </c>
      <c r="L3344">
        <v>1</v>
      </c>
      <c r="M3344" t="str">
        <f>"חל"</f>
        <v>חל</v>
      </c>
      <c r="N3344">
        <v>1</v>
      </c>
      <c r="O3344" t="str">
        <f>"חל"</f>
        <v>חל</v>
      </c>
      <c r="P3344">
        <v>16.68</v>
      </c>
      <c r="Q3344" t="str">
        <f>"$"</f>
        <v>$</v>
      </c>
      <c r="R3344" t="str">
        <f>"ידני"</f>
        <v>ידני</v>
      </c>
      <c r="S3344">
        <v>0</v>
      </c>
      <c r="T3344">
        <v>56.71</v>
      </c>
      <c r="U3344">
        <v>0</v>
      </c>
      <c r="V3344">
        <v>56.71</v>
      </c>
      <c r="W3344" t="str">
        <f>"ש""ח"</f>
        <v>ש"ח</v>
      </c>
      <c r="X3344">
        <v>0</v>
      </c>
      <c r="Y3344">
        <v>0</v>
      </c>
      <c r="Z3344">
        <v>0</v>
      </c>
      <c r="AA3344" t="str">
        <f>"Y"</f>
        <v>Y</v>
      </c>
      <c r="AC3344">
        <v>0</v>
      </c>
      <c r="AM3344" t="str">
        <f>"10"</f>
        <v>10</v>
      </c>
      <c r="AN3344" t="str">
        <f>"500000"</f>
        <v>500000</v>
      </c>
      <c r="AO3344" t="str">
        <f>"הכנסות  מלקוחות"</f>
        <v>הכנסות  מלקוחות</v>
      </c>
      <c r="AQ3344" t="str">
        <f>"034"</f>
        <v>034</v>
      </c>
      <c r="AR3344">
        <v>0</v>
      </c>
      <c r="AS3344">
        <v>0</v>
      </c>
      <c r="AT3344">
        <v>3.3999000000000001</v>
      </c>
      <c r="BB3344" t="str">
        <f>"Y"</f>
        <v>Y</v>
      </c>
      <c r="BD3344" t="str">
        <f>"ערן שלו"</f>
        <v>ערן שלו</v>
      </c>
    </row>
    <row r="3345" spans="1:56" x14ac:dyDescent="0.3">
      <c r="A3345" s="1">
        <v>44140</v>
      </c>
      <c r="B3345" t="str">
        <f>"CR207000040"</f>
        <v>CR207000040</v>
      </c>
      <c r="C3345" t="str">
        <f>"PR20000115"</f>
        <v>PR20000115</v>
      </c>
      <c r="E3345" t="str">
        <f>"Y"</f>
        <v>Y</v>
      </c>
      <c r="F3345" t="str">
        <f>"חשבוניות זיכוי"</f>
        <v>חשבוניות זיכוי</v>
      </c>
      <c r="G3345" t="str">
        <f>"700065"</f>
        <v>700065</v>
      </c>
      <c r="H3345" t="str">
        <f>"אלתא מערכות בע""מ"</f>
        <v>אלתא מערכות בע"מ</v>
      </c>
      <c r="I3345" t="str">
        <f>"10"</f>
        <v>10</v>
      </c>
      <c r="J3345" t="str">
        <f>"9977"</f>
        <v>9977</v>
      </c>
      <c r="K3345" t="str">
        <f>"חיוב בגין פיגורים 5112332958 SI206000836"</f>
        <v>חיוב בגין פיגורים 5112332958 SI206000836</v>
      </c>
      <c r="L3345">
        <v>1</v>
      </c>
      <c r="M3345" t="str">
        <f>"חל"</f>
        <v>חל</v>
      </c>
      <c r="N3345">
        <v>1</v>
      </c>
      <c r="O3345" t="str">
        <f>"חל"</f>
        <v>חל</v>
      </c>
      <c r="P3345">
        <v>56.19</v>
      </c>
      <c r="Q3345" t="str">
        <f>"$"</f>
        <v>$</v>
      </c>
      <c r="R3345" t="str">
        <f>"ידני"</f>
        <v>ידני</v>
      </c>
      <c r="S3345">
        <v>0</v>
      </c>
      <c r="T3345">
        <v>191.05</v>
      </c>
      <c r="U3345">
        <v>0</v>
      </c>
      <c r="V3345">
        <v>191.05</v>
      </c>
      <c r="W3345" t="str">
        <f>"ש""ח"</f>
        <v>ש"ח</v>
      </c>
      <c r="X3345">
        <v>0</v>
      </c>
      <c r="Y3345">
        <v>0</v>
      </c>
      <c r="Z3345">
        <v>0</v>
      </c>
      <c r="AA3345" t="str">
        <f>"Y"</f>
        <v>Y</v>
      </c>
      <c r="AC3345">
        <v>0</v>
      </c>
      <c r="AM3345" t="str">
        <f>"10"</f>
        <v>10</v>
      </c>
      <c r="AN3345" t="str">
        <f>"500000"</f>
        <v>500000</v>
      </c>
      <c r="AO3345" t="str">
        <f>"הכנסות  מלקוחות"</f>
        <v>הכנסות  מלקוחות</v>
      </c>
      <c r="AQ3345" t="str">
        <f>"034"</f>
        <v>034</v>
      </c>
      <c r="AR3345">
        <v>0</v>
      </c>
      <c r="AS3345">
        <v>0</v>
      </c>
      <c r="AT3345">
        <v>3.4</v>
      </c>
      <c r="BB3345" t="str">
        <f>"Y"</f>
        <v>Y</v>
      </c>
      <c r="BD3345" t="str">
        <f>"ערן שלו"</f>
        <v>ערן שלו</v>
      </c>
    </row>
    <row r="3346" spans="1:56" x14ac:dyDescent="0.3">
      <c r="A3346" s="1">
        <v>44140</v>
      </c>
      <c r="B3346" t="str">
        <f>"CR207000039"</f>
        <v>CR207000039</v>
      </c>
      <c r="E3346" t="str">
        <f>"Y"</f>
        <v>Y</v>
      </c>
      <c r="F3346" t="str">
        <f>"חשבוניות זיכוי"</f>
        <v>חשבוניות זיכוי</v>
      </c>
      <c r="G3346" t="str">
        <f>"700065"</f>
        <v>700065</v>
      </c>
      <c r="H3346" t="str">
        <f>"אלתא מערכות בע""מ"</f>
        <v>אלתא מערכות בע"מ</v>
      </c>
      <c r="I3346" t="str">
        <f>"10"</f>
        <v>10</v>
      </c>
      <c r="J3346" t="str">
        <f>"9977"</f>
        <v>9977</v>
      </c>
      <c r="K3346" t="str">
        <f>"זיכוי בגין פיגורים 5112334344 SI206000847"</f>
        <v>זיכוי בגין פיגורים 5112334344 SI206000847</v>
      </c>
      <c r="L3346">
        <v>1</v>
      </c>
      <c r="M3346" t="str">
        <f>"חל"</f>
        <v>חל</v>
      </c>
      <c r="N3346">
        <v>1</v>
      </c>
      <c r="O3346" t="str">
        <f>"חל"</f>
        <v>חל</v>
      </c>
      <c r="P3346" s="2">
        <v>3994.8</v>
      </c>
      <c r="Q3346" t="str">
        <f>"$"</f>
        <v>$</v>
      </c>
      <c r="R3346" t="str">
        <f>"ידני"</f>
        <v>ידני</v>
      </c>
      <c r="S3346">
        <v>0</v>
      </c>
      <c r="T3346" s="2">
        <v>13598.3</v>
      </c>
      <c r="U3346">
        <v>0</v>
      </c>
      <c r="V3346" s="2">
        <v>13598.3</v>
      </c>
      <c r="W3346" t="str">
        <f>"ש""ח"</f>
        <v>ש"ח</v>
      </c>
      <c r="X3346">
        <v>0</v>
      </c>
      <c r="Y3346">
        <v>0</v>
      </c>
      <c r="Z3346">
        <v>0</v>
      </c>
      <c r="AA3346" t="str">
        <f>"Y"</f>
        <v>Y</v>
      </c>
      <c r="AC3346">
        <v>0</v>
      </c>
      <c r="AM3346" t="str">
        <f>"10"</f>
        <v>10</v>
      </c>
      <c r="AN3346" t="str">
        <f>"500000"</f>
        <v>500000</v>
      </c>
      <c r="AO3346" t="str">
        <f>"הכנסות  מלקוחות"</f>
        <v>הכנסות  מלקוחות</v>
      </c>
      <c r="AQ3346" t="str">
        <f>"034"</f>
        <v>034</v>
      </c>
      <c r="AR3346">
        <v>0</v>
      </c>
      <c r="AS3346">
        <v>0</v>
      </c>
      <c r="AT3346">
        <v>3.4039999999999999</v>
      </c>
      <c r="BB3346" t="str">
        <f>"Y"</f>
        <v>Y</v>
      </c>
      <c r="BD3346" t="str">
        <f>"ערן שלו"</f>
        <v>ערן שלו</v>
      </c>
    </row>
    <row r="3347" spans="1:56" x14ac:dyDescent="0.3">
      <c r="A3347" s="1">
        <v>44139</v>
      </c>
      <c r="B3347" t="str">
        <f>"SI206001176"</f>
        <v>SI206001176</v>
      </c>
      <c r="C3347" t="str">
        <f>"PR20000626"</f>
        <v>PR20000626</v>
      </c>
      <c r="D3347" t="str">
        <f>"PR20000626"</f>
        <v>PR20000626</v>
      </c>
      <c r="E3347" t="str">
        <f>"Y"</f>
        <v>Y</v>
      </c>
      <c r="F3347" t="str">
        <f>"חשבוניות מרכזות"</f>
        <v>חשבוניות מרכזות</v>
      </c>
      <c r="G3347" t="str">
        <f>"700065"</f>
        <v>700065</v>
      </c>
      <c r="H3347" t="str">
        <f>"אלתא מערכות בע""מ"</f>
        <v>אלתא מערכות בע"מ</v>
      </c>
      <c r="I3347" t="str">
        <f>"10"</f>
        <v>10</v>
      </c>
      <c r="J3347" t="str">
        <f>"000"</f>
        <v>000</v>
      </c>
      <c r="K3347" t="str">
        <f>"התקנת 7 מצברים במערכת יאיר הא"</f>
        <v>התקנת 7 מצברים במערכת יאיר הא</v>
      </c>
      <c r="L3347">
        <v>1</v>
      </c>
      <c r="M3347" t="str">
        <f>"יח"</f>
        <v>יח</v>
      </c>
      <c r="N3347">
        <v>1</v>
      </c>
      <c r="O3347" t="str">
        <f>"יח"</f>
        <v>יח</v>
      </c>
      <c r="P3347" s="2">
        <v>1430</v>
      </c>
      <c r="Q3347" t="str">
        <f>"$"</f>
        <v>$</v>
      </c>
      <c r="R3347" t="str">
        <f>"הזמנה"</f>
        <v>הזמנה</v>
      </c>
      <c r="S3347">
        <v>0</v>
      </c>
      <c r="T3347" s="2">
        <v>1430</v>
      </c>
      <c r="U3347">
        <v>0</v>
      </c>
      <c r="V3347" s="2">
        <v>1430</v>
      </c>
      <c r="W3347" t="str">
        <f>"$"</f>
        <v>$</v>
      </c>
      <c r="X3347">
        <v>0</v>
      </c>
      <c r="Y3347">
        <v>0</v>
      </c>
      <c r="Z3347">
        <v>0</v>
      </c>
      <c r="AA3347" t="str">
        <f>"Y"</f>
        <v>Y</v>
      </c>
      <c r="AB3347" t="str">
        <f>"SO20000411"</f>
        <v>SO20000411</v>
      </c>
      <c r="AC3347">
        <v>1</v>
      </c>
      <c r="AD3347" s="1">
        <v>44082</v>
      </c>
      <c r="AM3347" t="str">
        <f>"10"</f>
        <v>10</v>
      </c>
      <c r="AN3347" t="str">
        <f>"500000"</f>
        <v>500000</v>
      </c>
      <c r="AO3347" t="str">
        <f>"הכנסות  מלקוחות"</f>
        <v>הכנסות  מלקוחות</v>
      </c>
      <c r="AQ3347" t="str">
        <f>"034"</f>
        <v>034</v>
      </c>
      <c r="AR3347">
        <v>0</v>
      </c>
      <c r="AS3347">
        <v>0</v>
      </c>
      <c r="AT3347">
        <v>3.4159999999999999</v>
      </c>
      <c r="AX3347" t="str">
        <f>"E000320892"</f>
        <v>E000320892</v>
      </c>
      <c r="BD3347" t="str">
        <f>"ערן שלו"</f>
        <v>ערן שלו</v>
      </c>
    </row>
    <row r="3348" spans="1:56" x14ac:dyDescent="0.3">
      <c r="A3348" s="1">
        <v>44139</v>
      </c>
      <c r="B3348" t="str">
        <f>"SI206001175"</f>
        <v>SI206001175</v>
      </c>
      <c r="C3348" t="str">
        <f>"PR20000626"</f>
        <v>PR20000626</v>
      </c>
      <c r="E3348" t="str">
        <f>"Y"</f>
        <v>Y</v>
      </c>
      <c r="F3348" t="str">
        <f>"חשבוניות מרכזות"</f>
        <v>חשבוניות מרכזות</v>
      </c>
      <c r="G3348" t="str">
        <f>"700065"</f>
        <v>700065</v>
      </c>
      <c r="H3348" t="str">
        <f>"אלתא מערכות בע""מ"</f>
        <v>אלתא מערכות בע"מ</v>
      </c>
      <c r="I3348" t="str">
        <f>"10"</f>
        <v>10</v>
      </c>
      <c r="J3348" t="str">
        <f>"000"</f>
        <v>000</v>
      </c>
      <c r="K3348" t="str">
        <f>"התקנת 7 מצברים במערכת יאיר הא"</f>
        <v>התקנת 7 מצברים במערכת יאיר הא</v>
      </c>
      <c r="L3348">
        <v>-1</v>
      </c>
      <c r="M3348" t="str">
        <f>"יח"</f>
        <v>יח</v>
      </c>
      <c r="N3348">
        <v>-1</v>
      </c>
      <c r="O3348" t="str">
        <f>"יח"</f>
        <v>יח</v>
      </c>
      <c r="P3348" s="2">
        <v>1430</v>
      </c>
      <c r="Q3348" t="str">
        <f>"$"</f>
        <v>$</v>
      </c>
      <c r="R3348" t="str">
        <f>"הזמנה"</f>
        <v>הזמנה</v>
      </c>
      <c r="S3348">
        <v>0</v>
      </c>
      <c r="T3348" s="2">
        <v>-1430</v>
      </c>
      <c r="U3348">
        <v>0</v>
      </c>
      <c r="V3348" s="2">
        <v>-1430</v>
      </c>
      <c r="W3348" t="str">
        <f>"$"</f>
        <v>$</v>
      </c>
      <c r="X3348">
        <v>0</v>
      </c>
      <c r="Y3348">
        <v>0</v>
      </c>
      <c r="Z3348">
        <v>0</v>
      </c>
      <c r="AA3348" t="str">
        <f>"Y"</f>
        <v>Y</v>
      </c>
      <c r="AC3348">
        <v>0</v>
      </c>
      <c r="AM3348" t="str">
        <f>"10"</f>
        <v>10</v>
      </c>
      <c r="AN3348" t="str">
        <f>"500000"</f>
        <v>500000</v>
      </c>
      <c r="AO3348" t="str">
        <f>"הכנסות  מלקוחות"</f>
        <v>הכנסות  מלקוחות</v>
      </c>
      <c r="AQ3348" t="str">
        <f>"034"</f>
        <v>034</v>
      </c>
      <c r="AR3348">
        <v>0</v>
      </c>
      <c r="AS3348">
        <v>0</v>
      </c>
      <c r="AT3348">
        <v>3.4</v>
      </c>
      <c r="BB3348" t="str">
        <f>"Y"</f>
        <v>Y</v>
      </c>
      <c r="BD3348" t="str">
        <f>"ערן שלו"</f>
        <v>ערן שלו</v>
      </c>
    </row>
    <row r="3349" spans="1:56" x14ac:dyDescent="0.3">
      <c r="A3349" s="1">
        <v>44139</v>
      </c>
      <c r="B3349" t="str">
        <f>"SI206001174"</f>
        <v>SI206001174</v>
      </c>
      <c r="C3349" t="str">
        <f>"PR20000626"</f>
        <v>PR20000626</v>
      </c>
      <c r="E3349" t="str">
        <f>"Y"</f>
        <v>Y</v>
      </c>
      <c r="F3349" t="str">
        <f>"חשבוניות מרכזות"</f>
        <v>חשבוניות מרכזות</v>
      </c>
      <c r="G3349" t="str">
        <f>"700065"</f>
        <v>700065</v>
      </c>
      <c r="H3349" t="str">
        <f>"אלתא מערכות בע""מ"</f>
        <v>אלתא מערכות בע"מ</v>
      </c>
      <c r="I3349" t="str">
        <f>"10"</f>
        <v>10</v>
      </c>
      <c r="J3349" t="str">
        <f>"000"</f>
        <v>000</v>
      </c>
      <c r="K3349" t="str">
        <f>"התקנת 7 מצברים במערכת יאיר הא"</f>
        <v>התקנת 7 מצברים במערכת יאיר הא</v>
      </c>
      <c r="L3349">
        <v>1</v>
      </c>
      <c r="M3349" t="str">
        <f>"יח"</f>
        <v>יח</v>
      </c>
      <c r="N3349">
        <v>1</v>
      </c>
      <c r="O3349" t="str">
        <f>"יח"</f>
        <v>יח</v>
      </c>
      <c r="P3349" s="2">
        <v>1430</v>
      </c>
      <c r="Q3349" t="str">
        <f>"$"</f>
        <v>$</v>
      </c>
      <c r="R3349" t="str">
        <f>"הזמנה"</f>
        <v>הזמנה</v>
      </c>
      <c r="S3349">
        <v>0</v>
      </c>
      <c r="T3349" s="2">
        <v>1430</v>
      </c>
      <c r="U3349">
        <v>0</v>
      </c>
      <c r="V3349" s="2">
        <v>1430</v>
      </c>
      <c r="W3349" t="str">
        <f>"$"</f>
        <v>$</v>
      </c>
      <c r="X3349">
        <v>0</v>
      </c>
      <c r="Y3349">
        <v>0</v>
      </c>
      <c r="Z3349">
        <v>0</v>
      </c>
      <c r="AA3349" t="str">
        <f>"Y"</f>
        <v>Y</v>
      </c>
      <c r="AC3349">
        <v>0</v>
      </c>
      <c r="AM3349" t="str">
        <f>"10"</f>
        <v>10</v>
      </c>
      <c r="AN3349" t="str">
        <f>"500000"</f>
        <v>500000</v>
      </c>
      <c r="AO3349" t="str">
        <f>"הכנסות  מלקוחות"</f>
        <v>הכנסות  מלקוחות</v>
      </c>
      <c r="AQ3349" t="str">
        <f>"034"</f>
        <v>034</v>
      </c>
      <c r="AR3349">
        <v>0</v>
      </c>
      <c r="AS3349">
        <v>0</v>
      </c>
      <c r="AT3349">
        <v>3.4</v>
      </c>
      <c r="BB3349" t="str">
        <f>"Y"</f>
        <v>Y</v>
      </c>
      <c r="BD3349" t="str">
        <f>"ערן שלו"</f>
        <v>ערן שלו</v>
      </c>
    </row>
    <row r="3350" spans="1:56" x14ac:dyDescent="0.3">
      <c r="A3350" s="1">
        <v>44134</v>
      </c>
      <c r="B3350" t="str">
        <f>"CR207000069"</f>
        <v>CR207000069</v>
      </c>
      <c r="E3350" t="str">
        <f>"Y"</f>
        <v>Y</v>
      </c>
      <c r="F3350" t="str">
        <f>"חשבוניות זיכוי"</f>
        <v>חשבוניות זיכוי</v>
      </c>
      <c r="G3350" t="str">
        <f>"700065"</f>
        <v>700065</v>
      </c>
      <c r="H3350" t="str">
        <f>"אלתא מערכות בע""מ"</f>
        <v>אלתא מערכות בע"מ</v>
      </c>
      <c r="I3350" t="str">
        <f>"10"</f>
        <v>10</v>
      </c>
      <c r="J3350" t="str">
        <f>"999"</f>
        <v>999</v>
      </c>
      <c r="K3350" t="str">
        <f>"9004W743-001 HARNESS WS103 RP-P3"</f>
        <v>9004W743-001 HARNESS WS103 RP-P3</v>
      </c>
      <c r="L3350">
        <v>1</v>
      </c>
      <c r="M3350" t="str">
        <f>"חל"</f>
        <v>חל</v>
      </c>
      <c r="N3350">
        <v>1</v>
      </c>
      <c r="O3350" t="str">
        <f>"חל"</f>
        <v>חל</v>
      </c>
      <c r="P3350">
        <v>201.52</v>
      </c>
      <c r="Q3350" t="str">
        <f>"$"</f>
        <v>$</v>
      </c>
      <c r="R3350" t="str">
        <f>"ידני"</f>
        <v>ידני</v>
      </c>
      <c r="S3350">
        <v>0</v>
      </c>
      <c r="T3350">
        <v>201.52</v>
      </c>
      <c r="U3350">
        <v>0</v>
      </c>
      <c r="V3350">
        <v>201.52</v>
      </c>
      <c r="W3350" t="str">
        <f>"$"</f>
        <v>$</v>
      </c>
      <c r="X3350">
        <v>0</v>
      </c>
      <c r="Y3350">
        <v>0</v>
      </c>
      <c r="Z3350">
        <v>0</v>
      </c>
      <c r="AA3350" t="str">
        <f>"Y"</f>
        <v>Y</v>
      </c>
      <c r="AC3350">
        <v>0</v>
      </c>
      <c r="AM3350" t="str">
        <f>"10"</f>
        <v>10</v>
      </c>
      <c r="AN3350" t="str">
        <f>"500000"</f>
        <v>500000</v>
      </c>
      <c r="AO3350" t="str">
        <f>"הכנסות  מלקוחות"</f>
        <v>הכנסות  מלקוחות</v>
      </c>
      <c r="AP3350" t="str">
        <f>"Y"</f>
        <v>Y</v>
      </c>
      <c r="AQ3350" t="str">
        <f>"034"</f>
        <v>034</v>
      </c>
      <c r="AR3350">
        <v>0</v>
      </c>
      <c r="AS3350">
        <v>0</v>
      </c>
      <c r="AT3350">
        <v>3.516</v>
      </c>
      <c r="BD3350" t="str">
        <f>"ערן שלו"</f>
        <v>ערן שלו</v>
      </c>
    </row>
    <row r="3351" spans="1:56" x14ac:dyDescent="0.3">
      <c r="A3351" s="1">
        <v>44134</v>
      </c>
      <c r="B3351" t="str">
        <f>"CR207000069"</f>
        <v>CR207000069</v>
      </c>
      <c r="E3351" t="str">
        <f>"Y"</f>
        <v>Y</v>
      </c>
      <c r="F3351" t="str">
        <f>"חשבוניות זיכוי"</f>
        <v>חשבוניות זיכוי</v>
      </c>
      <c r="G3351" t="str">
        <f>"700065"</f>
        <v>700065</v>
      </c>
      <c r="H3351" t="str">
        <f>"אלתא מערכות בע""מ"</f>
        <v>אלתא מערכות בע"מ</v>
      </c>
      <c r="I3351" t="str">
        <f>"10"</f>
        <v>10</v>
      </c>
      <c r="J3351" t="str">
        <f>"999"</f>
        <v>999</v>
      </c>
      <c r="K3351" t="str">
        <f>"9004W744-001 HARNESS WS104 RP TO TX"</f>
        <v>9004W744-001 HARNESS WS104 RP TO TX</v>
      </c>
      <c r="L3351">
        <v>1</v>
      </c>
      <c r="M3351" t="str">
        <f>"חל"</f>
        <v>חל</v>
      </c>
      <c r="N3351">
        <v>1</v>
      </c>
      <c r="O3351" t="str">
        <f>"חל"</f>
        <v>חל</v>
      </c>
      <c r="P3351">
        <v>26.3</v>
      </c>
      <c r="Q3351" t="str">
        <f>"$"</f>
        <v>$</v>
      </c>
      <c r="R3351" t="str">
        <f>"ידני"</f>
        <v>ידני</v>
      </c>
      <c r="S3351">
        <v>0</v>
      </c>
      <c r="T3351">
        <v>26.3</v>
      </c>
      <c r="U3351">
        <v>0</v>
      </c>
      <c r="V3351">
        <v>26.3</v>
      </c>
      <c r="W3351" t="str">
        <f>"$"</f>
        <v>$</v>
      </c>
      <c r="X3351">
        <v>0</v>
      </c>
      <c r="Y3351">
        <v>0</v>
      </c>
      <c r="Z3351">
        <v>0</v>
      </c>
      <c r="AA3351" t="str">
        <f>"Y"</f>
        <v>Y</v>
      </c>
      <c r="AC3351">
        <v>0</v>
      </c>
      <c r="AM3351" t="str">
        <f>"10"</f>
        <v>10</v>
      </c>
      <c r="AN3351" t="str">
        <f>"500000"</f>
        <v>500000</v>
      </c>
      <c r="AO3351" t="str">
        <f>"הכנסות  מלקוחות"</f>
        <v>הכנסות  מלקוחות</v>
      </c>
      <c r="AP3351" t="str">
        <f>"Y"</f>
        <v>Y</v>
      </c>
      <c r="AQ3351" t="str">
        <f>"034"</f>
        <v>034</v>
      </c>
      <c r="AR3351">
        <v>0</v>
      </c>
      <c r="AS3351">
        <v>0</v>
      </c>
      <c r="AT3351">
        <v>3.516</v>
      </c>
      <c r="BD3351" t="str">
        <f>"ערן שלו"</f>
        <v>ערן שלו</v>
      </c>
    </row>
    <row r="3352" spans="1:56" x14ac:dyDescent="0.3">
      <c r="A3352" s="1">
        <v>44134</v>
      </c>
      <c r="B3352" t="str">
        <f>"CR207000069"</f>
        <v>CR207000069</v>
      </c>
      <c r="E3352" t="str">
        <f>"Y"</f>
        <v>Y</v>
      </c>
      <c r="F3352" t="str">
        <f>"חשבוניות זיכוי"</f>
        <v>חשבוניות זיכוי</v>
      </c>
      <c r="G3352" t="str">
        <f>"700065"</f>
        <v>700065</v>
      </c>
      <c r="H3352" t="str">
        <f>"אלתא מערכות בע""מ"</f>
        <v>אלתא מערכות בע"מ</v>
      </c>
      <c r="I3352" t="str">
        <f>"10"</f>
        <v>10</v>
      </c>
      <c r="J3352" t="str">
        <f>"999"</f>
        <v>999</v>
      </c>
      <c r="K3352" t="str">
        <f>"9004W747-001 HARNESS WS107 ANT MOT DRV"</f>
        <v>9004W747-001 HARNESS WS107 ANT MOT DRV</v>
      </c>
      <c r="L3352">
        <v>1</v>
      </c>
      <c r="M3352" t="str">
        <f>"חל"</f>
        <v>חל</v>
      </c>
      <c r="N3352">
        <v>1</v>
      </c>
      <c r="O3352" t="str">
        <f>"חל"</f>
        <v>חל</v>
      </c>
      <c r="P3352">
        <v>39.49</v>
      </c>
      <c r="Q3352" t="str">
        <f>"$"</f>
        <v>$</v>
      </c>
      <c r="R3352" t="str">
        <f>"ידני"</f>
        <v>ידני</v>
      </c>
      <c r="S3352">
        <v>0</v>
      </c>
      <c r="T3352">
        <v>39.49</v>
      </c>
      <c r="U3352">
        <v>0</v>
      </c>
      <c r="V3352">
        <v>39.49</v>
      </c>
      <c r="W3352" t="str">
        <f>"$"</f>
        <v>$</v>
      </c>
      <c r="X3352">
        <v>0</v>
      </c>
      <c r="Y3352">
        <v>0</v>
      </c>
      <c r="Z3352">
        <v>0</v>
      </c>
      <c r="AA3352" t="str">
        <f>"Y"</f>
        <v>Y</v>
      </c>
      <c r="AC3352">
        <v>0</v>
      </c>
      <c r="AM3352" t="str">
        <f>"10"</f>
        <v>10</v>
      </c>
      <c r="AN3352" t="str">
        <f>"500000"</f>
        <v>500000</v>
      </c>
      <c r="AO3352" t="str">
        <f>"הכנסות  מלקוחות"</f>
        <v>הכנסות  מלקוחות</v>
      </c>
      <c r="AP3352" t="str">
        <f>"Y"</f>
        <v>Y</v>
      </c>
      <c r="AQ3352" t="str">
        <f>"034"</f>
        <v>034</v>
      </c>
      <c r="AR3352">
        <v>0</v>
      </c>
      <c r="AS3352">
        <v>0</v>
      </c>
      <c r="AT3352">
        <v>3.516</v>
      </c>
      <c r="BD3352" t="str">
        <f>"ערן שלו"</f>
        <v>ערן שלו</v>
      </c>
    </row>
    <row r="3353" spans="1:56" x14ac:dyDescent="0.3">
      <c r="A3353" s="1">
        <v>44134</v>
      </c>
      <c r="B3353" t="str">
        <f>"CR207000069"</f>
        <v>CR207000069</v>
      </c>
      <c r="E3353" t="str">
        <f>"Y"</f>
        <v>Y</v>
      </c>
      <c r="F3353" t="str">
        <f>"חשבוניות זיכוי"</f>
        <v>חשבוניות זיכוי</v>
      </c>
      <c r="G3353" t="str">
        <f>"700065"</f>
        <v>700065</v>
      </c>
      <c r="H3353" t="str">
        <f>"אלתא מערכות בע""מ"</f>
        <v>אלתא מערכות בע"מ</v>
      </c>
      <c r="I3353" t="str">
        <f>"10"</f>
        <v>10</v>
      </c>
      <c r="J3353" t="str">
        <f>"999"</f>
        <v>999</v>
      </c>
      <c r="K3353" t="str">
        <f>"9004W750-001 HARNESS WS121 NCDR"</f>
        <v>9004W750-001 HARNESS WS121 NCDR</v>
      </c>
      <c r="L3353">
        <v>1</v>
      </c>
      <c r="M3353" t="str">
        <f>"חל"</f>
        <v>חל</v>
      </c>
      <c r="N3353">
        <v>1</v>
      </c>
      <c r="O3353" t="str">
        <f>"חל"</f>
        <v>חל</v>
      </c>
      <c r="P3353">
        <v>32.83</v>
      </c>
      <c r="Q3353" t="str">
        <f>"$"</f>
        <v>$</v>
      </c>
      <c r="R3353" t="str">
        <f>"ידני"</f>
        <v>ידני</v>
      </c>
      <c r="S3353">
        <v>0</v>
      </c>
      <c r="T3353">
        <v>32.83</v>
      </c>
      <c r="U3353">
        <v>0</v>
      </c>
      <c r="V3353">
        <v>32.83</v>
      </c>
      <c r="W3353" t="str">
        <f>"$"</f>
        <v>$</v>
      </c>
      <c r="X3353">
        <v>0</v>
      </c>
      <c r="Y3353">
        <v>0</v>
      </c>
      <c r="Z3353">
        <v>0</v>
      </c>
      <c r="AA3353" t="str">
        <f>"Y"</f>
        <v>Y</v>
      </c>
      <c r="AC3353">
        <v>0</v>
      </c>
      <c r="AM3353" t="str">
        <f>"10"</f>
        <v>10</v>
      </c>
      <c r="AN3353" t="str">
        <f>"500000"</f>
        <v>500000</v>
      </c>
      <c r="AO3353" t="str">
        <f>"הכנסות  מלקוחות"</f>
        <v>הכנסות  מלקוחות</v>
      </c>
      <c r="AP3353" t="str">
        <f>"Y"</f>
        <v>Y</v>
      </c>
      <c r="AQ3353" t="str">
        <f>"034"</f>
        <v>034</v>
      </c>
      <c r="AR3353">
        <v>0</v>
      </c>
      <c r="AS3353">
        <v>0</v>
      </c>
      <c r="AT3353">
        <v>3.516</v>
      </c>
      <c r="BD3353" t="str">
        <f>"ערן שלו"</f>
        <v>ערן שלו</v>
      </c>
    </row>
    <row r="3354" spans="1:56" x14ac:dyDescent="0.3">
      <c r="A3354" s="1">
        <v>44134</v>
      </c>
      <c r="B3354" t="str">
        <f>"CR207000069"</f>
        <v>CR207000069</v>
      </c>
      <c r="E3354" t="str">
        <f>"Y"</f>
        <v>Y</v>
      </c>
      <c r="F3354" t="str">
        <f>"חשבוניות זיכוי"</f>
        <v>חשבוניות זיכוי</v>
      </c>
      <c r="G3354" t="str">
        <f>"700065"</f>
        <v>700065</v>
      </c>
      <c r="H3354" t="str">
        <f>"אלתא מערכות בע""מ"</f>
        <v>אלתא מערכות בע"מ</v>
      </c>
      <c r="I3354" t="str">
        <f>"10"</f>
        <v>10</v>
      </c>
      <c r="J3354" t="str">
        <f>"999"</f>
        <v>999</v>
      </c>
      <c r="K3354" t="str">
        <f>"9004W754-001 HARNESS WS194 RCP PWR IN"</f>
        <v>9004W754-001 HARNESS WS194 RCP PWR IN</v>
      </c>
      <c r="L3354">
        <v>1</v>
      </c>
      <c r="M3354" t="str">
        <f>"חל"</f>
        <v>חל</v>
      </c>
      <c r="N3354">
        <v>1</v>
      </c>
      <c r="O3354" t="str">
        <f>"חל"</f>
        <v>חל</v>
      </c>
      <c r="P3354">
        <v>8.07</v>
      </c>
      <c r="Q3354" t="str">
        <f>"$"</f>
        <v>$</v>
      </c>
      <c r="R3354" t="str">
        <f>"ידני"</f>
        <v>ידני</v>
      </c>
      <c r="S3354">
        <v>0</v>
      </c>
      <c r="T3354">
        <v>8.07</v>
      </c>
      <c r="U3354">
        <v>0</v>
      </c>
      <c r="V3354">
        <v>8.07</v>
      </c>
      <c r="W3354" t="str">
        <f>"$"</f>
        <v>$</v>
      </c>
      <c r="X3354">
        <v>0</v>
      </c>
      <c r="Y3354">
        <v>0</v>
      </c>
      <c r="Z3354">
        <v>0</v>
      </c>
      <c r="AA3354" t="str">
        <f>"Y"</f>
        <v>Y</v>
      </c>
      <c r="AC3354">
        <v>0</v>
      </c>
      <c r="AM3354" t="str">
        <f>"10"</f>
        <v>10</v>
      </c>
      <c r="AN3354" t="str">
        <f>"500000"</f>
        <v>500000</v>
      </c>
      <c r="AO3354" t="str">
        <f>"הכנסות  מלקוחות"</f>
        <v>הכנסות  מלקוחות</v>
      </c>
      <c r="AP3354" t="str">
        <f>"Y"</f>
        <v>Y</v>
      </c>
      <c r="AQ3354" t="str">
        <f>"034"</f>
        <v>034</v>
      </c>
      <c r="AR3354">
        <v>0</v>
      </c>
      <c r="AS3354">
        <v>0</v>
      </c>
      <c r="AT3354">
        <v>3.516</v>
      </c>
      <c r="BD3354" t="str">
        <f>"ערן שלו"</f>
        <v>ערן שלו</v>
      </c>
    </row>
    <row r="3355" spans="1:56" x14ac:dyDescent="0.3">
      <c r="A3355" s="1">
        <v>44133</v>
      </c>
      <c r="B3355" t="str">
        <f>"SI206001117"</f>
        <v>SI206001117</v>
      </c>
      <c r="C3355" t="str">
        <f>"PR20000500"</f>
        <v>PR20000500</v>
      </c>
      <c r="D3355" t="str">
        <f>"PR20000500"</f>
        <v>PR20000500</v>
      </c>
      <c r="E3355" t="str">
        <f>"Y"</f>
        <v>Y</v>
      </c>
      <c r="F3355" t="str">
        <f>"חשבוניות מרכזות"</f>
        <v>חשבוניות מרכזות</v>
      </c>
      <c r="G3355" t="str">
        <f>"700065"</f>
        <v>700065</v>
      </c>
      <c r="H3355" t="str">
        <f>"אלתא מערכות בע""מ"</f>
        <v>אלתא מערכות בע"מ</v>
      </c>
      <c r="I3355" t="str">
        <f>"10"</f>
        <v>10</v>
      </c>
      <c r="J3355" t="str">
        <f>"OP-AR01936"</f>
        <v>OP-AR01936</v>
      </c>
      <c r="K3355" t="str">
        <f>"1023B564-001   CABLE ASSY WV064"</f>
        <v>1023B564-001   CABLE ASSY WV064</v>
      </c>
      <c r="L3355">
        <v>8</v>
      </c>
      <c r="M3355" t="str">
        <f>"יח"</f>
        <v>יח</v>
      </c>
      <c r="N3355">
        <v>8</v>
      </c>
      <c r="O3355" t="str">
        <f>"יח"</f>
        <v>יח</v>
      </c>
      <c r="P3355">
        <v>309.24</v>
      </c>
      <c r="Q3355" t="str">
        <f>"$"</f>
        <v>$</v>
      </c>
      <c r="R3355" t="str">
        <f>"הזמנה"</f>
        <v>הזמנה</v>
      </c>
      <c r="S3355">
        <v>0</v>
      </c>
      <c r="T3355" s="2">
        <v>2473.92</v>
      </c>
      <c r="U3355">
        <v>0</v>
      </c>
      <c r="V3355" s="2">
        <v>2473.92</v>
      </c>
      <c r="W3355" t="str">
        <f>"$"</f>
        <v>$</v>
      </c>
      <c r="X3355">
        <v>0</v>
      </c>
      <c r="Y3355">
        <v>0</v>
      </c>
      <c r="Z3355">
        <v>0</v>
      </c>
      <c r="AA3355" t="str">
        <f>"Y"</f>
        <v>Y</v>
      </c>
      <c r="AB3355" t="str">
        <f>"SO20000307"</f>
        <v>SO20000307</v>
      </c>
      <c r="AC3355">
        <v>2</v>
      </c>
      <c r="AD3355" s="1">
        <v>44031</v>
      </c>
      <c r="AE3355" t="str">
        <f>"SH20001402"</f>
        <v>SH20001402</v>
      </c>
      <c r="AF3355" t="str">
        <f>"משלוחים ללקוח"</f>
        <v>משלוחים ללקוח</v>
      </c>
      <c r="AG3355" s="1">
        <v>44131</v>
      </c>
      <c r="AM3355" t="str">
        <f>"10"</f>
        <v>10</v>
      </c>
      <c r="AN3355" t="str">
        <f>"500000"</f>
        <v>500000</v>
      </c>
      <c r="AO3355" t="str">
        <f>"הכנסות  מלקוחות"</f>
        <v>הכנסות  מלקוחות</v>
      </c>
      <c r="AQ3355" t="str">
        <f>"034"</f>
        <v>034</v>
      </c>
      <c r="AR3355">
        <v>0</v>
      </c>
      <c r="AS3355">
        <v>0</v>
      </c>
      <c r="AT3355">
        <v>3.3929999999999998</v>
      </c>
      <c r="AX3355" t="str">
        <f>"E000316435"</f>
        <v>E000316435</v>
      </c>
      <c r="BD3355" t="str">
        <f>"ערן שלו"</f>
        <v>ערן שלו</v>
      </c>
    </row>
    <row r="3356" spans="1:56" x14ac:dyDescent="0.3">
      <c r="A3356" s="1">
        <v>44133</v>
      </c>
      <c r="B3356" t="str">
        <f>"SI206001116"</f>
        <v>SI206001116</v>
      </c>
      <c r="C3356" t="str">
        <f>"PR20000348"</f>
        <v>PR20000348</v>
      </c>
      <c r="E3356" t="str">
        <f>"Y"</f>
        <v>Y</v>
      </c>
      <c r="F3356" t="str">
        <f>"חשבוניות מרכזות"</f>
        <v>חשבוניות מרכזות</v>
      </c>
      <c r="G3356" t="str">
        <f>"700065"</f>
        <v>700065</v>
      </c>
      <c r="H3356" t="str">
        <f>"אלתא מערכות בע""מ"</f>
        <v>אלתא מערכות בע"מ</v>
      </c>
      <c r="I3356" t="str">
        <f>"10"</f>
        <v>10</v>
      </c>
      <c r="J3356" t="str">
        <f>"OP-AR01755"</f>
        <v>OP-AR01755</v>
      </c>
      <c r="K3356" t="str">
        <f>"1036U445-001 WP445 - CONTROL 48VDC BATTERY TO CH"</f>
        <v>1036U445-001 WP445 - CONTROL 48VDC BATTERY TO CH</v>
      </c>
      <c r="L3356">
        <v>2</v>
      </c>
      <c r="M3356" t="str">
        <f>"יח"</f>
        <v>יח</v>
      </c>
      <c r="N3356">
        <v>2</v>
      </c>
      <c r="O3356" t="str">
        <f>"יח"</f>
        <v>יח</v>
      </c>
      <c r="P3356">
        <v>532.86</v>
      </c>
      <c r="Q3356" t="str">
        <f>"$"</f>
        <v>$</v>
      </c>
      <c r="R3356" t="str">
        <f>"הזמנה"</f>
        <v>הזמנה</v>
      </c>
      <c r="S3356">
        <v>0</v>
      </c>
      <c r="T3356" s="2">
        <v>1065.72</v>
      </c>
      <c r="U3356">
        <v>0</v>
      </c>
      <c r="V3356" s="2">
        <v>1065.72</v>
      </c>
      <c r="W3356" t="str">
        <f>"$"</f>
        <v>$</v>
      </c>
      <c r="X3356">
        <v>0</v>
      </c>
      <c r="Y3356">
        <v>0</v>
      </c>
      <c r="Z3356">
        <v>0</v>
      </c>
      <c r="AA3356" t="str">
        <f>"Y"</f>
        <v>Y</v>
      </c>
      <c r="AB3356" t="str">
        <f>"SO20000201"</f>
        <v>SO20000201</v>
      </c>
      <c r="AC3356">
        <v>23</v>
      </c>
      <c r="AD3356" s="1">
        <v>43970</v>
      </c>
      <c r="AE3356" t="str">
        <f>"SH20001404"</f>
        <v>SH20001404</v>
      </c>
      <c r="AF3356" t="str">
        <f>"משלוחים ללקוח"</f>
        <v>משלוחים ללקוח</v>
      </c>
      <c r="AG3356" s="1">
        <v>44131</v>
      </c>
      <c r="AM3356" t="str">
        <f>"10"</f>
        <v>10</v>
      </c>
      <c r="AN3356" t="str">
        <f>"500000"</f>
        <v>500000</v>
      </c>
      <c r="AO3356" t="str">
        <f>"הכנסות  מלקוחות"</f>
        <v>הכנסות  מלקוחות</v>
      </c>
      <c r="AQ3356" t="str">
        <f>"034"</f>
        <v>034</v>
      </c>
      <c r="AR3356">
        <v>0</v>
      </c>
      <c r="AS3356">
        <v>0</v>
      </c>
      <c r="AT3356">
        <v>3.3929999999999998</v>
      </c>
      <c r="AX3356" t="str">
        <f>"E000311250"</f>
        <v>E000311250</v>
      </c>
      <c r="BD3356" t="str">
        <f>"ערן שלו"</f>
        <v>ערן שלו</v>
      </c>
    </row>
    <row r="3357" spans="1:56" x14ac:dyDescent="0.3">
      <c r="A3357" s="1">
        <v>44133</v>
      </c>
      <c r="B3357" t="str">
        <f>"SI206001116"</f>
        <v>SI206001116</v>
      </c>
      <c r="C3357" t="str">
        <f>"PR20000348"</f>
        <v>PR20000348</v>
      </c>
      <c r="E3357" t="str">
        <f>"Y"</f>
        <v>Y</v>
      </c>
      <c r="F3357" t="str">
        <f>"חשבוניות מרכזות"</f>
        <v>חשבוניות מרכזות</v>
      </c>
      <c r="G3357" t="str">
        <f>"700065"</f>
        <v>700065</v>
      </c>
      <c r="H3357" t="str">
        <f>"אלתא מערכות בע""מ"</f>
        <v>אלתא מערכות בע"מ</v>
      </c>
      <c r="I3357" t="str">
        <f>"10"</f>
        <v>10</v>
      </c>
      <c r="J3357" t="str">
        <f>"OP-AR01757"</f>
        <v>OP-AR01757</v>
      </c>
      <c r="K3357" t="str">
        <f>"1036U461-001 WP461 - RIGHT REAR POWER JACK-EXTEN"</f>
        <v>1036U461-001 WP461 - RIGHT REAR POWER JACK-EXTEN</v>
      </c>
      <c r="L3357">
        <v>2</v>
      </c>
      <c r="M3357" t="str">
        <f>"יח"</f>
        <v>יח</v>
      </c>
      <c r="N3357">
        <v>2</v>
      </c>
      <c r="O3357" t="str">
        <f>"יח"</f>
        <v>יח</v>
      </c>
      <c r="P3357">
        <v>499.33</v>
      </c>
      <c r="Q3357" t="str">
        <f>"$"</f>
        <v>$</v>
      </c>
      <c r="R3357" t="str">
        <f>"הזמנה"</f>
        <v>הזמנה</v>
      </c>
      <c r="S3357">
        <v>0</v>
      </c>
      <c r="T3357">
        <v>998.66</v>
      </c>
      <c r="U3357">
        <v>0</v>
      </c>
      <c r="V3357">
        <v>998.66</v>
      </c>
      <c r="W3357" t="str">
        <f>"$"</f>
        <v>$</v>
      </c>
      <c r="X3357">
        <v>0</v>
      </c>
      <c r="Y3357">
        <v>0</v>
      </c>
      <c r="Z3357">
        <v>0</v>
      </c>
      <c r="AA3357" t="str">
        <f>"Y"</f>
        <v>Y</v>
      </c>
      <c r="AB3357" t="str">
        <f>"SO20000201"</f>
        <v>SO20000201</v>
      </c>
      <c r="AC3357">
        <v>25</v>
      </c>
      <c r="AD3357" s="1">
        <v>43970</v>
      </c>
      <c r="AE3357" t="str">
        <f>"SH20001404"</f>
        <v>SH20001404</v>
      </c>
      <c r="AF3357" t="str">
        <f>"משלוחים ללקוח"</f>
        <v>משלוחים ללקוח</v>
      </c>
      <c r="AG3357" s="1">
        <v>44131</v>
      </c>
      <c r="AM3357" t="str">
        <f>"10"</f>
        <v>10</v>
      </c>
      <c r="AN3357" t="str">
        <f>"500000"</f>
        <v>500000</v>
      </c>
      <c r="AO3357" t="str">
        <f>"הכנסות  מלקוחות"</f>
        <v>הכנסות  מלקוחות</v>
      </c>
      <c r="AQ3357" t="str">
        <f>"034"</f>
        <v>034</v>
      </c>
      <c r="AR3357">
        <v>0</v>
      </c>
      <c r="AS3357">
        <v>0</v>
      </c>
      <c r="AT3357">
        <v>3.3929999999999998</v>
      </c>
      <c r="AX3357" t="str">
        <f>"E000311250"</f>
        <v>E000311250</v>
      </c>
      <c r="BD3357" t="str">
        <f>"ערן שלו"</f>
        <v>ערן שלו</v>
      </c>
    </row>
    <row r="3358" spans="1:56" x14ac:dyDescent="0.3">
      <c r="A3358" s="1">
        <v>44133</v>
      </c>
      <c r="B3358" t="str">
        <f>"SI206001116"</f>
        <v>SI206001116</v>
      </c>
      <c r="C3358" t="str">
        <f>"PR20000348"</f>
        <v>PR20000348</v>
      </c>
      <c r="E3358" t="str">
        <f>"Y"</f>
        <v>Y</v>
      </c>
      <c r="F3358" t="str">
        <f>"חשבוניות מרכזות"</f>
        <v>חשבוניות מרכזות</v>
      </c>
      <c r="G3358" t="str">
        <f>"700065"</f>
        <v>700065</v>
      </c>
      <c r="H3358" t="str">
        <f>"אלתא מערכות בע""מ"</f>
        <v>אלתא מערכות בע"מ</v>
      </c>
      <c r="I3358" t="str">
        <f>"10"</f>
        <v>10</v>
      </c>
      <c r="J3358" t="str">
        <f>"OP-AR01761"</f>
        <v>OP-AR01761</v>
      </c>
      <c r="K3358" t="str">
        <f>"1036U406-001 WP436 - POWER 400VAC AUX-BOX TO MEB"</f>
        <v>1036U406-001 WP436 - POWER 400VAC AUX-BOX TO MEB</v>
      </c>
      <c r="L3358">
        <v>2</v>
      </c>
      <c r="M3358" t="str">
        <f>"יח"</f>
        <v>יח</v>
      </c>
      <c r="N3358">
        <v>2</v>
      </c>
      <c r="O3358" t="str">
        <f>"יח"</f>
        <v>יח</v>
      </c>
      <c r="P3358">
        <v>780.43</v>
      </c>
      <c r="Q3358" t="str">
        <f>"$"</f>
        <v>$</v>
      </c>
      <c r="R3358" t="str">
        <f>"הזמנה"</f>
        <v>הזמנה</v>
      </c>
      <c r="S3358">
        <v>0</v>
      </c>
      <c r="T3358" s="2">
        <v>1560.86</v>
      </c>
      <c r="U3358">
        <v>0</v>
      </c>
      <c r="V3358" s="2">
        <v>1560.86</v>
      </c>
      <c r="W3358" t="str">
        <f>"$"</f>
        <v>$</v>
      </c>
      <c r="X3358">
        <v>0</v>
      </c>
      <c r="Y3358">
        <v>0</v>
      </c>
      <c r="Z3358">
        <v>0</v>
      </c>
      <c r="AA3358" t="str">
        <f>"Y"</f>
        <v>Y</v>
      </c>
      <c r="AB3358" t="str">
        <f>"SO20000201"</f>
        <v>SO20000201</v>
      </c>
      <c r="AC3358">
        <v>29</v>
      </c>
      <c r="AD3358" s="1">
        <v>43970</v>
      </c>
      <c r="AE3358" t="str">
        <f>"SH20001404"</f>
        <v>SH20001404</v>
      </c>
      <c r="AF3358" t="str">
        <f>"משלוחים ללקוח"</f>
        <v>משלוחים ללקוח</v>
      </c>
      <c r="AG3358" s="1">
        <v>44131</v>
      </c>
      <c r="AM3358" t="str">
        <f>"10"</f>
        <v>10</v>
      </c>
      <c r="AN3358" t="str">
        <f>"500000"</f>
        <v>500000</v>
      </c>
      <c r="AO3358" t="str">
        <f>"הכנסות  מלקוחות"</f>
        <v>הכנסות  מלקוחות</v>
      </c>
      <c r="AQ3358" t="str">
        <f>"034"</f>
        <v>034</v>
      </c>
      <c r="AR3358">
        <v>0</v>
      </c>
      <c r="AS3358">
        <v>0</v>
      </c>
      <c r="AT3358">
        <v>3.3929999999999998</v>
      </c>
      <c r="AX3358" t="str">
        <f>"E000311250"</f>
        <v>E000311250</v>
      </c>
      <c r="BD3358" t="str">
        <f>"ערן שלו"</f>
        <v>ערן שלו</v>
      </c>
    </row>
    <row r="3359" spans="1:56" x14ac:dyDescent="0.3">
      <c r="A3359" s="1">
        <v>44133</v>
      </c>
      <c r="B3359" t="str">
        <f>"SI206001116"</f>
        <v>SI206001116</v>
      </c>
      <c r="C3359" t="str">
        <f>"PR20000348"</f>
        <v>PR20000348</v>
      </c>
      <c r="E3359" t="str">
        <f>"Y"</f>
        <v>Y</v>
      </c>
      <c r="F3359" t="str">
        <f>"חשבוניות מרכזות"</f>
        <v>חשבוניות מרכזות</v>
      </c>
      <c r="G3359" t="str">
        <f>"700065"</f>
        <v>700065</v>
      </c>
      <c r="H3359" t="str">
        <f>"אלתא מערכות בע""מ"</f>
        <v>אלתא מערכות בע"מ</v>
      </c>
      <c r="I3359" t="str">
        <f>"10"</f>
        <v>10</v>
      </c>
      <c r="J3359" t="str">
        <f>"OP-AR01776"</f>
        <v>OP-AR01776</v>
      </c>
      <c r="K3359" t="str">
        <f>"1039V304-002 HARNESS WP304 - POWER 320VDC PEDPNL"</f>
        <v>1039V304-002 HARNESS WP304 - POWER 320VDC PEDPNL</v>
      </c>
      <c r="L3359">
        <v>2</v>
      </c>
      <c r="M3359" t="str">
        <f>"יח"</f>
        <v>יח</v>
      </c>
      <c r="N3359">
        <v>2</v>
      </c>
      <c r="O3359" t="str">
        <f>"יח"</f>
        <v>יח</v>
      </c>
      <c r="P3359">
        <v>989.41</v>
      </c>
      <c r="Q3359" t="str">
        <f>"$"</f>
        <v>$</v>
      </c>
      <c r="R3359" t="str">
        <f>"הזמנה"</f>
        <v>הזמנה</v>
      </c>
      <c r="S3359">
        <v>0</v>
      </c>
      <c r="T3359" s="2">
        <v>1978.82</v>
      </c>
      <c r="U3359">
        <v>0</v>
      </c>
      <c r="V3359" s="2">
        <v>1978.82</v>
      </c>
      <c r="W3359" t="str">
        <f>"$"</f>
        <v>$</v>
      </c>
      <c r="X3359">
        <v>0</v>
      </c>
      <c r="Y3359">
        <v>0</v>
      </c>
      <c r="Z3359">
        <v>0</v>
      </c>
      <c r="AA3359" t="str">
        <f>"Y"</f>
        <v>Y</v>
      </c>
      <c r="AB3359" t="str">
        <f>"SO20000201"</f>
        <v>SO20000201</v>
      </c>
      <c r="AC3359">
        <v>42</v>
      </c>
      <c r="AD3359" s="1">
        <v>43970</v>
      </c>
      <c r="AE3359" t="str">
        <f>"SH20001404"</f>
        <v>SH20001404</v>
      </c>
      <c r="AF3359" t="str">
        <f>"משלוחים ללקוח"</f>
        <v>משלוחים ללקוח</v>
      </c>
      <c r="AG3359" s="1">
        <v>44131</v>
      </c>
      <c r="AM3359" t="str">
        <f>"10"</f>
        <v>10</v>
      </c>
      <c r="AN3359" t="str">
        <f>"500000"</f>
        <v>500000</v>
      </c>
      <c r="AO3359" t="str">
        <f>"הכנסות  מלקוחות"</f>
        <v>הכנסות  מלקוחות</v>
      </c>
      <c r="AQ3359" t="str">
        <f>"034"</f>
        <v>034</v>
      </c>
      <c r="AR3359">
        <v>0</v>
      </c>
      <c r="AS3359">
        <v>0</v>
      </c>
      <c r="AT3359">
        <v>3.3929999999999998</v>
      </c>
      <c r="AX3359" t="str">
        <f>"E000311250"</f>
        <v>E000311250</v>
      </c>
      <c r="BD3359" t="str">
        <f>"ערן שלו"</f>
        <v>ערן שלו</v>
      </c>
    </row>
    <row r="3360" spans="1:56" x14ac:dyDescent="0.3">
      <c r="A3360" s="1">
        <v>44133</v>
      </c>
      <c r="B3360" t="str">
        <f>"SI206001116"</f>
        <v>SI206001116</v>
      </c>
      <c r="C3360" t="str">
        <f>"PR20000348"</f>
        <v>PR20000348</v>
      </c>
      <c r="E3360" t="str">
        <f>"Y"</f>
        <v>Y</v>
      </c>
      <c r="F3360" t="str">
        <f>"חשבוניות מרכזות"</f>
        <v>חשבוניות מרכזות</v>
      </c>
      <c r="G3360" t="str">
        <f>"700065"</f>
        <v>700065</v>
      </c>
      <c r="H3360" t="str">
        <f>"אלתא מערכות בע""מ"</f>
        <v>אלתא מערכות בע"מ</v>
      </c>
      <c r="I3360" t="str">
        <f>"10"</f>
        <v>10</v>
      </c>
      <c r="J3360" t="str">
        <f>"OP-AR01792"</f>
        <v>OP-AR01792</v>
      </c>
      <c r="K3360" t="str">
        <f>"1039V309-001 BONDING CABLE WPG119 - BONDING STRA"</f>
        <v>1039V309-001 BONDING CABLE WPG119 - BONDING STRA</v>
      </c>
      <c r="L3360">
        <v>4</v>
      </c>
      <c r="M3360" t="str">
        <f>"יח"</f>
        <v>יח</v>
      </c>
      <c r="N3360">
        <v>4</v>
      </c>
      <c r="O3360" t="str">
        <f>"יח"</f>
        <v>יח</v>
      </c>
      <c r="P3360">
        <v>53.09</v>
      </c>
      <c r="Q3360" t="str">
        <f>"$"</f>
        <v>$</v>
      </c>
      <c r="R3360" t="str">
        <f>"הזמנה"</f>
        <v>הזמנה</v>
      </c>
      <c r="S3360">
        <v>0</v>
      </c>
      <c r="T3360">
        <v>212.36</v>
      </c>
      <c r="U3360">
        <v>0</v>
      </c>
      <c r="V3360">
        <v>212.36</v>
      </c>
      <c r="W3360" t="str">
        <f>"$"</f>
        <v>$</v>
      </c>
      <c r="X3360">
        <v>0</v>
      </c>
      <c r="Y3360">
        <v>0</v>
      </c>
      <c r="Z3360">
        <v>0</v>
      </c>
      <c r="AA3360" t="str">
        <f>"Y"</f>
        <v>Y</v>
      </c>
      <c r="AB3360" t="str">
        <f>"SO20000201"</f>
        <v>SO20000201</v>
      </c>
      <c r="AC3360">
        <v>57</v>
      </c>
      <c r="AD3360" s="1">
        <v>43970</v>
      </c>
      <c r="AE3360" t="str">
        <f>"SH20001404"</f>
        <v>SH20001404</v>
      </c>
      <c r="AF3360" t="str">
        <f>"משלוחים ללקוח"</f>
        <v>משלוחים ללקוח</v>
      </c>
      <c r="AG3360" s="1">
        <v>44131</v>
      </c>
      <c r="AM3360" t="str">
        <f>"10"</f>
        <v>10</v>
      </c>
      <c r="AN3360" t="str">
        <f>"500000"</f>
        <v>500000</v>
      </c>
      <c r="AO3360" t="str">
        <f>"הכנסות  מלקוחות"</f>
        <v>הכנסות  מלקוחות</v>
      </c>
      <c r="AQ3360" t="str">
        <f>"034"</f>
        <v>034</v>
      </c>
      <c r="AR3360">
        <v>0</v>
      </c>
      <c r="AS3360">
        <v>0</v>
      </c>
      <c r="AT3360">
        <v>3.3929999999999998</v>
      </c>
      <c r="AX3360" t="str">
        <f>"E000311250"</f>
        <v>E000311250</v>
      </c>
      <c r="BD3360" t="str">
        <f>"ערן שלו"</f>
        <v>ערן שלו</v>
      </c>
    </row>
    <row r="3361" spans="1:56" x14ac:dyDescent="0.3">
      <c r="A3361" s="1">
        <v>44133</v>
      </c>
      <c r="B3361" t="str">
        <f>"SI206001115"</f>
        <v>SI206001115</v>
      </c>
      <c r="C3361" t="str">
        <f>"PR20000374"</f>
        <v>PR20000374</v>
      </c>
      <c r="E3361" t="str">
        <f>"Y"</f>
        <v>Y</v>
      </c>
      <c r="F3361" t="str">
        <f>"חשבוניות מרכזות"</f>
        <v>חשבוניות מרכזות</v>
      </c>
      <c r="G3361" t="str">
        <f>"700065"</f>
        <v>700065</v>
      </c>
      <c r="H3361" t="str">
        <f>"אלתא מערכות בע""מ"</f>
        <v>אלתא מערכות בע"מ</v>
      </c>
      <c r="I3361" t="str">
        <f>"10"</f>
        <v>10</v>
      </c>
      <c r="J3361" t="str">
        <f>"OP-AR00468"</f>
        <v>OP-AR00468</v>
      </c>
      <c r="K3361" t="str">
        <f>"208V/25A/3PH AC PCU CONTROL BOX"</f>
        <v>208V/25A/3PH AC PCU CONTROL BOX</v>
      </c>
      <c r="L3361">
        <v>1</v>
      </c>
      <c r="M3361" t="str">
        <f>"יח"</f>
        <v>יח</v>
      </c>
      <c r="N3361">
        <v>1</v>
      </c>
      <c r="O3361" t="str">
        <f>"יח"</f>
        <v>יח</v>
      </c>
      <c r="P3361" s="2">
        <v>4250</v>
      </c>
      <c r="Q3361" t="str">
        <f>"$"</f>
        <v>$</v>
      </c>
      <c r="R3361" t="str">
        <f>"הזמנה"</f>
        <v>הזמנה</v>
      </c>
      <c r="S3361">
        <v>0</v>
      </c>
      <c r="T3361" s="2">
        <v>4250</v>
      </c>
      <c r="U3361">
        <v>0</v>
      </c>
      <c r="V3361" s="2">
        <v>4250</v>
      </c>
      <c r="W3361" t="str">
        <f>"$"</f>
        <v>$</v>
      </c>
      <c r="X3361">
        <v>0</v>
      </c>
      <c r="Y3361">
        <v>0</v>
      </c>
      <c r="Z3361">
        <v>0</v>
      </c>
      <c r="AA3361" t="str">
        <f>"Y"</f>
        <v>Y</v>
      </c>
      <c r="AB3361" t="str">
        <f>"SO20000234"</f>
        <v>SO20000234</v>
      </c>
      <c r="AC3361">
        <v>1</v>
      </c>
      <c r="AD3361" s="1">
        <v>43990</v>
      </c>
      <c r="AE3361" t="str">
        <f>"SH20001406"</f>
        <v>SH20001406</v>
      </c>
      <c r="AF3361" t="str">
        <f>"משלוחים ללקוח"</f>
        <v>משלוחים ללקוח</v>
      </c>
      <c r="AG3361" s="1">
        <v>44131</v>
      </c>
      <c r="AM3361" t="str">
        <f>"10"</f>
        <v>10</v>
      </c>
      <c r="AN3361" t="str">
        <f>"500000"</f>
        <v>500000</v>
      </c>
      <c r="AO3361" t="str">
        <f>"הכנסות  מלקוחות"</f>
        <v>הכנסות  מלקוחות</v>
      </c>
      <c r="AQ3361" t="str">
        <f>"034"</f>
        <v>034</v>
      </c>
      <c r="AR3361">
        <v>0</v>
      </c>
      <c r="AS3361">
        <v>0</v>
      </c>
      <c r="AT3361">
        <v>3.3929999999999998</v>
      </c>
      <c r="AX3361" t="str">
        <f>"E000313933"</f>
        <v>E000313933</v>
      </c>
      <c r="BD3361" t="str">
        <f>"ערן שלו"</f>
        <v>ערן שלו</v>
      </c>
    </row>
    <row r="3362" spans="1:56" x14ac:dyDescent="0.3">
      <c r="A3362" s="1">
        <v>44133</v>
      </c>
      <c r="B3362" t="str">
        <f>"SI206001114"</f>
        <v>SI206001114</v>
      </c>
      <c r="C3362" t="str">
        <f>"PR20000526"</f>
        <v>PR20000526</v>
      </c>
      <c r="E3362" t="str">
        <f>"Y"</f>
        <v>Y</v>
      </c>
      <c r="F3362" t="str">
        <f>"חשבוניות מרכזות"</f>
        <v>חשבוניות מרכזות</v>
      </c>
      <c r="G3362" t="str">
        <f>"700065"</f>
        <v>700065</v>
      </c>
      <c r="H3362" t="str">
        <f>"אלתא מערכות בע""מ"</f>
        <v>אלתא מערכות בע"מ</v>
      </c>
      <c r="I3362" t="str">
        <f>"10"</f>
        <v>10</v>
      </c>
      <c r="J3362" t="str">
        <f>"OP-AR00686"</f>
        <v>OP-AR00686</v>
      </c>
      <c r="K3362" t="str">
        <f>"PDU מעבדה 4 115V 400HZ יציאות"</f>
        <v>PDU מעבדה 4 115V 400HZ יציאות</v>
      </c>
      <c r="L3362">
        <v>1</v>
      </c>
      <c r="M3362" t="str">
        <f>"יח"</f>
        <v>יח</v>
      </c>
      <c r="N3362">
        <v>1</v>
      </c>
      <c r="O3362" t="str">
        <f>"יח"</f>
        <v>יח</v>
      </c>
      <c r="P3362" s="2">
        <v>2450</v>
      </c>
      <c r="Q3362" t="str">
        <f>"$"</f>
        <v>$</v>
      </c>
      <c r="R3362" t="str">
        <f>"הזמנה"</f>
        <v>הזמנה</v>
      </c>
      <c r="S3362">
        <v>0</v>
      </c>
      <c r="T3362" s="2">
        <v>2450</v>
      </c>
      <c r="U3362">
        <v>0</v>
      </c>
      <c r="V3362" s="2">
        <v>2450</v>
      </c>
      <c r="W3362" t="str">
        <f>"$"</f>
        <v>$</v>
      </c>
      <c r="X3362">
        <v>0</v>
      </c>
      <c r="Y3362">
        <v>0</v>
      </c>
      <c r="Z3362">
        <v>0</v>
      </c>
      <c r="AA3362" t="str">
        <f>"Y"</f>
        <v>Y</v>
      </c>
      <c r="AB3362" t="str">
        <f>"SO20000328"</f>
        <v>SO20000328</v>
      </c>
      <c r="AC3362">
        <v>1</v>
      </c>
      <c r="AD3362" s="1">
        <v>44035</v>
      </c>
      <c r="AE3362" t="str">
        <f>"SH20001409"</f>
        <v>SH20001409</v>
      </c>
      <c r="AF3362" t="str">
        <f>"משלוחים ללקוח"</f>
        <v>משלוחים ללקוח</v>
      </c>
      <c r="AG3362" s="1">
        <v>44131</v>
      </c>
      <c r="AM3362" t="str">
        <f>"10"</f>
        <v>10</v>
      </c>
      <c r="AN3362" t="str">
        <f>"500000"</f>
        <v>500000</v>
      </c>
      <c r="AO3362" t="str">
        <f>"הכנסות  מלקוחות"</f>
        <v>הכנסות  מלקוחות</v>
      </c>
      <c r="AQ3362" t="str">
        <f>"034"</f>
        <v>034</v>
      </c>
      <c r="AR3362">
        <v>0</v>
      </c>
      <c r="AS3362">
        <v>0</v>
      </c>
      <c r="AT3362">
        <v>3.3929999999999998</v>
      </c>
      <c r="AX3362" t="str">
        <f>"E000317576"</f>
        <v>E000317576</v>
      </c>
      <c r="BD3362" t="str">
        <f>"ערן שלו"</f>
        <v>ערן שלו</v>
      </c>
    </row>
    <row r="3363" spans="1:56" x14ac:dyDescent="0.3">
      <c r="A3363" s="1">
        <v>44133</v>
      </c>
      <c r="B3363" t="str">
        <f>"SI206001113"</f>
        <v>SI206001113</v>
      </c>
      <c r="C3363" t="str">
        <f>"PR20000521"</f>
        <v>PR20000521</v>
      </c>
      <c r="E3363" t="str">
        <f>"Y"</f>
        <v>Y</v>
      </c>
      <c r="F3363" t="str">
        <f>"חשבוניות מרכזות"</f>
        <v>חשבוניות מרכזות</v>
      </c>
      <c r="G3363" t="str">
        <f>"700065"</f>
        <v>700065</v>
      </c>
      <c r="H3363" t="str">
        <f>"אלתא מערכות בע""מ"</f>
        <v>אלתא מערכות בע"מ</v>
      </c>
      <c r="I3363" t="str">
        <f>"10"</f>
        <v>10</v>
      </c>
      <c r="J3363" t="str">
        <f>"OP-AR01942"</f>
        <v>OP-AR01942</v>
      </c>
      <c r="K3363" t="str">
        <f>"1013P662-001/- CABLE ASSY 1W20"</f>
        <v>1013P662-001/- CABLE ASSY 1W20</v>
      </c>
      <c r="L3363">
        <v>1</v>
      </c>
      <c r="M3363" t="str">
        <f>"יח"</f>
        <v>יח</v>
      </c>
      <c r="N3363">
        <v>1</v>
      </c>
      <c r="O3363" t="str">
        <f>"יח"</f>
        <v>יח</v>
      </c>
      <c r="P3363" s="2">
        <v>2016.43</v>
      </c>
      <c r="Q3363" t="str">
        <f>"$"</f>
        <v>$</v>
      </c>
      <c r="R3363" t="str">
        <f>"הזמנה"</f>
        <v>הזמנה</v>
      </c>
      <c r="S3363">
        <v>0</v>
      </c>
      <c r="T3363" s="2">
        <v>2016.43</v>
      </c>
      <c r="U3363">
        <v>0</v>
      </c>
      <c r="V3363" s="2">
        <v>2016.43</v>
      </c>
      <c r="W3363" t="str">
        <f>"$"</f>
        <v>$</v>
      </c>
      <c r="X3363">
        <v>0</v>
      </c>
      <c r="Y3363">
        <v>0</v>
      </c>
      <c r="Z3363">
        <v>0</v>
      </c>
      <c r="AA3363" t="str">
        <f>"Y"</f>
        <v>Y</v>
      </c>
      <c r="AB3363" t="str">
        <f>"SO20000332"</f>
        <v>SO20000332</v>
      </c>
      <c r="AC3363">
        <v>2</v>
      </c>
      <c r="AD3363" s="1">
        <v>44039</v>
      </c>
      <c r="AE3363" t="str">
        <f>"SH20001403"</f>
        <v>SH20001403</v>
      </c>
      <c r="AF3363" t="str">
        <f>"משלוחים ללקוח"</f>
        <v>משלוחים ללקוח</v>
      </c>
      <c r="AG3363" s="1">
        <v>44131</v>
      </c>
      <c r="AM3363" t="str">
        <f>"10"</f>
        <v>10</v>
      </c>
      <c r="AN3363" t="str">
        <f>"500000"</f>
        <v>500000</v>
      </c>
      <c r="AO3363" t="str">
        <f>"הכנסות  מלקוחות"</f>
        <v>הכנסות  מלקוחות</v>
      </c>
      <c r="AQ3363" t="str">
        <f>"034"</f>
        <v>034</v>
      </c>
      <c r="AR3363">
        <v>0</v>
      </c>
      <c r="AS3363">
        <v>0</v>
      </c>
      <c r="AT3363">
        <v>3.3929999999999998</v>
      </c>
      <c r="AX3363" t="str">
        <f>"E000317502"</f>
        <v>E000317502</v>
      </c>
      <c r="BD3363" t="str">
        <f>"ערן שלו"</f>
        <v>ערן שלו</v>
      </c>
    </row>
    <row r="3364" spans="1:56" x14ac:dyDescent="0.3">
      <c r="A3364" s="1">
        <v>44133</v>
      </c>
      <c r="B3364" t="str">
        <f>"SI206001112"</f>
        <v>SI206001112</v>
      </c>
      <c r="C3364" t="str">
        <f>"PR20000490"</f>
        <v>PR20000490</v>
      </c>
      <c r="D3364" t="str">
        <f>"PR20000490"</f>
        <v>PR20000490</v>
      </c>
      <c r="E3364" t="str">
        <f>"Y"</f>
        <v>Y</v>
      </c>
      <c r="F3364" t="str">
        <f>"חשבוניות מרכזות"</f>
        <v>חשבוניות מרכזות</v>
      </c>
      <c r="G3364" t="str">
        <f>"700065"</f>
        <v>700065</v>
      </c>
      <c r="H3364" t="str">
        <f>"אלתא מערכות בע""מ"</f>
        <v>אלתא מערכות בע"מ</v>
      </c>
      <c r="I3364" t="str">
        <f>"10"</f>
        <v>10</v>
      </c>
      <c r="J3364" t="str">
        <f>"OP-AR01887"</f>
        <v>OP-AR01887</v>
      </c>
      <c r="K3364" t="str">
        <f>"1019K308-001 - CABLE ASSY W5"</f>
        <v>1019K308-001 - CABLE ASSY W5</v>
      </c>
      <c r="L3364">
        <v>1</v>
      </c>
      <c r="M3364" t="str">
        <f>"יח"</f>
        <v>יח</v>
      </c>
      <c r="N3364">
        <v>1</v>
      </c>
      <c r="O3364" t="str">
        <f>"יח"</f>
        <v>יח</v>
      </c>
      <c r="P3364">
        <v>308.52999999999997</v>
      </c>
      <c r="Q3364" t="str">
        <f>"$"</f>
        <v>$</v>
      </c>
      <c r="R3364" t="str">
        <f>"הזמנה"</f>
        <v>הזמנה</v>
      </c>
      <c r="S3364">
        <v>0</v>
      </c>
      <c r="T3364">
        <v>308.52999999999997</v>
      </c>
      <c r="U3364">
        <v>0</v>
      </c>
      <c r="V3364">
        <v>308.52999999999997</v>
      </c>
      <c r="W3364" t="str">
        <f>"$"</f>
        <v>$</v>
      </c>
      <c r="X3364">
        <v>0</v>
      </c>
      <c r="Y3364">
        <v>0</v>
      </c>
      <c r="Z3364">
        <v>0</v>
      </c>
      <c r="AA3364" t="str">
        <f>"Y"</f>
        <v>Y</v>
      </c>
      <c r="AB3364" t="str">
        <f>"SO20000298"</f>
        <v>SO20000298</v>
      </c>
      <c r="AC3364">
        <v>1</v>
      </c>
      <c r="AD3364" s="1">
        <v>44026</v>
      </c>
      <c r="AE3364" t="str">
        <f>"SH20001399"</f>
        <v>SH20001399</v>
      </c>
      <c r="AF3364" t="str">
        <f>"משלוחים ללקוח"</f>
        <v>משלוחים ללקוח</v>
      </c>
      <c r="AG3364" s="1">
        <v>44131</v>
      </c>
      <c r="AM3364" t="str">
        <f>"10"</f>
        <v>10</v>
      </c>
      <c r="AN3364" t="str">
        <f>"500000"</f>
        <v>500000</v>
      </c>
      <c r="AO3364" t="str">
        <f>"הכנסות  מלקוחות"</f>
        <v>הכנסות  מלקוחות</v>
      </c>
      <c r="AQ3364" t="str">
        <f>"034"</f>
        <v>034</v>
      </c>
      <c r="AR3364">
        <v>0</v>
      </c>
      <c r="AS3364">
        <v>0</v>
      </c>
      <c r="AT3364">
        <v>3.3929999999999998</v>
      </c>
      <c r="AX3364" t="str">
        <f>"E000315393"</f>
        <v>E000315393</v>
      </c>
      <c r="BD3364" t="str">
        <f>"ערן שלו"</f>
        <v>ערן שלו</v>
      </c>
    </row>
    <row r="3365" spans="1:56" x14ac:dyDescent="0.3">
      <c r="A3365" s="1">
        <v>44133</v>
      </c>
      <c r="B3365" t="str">
        <f>"SI206001111"</f>
        <v>SI206001111</v>
      </c>
      <c r="C3365" t="str">
        <f>"PR20000502"</f>
        <v>PR20000502</v>
      </c>
      <c r="D3365" t="str">
        <f>"PR20000502"</f>
        <v>PR20000502</v>
      </c>
      <c r="E3365" t="str">
        <f>"Y"</f>
        <v>Y</v>
      </c>
      <c r="F3365" t="str">
        <f>"חשבוניות מרכזות"</f>
        <v>חשבוניות מרכזות</v>
      </c>
      <c r="G3365" t="str">
        <f>"700065"</f>
        <v>700065</v>
      </c>
      <c r="H3365" t="str">
        <f>"אלתא מערכות בע""מ"</f>
        <v>אלתא מערכות בע"מ</v>
      </c>
      <c r="I3365" t="str">
        <f>"10"</f>
        <v>10</v>
      </c>
      <c r="J3365" t="str">
        <f>"OP-AR01926"</f>
        <v>OP-AR01926</v>
      </c>
      <c r="K3365" t="str">
        <f>"2114B422-001/B BFU BFUW102 CABLE ASSY"</f>
        <v>2114B422-001/B BFU BFUW102 CABLE ASSY</v>
      </c>
      <c r="L3365">
        <v>1</v>
      </c>
      <c r="M3365" t="str">
        <f>"יח"</f>
        <v>יח</v>
      </c>
      <c r="N3365">
        <v>1</v>
      </c>
      <c r="O3365" t="str">
        <f>"יח"</f>
        <v>יח</v>
      </c>
      <c r="P3365">
        <v>266.04000000000002</v>
      </c>
      <c r="Q3365" t="str">
        <f>"$"</f>
        <v>$</v>
      </c>
      <c r="R3365" t="str">
        <f>"הזמנה"</f>
        <v>הזמנה</v>
      </c>
      <c r="S3365">
        <v>0</v>
      </c>
      <c r="T3365">
        <v>266.04000000000002</v>
      </c>
      <c r="U3365">
        <v>0</v>
      </c>
      <c r="V3365">
        <v>266.04000000000002</v>
      </c>
      <c r="W3365" t="str">
        <f>"$"</f>
        <v>$</v>
      </c>
      <c r="X3365">
        <v>0</v>
      </c>
      <c r="Y3365">
        <v>0</v>
      </c>
      <c r="Z3365">
        <v>0</v>
      </c>
      <c r="AA3365" t="str">
        <f>"Y"</f>
        <v>Y</v>
      </c>
      <c r="AB3365" t="str">
        <f>"SO20000309"</f>
        <v>SO20000309</v>
      </c>
      <c r="AC3365">
        <v>6</v>
      </c>
      <c r="AD3365" s="1">
        <v>44031</v>
      </c>
      <c r="AE3365" t="str">
        <f>"SH20001408"</f>
        <v>SH20001408</v>
      </c>
      <c r="AF3365" t="str">
        <f>"משלוחים ללקוח"</f>
        <v>משלוחים ללקוח</v>
      </c>
      <c r="AG3365" s="1">
        <v>44131</v>
      </c>
      <c r="AM3365" t="str">
        <f>"10"</f>
        <v>10</v>
      </c>
      <c r="AN3365" t="str">
        <f>"500000"</f>
        <v>500000</v>
      </c>
      <c r="AO3365" t="str">
        <f>"הכנסות  מלקוחות"</f>
        <v>הכנסות  מלקוחות</v>
      </c>
      <c r="AQ3365" t="str">
        <f>"034"</f>
        <v>034</v>
      </c>
      <c r="AR3365">
        <v>0</v>
      </c>
      <c r="AS3365">
        <v>0</v>
      </c>
      <c r="AT3365">
        <v>3.3929999999999998</v>
      </c>
      <c r="AX3365" t="str">
        <f>"E000316387"</f>
        <v>E000316387</v>
      </c>
      <c r="BD3365" t="str">
        <f>"ערן שלו"</f>
        <v>ערן שלו</v>
      </c>
    </row>
    <row r="3366" spans="1:56" x14ac:dyDescent="0.3">
      <c r="A3366" s="1">
        <v>44133</v>
      </c>
      <c r="B3366" t="str">
        <f>"SI206001110"</f>
        <v>SI206001110</v>
      </c>
      <c r="C3366" t="str">
        <f>"PR20000348"</f>
        <v>PR20000348</v>
      </c>
      <c r="E3366" t="str">
        <f>"Y"</f>
        <v>Y</v>
      </c>
      <c r="F3366" t="str">
        <f>"חשבוניות מרכזות"</f>
        <v>חשבוניות מרכזות</v>
      </c>
      <c r="G3366" t="str">
        <f>"700065"</f>
        <v>700065</v>
      </c>
      <c r="H3366" t="str">
        <f>"אלתא מערכות בע""מ"</f>
        <v>אלתא מערכות בע"מ</v>
      </c>
      <c r="I3366" t="str">
        <f>"10"</f>
        <v>10</v>
      </c>
      <c r="J3366" t="str">
        <f>"OP-AR01734"</f>
        <v>OP-AR01734</v>
      </c>
      <c r="K3366" t="str">
        <f>"1039V325-001 WP325 - POWER 320VDC PDB TO ROTARY"</f>
        <v>1039V325-001 WP325 - POWER 320VDC PDB TO ROTARY</v>
      </c>
      <c r="L3366">
        <v>1</v>
      </c>
      <c r="M3366" t="str">
        <f>"יח"</f>
        <v>יח</v>
      </c>
      <c r="N3366">
        <v>1</v>
      </c>
      <c r="O3366" t="str">
        <f>"יח"</f>
        <v>יח</v>
      </c>
      <c r="P3366" s="2">
        <v>1288.29</v>
      </c>
      <c r="Q3366" t="str">
        <f>"$"</f>
        <v>$</v>
      </c>
      <c r="R3366" t="str">
        <f>"הזמנה"</f>
        <v>הזמנה</v>
      </c>
      <c r="S3366">
        <v>0</v>
      </c>
      <c r="T3366" s="2">
        <v>1288.29</v>
      </c>
      <c r="U3366">
        <v>0</v>
      </c>
      <c r="V3366" s="2">
        <v>1288.29</v>
      </c>
      <c r="W3366" t="str">
        <f>"$"</f>
        <v>$</v>
      </c>
      <c r="X3366">
        <v>0</v>
      </c>
      <c r="Y3366">
        <v>0</v>
      </c>
      <c r="Z3366">
        <v>0</v>
      </c>
      <c r="AA3366" t="str">
        <f>"Y"</f>
        <v>Y</v>
      </c>
      <c r="AB3366" t="str">
        <f>"SO20000201"</f>
        <v>SO20000201</v>
      </c>
      <c r="AC3366">
        <v>2</v>
      </c>
      <c r="AD3366" s="1">
        <v>43970</v>
      </c>
      <c r="AE3366" t="str">
        <f>"SH20001412"</f>
        <v>SH20001412</v>
      </c>
      <c r="AF3366" t="str">
        <f>"משלוחים ללקוח"</f>
        <v>משלוחים ללקוח</v>
      </c>
      <c r="AG3366" s="1">
        <v>44132</v>
      </c>
      <c r="AM3366" t="str">
        <f>"10"</f>
        <v>10</v>
      </c>
      <c r="AN3366" t="str">
        <f>"500000"</f>
        <v>500000</v>
      </c>
      <c r="AO3366" t="str">
        <f>"הכנסות  מלקוחות"</f>
        <v>הכנסות  מלקוחות</v>
      </c>
      <c r="AQ3366" t="str">
        <f>"034"</f>
        <v>034</v>
      </c>
      <c r="AR3366">
        <v>0</v>
      </c>
      <c r="AS3366">
        <v>0</v>
      </c>
      <c r="AT3366">
        <v>3.3929999999999998</v>
      </c>
      <c r="AX3366" t="str">
        <f>"E000311250"</f>
        <v>E000311250</v>
      </c>
      <c r="BD3366" t="str">
        <f>"ערן שלו"</f>
        <v>ערן שלו</v>
      </c>
    </row>
    <row r="3367" spans="1:56" x14ac:dyDescent="0.3">
      <c r="A3367" s="1">
        <v>44133</v>
      </c>
      <c r="B3367" t="str">
        <f>"SI206001110"</f>
        <v>SI206001110</v>
      </c>
      <c r="C3367" t="str">
        <f>"PR20000348"</f>
        <v>PR20000348</v>
      </c>
      <c r="E3367" t="str">
        <f>"Y"</f>
        <v>Y</v>
      </c>
      <c r="F3367" t="str">
        <f>"חשבוניות מרכזות"</f>
        <v>חשבוניות מרכזות</v>
      </c>
      <c r="G3367" t="str">
        <f>"700065"</f>
        <v>700065</v>
      </c>
      <c r="H3367" t="str">
        <f>"אלתא מערכות בע""מ"</f>
        <v>אלתא מערכות בע"מ</v>
      </c>
      <c r="I3367" t="str">
        <f>"10"</f>
        <v>10</v>
      </c>
      <c r="J3367" t="str">
        <f>"OP-AR01742"</f>
        <v>OP-AR01742</v>
      </c>
      <c r="K3367" t="str">
        <f>"1039V318-001 WP318 - CONTROL DATA MICRO SWITCH S"</f>
        <v>1039V318-001 WP318 - CONTROL DATA MICRO SWITCH S</v>
      </c>
      <c r="L3367">
        <v>2</v>
      </c>
      <c r="M3367" t="str">
        <f>"יח"</f>
        <v>יח</v>
      </c>
      <c r="N3367">
        <v>2</v>
      </c>
      <c r="O3367" t="str">
        <f>"יח"</f>
        <v>יח</v>
      </c>
      <c r="P3367">
        <v>691.5</v>
      </c>
      <c r="Q3367" t="str">
        <f>"$"</f>
        <v>$</v>
      </c>
      <c r="R3367" t="str">
        <f>"הזמנה"</f>
        <v>הזמנה</v>
      </c>
      <c r="S3367">
        <v>0</v>
      </c>
      <c r="T3367" s="2">
        <v>1383</v>
      </c>
      <c r="U3367">
        <v>0</v>
      </c>
      <c r="V3367" s="2">
        <v>1383</v>
      </c>
      <c r="W3367" t="str">
        <f>"$"</f>
        <v>$</v>
      </c>
      <c r="X3367">
        <v>0</v>
      </c>
      <c r="Y3367">
        <v>0</v>
      </c>
      <c r="Z3367">
        <v>0</v>
      </c>
      <c r="AA3367" t="str">
        <f>"Y"</f>
        <v>Y</v>
      </c>
      <c r="AB3367" t="str">
        <f>"SO20000201"</f>
        <v>SO20000201</v>
      </c>
      <c r="AC3367">
        <v>10</v>
      </c>
      <c r="AD3367" s="1">
        <v>43970</v>
      </c>
      <c r="AE3367" t="str">
        <f>"SH20001412"</f>
        <v>SH20001412</v>
      </c>
      <c r="AF3367" t="str">
        <f>"משלוחים ללקוח"</f>
        <v>משלוחים ללקוח</v>
      </c>
      <c r="AG3367" s="1">
        <v>44132</v>
      </c>
      <c r="AM3367" t="str">
        <f>"10"</f>
        <v>10</v>
      </c>
      <c r="AN3367" t="str">
        <f>"500000"</f>
        <v>500000</v>
      </c>
      <c r="AO3367" t="str">
        <f>"הכנסות  מלקוחות"</f>
        <v>הכנסות  מלקוחות</v>
      </c>
      <c r="AQ3367" t="str">
        <f>"034"</f>
        <v>034</v>
      </c>
      <c r="AR3367">
        <v>0</v>
      </c>
      <c r="AS3367">
        <v>0</v>
      </c>
      <c r="AT3367">
        <v>3.3929999999999998</v>
      </c>
      <c r="AX3367" t="str">
        <f>"E000311250"</f>
        <v>E000311250</v>
      </c>
      <c r="BD3367" t="str">
        <f>"ערן שלו"</f>
        <v>ערן שלו</v>
      </c>
    </row>
    <row r="3368" spans="1:56" x14ac:dyDescent="0.3">
      <c r="A3368" s="1">
        <v>44133</v>
      </c>
      <c r="B3368" t="str">
        <f>"SI206001110"</f>
        <v>SI206001110</v>
      </c>
      <c r="C3368" t="str">
        <f>"PR20000348"</f>
        <v>PR20000348</v>
      </c>
      <c r="E3368" t="str">
        <f>"Y"</f>
        <v>Y</v>
      </c>
      <c r="F3368" t="str">
        <f>"חשבוניות מרכזות"</f>
        <v>חשבוניות מרכזות</v>
      </c>
      <c r="G3368" t="str">
        <f>"700065"</f>
        <v>700065</v>
      </c>
      <c r="H3368" t="str">
        <f>"אלתא מערכות בע""מ"</f>
        <v>אלתא מערכות בע"מ</v>
      </c>
      <c r="I3368" t="str">
        <f>"10"</f>
        <v>10</v>
      </c>
      <c r="J3368" t="str">
        <f>"OP-AR01743"</f>
        <v>OP-AR01743</v>
      </c>
      <c r="K3368" t="str">
        <f>"1039V311-001 WP311- POWER 400VAC PEDESTAL TO PED"</f>
        <v>1039V311-001 WP311- POWER 400VAC PEDESTAL TO PED</v>
      </c>
      <c r="L3368">
        <v>2</v>
      </c>
      <c r="M3368" t="str">
        <f>"יח"</f>
        <v>יח</v>
      </c>
      <c r="N3368">
        <v>2</v>
      </c>
      <c r="O3368" t="str">
        <f>"יח"</f>
        <v>יח</v>
      </c>
      <c r="P3368">
        <v>688.57</v>
      </c>
      <c r="Q3368" t="str">
        <f>"$"</f>
        <v>$</v>
      </c>
      <c r="R3368" t="str">
        <f>"הזמנה"</f>
        <v>הזמנה</v>
      </c>
      <c r="S3368">
        <v>0</v>
      </c>
      <c r="T3368" s="2">
        <v>1377.14</v>
      </c>
      <c r="U3368">
        <v>0</v>
      </c>
      <c r="V3368" s="2">
        <v>1377.14</v>
      </c>
      <c r="W3368" t="str">
        <f>"$"</f>
        <v>$</v>
      </c>
      <c r="X3368">
        <v>0</v>
      </c>
      <c r="Y3368">
        <v>0</v>
      </c>
      <c r="Z3368">
        <v>0</v>
      </c>
      <c r="AA3368" t="str">
        <f>"Y"</f>
        <v>Y</v>
      </c>
      <c r="AB3368" t="str">
        <f>"SO20000201"</f>
        <v>SO20000201</v>
      </c>
      <c r="AC3368">
        <v>11</v>
      </c>
      <c r="AD3368" s="1">
        <v>43970</v>
      </c>
      <c r="AE3368" t="str">
        <f>"SH20001412"</f>
        <v>SH20001412</v>
      </c>
      <c r="AF3368" t="str">
        <f>"משלוחים ללקוח"</f>
        <v>משלוחים ללקוח</v>
      </c>
      <c r="AG3368" s="1">
        <v>44132</v>
      </c>
      <c r="AM3368" t="str">
        <f>"10"</f>
        <v>10</v>
      </c>
      <c r="AN3368" t="str">
        <f>"500000"</f>
        <v>500000</v>
      </c>
      <c r="AO3368" t="str">
        <f>"הכנסות  מלקוחות"</f>
        <v>הכנסות  מלקוחות</v>
      </c>
      <c r="AQ3368" t="str">
        <f>"034"</f>
        <v>034</v>
      </c>
      <c r="AR3368">
        <v>0</v>
      </c>
      <c r="AS3368">
        <v>0</v>
      </c>
      <c r="AT3368">
        <v>3.3929999999999998</v>
      </c>
      <c r="AX3368" t="str">
        <f>"E000311250"</f>
        <v>E000311250</v>
      </c>
      <c r="BD3368" t="str">
        <f>"ערן שלו"</f>
        <v>ערן שלו</v>
      </c>
    </row>
    <row r="3369" spans="1:56" x14ac:dyDescent="0.3">
      <c r="A3369" s="1">
        <v>44133</v>
      </c>
      <c r="B3369" t="str">
        <f>"SI206001109"</f>
        <v>SI206001109</v>
      </c>
      <c r="C3369" t="str">
        <f>"PR20000495"</f>
        <v>PR20000495</v>
      </c>
      <c r="D3369" t="str">
        <f>"PR20000495"</f>
        <v>PR20000495</v>
      </c>
      <c r="E3369" t="str">
        <f>"Y"</f>
        <v>Y</v>
      </c>
      <c r="F3369" t="str">
        <f>"חשבוניות מרכזות"</f>
        <v>חשבוניות מרכזות</v>
      </c>
      <c r="G3369" t="str">
        <f>"700065"</f>
        <v>700065</v>
      </c>
      <c r="H3369" t="str">
        <f>"אלתא מערכות בע""מ"</f>
        <v>אלתא מערכות בע"מ</v>
      </c>
      <c r="I3369" t="str">
        <f>"10"</f>
        <v>10</v>
      </c>
      <c r="J3369" t="str">
        <f>"OP-AR01898"</f>
        <v>OP-AR01898</v>
      </c>
      <c r="K3369" t="str">
        <f>"1027L256-003 - CABLE ASSY WR006"</f>
        <v>1027L256-003 - CABLE ASSY WR006</v>
      </c>
      <c r="L3369">
        <v>7</v>
      </c>
      <c r="M3369" t="str">
        <f>"יח"</f>
        <v>יח</v>
      </c>
      <c r="N3369">
        <v>7</v>
      </c>
      <c r="O3369" t="str">
        <f>"יח"</f>
        <v>יח</v>
      </c>
      <c r="P3369">
        <v>260.66000000000003</v>
      </c>
      <c r="Q3369" t="str">
        <f>"$"</f>
        <v>$</v>
      </c>
      <c r="R3369" t="str">
        <f>"הזמנה"</f>
        <v>הזמנה</v>
      </c>
      <c r="S3369">
        <v>0</v>
      </c>
      <c r="T3369" s="2">
        <v>1824.62</v>
      </c>
      <c r="U3369">
        <v>0</v>
      </c>
      <c r="V3369" s="2">
        <v>1824.62</v>
      </c>
      <c r="W3369" t="str">
        <f>"$"</f>
        <v>$</v>
      </c>
      <c r="X3369">
        <v>0</v>
      </c>
      <c r="Y3369">
        <v>0</v>
      </c>
      <c r="Z3369">
        <v>0</v>
      </c>
      <c r="AA3369" t="str">
        <f>"Y"</f>
        <v>Y</v>
      </c>
      <c r="AB3369" t="str">
        <f>"SO20000302"</f>
        <v>SO20000302</v>
      </c>
      <c r="AC3369">
        <v>5</v>
      </c>
      <c r="AD3369" s="1">
        <v>44028</v>
      </c>
      <c r="AE3369" t="str">
        <f>"SH20001400"</f>
        <v>SH20001400</v>
      </c>
      <c r="AF3369" t="str">
        <f>"משלוחים ללקוח"</f>
        <v>משלוחים ללקוח</v>
      </c>
      <c r="AG3369" s="1">
        <v>44131</v>
      </c>
      <c r="AM3369" t="str">
        <f>"10"</f>
        <v>10</v>
      </c>
      <c r="AN3369" t="str">
        <f>"500000"</f>
        <v>500000</v>
      </c>
      <c r="AO3369" t="str">
        <f>"הכנסות  מלקוחות"</f>
        <v>הכנסות  מלקוחות</v>
      </c>
      <c r="AQ3369" t="str">
        <f>"034"</f>
        <v>034</v>
      </c>
      <c r="AR3369">
        <v>0</v>
      </c>
      <c r="AS3369">
        <v>0</v>
      </c>
      <c r="AT3369">
        <v>3.3929999999999998</v>
      </c>
      <c r="AX3369" t="str">
        <f>"E000315867"</f>
        <v>E000315867</v>
      </c>
      <c r="BD3369" t="str">
        <f>"ערן שלו"</f>
        <v>ערן שלו</v>
      </c>
    </row>
    <row r="3370" spans="1:56" x14ac:dyDescent="0.3">
      <c r="A3370" s="1">
        <v>44133</v>
      </c>
      <c r="B3370" t="str">
        <f>"SI206001108"</f>
        <v>SI206001108</v>
      </c>
      <c r="C3370" t="str">
        <f>"PR20000642"</f>
        <v>PR20000642</v>
      </c>
      <c r="E3370" t="str">
        <f>"Y"</f>
        <v>Y</v>
      </c>
      <c r="F3370" t="str">
        <f>"חשבוניות מרכזות"</f>
        <v>חשבוניות מרכזות</v>
      </c>
      <c r="G3370" t="str">
        <f>"700065"</f>
        <v>700065</v>
      </c>
      <c r="H3370" t="str">
        <f>"אלתא מערכות בע""מ"</f>
        <v>אלתא מערכות בע"מ</v>
      </c>
      <c r="I3370" t="str">
        <f>"14"</f>
        <v>14</v>
      </c>
      <c r="J3370" t="str">
        <f>"BT0232326"</f>
        <v>BT0232326</v>
      </c>
      <c r="K3370" t="str">
        <f>"מצבר 12V/52AH - GPL CSB"</f>
        <v>מצבר 12V/52AH - GPL CSB</v>
      </c>
      <c r="L3370">
        <v>3</v>
      </c>
      <c r="M3370" t="str">
        <f>"יח"</f>
        <v>יח</v>
      </c>
      <c r="N3370">
        <v>3</v>
      </c>
      <c r="O3370" t="str">
        <f>"יח"</f>
        <v>יח</v>
      </c>
      <c r="P3370">
        <v>160</v>
      </c>
      <c r="Q3370" t="str">
        <f>"$"</f>
        <v>$</v>
      </c>
      <c r="R3370" t="str">
        <f>"הזמנה"</f>
        <v>הזמנה</v>
      </c>
      <c r="S3370">
        <v>0</v>
      </c>
      <c r="T3370">
        <v>480</v>
      </c>
      <c r="U3370">
        <v>0</v>
      </c>
      <c r="V3370">
        <v>480</v>
      </c>
      <c r="W3370" t="str">
        <f>"$"</f>
        <v>$</v>
      </c>
      <c r="X3370">
        <v>0</v>
      </c>
      <c r="Y3370">
        <v>0</v>
      </c>
      <c r="Z3370">
        <v>0</v>
      </c>
      <c r="AA3370" t="str">
        <f>"Y"</f>
        <v>Y</v>
      </c>
      <c r="AB3370" t="str">
        <f>"SO20000445"</f>
        <v>SO20000445</v>
      </c>
      <c r="AC3370">
        <v>1</v>
      </c>
      <c r="AD3370" s="1">
        <v>44105</v>
      </c>
      <c r="AE3370" t="str">
        <f>"SH20001382"</f>
        <v>SH20001382</v>
      </c>
      <c r="AF3370" t="str">
        <f>"משלוחים ללקוח"</f>
        <v>משלוחים ללקוח</v>
      </c>
      <c r="AG3370" s="1">
        <v>44125</v>
      </c>
      <c r="AM3370" t="str">
        <f>"10"</f>
        <v>10</v>
      </c>
      <c r="AN3370" t="str">
        <f>"500000"</f>
        <v>500000</v>
      </c>
      <c r="AO3370" t="str">
        <f>"הכנסות  מלקוחות"</f>
        <v>הכנסות  מלקוחות</v>
      </c>
      <c r="AQ3370" t="str">
        <f>"034"</f>
        <v>034</v>
      </c>
      <c r="AR3370">
        <v>0</v>
      </c>
      <c r="AS3370">
        <v>0</v>
      </c>
      <c r="AT3370">
        <v>3.3929999999999998</v>
      </c>
      <c r="AX3370" t="str">
        <f>"E000321480"</f>
        <v>E000321480</v>
      </c>
      <c r="BD3370" t="str">
        <f>"ערן שלו"</f>
        <v>ערן שלו</v>
      </c>
    </row>
    <row r="3371" spans="1:56" x14ac:dyDescent="0.3">
      <c r="A3371" s="1">
        <v>44131</v>
      </c>
      <c r="B3371" t="str">
        <f>"SI206001101"</f>
        <v>SI206001101</v>
      </c>
      <c r="C3371" t="str">
        <f>"PR20000317"</f>
        <v>PR20000317</v>
      </c>
      <c r="E3371" t="str">
        <f>"Y"</f>
        <v>Y</v>
      </c>
      <c r="F3371" t="str">
        <f>"חשבוניות מרכזות"</f>
        <v>חשבוניות מרכזות</v>
      </c>
      <c r="G3371" t="str">
        <f>"700065"</f>
        <v>700065</v>
      </c>
      <c r="H3371" t="str">
        <f>"אלתא מערכות בע""מ"</f>
        <v>אלתא מערכות בע"מ</v>
      </c>
      <c r="I3371" t="str">
        <f>"10"</f>
        <v>10</v>
      </c>
      <c r="J3371" t="str">
        <f>"OP-AR01088"</f>
        <v>OP-AR01088</v>
      </c>
      <c r="K3371" t="str">
        <f>"1038H185-001 SRASR POWER DISTRIUTION UNIT"</f>
        <v>1038H185-001 SRASR POWER DISTRIUTION UNIT</v>
      </c>
      <c r="L3371">
        <v>2</v>
      </c>
      <c r="M3371" t="str">
        <f>"יח"</f>
        <v>יח</v>
      </c>
      <c r="N3371">
        <v>2</v>
      </c>
      <c r="O3371" t="str">
        <f>"יח"</f>
        <v>יח</v>
      </c>
      <c r="P3371" s="2">
        <v>12505</v>
      </c>
      <c r="Q3371" t="str">
        <f>"$"</f>
        <v>$</v>
      </c>
      <c r="R3371" t="str">
        <f>"הזמנה"</f>
        <v>הזמנה</v>
      </c>
      <c r="S3371">
        <v>0</v>
      </c>
      <c r="T3371" s="2">
        <v>25010</v>
      </c>
      <c r="U3371">
        <v>0</v>
      </c>
      <c r="V3371" s="2">
        <v>25010</v>
      </c>
      <c r="W3371" t="str">
        <f>"$"</f>
        <v>$</v>
      </c>
      <c r="X3371">
        <v>0</v>
      </c>
      <c r="Y3371">
        <v>0</v>
      </c>
      <c r="Z3371">
        <v>0</v>
      </c>
      <c r="AA3371" t="str">
        <f>"Y"</f>
        <v>Y</v>
      </c>
      <c r="AB3371" t="str">
        <f>"SO20000220"</f>
        <v>SO20000220</v>
      </c>
      <c r="AC3371">
        <v>1</v>
      </c>
      <c r="AD3371" s="1">
        <v>43983</v>
      </c>
      <c r="AE3371" t="str">
        <f>"SH20001378"</f>
        <v>SH20001378</v>
      </c>
      <c r="AF3371" t="str">
        <f>"משלוחים ללקוח"</f>
        <v>משלוחים ללקוח</v>
      </c>
      <c r="AG3371" s="1">
        <v>44125</v>
      </c>
      <c r="AM3371" t="str">
        <f>"10"</f>
        <v>10</v>
      </c>
      <c r="AN3371" t="str">
        <f>"500000"</f>
        <v>500000</v>
      </c>
      <c r="AO3371" t="str">
        <f>"הכנסות  מלקוחות"</f>
        <v>הכנסות  מלקוחות</v>
      </c>
      <c r="AQ3371" t="str">
        <f>"034"</f>
        <v>034</v>
      </c>
      <c r="AR3371">
        <v>0</v>
      </c>
      <c r="AS3371">
        <v>0</v>
      </c>
      <c r="AT3371">
        <v>3.3809999999999998</v>
      </c>
      <c r="AX3371" t="str">
        <f>"E000313337"</f>
        <v>E000313337</v>
      </c>
      <c r="BD3371" t="str">
        <f>"ערן שלו"</f>
        <v>ערן שלו</v>
      </c>
    </row>
    <row r="3372" spans="1:56" x14ac:dyDescent="0.3">
      <c r="A3372" s="1">
        <v>44131</v>
      </c>
      <c r="B3372" t="str">
        <f>"SI206001100"</f>
        <v>SI206001100</v>
      </c>
      <c r="C3372" t="str">
        <f>"PR20000033"</f>
        <v>PR20000033</v>
      </c>
      <c r="D3372" t="str">
        <f>"PR20000033"</f>
        <v>PR20000033</v>
      </c>
      <c r="E3372" t="str">
        <f>"Y"</f>
        <v>Y</v>
      </c>
      <c r="F3372" t="str">
        <f>"חשבוניות מרכזות"</f>
        <v>חשבוניות מרכזות</v>
      </c>
      <c r="G3372" t="str">
        <f>"700065"</f>
        <v>700065</v>
      </c>
      <c r="H3372" t="str">
        <f>"אלתא מערכות בע""מ"</f>
        <v>אלתא מערכות בע"מ</v>
      </c>
      <c r="I3372" t="str">
        <f>"10"</f>
        <v>10</v>
      </c>
      <c r="J3372" t="str">
        <f>"OP-ML00178"</f>
        <v>OP-ML00178</v>
      </c>
      <c r="K3372" t="str">
        <f>"PDD4 SOCD - 1039P702-001"</f>
        <v>PDD4 SOCD - 1039P702-001</v>
      </c>
      <c r="L3372">
        <v>1</v>
      </c>
      <c r="M3372" t="str">
        <f>"יח"</f>
        <v>יח</v>
      </c>
      <c r="N3372">
        <v>1</v>
      </c>
      <c r="O3372" t="str">
        <f>"יח"</f>
        <v>יח</v>
      </c>
      <c r="P3372" s="2">
        <v>3474.8</v>
      </c>
      <c r="Q3372" t="str">
        <f>"$"</f>
        <v>$</v>
      </c>
      <c r="R3372" t="str">
        <f>"הזמנה"</f>
        <v>הזמנה</v>
      </c>
      <c r="S3372">
        <v>0</v>
      </c>
      <c r="T3372" s="2">
        <v>3474.8</v>
      </c>
      <c r="U3372">
        <v>0</v>
      </c>
      <c r="V3372" s="2">
        <v>3474.8</v>
      </c>
      <c r="W3372" t="str">
        <f>"$"</f>
        <v>$</v>
      </c>
      <c r="X3372">
        <v>0</v>
      </c>
      <c r="Y3372">
        <v>0</v>
      </c>
      <c r="Z3372">
        <v>0</v>
      </c>
      <c r="AA3372" t="str">
        <f>"Y"</f>
        <v>Y</v>
      </c>
      <c r="AB3372" t="str">
        <f>"SO20000031"</f>
        <v>SO20000031</v>
      </c>
      <c r="AC3372">
        <v>4</v>
      </c>
      <c r="AD3372" s="1">
        <v>43853</v>
      </c>
      <c r="AE3372" t="str">
        <f>"SH20001395"</f>
        <v>SH20001395</v>
      </c>
      <c r="AF3372" t="str">
        <f>"משלוחים ללקוח"</f>
        <v>משלוחים ללקוח</v>
      </c>
      <c r="AG3372" s="1">
        <v>44131</v>
      </c>
      <c r="AM3372" t="str">
        <f>"10"</f>
        <v>10</v>
      </c>
      <c r="AN3372" t="str">
        <f>"500000"</f>
        <v>500000</v>
      </c>
      <c r="AO3372" t="str">
        <f>"הכנסות  מלקוחות"</f>
        <v>הכנסות  מלקוחות</v>
      </c>
      <c r="AQ3372" t="str">
        <f>"034"</f>
        <v>034</v>
      </c>
      <c r="AR3372">
        <v>0</v>
      </c>
      <c r="AS3372">
        <v>0</v>
      </c>
      <c r="AT3372">
        <v>3.3809999999999998</v>
      </c>
      <c r="AX3372" t="str">
        <f>"E000303939"</f>
        <v>E000303939</v>
      </c>
      <c r="BD3372" t="str">
        <f>"ערן שלו"</f>
        <v>ערן שלו</v>
      </c>
    </row>
    <row r="3373" spans="1:56" x14ac:dyDescent="0.3">
      <c r="A3373" s="1">
        <v>44130</v>
      </c>
      <c r="B3373" t="str">
        <f>"SI206001094"</f>
        <v>SI206001094</v>
      </c>
      <c r="E3373" t="str">
        <f>"Y"</f>
        <v>Y</v>
      </c>
      <c r="F3373" t="str">
        <f>"חשבוניות מרכזות"</f>
        <v>חשבוניות מרכזות</v>
      </c>
      <c r="G3373" t="str">
        <f>"700065"</f>
        <v>700065</v>
      </c>
      <c r="H3373" t="str">
        <f>"אלתא מערכות בע""מ"</f>
        <v>אלתא מערכות בע"מ</v>
      </c>
      <c r="I3373" t="str">
        <f>"10"</f>
        <v>10</v>
      </c>
      <c r="J3373" t="str">
        <f>"000"</f>
        <v>000</v>
      </c>
      <c r="K3373" t="str">
        <f>"התקנת מערכת כוח באתר פיליפיני"</f>
        <v>התקנת מערכת כוח באתר פיליפיני</v>
      </c>
      <c r="L3373">
        <v>1</v>
      </c>
      <c r="M3373" t="str">
        <f>"יח"</f>
        <v>יח</v>
      </c>
      <c r="N3373">
        <v>1</v>
      </c>
      <c r="O3373" t="str">
        <f>"יח"</f>
        <v>יח</v>
      </c>
      <c r="P3373" s="2">
        <v>23168.04</v>
      </c>
      <c r="Q3373" t="str">
        <f>"$"</f>
        <v>$</v>
      </c>
      <c r="R3373" t="str">
        <f>"הזמנה"</f>
        <v>הזמנה</v>
      </c>
      <c r="S3373">
        <v>0</v>
      </c>
      <c r="T3373" s="2">
        <v>23168.04</v>
      </c>
      <c r="U3373">
        <v>0</v>
      </c>
      <c r="V3373" s="2">
        <v>23168.04</v>
      </c>
      <c r="W3373" t="str">
        <f>"$"</f>
        <v>$</v>
      </c>
      <c r="X3373">
        <v>0</v>
      </c>
      <c r="Y3373">
        <v>0</v>
      </c>
      <c r="Z3373">
        <v>0</v>
      </c>
      <c r="AA3373" t="str">
        <f>"Y"</f>
        <v>Y</v>
      </c>
      <c r="AB3373" t="str">
        <f>"SO18000637"</f>
        <v>SO18000637</v>
      </c>
      <c r="AC3373">
        <v>3</v>
      </c>
      <c r="AD3373" s="1">
        <v>43419</v>
      </c>
      <c r="AM3373" t="str">
        <f>"10"</f>
        <v>10</v>
      </c>
      <c r="AN3373" t="str">
        <f>"500000"</f>
        <v>500000</v>
      </c>
      <c r="AO3373" t="str">
        <f>"הכנסות  מלקוחות"</f>
        <v>הכנסות  מלקוחות</v>
      </c>
      <c r="AQ3373" t="str">
        <f>"007"</f>
        <v>007</v>
      </c>
      <c r="AR3373">
        <v>0</v>
      </c>
      <c r="AS3373">
        <v>0</v>
      </c>
      <c r="AT3373">
        <v>3.3780000000000001</v>
      </c>
      <c r="AX3373" t="str">
        <f>"E000272778"</f>
        <v>E000272778</v>
      </c>
      <c r="BD3373" t="str">
        <f>"רוני דידי"</f>
        <v>רוני דידי</v>
      </c>
    </row>
    <row r="3374" spans="1:56" x14ac:dyDescent="0.3">
      <c r="A3374" s="1">
        <v>44119</v>
      </c>
      <c r="B3374" t="str">
        <f>"SI206001052"</f>
        <v>SI206001052</v>
      </c>
      <c r="C3374" t="str">
        <f>"PR20000210"</f>
        <v>PR20000210</v>
      </c>
      <c r="D3374" t="str">
        <f>"PR20000210"</f>
        <v>PR20000210</v>
      </c>
      <c r="E3374" t="str">
        <f>"Y"</f>
        <v>Y</v>
      </c>
      <c r="F3374" t="str">
        <f>"חשבוניות מרכזות"</f>
        <v>חשבוניות מרכזות</v>
      </c>
      <c r="G3374" t="str">
        <f>"700065"</f>
        <v>700065</v>
      </c>
      <c r="H3374" t="str">
        <f>"אלתא מערכות בע""מ"</f>
        <v>אלתא מערכות בע"מ</v>
      </c>
      <c r="I3374" t="str">
        <f>"10"</f>
        <v>10</v>
      </c>
      <c r="J3374" t="str">
        <f>"OP-AR01709"</f>
        <v>OP-AR01709</v>
      </c>
      <c r="K3374" t="str">
        <f>"1022H888-001 W8-32CH VIDEO CABLE (MASTER)"</f>
        <v>1022H888-001 W8-32CH VIDEO CABLE (MASTER)</v>
      </c>
      <c r="L3374">
        <v>2</v>
      </c>
      <c r="M3374" t="str">
        <f>"יח"</f>
        <v>יח</v>
      </c>
      <c r="N3374">
        <v>2</v>
      </c>
      <c r="O3374" t="str">
        <f>"יח"</f>
        <v>יח</v>
      </c>
      <c r="P3374" s="2">
        <v>1234.4100000000001</v>
      </c>
      <c r="Q3374" t="str">
        <f>"$"</f>
        <v>$</v>
      </c>
      <c r="R3374" t="str">
        <f>"ידני"</f>
        <v>ידני</v>
      </c>
      <c r="S3374">
        <v>0</v>
      </c>
      <c r="T3374" s="2">
        <v>2468.8200000000002</v>
      </c>
      <c r="U3374">
        <v>0</v>
      </c>
      <c r="V3374" s="2">
        <v>2468.8200000000002</v>
      </c>
      <c r="W3374" t="str">
        <f>"$"</f>
        <v>$</v>
      </c>
      <c r="X3374">
        <v>0</v>
      </c>
      <c r="Y3374">
        <v>0</v>
      </c>
      <c r="Z3374">
        <v>0</v>
      </c>
      <c r="AA3374" t="str">
        <f>"Y"</f>
        <v>Y</v>
      </c>
      <c r="AB3374" t="str">
        <f>"SO20000139"</f>
        <v>SO20000139</v>
      </c>
      <c r="AC3374">
        <v>5</v>
      </c>
      <c r="AD3374" s="1">
        <v>43940</v>
      </c>
      <c r="AE3374" t="str">
        <f>"SH20001351"</f>
        <v>SH20001351</v>
      </c>
      <c r="AF3374" t="str">
        <f>"משלוחים ללקוח"</f>
        <v>משלוחים ללקוח</v>
      </c>
      <c r="AG3374" s="1">
        <v>44118</v>
      </c>
      <c r="AM3374" t="str">
        <f>"10"</f>
        <v>10</v>
      </c>
      <c r="AN3374" t="str">
        <f>"500000"</f>
        <v>500000</v>
      </c>
      <c r="AO3374" t="str">
        <f>"הכנסות  מלקוחות"</f>
        <v>הכנסות  מלקוחות</v>
      </c>
      <c r="AQ3374" t="str">
        <f>"034"</f>
        <v>034</v>
      </c>
      <c r="AR3374">
        <v>0</v>
      </c>
      <c r="AS3374">
        <v>0</v>
      </c>
      <c r="AT3374">
        <v>3.3839999999999999</v>
      </c>
      <c r="AX3374" t="str">
        <f>"E000309670"</f>
        <v>E000309670</v>
      </c>
      <c r="BD3374" t="str">
        <f>"ערן שלו"</f>
        <v>ערן שלו</v>
      </c>
    </row>
    <row r="3375" spans="1:56" x14ac:dyDescent="0.3">
      <c r="A3375" s="1">
        <v>44119</v>
      </c>
      <c r="B3375" t="str">
        <f>"SI206001051"</f>
        <v>SI206001051</v>
      </c>
      <c r="C3375" t="str">
        <f>"PR20000210"</f>
        <v>PR20000210</v>
      </c>
      <c r="E3375" t="str">
        <f>"Y"</f>
        <v>Y</v>
      </c>
      <c r="F3375" t="str">
        <f>"חשבוניות מרכזות"</f>
        <v>חשבוניות מרכזות</v>
      </c>
      <c r="G3375" t="str">
        <f>"700065"</f>
        <v>700065</v>
      </c>
      <c r="H3375" t="str">
        <f>"אלתא מערכות בע""מ"</f>
        <v>אלתא מערכות בע"מ</v>
      </c>
      <c r="I3375" t="str">
        <f>"10"</f>
        <v>10</v>
      </c>
      <c r="J3375" t="str">
        <f>"OP-AR01709"</f>
        <v>OP-AR01709</v>
      </c>
      <c r="K3375" t="str">
        <f>"1022H888-001 W8-32CH VIDEO CABLE (MASTER)"</f>
        <v>1022H888-001 W8-32CH VIDEO CABLE (MASTER)</v>
      </c>
      <c r="L3375">
        <v>-2</v>
      </c>
      <c r="M3375" t="str">
        <f>"יח"</f>
        <v>יח</v>
      </c>
      <c r="N3375">
        <v>-2</v>
      </c>
      <c r="O3375" t="str">
        <f>"יח"</f>
        <v>יח</v>
      </c>
      <c r="P3375" s="2">
        <v>4937.6400000000003</v>
      </c>
      <c r="Q3375" t="str">
        <f>"$"</f>
        <v>$</v>
      </c>
      <c r="R3375" t="str">
        <f>"הזמנה"</f>
        <v>הזמנה</v>
      </c>
      <c r="S3375">
        <v>0</v>
      </c>
      <c r="T3375" s="2">
        <v>-9875.2800000000007</v>
      </c>
      <c r="U3375">
        <v>0</v>
      </c>
      <c r="V3375" s="2">
        <v>-9875.2800000000007</v>
      </c>
      <c r="W3375" t="str">
        <f>"$"</f>
        <v>$</v>
      </c>
      <c r="X3375">
        <v>0</v>
      </c>
      <c r="Y3375">
        <v>0</v>
      </c>
      <c r="Z3375">
        <v>0</v>
      </c>
      <c r="AA3375" t="str">
        <f>"Y"</f>
        <v>Y</v>
      </c>
      <c r="AC3375">
        <v>0</v>
      </c>
      <c r="AM3375" t="str">
        <f>"10"</f>
        <v>10</v>
      </c>
      <c r="AN3375" t="str">
        <f>"500000"</f>
        <v>500000</v>
      </c>
      <c r="AO3375" t="str">
        <f>"הכנסות  מלקוחות"</f>
        <v>הכנסות  מלקוחות</v>
      </c>
      <c r="AQ3375" t="str">
        <f>"034"</f>
        <v>034</v>
      </c>
      <c r="AR3375">
        <v>0</v>
      </c>
      <c r="AS3375">
        <v>0</v>
      </c>
      <c r="AT3375">
        <v>3.3839999999999999</v>
      </c>
      <c r="BB3375" t="str">
        <f>"Y"</f>
        <v>Y</v>
      </c>
      <c r="BD3375" t="str">
        <f>"ערן שלו"</f>
        <v>ערן שלו</v>
      </c>
    </row>
    <row r="3376" spans="1:56" x14ac:dyDescent="0.3">
      <c r="A3376" s="1">
        <v>44119</v>
      </c>
      <c r="B3376" t="str">
        <f>"SI206001050"</f>
        <v>SI206001050</v>
      </c>
      <c r="C3376" t="str">
        <f>"PR20000210"</f>
        <v>PR20000210</v>
      </c>
      <c r="E3376" t="str">
        <f>"Y"</f>
        <v>Y</v>
      </c>
      <c r="F3376" t="str">
        <f>"חשבוניות מרכזות"</f>
        <v>חשבוניות מרכזות</v>
      </c>
      <c r="G3376" t="str">
        <f>"700065"</f>
        <v>700065</v>
      </c>
      <c r="H3376" t="str">
        <f>"אלתא מערכות בע""מ"</f>
        <v>אלתא מערכות בע"מ</v>
      </c>
      <c r="I3376" t="str">
        <f>"10"</f>
        <v>10</v>
      </c>
      <c r="J3376" t="str">
        <f>"OP-AR01709"</f>
        <v>OP-AR01709</v>
      </c>
      <c r="K3376" t="str">
        <f>"1022H888-001 W8-32CH VIDEO CABLE (MASTER)"</f>
        <v>1022H888-001 W8-32CH VIDEO CABLE (MASTER)</v>
      </c>
      <c r="L3376">
        <v>2</v>
      </c>
      <c r="M3376" t="str">
        <f>"יח"</f>
        <v>יח</v>
      </c>
      <c r="N3376">
        <v>2</v>
      </c>
      <c r="O3376" t="str">
        <f>"יח"</f>
        <v>יח</v>
      </c>
      <c r="P3376" s="2">
        <v>4937.6400000000003</v>
      </c>
      <c r="Q3376" t="str">
        <f>"$"</f>
        <v>$</v>
      </c>
      <c r="R3376" t="str">
        <f>"הזמנה"</f>
        <v>הזמנה</v>
      </c>
      <c r="S3376">
        <v>0</v>
      </c>
      <c r="T3376" s="2">
        <v>9875.2800000000007</v>
      </c>
      <c r="U3376">
        <v>0</v>
      </c>
      <c r="V3376" s="2">
        <v>9875.2800000000007</v>
      </c>
      <c r="W3376" t="str">
        <f>"$"</f>
        <v>$</v>
      </c>
      <c r="X3376">
        <v>0</v>
      </c>
      <c r="Y3376">
        <v>0</v>
      </c>
      <c r="Z3376">
        <v>0</v>
      </c>
      <c r="AA3376" t="str">
        <f>"Y"</f>
        <v>Y</v>
      </c>
      <c r="AC3376">
        <v>0</v>
      </c>
      <c r="AM3376" t="str">
        <f>"10"</f>
        <v>10</v>
      </c>
      <c r="AN3376" t="str">
        <f>"500000"</f>
        <v>500000</v>
      </c>
      <c r="AO3376" t="str">
        <f>"הכנסות  מלקוחות"</f>
        <v>הכנסות  מלקוחות</v>
      </c>
      <c r="AQ3376" t="str">
        <f>"034"</f>
        <v>034</v>
      </c>
      <c r="AR3376">
        <v>0</v>
      </c>
      <c r="AS3376">
        <v>0</v>
      </c>
      <c r="AT3376">
        <v>3.3839999999999999</v>
      </c>
      <c r="BB3376" t="str">
        <f>"Y"</f>
        <v>Y</v>
      </c>
      <c r="BD3376" t="str">
        <f>"ערן שלו"</f>
        <v>ערן שלו</v>
      </c>
    </row>
    <row r="3377" spans="1:56" x14ac:dyDescent="0.3">
      <c r="A3377" s="1">
        <v>44119</v>
      </c>
      <c r="B3377" t="str">
        <f>"SI206001049"</f>
        <v>SI206001049</v>
      </c>
      <c r="C3377" t="str">
        <f>"PR20000568"</f>
        <v>PR20000568</v>
      </c>
      <c r="D3377" t="str">
        <f>"PR20000568"</f>
        <v>PR20000568</v>
      </c>
      <c r="E3377" t="str">
        <f>"Y"</f>
        <v>Y</v>
      </c>
      <c r="F3377" t="str">
        <f>"חשבוניות מרכזות"</f>
        <v>חשבוניות מרכזות</v>
      </c>
      <c r="G3377" t="str">
        <f>"700065"</f>
        <v>700065</v>
      </c>
      <c r="H3377" t="str">
        <f>"אלתא מערכות בע""מ"</f>
        <v>אלתא מערכות בע"מ</v>
      </c>
      <c r="I3377" t="str">
        <f>"10"</f>
        <v>10</v>
      </c>
      <c r="J3377" t="str">
        <f>"OP-AR01668"</f>
        <v>OP-AR01668</v>
      </c>
      <c r="K3377" t="str">
        <f>"6660J891-001 W891"</f>
        <v>6660J891-001 W891</v>
      </c>
      <c r="L3377">
        <v>1</v>
      </c>
      <c r="M3377" t="str">
        <f>"יח"</f>
        <v>יח</v>
      </c>
      <c r="N3377">
        <v>1</v>
      </c>
      <c r="O3377" t="str">
        <f>"יח"</f>
        <v>יח</v>
      </c>
      <c r="P3377">
        <v>254.19</v>
      </c>
      <c r="Q3377" t="str">
        <f>"$"</f>
        <v>$</v>
      </c>
      <c r="R3377" t="str">
        <f>"הזמנה"</f>
        <v>הזמנה</v>
      </c>
      <c r="S3377">
        <v>0</v>
      </c>
      <c r="T3377">
        <v>254.19</v>
      </c>
      <c r="U3377">
        <v>0</v>
      </c>
      <c r="V3377">
        <v>254.19</v>
      </c>
      <c r="W3377" t="str">
        <f>"$"</f>
        <v>$</v>
      </c>
      <c r="X3377">
        <v>0</v>
      </c>
      <c r="Y3377">
        <v>0</v>
      </c>
      <c r="Z3377">
        <v>0</v>
      </c>
      <c r="AA3377" t="str">
        <f>"Y"</f>
        <v>Y</v>
      </c>
      <c r="AB3377" t="str">
        <f>"SO20000368"</f>
        <v>SO20000368</v>
      </c>
      <c r="AC3377">
        <v>3</v>
      </c>
      <c r="AD3377" s="1">
        <v>44067</v>
      </c>
      <c r="AE3377" t="str">
        <f>"SH20001346"</f>
        <v>SH20001346</v>
      </c>
      <c r="AF3377" t="str">
        <f>"משלוחים ללקוח"</f>
        <v>משלוחים ללקוח</v>
      </c>
      <c r="AG3377" s="1">
        <v>44116</v>
      </c>
      <c r="AM3377" t="str">
        <f>"10"</f>
        <v>10</v>
      </c>
      <c r="AN3377" t="str">
        <f>"500000"</f>
        <v>500000</v>
      </c>
      <c r="AO3377" t="str">
        <f>"הכנסות  מלקוחות"</f>
        <v>הכנסות  מלקוחות</v>
      </c>
      <c r="AQ3377" t="str">
        <f>"034"</f>
        <v>034</v>
      </c>
      <c r="AR3377">
        <v>0</v>
      </c>
      <c r="AS3377">
        <v>0</v>
      </c>
      <c r="AT3377">
        <v>3.3839999999999999</v>
      </c>
      <c r="AX3377" t="str">
        <f>"E000319744"</f>
        <v>E000319744</v>
      </c>
      <c r="BD3377" t="str">
        <f>"ערן שלו"</f>
        <v>ערן שלו</v>
      </c>
    </row>
    <row r="3378" spans="1:56" x14ac:dyDescent="0.3">
      <c r="A3378" s="1">
        <v>44119</v>
      </c>
      <c r="B3378" t="str">
        <f>"SI206001048"</f>
        <v>SI206001048</v>
      </c>
      <c r="C3378" t="str">
        <f>"PR20000524"</f>
        <v>PR20000524</v>
      </c>
      <c r="E3378" t="str">
        <f>"Y"</f>
        <v>Y</v>
      </c>
      <c r="F3378" t="str">
        <f>"חשבוניות מרכזות"</f>
        <v>חשבוניות מרכזות</v>
      </c>
      <c r="G3378" t="str">
        <f>"700065"</f>
        <v>700065</v>
      </c>
      <c r="H3378" t="str">
        <f>"אלתא מערכות בע""מ"</f>
        <v>אלתא מערכות בע"מ</v>
      </c>
      <c r="I3378" t="str">
        <f>"10"</f>
        <v>10</v>
      </c>
      <c r="J3378" t="str">
        <f>"OP-AR01651"</f>
        <v>OP-AR01651</v>
      </c>
      <c r="K3378" t="str">
        <f>"1041G323-001 W323-PWR 220GENERATOR TO PEDEST PS1"</f>
        <v>1041G323-001 W323-PWR 220GENERATOR TO PEDEST PS1</v>
      </c>
      <c r="L3378">
        <v>1</v>
      </c>
      <c r="M3378" t="str">
        <f>"יח"</f>
        <v>יח</v>
      </c>
      <c r="N3378">
        <v>1</v>
      </c>
      <c r="O3378" t="str">
        <f>"יח"</f>
        <v>יח</v>
      </c>
      <c r="P3378" s="2">
        <v>1123.81</v>
      </c>
      <c r="Q3378" t="str">
        <f>"$"</f>
        <v>$</v>
      </c>
      <c r="R3378" t="str">
        <f>"הזמנה"</f>
        <v>הזמנה</v>
      </c>
      <c r="S3378">
        <v>0</v>
      </c>
      <c r="T3378" s="2">
        <v>1123.81</v>
      </c>
      <c r="U3378">
        <v>0</v>
      </c>
      <c r="V3378" s="2">
        <v>1123.81</v>
      </c>
      <c r="W3378" t="str">
        <f>"$"</f>
        <v>$</v>
      </c>
      <c r="X3378">
        <v>0</v>
      </c>
      <c r="Y3378">
        <v>0</v>
      </c>
      <c r="Z3378">
        <v>0</v>
      </c>
      <c r="AA3378" t="str">
        <f>"Y"</f>
        <v>Y</v>
      </c>
      <c r="AB3378" t="str">
        <f>"SO20000329"</f>
        <v>SO20000329</v>
      </c>
      <c r="AC3378">
        <v>2</v>
      </c>
      <c r="AD3378" s="1">
        <v>44035</v>
      </c>
      <c r="AE3378" t="str">
        <f>"SH20001345"</f>
        <v>SH20001345</v>
      </c>
      <c r="AF3378" t="str">
        <f>"משלוחים ללקוח"</f>
        <v>משלוחים ללקוח</v>
      </c>
      <c r="AG3378" s="1">
        <v>44116</v>
      </c>
      <c r="AM3378" t="str">
        <f>"10"</f>
        <v>10</v>
      </c>
      <c r="AN3378" t="str">
        <f>"500000"</f>
        <v>500000</v>
      </c>
      <c r="AO3378" t="str">
        <f>"הכנסות  מלקוחות"</f>
        <v>הכנסות  מלקוחות</v>
      </c>
      <c r="AQ3378" t="str">
        <f>"034"</f>
        <v>034</v>
      </c>
      <c r="AR3378">
        <v>0</v>
      </c>
      <c r="AS3378">
        <v>0</v>
      </c>
      <c r="AT3378">
        <v>3.3839999999999999</v>
      </c>
      <c r="AX3378" t="str">
        <f>"E000316426"</f>
        <v>E000316426</v>
      </c>
      <c r="BD3378" t="str">
        <f>"ערן שלו"</f>
        <v>ערן שלו</v>
      </c>
    </row>
    <row r="3379" spans="1:56" x14ac:dyDescent="0.3">
      <c r="A3379" s="1">
        <v>44119</v>
      </c>
      <c r="B3379" t="str">
        <f>"SI206001048"</f>
        <v>SI206001048</v>
      </c>
      <c r="C3379" t="str">
        <f>"PR20000524"</f>
        <v>PR20000524</v>
      </c>
      <c r="E3379" t="str">
        <f>"Y"</f>
        <v>Y</v>
      </c>
      <c r="F3379" t="str">
        <f>"חשבוניות מרכזות"</f>
        <v>חשבוניות מרכזות</v>
      </c>
      <c r="G3379" t="str">
        <f>"700065"</f>
        <v>700065</v>
      </c>
      <c r="H3379" t="str">
        <f>"אלתא מערכות בע""מ"</f>
        <v>אלתא מערכות בע"מ</v>
      </c>
      <c r="I3379" t="str">
        <f>"10"</f>
        <v>10</v>
      </c>
      <c r="J3379" t="str">
        <f>"OP-AR01652"</f>
        <v>OP-AR01652</v>
      </c>
      <c r="K3379" t="str">
        <f>"1041G324-001 W32-PWR 220VGENERATOR TO PEDEST PS2"</f>
        <v>1041G324-001 W32-PWR 220VGENERATOR TO PEDEST PS2</v>
      </c>
      <c r="L3379">
        <v>1</v>
      </c>
      <c r="M3379" t="str">
        <f>"יח"</f>
        <v>יח</v>
      </c>
      <c r="N3379">
        <v>1</v>
      </c>
      <c r="O3379" t="str">
        <f>"יח"</f>
        <v>יח</v>
      </c>
      <c r="P3379" s="2">
        <v>1218.08</v>
      </c>
      <c r="Q3379" t="str">
        <f>"$"</f>
        <v>$</v>
      </c>
      <c r="R3379" t="str">
        <f>"הזמנה"</f>
        <v>הזמנה</v>
      </c>
      <c r="S3379">
        <v>0</v>
      </c>
      <c r="T3379" s="2">
        <v>1218.08</v>
      </c>
      <c r="U3379">
        <v>0</v>
      </c>
      <c r="V3379" s="2">
        <v>1218.08</v>
      </c>
      <c r="W3379" t="str">
        <f>"$"</f>
        <v>$</v>
      </c>
      <c r="X3379">
        <v>0</v>
      </c>
      <c r="Y3379">
        <v>0</v>
      </c>
      <c r="Z3379">
        <v>0</v>
      </c>
      <c r="AA3379" t="str">
        <f>"Y"</f>
        <v>Y</v>
      </c>
      <c r="AB3379" t="str">
        <f>"SO20000329"</f>
        <v>SO20000329</v>
      </c>
      <c r="AC3379">
        <v>3</v>
      </c>
      <c r="AD3379" s="1">
        <v>44035</v>
      </c>
      <c r="AE3379" t="str">
        <f>"SH20001345"</f>
        <v>SH20001345</v>
      </c>
      <c r="AF3379" t="str">
        <f>"משלוחים ללקוח"</f>
        <v>משלוחים ללקוח</v>
      </c>
      <c r="AG3379" s="1">
        <v>44116</v>
      </c>
      <c r="AM3379" t="str">
        <f>"10"</f>
        <v>10</v>
      </c>
      <c r="AN3379" t="str">
        <f>"500000"</f>
        <v>500000</v>
      </c>
      <c r="AO3379" t="str">
        <f>"הכנסות  מלקוחות"</f>
        <v>הכנסות  מלקוחות</v>
      </c>
      <c r="AQ3379" t="str">
        <f>"034"</f>
        <v>034</v>
      </c>
      <c r="AR3379">
        <v>0</v>
      </c>
      <c r="AS3379">
        <v>0</v>
      </c>
      <c r="AT3379">
        <v>3.3839999999999999</v>
      </c>
      <c r="AX3379" t="str">
        <f>"E000316426"</f>
        <v>E000316426</v>
      </c>
      <c r="BD3379" t="str">
        <f>"ערן שלו"</f>
        <v>ערן שלו</v>
      </c>
    </row>
    <row r="3380" spans="1:56" x14ac:dyDescent="0.3">
      <c r="A3380" s="1">
        <v>44119</v>
      </c>
      <c r="B3380" t="str">
        <f>"SI206001048"</f>
        <v>SI206001048</v>
      </c>
      <c r="C3380" t="str">
        <f>"PR20000524"</f>
        <v>PR20000524</v>
      </c>
      <c r="E3380" t="str">
        <f>"Y"</f>
        <v>Y</v>
      </c>
      <c r="F3380" t="str">
        <f>"חשבוניות מרכזות"</f>
        <v>חשבוניות מרכזות</v>
      </c>
      <c r="G3380" t="str">
        <f>"700065"</f>
        <v>700065</v>
      </c>
      <c r="H3380" t="str">
        <f>"אלתא מערכות בע""מ"</f>
        <v>אלתא מערכות בע"מ</v>
      </c>
      <c r="I3380" t="str">
        <f>"10"</f>
        <v>10</v>
      </c>
      <c r="J3380" t="str">
        <f>"OP-AR01653"</f>
        <v>OP-AR01653</v>
      </c>
      <c r="K3380" t="str">
        <f>"1041G339-001 W339 - CU RACK TO PEDESTAL SPARE"</f>
        <v>1041G339-001 W339 - CU RACK TO PEDESTAL SPARE</v>
      </c>
      <c r="L3380">
        <v>1</v>
      </c>
      <c r="M3380" t="str">
        <f>"יח"</f>
        <v>יח</v>
      </c>
      <c r="N3380">
        <v>1</v>
      </c>
      <c r="O3380" t="str">
        <f>"יח"</f>
        <v>יח</v>
      </c>
      <c r="P3380">
        <v>967.33</v>
      </c>
      <c r="Q3380" t="str">
        <f>"$"</f>
        <v>$</v>
      </c>
      <c r="R3380" t="str">
        <f>"הזמנה"</f>
        <v>הזמנה</v>
      </c>
      <c r="S3380">
        <v>0</v>
      </c>
      <c r="T3380">
        <v>967.33</v>
      </c>
      <c r="U3380">
        <v>0</v>
      </c>
      <c r="V3380">
        <v>967.33</v>
      </c>
      <c r="W3380" t="str">
        <f>"$"</f>
        <v>$</v>
      </c>
      <c r="X3380">
        <v>0</v>
      </c>
      <c r="Y3380">
        <v>0</v>
      </c>
      <c r="Z3380">
        <v>0</v>
      </c>
      <c r="AA3380" t="str">
        <f>"Y"</f>
        <v>Y</v>
      </c>
      <c r="AB3380" t="str">
        <f>"SO20000329"</f>
        <v>SO20000329</v>
      </c>
      <c r="AC3380">
        <v>4</v>
      </c>
      <c r="AD3380" s="1">
        <v>44035</v>
      </c>
      <c r="AE3380" t="str">
        <f>"SH20001345"</f>
        <v>SH20001345</v>
      </c>
      <c r="AF3380" t="str">
        <f>"משלוחים ללקוח"</f>
        <v>משלוחים ללקוח</v>
      </c>
      <c r="AG3380" s="1">
        <v>44116</v>
      </c>
      <c r="AM3380" t="str">
        <f>"10"</f>
        <v>10</v>
      </c>
      <c r="AN3380" t="str">
        <f>"500000"</f>
        <v>500000</v>
      </c>
      <c r="AO3380" t="str">
        <f>"הכנסות  מלקוחות"</f>
        <v>הכנסות  מלקוחות</v>
      </c>
      <c r="AQ3380" t="str">
        <f>"034"</f>
        <v>034</v>
      </c>
      <c r="AR3380">
        <v>0</v>
      </c>
      <c r="AS3380">
        <v>0</v>
      </c>
      <c r="AT3380">
        <v>3.3839999999999999</v>
      </c>
      <c r="AX3380" t="str">
        <f>"E000316426"</f>
        <v>E000316426</v>
      </c>
      <c r="BD3380" t="str">
        <f>"ערן שלו"</f>
        <v>ערן שלו</v>
      </c>
    </row>
    <row r="3381" spans="1:56" x14ac:dyDescent="0.3">
      <c r="A3381" s="1">
        <v>44119</v>
      </c>
      <c r="B3381" t="str">
        <f>"SI206001048"</f>
        <v>SI206001048</v>
      </c>
      <c r="C3381" t="str">
        <f>"PR20000524"</f>
        <v>PR20000524</v>
      </c>
      <c r="E3381" t="str">
        <f>"Y"</f>
        <v>Y</v>
      </c>
      <c r="F3381" t="str">
        <f>"חשבוניות מרכזות"</f>
        <v>חשבוניות מרכזות</v>
      </c>
      <c r="G3381" t="str">
        <f>"700065"</f>
        <v>700065</v>
      </c>
      <c r="H3381" t="str">
        <f>"אלתא מערכות בע""מ"</f>
        <v>אלתא מערכות בע"מ</v>
      </c>
      <c r="I3381" t="str">
        <f>"10"</f>
        <v>10</v>
      </c>
      <c r="J3381" t="str">
        <f>"OP-AR01657"</f>
        <v>OP-AR01657</v>
      </c>
      <c r="K3381" t="str">
        <f>"1041G363-001 W363- SHELTER TO PEDESTAL SPARE"</f>
        <v>1041G363-001 W363- SHELTER TO PEDESTAL SPARE</v>
      </c>
      <c r="L3381">
        <v>1</v>
      </c>
      <c r="M3381" t="str">
        <f>"יח"</f>
        <v>יח</v>
      </c>
      <c r="N3381">
        <v>1</v>
      </c>
      <c r="O3381" t="str">
        <f>"יח"</f>
        <v>יח</v>
      </c>
      <c r="P3381">
        <v>856.66</v>
      </c>
      <c r="Q3381" t="str">
        <f>"$"</f>
        <v>$</v>
      </c>
      <c r="R3381" t="str">
        <f>"הזמנה"</f>
        <v>הזמנה</v>
      </c>
      <c r="S3381">
        <v>0</v>
      </c>
      <c r="T3381">
        <v>856.66</v>
      </c>
      <c r="U3381">
        <v>0</v>
      </c>
      <c r="V3381">
        <v>856.66</v>
      </c>
      <c r="W3381" t="str">
        <f>"$"</f>
        <v>$</v>
      </c>
      <c r="X3381">
        <v>0</v>
      </c>
      <c r="Y3381">
        <v>0</v>
      </c>
      <c r="Z3381">
        <v>0</v>
      </c>
      <c r="AA3381" t="str">
        <f>"Y"</f>
        <v>Y</v>
      </c>
      <c r="AB3381" t="str">
        <f>"SO20000329"</f>
        <v>SO20000329</v>
      </c>
      <c r="AC3381">
        <v>8</v>
      </c>
      <c r="AD3381" s="1">
        <v>44035</v>
      </c>
      <c r="AE3381" t="str">
        <f>"SH20001345"</f>
        <v>SH20001345</v>
      </c>
      <c r="AF3381" t="str">
        <f>"משלוחים ללקוח"</f>
        <v>משלוחים ללקוח</v>
      </c>
      <c r="AG3381" s="1">
        <v>44116</v>
      </c>
      <c r="AM3381" t="str">
        <f>"10"</f>
        <v>10</v>
      </c>
      <c r="AN3381" t="str">
        <f>"500000"</f>
        <v>500000</v>
      </c>
      <c r="AO3381" t="str">
        <f>"הכנסות  מלקוחות"</f>
        <v>הכנסות  מלקוחות</v>
      </c>
      <c r="AQ3381" t="str">
        <f>"034"</f>
        <v>034</v>
      </c>
      <c r="AR3381">
        <v>0</v>
      </c>
      <c r="AS3381">
        <v>0</v>
      </c>
      <c r="AT3381">
        <v>3.3839999999999999</v>
      </c>
      <c r="AX3381" t="str">
        <f>"E000316426"</f>
        <v>E000316426</v>
      </c>
      <c r="BD3381" t="str">
        <f>"ערן שלו"</f>
        <v>ערן שלו</v>
      </c>
    </row>
    <row r="3382" spans="1:56" x14ac:dyDescent="0.3">
      <c r="A3382" s="1">
        <v>44119</v>
      </c>
      <c r="B3382" t="str">
        <f>"SI206001048"</f>
        <v>SI206001048</v>
      </c>
      <c r="C3382" t="str">
        <f>"PR20000524"</f>
        <v>PR20000524</v>
      </c>
      <c r="E3382" t="str">
        <f>"Y"</f>
        <v>Y</v>
      </c>
      <c r="F3382" t="str">
        <f>"חשבוניות מרכזות"</f>
        <v>חשבוניות מרכזות</v>
      </c>
      <c r="G3382" t="str">
        <f>"700065"</f>
        <v>700065</v>
      </c>
      <c r="H3382" t="str">
        <f>"אלתא מערכות בע""מ"</f>
        <v>אלתא מערכות בע"מ</v>
      </c>
      <c r="I3382" t="str">
        <f>"10"</f>
        <v>10</v>
      </c>
      <c r="J3382" t="str">
        <f>"OP-AR01602"</f>
        <v>OP-AR01602</v>
      </c>
      <c r="K3382" t="str">
        <f>"1030W535-001 HARNESS W535 PEDESTAL LIMIT SWITCH"</f>
        <v>1030W535-001 HARNESS W535 PEDESTAL LIMIT SWITCH</v>
      </c>
      <c r="L3382">
        <v>1</v>
      </c>
      <c r="M3382" t="str">
        <f>"יח"</f>
        <v>יח</v>
      </c>
      <c r="N3382">
        <v>1</v>
      </c>
      <c r="O3382" t="str">
        <f>"יח"</f>
        <v>יח</v>
      </c>
      <c r="P3382">
        <v>727.8</v>
      </c>
      <c r="Q3382" t="str">
        <f>"$"</f>
        <v>$</v>
      </c>
      <c r="R3382" t="str">
        <f>"הזמנה"</f>
        <v>הזמנה</v>
      </c>
      <c r="S3382">
        <v>0</v>
      </c>
      <c r="T3382">
        <v>727.8</v>
      </c>
      <c r="U3382">
        <v>0</v>
      </c>
      <c r="V3382">
        <v>727.8</v>
      </c>
      <c r="W3382" t="str">
        <f>"$"</f>
        <v>$</v>
      </c>
      <c r="X3382">
        <v>0</v>
      </c>
      <c r="Y3382">
        <v>0</v>
      </c>
      <c r="Z3382">
        <v>0</v>
      </c>
      <c r="AA3382" t="str">
        <f>"Y"</f>
        <v>Y</v>
      </c>
      <c r="AB3382" t="str">
        <f>"SO20000329"</f>
        <v>SO20000329</v>
      </c>
      <c r="AC3382">
        <v>11</v>
      </c>
      <c r="AD3382" s="1">
        <v>44035</v>
      </c>
      <c r="AE3382" t="str">
        <f>"SH20001345"</f>
        <v>SH20001345</v>
      </c>
      <c r="AF3382" t="str">
        <f>"משלוחים ללקוח"</f>
        <v>משלוחים ללקוח</v>
      </c>
      <c r="AG3382" s="1">
        <v>44116</v>
      </c>
      <c r="AM3382" t="str">
        <f>"10"</f>
        <v>10</v>
      </c>
      <c r="AN3382" t="str">
        <f>"500000"</f>
        <v>500000</v>
      </c>
      <c r="AO3382" t="str">
        <f>"הכנסות  מלקוחות"</f>
        <v>הכנסות  מלקוחות</v>
      </c>
      <c r="AQ3382" t="str">
        <f>"034"</f>
        <v>034</v>
      </c>
      <c r="AR3382">
        <v>0</v>
      </c>
      <c r="AS3382">
        <v>0</v>
      </c>
      <c r="AT3382">
        <v>3.3839999999999999</v>
      </c>
      <c r="AX3382" t="str">
        <f>"E000316426"</f>
        <v>E000316426</v>
      </c>
      <c r="BD3382" t="str">
        <f>"ערן שלו"</f>
        <v>ערן שלו</v>
      </c>
    </row>
    <row r="3383" spans="1:56" x14ac:dyDescent="0.3">
      <c r="A3383" s="1">
        <v>44119</v>
      </c>
      <c r="B3383" t="str">
        <f>"SI206001047"</f>
        <v>SI206001047</v>
      </c>
      <c r="C3383" t="str">
        <f>"PR20000348"</f>
        <v>PR20000348</v>
      </c>
      <c r="E3383" t="str">
        <f>"Y"</f>
        <v>Y</v>
      </c>
      <c r="F3383" t="str">
        <f>"חשבוניות מרכזות"</f>
        <v>חשבוניות מרכזות</v>
      </c>
      <c r="G3383" t="str">
        <f>"700065"</f>
        <v>700065</v>
      </c>
      <c r="H3383" t="str">
        <f>"אלתא מערכות בע""מ"</f>
        <v>אלתא מערכות בע"מ</v>
      </c>
      <c r="I3383" t="str">
        <f>"10"</f>
        <v>10</v>
      </c>
      <c r="J3383" t="str">
        <f>"OP-AR01748"</f>
        <v>OP-AR01748</v>
      </c>
      <c r="K3383" t="str">
        <f>"1037V769-001 WPG109 - BONDUNG STRAP R.U. BOTTOM"</f>
        <v>1037V769-001 WPG109 - BONDUNG STRAP R.U. BOTTOM</v>
      </c>
      <c r="L3383">
        <v>2</v>
      </c>
      <c r="M3383" t="str">
        <f>"יח"</f>
        <v>יח</v>
      </c>
      <c r="N3383">
        <v>2</v>
      </c>
      <c r="O3383" t="str">
        <f>"יח"</f>
        <v>יח</v>
      </c>
      <c r="P3383">
        <v>132.4</v>
      </c>
      <c r="Q3383" t="str">
        <f>"$"</f>
        <v>$</v>
      </c>
      <c r="R3383" t="str">
        <f>"הזמנה"</f>
        <v>הזמנה</v>
      </c>
      <c r="S3383">
        <v>0</v>
      </c>
      <c r="T3383">
        <v>264.8</v>
      </c>
      <c r="U3383">
        <v>0</v>
      </c>
      <c r="V3383">
        <v>264.8</v>
      </c>
      <c r="W3383" t="str">
        <f>"$"</f>
        <v>$</v>
      </c>
      <c r="X3383">
        <v>0</v>
      </c>
      <c r="Y3383">
        <v>0</v>
      </c>
      <c r="Z3383">
        <v>0</v>
      </c>
      <c r="AA3383" t="str">
        <f>"Y"</f>
        <v>Y</v>
      </c>
      <c r="AB3383" t="str">
        <f>"SO20000201"</f>
        <v>SO20000201</v>
      </c>
      <c r="AC3383">
        <v>16</v>
      </c>
      <c r="AD3383" s="1">
        <v>43970</v>
      </c>
      <c r="AE3383" t="str">
        <f>"SH20001347"</f>
        <v>SH20001347</v>
      </c>
      <c r="AF3383" t="str">
        <f>"משלוחים ללקוח"</f>
        <v>משלוחים ללקוח</v>
      </c>
      <c r="AG3383" s="1">
        <v>44116</v>
      </c>
      <c r="AM3383" t="str">
        <f>"10"</f>
        <v>10</v>
      </c>
      <c r="AN3383" t="str">
        <f>"500000"</f>
        <v>500000</v>
      </c>
      <c r="AO3383" t="str">
        <f>"הכנסות  מלקוחות"</f>
        <v>הכנסות  מלקוחות</v>
      </c>
      <c r="AQ3383" t="str">
        <f>"034"</f>
        <v>034</v>
      </c>
      <c r="AR3383">
        <v>0</v>
      </c>
      <c r="AS3383">
        <v>0</v>
      </c>
      <c r="AT3383">
        <v>3.3839999999999999</v>
      </c>
      <c r="AX3383" t="str">
        <f>"E000311250"</f>
        <v>E000311250</v>
      </c>
      <c r="BD3383" t="str">
        <f>"ערן שלו"</f>
        <v>ערן שלו</v>
      </c>
    </row>
    <row r="3384" spans="1:56" x14ac:dyDescent="0.3">
      <c r="A3384" s="1">
        <v>44119</v>
      </c>
      <c r="B3384" t="str">
        <f>"SI206001047"</f>
        <v>SI206001047</v>
      </c>
      <c r="C3384" t="str">
        <f>"PR20000348"</f>
        <v>PR20000348</v>
      </c>
      <c r="E3384" t="str">
        <f>"Y"</f>
        <v>Y</v>
      </c>
      <c r="F3384" t="str">
        <f>"חשבוניות מרכזות"</f>
        <v>חשבוניות מרכזות</v>
      </c>
      <c r="G3384" t="str">
        <f>"700065"</f>
        <v>700065</v>
      </c>
      <c r="H3384" t="str">
        <f>"אלתא מערכות בע""מ"</f>
        <v>אלתא מערכות בע"מ</v>
      </c>
      <c r="I3384" t="str">
        <f>"10"</f>
        <v>10</v>
      </c>
      <c r="J3384" t="str">
        <f>"OP-AR01749"</f>
        <v>OP-AR01749</v>
      </c>
      <c r="K3384" t="str">
        <f>"1037V763-001 WPG103-BONDING STRAP BATTERIES BOX"</f>
        <v>1037V763-001 WPG103-BONDING STRAP BATTERIES BOX</v>
      </c>
      <c r="L3384">
        <v>2</v>
      </c>
      <c r="M3384" t="str">
        <f>"יח"</f>
        <v>יח</v>
      </c>
      <c r="N3384">
        <v>2</v>
      </c>
      <c r="O3384" t="str">
        <f>"יח"</f>
        <v>יח</v>
      </c>
      <c r="P3384">
        <v>69.41</v>
      </c>
      <c r="Q3384" t="str">
        <f>"$"</f>
        <v>$</v>
      </c>
      <c r="R3384" t="str">
        <f>"הזמנה"</f>
        <v>הזמנה</v>
      </c>
      <c r="S3384">
        <v>0</v>
      </c>
      <c r="T3384">
        <v>138.82</v>
      </c>
      <c r="U3384">
        <v>0</v>
      </c>
      <c r="V3384">
        <v>138.82</v>
      </c>
      <c r="W3384" t="str">
        <f>"$"</f>
        <v>$</v>
      </c>
      <c r="X3384">
        <v>0</v>
      </c>
      <c r="Y3384">
        <v>0</v>
      </c>
      <c r="Z3384">
        <v>0</v>
      </c>
      <c r="AA3384" t="str">
        <f>"Y"</f>
        <v>Y</v>
      </c>
      <c r="AB3384" t="str">
        <f>"SO20000201"</f>
        <v>SO20000201</v>
      </c>
      <c r="AC3384">
        <v>17</v>
      </c>
      <c r="AD3384" s="1">
        <v>43970</v>
      </c>
      <c r="AE3384" t="str">
        <f>"SH20001347"</f>
        <v>SH20001347</v>
      </c>
      <c r="AF3384" t="str">
        <f>"משלוחים ללקוח"</f>
        <v>משלוחים ללקוח</v>
      </c>
      <c r="AG3384" s="1">
        <v>44116</v>
      </c>
      <c r="AM3384" t="str">
        <f>"10"</f>
        <v>10</v>
      </c>
      <c r="AN3384" t="str">
        <f>"500000"</f>
        <v>500000</v>
      </c>
      <c r="AO3384" t="str">
        <f>"הכנסות  מלקוחות"</f>
        <v>הכנסות  מלקוחות</v>
      </c>
      <c r="AQ3384" t="str">
        <f>"034"</f>
        <v>034</v>
      </c>
      <c r="AR3384">
        <v>0</v>
      </c>
      <c r="AS3384">
        <v>0</v>
      </c>
      <c r="AT3384">
        <v>3.3839999999999999</v>
      </c>
      <c r="AX3384" t="str">
        <f>"E000311250"</f>
        <v>E000311250</v>
      </c>
      <c r="BD3384" t="str">
        <f>"ערן שלו"</f>
        <v>ערן שלו</v>
      </c>
    </row>
    <row r="3385" spans="1:56" x14ac:dyDescent="0.3">
      <c r="A3385" s="1">
        <v>44119</v>
      </c>
      <c r="B3385" t="str">
        <f>"SI206001047"</f>
        <v>SI206001047</v>
      </c>
      <c r="C3385" t="str">
        <f>"PR20000348"</f>
        <v>PR20000348</v>
      </c>
      <c r="E3385" t="str">
        <f>"Y"</f>
        <v>Y</v>
      </c>
      <c r="F3385" t="str">
        <f>"חשבוניות מרכזות"</f>
        <v>חשבוניות מרכזות</v>
      </c>
      <c r="G3385" t="str">
        <f>"700065"</f>
        <v>700065</v>
      </c>
      <c r="H3385" t="str">
        <f>"אלתא מערכות בע""מ"</f>
        <v>אלתא מערכות בע"מ</v>
      </c>
      <c r="I3385" t="str">
        <f>"10"</f>
        <v>10</v>
      </c>
      <c r="J3385" t="str">
        <f>"OP-AR01751"</f>
        <v>OP-AR01751</v>
      </c>
      <c r="K3385" t="str">
        <f>"1036U407-001 WP437 - POWER AUX-BOX TO MEB"</f>
        <v>1036U407-001 WP437 - POWER AUX-BOX TO MEB</v>
      </c>
      <c r="L3385">
        <v>2</v>
      </c>
      <c r="M3385" t="str">
        <f>"יח"</f>
        <v>יח</v>
      </c>
      <c r="N3385">
        <v>2</v>
      </c>
      <c r="O3385" t="str">
        <f>"יח"</f>
        <v>יח</v>
      </c>
      <c r="P3385">
        <v>430.31</v>
      </c>
      <c r="Q3385" t="str">
        <f>"$"</f>
        <v>$</v>
      </c>
      <c r="R3385" t="str">
        <f>"הזמנה"</f>
        <v>הזמנה</v>
      </c>
      <c r="S3385">
        <v>0</v>
      </c>
      <c r="T3385">
        <v>860.62</v>
      </c>
      <c r="U3385">
        <v>0</v>
      </c>
      <c r="V3385">
        <v>860.62</v>
      </c>
      <c r="W3385" t="str">
        <f>"$"</f>
        <v>$</v>
      </c>
      <c r="X3385">
        <v>0</v>
      </c>
      <c r="Y3385">
        <v>0</v>
      </c>
      <c r="Z3385">
        <v>0</v>
      </c>
      <c r="AA3385" t="str">
        <f>"Y"</f>
        <v>Y</v>
      </c>
      <c r="AB3385" t="str">
        <f>"SO20000201"</f>
        <v>SO20000201</v>
      </c>
      <c r="AC3385">
        <v>19</v>
      </c>
      <c r="AD3385" s="1">
        <v>43970</v>
      </c>
      <c r="AE3385" t="str">
        <f>"SH20001347"</f>
        <v>SH20001347</v>
      </c>
      <c r="AF3385" t="str">
        <f>"משלוחים ללקוח"</f>
        <v>משלוחים ללקוח</v>
      </c>
      <c r="AG3385" s="1">
        <v>44116</v>
      </c>
      <c r="AM3385" t="str">
        <f>"10"</f>
        <v>10</v>
      </c>
      <c r="AN3385" t="str">
        <f>"500000"</f>
        <v>500000</v>
      </c>
      <c r="AO3385" t="str">
        <f>"הכנסות  מלקוחות"</f>
        <v>הכנסות  מלקוחות</v>
      </c>
      <c r="AQ3385" t="str">
        <f>"034"</f>
        <v>034</v>
      </c>
      <c r="AR3385">
        <v>0</v>
      </c>
      <c r="AS3385">
        <v>0</v>
      </c>
      <c r="AT3385">
        <v>3.3839999999999999</v>
      </c>
      <c r="AX3385" t="str">
        <f>"E000311250"</f>
        <v>E000311250</v>
      </c>
      <c r="BD3385" t="str">
        <f>"ערן שלו"</f>
        <v>ערן שלו</v>
      </c>
    </row>
    <row r="3386" spans="1:56" x14ac:dyDescent="0.3">
      <c r="A3386" s="1">
        <v>44119</v>
      </c>
      <c r="B3386" t="str">
        <f>"SI206001047"</f>
        <v>SI206001047</v>
      </c>
      <c r="C3386" t="str">
        <f>"PR20000348"</f>
        <v>PR20000348</v>
      </c>
      <c r="E3386" t="str">
        <f>"Y"</f>
        <v>Y</v>
      </c>
      <c r="F3386" t="str">
        <f>"חשבוניות מרכזות"</f>
        <v>חשבוניות מרכזות</v>
      </c>
      <c r="G3386" t="str">
        <f>"700065"</f>
        <v>700065</v>
      </c>
      <c r="H3386" t="str">
        <f>"אלתא מערכות בע""מ"</f>
        <v>אלתא מערכות בע"מ</v>
      </c>
      <c r="I3386" t="str">
        <f>"10"</f>
        <v>10</v>
      </c>
      <c r="J3386" t="str">
        <f>"OP-AR01754"</f>
        <v>OP-AR01754</v>
      </c>
      <c r="K3386" t="str">
        <f>"1036U446-001 WP446 - POWER 48VDC CHARGER TO PDB"</f>
        <v>1036U446-001 WP446 - POWER 48VDC CHARGER TO PDB</v>
      </c>
      <c r="L3386">
        <v>2</v>
      </c>
      <c r="M3386" t="str">
        <f>"יח"</f>
        <v>יח</v>
      </c>
      <c r="N3386">
        <v>2</v>
      </c>
      <c r="O3386" t="str">
        <f>"יח"</f>
        <v>יח</v>
      </c>
      <c r="P3386">
        <v>489.53</v>
      </c>
      <c r="Q3386" t="str">
        <f>"$"</f>
        <v>$</v>
      </c>
      <c r="R3386" t="str">
        <f>"הזמנה"</f>
        <v>הזמנה</v>
      </c>
      <c r="S3386">
        <v>0</v>
      </c>
      <c r="T3386">
        <v>979.06</v>
      </c>
      <c r="U3386">
        <v>0</v>
      </c>
      <c r="V3386">
        <v>979.06</v>
      </c>
      <c r="W3386" t="str">
        <f>"$"</f>
        <v>$</v>
      </c>
      <c r="X3386">
        <v>0</v>
      </c>
      <c r="Y3386">
        <v>0</v>
      </c>
      <c r="Z3386">
        <v>0</v>
      </c>
      <c r="AA3386" t="str">
        <f>"Y"</f>
        <v>Y</v>
      </c>
      <c r="AB3386" t="str">
        <f>"SO20000201"</f>
        <v>SO20000201</v>
      </c>
      <c r="AC3386">
        <v>22</v>
      </c>
      <c r="AD3386" s="1">
        <v>43970</v>
      </c>
      <c r="AE3386" t="str">
        <f>"SH20001347"</f>
        <v>SH20001347</v>
      </c>
      <c r="AF3386" t="str">
        <f>"משלוחים ללקוח"</f>
        <v>משלוחים ללקוח</v>
      </c>
      <c r="AG3386" s="1">
        <v>44116</v>
      </c>
      <c r="AM3386" t="str">
        <f>"10"</f>
        <v>10</v>
      </c>
      <c r="AN3386" t="str">
        <f>"500000"</f>
        <v>500000</v>
      </c>
      <c r="AO3386" t="str">
        <f>"הכנסות  מלקוחות"</f>
        <v>הכנסות  מלקוחות</v>
      </c>
      <c r="AQ3386" t="str">
        <f>"034"</f>
        <v>034</v>
      </c>
      <c r="AR3386">
        <v>0</v>
      </c>
      <c r="AS3386">
        <v>0</v>
      </c>
      <c r="AT3386">
        <v>3.3839999999999999</v>
      </c>
      <c r="AX3386" t="str">
        <f>"E000311250"</f>
        <v>E000311250</v>
      </c>
      <c r="BD3386" t="str">
        <f>"ערן שלו"</f>
        <v>ערן שלו</v>
      </c>
    </row>
    <row r="3387" spans="1:56" x14ac:dyDescent="0.3">
      <c r="A3387" s="1">
        <v>44119</v>
      </c>
      <c r="B3387" t="str">
        <f>"SI206001047"</f>
        <v>SI206001047</v>
      </c>
      <c r="C3387" t="str">
        <f>"PR20000348"</f>
        <v>PR20000348</v>
      </c>
      <c r="E3387" t="str">
        <f>"Y"</f>
        <v>Y</v>
      </c>
      <c r="F3387" t="str">
        <f>"חשבוניות מרכזות"</f>
        <v>חשבוניות מרכזות</v>
      </c>
      <c r="G3387" t="str">
        <f>"700065"</f>
        <v>700065</v>
      </c>
      <c r="H3387" t="str">
        <f>"אלתא מערכות בע""מ"</f>
        <v>אלתא מערכות בע"מ</v>
      </c>
      <c r="I3387" t="str">
        <f>"10"</f>
        <v>10</v>
      </c>
      <c r="J3387" t="str">
        <f>"OP-AR01759"</f>
        <v>OP-AR01759</v>
      </c>
      <c r="K3387" t="str">
        <f>"1039V367-001 WP367 - CONTROL LDE TO RIGHT FRONT"</f>
        <v>1039V367-001 WP367 - CONTROL LDE TO RIGHT FRONT</v>
      </c>
      <c r="L3387">
        <v>2</v>
      </c>
      <c r="M3387" t="str">
        <f>"יח"</f>
        <v>יח</v>
      </c>
      <c r="N3387">
        <v>2</v>
      </c>
      <c r="O3387" t="str">
        <f>"יח"</f>
        <v>יח</v>
      </c>
      <c r="P3387">
        <v>653.37</v>
      </c>
      <c r="Q3387" t="str">
        <f>"$"</f>
        <v>$</v>
      </c>
      <c r="R3387" t="str">
        <f>"הזמנה"</f>
        <v>הזמנה</v>
      </c>
      <c r="S3387">
        <v>0</v>
      </c>
      <c r="T3387" s="2">
        <v>1306.74</v>
      </c>
      <c r="U3387">
        <v>0</v>
      </c>
      <c r="V3387" s="2">
        <v>1306.74</v>
      </c>
      <c r="W3387" t="str">
        <f>"$"</f>
        <v>$</v>
      </c>
      <c r="X3387">
        <v>0</v>
      </c>
      <c r="Y3387">
        <v>0</v>
      </c>
      <c r="Z3387">
        <v>0</v>
      </c>
      <c r="AA3387" t="str">
        <f>"Y"</f>
        <v>Y</v>
      </c>
      <c r="AB3387" t="str">
        <f>"SO20000201"</f>
        <v>SO20000201</v>
      </c>
      <c r="AC3387">
        <v>27</v>
      </c>
      <c r="AD3387" s="1">
        <v>43970</v>
      </c>
      <c r="AE3387" t="str">
        <f>"SH20001347"</f>
        <v>SH20001347</v>
      </c>
      <c r="AF3387" t="str">
        <f>"משלוחים ללקוח"</f>
        <v>משלוחים ללקוח</v>
      </c>
      <c r="AG3387" s="1">
        <v>44116</v>
      </c>
      <c r="AM3387" t="str">
        <f>"10"</f>
        <v>10</v>
      </c>
      <c r="AN3387" t="str">
        <f>"500000"</f>
        <v>500000</v>
      </c>
      <c r="AO3387" t="str">
        <f>"הכנסות  מלקוחות"</f>
        <v>הכנסות  מלקוחות</v>
      </c>
      <c r="AQ3387" t="str">
        <f>"034"</f>
        <v>034</v>
      </c>
      <c r="AR3387">
        <v>0</v>
      </c>
      <c r="AS3387">
        <v>0</v>
      </c>
      <c r="AT3387">
        <v>3.3839999999999999</v>
      </c>
      <c r="AX3387" t="str">
        <f>"E000311250"</f>
        <v>E000311250</v>
      </c>
      <c r="BD3387" t="str">
        <f>"ערן שלו"</f>
        <v>ערן שלו</v>
      </c>
    </row>
    <row r="3388" spans="1:56" x14ac:dyDescent="0.3">
      <c r="A3388" s="1">
        <v>44119</v>
      </c>
      <c r="B3388" t="str">
        <f>"SI206001047"</f>
        <v>SI206001047</v>
      </c>
      <c r="C3388" t="str">
        <f>"PR20000348"</f>
        <v>PR20000348</v>
      </c>
      <c r="E3388" t="str">
        <f>"Y"</f>
        <v>Y</v>
      </c>
      <c r="F3388" t="str">
        <f>"חשבוניות מרכזות"</f>
        <v>חשבוניות מרכזות</v>
      </c>
      <c r="G3388" t="str">
        <f>"700065"</f>
        <v>700065</v>
      </c>
      <c r="H3388" t="str">
        <f>"אלתא מערכות בע""מ"</f>
        <v>אלתא מערכות בע"מ</v>
      </c>
      <c r="I3388" t="str">
        <f>"10"</f>
        <v>10</v>
      </c>
      <c r="J3388" t="str">
        <f>"OP-AR01762"</f>
        <v>OP-AR01762</v>
      </c>
      <c r="K3388" t="str">
        <f>"1036U402-001 WP432 - MEB AZ/EL MOTORS"</f>
        <v>1036U402-001 WP432 - MEB AZ/EL MOTORS</v>
      </c>
      <c r="L3388">
        <v>2</v>
      </c>
      <c r="M3388" t="str">
        <f>"יח"</f>
        <v>יח</v>
      </c>
      <c r="N3388">
        <v>2</v>
      </c>
      <c r="O3388" t="str">
        <f>"יח"</f>
        <v>יח</v>
      </c>
      <c r="P3388">
        <v>930.63</v>
      </c>
      <c r="Q3388" t="str">
        <f>"$"</f>
        <v>$</v>
      </c>
      <c r="R3388" t="str">
        <f>"הזמנה"</f>
        <v>הזמנה</v>
      </c>
      <c r="S3388">
        <v>0</v>
      </c>
      <c r="T3388" s="2">
        <v>1861.26</v>
      </c>
      <c r="U3388">
        <v>0</v>
      </c>
      <c r="V3388" s="2">
        <v>1861.26</v>
      </c>
      <c r="W3388" t="str">
        <f>"$"</f>
        <v>$</v>
      </c>
      <c r="X3388">
        <v>0</v>
      </c>
      <c r="Y3388">
        <v>0</v>
      </c>
      <c r="Z3388">
        <v>0</v>
      </c>
      <c r="AA3388" t="str">
        <f>"Y"</f>
        <v>Y</v>
      </c>
      <c r="AB3388" t="str">
        <f>"SO20000201"</f>
        <v>SO20000201</v>
      </c>
      <c r="AC3388">
        <v>30</v>
      </c>
      <c r="AD3388" s="1">
        <v>43970</v>
      </c>
      <c r="AE3388" t="str">
        <f>"SH20001347"</f>
        <v>SH20001347</v>
      </c>
      <c r="AF3388" t="str">
        <f>"משלוחים ללקוח"</f>
        <v>משלוחים ללקוח</v>
      </c>
      <c r="AG3388" s="1">
        <v>44116</v>
      </c>
      <c r="AM3388" t="str">
        <f>"10"</f>
        <v>10</v>
      </c>
      <c r="AN3388" t="str">
        <f>"500000"</f>
        <v>500000</v>
      </c>
      <c r="AO3388" t="str">
        <f>"הכנסות  מלקוחות"</f>
        <v>הכנסות  מלקוחות</v>
      </c>
      <c r="AQ3388" t="str">
        <f>"034"</f>
        <v>034</v>
      </c>
      <c r="AR3388">
        <v>0</v>
      </c>
      <c r="AS3388">
        <v>0</v>
      </c>
      <c r="AT3388">
        <v>3.3839999999999999</v>
      </c>
      <c r="AX3388" t="str">
        <f>"E000311250"</f>
        <v>E000311250</v>
      </c>
      <c r="BD3388" t="str">
        <f>"ערן שלו"</f>
        <v>ערן שלו</v>
      </c>
    </row>
    <row r="3389" spans="1:56" x14ac:dyDescent="0.3">
      <c r="A3389" s="1">
        <v>44119</v>
      </c>
      <c r="B3389" t="str">
        <f>"SI206001047"</f>
        <v>SI206001047</v>
      </c>
      <c r="C3389" t="str">
        <f>"PR20000348"</f>
        <v>PR20000348</v>
      </c>
      <c r="E3389" t="str">
        <f>"Y"</f>
        <v>Y</v>
      </c>
      <c r="F3389" t="str">
        <f>"חשבוניות מרכזות"</f>
        <v>חשבוניות מרכזות</v>
      </c>
      <c r="G3389" t="str">
        <f>"700065"</f>
        <v>700065</v>
      </c>
      <c r="H3389" t="str">
        <f>"אלתא מערכות בע""מ"</f>
        <v>אלתא מערכות בע"מ</v>
      </c>
      <c r="I3389" t="str">
        <f>"10"</f>
        <v>10</v>
      </c>
      <c r="J3389" t="str">
        <f>"OP-AR01780"</f>
        <v>OP-AR01780</v>
      </c>
      <c r="K3389" t="str">
        <f>"1036U471-001 WP471 - PYLON LEFT SW2"</f>
        <v>1036U471-001 WP471 - PYLON LEFT SW2</v>
      </c>
      <c r="L3389">
        <v>3</v>
      </c>
      <c r="M3389" t="str">
        <f>"יח"</f>
        <v>יח</v>
      </c>
      <c r="N3389">
        <v>3</v>
      </c>
      <c r="O3389" t="str">
        <f>"יח"</f>
        <v>יח</v>
      </c>
      <c r="P3389">
        <v>608.89</v>
      </c>
      <c r="Q3389" t="str">
        <f>"$"</f>
        <v>$</v>
      </c>
      <c r="R3389" t="str">
        <f>"הזמנה"</f>
        <v>הזמנה</v>
      </c>
      <c r="S3389">
        <v>0</v>
      </c>
      <c r="T3389" s="2">
        <v>1826.67</v>
      </c>
      <c r="U3389">
        <v>0</v>
      </c>
      <c r="V3389" s="2">
        <v>1826.67</v>
      </c>
      <c r="W3389" t="str">
        <f>"$"</f>
        <v>$</v>
      </c>
      <c r="X3389">
        <v>0</v>
      </c>
      <c r="Y3389">
        <v>0</v>
      </c>
      <c r="Z3389">
        <v>0</v>
      </c>
      <c r="AA3389" t="str">
        <f>"Y"</f>
        <v>Y</v>
      </c>
      <c r="AB3389" t="str">
        <f>"SO20000201"</f>
        <v>SO20000201</v>
      </c>
      <c r="AC3389">
        <v>46</v>
      </c>
      <c r="AD3389" s="1">
        <v>43970</v>
      </c>
      <c r="AE3389" t="str">
        <f>"SH20001347"</f>
        <v>SH20001347</v>
      </c>
      <c r="AF3389" t="str">
        <f>"משלוחים ללקוח"</f>
        <v>משלוחים ללקוח</v>
      </c>
      <c r="AG3389" s="1">
        <v>44116</v>
      </c>
      <c r="AM3389" t="str">
        <f>"10"</f>
        <v>10</v>
      </c>
      <c r="AN3389" t="str">
        <f>"500000"</f>
        <v>500000</v>
      </c>
      <c r="AO3389" t="str">
        <f>"הכנסות  מלקוחות"</f>
        <v>הכנסות  מלקוחות</v>
      </c>
      <c r="AQ3389" t="str">
        <f>"034"</f>
        <v>034</v>
      </c>
      <c r="AR3389">
        <v>0</v>
      </c>
      <c r="AS3389">
        <v>0</v>
      </c>
      <c r="AT3389">
        <v>3.3839999999999999</v>
      </c>
      <c r="AX3389" t="str">
        <f>"E000311250"</f>
        <v>E000311250</v>
      </c>
      <c r="BD3389" t="str">
        <f>"ערן שלו"</f>
        <v>ערן שלו</v>
      </c>
    </row>
    <row r="3390" spans="1:56" x14ac:dyDescent="0.3">
      <c r="A3390" s="1">
        <v>44119</v>
      </c>
      <c r="B3390" t="str">
        <f>"SI206001047"</f>
        <v>SI206001047</v>
      </c>
      <c r="C3390" t="str">
        <f>"PR20000348"</f>
        <v>PR20000348</v>
      </c>
      <c r="E3390" t="str">
        <f>"Y"</f>
        <v>Y</v>
      </c>
      <c r="F3390" t="str">
        <f>"חשבוניות מרכזות"</f>
        <v>חשבוניות מרכזות</v>
      </c>
      <c r="G3390" t="str">
        <f>"700065"</f>
        <v>700065</v>
      </c>
      <c r="H3390" t="str">
        <f>"אלתא מערכות בע""מ"</f>
        <v>אלתא מערכות בע"מ</v>
      </c>
      <c r="I3390" t="str">
        <f>"10"</f>
        <v>10</v>
      </c>
      <c r="J3390" t="str">
        <f>"OP-AR01789"</f>
        <v>OP-AR01789</v>
      </c>
      <c r="K3390" t="str">
        <f>"1025A622-001 RESET ABSOLUT ENCODER CABLE"</f>
        <v>1025A622-001 RESET ABSOLUT ENCODER CABLE</v>
      </c>
      <c r="L3390">
        <v>14</v>
      </c>
      <c r="M3390" t="str">
        <f>"יח"</f>
        <v>יח</v>
      </c>
      <c r="N3390">
        <v>14</v>
      </c>
      <c r="O3390" t="str">
        <f>"יח"</f>
        <v>יח</v>
      </c>
      <c r="P3390">
        <v>459.26</v>
      </c>
      <c r="Q3390" t="str">
        <f>"$"</f>
        <v>$</v>
      </c>
      <c r="R3390" t="str">
        <f>"הזמנה"</f>
        <v>הזמנה</v>
      </c>
      <c r="S3390">
        <v>0</v>
      </c>
      <c r="T3390" s="2">
        <v>6429.64</v>
      </c>
      <c r="U3390">
        <v>0</v>
      </c>
      <c r="V3390" s="2">
        <v>6429.64</v>
      </c>
      <c r="W3390" t="str">
        <f>"$"</f>
        <v>$</v>
      </c>
      <c r="X3390">
        <v>0</v>
      </c>
      <c r="Y3390">
        <v>0</v>
      </c>
      <c r="Z3390">
        <v>0</v>
      </c>
      <c r="AA3390" t="str">
        <f>"Y"</f>
        <v>Y</v>
      </c>
      <c r="AB3390" t="str">
        <f>"SO20000201"</f>
        <v>SO20000201</v>
      </c>
      <c r="AC3390">
        <v>54</v>
      </c>
      <c r="AD3390" s="1">
        <v>43970</v>
      </c>
      <c r="AE3390" t="str">
        <f>"SH20001347"</f>
        <v>SH20001347</v>
      </c>
      <c r="AF3390" t="str">
        <f>"משלוחים ללקוח"</f>
        <v>משלוחים ללקוח</v>
      </c>
      <c r="AG3390" s="1">
        <v>44116</v>
      </c>
      <c r="AM3390" t="str">
        <f>"10"</f>
        <v>10</v>
      </c>
      <c r="AN3390" t="str">
        <f>"500000"</f>
        <v>500000</v>
      </c>
      <c r="AO3390" t="str">
        <f>"הכנסות  מלקוחות"</f>
        <v>הכנסות  מלקוחות</v>
      </c>
      <c r="AQ3390" t="str">
        <f>"034"</f>
        <v>034</v>
      </c>
      <c r="AR3390">
        <v>0</v>
      </c>
      <c r="AS3390">
        <v>0</v>
      </c>
      <c r="AT3390">
        <v>3.3839999999999999</v>
      </c>
      <c r="AX3390" t="str">
        <f>"E000311250"</f>
        <v>E000311250</v>
      </c>
      <c r="BD3390" t="str">
        <f>"ערן שלו"</f>
        <v>ערן שלו</v>
      </c>
    </row>
    <row r="3391" spans="1:56" x14ac:dyDescent="0.3">
      <c r="A3391" s="1">
        <v>44119</v>
      </c>
      <c r="B3391" t="str">
        <f>"SI206001047"</f>
        <v>SI206001047</v>
      </c>
      <c r="C3391" t="str">
        <f>"PR20000348"</f>
        <v>PR20000348</v>
      </c>
      <c r="E3391" t="str">
        <f>"Y"</f>
        <v>Y</v>
      </c>
      <c r="F3391" t="str">
        <f>"חשבוניות מרכזות"</f>
        <v>חשבוניות מרכזות</v>
      </c>
      <c r="G3391" t="str">
        <f>"700065"</f>
        <v>700065</v>
      </c>
      <c r="H3391" t="str">
        <f>"אלתא מערכות בע""מ"</f>
        <v>אלתא מערכות בע"מ</v>
      </c>
      <c r="I3391" t="str">
        <f>"10"</f>
        <v>10</v>
      </c>
      <c r="J3391" t="str">
        <f>"OP-AR01796"</f>
        <v>OP-AR01796</v>
      </c>
      <c r="K3391" t="str">
        <f>"1039V354-001 WP354 - DATA AFT COMD TO PENDANT BO"</f>
        <v>1039V354-001 WP354 - DATA AFT COMD TO PENDANT BO</v>
      </c>
      <c r="L3391">
        <v>2</v>
      </c>
      <c r="M3391" t="str">
        <f>"יח"</f>
        <v>יח</v>
      </c>
      <c r="N3391">
        <v>2</v>
      </c>
      <c r="O3391" t="str">
        <f>"יח"</f>
        <v>יח</v>
      </c>
      <c r="P3391">
        <v>745.81</v>
      </c>
      <c r="Q3391" t="str">
        <f>"$"</f>
        <v>$</v>
      </c>
      <c r="R3391" t="str">
        <f>"הזמנה"</f>
        <v>הזמנה</v>
      </c>
      <c r="S3391">
        <v>0</v>
      </c>
      <c r="T3391" s="2">
        <v>1491.62</v>
      </c>
      <c r="U3391">
        <v>0</v>
      </c>
      <c r="V3391" s="2">
        <v>1491.62</v>
      </c>
      <c r="W3391" t="str">
        <f>"$"</f>
        <v>$</v>
      </c>
      <c r="X3391">
        <v>0</v>
      </c>
      <c r="Y3391">
        <v>0</v>
      </c>
      <c r="Z3391">
        <v>0</v>
      </c>
      <c r="AA3391" t="str">
        <f>"Y"</f>
        <v>Y</v>
      </c>
      <c r="AB3391" t="str">
        <f>"SO20000201"</f>
        <v>SO20000201</v>
      </c>
      <c r="AC3391">
        <v>61</v>
      </c>
      <c r="AD3391" s="1">
        <v>43970</v>
      </c>
      <c r="AE3391" t="str">
        <f>"SH20001347"</f>
        <v>SH20001347</v>
      </c>
      <c r="AF3391" t="str">
        <f>"משלוחים ללקוח"</f>
        <v>משלוחים ללקוח</v>
      </c>
      <c r="AG3391" s="1">
        <v>44116</v>
      </c>
      <c r="AM3391" t="str">
        <f>"10"</f>
        <v>10</v>
      </c>
      <c r="AN3391" t="str">
        <f>"500000"</f>
        <v>500000</v>
      </c>
      <c r="AO3391" t="str">
        <f>"הכנסות  מלקוחות"</f>
        <v>הכנסות  מלקוחות</v>
      </c>
      <c r="AQ3391" t="str">
        <f>"034"</f>
        <v>034</v>
      </c>
      <c r="AR3391">
        <v>0</v>
      </c>
      <c r="AS3391">
        <v>0</v>
      </c>
      <c r="AT3391">
        <v>3.3839999999999999</v>
      </c>
      <c r="AX3391" t="str">
        <f>"E000311250"</f>
        <v>E000311250</v>
      </c>
      <c r="BD3391" t="str">
        <f>"ערן שלו"</f>
        <v>ערן שלו</v>
      </c>
    </row>
    <row r="3392" spans="1:56" x14ac:dyDescent="0.3">
      <c r="A3392" s="1">
        <v>44119</v>
      </c>
      <c r="B3392" t="str">
        <f>"SI206001046"</f>
        <v>SI206001046</v>
      </c>
      <c r="C3392" t="str">
        <f>"PR20000522"</f>
        <v>PR20000522</v>
      </c>
      <c r="E3392" t="str">
        <f>"Y"</f>
        <v>Y</v>
      </c>
      <c r="F3392" t="str">
        <f>"חשבוניות מרכזות"</f>
        <v>חשבוניות מרכזות</v>
      </c>
      <c r="G3392" t="str">
        <f>"700065"</f>
        <v>700065</v>
      </c>
      <c r="H3392" t="str">
        <f>"אלתא מערכות בע""מ"</f>
        <v>אלתא מערכות בע"מ</v>
      </c>
      <c r="I3392" t="str">
        <f>"10"</f>
        <v>10</v>
      </c>
      <c r="J3392" t="str">
        <f>"OP-AR01944"</f>
        <v>OP-AR01944</v>
      </c>
      <c r="K3392" t="str">
        <f>"1035E116-001 - ETHERNET CABLE W0116"</f>
        <v>1035E116-001 - ETHERNET CABLE W0116</v>
      </c>
      <c r="L3392">
        <v>1</v>
      </c>
      <c r="M3392" t="str">
        <f>"יח"</f>
        <v>יח</v>
      </c>
      <c r="N3392">
        <v>1</v>
      </c>
      <c r="O3392" t="str">
        <f>"יח"</f>
        <v>יח</v>
      </c>
      <c r="P3392">
        <v>654.05999999999995</v>
      </c>
      <c r="Q3392" t="str">
        <f>"$"</f>
        <v>$</v>
      </c>
      <c r="R3392" t="str">
        <f>"הזמנה"</f>
        <v>הזמנה</v>
      </c>
      <c r="S3392">
        <v>0</v>
      </c>
      <c r="T3392">
        <v>654.05999999999995</v>
      </c>
      <c r="U3392">
        <v>0</v>
      </c>
      <c r="V3392">
        <v>654.05999999999995</v>
      </c>
      <c r="W3392" t="str">
        <f>"$"</f>
        <v>$</v>
      </c>
      <c r="X3392">
        <v>0</v>
      </c>
      <c r="Y3392">
        <v>0</v>
      </c>
      <c r="Z3392">
        <v>0</v>
      </c>
      <c r="AA3392" t="str">
        <f>"Y"</f>
        <v>Y</v>
      </c>
      <c r="AB3392" t="str">
        <f>"SO20000333"</f>
        <v>SO20000333</v>
      </c>
      <c r="AC3392">
        <v>2</v>
      </c>
      <c r="AD3392" s="1">
        <v>44039</v>
      </c>
      <c r="AE3392" t="str">
        <f>"SH20001344"</f>
        <v>SH20001344</v>
      </c>
      <c r="AF3392" t="str">
        <f>"משלוחים ללקוח"</f>
        <v>משלוחים ללקוח</v>
      </c>
      <c r="AG3392" s="1">
        <v>44116</v>
      </c>
      <c r="AM3392" t="str">
        <f>"10"</f>
        <v>10</v>
      </c>
      <c r="AN3392" t="str">
        <f>"500000"</f>
        <v>500000</v>
      </c>
      <c r="AO3392" t="str">
        <f>"הכנסות  מלקוחות"</f>
        <v>הכנסות  מלקוחות</v>
      </c>
      <c r="AQ3392" t="str">
        <f>"034"</f>
        <v>034</v>
      </c>
      <c r="AR3392">
        <v>0</v>
      </c>
      <c r="AS3392">
        <v>0</v>
      </c>
      <c r="AT3392">
        <v>3.3839999999999999</v>
      </c>
      <c r="AX3392" t="str">
        <f>"E000317706"</f>
        <v>E000317706</v>
      </c>
      <c r="BD3392" t="str">
        <f>"ערן שלו"</f>
        <v>ערן שלו</v>
      </c>
    </row>
    <row r="3393" spans="1:56" x14ac:dyDescent="0.3">
      <c r="A3393" s="1">
        <v>44119</v>
      </c>
      <c r="B3393" t="str">
        <f>"SI206001045"</f>
        <v>SI206001045</v>
      </c>
      <c r="C3393" t="str">
        <f>"PR19000454"</f>
        <v>PR19000454</v>
      </c>
      <c r="D3393" t="str">
        <f>"PR19000454"</f>
        <v>PR19000454</v>
      </c>
      <c r="E3393" t="str">
        <f>"Y"</f>
        <v>Y</v>
      </c>
      <c r="F3393" t="str">
        <f>"חשבוניות מרכזות"</f>
        <v>חשבוניות מרכזות</v>
      </c>
      <c r="G3393" t="str">
        <f>"700065"</f>
        <v>700065</v>
      </c>
      <c r="H3393" t="str">
        <f>"אלתא מערכות בע""מ"</f>
        <v>אלתא מערכות בע"מ</v>
      </c>
      <c r="I3393" t="str">
        <f>"10"</f>
        <v>10</v>
      </c>
      <c r="J3393" t="str">
        <f>"OP-AR01297"</f>
        <v>OP-AR01297</v>
      </c>
      <c r="K3393" t="str">
        <f>"שדרוג יחידה LB PDB"</f>
        <v>שדרוג יחידה LB PDB</v>
      </c>
      <c r="L3393">
        <v>1</v>
      </c>
      <c r="M3393" t="str">
        <f>"יח"</f>
        <v>יח</v>
      </c>
      <c r="N3393">
        <v>1</v>
      </c>
      <c r="O3393" t="str">
        <f>"יח"</f>
        <v>יח</v>
      </c>
      <c r="P3393" s="2">
        <v>2549</v>
      </c>
      <c r="Q3393" t="str">
        <f>"$"</f>
        <v>$</v>
      </c>
      <c r="R3393" t="str">
        <f>"הזמנה"</f>
        <v>הזמנה</v>
      </c>
      <c r="S3393">
        <v>0</v>
      </c>
      <c r="T3393" s="2">
        <v>2549</v>
      </c>
      <c r="U3393">
        <v>0</v>
      </c>
      <c r="V3393" s="2">
        <v>2549</v>
      </c>
      <c r="W3393" t="str">
        <f>"$"</f>
        <v>$</v>
      </c>
      <c r="X3393">
        <v>0</v>
      </c>
      <c r="Y3393">
        <v>0</v>
      </c>
      <c r="Z3393">
        <v>0</v>
      </c>
      <c r="AA3393" t="str">
        <f>"Y"</f>
        <v>Y</v>
      </c>
      <c r="AB3393" t="str">
        <f>"SO19000516"</f>
        <v>SO19000516</v>
      </c>
      <c r="AC3393">
        <v>14</v>
      </c>
      <c r="AD3393" s="1">
        <v>43808</v>
      </c>
      <c r="AE3393" t="str">
        <f>"SH20001334"</f>
        <v>SH20001334</v>
      </c>
      <c r="AF3393" t="str">
        <f>"משלוחים ללקוח"</f>
        <v>משלוחים ללקוח</v>
      </c>
      <c r="AG3393" s="1">
        <v>44111</v>
      </c>
      <c r="AM3393" t="str">
        <f>"10"</f>
        <v>10</v>
      </c>
      <c r="AN3393" t="str">
        <f>"500000"</f>
        <v>500000</v>
      </c>
      <c r="AO3393" t="str">
        <f>"הכנסות  מלקוחות"</f>
        <v>הכנסות  מלקוחות</v>
      </c>
      <c r="AQ3393" t="str">
        <f>"034"</f>
        <v>034</v>
      </c>
      <c r="AR3393">
        <v>0</v>
      </c>
      <c r="AS3393">
        <v>0</v>
      </c>
      <c r="AT3393">
        <v>3.3839999999999999</v>
      </c>
      <c r="AX3393" t="str">
        <f>"E000295397"</f>
        <v>E000295397</v>
      </c>
      <c r="BD3393" t="str">
        <f>"ערן שלו"</f>
        <v>ערן שלו</v>
      </c>
    </row>
    <row r="3394" spans="1:56" x14ac:dyDescent="0.3">
      <c r="A3394" s="1">
        <v>44117</v>
      </c>
      <c r="B3394" t="str">
        <f>"SI206001038"</f>
        <v>SI206001038</v>
      </c>
      <c r="C3394" t="str">
        <f>"PR19000454"</f>
        <v>PR19000454</v>
      </c>
      <c r="E3394" t="str">
        <f>"Y"</f>
        <v>Y</v>
      </c>
      <c r="F3394" t="str">
        <f>"חשבוניות מרכזות"</f>
        <v>חשבוניות מרכזות</v>
      </c>
      <c r="G3394" t="str">
        <f>"700065"</f>
        <v>700065</v>
      </c>
      <c r="H3394" t="str">
        <f>"אלתא מערכות בע""מ"</f>
        <v>אלתא מערכות בע"מ</v>
      </c>
      <c r="I3394" t="str">
        <f>"10"</f>
        <v>10</v>
      </c>
      <c r="J3394" t="str">
        <f>"OP-AR01297"</f>
        <v>OP-AR01297</v>
      </c>
      <c r="K3394" t="str">
        <f>"שדרוג יחידה LB PDB"</f>
        <v>שדרוג יחידה LB PDB</v>
      </c>
      <c r="L3394">
        <v>-1</v>
      </c>
      <c r="M3394" t="str">
        <f>"יח"</f>
        <v>יח</v>
      </c>
      <c r="N3394">
        <v>-1</v>
      </c>
      <c r="O3394" t="str">
        <f>"יח"</f>
        <v>יח</v>
      </c>
      <c r="P3394" s="2">
        <v>2549</v>
      </c>
      <c r="Q3394" t="str">
        <f>"$"</f>
        <v>$</v>
      </c>
      <c r="R3394" t="str">
        <f>"הזמנה"</f>
        <v>הזמנה</v>
      </c>
      <c r="S3394">
        <v>0</v>
      </c>
      <c r="T3394" s="2">
        <v>-2549</v>
      </c>
      <c r="U3394">
        <v>0</v>
      </c>
      <c r="V3394" s="2">
        <v>-2549</v>
      </c>
      <c r="W3394" t="str">
        <f>"$"</f>
        <v>$</v>
      </c>
      <c r="X3394">
        <v>0</v>
      </c>
      <c r="Y3394">
        <v>0</v>
      </c>
      <c r="Z3394">
        <v>0</v>
      </c>
      <c r="AA3394" t="str">
        <f>"Y"</f>
        <v>Y</v>
      </c>
      <c r="AC3394">
        <v>0</v>
      </c>
      <c r="AM3394" t="str">
        <f>"10"</f>
        <v>10</v>
      </c>
      <c r="AN3394" t="str">
        <f>"500000"</f>
        <v>500000</v>
      </c>
      <c r="AO3394" t="str">
        <f>"הכנסות  מלקוחות"</f>
        <v>הכנסות  מלקוחות</v>
      </c>
      <c r="AQ3394" t="str">
        <f>"034"</f>
        <v>034</v>
      </c>
      <c r="AR3394">
        <v>0</v>
      </c>
      <c r="AS3394">
        <v>0</v>
      </c>
      <c r="AT3394">
        <v>3.383</v>
      </c>
      <c r="BB3394" t="str">
        <f>"Y"</f>
        <v>Y</v>
      </c>
      <c r="BD3394" t="str">
        <f>"ערן שלו"</f>
        <v>ערן שלו</v>
      </c>
    </row>
    <row r="3395" spans="1:56" x14ac:dyDescent="0.3">
      <c r="A3395" s="1">
        <v>44117</v>
      </c>
      <c r="B3395" t="str">
        <f>"SI206001037"</f>
        <v>SI206001037</v>
      </c>
      <c r="C3395" t="str">
        <f>"PR19000454"</f>
        <v>PR19000454</v>
      </c>
      <c r="E3395" t="str">
        <f>"Y"</f>
        <v>Y</v>
      </c>
      <c r="F3395" t="str">
        <f>"חשבוניות מרכזות"</f>
        <v>חשבוניות מרכזות</v>
      </c>
      <c r="G3395" t="str">
        <f>"700065"</f>
        <v>700065</v>
      </c>
      <c r="H3395" t="str">
        <f>"אלתא מערכות בע""מ"</f>
        <v>אלתא מערכות בע"מ</v>
      </c>
      <c r="I3395" t="str">
        <f>"10"</f>
        <v>10</v>
      </c>
      <c r="J3395" t="str">
        <f>"OP-AR01297"</f>
        <v>OP-AR01297</v>
      </c>
      <c r="K3395" t="str">
        <f>"שדרוג יחידה LB PDB"</f>
        <v>שדרוג יחידה LB PDB</v>
      </c>
      <c r="L3395">
        <v>-1</v>
      </c>
      <c r="M3395" t="str">
        <f>"יח"</f>
        <v>יח</v>
      </c>
      <c r="N3395">
        <v>-1</v>
      </c>
      <c r="O3395" t="str">
        <f>"יח"</f>
        <v>יח</v>
      </c>
      <c r="P3395" s="2">
        <v>2549</v>
      </c>
      <c r="Q3395" t="str">
        <f>"$"</f>
        <v>$</v>
      </c>
      <c r="R3395" t="str">
        <f>"הזמנה"</f>
        <v>הזמנה</v>
      </c>
      <c r="S3395">
        <v>0</v>
      </c>
      <c r="T3395" s="2">
        <v>-2549</v>
      </c>
      <c r="U3395">
        <v>0</v>
      </c>
      <c r="V3395" s="2">
        <v>-2549</v>
      </c>
      <c r="W3395" t="str">
        <f>"$"</f>
        <v>$</v>
      </c>
      <c r="X3395">
        <v>0</v>
      </c>
      <c r="Y3395">
        <v>0</v>
      </c>
      <c r="Z3395">
        <v>0</v>
      </c>
      <c r="AA3395" t="str">
        <f>"Y"</f>
        <v>Y</v>
      </c>
      <c r="AC3395">
        <v>0</v>
      </c>
      <c r="AM3395" t="str">
        <f>"10"</f>
        <v>10</v>
      </c>
      <c r="AN3395" t="str">
        <f>"500000"</f>
        <v>500000</v>
      </c>
      <c r="AO3395" t="str">
        <f>"הכנסות  מלקוחות"</f>
        <v>הכנסות  מלקוחות</v>
      </c>
      <c r="AQ3395" t="str">
        <f>"034"</f>
        <v>034</v>
      </c>
      <c r="AR3395">
        <v>0</v>
      </c>
      <c r="AS3395">
        <v>0</v>
      </c>
      <c r="AT3395">
        <v>3.383</v>
      </c>
      <c r="BB3395" t="str">
        <f>"Y"</f>
        <v>Y</v>
      </c>
      <c r="BD3395" t="str">
        <f>"ערן שלו"</f>
        <v>ערן שלו</v>
      </c>
    </row>
    <row r="3396" spans="1:56" x14ac:dyDescent="0.3">
      <c r="A3396" s="1">
        <v>44117</v>
      </c>
      <c r="B3396" t="str">
        <f>"SI206001025"</f>
        <v>SI206001025</v>
      </c>
      <c r="C3396" t="str">
        <f>"PR18000543"</f>
        <v>PR18000543</v>
      </c>
      <c r="D3396" t="str">
        <f>"PR18000543"</f>
        <v>PR18000543</v>
      </c>
      <c r="E3396" t="str">
        <f>"Y"</f>
        <v>Y</v>
      </c>
      <c r="F3396" t="str">
        <f>"חשבוניות מרכזות"</f>
        <v>חשבוניות מרכזות</v>
      </c>
      <c r="G3396" t="str">
        <f>"700065"</f>
        <v>700065</v>
      </c>
      <c r="H3396" t="str">
        <f>"אלתא מערכות בע""מ"</f>
        <v>אלתא מערכות בע"מ</v>
      </c>
      <c r="I3396" t="str">
        <f>"10"</f>
        <v>10</v>
      </c>
      <c r="J3396" t="str">
        <f>"000"</f>
        <v>000</v>
      </c>
      <c r="K3396" t="str">
        <f>"HVJB BRACKET- שינוי תכן 14744$"</f>
        <v>HVJB BRACKET- שינוי תכן 14744$</v>
      </c>
      <c r="L3396">
        <v>1</v>
      </c>
      <c r="M3396" t="str">
        <f>"יח"</f>
        <v>יח</v>
      </c>
      <c r="N3396">
        <v>1</v>
      </c>
      <c r="O3396" t="str">
        <f>"יח"</f>
        <v>יח</v>
      </c>
      <c r="P3396" s="2">
        <v>8689</v>
      </c>
      <c r="Q3396" t="str">
        <f>"$"</f>
        <v>$</v>
      </c>
      <c r="R3396" t="str">
        <f>"הזמנה"</f>
        <v>הזמנה</v>
      </c>
      <c r="S3396">
        <v>0</v>
      </c>
      <c r="T3396" s="2">
        <v>8689</v>
      </c>
      <c r="U3396">
        <v>0</v>
      </c>
      <c r="V3396" s="2">
        <v>8689</v>
      </c>
      <c r="W3396" t="str">
        <f>"$"</f>
        <v>$</v>
      </c>
      <c r="X3396">
        <v>0</v>
      </c>
      <c r="Y3396">
        <v>0</v>
      </c>
      <c r="Z3396">
        <v>0</v>
      </c>
      <c r="AA3396" t="str">
        <f>"Y"</f>
        <v>Y</v>
      </c>
      <c r="AB3396" t="str">
        <f>"SO19000474"</f>
        <v>SO19000474</v>
      </c>
      <c r="AC3396">
        <v>2</v>
      </c>
      <c r="AD3396" s="1">
        <v>43774</v>
      </c>
      <c r="AM3396" t="str">
        <f>"10"</f>
        <v>10</v>
      </c>
      <c r="AN3396" t="str">
        <f>"500000"</f>
        <v>500000</v>
      </c>
      <c r="AO3396" t="str">
        <f>"הכנסות  מלקוחות"</f>
        <v>הכנסות  מלקוחות</v>
      </c>
      <c r="AQ3396" t="str">
        <f>"034"</f>
        <v>034</v>
      </c>
      <c r="AR3396">
        <v>0</v>
      </c>
      <c r="AS3396">
        <v>0</v>
      </c>
      <c r="AT3396">
        <v>3.383</v>
      </c>
      <c r="AX3396" t="str">
        <f>"E000298231"</f>
        <v>E000298231</v>
      </c>
      <c r="BD3396" t="str">
        <f>"ערן שלו"</f>
        <v>ערן שלו</v>
      </c>
    </row>
    <row r="3397" spans="1:56" x14ac:dyDescent="0.3">
      <c r="A3397" s="1">
        <v>44117</v>
      </c>
      <c r="B3397" t="str">
        <f>"SI206001024"</f>
        <v>SI206001024</v>
      </c>
      <c r="C3397" t="str">
        <f>"PR20000316"</f>
        <v>PR20000316</v>
      </c>
      <c r="D3397" t="str">
        <f>"PR20000316"</f>
        <v>PR20000316</v>
      </c>
      <c r="E3397" t="str">
        <f>"Y"</f>
        <v>Y</v>
      </c>
      <c r="F3397" t="str">
        <f>"חשבוניות מרכזות"</f>
        <v>חשבוניות מרכזות</v>
      </c>
      <c r="G3397" t="str">
        <f>"700065"</f>
        <v>700065</v>
      </c>
      <c r="H3397" t="str">
        <f>"אלתא מערכות בע""מ"</f>
        <v>אלתא מערכות בע"מ</v>
      </c>
      <c r="I3397" t="str">
        <f>"10"</f>
        <v>10</v>
      </c>
      <c r="J3397" t="str">
        <f>"OP-AR01732"</f>
        <v>OP-AR01732</v>
      </c>
      <c r="K3397" t="str">
        <f>"NRE FOR E000311749"</f>
        <v>NRE FOR E000311749</v>
      </c>
      <c r="L3397">
        <v>1</v>
      </c>
      <c r="M3397" t="str">
        <f>"יח"</f>
        <v>יח</v>
      </c>
      <c r="N3397">
        <v>1</v>
      </c>
      <c r="O3397" t="str">
        <f>"יח"</f>
        <v>יח</v>
      </c>
      <c r="P3397">
        <v>150</v>
      </c>
      <c r="Q3397" t="str">
        <f>"$"</f>
        <v>$</v>
      </c>
      <c r="R3397" t="str">
        <f>"הזמנה"</f>
        <v>הזמנה</v>
      </c>
      <c r="S3397">
        <v>0</v>
      </c>
      <c r="T3397">
        <v>150</v>
      </c>
      <c r="U3397">
        <v>0</v>
      </c>
      <c r="V3397">
        <v>150</v>
      </c>
      <c r="W3397" t="str">
        <f>"$"</f>
        <v>$</v>
      </c>
      <c r="X3397">
        <v>0</v>
      </c>
      <c r="Y3397">
        <v>0</v>
      </c>
      <c r="Z3397">
        <v>0</v>
      </c>
      <c r="AA3397" t="str">
        <f>"Y"</f>
        <v>Y</v>
      </c>
      <c r="AB3397" t="str">
        <f>"SO20000193"</f>
        <v>SO20000193</v>
      </c>
      <c r="AC3397">
        <v>3</v>
      </c>
      <c r="AD3397" s="1">
        <v>43964</v>
      </c>
      <c r="AM3397" t="str">
        <f>"10"</f>
        <v>10</v>
      </c>
      <c r="AN3397" t="str">
        <f>"500000"</f>
        <v>500000</v>
      </c>
      <c r="AO3397" t="str">
        <f>"הכנסות  מלקוחות"</f>
        <v>הכנסות  מלקוחות</v>
      </c>
      <c r="AQ3397" t="str">
        <f>"034"</f>
        <v>034</v>
      </c>
      <c r="AR3397">
        <v>0</v>
      </c>
      <c r="AS3397">
        <v>0</v>
      </c>
      <c r="AT3397">
        <v>3.383</v>
      </c>
      <c r="AX3397" t="str">
        <f>"E000311749"</f>
        <v>E000311749</v>
      </c>
      <c r="BD3397" t="str">
        <f>"ערן שלו"</f>
        <v>ערן שלו</v>
      </c>
    </row>
    <row r="3398" spans="1:56" x14ac:dyDescent="0.3">
      <c r="A3398" s="1">
        <v>44117</v>
      </c>
      <c r="B3398" t="str">
        <f>"SI206001023"</f>
        <v>SI206001023</v>
      </c>
      <c r="C3398" t="str">
        <f>"PR20000067"</f>
        <v>PR20000067</v>
      </c>
      <c r="D3398" t="str">
        <f>"PR20000067"</f>
        <v>PR20000067</v>
      </c>
      <c r="E3398" t="str">
        <f>"Y"</f>
        <v>Y</v>
      </c>
      <c r="F3398" t="str">
        <f>"חשבוניות מרכזות"</f>
        <v>חשבוניות מרכזות</v>
      </c>
      <c r="G3398" t="str">
        <f>"700065"</f>
        <v>700065</v>
      </c>
      <c r="H3398" t="str">
        <f>"אלתא מערכות בע""מ"</f>
        <v>אלתא מערכות בע"מ</v>
      </c>
      <c r="I3398" t="str">
        <f>"10"</f>
        <v>10</v>
      </c>
      <c r="J3398" t="str">
        <f>"cust00896"</f>
        <v>cust00896</v>
      </c>
      <c r="K3398" t="str">
        <f>"MEDIA EPC 230V  P33173000 אלתא"</f>
        <v>MEDIA EPC 230V  P33173000 אלתא</v>
      </c>
      <c r="L3398">
        <v>1</v>
      </c>
      <c r="M3398" t="str">
        <f>"יח"</f>
        <v>יח</v>
      </c>
      <c r="N3398">
        <v>1</v>
      </c>
      <c r="O3398" t="str">
        <f>"יח"</f>
        <v>יח</v>
      </c>
      <c r="P3398">
        <v>320</v>
      </c>
      <c r="Q3398" t="str">
        <f>"$"</f>
        <v>$</v>
      </c>
      <c r="R3398" t="str">
        <f>"הזמנה"</f>
        <v>הזמנה</v>
      </c>
      <c r="S3398">
        <v>0</v>
      </c>
      <c r="T3398">
        <v>320</v>
      </c>
      <c r="U3398">
        <v>0</v>
      </c>
      <c r="V3398">
        <v>320</v>
      </c>
      <c r="W3398" t="str">
        <f>"$"</f>
        <v>$</v>
      </c>
      <c r="X3398">
        <v>0</v>
      </c>
      <c r="Y3398">
        <v>0</v>
      </c>
      <c r="Z3398">
        <v>0</v>
      </c>
      <c r="AA3398" t="str">
        <f>"Y"</f>
        <v>Y</v>
      </c>
      <c r="AB3398" t="str">
        <f>"SO20000064"</f>
        <v>SO20000064</v>
      </c>
      <c r="AC3398">
        <v>5</v>
      </c>
      <c r="AD3398" s="1">
        <v>43871</v>
      </c>
      <c r="AE3398" t="str">
        <f>"SH20000684"</f>
        <v>SH20000684</v>
      </c>
      <c r="AF3398" t="str">
        <f>"משלוחים ללקוח"</f>
        <v>משלוחים ללקוח</v>
      </c>
      <c r="AG3398" s="1">
        <v>43982</v>
      </c>
      <c r="AM3398" t="str">
        <f>"10"</f>
        <v>10</v>
      </c>
      <c r="AN3398" t="str">
        <f>"500000"</f>
        <v>500000</v>
      </c>
      <c r="AO3398" t="str">
        <f>"הכנסות  מלקוחות"</f>
        <v>הכנסות  מלקוחות</v>
      </c>
      <c r="AQ3398" t="str">
        <f>"034"</f>
        <v>034</v>
      </c>
      <c r="AR3398">
        <v>0</v>
      </c>
      <c r="AS3398">
        <v>0</v>
      </c>
      <c r="AT3398">
        <v>3.383</v>
      </c>
      <c r="AX3398" t="str">
        <f>"E000304846"</f>
        <v>E000304846</v>
      </c>
      <c r="BD3398" t="str">
        <f>"ערן שלו"</f>
        <v>ערן שלו</v>
      </c>
    </row>
    <row r="3399" spans="1:56" x14ac:dyDescent="0.3">
      <c r="A3399" s="1">
        <v>44117</v>
      </c>
      <c r="B3399" t="str">
        <f>"SI206001019"</f>
        <v>SI206001019</v>
      </c>
      <c r="C3399" t="str">
        <f>"PR19000454"</f>
        <v>PR19000454</v>
      </c>
      <c r="E3399" t="str">
        <f>"Y"</f>
        <v>Y</v>
      </c>
      <c r="F3399" t="str">
        <f>"חשבוניות מרכזות"</f>
        <v>חשבוניות מרכזות</v>
      </c>
      <c r="G3399" t="str">
        <f>"700065"</f>
        <v>700065</v>
      </c>
      <c r="H3399" t="str">
        <f>"אלתא מערכות בע""מ"</f>
        <v>אלתא מערכות בע"מ</v>
      </c>
      <c r="I3399" t="str">
        <f>"10"</f>
        <v>10</v>
      </c>
      <c r="J3399" t="str">
        <f>"OP-AR01297"</f>
        <v>OP-AR01297</v>
      </c>
      <c r="K3399" t="str">
        <f>"שדרוג יחידה LB PDB"</f>
        <v>שדרוג יחידה LB PDB</v>
      </c>
      <c r="L3399">
        <v>1</v>
      </c>
      <c r="M3399" t="str">
        <f>"יח"</f>
        <v>יח</v>
      </c>
      <c r="N3399">
        <v>1</v>
      </c>
      <c r="O3399" t="str">
        <f>"יח"</f>
        <v>יח</v>
      </c>
      <c r="P3399" s="2">
        <v>2549</v>
      </c>
      <c r="Q3399" t="str">
        <f>"$"</f>
        <v>$</v>
      </c>
      <c r="R3399" t="str">
        <f>"הזמנה"</f>
        <v>הזמנה</v>
      </c>
      <c r="S3399">
        <v>0</v>
      </c>
      <c r="T3399" s="2">
        <v>2549</v>
      </c>
      <c r="U3399">
        <v>0</v>
      </c>
      <c r="V3399" s="2">
        <v>2549</v>
      </c>
      <c r="W3399" t="str">
        <f>"$"</f>
        <v>$</v>
      </c>
      <c r="X3399">
        <v>0</v>
      </c>
      <c r="Y3399">
        <v>0</v>
      </c>
      <c r="Z3399">
        <v>0</v>
      </c>
      <c r="AA3399" t="str">
        <f>"Y"</f>
        <v>Y</v>
      </c>
      <c r="AC3399">
        <v>0</v>
      </c>
      <c r="AM3399" t="str">
        <f>"10"</f>
        <v>10</v>
      </c>
      <c r="AN3399" t="str">
        <f>"500000"</f>
        <v>500000</v>
      </c>
      <c r="AO3399" t="str">
        <f>"הכנסות  מלקוחות"</f>
        <v>הכנסות  מלקוחות</v>
      </c>
      <c r="AQ3399" t="str">
        <f>"034"</f>
        <v>034</v>
      </c>
      <c r="AR3399">
        <v>0</v>
      </c>
      <c r="AS3399">
        <v>0</v>
      </c>
      <c r="AT3399">
        <v>3.383</v>
      </c>
      <c r="BB3399" t="str">
        <f>"Y"</f>
        <v>Y</v>
      </c>
      <c r="BD3399" t="str">
        <f>"ערן שלו"</f>
        <v>ערן שלו</v>
      </c>
    </row>
    <row r="3400" spans="1:56" x14ac:dyDescent="0.3">
      <c r="A3400" s="1">
        <v>44117</v>
      </c>
      <c r="B3400" t="str">
        <f>"SI206001018"</f>
        <v>SI206001018</v>
      </c>
      <c r="C3400" t="str">
        <f>"PR19000454"</f>
        <v>PR19000454</v>
      </c>
      <c r="D3400" t="str">
        <f>"PR19000454"</f>
        <v>PR19000454</v>
      </c>
      <c r="E3400" t="str">
        <f>"Y"</f>
        <v>Y</v>
      </c>
      <c r="F3400" t="str">
        <f>"חשבוניות מרכזות"</f>
        <v>חשבוניות מרכזות</v>
      </c>
      <c r="G3400" t="str">
        <f>"700065"</f>
        <v>700065</v>
      </c>
      <c r="H3400" t="str">
        <f>"אלתא מערכות בע""מ"</f>
        <v>אלתא מערכות בע"מ</v>
      </c>
      <c r="I3400" t="str">
        <f>"10"</f>
        <v>10</v>
      </c>
      <c r="J3400" t="str">
        <f>"OP-AR01297"</f>
        <v>OP-AR01297</v>
      </c>
      <c r="K3400" t="str">
        <f>"שדרוג יחידה LB PDB"</f>
        <v>שדרוג יחידה LB PDB</v>
      </c>
      <c r="L3400">
        <v>1</v>
      </c>
      <c r="M3400" t="str">
        <f>"יח"</f>
        <v>יח</v>
      </c>
      <c r="N3400">
        <v>1</v>
      </c>
      <c r="O3400" t="str">
        <f>"יח"</f>
        <v>יח</v>
      </c>
      <c r="P3400" s="2">
        <v>2549</v>
      </c>
      <c r="Q3400" t="str">
        <f>"$"</f>
        <v>$</v>
      </c>
      <c r="R3400" t="str">
        <f>"הזמנה"</f>
        <v>הזמנה</v>
      </c>
      <c r="S3400">
        <v>0</v>
      </c>
      <c r="T3400" s="2">
        <v>2549</v>
      </c>
      <c r="U3400">
        <v>0</v>
      </c>
      <c r="V3400" s="2">
        <v>2549</v>
      </c>
      <c r="W3400" t="str">
        <f>"$"</f>
        <v>$</v>
      </c>
      <c r="X3400">
        <v>0</v>
      </c>
      <c r="Y3400">
        <v>0</v>
      </c>
      <c r="Z3400">
        <v>0</v>
      </c>
      <c r="AA3400" t="str">
        <f>"Y"</f>
        <v>Y</v>
      </c>
      <c r="AB3400" t="str">
        <f>"SO20000255"</f>
        <v>SO20000255</v>
      </c>
      <c r="AC3400">
        <v>2</v>
      </c>
      <c r="AD3400" s="1">
        <v>43998</v>
      </c>
      <c r="AE3400" t="str">
        <f>"SH20001332"</f>
        <v>SH20001332</v>
      </c>
      <c r="AF3400" t="str">
        <f>"משלוחים ללקוח"</f>
        <v>משלוחים ללקוח</v>
      </c>
      <c r="AG3400" s="1">
        <v>44111</v>
      </c>
      <c r="AM3400" t="str">
        <f>"10"</f>
        <v>10</v>
      </c>
      <c r="AN3400" t="str">
        <f>"500000"</f>
        <v>500000</v>
      </c>
      <c r="AO3400" t="str">
        <f>"הכנסות  מלקוחות"</f>
        <v>הכנסות  מלקוחות</v>
      </c>
      <c r="AQ3400" t="str">
        <f>"034"</f>
        <v>034</v>
      </c>
      <c r="AR3400">
        <v>0</v>
      </c>
      <c r="AS3400">
        <v>0</v>
      </c>
      <c r="AT3400">
        <v>3.383</v>
      </c>
      <c r="AX3400" t="str">
        <f>"E000313284"</f>
        <v>E000313284</v>
      </c>
      <c r="BD3400" t="str">
        <f>"ערן שלו"</f>
        <v>ערן שלו</v>
      </c>
    </row>
    <row r="3401" spans="1:56" x14ac:dyDescent="0.3">
      <c r="A3401" s="1">
        <v>44117</v>
      </c>
      <c r="B3401" t="str">
        <f>"SI206001017"</f>
        <v>SI206001017</v>
      </c>
      <c r="C3401" t="str">
        <f>"PR19000454"</f>
        <v>PR19000454</v>
      </c>
      <c r="E3401" t="str">
        <f>"Y"</f>
        <v>Y</v>
      </c>
      <c r="F3401" t="str">
        <f>"חשבוניות מרכזות"</f>
        <v>חשבוניות מרכזות</v>
      </c>
      <c r="G3401" t="str">
        <f>"700065"</f>
        <v>700065</v>
      </c>
      <c r="H3401" t="str">
        <f>"אלתא מערכות בע""מ"</f>
        <v>אלתא מערכות בע"מ</v>
      </c>
      <c r="I3401" t="str">
        <f>"10"</f>
        <v>10</v>
      </c>
      <c r="J3401" t="str">
        <f>"OP-AR01297"</f>
        <v>OP-AR01297</v>
      </c>
      <c r="K3401" t="str">
        <f>"שדרוג יחידה LB PDB"</f>
        <v>שדרוג יחידה LB PDB</v>
      </c>
      <c r="L3401">
        <v>1</v>
      </c>
      <c r="M3401" t="str">
        <f>"יח"</f>
        <v>יח</v>
      </c>
      <c r="N3401">
        <v>1</v>
      </c>
      <c r="O3401" t="str">
        <f>"יח"</f>
        <v>יח</v>
      </c>
      <c r="P3401" s="2">
        <v>2549</v>
      </c>
      <c r="Q3401" t="str">
        <f>"$"</f>
        <v>$</v>
      </c>
      <c r="R3401" t="str">
        <f>"הזמנה"</f>
        <v>הזמנה</v>
      </c>
      <c r="S3401">
        <v>0</v>
      </c>
      <c r="T3401" s="2">
        <v>2549</v>
      </c>
      <c r="U3401">
        <v>0</v>
      </c>
      <c r="V3401" s="2">
        <v>2549</v>
      </c>
      <c r="W3401" t="str">
        <f>"$"</f>
        <v>$</v>
      </c>
      <c r="X3401">
        <v>0</v>
      </c>
      <c r="Y3401">
        <v>0</v>
      </c>
      <c r="Z3401">
        <v>0</v>
      </c>
      <c r="AA3401" t="str">
        <f>"Y"</f>
        <v>Y</v>
      </c>
      <c r="AC3401">
        <v>0</v>
      </c>
      <c r="AM3401" t="str">
        <f>"10"</f>
        <v>10</v>
      </c>
      <c r="AN3401" t="str">
        <f>"500000"</f>
        <v>500000</v>
      </c>
      <c r="AO3401" t="str">
        <f>"הכנסות  מלקוחות"</f>
        <v>הכנסות  מלקוחות</v>
      </c>
      <c r="AQ3401" t="str">
        <f>"034"</f>
        <v>034</v>
      </c>
      <c r="AR3401">
        <v>0</v>
      </c>
      <c r="AS3401">
        <v>0</v>
      </c>
      <c r="AT3401">
        <v>3.383</v>
      </c>
      <c r="BB3401" t="str">
        <f>"Y"</f>
        <v>Y</v>
      </c>
      <c r="BD3401" t="str">
        <f>"ערן שלו"</f>
        <v>ערן שלו</v>
      </c>
    </row>
    <row r="3402" spans="1:56" x14ac:dyDescent="0.3">
      <c r="A3402" s="1">
        <v>44117</v>
      </c>
      <c r="B3402" t="str">
        <f>"SI206001016"</f>
        <v>SI206001016</v>
      </c>
      <c r="C3402" t="str">
        <f>"PR19000454"</f>
        <v>PR19000454</v>
      </c>
      <c r="D3402" t="str">
        <f>"PR19000454"</f>
        <v>PR19000454</v>
      </c>
      <c r="E3402" t="str">
        <f>"Y"</f>
        <v>Y</v>
      </c>
      <c r="F3402" t="str">
        <f>"חשבוניות מרכזות"</f>
        <v>חשבוניות מרכזות</v>
      </c>
      <c r="G3402" t="str">
        <f>"700065"</f>
        <v>700065</v>
      </c>
      <c r="H3402" t="str">
        <f>"אלתא מערכות בע""מ"</f>
        <v>אלתא מערכות בע"מ</v>
      </c>
      <c r="I3402" t="str">
        <f>"10"</f>
        <v>10</v>
      </c>
      <c r="J3402" t="str">
        <f>"OP-AR01297"</f>
        <v>OP-AR01297</v>
      </c>
      <c r="K3402" t="str">
        <f>"שדרוג יחידה LB PDB"</f>
        <v>שדרוג יחידה LB PDB</v>
      </c>
      <c r="L3402">
        <v>1</v>
      </c>
      <c r="M3402" t="str">
        <f>"יח"</f>
        <v>יח</v>
      </c>
      <c r="N3402">
        <v>1</v>
      </c>
      <c r="O3402" t="str">
        <f>"יח"</f>
        <v>יח</v>
      </c>
      <c r="P3402" s="2">
        <v>2549</v>
      </c>
      <c r="Q3402" t="str">
        <f>"$"</f>
        <v>$</v>
      </c>
      <c r="R3402" t="str">
        <f>"הזמנה"</f>
        <v>הזמנה</v>
      </c>
      <c r="S3402">
        <v>0</v>
      </c>
      <c r="T3402" s="2">
        <v>2549</v>
      </c>
      <c r="U3402">
        <v>0</v>
      </c>
      <c r="V3402" s="2">
        <v>2549</v>
      </c>
      <c r="W3402" t="str">
        <f>"$"</f>
        <v>$</v>
      </c>
      <c r="X3402">
        <v>0</v>
      </c>
      <c r="Y3402">
        <v>0</v>
      </c>
      <c r="Z3402">
        <v>0</v>
      </c>
      <c r="AA3402" t="str">
        <f>"Y"</f>
        <v>Y</v>
      </c>
      <c r="AB3402" t="str">
        <f>"SO20000371"</f>
        <v>SO20000371</v>
      </c>
      <c r="AC3402">
        <v>1</v>
      </c>
      <c r="AD3402" s="1">
        <v>44067</v>
      </c>
      <c r="AE3402" t="str">
        <f>"SH20001333"</f>
        <v>SH20001333</v>
      </c>
      <c r="AF3402" t="str">
        <f>"משלוחים ללקוח"</f>
        <v>משלוחים ללקוח</v>
      </c>
      <c r="AG3402" s="1">
        <v>44111</v>
      </c>
      <c r="AM3402" t="str">
        <f>"10"</f>
        <v>10</v>
      </c>
      <c r="AN3402" t="str">
        <f>"500000"</f>
        <v>500000</v>
      </c>
      <c r="AO3402" t="str">
        <f>"הכנסות  מלקוחות"</f>
        <v>הכנסות  מלקוחות</v>
      </c>
      <c r="AQ3402" t="str">
        <f>"034"</f>
        <v>034</v>
      </c>
      <c r="AR3402">
        <v>0</v>
      </c>
      <c r="AS3402">
        <v>0</v>
      </c>
      <c r="AT3402">
        <v>3.383</v>
      </c>
      <c r="AX3402" t="str">
        <f>"E000316561"</f>
        <v>E000316561</v>
      </c>
      <c r="BD3402" t="str">
        <f>"ערן שלו"</f>
        <v>ערן שלו</v>
      </c>
    </row>
    <row r="3403" spans="1:56" x14ac:dyDescent="0.3">
      <c r="A3403" s="1">
        <v>44117</v>
      </c>
      <c r="B3403" t="str">
        <f>"SI206001015"</f>
        <v>SI206001015</v>
      </c>
      <c r="C3403" t="str">
        <f>"PR20000067"</f>
        <v>PR20000067</v>
      </c>
      <c r="E3403" t="str">
        <f>"Y"</f>
        <v>Y</v>
      </c>
      <c r="F3403" t="str">
        <f>"חשבוניות מרכזות"</f>
        <v>חשבוניות מרכזות</v>
      </c>
      <c r="G3403" t="str">
        <f>"700065"</f>
        <v>700065</v>
      </c>
      <c r="H3403" t="str">
        <f>"אלתא מערכות בע""מ"</f>
        <v>אלתא מערכות בע"מ</v>
      </c>
      <c r="I3403" t="str">
        <f>"10"</f>
        <v>10</v>
      </c>
      <c r="J3403" t="str">
        <f>"cust00896"</f>
        <v>cust00896</v>
      </c>
      <c r="K3403" t="str">
        <f>"MEDIA EPC 230V  P33173000 אלתא"</f>
        <v>MEDIA EPC 230V  P33173000 אלתא</v>
      </c>
      <c r="L3403">
        <v>-1</v>
      </c>
      <c r="M3403" t="str">
        <f>"יח"</f>
        <v>יח</v>
      </c>
      <c r="N3403">
        <v>-1</v>
      </c>
      <c r="O3403" t="str">
        <f>"יח"</f>
        <v>יח</v>
      </c>
      <c r="P3403">
        <v>150</v>
      </c>
      <c r="Q3403" t="str">
        <f>"$"</f>
        <v>$</v>
      </c>
      <c r="R3403" t="str">
        <f>"הזמנה"</f>
        <v>הזמנה</v>
      </c>
      <c r="S3403">
        <v>0</v>
      </c>
      <c r="T3403">
        <v>-150</v>
      </c>
      <c r="U3403">
        <v>0</v>
      </c>
      <c r="V3403">
        <v>-150</v>
      </c>
      <c r="W3403" t="str">
        <f>"$"</f>
        <v>$</v>
      </c>
      <c r="X3403">
        <v>0</v>
      </c>
      <c r="Y3403">
        <v>0</v>
      </c>
      <c r="Z3403">
        <v>0</v>
      </c>
      <c r="AA3403" t="str">
        <f>"Y"</f>
        <v>Y</v>
      </c>
      <c r="AC3403">
        <v>0</v>
      </c>
      <c r="AM3403" t="str">
        <f>"10"</f>
        <v>10</v>
      </c>
      <c r="AN3403" t="str">
        <f>"500000"</f>
        <v>500000</v>
      </c>
      <c r="AO3403" t="str">
        <f>"הכנסות  מלקוחות"</f>
        <v>הכנסות  מלקוחות</v>
      </c>
      <c r="AQ3403" t="str">
        <f>"034"</f>
        <v>034</v>
      </c>
      <c r="AR3403">
        <v>0</v>
      </c>
      <c r="AS3403">
        <v>0</v>
      </c>
      <c r="AT3403">
        <v>3.4550000000000001</v>
      </c>
      <c r="BB3403" t="str">
        <f>"Y"</f>
        <v>Y</v>
      </c>
      <c r="BD3403" t="str">
        <f>"ערן שלו"</f>
        <v>ערן שלו</v>
      </c>
    </row>
    <row r="3404" spans="1:56" x14ac:dyDescent="0.3">
      <c r="A3404" s="1">
        <v>44115</v>
      </c>
      <c r="B3404" t="str">
        <f>"SI206001006"</f>
        <v>SI206001006</v>
      </c>
      <c r="E3404" t="str">
        <f>"Y"</f>
        <v>Y</v>
      </c>
      <c r="F3404" t="str">
        <f>"חשבוניות מרכזות"</f>
        <v>חשבוניות מרכזות</v>
      </c>
      <c r="G3404" t="str">
        <f>"700065"</f>
        <v>700065</v>
      </c>
      <c r="H3404" t="str">
        <f>"אלתא מערכות בע""מ"</f>
        <v>אלתא מערכות בע"מ</v>
      </c>
      <c r="I3404" t="str">
        <f>"10"</f>
        <v>10</v>
      </c>
      <c r="J3404" t="str">
        <f>"OP-AR01885"</f>
        <v>OP-AR01885</v>
      </c>
      <c r="K3404" t="str">
        <f>"NRE FOR E000315392"</f>
        <v>NRE FOR E000315392</v>
      </c>
      <c r="L3404">
        <v>1</v>
      </c>
      <c r="M3404" t="str">
        <f>"יח"</f>
        <v>יח</v>
      </c>
      <c r="N3404">
        <v>1</v>
      </c>
      <c r="O3404" t="str">
        <f>"יח"</f>
        <v>יח</v>
      </c>
      <c r="P3404">
        <v>352</v>
      </c>
      <c r="Q3404" t="str">
        <f>"$"</f>
        <v>$</v>
      </c>
      <c r="R3404" t="str">
        <f>"הזמנה"</f>
        <v>הזמנה</v>
      </c>
      <c r="S3404">
        <v>0</v>
      </c>
      <c r="T3404">
        <v>352</v>
      </c>
      <c r="U3404">
        <v>0</v>
      </c>
      <c r="V3404">
        <v>352</v>
      </c>
      <c r="W3404" t="str">
        <f>"$"</f>
        <v>$</v>
      </c>
      <c r="X3404">
        <v>0</v>
      </c>
      <c r="Y3404">
        <v>0</v>
      </c>
      <c r="Z3404">
        <v>0</v>
      </c>
      <c r="AA3404" t="str">
        <f>"Y"</f>
        <v>Y</v>
      </c>
      <c r="AB3404" t="str">
        <f>"SO20000291"</f>
        <v>SO20000291</v>
      </c>
      <c r="AC3404">
        <v>6</v>
      </c>
      <c r="AD3404" s="1">
        <v>44020</v>
      </c>
      <c r="AM3404" t="str">
        <f>"10"</f>
        <v>10</v>
      </c>
      <c r="AN3404" t="str">
        <f>"500000"</f>
        <v>500000</v>
      </c>
      <c r="AO3404" t="str">
        <f>"הכנסות  מלקוחות"</f>
        <v>הכנסות  מלקוחות</v>
      </c>
      <c r="AQ3404" t="str">
        <f>"034"</f>
        <v>034</v>
      </c>
      <c r="AR3404">
        <v>0</v>
      </c>
      <c r="AS3404">
        <v>0</v>
      </c>
      <c r="AT3404">
        <v>3.3809999999999998</v>
      </c>
      <c r="AX3404" t="str">
        <f>"E000315392"</f>
        <v>E000315392</v>
      </c>
      <c r="BD3404" t="str">
        <f>"ערן שלו"</f>
        <v>ערן שלו</v>
      </c>
    </row>
    <row r="3405" spans="1:56" x14ac:dyDescent="0.3">
      <c r="A3405" s="1">
        <v>44115</v>
      </c>
      <c r="B3405" t="str">
        <f>"SI206001005"</f>
        <v>SI206001005</v>
      </c>
      <c r="C3405" t="str">
        <f>"PR20000316"</f>
        <v>PR20000316</v>
      </c>
      <c r="D3405" t="str">
        <f>"PR20000316"</f>
        <v>PR20000316</v>
      </c>
      <c r="E3405" t="str">
        <f>"Y"</f>
        <v>Y</v>
      </c>
      <c r="F3405" t="str">
        <f>"חשבוניות מרכזות"</f>
        <v>חשבוניות מרכזות</v>
      </c>
      <c r="G3405" t="str">
        <f>"700065"</f>
        <v>700065</v>
      </c>
      <c r="H3405" t="str">
        <f>"אלתא מערכות בע""מ"</f>
        <v>אלתא מערכות בע"מ</v>
      </c>
      <c r="I3405" t="str">
        <f>"10"</f>
        <v>10</v>
      </c>
      <c r="J3405" t="str">
        <f>"OP-AR01730"</f>
        <v>OP-AR01730</v>
      </c>
      <c r="K3405" t="str">
        <f>"1013N973-001 CABLE ASSY W2 DC DELHI"</f>
        <v>1013N973-001 CABLE ASSY W2 DC DELHI</v>
      </c>
      <c r="L3405">
        <v>2</v>
      </c>
      <c r="M3405" t="str">
        <f>"יח"</f>
        <v>יח</v>
      </c>
      <c r="N3405">
        <v>2</v>
      </c>
      <c r="O3405" t="str">
        <f>"יח"</f>
        <v>יח</v>
      </c>
      <c r="P3405">
        <v>195.8</v>
      </c>
      <c r="Q3405" t="str">
        <f>"$"</f>
        <v>$</v>
      </c>
      <c r="R3405" t="str">
        <f>"הזמנה"</f>
        <v>הזמנה</v>
      </c>
      <c r="S3405">
        <v>0</v>
      </c>
      <c r="T3405">
        <v>391.6</v>
      </c>
      <c r="U3405">
        <v>0</v>
      </c>
      <c r="V3405">
        <v>391.6</v>
      </c>
      <c r="W3405" t="str">
        <f>"$"</f>
        <v>$</v>
      </c>
      <c r="X3405">
        <v>0</v>
      </c>
      <c r="Y3405">
        <v>0</v>
      </c>
      <c r="Z3405">
        <v>0</v>
      </c>
      <c r="AA3405" t="str">
        <f>"Y"</f>
        <v>Y</v>
      </c>
      <c r="AB3405" t="str">
        <f>"SO20000193"</f>
        <v>SO20000193</v>
      </c>
      <c r="AC3405">
        <v>1</v>
      </c>
      <c r="AD3405" s="1">
        <v>43964</v>
      </c>
      <c r="AE3405" t="str">
        <f>"SH20001314"</f>
        <v>SH20001314</v>
      </c>
      <c r="AF3405" t="str">
        <f>"משלוחים ללקוח"</f>
        <v>משלוחים ללקוח</v>
      </c>
      <c r="AG3405" s="1">
        <v>44105</v>
      </c>
      <c r="AM3405" t="str">
        <f>"10"</f>
        <v>10</v>
      </c>
      <c r="AN3405" t="str">
        <f>"500000"</f>
        <v>500000</v>
      </c>
      <c r="AO3405" t="str">
        <f>"הכנסות  מלקוחות"</f>
        <v>הכנסות  מלקוחות</v>
      </c>
      <c r="AQ3405" t="str">
        <f>"034"</f>
        <v>034</v>
      </c>
      <c r="AR3405">
        <v>0</v>
      </c>
      <c r="AS3405">
        <v>0</v>
      </c>
      <c r="AT3405">
        <v>3.3809999999999998</v>
      </c>
      <c r="AX3405" t="str">
        <f>"E000311749"</f>
        <v>E000311749</v>
      </c>
      <c r="BD3405" t="str">
        <f>"ערן שלו"</f>
        <v>ערן שלו</v>
      </c>
    </row>
    <row r="3406" spans="1:56" x14ac:dyDescent="0.3">
      <c r="A3406" s="1">
        <v>44115</v>
      </c>
      <c r="B3406" t="str">
        <f>"SI206001005"</f>
        <v>SI206001005</v>
      </c>
      <c r="C3406" t="str">
        <f>"PR20000316"</f>
        <v>PR20000316</v>
      </c>
      <c r="D3406" t="str">
        <f>"PR20000316"</f>
        <v>PR20000316</v>
      </c>
      <c r="E3406" t="str">
        <f>"Y"</f>
        <v>Y</v>
      </c>
      <c r="F3406" t="str">
        <f>"חשבוניות מרכזות"</f>
        <v>חשבוניות מרכזות</v>
      </c>
      <c r="G3406" t="str">
        <f>"700065"</f>
        <v>700065</v>
      </c>
      <c r="H3406" t="str">
        <f>"אלתא מערכות בע""מ"</f>
        <v>אלתא מערכות בע"מ</v>
      </c>
      <c r="I3406" t="str">
        <f>"10"</f>
        <v>10</v>
      </c>
      <c r="J3406" t="str">
        <f>"OP-AR01731"</f>
        <v>OP-AR01731</v>
      </c>
      <c r="K3406" t="str">
        <f>"1013N978-001 CABLE ASSY W3 FP DELHI"</f>
        <v>1013N978-001 CABLE ASSY W3 FP DELHI</v>
      </c>
      <c r="L3406">
        <v>2</v>
      </c>
      <c r="M3406" t="str">
        <f>"יח"</f>
        <v>יח</v>
      </c>
      <c r="N3406">
        <v>2</v>
      </c>
      <c r="O3406" t="str">
        <f>"יח"</f>
        <v>יח</v>
      </c>
      <c r="P3406">
        <v>547.39</v>
      </c>
      <c r="Q3406" t="str">
        <f>"$"</f>
        <v>$</v>
      </c>
      <c r="R3406" t="str">
        <f>"הזמנה"</f>
        <v>הזמנה</v>
      </c>
      <c r="S3406">
        <v>0</v>
      </c>
      <c r="T3406" s="2">
        <v>1094.78</v>
      </c>
      <c r="U3406">
        <v>0</v>
      </c>
      <c r="V3406" s="2">
        <v>1094.78</v>
      </c>
      <c r="W3406" t="str">
        <f>"$"</f>
        <v>$</v>
      </c>
      <c r="X3406">
        <v>0</v>
      </c>
      <c r="Y3406">
        <v>0</v>
      </c>
      <c r="Z3406">
        <v>0</v>
      </c>
      <c r="AA3406" t="str">
        <f>"Y"</f>
        <v>Y</v>
      </c>
      <c r="AB3406" t="str">
        <f>"SO20000193"</f>
        <v>SO20000193</v>
      </c>
      <c r="AC3406">
        <v>2</v>
      </c>
      <c r="AD3406" s="1">
        <v>43964</v>
      </c>
      <c r="AE3406" t="str">
        <f>"SH20001314"</f>
        <v>SH20001314</v>
      </c>
      <c r="AF3406" t="str">
        <f>"משלוחים ללקוח"</f>
        <v>משלוחים ללקוח</v>
      </c>
      <c r="AG3406" s="1">
        <v>44105</v>
      </c>
      <c r="AM3406" t="str">
        <f>"10"</f>
        <v>10</v>
      </c>
      <c r="AN3406" t="str">
        <f>"500000"</f>
        <v>500000</v>
      </c>
      <c r="AO3406" t="str">
        <f>"הכנסות  מלקוחות"</f>
        <v>הכנסות  מלקוחות</v>
      </c>
      <c r="AQ3406" t="str">
        <f>"034"</f>
        <v>034</v>
      </c>
      <c r="AR3406">
        <v>0</v>
      </c>
      <c r="AS3406">
        <v>0</v>
      </c>
      <c r="AT3406">
        <v>3.3809999999999998</v>
      </c>
      <c r="AX3406" t="str">
        <f>"E000311749"</f>
        <v>E000311749</v>
      </c>
      <c r="BD3406" t="str">
        <f>"ערן שלו"</f>
        <v>ערן שלו</v>
      </c>
    </row>
    <row r="3407" spans="1:56" x14ac:dyDescent="0.3">
      <c r="A3407" s="1">
        <v>44110</v>
      </c>
      <c r="B3407" t="str">
        <f>"CR207000032"</f>
        <v>CR207000032</v>
      </c>
      <c r="E3407" t="str">
        <f>"Y"</f>
        <v>Y</v>
      </c>
      <c r="F3407" t="str">
        <f>"חשבוניות זיכוי"</f>
        <v>חשבוניות זיכוי</v>
      </c>
      <c r="G3407" t="str">
        <f>"700065"</f>
        <v>700065</v>
      </c>
      <c r="H3407" t="str">
        <f>"אלתא מערכות בע""מ"</f>
        <v>אלתא מערכות בע"מ</v>
      </c>
      <c r="I3407" t="str">
        <f>"10"</f>
        <v>10</v>
      </c>
      <c r="J3407" t="str">
        <f>"000"</f>
        <v>000</v>
      </c>
      <c r="K3407" t="str">
        <f>"יוב פיגורי ם חשבונית SI206000590"</f>
        <v>יוב פיגורי ם חשבונית SI206000590</v>
      </c>
      <c r="L3407">
        <v>1</v>
      </c>
      <c r="M3407" t="str">
        <f>"יח"</f>
        <v>יח</v>
      </c>
      <c r="N3407">
        <v>1</v>
      </c>
      <c r="O3407" t="str">
        <f>"יח"</f>
        <v>יח</v>
      </c>
      <c r="P3407">
        <v>21.92</v>
      </c>
      <c r="Q3407" t="str">
        <f>"$"</f>
        <v>$</v>
      </c>
      <c r="R3407" t="str">
        <f>"ידני"</f>
        <v>ידני</v>
      </c>
      <c r="S3407">
        <v>0</v>
      </c>
      <c r="T3407">
        <v>75.319999999999993</v>
      </c>
      <c r="U3407">
        <v>0</v>
      </c>
      <c r="V3407">
        <v>75.319999999999993</v>
      </c>
      <c r="W3407" t="str">
        <f>"ש""ח"</f>
        <v>ש"ח</v>
      </c>
      <c r="X3407">
        <v>0</v>
      </c>
      <c r="Y3407">
        <v>0</v>
      </c>
      <c r="Z3407">
        <v>0</v>
      </c>
      <c r="AA3407" t="str">
        <f>"Y"</f>
        <v>Y</v>
      </c>
      <c r="AB3407" t="str">
        <f>"SO19000524"</f>
        <v>SO19000524</v>
      </c>
      <c r="AC3407">
        <v>5</v>
      </c>
      <c r="AD3407" s="1">
        <v>43809</v>
      </c>
      <c r="AM3407" t="str">
        <f>"10"</f>
        <v>10</v>
      </c>
      <c r="AN3407" t="str">
        <f>"500000"</f>
        <v>500000</v>
      </c>
      <c r="AO3407" t="str">
        <f>"הכנסות  מלקוחות"</f>
        <v>הכנסות  מלקוחות</v>
      </c>
      <c r="AQ3407" t="str">
        <f>"034"</f>
        <v>034</v>
      </c>
      <c r="AR3407">
        <v>0</v>
      </c>
      <c r="AS3407">
        <v>0</v>
      </c>
      <c r="AT3407">
        <v>3.4359999999999999</v>
      </c>
      <c r="AX3407" t="str">
        <f>"E000300228"</f>
        <v>E000300228</v>
      </c>
      <c r="BD3407" t="str">
        <f>"ערן שלו"</f>
        <v>ערן שלו</v>
      </c>
    </row>
    <row r="3408" spans="1:56" x14ac:dyDescent="0.3">
      <c r="A3408" s="1">
        <v>44110</v>
      </c>
      <c r="B3408" t="str">
        <f>"CR207000032"</f>
        <v>CR207000032</v>
      </c>
      <c r="E3408" t="str">
        <f>"Y"</f>
        <v>Y</v>
      </c>
      <c r="F3408" t="str">
        <f>"חשבוניות זיכוי"</f>
        <v>חשבוניות זיכוי</v>
      </c>
      <c r="G3408" t="str">
        <f>"700065"</f>
        <v>700065</v>
      </c>
      <c r="H3408" t="str">
        <f>"אלתא מערכות בע""מ"</f>
        <v>אלתא מערכות בע"מ</v>
      </c>
      <c r="I3408" t="str">
        <f>"10"</f>
        <v>10</v>
      </c>
      <c r="J3408" t="str">
        <f>"000"</f>
        <v>000</v>
      </c>
      <c r="K3408" t="str">
        <f>"חיוב פיגורים חשבונית SI206000590"</f>
        <v>חיוב פיגורים חשבונית SI206000590</v>
      </c>
      <c r="L3408">
        <v>1</v>
      </c>
      <c r="M3408" t="str">
        <f>"יח"</f>
        <v>יח</v>
      </c>
      <c r="N3408">
        <v>1</v>
      </c>
      <c r="O3408" t="str">
        <f>"יח"</f>
        <v>יח</v>
      </c>
      <c r="P3408">
        <v>83.83</v>
      </c>
      <c r="Q3408" t="str">
        <f>"$"</f>
        <v>$</v>
      </c>
      <c r="R3408" t="str">
        <f>"ידני"</f>
        <v>ידני</v>
      </c>
      <c r="S3408">
        <v>0</v>
      </c>
      <c r="T3408">
        <v>288.04000000000002</v>
      </c>
      <c r="U3408">
        <v>0</v>
      </c>
      <c r="V3408">
        <v>288.04000000000002</v>
      </c>
      <c r="W3408" t="str">
        <f>"ש""ח"</f>
        <v>ש"ח</v>
      </c>
      <c r="X3408">
        <v>0</v>
      </c>
      <c r="Y3408">
        <v>0</v>
      </c>
      <c r="Z3408">
        <v>0</v>
      </c>
      <c r="AA3408" t="str">
        <f>"Y"</f>
        <v>Y</v>
      </c>
      <c r="AB3408" t="str">
        <f>"SO19000524"</f>
        <v>SO19000524</v>
      </c>
      <c r="AC3408">
        <v>8</v>
      </c>
      <c r="AD3408" s="1">
        <v>43809</v>
      </c>
      <c r="AM3408" t="str">
        <f>"10"</f>
        <v>10</v>
      </c>
      <c r="AN3408" t="str">
        <f>"500000"</f>
        <v>500000</v>
      </c>
      <c r="AO3408" t="str">
        <f>"הכנסות  מלקוחות"</f>
        <v>הכנסות  מלקוחות</v>
      </c>
      <c r="AQ3408" t="str">
        <f>"034"</f>
        <v>034</v>
      </c>
      <c r="AR3408">
        <v>0</v>
      </c>
      <c r="AS3408">
        <v>0</v>
      </c>
      <c r="AT3408">
        <v>3.4359999999999999</v>
      </c>
      <c r="AX3408" t="str">
        <f>"E000300228"</f>
        <v>E000300228</v>
      </c>
      <c r="BD3408" t="str">
        <f>"ערן שלו"</f>
        <v>ערן שלו</v>
      </c>
    </row>
    <row r="3409" spans="1:56" x14ac:dyDescent="0.3">
      <c r="A3409" s="1">
        <v>44105</v>
      </c>
      <c r="B3409" t="str">
        <f>"SI206001093"</f>
        <v>SI206001093</v>
      </c>
      <c r="E3409" t="str">
        <f>"Y"</f>
        <v>Y</v>
      </c>
      <c r="F3409" t="str">
        <f>"חשבוניות מרכזות"</f>
        <v>חשבוניות מרכזות</v>
      </c>
      <c r="G3409" t="str">
        <f>"700065"</f>
        <v>700065</v>
      </c>
      <c r="H3409" t="str">
        <f>"אלתא מערכות בע""מ"</f>
        <v>אלתא מערכות בע"מ</v>
      </c>
      <c r="I3409" t="str">
        <f>"10"</f>
        <v>10</v>
      </c>
      <c r="J3409" t="str">
        <f>"000"</f>
        <v>000</v>
      </c>
      <c r="K3409" t="str">
        <f>"התקנת מערכת כוח באתר פיליפיני"</f>
        <v>התקנת מערכת כוח באתר פיליפיני</v>
      </c>
      <c r="L3409">
        <v>-1</v>
      </c>
      <c r="M3409" t="str">
        <f>"יח"</f>
        <v>יח</v>
      </c>
      <c r="N3409">
        <v>-1</v>
      </c>
      <c r="O3409" t="str">
        <f>"יח"</f>
        <v>יח</v>
      </c>
      <c r="P3409" s="2">
        <v>30000</v>
      </c>
      <c r="Q3409" t="str">
        <f>"$"</f>
        <v>$</v>
      </c>
      <c r="R3409" t="str">
        <f>"הזמנה"</f>
        <v>הזמנה</v>
      </c>
      <c r="S3409">
        <v>0</v>
      </c>
      <c r="T3409" s="2">
        <v>-30000</v>
      </c>
      <c r="U3409">
        <v>0</v>
      </c>
      <c r="V3409" s="2">
        <v>-30000</v>
      </c>
      <c r="W3409" t="str">
        <f>"$"</f>
        <v>$</v>
      </c>
      <c r="X3409">
        <v>0</v>
      </c>
      <c r="Y3409">
        <v>0</v>
      </c>
      <c r="Z3409">
        <v>0</v>
      </c>
      <c r="AA3409" t="str">
        <f>"Y"</f>
        <v>Y</v>
      </c>
      <c r="AC3409">
        <v>0</v>
      </c>
      <c r="AM3409" t="str">
        <f>"10"</f>
        <v>10</v>
      </c>
      <c r="AN3409" t="str">
        <f>"500000"</f>
        <v>500000</v>
      </c>
      <c r="AO3409" t="str">
        <f>"הכנסות  מלקוחות"</f>
        <v>הכנסות  מלקוחות</v>
      </c>
      <c r="AQ3409" t="str">
        <f>"007"</f>
        <v>007</v>
      </c>
      <c r="AR3409">
        <v>0</v>
      </c>
      <c r="AS3409">
        <v>0</v>
      </c>
      <c r="AT3409">
        <v>3.4609999999999999</v>
      </c>
      <c r="BB3409" t="str">
        <f>"Y"</f>
        <v>Y</v>
      </c>
      <c r="BD3409" t="str">
        <f>"רוני דידי"</f>
        <v>רוני דידי</v>
      </c>
    </row>
    <row r="3410" spans="1:56" x14ac:dyDescent="0.3">
      <c r="A3410" s="1">
        <v>44105</v>
      </c>
      <c r="B3410" t="str">
        <f>"CR207000033"</f>
        <v>CR207000033</v>
      </c>
      <c r="C3410" t="str">
        <f>"PR14002143"</f>
        <v>PR14002143</v>
      </c>
      <c r="D3410" t="str">
        <f>"PR14002143"</f>
        <v>PR14002143</v>
      </c>
      <c r="E3410" t="str">
        <f>"Y"</f>
        <v>Y</v>
      </c>
      <c r="F3410" t="str">
        <f>"חשבוניות זיכוי"</f>
        <v>חשבוניות זיכוי</v>
      </c>
      <c r="G3410" t="str">
        <f>"700065"</f>
        <v>700065</v>
      </c>
      <c r="H3410" t="str">
        <f>"אלתא מערכות בע""מ"</f>
        <v>אלתא מערכות בע"מ</v>
      </c>
      <c r="I3410" t="str">
        <f>"10"</f>
        <v>10</v>
      </c>
      <c r="J3410" t="str">
        <f>"000"</f>
        <v>000</v>
      </c>
      <c r="K3410" t="str">
        <f>"חיוב פיגורים לחשבונית SI206000519"</f>
        <v>חיוב פיגורים לחשבונית SI206000519</v>
      </c>
      <c r="L3410">
        <v>1</v>
      </c>
      <c r="M3410" t="str">
        <f>"יח"</f>
        <v>יח</v>
      </c>
      <c r="N3410">
        <v>1</v>
      </c>
      <c r="O3410" t="str">
        <f>"יח"</f>
        <v>יח</v>
      </c>
      <c r="P3410" s="2">
        <v>3389.99</v>
      </c>
      <c r="Q3410" t="str">
        <f>"$"</f>
        <v>$</v>
      </c>
      <c r="R3410" t="str">
        <f>"ידני"</f>
        <v>ידני</v>
      </c>
      <c r="S3410">
        <v>0</v>
      </c>
      <c r="T3410" s="2">
        <v>11895.44</v>
      </c>
      <c r="U3410">
        <v>0</v>
      </c>
      <c r="V3410" s="2">
        <v>11895.44</v>
      </c>
      <c r="W3410" t="str">
        <f>"ש""ח"</f>
        <v>ש"ח</v>
      </c>
      <c r="X3410">
        <v>0</v>
      </c>
      <c r="Y3410">
        <v>0</v>
      </c>
      <c r="Z3410">
        <v>0</v>
      </c>
      <c r="AA3410" t="str">
        <f>"Y"</f>
        <v>Y</v>
      </c>
      <c r="AB3410" t="str">
        <f>"SO150004065"</f>
        <v>SO150004065</v>
      </c>
      <c r="AC3410">
        <v>1</v>
      </c>
      <c r="AD3410" s="1">
        <v>42303</v>
      </c>
      <c r="AM3410" t="str">
        <f>"10"</f>
        <v>10</v>
      </c>
      <c r="AN3410" t="str">
        <f>"500000"</f>
        <v>500000</v>
      </c>
      <c r="AO3410" t="str">
        <f>"הכנסות  מלקוחות"</f>
        <v>הכנסות  מלקוחות</v>
      </c>
      <c r="AQ3410" t="str">
        <f>"034"</f>
        <v>034</v>
      </c>
      <c r="AR3410">
        <v>0</v>
      </c>
      <c r="AS3410">
        <v>0</v>
      </c>
      <c r="AT3410">
        <v>3.5089899999999998</v>
      </c>
      <c r="AX3410" t="str">
        <f>"E000205151"</f>
        <v>E000205151</v>
      </c>
      <c r="BD3410" t="str">
        <f>"ערן שלו"</f>
        <v>ערן שלו</v>
      </c>
    </row>
    <row r="3411" spans="1:56" x14ac:dyDescent="0.3">
      <c r="A3411" s="1">
        <v>44105</v>
      </c>
      <c r="B3411" t="str">
        <f>"CR207000031"</f>
        <v>CR207000031</v>
      </c>
      <c r="E3411" t="str">
        <f>"Y"</f>
        <v>Y</v>
      </c>
      <c r="F3411" t="str">
        <f>"חשבוניות זיכוי"</f>
        <v>חשבוניות זיכוי</v>
      </c>
      <c r="G3411" t="str">
        <f>"700065"</f>
        <v>700065</v>
      </c>
      <c r="H3411" t="str">
        <f>"אלתא מערכות בע""מ"</f>
        <v>אלתא מערכות בע"מ</v>
      </c>
      <c r="I3411" t="str">
        <f>"10"</f>
        <v>10</v>
      </c>
      <c r="J3411" t="str">
        <f>"000"</f>
        <v>000</v>
      </c>
      <c r="K3411" t="str">
        <f>"חיוב פיגורים באספקה חשבונית SI206000627"</f>
        <v>חיוב פיגורים באספקה חשבונית SI206000627</v>
      </c>
      <c r="L3411">
        <v>1</v>
      </c>
      <c r="M3411" t="str">
        <f>"יח"</f>
        <v>יח</v>
      </c>
      <c r="N3411">
        <v>1</v>
      </c>
      <c r="O3411" t="str">
        <f>"יח"</f>
        <v>יח</v>
      </c>
      <c r="P3411" s="2">
        <v>2396.88</v>
      </c>
      <c r="Q3411" t="str">
        <f>"$"</f>
        <v>$</v>
      </c>
      <c r="R3411" t="str">
        <f>"ידני"</f>
        <v>ידני</v>
      </c>
      <c r="S3411">
        <v>0</v>
      </c>
      <c r="T3411" s="2">
        <v>8235.68</v>
      </c>
      <c r="U3411">
        <v>0</v>
      </c>
      <c r="V3411" s="2">
        <v>8235.68</v>
      </c>
      <c r="W3411" t="str">
        <f>"ש""ח"</f>
        <v>ש"ח</v>
      </c>
      <c r="X3411">
        <v>0</v>
      </c>
      <c r="Y3411">
        <v>0</v>
      </c>
      <c r="Z3411">
        <v>0</v>
      </c>
      <c r="AA3411" t="str">
        <f>"Y"</f>
        <v>Y</v>
      </c>
      <c r="AB3411" t="str">
        <f>"SO19000397"</f>
        <v>SO19000397</v>
      </c>
      <c r="AC3411">
        <v>8</v>
      </c>
      <c r="AD3411" s="1">
        <v>43716</v>
      </c>
      <c r="AM3411" t="str">
        <f>"10"</f>
        <v>10</v>
      </c>
      <c r="AN3411" t="str">
        <f>"500000"</f>
        <v>500000</v>
      </c>
      <c r="AO3411" t="str">
        <f>"הכנסות  מלקוחות"</f>
        <v>הכנסות  מלקוחות</v>
      </c>
      <c r="AQ3411" t="str">
        <f>"034"</f>
        <v>034</v>
      </c>
      <c r="AR3411">
        <v>0</v>
      </c>
      <c r="AS3411">
        <v>0</v>
      </c>
      <c r="AT3411">
        <v>3.4359999999999999</v>
      </c>
      <c r="AX3411" t="str">
        <f>"E000294050"</f>
        <v>E000294050</v>
      </c>
      <c r="BD3411" t="str">
        <f>"ערן שלו"</f>
        <v>ערן שלו</v>
      </c>
    </row>
    <row r="3412" spans="1:56" x14ac:dyDescent="0.3">
      <c r="A3412" s="1">
        <v>44105</v>
      </c>
      <c r="B3412" t="str">
        <f>"CR207000030"</f>
        <v>CR207000030</v>
      </c>
      <c r="E3412" t="str">
        <f>"Y"</f>
        <v>Y</v>
      </c>
      <c r="F3412" t="str">
        <f>"חשבוניות זיכוי"</f>
        <v>חשבוניות זיכוי</v>
      </c>
      <c r="G3412" t="str">
        <f>"700065"</f>
        <v>700065</v>
      </c>
      <c r="H3412" t="str">
        <f>"אלתא מערכות בע""מ"</f>
        <v>אלתא מערכות בע"מ</v>
      </c>
      <c r="I3412" t="str">
        <f>"10"</f>
        <v>10</v>
      </c>
      <c r="J3412" t="str">
        <f>"000"</f>
        <v>000</v>
      </c>
      <c r="K3412" t="str">
        <f>"חיוב פיגורים SI206000625"</f>
        <v>חיוב פיגורים SI206000625</v>
      </c>
      <c r="L3412">
        <v>1</v>
      </c>
      <c r="M3412" t="str">
        <f>"יח"</f>
        <v>יח</v>
      </c>
      <c r="N3412">
        <v>1</v>
      </c>
      <c r="O3412" t="str">
        <f>"יח"</f>
        <v>יח</v>
      </c>
      <c r="P3412">
        <v>470.21</v>
      </c>
      <c r="Q3412" t="str">
        <f>"$"</f>
        <v>$</v>
      </c>
      <c r="R3412" t="str">
        <f>"ידני"</f>
        <v>ידני</v>
      </c>
      <c r="S3412">
        <v>0</v>
      </c>
      <c r="T3412" s="2">
        <v>1615.64</v>
      </c>
      <c r="U3412">
        <v>0</v>
      </c>
      <c r="V3412" s="2">
        <v>1615.64</v>
      </c>
      <c r="W3412" t="str">
        <f>"ש""ח"</f>
        <v>ש"ח</v>
      </c>
      <c r="X3412">
        <v>0</v>
      </c>
      <c r="Y3412">
        <v>0</v>
      </c>
      <c r="Z3412">
        <v>0</v>
      </c>
      <c r="AA3412" t="str">
        <f>"Y"</f>
        <v>Y</v>
      </c>
      <c r="AB3412" t="str">
        <f>"SO19000524"</f>
        <v>SO19000524</v>
      </c>
      <c r="AC3412">
        <v>2</v>
      </c>
      <c r="AD3412" s="1">
        <v>43809</v>
      </c>
      <c r="AM3412" t="str">
        <f>"10"</f>
        <v>10</v>
      </c>
      <c r="AN3412" t="str">
        <f>"500000"</f>
        <v>500000</v>
      </c>
      <c r="AO3412" t="str">
        <f>"הכנסות  מלקוחות"</f>
        <v>הכנסות  מלקוחות</v>
      </c>
      <c r="AQ3412" t="str">
        <f>"034"</f>
        <v>034</v>
      </c>
      <c r="AR3412">
        <v>0</v>
      </c>
      <c r="AS3412">
        <v>0</v>
      </c>
      <c r="AT3412">
        <v>3.4359999999999999</v>
      </c>
      <c r="AX3412" t="str">
        <f>"E000300228"</f>
        <v>E000300228</v>
      </c>
      <c r="BD3412" t="str">
        <f>"ערן שלו"</f>
        <v>ערן שלו</v>
      </c>
    </row>
    <row r="3413" spans="1:56" x14ac:dyDescent="0.3">
      <c r="A3413" s="1">
        <v>44105</v>
      </c>
      <c r="B3413" t="str">
        <f>"CR207000030"</f>
        <v>CR207000030</v>
      </c>
      <c r="E3413" t="str">
        <f>"Y"</f>
        <v>Y</v>
      </c>
      <c r="F3413" t="str">
        <f>"חשבוניות זיכוי"</f>
        <v>חשבוניות זיכוי</v>
      </c>
      <c r="G3413" t="str">
        <f>"700065"</f>
        <v>700065</v>
      </c>
      <c r="H3413" t="str">
        <f>"אלתא מערכות בע""מ"</f>
        <v>אלתא מערכות בע"מ</v>
      </c>
      <c r="I3413" t="str">
        <f>"10"</f>
        <v>10</v>
      </c>
      <c r="J3413" t="str">
        <f>"000"</f>
        <v>000</v>
      </c>
      <c r="K3413" t="str">
        <f>"חיוב פיגורים SI206000625"</f>
        <v>חיוב פיגורים SI206000625</v>
      </c>
      <c r="L3413">
        <v>1</v>
      </c>
      <c r="M3413" t="str">
        <f>"יח"</f>
        <v>יח</v>
      </c>
      <c r="N3413">
        <v>1</v>
      </c>
      <c r="O3413" t="str">
        <f>"יח"</f>
        <v>יח</v>
      </c>
      <c r="P3413">
        <v>32.380000000000003</v>
      </c>
      <c r="Q3413" t="str">
        <f>"$"</f>
        <v>$</v>
      </c>
      <c r="R3413" t="str">
        <f>"ידני"</f>
        <v>ידני</v>
      </c>
      <c r="S3413">
        <v>0</v>
      </c>
      <c r="T3413">
        <v>111.26</v>
      </c>
      <c r="U3413">
        <v>0</v>
      </c>
      <c r="V3413">
        <v>111.26</v>
      </c>
      <c r="W3413" t="str">
        <f>"ש""ח"</f>
        <v>ש"ח</v>
      </c>
      <c r="X3413">
        <v>0</v>
      </c>
      <c r="Y3413">
        <v>0</v>
      </c>
      <c r="Z3413">
        <v>0</v>
      </c>
      <c r="AA3413" t="str">
        <f>"Y"</f>
        <v>Y</v>
      </c>
      <c r="AB3413" t="str">
        <f>"SO19000524"</f>
        <v>SO19000524</v>
      </c>
      <c r="AC3413">
        <v>39</v>
      </c>
      <c r="AD3413" s="1">
        <v>43809</v>
      </c>
      <c r="AM3413" t="str">
        <f>"10"</f>
        <v>10</v>
      </c>
      <c r="AN3413" t="str">
        <f>"500000"</f>
        <v>500000</v>
      </c>
      <c r="AO3413" t="str">
        <f>"הכנסות  מלקוחות"</f>
        <v>הכנסות  מלקוחות</v>
      </c>
      <c r="AQ3413" t="str">
        <f>"034"</f>
        <v>034</v>
      </c>
      <c r="AR3413">
        <v>0</v>
      </c>
      <c r="AS3413">
        <v>0</v>
      </c>
      <c r="AT3413">
        <v>3.4359999999999999</v>
      </c>
      <c r="AX3413" t="str">
        <f>"E000300228"</f>
        <v>E000300228</v>
      </c>
      <c r="BD3413" t="str">
        <f>"ערן שלו"</f>
        <v>ערן שלו</v>
      </c>
    </row>
    <row r="3414" spans="1:56" x14ac:dyDescent="0.3">
      <c r="A3414" s="1">
        <v>44105</v>
      </c>
      <c r="B3414" t="str">
        <f>"CR207000029"</f>
        <v>CR207000029</v>
      </c>
      <c r="C3414" t="str">
        <f>"PR19000529"</f>
        <v>PR19000529</v>
      </c>
      <c r="E3414" t="str">
        <f>"Y"</f>
        <v>Y</v>
      </c>
      <c r="F3414" t="str">
        <f>"חשבוניות זיכוי"</f>
        <v>חשבוניות זיכוי</v>
      </c>
      <c r="G3414" t="str">
        <f>"700065"</f>
        <v>700065</v>
      </c>
      <c r="H3414" t="str">
        <f>"אלתא מערכות בע""מ"</f>
        <v>אלתא מערכות בע"מ</v>
      </c>
      <c r="I3414" t="str">
        <f>"10"</f>
        <v>10</v>
      </c>
      <c r="J3414" t="str">
        <f>"000"</f>
        <v>000</v>
      </c>
      <c r="K3414" t="str">
        <f>"חיוב פיגור באספקה חשבוניתSI206000606"</f>
        <v>חיוב פיגור באספקה חשבוניתSI206000606</v>
      </c>
      <c r="L3414">
        <v>1</v>
      </c>
      <c r="M3414" t="str">
        <f>"יח"</f>
        <v>יח</v>
      </c>
      <c r="N3414">
        <v>1</v>
      </c>
      <c r="O3414" t="str">
        <f>"יח"</f>
        <v>יח</v>
      </c>
      <c r="P3414">
        <v>540.59</v>
      </c>
      <c r="Q3414" t="str">
        <f>"$"</f>
        <v>$</v>
      </c>
      <c r="R3414" t="str">
        <f>"ידני"</f>
        <v>ידני</v>
      </c>
      <c r="S3414">
        <v>0</v>
      </c>
      <c r="T3414" s="2">
        <v>1856.39</v>
      </c>
      <c r="U3414">
        <v>0</v>
      </c>
      <c r="V3414" s="2">
        <v>1856.39</v>
      </c>
      <c r="W3414" t="str">
        <f>"ש""ח"</f>
        <v>ש"ח</v>
      </c>
      <c r="X3414">
        <v>0</v>
      </c>
      <c r="Y3414">
        <v>0</v>
      </c>
      <c r="Z3414">
        <v>0</v>
      </c>
      <c r="AA3414" t="str">
        <f>"Y"</f>
        <v>Y</v>
      </c>
      <c r="AB3414" t="str">
        <f>"SO19000397"</f>
        <v>SO19000397</v>
      </c>
      <c r="AC3414">
        <v>5</v>
      </c>
      <c r="AD3414" s="1">
        <v>43716</v>
      </c>
      <c r="AM3414" t="str">
        <f>"10"</f>
        <v>10</v>
      </c>
      <c r="AN3414" t="str">
        <f>"500000"</f>
        <v>500000</v>
      </c>
      <c r="AO3414" t="str">
        <f>"הכנסות  מלקוחות"</f>
        <v>הכנסות  מלקוחות</v>
      </c>
      <c r="AQ3414" t="str">
        <f>"034"</f>
        <v>034</v>
      </c>
      <c r="AR3414">
        <v>0</v>
      </c>
      <c r="AS3414">
        <v>0</v>
      </c>
      <c r="AT3414">
        <v>3.4340000000000002</v>
      </c>
      <c r="AX3414" t="str">
        <f>"E000294050"</f>
        <v>E000294050</v>
      </c>
      <c r="BD3414" t="str">
        <f>"ערן שלו"</f>
        <v>ערן שלו</v>
      </c>
    </row>
    <row r="3415" spans="1:56" x14ac:dyDescent="0.3">
      <c r="A3415" s="1">
        <v>44105</v>
      </c>
      <c r="B3415" t="str">
        <f>"CR207000029"</f>
        <v>CR207000029</v>
      </c>
      <c r="C3415" t="str">
        <f>"PR19000529"</f>
        <v>PR19000529</v>
      </c>
      <c r="E3415" t="str">
        <f>"Y"</f>
        <v>Y</v>
      </c>
      <c r="F3415" t="str">
        <f>"חשבוניות זיכוי"</f>
        <v>חשבוניות זיכוי</v>
      </c>
      <c r="G3415" t="str">
        <f>"700065"</f>
        <v>700065</v>
      </c>
      <c r="H3415" t="str">
        <f>"אלתא מערכות בע""מ"</f>
        <v>אלתא מערכות בע"מ</v>
      </c>
      <c r="I3415" t="str">
        <f>"10"</f>
        <v>10</v>
      </c>
      <c r="J3415" t="str">
        <f>"000"</f>
        <v>000</v>
      </c>
      <c r="K3415" t="str">
        <f>"חיוב פיגור באספקה חשבוניתSI206000606"</f>
        <v>חיוב פיגור באספקה חשבוניתSI206000606</v>
      </c>
      <c r="L3415">
        <v>1</v>
      </c>
      <c r="M3415" t="str">
        <f>"יח"</f>
        <v>יח</v>
      </c>
      <c r="N3415">
        <v>1</v>
      </c>
      <c r="O3415" t="str">
        <f>"יח"</f>
        <v>יח</v>
      </c>
      <c r="P3415">
        <v>315.58999999999997</v>
      </c>
      <c r="Q3415" t="str">
        <f>"ש""ח"</f>
        <v>ש"ח</v>
      </c>
      <c r="R3415" t="str">
        <f>"ידני"</f>
        <v>ידני</v>
      </c>
      <c r="S3415">
        <v>0</v>
      </c>
      <c r="T3415">
        <v>315.58999999999997</v>
      </c>
      <c r="U3415">
        <v>0</v>
      </c>
      <c r="V3415">
        <v>315.58999999999997</v>
      </c>
      <c r="W3415" t="str">
        <f>"ש""ח"</f>
        <v>ש"ח</v>
      </c>
      <c r="X3415">
        <v>0</v>
      </c>
      <c r="Y3415">
        <v>0</v>
      </c>
      <c r="Z3415">
        <v>0</v>
      </c>
      <c r="AA3415" t="str">
        <f>"Y"</f>
        <v>Y</v>
      </c>
      <c r="AB3415" t="str">
        <f>"SO19000397"</f>
        <v>SO19000397</v>
      </c>
      <c r="AC3415">
        <v>6</v>
      </c>
      <c r="AD3415" s="1">
        <v>43716</v>
      </c>
      <c r="AM3415" t="str">
        <f>"10"</f>
        <v>10</v>
      </c>
      <c r="AN3415" t="str">
        <f>"500000"</f>
        <v>500000</v>
      </c>
      <c r="AO3415" t="str">
        <f>"הכנסות  מלקוחות"</f>
        <v>הכנסות  מלקוחות</v>
      </c>
      <c r="AQ3415" t="str">
        <f>"034"</f>
        <v>034</v>
      </c>
      <c r="AR3415">
        <v>0</v>
      </c>
      <c r="AS3415">
        <v>0</v>
      </c>
      <c r="AT3415">
        <v>1</v>
      </c>
      <c r="AX3415" t="str">
        <f>"E000294050"</f>
        <v>E000294050</v>
      </c>
      <c r="BD3415" t="str">
        <f>"ערן שלו"</f>
        <v>ערן שלו</v>
      </c>
    </row>
    <row r="3416" spans="1:56" x14ac:dyDescent="0.3">
      <c r="A3416" s="1">
        <v>44104</v>
      </c>
      <c r="B3416" t="str">
        <f>"SI206000977"</f>
        <v>SI206000977</v>
      </c>
      <c r="E3416" t="str">
        <f>"Y"</f>
        <v>Y</v>
      </c>
      <c r="F3416" t="str">
        <f>"חשבוניות מרכזות"</f>
        <v>חשבוניות מרכזות</v>
      </c>
      <c r="G3416" t="str">
        <f>"700065"</f>
        <v>700065</v>
      </c>
      <c r="H3416" t="str">
        <f>"אלתא מערכות בע""מ"</f>
        <v>אלתא מערכות בע"מ</v>
      </c>
      <c r="I3416" t="str">
        <f>"10"</f>
        <v>10</v>
      </c>
      <c r="J3416" t="str">
        <f>"PA11TA2024"</f>
        <v>PA11TA2024</v>
      </c>
      <c r="K3416" t="str">
        <f>"פלג תעופתי CIRG06SB40A-5P-GM-F80T12"</f>
        <v>פלג תעופתי CIRG06SB40A-5P-GM-F80T12</v>
      </c>
      <c r="L3416">
        <v>1</v>
      </c>
      <c r="M3416" t="str">
        <f>"יח"</f>
        <v>יח</v>
      </c>
      <c r="N3416">
        <v>1</v>
      </c>
      <c r="O3416" t="str">
        <f>"יח"</f>
        <v>יח</v>
      </c>
      <c r="P3416">
        <v>373</v>
      </c>
      <c r="Q3416" t="str">
        <f>"$"</f>
        <v>$</v>
      </c>
      <c r="R3416" t="str">
        <f>"הזמנה"</f>
        <v>הזמנה</v>
      </c>
      <c r="S3416">
        <v>0</v>
      </c>
      <c r="T3416">
        <v>373</v>
      </c>
      <c r="U3416">
        <v>0</v>
      </c>
      <c r="V3416">
        <v>373</v>
      </c>
      <c r="W3416" t="str">
        <f>"$"</f>
        <v>$</v>
      </c>
      <c r="X3416">
        <v>0</v>
      </c>
      <c r="Y3416">
        <v>0</v>
      </c>
      <c r="Z3416">
        <v>0</v>
      </c>
      <c r="AA3416" t="str">
        <f>"Y"</f>
        <v>Y</v>
      </c>
      <c r="AB3416" t="str">
        <f>"SO20000180"</f>
        <v>SO20000180</v>
      </c>
      <c r="AC3416">
        <v>1</v>
      </c>
      <c r="AD3416" s="1">
        <v>43956</v>
      </c>
      <c r="AE3416" t="str">
        <f>"SH20000540"</f>
        <v>SH20000540</v>
      </c>
      <c r="AF3416" t="str">
        <f>"משלוחים ללקוח"</f>
        <v>משלוחים ללקוח</v>
      </c>
      <c r="AG3416" s="1">
        <v>43956</v>
      </c>
      <c r="AM3416" t="str">
        <f>"10"</f>
        <v>10</v>
      </c>
      <c r="AN3416" t="str">
        <f>"500000"</f>
        <v>500000</v>
      </c>
      <c r="AO3416" t="str">
        <f>"הכנסות  מלקוחות"</f>
        <v>הכנסות  מלקוחות</v>
      </c>
      <c r="AQ3416" t="str">
        <f>"034"</f>
        <v>034</v>
      </c>
      <c r="AR3416">
        <v>0</v>
      </c>
      <c r="AS3416">
        <v>0</v>
      </c>
      <c r="AT3416">
        <v>3.4590000000000001</v>
      </c>
      <c r="AX3416" t="str">
        <f>"E000311739"</f>
        <v>E000311739</v>
      </c>
      <c r="BD3416" t="str">
        <f>"ערן שלו"</f>
        <v>ערן שלו</v>
      </c>
    </row>
    <row r="3417" spans="1:56" x14ac:dyDescent="0.3">
      <c r="A3417" s="1">
        <v>44104</v>
      </c>
      <c r="B3417" t="str">
        <f>"SI206000974"</f>
        <v>SI206000974</v>
      </c>
      <c r="C3417" t="str">
        <f>"PR20000210"</f>
        <v>PR20000210</v>
      </c>
      <c r="D3417" t="str">
        <f>"PR20000210"</f>
        <v>PR20000210</v>
      </c>
      <c r="E3417" t="str">
        <f>"Y"</f>
        <v>Y</v>
      </c>
      <c r="F3417" t="str">
        <f>"חשבוניות מרכזות"</f>
        <v>חשבוניות מרכזות</v>
      </c>
      <c r="G3417" t="str">
        <f>"700065"</f>
        <v>700065</v>
      </c>
      <c r="H3417" t="str">
        <f>"אלתא מערכות בע""מ"</f>
        <v>אלתא מערכות בע"מ</v>
      </c>
      <c r="I3417" t="str">
        <f>"10"</f>
        <v>10</v>
      </c>
      <c r="J3417" t="str">
        <f>"OP-AR01705"</f>
        <v>OP-AR01705</v>
      </c>
      <c r="K3417" t="str">
        <f>"1022H882-001 W2- 32CH VIDEO CABLE (SLAVE)"</f>
        <v>1022H882-001 W2- 32CH VIDEO CABLE (SLAVE)</v>
      </c>
      <c r="L3417">
        <v>12</v>
      </c>
      <c r="M3417" t="str">
        <f>"יח"</f>
        <v>יח</v>
      </c>
      <c r="N3417">
        <v>12</v>
      </c>
      <c r="O3417" t="str">
        <f>"יח"</f>
        <v>יח</v>
      </c>
      <c r="P3417" s="2">
        <v>1272.45</v>
      </c>
      <c r="Q3417" t="str">
        <f>"$"</f>
        <v>$</v>
      </c>
      <c r="R3417" t="str">
        <f>"הזמנה"</f>
        <v>הזמנה</v>
      </c>
      <c r="S3417">
        <v>0</v>
      </c>
      <c r="T3417" s="2">
        <v>15269.4</v>
      </c>
      <c r="U3417">
        <v>0</v>
      </c>
      <c r="V3417" s="2">
        <v>15269.4</v>
      </c>
      <c r="W3417" t="str">
        <f>"$"</f>
        <v>$</v>
      </c>
      <c r="X3417">
        <v>0</v>
      </c>
      <c r="Y3417">
        <v>0</v>
      </c>
      <c r="Z3417">
        <v>0</v>
      </c>
      <c r="AA3417" t="str">
        <f>"Y"</f>
        <v>Y</v>
      </c>
      <c r="AB3417" t="str">
        <f>"SO20000139"</f>
        <v>SO20000139</v>
      </c>
      <c r="AC3417">
        <v>1</v>
      </c>
      <c r="AD3417" s="1">
        <v>43940</v>
      </c>
      <c r="AE3417" t="str">
        <f>"SH20001308"</f>
        <v>SH20001308</v>
      </c>
      <c r="AF3417" t="str">
        <f>"משלוחים ללקוח"</f>
        <v>משלוחים ללקוח</v>
      </c>
      <c r="AG3417" s="1">
        <v>44103</v>
      </c>
      <c r="AM3417" t="str">
        <f>"10"</f>
        <v>10</v>
      </c>
      <c r="AN3417" t="str">
        <f>"500000"</f>
        <v>500000</v>
      </c>
      <c r="AO3417" t="str">
        <f>"הכנסות  מלקוחות"</f>
        <v>הכנסות  מלקוחות</v>
      </c>
      <c r="AQ3417" t="str">
        <f>"034"</f>
        <v>034</v>
      </c>
      <c r="AR3417">
        <v>0</v>
      </c>
      <c r="AS3417">
        <v>0</v>
      </c>
      <c r="AT3417">
        <v>3.4590000000000001</v>
      </c>
      <c r="AX3417" t="str">
        <f>"E000309670"</f>
        <v>E000309670</v>
      </c>
      <c r="BD3417" t="str">
        <f>"ערן שלו"</f>
        <v>ערן שלו</v>
      </c>
    </row>
    <row r="3418" spans="1:56" x14ac:dyDescent="0.3">
      <c r="A3418" s="1">
        <v>44104</v>
      </c>
      <c r="B3418" t="str">
        <f>"SI206000974"</f>
        <v>SI206000974</v>
      </c>
      <c r="C3418" t="str">
        <f>"PR20000210"</f>
        <v>PR20000210</v>
      </c>
      <c r="D3418" t="str">
        <f>"PR20000210"</f>
        <v>PR20000210</v>
      </c>
      <c r="E3418" t="str">
        <f>"Y"</f>
        <v>Y</v>
      </c>
      <c r="F3418" t="str">
        <f>"חשבוניות מרכזות"</f>
        <v>חשבוניות מרכזות</v>
      </c>
      <c r="G3418" t="str">
        <f>"700065"</f>
        <v>700065</v>
      </c>
      <c r="H3418" t="str">
        <f>"אלתא מערכות בע""מ"</f>
        <v>אלתא מערכות בע"מ</v>
      </c>
      <c r="I3418" t="str">
        <f>"10"</f>
        <v>10</v>
      </c>
      <c r="J3418" t="str">
        <f>"OP-AR01706"</f>
        <v>OP-AR01706</v>
      </c>
      <c r="K3418" t="str">
        <f>"1022H885-001 W85-32CH VIDEO CABLE"</f>
        <v>1022H885-001 W85-32CH VIDEO CABLE</v>
      </c>
      <c r="L3418">
        <v>4</v>
      </c>
      <c r="M3418" t="str">
        <f>"יח"</f>
        <v>יח</v>
      </c>
      <c r="N3418">
        <v>4</v>
      </c>
      <c r="O3418" t="str">
        <f>"יח"</f>
        <v>יח</v>
      </c>
      <c r="P3418">
        <v>518.66</v>
      </c>
      <c r="Q3418" t="str">
        <f>"$"</f>
        <v>$</v>
      </c>
      <c r="R3418" t="str">
        <f>"הזמנה"</f>
        <v>הזמנה</v>
      </c>
      <c r="S3418">
        <v>0</v>
      </c>
      <c r="T3418" s="2">
        <v>2074.64</v>
      </c>
      <c r="U3418">
        <v>0</v>
      </c>
      <c r="V3418" s="2">
        <v>2074.64</v>
      </c>
      <c r="W3418" t="str">
        <f>"$"</f>
        <v>$</v>
      </c>
      <c r="X3418">
        <v>0</v>
      </c>
      <c r="Y3418">
        <v>0</v>
      </c>
      <c r="Z3418">
        <v>0</v>
      </c>
      <c r="AA3418" t="str">
        <f>"Y"</f>
        <v>Y</v>
      </c>
      <c r="AB3418" t="str">
        <f>"SO20000139"</f>
        <v>SO20000139</v>
      </c>
      <c r="AC3418">
        <v>2</v>
      </c>
      <c r="AD3418" s="1">
        <v>43940</v>
      </c>
      <c r="AE3418" t="str">
        <f>"SH20001308"</f>
        <v>SH20001308</v>
      </c>
      <c r="AF3418" t="str">
        <f>"משלוחים ללקוח"</f>
        <v>משלוחים ללקוח</v>
      </c>
      <c r="AG3418" s="1">
        <v>44103</v>
      </c>
      <c r="AM3418" t="str">
        <f>"10"</f>
        <v>10</v>
      </c>
      <c r="AN3418" t="str">
        <f>"500000"</f>
        <v>500000</v>
      </c>
      <c r="AO3418" t="str">
        <f>"הכנסות  מלקוחות"</f>
        <v>הכנסות  מלקוחות</v>
      </c>
      <c r="AQ3418" t="str">
        <f>"034"</f>
        <v>034</v>
      </c>
      <c r="AR3418">
        <v>0</v>
      </c>
      <c r="AS3418">
        <v>0</v>
      </c>
      <c r="AT3418">
        <v>3.4590000000000001</v>
      </c>
      <c r="AX3418" t="str">
        <f>"E000309670"</f>
        <v>E000309670</v>
      </c>
      <c r="BD3418" t="str">
        <f>"ערן שלו"</f>
        <v>ערן שלו</v>
      </c>
    </row>
    <row r="3419" spans="1:56" x14ac:dyDescent="0.3">
      <c r="A3419" s="1">
        <v>44104</v>
      </c>
      <c r="B3419" t="str">
        <f>"SI206000974"</f>
        <v>SI206000974</v>
      </c>
      <c r="C3419" t="str">
        <f>"PR20000210"</f>
        <v>PR20000210</v>
      </c>
      <c r="D3419" t="str">
        <f>"PR20000210"</f>
        <v>PR20000210</v>
      </c>
      <c r="E3419" t="str">
        <f>"Y"</f>
        <v>Y</v>
      </c>
      <c r="F3419" t="str">
        <f>"חשבוניות מרכזות"</f>
        <v>חשבוניות מרכזות</v>
      </c>
      <c r="G3419" t="str">
        <f>"700065"</f>
        <v>700065</v>
      </c>
      <c r="H3419" t="str">
        <f>"אלתא מערכות בע""מ"</f>
        <v>אלתא מערכות בע"מ</v>
      </c>
      <c r="I3419" t="str">
        <f>"10"</f>
        <v>10</v>
      </c>
      <c r="J3419" t="str">
        <f>"OP-AR01707"</f>
        <v>OP-AR01707</v>
      </c>
      <c r="K3419" t="str">
        <f>"1022H886-001 W86-32CH VIDEO CABLE"</f>
        <v>1022H886-001 W86-32CH VIDEO CABLE</v>
      </c>
      <c r="L3419">
        <v>2</v>
      </c>
      <c r="M3419" t="str">
        <f>"יח"</f>
        <v>יח</v>
      </c>
      <c r="N3419">
        <v>2</v>
      </c>
      <c r="O3419" t="str">
        <f>"יח"</f>
        <v>יח</v>
      </c>
      <c r="P3419">
        <v>516.75</v>
      </c>
      <c r="Q3419" t="str">
        <f>"$"</f>
        <v>$</v>
      </c>
      <c r="R3419" t="str">
        <f>"הזמנה"</f>
        <v>הזמנה</v>
      </c>
      <c r="S3419">
        <v>0</v>
      </c>
      <c r="T3419" s="2">
        <v>1033.5</v>
      </c>
      <c r="U3419">
        <v>0</v>
      </c>
      <c r="V3419" s="2">
        <v>1033.5</v>
      </c>
      <c r="W3419" t="str">
        <f>"$"</f>
        <v>$</v>
      </c>
      <c r="X3419">
        <v>0</v>
      </c>
      <c r="Y3419">
        <v>0</v>
      </c>
      <c r="Z3419">
        <v>0</v>
      </c>
      <c r="AA3419" t="str">
        <f>"Y"</f>
        <v>Y</v>
      </c>
      <c r="AB3419" t="str">
        <f>"SO20000139"</f>
        <v>SO20000139</v>
      </c>
      <c r="AC3419">
        <v>3</v>
      </c>
      <c r="AD3419" s="1">
        <v>43940</v>
      </c>
      <c r="AE3419" t="str">
        <f>"SH20001308"</f>
        <v>SH20001308</v>
      </c>
      <c r="AF3419" t="str">
        <f>"משלוחים ללקוח"</f>
        <v>משלוחים ללקוח</v>
      </c>
      <c r="AG3419" s="1">
        <v>44103</v>
      </c>
      <c r="AM3419" t="str">
        <f>"10"</f>
        <v>10</v>
      </c>
      <c r="AN3419" t="str">
        <f>"500000"</f>
        <v>500000</v>
      </c>
      <c r="AO3419" t="str">
        <f>"הכנסות  מלקוחות"</f>
        <v>הכנסות  מלקוחות</v>
      </c>
      <c r="AQ3419" t="str">
        <f>"034"</f>
        <v>034</v>
      </c>
      <c r="AR3419">
        <v>0</v>
      </c>
      <c r="AS3419">
        <v>0</v>
      </c>
      <c r="AT3419">
        <v>3.4590000000000001</v>
      </c>
      <c r="AX3419" t="str">
        <f>"E000309670"</f>
        <v>E000309670</v>
      </c>
      <c r="BD3419" t="str">
        <f>"ערן שלו"</f>
        <v>ערן שלו</v>
      </c>
    </row>
    <row r="3420" spans="1:56" x14ac:dyDescent="0.3">
      <c r="A3420" s="1">
        <v>44104</v>
      </c>
      <c r="B3420" t="str">
        <f>"SI206000974"</f>
        <v>SI206000974</v>
      </c>
      <c r="C3420" t="str">
        <f>"PR20000210"</f>
        <v>PR20000210</v>
      </c>
      <c r="D3420" t="str">
        <f>"PR20000210"</f>
        <v>PR20000210</v>
      </c>
      <c r="E3420" t="str">
        <f>"Y"</f>
        <v>Y</v>
      </c>
      <c r="F3420" t="str">
        <f>"חשבוניות מרכזות"</f>
        <v>חשבוניות מרכזות</v>
      </c>
      <c r="G3420" t="str">
        <f>"700065"</f>
        <v>700065</v>
      </c>
      <c r="H3420" t="str">
        <f>"אלתא מערכות בע""מ"</f>
        <v>אלתא מערכות בע"מ</v>
      </c>
      <c r="I3420" t="str">
        <f>"10"</f>
        <v>10</v>
      </c>
      <c r="J3420" t="str">
        <f>"OP-AR01708"</f>
        <v>OP-AR01708</v>
      </c>
      <c r="K3420" t="str">
        <f>"1022H887-002 W87-32CH VIDEO CABLE (MASTER)"</f>
        <v>1022H887-002 W87-32CH VIDEO CABLE (MASTER)</v>
      </c>
      <c r="L3420">
        <v>2</v>
      </c>
      <c r="M3420" t="str">
        <f>"יח"</f>
        <v>יח</v>
      </c>
      <c r="N3420">
        <v>2</v>
      </c>
      <c r="O3420" t="str">
        <f>"יח"</f>
        <v>יח</v>
      </c>
      <c r="P3420">
        <v>545.11</v>
      </c>
      <c r="Q3420" t="str">
        <f>"$"</f>
        <v>$</v>
      </c>
      <c r="R3420" t="str">
        <f>"הזמנה"</f>
        <v>הזמנה</v>
      </c>
      <c r="S3420">
        <v>0</v>
      </c>
      <c r="T3420" s="2">
        <v>1090.22</v>
      </c>
      <c r="U3420">
        <v>0</v>
      </c>
      <c r="V3420" s="2">
        <v>1090.22</v>
      </c>
      <c r="W3420" t="str">
        <f>"$"</f>
        <v>$</v>
      </c>
      <c r="X3420">
        <v>0</v>
      </c>
      <c r="Y3420">
        <v>0</v>
      </c>
      <c r="Z3420">
        <v>0</v>
      </c>
      <c r="AA3420" t="str">
        <f>"Y"</f>
        <v>Y</v>
      </c>
      <c r="AB3420" t="str">
        <f>"SO20000139"</f>
        <v>SO20000139</v>
      </c>
      <c r="AC3420">
        <v>4</v>
      </c>
      <c r="AD3420" s="1">
        <v>43940</v>
      </c>
      <c r="AE3420" t="str">
        <f>"SH20001308"</f>
        <v>SH20001308</v>
      </c>
      <c r="AF3420" t="str">
        <f>"משלוחים ללקוח"</f>
        <v>משלוחים ללקוח</v>
      </c>
      <c r="AG3420" s="1">
        <v>44103</v>
      </c>
      <c r="AM3420" t="str">
        <f>"10"</f>
        <v>10</v>
      </c>
      <c r="AN3420" t="str">
        <f>"500000"</f>
        <v>500000</v>
      </c>
      <c r="AO3420" t="str">
        <f>"הכנסות  מלקוחות"</f>
        <v>הכנסות  מלקוחות</v>
      </c>
      <c r="AQ3420" t="str">
        <f>"034"</f>
        <v>034</v>
      </c>
      <c r="AR3420">
        <v>0</v>
      </c>
      <c r="AS3420">
        <v>0</v>
      </c>
      <c r="AT3420">
        <v>3.4590000000000001</v>
      </c>
      <c r="AX3420" t="str">
        <f>"E000309670"</f>
        <v>E000309670</v>
      </c>
      <c r="BD3420" t="str">
        <f>"ערן שלו"</f>
        <v>ערן שלו</v>
      </c>
    </row>
    <row r="3421" spans="1:56" x14ac:dyDescent="0.3">
      <c r="A3421" s="1">
        <v>44104</v>
      </c>
      <c r="B3421" t="str">
        <f>"SI206000974"</f>
        <v>SI206000974</v>
      </c>
      <c r="C3421" t="str">
        <f>"PR20000210"</f>
        <v>PR20000210</v>
      </c>
      <c r="D3421" t="str">
        <f>"PR20000210"</f>
        <v>PR20000210</v>
      </c>
      <c r="E3421" t="str">
        <f>"Y"</f>
        <v>Y</v>
      </c>
      <c r="F3421" t="str">
        <f>"חשבוניות מרכזות"</f>
        <v>חשבוניות מרכזות</v>
      </c>
      <c r="G3421" t="str">
        <f>"700065"</f>
        <v>700065</v>
      </c>
      <c r="H3421" t="str">
        <f>"אלתא מערכות בע""מ"</f>
        <v>אלתא מערכות בע"מ</v>
      </c>
      <c r="I3421" t="str">
        <f>"10"</f>
        <v>10</v>
      </c>
      <c r="J3421" t="str">
        <f>"OP-AR01713"</f>
        <v>OP-AR01713</v>
      </c>
      <c r="K3421" t="str">
        <f>"1022H892-002 W12 -32CH VIDEO CABLE (MASTER)"</f>
        <v>1022H892-002 W12 -32CH VIDEO CABLE (MASTER)</v>
      </c>
      <c r="L3421">
        <v>1</v>
      </c>
      <c r="M3421" t="str">
        <f>"יח"</f>
        <v>יח</v>
      </c>
      <c r="N3421">
        <v>1</v>
      </c>
      <c r="O3421" t="str">
        <f>"יח"</f>
        <v>יח</v>
      </c>
      <c r="P3421" s="2">
        <v>1347.88</v>
      </c>
      <c r="Q3421" t="str">
        <f>"$"</f>
        <v>$</v>
      </c>
      <c r="R3421" t="str">
        <f>"הזמנה"</f>
        <v>הזמנה</v>
      </c>
      <c r="S3421">
        <v>0</v>
      </c>
      <c r="T3421" s="2">
        <v>1347.88</v>
      </c>
      <c r="U3421">
        <v>0</v>
      </c>
      <c r="V3421" s="2">
        <v>1347.88</v>
      </c>
      <c r="W3421" t="str">
        <f>"$"</f>
        <v>$</v>
      </c>
      <c r="X3421">
        <v>0</v>
      </c>
      <c r="Y3421">
        <v>0</v>
      </c>
      <c r="Z3421">
        <v>0</v>
      </c>
      <c r="AA3421" t="str">
        <f>"Y"</f>
        <v>Y</v>
      </c>
      <c r="AB3421" t="str">
        <f>"SO20000139"</f>
        <v>SO20000139</v>
      </c>
      <c r="AC3421">
        <v>11</v>
      </c>
      <c r="AD3421" s="1">
        <v>43940</v>
      </c>
      <c r="AE3421" t="str">
        <f>"SH20001308"</f>
        <v>SH20001308</v>
      </c>
      <c r="AF3421" t="str">
        <f>"משלוחים ללקוח"</f>
        <v>משלוחים ללקוח</v>
      </c>
      <c r="AG3421" s="1">
        <v>44103</v>
      </c>
      <c r="AM3421" t="str">
        <f>"10"</f>
        <v>10</v>
      </c>
      <c r="AN3421" t="str">
        <f>"500000"</f>
        <v>500000</v>
      </c>
      <c r="AO3421" t="str">
        <f>"הכנסות  מלקוחות"</f>
        <v>הכנסות  מלקוחות</v>
      </c>
      <c r="AQ3421" t="str">
        <f>"034"</f>
        <v>034</v>
      </c>
      <c r="AR3421">
        <v>0</v>
      </c>
      <c r="AS3421">
        <v>0</v>
      </c>
      <c r="AT3421">
        <v>3.4590000000000001</v>
      </c>
      <c r="AX3421" t="str">
        <f>"E000309670"</f>
        <v>E000309670</v>
      </c>
      <c r="BD3421" t="str">
        <f>"ערן שלו"</f>
        <v>ערן שלו</v>
      </c>
    </row>
    <row r="3422" spans="1:56" x14ac:dyDescent="0.3">
      <c r="A3422" s="1">
        <v>44104</v>
      </c>
      <c r="B3422" t="str">
        <f>"SI206000973"</f>
        <v>SI206000973</v>
      </c>
      <c r="C3422" t="str">
        <f>"PR20000348"</f>
        <v>PR20000348</v>
      </c>
      <c r="E3422" t="str">
        <f>"Y"</f>
        <v>Y</v>
      </c>
      <c r="F3422" t="str">
        <f>"חשבוניות מרכזות"</f>
        <v>חשבוניות מרכזות</v>
      </c>
      <c r="G3422" t="str">
        <f>"700065"</f>
        <v>700065</v>
      </c>
      <c r="H3422" t="str">
        <f>"אלתא מערכות בע""מ"</f>
        <v>אלתא מערכות בע"מ</v>
      </c>
      <c r="I3422" t="str">
        <f>"10"</f>
        <v>10</v>
      </c>
      <c r="J3422" t="str">
        <f>"OP-AR01734"</f>
        <v>OP-AR01734</v>
      </c>
      <c r="K3422" t="str">
        <f>"1039V325-001 WP325 - POWER 320VDC PDB TO ROTARY"</f>
        <v>1039V325-001 WP325 - POWER 320VDC PDB TO ROTARY</v>
      </c>
      <c r="L3422">
        <v>1</v>
      </c>
      <c r="M3422" t="str">
        <f>"יח"</f>
        <v>יח</v>
      </c>
      <c r="N3422">
        <v>1</v>
      </c>
      <c r="O3422" t="str">
        <f>"יח"</f>
        <v>יח</v>
      </c>
      <c r="P3422" s="2">
        <v>1288.29</v>
      </c>
      <c r="Q3422" t="str">
        <f>"$"</f>
        <v>$</v>
      </c>
      <c r="R3422" t="str">
        <f>"הזמנה"</f>
        <v>הזמנה</v>
      </c>
      <c r="S3422">
        <v>0</v>
      </c>
      <c r="T3422" s="2">
        <v>1288.29</v>
      </c>
      <c r="U3422">
        <v>0</v>
      </c>
      <c r="V3422" s="2">
        <v>1288.29</v>
      </c>
      <c r="W3422" t="str">
        <f>"$"</f>
        <v>$</v>
      </c>
      <c r="X3422">
        <v>0</v>
      </c>
      <c r="Y3422">
        <v>0</v>
      </c>
      <c r="Z3422">
        <v>0</v>
      </c>
      <c r="AA3422" t="str">
        <f>"Y"</f>
        <v>Y</v>
      </c>
      <c r="AB3422" t="str">
        <f>"SO20000201"</f>
        <v>SO20000201</v>
      </c>
      <c r="AC3422">
        <v>2</v>
      </c>
      <c r="AD3422" s="1">
        <v>43970</v>
      </c>
      <c r="AE3422" t="str">
        <f>"SH20001309"</f>
        <v>SH20001309</v>
      </c>
      <c r="AF3422" t="str">
        <f>"משלוחים ללקוח"</f>
        <v>משלוחים ללקוח</v>
      </c>
      <c r="AG3422" s="1">
        <v>44103</v>
      </c>
      <c r="AM3422" t="str">
        <f>"10"</f>
        <v>10</v>
      </c>
      <c r="AN3422" t="str">
        <f>"500000"</f>
        <v>500000</v>
      </c>
      <c r="AO3422" t="str">
        <f>"הכנסות  מלקוחות"</f>
        <v>הכנסות  מלקוחות</v>
      </c>
      <c r="AQ3422" t="str">
        <f>"034"</f>
        <v>034</v>
      </c>
      <c r="AR3422">
        <v>0</v>
      </c>
      <c r="AS3422">
        <v>0</v>
      </c>
      <c r="AT3422">
        <v>3.4590000000000001</v>
      </c>
      <c r="AX3422" t="str">
        <f>"E000311250"</f>
        <v>E000311250</v>
      </c>
      <c r="BD3422" t="str">
        <f>"ערן שלו"</f>
        <v>ערן שלו</v>
      </c>
    </row>
    <row r="3423" spans="1:56" x14ac:dyDescent="0.3">
      <c r="A3423" s="1">
        <v>44104</v>
      </c>
      <c r="B3423" t="str">
        <f>"SI206000973"</f>
        <v>SI206000973</v>
      </c>
      <c r="C3423" t="str">
        <f>"PR20000348"</f>
        <v>PR20000348</v>
      </c>
      <c r="E3423" t="str">
        <f>"Y"</f>
        <v>Y</v>
      </c>
      <c r="F3423" t="str">
        <f>"חשבוניות מרכזות"</f>
        <v>חשבוניות מרכזות</v>
      </c>
      <c r="G3423" t="str">
        <f>"700065"</f>
        <v>700065</v>
      </c>
      <c r="H3423" t="str">
        <f>"אלתא מערכות בע""מ"</f>
        <v>אלתא מערכות בע"מ</v>
      </c>
      <c r="I3423" t="str">
        <f>"10"</f>
        <v>10</v>
      </c>
      <c r="J3423" t="str">
        <f>"OP-AR01737"</f>
        <v>OP-AR01737</v>
      </c>
      <c r="K3423" t="str">
        <f>"1039V326-001 WP326 - POWER 320VDC PDB TO ROTARY"</f>
        <v>1039V326-001 WP326 - POWER 320VDC PDB TO ROTARY</v>
      </c>
      <c r="L3423">
        <v>2</v>
      </c>
      <c r="M3423" t="str">
        <f>"יח"</f>
        <v>יח</v>
      </c>
      <c r="N3423">
        <v>2</v>
      </c>
      <c r="O3423" t="str">
        <f>"יח"</f>
        <v>יח</v>
      </c>
      <c r="P3423" s="2">
        <v>1269.07</v>
      </c>
      <c r="Q3423" t="str">
        <f>"$"</f>
        <v>$</v>
      </c>
      <c r="R3423" t="str">
        <f>"הזמנה"</f>
        <v>הזמנה</v>
      </c>
      <c r="S3423">
        <v>0</v>
      </c>
      <c r="T3423" s="2">
        <v>2538.14</v>
      </c>
      <c r="U3423">
        <v>0</v>
      </c>
      <c r="V3423" s="2">
        <v>2538.14</v>
      </c>
      <c r="W3423" t="str">
        <f>"$"</f>
        <v>$</v>
      </c>
      <c r="X3423">
        <v>0</v>
      </c>
      <c r="Y3423">
        <v>0</v>
      </c>
      <c r="Z3423">
        <v>0</v>
      </c>
      <c r="AA3423" t="str">
        <f>"Y"</f>
        <v>Y</v>
      </c>
      <c r="AB3423" t="str">
        <f>"SO20000201"</f>
        <v>SO20000201</v>
      </c>
      <c r="AC3423">
        <v>5</v>
      </c>
      <c r="AD3423" s="1">
        <v>43970</v>
      </c>
      <c r="AE3423" t="str">
        <f>"SH20001309"</f>
        <v>SH20001309</v>
      </c>
      <c r="AF3423" t="str">
        <f>"משלוחים ללקוח"</f>
        <v>משלוחים ללקוח</v>
      </c>
      <c r="AG3423" s="1">
        <v>44103</v>
      </c>
      <c r="AM3423" t="str">
        <f>"10"</f>
        <v>10</v>
      </c>
      <c r="AN3423" t="str">
        <f>"500000"</f>
        <v>500000</v>
      </c>
      <c r="AO3423" t="str">
        <f>"הכנסות  מלקוחות"</f>
        <v>הכנסות  מלקוחות</v>
      </c>
      <c r="AQ3423" t="str">
        <f>"034"</f>
        <v>034</v>
      </c>
      <c r="AR3423">
        <v>0</v>
      </c>
      <c r="AS3423">
        <v>0</v>
      </c>
      <c r="AT3423">
        <v>3.4590000000000001</v>
      </c>
      <c r="AX3423" t="str">
        <f>"E000311250"</f>
        <v>E000311250</v>
      </c>
      <c r="BD3423" t="str">
        <f>"ערן שלו"</f>
        <v>ערן שלו</v>
      </c>
    </row>
    <row r="3424" spans="1:56" x14ac:dyDescent="0.3">
      <c r="A3424" s="1">
        <v>44104</v>
      </c>
      <c r="B3424" t="str">
        <f>"SI206000973"</f>
        <v>SI206000973</v>
      </c>
      <c r="C3424" t="str">
        <f>"PR20000348"</f>
        <v>PR20000348</v>
      </c>
      <c r="E3424" t="str">
        <f>"Y"</f>
        <v>Y</v>
      </c>
      <c r="F3424" t="str">
        <f>"חשבוניות מרכזות"</f>
        <v>חשבוניות מרכזות</v>
      </c>
      <c r="G3424" t="str">
        <f>"700065"</f>
        <v>700065</v>
      </c>
      <c r="H3424" t="str">
        <f>"אלתא מערכות בע""מ"</f>
        <v>אלתא מערכות בע"מ</v>
      </c>
      <c r="I3424" t="str">
        <f>"10"</f>
        <v>10</v>
      </c>
      <c r="J3424" t="str">
        <f>"OP-AR01739"</f>
        <v>OP-AR01739</v>
      </c>
      <c r="K3424" t="str">
        <f>"1039V323-001 WP323 - POWER 320VDC PDB TO ROTARY"</f>
        <v>1039V323-001 WP323 - POWER 320VDC PDB TO ROTARY</v>
      </c>
      <c r="L3424">
        <v>2</v>
      </c>
      <c r="M3424" t="str">
        <f>"יח"</f>
        <v>יח</v>
      </c>
      <c r="N3424">
        <v>2</v>
      </c>
      <c r="O3424" t="str">
        <f>"יח"</f>
        <v>יח</v>
      </c>
      <c r="P3424" s="2">
        <v>1057.75</v>
      </c>
      <c r="Q3424" t="str">
        <f>"$"</f>
        <v>$</v>
      </c>
      <c r="R3424" t="str">
        <f>"הזמנה"</f>
        <v>הזמנה</v>
      </c>
      <c r="S3424">
        <v>0</v>
      </c>
      <c r="T3424" s="2">
        <v>2115.5</v>
      </c>
      <c r="U3424">
        <v>0</v>
      </c>
      <c r="V3424" s="2">
        <v>2115.5</v>
      </c>
      <c r="W3424" t="str">
        <f>"$"</f>
        <v>$</v>
      </c>
      <c r="X3424">
        <v>0</v>
      </c>
      <c r="Y3424">
        <v>0</v>
      </c>
      <c r="Z3424">
        <v>0</v>
      </c>
      <c r="AA3424" t="str">
        <f>"Y"</f>
        <v>Y</v>
      </c>
      <c r="AB3424" t="str">
        <f>"SO20000201"</f>
        <v>SO20000201</v>
      </c>
      <c r="AC3424">
        <v>7</v>
      </c>
      <c r="AD3424" s="1">
        <v>43970</v>
      </c>
      <c r="AE3424" t="str">
        <f>"SH20001309"</f>
        <v>SH20001309</v>
      </c>
      <c r="AF3424" t="str">
        <f>"משלוחים ללקוח"</f>
        <v>משלוחים ללקוח</v>
      </c>
      <c r="AG3424" s="1">
        <v>44103</v>
      </c>
      <c r="AM3424" t="str">
        <f>"10"</f>
        <v>10</v>
      </c>
      <c r="AN3424" t="str">
        <f>"500000"</f>
        <v>500000</v>
      </c>
      <c r="AO3424" t="str">
        <f>"הכנסות  מלקוחות"</f>
        <v>הכנסות  מלקוחות</v>
      </c>
      <c r="AQ3424" t="str">
        <f>"034"</f>
        <v>034</v>
      </c>
      <c r="AR3424">
        <v>0</v>
      </c>
      <c r="AS3424">
        <v>0</v>
      </c>
      <c r="AT3424">
        <v>3.4590000000000001</v>
      </c>
      <c r="AX3424" t="str">
        <f>"E000311250"</f>
        <v>E000311250</v>
      </c>
      <c r="BD3424" t="str">
        <f>"ערן שלו"</f>
        <v>ערן שלו</v>
      </c>
    </row>
    <row r="3425" spans="1:56" x14ac:dyDescent="0.3">
      <c r="A3425" s="1">
        <v>44104</v>
      </c>
      <c r="B3425" t="str">
        <f>"SI206000973"</f>
        <v>SI206000973</v>
      </c>
      <c r="C3425" t="str">
        <f>"PR20000348"</f>
        <v>PR20000348</v>
      </c>
      <c r="E3425" t="str">
        <f>"Y"</f>
        <v>Y</v>
      </c>
      <c r="F3425" t="str">
        <f>"חשבוניות מרכזות"</f>
        <v>חשבוניות מרכזות</v>
      </c>
      <c r="G3425" t="str">
        <f>"700065"</f>
        <v>700065</v>
      </c>
      <c r="H3425" t="str">
        <f>"אלתא מערכות בע""מ"</f>
        <v>אלתא מערכות בע"מ</v>
      </c>
      <c r="I3425" t="str">
        <f>"10"</f>
        <v>10</v>
      </c>
      <c r="J3425" t="str">
        <f>"OP-AR01744"</f>
        <v>OP-AR01744</v>
      </c>
      <c r="K3425" t="str">
        <f>"1039V316-001 WP316 - POWER PEDESTAL TO PEDPNL (H"</f>
        <v>1039V316-001 WP316 - POWER PEDESTAL TO PEDPNL (H</v>
      </c>
      <c r="L3425">
        <v>2</v>
      </c>
      <c r="M3425" t="str">
        <f>"יח"</f>
        <v>יח</v>
      </c>
      <c r="N3425">
        <v>2</v>
      </c>
      <c r="O3425" t="str">
        <f>"יח"</f>
        <v>יח</v>
      </c>
      <c r="P3425">
        <v>922.71</v>
      </c>
      <c r="Q3425" t="str">
        <f>"$"</f>
        <v>$</v>
      </c>
      <c r="R3425" t="str">
        <f>"הזמנה"</f>
        <v>הזמנה</v>
      </c>
      <c r="S3425">
        <v>0</v>
      </c>
      <c r="T3425" s="2">
        <v>1845.42</v>
      </c>
      <c r="U3425">
        <v>0</v>
      </c>
      <c r="V3425" s="2">
        <v>1845.42</v>
      </c>
      <c r="W3425" t="str">
        <f>"$"</f>
        <v>$</v>
      </c>
      <c r="X3425">
        <v>0</v>
      </c>
      <c r="Y3425">
        <v>0</v>
      </c>
      <c r="Z3425">
        <v>0</v>
      </c>
      <c r="AA3425" t="str">
        <f>"Y"</f>
        <v>Y</v>
      </c>
      <c r="AB3425" t="str">
        <f>"SO20000201"</f>
        <v>SO20000201</v>
      </c>
      <c r="AC3425">
        <v>12</v>
      </c>
      <c r="AD3425" s="1">
        <v>43970</v>
      </c>
      <c r="AE3425" t="str">
        <f>"SH20001309"</f>
        <v>SH20001309</v>
      </c>
      <c r="AF3425" t="str">
        <f>"משלוחים ללקוח"</f>
        <v>משלוחים ללקוח</v>
      </c>
      <c r="AG3425" s="1">
        <v>44103</v>
      </c>
      <c r="AM3425" t="str">
        <f>"10"</f>
        <v>10</v>
      </c>
      <c r="AN3425" t="str">
        <f>"500000"</f>
        <v>500000</v>
      </c>
      <c r="AO3425" t="str">
        <f>"הכנסות  מלקוחות"</f>
        <v>הכנסות  מלקוחות</v>
      </c>
      <c r="AQ3425" t="str">
        <f>"034"</f>
        <v>034</v>
      </c>
      <c r="AR3425">
        <v>0</v>
      </c>
      <c r="AS3425">
        <v>0</v>
      </c>
      <c r="AT3425">
        <v>3.4590000000000001</v>
      </c>
      <c r="AX3425" t="str">
        <f>"E000311250"</f>
        <v>E000311250</v>
      </c>
      <c r="BD3425" t="str">
        <f>"ערן שלו"</f>
        <v>ערן שלו</v>
      </c>
    </row>
    <row r="3426" spans="1:56" x14ac:dyDescent="0.3">
      <c r="A3426" s="1">
        <v>44104</v>
      </c>
      <c r="B3426" t="str">
        <f>"SI206000973"</f>
        <v>SI206000973</v>
      </c>
      <c r="C3426" t="str">
        <f>"PR20000348"</f>
        <v>PR20000348</v>
      </c>
      <c r="E3426" t="str">
        <f>"Y"</f>
        <v>Y</v>
      </c>
      <c r="F3426" t="str">
        <f>"חשבוניות מרכזות"</f>
        <v>חשבוניות מרכזות</v>
      </c>
      <c r="G3426" t="str">
        <f>"700065"</f>
        <v>700065</v>
      </c>
      <c r="H3426" t="str">
        <f>"אלתא מערכות בע""מ"</f>
        <v>אלתא מערכות בע"מ</v>
      </c>
      <c r="I3426" t="str">
        <f>"10"</f>
        <v>10</v>
      </c>
      <c r="J3426" t="str">
        <f>"OP-AR01750"</f>
        <v>OP-AR01750</v>
      </c>
      <c r="K3426" t="str">
        <f>"1037V782-001 WPG115-BONDING STRAP AFT COMD BOX t"</f>
        <v>1037V782-001 WPG115-BONDING STRAP AFT COMD BOX t</v>
      </c>
      <c r="L3426">
        <v>2</v>
      </c>
      <c r="M3426" t="str">
        <f>"יח"</f>
        <v>יח</v>
      </c>
      <c r="N3426">
        <v>2</v>
      </c>
      <c r="O3426" t="str">
        <f>"יח"</f>
        <v>יח</v>
      </c>
      <c r="P3426">
        <v>74.95</v>
      </c>
      <c r="Q3426" t="str">
        <f>"$"</f>
        <v>$</v>
      </c>
      <c r="R3426" t="str">
        <f>"הזמנה"</f>
        <v>הזמנה</v>
      </c>
      <c r="S3426">
        <v>0</v>
      </c>
      <c r="T3426">
        <v>149.9</v>
      </c>
      <c r="U3426">
        <v>0</v>
      </c>
      <c r="V3426">
        <v>149.9</v>
      </c>
      <c r="W3426" t="str">
        <f>"$"</f>
        <v>$</v>
      </c>
      <c r="X3426">
        <v>0</v>
      </c>
      <c r="Y3426">
        <v>0</v>
      </c>
      <c r="Z3426">
        <v>0</v>
      </c>
      <c r="AA3426" t="str">
        <f>"Y"</f>
        <v>Y</v>
      </c>
      <c r="AB3426" t="str">
        <f>"SO20000201"</f>
        <v>SO20000201</v>
      </c>
      <c r="AC3426">
        <v>18</v>
      </c>
      <c r="AD3426" s="1">
        <v>43970</v>
      </c>
      <c r="AE3426" t="str">
        <f>"SH20001309"</f>
        <v>SH20001309</v>
      </c>
      <c r="AF3426" t="str">
        <f>"משלוחים ללקוח"</f>
        <v>משלוחים ללקוח</v>
      </c>
      <c r="AG3426" s="1">
        <v>44103</v>
      </c>
      <c r="AM3426" t="str">
        <f>"10"</f>
        <v>10</v>
      </c>
      <c r="AN3426" t="str">
        <f>"500000"</f>
        <v>500000</v>
      </c>
      <c r="AO3426" t="str">
        <f>"הכנסות  מלקוחות"</f>
        <v>הכנסות  מלקוחות</v>
      </c>
      <c r="AQ3426" t="str">
        <f>"034"</f>
        <v>034</v>
      </c>
      <c r="AR3426">
        <v>0</v>
      </c>
      <c r="AS3426">
        <v>0</v>
      </c>
      <c r="AT3426">
        <v>3.4590000000000001</v>
      </c>
      <c r="AX3426" t="str">
        <f>"E000311250"</f>
        <v>E000311250</v>
      </c>
      <c r="BD3426" t="str">
        <f>"ערן שלו"</f>
        <v>ערן שלו</v>
      </c>
    </row>
    <row r="3427" spans="1:56" x14ac:dyDescent="0.3">
      <c r="A3427" s="1">
        <v>44104</v>
      </c>
      <c r="B3427" t="str">
        <f>"SI206000973"</f>
        <v>SI206000973</v>
      </c>
      <c r="C3427" t="str">
        <f>"PR20000348"</f>
        <v>PR20000348</v>
      </c>
      <c r="E3427" t="str">
        <f>"Y"</f>
        <v>Y</v>
      </c>
      <c r="F3427" t="str">
        <f>"חשבוניות מרכזות"</f>
        <v>חשבוניות מרכזות</v>
      </c>
      <c r="G3427" t="str">
        <f>"700065"</f>
        <v>700065</v>
      </c>
      <c r="H3427" t="str">
        <f>"אלתא מערכות בע""מ"</f>
        <v>אלתא מערכות בע"מ</v>
      </c>
      <c r="I3427" t="str">
        <f>"10"</f>
        <v>10</v>
      </c>
      <c r="J3427" t="str">
        <f>"OP-AR01752"</f>
        <v>OP-AR01752</v>
      </c>
      <c r="K3427" t="str">
        <f>"1039V385-001 WP385 - POWER PEDESTAL TO PEDPNL (H"</f>
        <v>1039V385-001 WP385 - POWER PEDESTAL TO PEDPNL (H</v>
      </c>
      <c r="L3427">
        <v>2</v>
      </c>
      <c r="M3427" t="str">
        <f>"יח"</f>
        <v>יח</v>
      </c>
      <c r="N3427">
        <v>2</v>
      </c>
      <c r="O3427" t="str">
        <f>"יח"</f>
        <v>יח</v>
      </c>
      <c r="P3427">
        <v>922.71</v>
      </c>
      <c r="Q3427" t="str">
        <f>"$"</f>
        <v>$</v>
      </c>
      <c r="R3427" t="str">
        <f>"הזמנה"</f>
        <v>הזמנה</v>
      </c>
      <c r="S3427">
        <v>0</v>
      </c>
      <c r="T3427" s="2">
        <v>1845.42</v>
      </c>
      <c r="U3427">
        <v>0</v>
      </c>
      <c r="V3427" s="2">
        <v>1845.42</v>
      </c>
      <c r="W3427" t="str">
        <f>"$"</f>
        <v>$</v>
      </c>
      <c r="X3427">
        <v>0</v>
      </c>
      <c r="Y3427">
        <v>0</v>
      </c>
      <c r="Z3427">
        <v>0</v>
      </c>
      <c r="AA3427" t="str">
        <f>"Y"</f>
        <v>Y</v>
      </c>
      <c r="AB3427" t="str">
        <f>"SO20000201"</f>
        <v>SO20000201</v>
      </c>
      <c r="AC3427">
        <v>20</v>
      </c>
      <c r="AD3427" s="1">
        <v>43970</v>
      </c>
      <c r="AE3427" t="str">
        <f>"SH20001309"</f>
        <v>SH20001309</v>
      </c>
      <c r="AF3427" t="str">
        <f>"משלוחים ללקוח"</f>
        <v>משלוחים ללקוח</v>
      </c>
      <c r="AG3427" s="1">
        <v>44103</v>
      </c>
      <c r="AM3427" t="str">
        <f>"10"</f>
        <v>10</v>
      </c>
      <c r="AN3427" t="str">
        <f>"500000"</f>
        <v>500000</v>
      </c>
      <c r="AO3427" t="str">
        <f>"הכנסות  מלקוחות"</f>
        <v>הכנסות  מלקוחות</v>
      </c>
      <c r="AQ3427" t="str">
        <f>"034"</f>
        <v>034</v>
      </c>
      <c r="AR3427">
        <v>0</v>
      </c>
      <c r="AS3427">
        <v>0</v>
      </c>
      <c r="AT3427">
        <v>3.4590000000000001</v>
      </c>
      <c r="AX3427" t="str">
        <f>"E000311250"</f>
        <v>E000311250</v>
      </c>
      <c r="BD3427" t="str">
        <f>"ערן שלו"</f>
        <v>ערן שלו</v>
      </c>
    </row>
    <row r="3428" spans="1:56" x14ac:dyDescent="0.3">
      <c r="A3428" s="1">
        <v>44104</v>
      </c>
      <c r="B3428" t="str">
        <f>"SI206000973"</f>
        <v>SI206000973</v>
      </c>
      <c r="C3428" t="str">
        <f>"PR20000348"</f>
        <v>PR20000348</v>
      </c>
      <c r="E3428" t="str">
        <f>"Y"</f>
        <v>Y</v>
      </c>
      <c r="F3428" t="str">
        <f>"חשבוניות מרכזות"</f>
        <v>חשבוניות מרכזות</v>
      </c>
      <c r="G3428" t="str">
        <f>"700065"</f>
        <v>700065</v>
      </c>
      <c r="H3428" t="str">
        <f>"אלתא מערכות בע""מ"</f>
        <v>אלתא מערכות בע"מ</v>
      </c>
      <c r="I3428" t="str">
        <f>"10"</f>
        <v>10</v>
      </c>
      <c r="J3428" t="str">
        <f>"OP-AR01771"</f>
        <v>OP-AR01771</v>
      </c>
      <c r="K3428" t="str">
        <f>"1039V313-001 WP313 - POWER PEDESTAL TO PEDPNL (H"</f>
        <v>1039V313-001 WP313 - POWER PEDESTAL TO PEDPNL (H</v>
      </c>
      <c r="L3428">
        <v>2</v>
      </c>
      <c r="M3428" t="str">
        <f>"יח"</f>
        <v>יח</v>
      </c>
      <c r="N3428">
        <v>2</v>
      </c>
      <c r="O3428" t="str">
        <f>"יח"</f>
        <v>יח</v>
      </c>
      <c r="P3428">
        <v>915.53</v>
      </c>
      <c r="Q3428" t="str">
        <f>"$"</f>
        <v>$</v>
      </c>
      <c r="R3428" t="str">
        <f>"הזמנה"</f>
        <v>הזמנה</v>
      </c>
      <c r="S3428">
        <v>0</v>
      </c>
      <c r="T3428" s="2">
        <v>1831.06</v>
      </c>
      <c r="U3428">
        <v>0</v>
      </c>
      <c r="V3428" s="2">
        <v>1831.06</v>
      </c>
      <c r="W3428" t="str">
        <f>"$"</f>
        <v>$</v>
      </c>
      <c r="X3428">
        <v>0</v>
      </c>
      <c r="Y3428">
        <v>0</v>
      </c>
      <c r="Z3428">
        <v>0</v>
      </c>
      <c r="AA3428" t="str">
        <f>"Y"</f>
        <v>Y</v>
      </c>
      <c r="AB3428" t="str">
        <f>"SO20000201"</f>
        <v>SO20000201</v>
      </c>
      <c r="AC3428">
        <v>37</v>
      </c>
      <c r="AD3428" s="1">
        <v>43970</v>
      </c>
      <c r="AE3428" t="str">
        <f>"SH20001309"</f>
        <v>SH20001309</v>
      </c>
      <c r="AF3428" t="str">
        <f>"משלוחים ללקוח"</f>
        <v>משלוחים ללקוח</v>
      </c>
      <c r="AG3428" s="1">
        <v>44103</v>
      </c>
      <c r="AM3428" t="str">
        <f>"10"</f>
        <v>10</v>
      </c>
      <c r="AN3428" t="str">
        <f>"500000"</f>
        <v>500000</v>
      </c>
      <c r="AO3428" t="str">
        <f>"הכנסות  מלקוחות"</f>
        <v>הכנסות  מלקוחות</v>
      </c>
      <c r="AQ3428" t="str">
        <f>"034"</f>
        <v>034</v>
      </c>
      <c r="AR3428">
        <v>0</v>
      </c>
      <c r="AS3428">
        <v>0</v>
      </c>
      <c r="AT3428">
        <v>3.4590000000000001</v>
      </c>
      <c r="AX3428" t="str">
        <f>"E000311250"</f>
        <v>E000311250</v>
      </c>
      <c r="BD3428" t="str">
        <f>"ערן שלו"</f>
        <v>ערן שלו</v>
      </c>
    </row>
    <row r="3429" spans="1:56" x14ac:dyDescent="0.3">
      <c r="A3429" s="1">
        <v>44104</v>
      </c>
      <c r="B3429" t="str">
        <f>"SI206000973"</f>
        <v>SI206000973</v>
      </c>
      <c r="C3429" t="str">
        <f>"PR20000348"</f>
        <v>PR20000348</v>
      </c>
      <c r="E3429" t="str">
        <f>"Y"</f>
        <v>Y</v>
      </c>
      <c r="F3429" t="str">
        <f>"חשבוניות מרכזות"</f>
        <v>חשבוניות מרכזות</v>
      </c>
      <c r="G3429" t="str">
        <f>"700065"</f>
        <v>700065</v>
      </c>
      <c r="H3429" t="str">
        <f>"אלתא מערכות בע""מ"</f>
        <v>אלתא מערכות בע"מ</v>
      </c>
      <c r="I3429" t="str">
        <f>"10"</f>
        <v>10</v>
      </c>
      <c r="J3429" t="str">
        <f>"OP-AR01774"</f>
        <v>OP-AR01774</v>
      </c>
      <c r="K3429" t="str">
        <f>"1039V341-001 WPG20-BONDING STRAP PED PANNEL CENT"</f>
        <v>1039V341-001 WPG20-BONDING STRAP PED PANNEL CENT</v>
      </c>
      <c r="L3429">
        <v>2</v>
      </c>
      <c r="M3429" t="str">
        <f>"יח"</f>
        <v>יח</v>
      </c>
      <c r="N3429">
        <v>2</v>
      </c>
      <c r="O3429" t="str">
        <f>"יח"</f>
        <v>יח</v>
      </c>
      <c r="P3429">
        <v>89.2</v>
      </c>
      <c r="Q3429" t="str">
        <f>"$"</f>
        <v>$</v>
      </c>
      <c r="R3429" t="str">
        <f>"הזמנה"</f>
        <v>הזמנה</v>
      </c>
      <c r="S3429">
        <v>0</v>
      </c>
      <c r="T3429">
        <v>178.4</v>
      </c>
      <c r="U3429">
        <v>0</v>
      </c>
      <c r="V3429">
        <v>178.4</v>
      </c>
      <c r="W3429" t="str">
        <f>"$"</f>
        <v>$</v>
      </c>
      <c r="X3429">
        <v>0</v>
      </c>
      <c r="Y3429">
        <v>0</v>
      </c>
      <c r="Z3429">
        <v>0</v>
      </c>
      <c r="AA3429" t="str">
        <f>"Y"</f>
        <v>Y</v>
      </c>
      <c r="AB3429" t="str">
        <f>"SO20000201"</f>
        <v>SO20000201</v>
      </c>
      <c r="AC3429">
        <v>40</v>
      </c>
      <c r="AD3429" s="1">
        <v>43970</v>
      </c>
      <c r="AE3429" t="str">
        <f>"SH20001309"</f>
        <v>SH20001309</v>
      </c>
      <c r="AF3429" t="str">
        <f>"משלוחים ללקוח"</f>
        <v>משלוחים ללקוח</v>
      </c>
      <c r="AG3429" s="1">
        <v>44103</v>
      </c>
      <c r="AM3429" t="str">
        <f>"10"</f>
        <v>10</v>
      </c>
      <c r="AN3429" t="str">
        <f>"500000"</f>
        <v>500000</v>
      </c>
      <c r="AO3429" t="str">
        <f>"הכנסות  מלקוחות"</f>
        <v>הכנסות  מלקוחות</v>
      </c>
      <c r="AQ3429" t="str">
        <f>"034"</f>
        <v>034</v>
      </c>
      <c r="AR3429">
        <v>0</v>
      </c>
      <c r="AS3429">
        <v>0</v>
      </c>
      <c r="AT3429">
        <v>3.4590000000000001</v>
      </c>
      <c r="AX3429" t="str">
        <f>"E000311250"</f>
        <v>E000311250</v>
      </c>
      <c r="BD3429" t="str">
        <f>"ערן שלו"</f>
        <v>ערן שלו</v>
      </c>
    </row>
    <row r="3430" spans="1:56" x14ac:dyDescent="0.3">
      <c r="A3430" s="1">
        <v>44104</v>
      </c>
      <c r="B3430" t="str">
        <f>"SI206000973"</f>
        <v>SI206000973</v>
      </c>
      <c r="C3430" t="str">
        <f>"PR20000348"</f>
        <v>PR20000348</v>
      </c>
      <c r="E3430" t="str">
        <f>"Y"</f>
        <v>Y</v>
      </c>
      <c r="F3430" t="str">
        <f>"חשבוניות מרכזות"</f>
        <v>חשבוניות מרכזות</v>
      </c>
      <c r="G3430" t="str">
        <f>"700065"</f>
        <v>700065</v>
      </c>
      <c r="H3430" t="str">
        <f>"אלתא מערכות בע""מ"</f>
        <v>אלתא מערכות בע"מ</v>
      </c>
      <c r="I3430" t="str">
        <f>"10"</f>
        <v>10</v>
      </c>
      <c r="J3430" t="str">
        <f>"OP-AR01782"</f>
        <v>OP-AR01782</v>
      </c>
      <c r="K3430" t="str">
        <f>"1039V306-002 HARNESS WP306 - POWER 320VDC PEDPNL"</f>
        <v>1039V306-002 HARNESS WP306 - POWER 320VDC PEDPNL</v>
      </c>
      <c r="L3430">
        <v>2</v>
      </c>
      <c r="M3430" t="str">
        <f>"יח"</f>
        <v>יח</v>
      </c>
      <c r="N3430">
        <v>2</v>
      </c>
      <c r="O3430" t="str">
        <f>"יח"</f>
        <v>יח</v>
      </c>
      <c r="P3430">
        <v>978.64</v>
      </c>
      <c r="Q3430" t="str">
        <f>"$"</f>
        <v>$</v>
      </c>
      <c r="R3430" t="str">
        <f>"הזמנה"</f>
        <v>הזמנה</v>
      </c>
      <c r="S3430">
        <v>0</v>
      </c>
      <c r="T3430" s="2">
        <v>1957.28</v>
      </c>
      <c r="U3430">
        <v>0</v>
      </c>
      <c r="V3430" s="2">
        <v>1957.28</v>
      </c>
      <c r="W3430" t="str">
        <f>"$"</f>
        <v>$</v>
      </c>
      <c r="X3430">
        <v>0</v>
      </c>
      <c r="Y3430">
        <v>0</v>
      </c>
      <c r="Z3430">
        <v>0</v>
      </c>
      <c r="AA3430" t="str">
        <f>"Y"</f>
        <v>Y</v>
      </c>
      <c r="AB3430" t="str">
        <f>"SO20000201"</f>
        <v>SO20000201</v>
      </c>
      <c r="AC3430">
        <v>48</v>
      </c>
      <c r="AD3430" s="1">
        <v>43970</v>
      </c>
      <c r="AE3430" t="str">
        <f>"SH20001309"</f>
        <v>SH20001309</v>
      </c>
      <c r="AF3430" t="str">
        <f>"משלוחים ללקוח"</f>
        <v>משלוחים ללקוח</v>
      </c>
      <c r="AG3430" s="1">
        <v>44103</v>
      </c>
      <c r="AM3430" t="str">
        <f>"10"</f>
        <v>10</v>
      </c>
      <c r="AN3430" t="str">
        <f>"500000"</f>
        <v>500000</v>
      </c>
      <c r="AO3430" t="str">
        <f>"הכנסות  מלקוחות"</f>
        <v>הכנסות  מלקוחות</v>
      </c>
      <c r="AQ3430" t="str">
        <f>"034"</f>
        <v>034</v>
      </c>
      <c r="AR3430">
        <v>0</v>
      </c>
      <c r="AS3430">
        <v>0</v>
      </c>
      <c r="AT3430">
        <v>3.4590000000000001</v>
      </c>
      <c r="AX3430" t="str">
        <f>"E000311250"</f>
        <v>E000311250</v>
      </c>
      <c r="BD3430" t="str">
        <f>"ערן שלו"</f>
        <v>ערן שלו</v>
      </c>
    </row>
    <row r="3431" spans="1:56" x14ac:dyDescent="0.3">
      <c r="A3431" s="1">
        <v>44104</v>
      </c>
      <c r="B3431" t="str">
        <f>"SI206000973"</f>
        <v>SI206000973</v>
      </c>
      <c r="C3431" t="str">
        <f>"PR20000348"</f>
        <v>PR20000348</v>
      </c>
      <c r="E3431" t="str">
        <f>"Y"</f>
        <v>Y</v>
      </c>
      <c r="F3431" t="str">
        <f>"חשבוניות מרכזות"</f>
        <v>חשבוניות מרכזות</v>
      </c>
      <c r="G3431" t="str">
        <f>"700065"</f>
        <v>700065</v>
      </c>
      <c r="H3431" t="str">
        <f>"אלתא מערכות בע""מ"</f>
        <v>אלתא מערכות בע"מ</v>
      </c>
      <c r="I3431" t="str">
        <f>"10"</f>
        <v>10</v>
      </c>
      <c r="J3431" t="str">
        <f>"OP-AR01787"</f>
        <v>OP-AR01787</v>
      </c>
      <c r="K3431" t="str">
        <f>"1039V378-002 HARNESS WP378 - DATA AFT COMD TO LD"</f>
        <v>1039V378-002 HARNESS WP378 - DATA AFT COMD TO LD</v>
      </c>
      <c r="L3431">
        <v>3</v>
      </c>
      <c r="M3431" t="str">
        <f>"יח"</f>
        <v>יח</v>
      </c>
      <c r="N3431">
        <v>3</v>
      </c>
      <c r="O3431" t="str">
        <f>"יח"</f>
        <v>יח</v>
      </c>
      <c r="P3431">
        <v>857.32</v>
      </c>
      <c r="Q3431" t="str">
        <f>"$"</f>
        <v>$</v>
      </c>
      <c r="R3431" t="str">
        <f>"הזמנה"</f>
        <v>הזמנה</v>
      </c>
      <c r="S3431">
        <v>0</v>
      </c>
      <c r="T3431" s="2">
        <v>2571.96</v>
      </c>
      <c r="U3431">
        <v>0</v>
      </c>
      <c r="V3431" s="2">
        <v>2571.96</v>
      </c>
      <c r="W3431" t="str">
        <f>"$"</f>
        <v>$</v>
      </c>
      <c r="X3431">
        <v>0</v>
      </c>
      <c r="Y3431">
        <v>0</v>
      </c>
      <c r="Z3431">
        <v>0</v>
      </c>
      <c r="AA3431" t="str">
        <f>"Y"</f>
        <v>Y</v>
      </c>
      <c r="AB3431" t="str">
        <f>"SO20000201"</f>
        <v>SO20000201</v>
      </c>
      <c r="AC3431">
        <v>53</v>
      </c>
      <c r="AD3431" s="1">
        <v>43970</v>
      </c>
      <c r="AE3431" t="str">
        <f>"SH20001309"</f>
        <v>SH20001309</v>
      </c>
      <c r="AF3431" t="str">
        <f>"משלוחים ללקוח"</f>
        <v>משלוחים ללקוח</v>
      </c>
      <c r="AG3431" s="1">
        <v>44103</v>
      </c>
      <c r="AM3431" t="str">
        <f>"10"</f>
        <v>10</v>
      </c>
      <c r="AN3431" t="str">
        <f>"500000"</f>
        <v>500000</v>
      </c>
      <c r="AO3431" t="str">
        <f>"הכנסות  מלקוחות"</f>
        <v>הכנסות  מלקוחות</v>
      </c>
      <c r="AQ3431" t="str">
        <f>"034"</f>
        <v>034</v>
      </c>
      <c r="AR3431">
        <v>0</v>
      </c>
      <c r="AS3431">
        <v>0</v>
      </c>
      <c r="AT3431">
        <v>3.4590000000000001</v>
      </c>
      <c r="AX3431" t="str">
        <f>"E000311250"</f>
        <v>E000311250</v>
      </c>
      <c r="BD3431" t="str">
        <f>"ערן שלו"</f>
        <v>ערן שלו</v>
      </c>
    </row>
    <row r="3432" spans="1:56" x14ac:dyDescent="0.3">
      <c r="A3432" s="1">
        <v>44104</v>
      </c>
      <c r="B3432" t="str">
        <f>"SI206000973"</f>
        <v>SI206000973</v>
      </c>
      <c r="C3432" t="str">
        <f>"PR20000348"</f>
        <v>PR20000348</v>
      </c>
      <c r="E3432" t="str">
        <f>"Y"</f>
        <v>Y</v>
      </c>
      <c r="F3432" t="str">
        <f>"חשבוניות מרכזות"</f>
        <v>חשבוניות מרכזות</v>
      </c>
      <c r="G3432" t="str">
        <f>"700065"</f>
        <v>700065</v>
      </c>
      <c r="H3432" t="str">
        <f>"אלתא מערכות בע""מ"</f>
        <v>אלתא מערכות בע"מ</v>
      </c>
      <c r="I3432" t="str">
        <f>"10"</f>
        <v>10</v>
      </c>
      <c r="J3432" t="str">
        <f>"OP-AR01793"</f>
        <v>OP-AR01793</v>
      </c>
      <c r="K3432" t="str">
        <f>"1039V303-002 HARNESS WP303 - POWER 320VDC PEDPNL"</f>
        <v>1039V303-002 HARNESS WP303 - POWER 320VDC PEDPNL</v>
      </c>
      <c r="L3432">
        <v>2</v>
      </c>
      <c r="M3432" t="str">
        <f>"יח"</f>
        <v>יח</v>
      </c>
      <c r="N3432">
        <v>2</v>
      </c>
      <c r="O3432" t="str">
        <f>"יח"</f>
        <v>יח</v>
      </c>
      <c r="P3432">
        <v>978.64</v>
      </c>
      <c r="Q3432" t="str">
        <f>"$"</f>
        <v>$</v>
      </c>
      <c r="R3432" t="str">
        <f>"הזמנה"</f>
        <v>הזמנה</v>
      </c>
      <c r="S3432">
        <v>0</v>
      </c>
      <c r="T3432" s="2">
        <v>1957.28</v>
      </c>
      <c r="U3432">
        <v>0</v>
      </c>
      <c r="V3432" s="2">
        <v>1957.28</v>
      </c>
      <c r="W3432" t="str">
        <f>"$"</f>
        <v>$</v>
      </c>
      <c r="X3432">
        <v>0</v>
      </c>
      <c r="Y3432">
        <v>0</v>
      </c>
      <c r="Z3432">
        <v>0</v>
      </c>
      <c r="AA3432" t="str">
        <f>"Y"</f>
        <v>Y</v>
      </c>
      <c r="AB3432" t="str">
        <f>"SO20000201"</f>
        <v>SO20000201</v>
      </c>
      <c r="AC3432">
        <v>58</v>
      </c>
      <c r="AD3432" s="1">
        <v>43970</v>
      </c>
      <c r="AE3432" t="str">
        <f>"SH20001309"</f>
        <v>SH20001309</v>
      </c>
      <c r="AF3432" t="str">
        <f>"משלוחים ללקוח"</f>
        <v>משלוחים ללקוח</v>
      </c>
      <c r="AG3432" s="1">
        <v>44103</v>
      </c>
      <c r="AM3432" t="str">
        <f>"10"</f>
        <v>10</v>
      </c>
      <c r="AN3432" t="str">
        <f>"500000"</f>
        <v>500000</v>
      </c>
      <c r="AO3432" t="str">
        <f>"הכנסות  מלקוחות"</f>
        <v>הכנסות  מלקוחות</v>
      </c>
      <c r="AQ3432" t="str">
        <f>"034"</f>
        <v>034</v>
      </c>
      <c r="AR3432">
        <v>0</v>
      </c>
      <c r="AS3432">
        <v>0</v>
      </c>
      <c r="AT3432">
        <v>3.4590000000000001</v>
      </c>
      <c r="AX3432" t="str">
        <f>"E000311250"</f>
        <v>E000311250</v>
      </c>
      <c r="BD3432" t="str">
        <f>"ערן שלו"</f>
        <v>ערן שלו</v>
      </c>
    </row>
    <row r="3433" spans="1:56" x14ac:dyDescent="0.3">
      <c r="A3433" s="1">
        <v>44103</v>
      </c>
      <c r="B3433" t="str">
        <f>"SI206000959"</f>
        <v>SI206000959</v>
      </c>
      <c r="C3433" t="str">
        <f>"PR20000121"</f>
        <v>PR20000121</v>
      </c>
      <c r="D3433" t="str">
        <f>"PR20000121"</f>
        <v>PR20000121</v>
      </c>
      <c r="E3433" t="str">
        <f>"Y"</f>
        <v>Y</v>
      </c>
      <c r="F3433" t="str">
        <f>"חשבוניות מרכזות"</f>
        <v>חשבוניות מרכזות</v>
      </c>
      <c r="G3433" t="str">
        <f>"700065"</f>
        <v>700065</v>
      </c>
      <c r="H3433" t="str">
        <f>"אלתא מערכות בע""מ"</f>
        <v>אלתא מערכות בע"מ</v>
      </c>
      <c r="I3433" t="str">
        <f>"01"</f>
        <v>01</v>
      </c>
      <c r="J3433" t="str">
        <f>"999"</f>
        <v>999</v>
      </c>
      <c r="K3433" t="str">
        <f>"אספקת פריטים לאתר-יתרה"</f>
        <v>אספקת פריטים לאתר-יתרה</v>
      </c>
      <c r="L3433">
        <v>0.94</v>
      </c>
      <c r="M3433" t="str">
        <f>"חל"</f>
        <v>חל</v>
      </c>
      <c r="N3433">
        <v>0.94</v>
      </c>
      <c r="O3433" t="str">
        <f>"חל"</f>
        <v>חל</v>
      </c>
      <c r="P3433" s="2">
        <v>81061.48</v>
      </c>
      <c r="Q3433" t="str">
        <f>"$"</f>
        <v>$</v>
      </c>
      <c r="R3433" t="str">
        <f>"הזמנה"</f>
        <v>הזמנה</v>
      </c>
      <c r="S3433">
        <v>0</v>
      </c>
      <c r="T3433" s="2">
        <v>76197.789999999994</v>
      </c>
      <c r="U3433">
        <v>0</v>
      </c>
      <c r="V3433" s="2">
        <v>76197.789999999994</v>
      </c>
      <c r="W3433" t="str">
        <f>"$"</f>
        <v>$</v>
      </c>
      <c r="X3433">
        <v>0</v>
      </c>
      <c r="Y3433">
        <v>0</v>
      </c>
      <c r="Z3433">
        <v>0</v>
      </c>
      <c r="AA3433" t="str">
        <f>"Y"</f>
        <v>Y</v>
      </c>
      <c r="AB3433" t="str">
        <f>"SO20000102"</f>
        <v>SO20000102</v>
      </c>
      <c r="AC3433">
        <v>4</v>
      </c>
      <c r="AD3433" s="1">
        <v>43899</v>
      </c>
      <c r="AE3433" t="str">
        <f>"SH20001311"</f>
        <v>SH20001311</v>
      </c>
      <c r="AF3433" t="str">
        <f>"משלוחים ללקוח"</f>
        <v>משלוחים ללקוח</v>
      </c>
      <c r="AG3433" s="1">
        <v>44103</v>
      </c>
      <c r="AM3433" t="str">
        <f>"10"</f>
        <v>10</v>
      </c>
      <c r="AN3433" t="str">
        <f>"500000"</f>
        <v>500000</v>
      </c>
      <c r="AO3433" t="str">
        <f>"הכנסות  מלקוחות"</f>
        <v>הכנסות  מלקוחות</v>
      </c>
      <c r="AQ3433" t="str">
        <f>"030"</f>
        <v>030</v>
      </c>
      <c r="AR3433">
        <v>0</v>
      </c>
      <c r="AS3433">
        <v>0</v>
      </c>
      <c r="AT3433">
        <v>3.4670000000000001</v>
      </c>
      <c r="AX3433" t="str">
        <f>"E000305067"</f>
        <v>E000305067</v>
      </c>
      <c r="BD3433" t="str">
        <f>"דוד דהן"</f>
        <v>דוד דהן</v>
      </c>
    </row>
    <row r="3434" spans="1:56" x14ac:dyDescent="0.3">
      <c r="A3434" s="1">
        <v>44103</v>
      </c>
      <c r="B3434" t="str">
        <f>"SI206000959"</f>
        <v>SI206000959</v>
      </c>
      <c r="C3434" t="str">
        <f>"PR20000121"</f>
        <v>PR20000121</v>
      </c>
      <c r="D3434" t="str">
        <f>"PR20000121"</f>
        <v>PR20000121</v>
      </c>
      <c r="E3434" t="str">
        <f>"Y"</f>
        <v>Y</v>
      </c>
      <c r="F3434" t="str">
        <f>"חשבוניות מרכזות"</f>
        <v>חשבוניות מרכזות</v>
      </c>
      <c r="G3434" t="str">
        <f>"700065"</f>
        <v>700065</v>
      </c>
      <c r="H3434" t="str">
        <f>"אלתא מערכות בע""מ"</f>
        <v>אלתא מערכות בע"מ</v>
      </c>
      <c r="I3434" t="str">
        <f>"01"</f>
        <v>01</v>
      </c>
      <c r="J3434" t="str">
        <f>"999"</f>
        <v>999</v>
      </c>
      <c r="K3434" t="str">
        <f>"אספקת פריטים לאתר-יתרה"</f>
        <v>אספקת פריטים לאתר-יתרה</v>
      </c>
      <c r="L3434">
        <v>0.94</v>
      </c>
      <c r="M3434" t="str">
        <f>"חל"</f>
        <v>חל</v>
      </c>
      <c r="N3434">
        <v>0.94</v>
      </c>
      <c r="O3434" t="str">
        <f>"חל"</f>
        <v>חל</v>
      </c>
      <c r="P3434" s="2">
        <v>81061.48</v>
      </c>
      <c r="Q3434" t="str">
        <f>"$"</f>
        <v>$</v>
      </c>
      <c r="R3434" t="str">
        <f>"הזמנה"</f>
        <v>הזמנה</v>
      </c>
      <c r="S3434">
        <v>0</v>
      </c>
      <c r="T3434" s="2">
        <v>76197.789999999994</v>
      </c>
      <c r="U3434">
        <v>0</v>
      </c>
      <c r="V3434" s="2">
        <v>76197.789999999994</v>
      </c>
      <c r="W3434" t="str">
        <f>"$"</f>
        <v>$</v>
      </c>
      <c r="X3434">
        <v>0</v>
      </c>
      <c r="Y3434">
        <v>0</v>
      </c>
      <c r="Z3434">
        <v>0</v>
      </c>
      <c r="AA3434" t="str">
        <f>"Y"</f>
        <v>Y</v>
      </c>
      <c r="AB3434" t="str">
        <f>"SO20000102"</f>
        <v>SO20000102</v>
      </c>
      <c r="AC3434">
        <v>6</v>
      </c>
      <c r="AD3434" s="1">
        <v>43899</v>
      </c>
      <c r="AE3434" t="str">
        <f>"SH20001311"</f>
        <v>SH20001311</v>
      </c>
      <c r="AF3434" t="str">
        <f>"משלוחים ללקוח"</f>
        <v>משלוחים ללקוח</v>
      </c>
      <c r="AG3434" s="1">
        <v>44103</v>
      </c>
      <c r="AM3434" t="str">
        <f>"10"</f>
        <v>10</v>
      </c>
      <c r="AN3434" t="str">
        <f>"500000"</f>
        <v>500000</v>
      </c>
      <c r="AO3434" t="str">
        <f>"הכנסות  מלקוחות"</f>
        <v>הכנסות  מלקוחות</v>
      </c>
      <c r="AQ3434" t="str">
        <f>"030"</f>
        <v>030</v>
      </c>
      <c r="AR3434">
        <v>0</v>
      </c>
      <c r="AS3434">
        <v>0</v>
      </c>
      <c r="AT3434">
        <v>3.4670000000000001</v>
      </c>
      <c r="AX3434" t="str">
        <f>"E000305067"</f>
        <v>E000305067</v>
      </c>
      <c r="BD3434" t="str">
        <f>"דוד דהן"</f>
        <v>דוד דהן</v>
      </c>
    </row>
    <row r="3435" spans="1:56" x14ac:dyDescent="0.3">
      <c r="A3435" s="1">
        <v>44103</v>
      </c>
      <c r="B3435" t="str">
        <f>"SI206000959"</f>
        <v>SI206000959</v>
      </c>
      <c r="C3435" t="str">
        <f>"PR20000121"</f>
        <v>PR20000121</v>
      </c>
      <c r="D3435" t="str">
        <f>"PR20000121"</f>
        <v>PR20000121</v>
      </c>
      <c r="E3435" t="str">
        <f>"Y"</f>
        <v>Y</v>
      </c>
      <c r="F3435" t="str">
        <f>"חשבוניות מרכזות"</f>
        <v>חשבוניות מרכזות</v>
      </c>
      <c r="G3435" t="str">
        <f>"700065"</f>
        <v>700065</v>
      </c>
      <c r="H3435" t="str">
        <f>"אלתא מערכות בע""מ"</f>
        <v>אלתא מערכות בע"מ</v>
      </c>
      <c r="I3435" t="str">
        <f>"01"</f>
        <v>01</v>
      </c>
      <c r="J3435" t="str">
        <f>"999"</f>
        <v>999</v>
      </c>
      <c r="K3435" t="str">
        <f>"אספקת פריטים לאתר-יתרה"</f>
        <v>אספקת פריטים לאתר-יתרה</v>
      </c>
      <c r="L3435">
        <v>0.8</v>
      </c>
      <c r="M3435" t="str">
        <f>"חל"</f>
        <v>חל</v>
      </c>
      <c r="N3435">
        <v>0.8</v>
      </c>
      <c r="O3435" t="str">
        <f>"חל"</f>
        <v>חל</v>
      </c>
      <c r="P3435" s="2">
        <v>166183.29</v>
      </c>
      <c r="Q3435" t="str">
        <f>"$"</f>
        <v>$</v>
      </c>
      <c r="R3435" t="str">
        <f>"הזמנה"</f>
        <v>הזמנה</v>
      </c>
      <c r="S3435">
        <v>0</v>
      </c>
      <c r="T3435" s="2">
        <v>132946.63</v>
      </c>
      <c r="U3435">
        <v>0</v>
      </c>
      <c r="V3435" s="2">
        <v>132946.63</v>
      </c>
      <c r="W3435" t="str">
        <f>"$"</f>
        <v>$</v>
      </c>
      <c r="X3435">
        <v>0</v>
      </c>
      <c r="Y3435">
        <v>0</v>
      </c>
      <c r="Z3435">
        <v>0</v>
      </c>
      <c r="AA3435" t="str">
        <f>"Y"</f>
        <v>Y</v>
      </c>
      <c r="AB3435" t="str">
        <f>"SO20000102"</f>
        <v>SO20000102</v>
      </c>
      <c r="AC3435">
        <v>7</v>
      </c>
      <c r="AD3435" s="1">
        <v>43899</v>
      </c>
      <c r="AE3435" t="str">
        <f>"SH20001311"</f>
        <v>SH20001311</v>
      </c>
      <c r="AF3435" t="str">
        <f>"משלוחים ללקוח"</f>
        <v>משלוחים ללקוח</v>
      </c>
      <c r="AG3435" s="1">
        <v>44103</v>
      </c>
      <c r="AM3435" t="str">
        <f>"10"</f>
        <v>10</v>
      </c>
      <c r="AN3435" t="str">
        <f>"500000"</f>
        <v>500000</v>
      </c>
      <c r="AO3435" t="str">
        <f>"הכנסות  מלקוחות"</f>
        <v>הכנסות  מלקוחות</v>
      </c>
      <c r="AQ3435" t="str">
        <f>"030"</f>
        <v>030</v>
      </c>
      <c r="AR3435">
        <v>0</v>
      </c>
      <c r="AS3435">
        <v>0</v>
      </c>
      <c r="AT3435">
        <v>3.4670000000000001</v>
      </c>
      <c r="AX3435" t="str">
        <f>"E000305067"</f>
        <v>E000305067</v>
      </c>
      <c r="BD3435" t="str">
        <f>"דוד דהן"</f>
        <v>דוד דהן</v>
      </c>
    </row>
    <row r="3436" spans="1:56" x14ac:dyDescent="0.3">
      <c r="A3436" s="1">
        <v>44103</v>
      </c>
      <c r="B3436" t="str">
        <f>"SI206000958"</f>
        <v>SI206000958</v>
      </c>
      <c r="C3436" t="str">
        <f>"PR20000387"</f>
        <v>PR20000387</v>
      </c>
      <c r="D3436" t="str">
        <f>"PR20000387"</f>
        <v>PR20000387</v>
      </c>
      <c r="E3436" t="str">
        <f>"Y"</f>
        <v>Y</v>
      </c>
      <c r="F3436" t="str">
        <f>"חשבוניות מרכזות"</f>
        <v>חשבוניות מרכזות</v>
      </c>
      <c r="G3436" t="str">
        <f>"700065"</f>
        <v>700065</v>
      </c>
      <c r="H3436" t="str">
        <f>"אלתא מערכות בע""מ"</f>
        <v>אלתא מערכות בע"מ</v>
      </c>
      <c r="I3436" t="str">
        <f>"10"</f>
        <v>10</v>
      </c>
      <c r="J3436" t="str">
        <f>"OP-AR01840"</f>
        <v>OP-AR01840</v>
      </c>
      <c r="K3436" t="str">
        <f>"NRE FOR E000314316"</f>
        <v>NRE FOR E000314316</v>
      </c>
      <c r="L3436">
        <v>1</v>
      </c>
      <c r="M3436" t="str">
        <f>"יח"</f>
        <v>יח</v>
      </c>
      <c r="N3436">
        <v>1</v>
      </c>
      <c r="O3436" t="str">
        <f>"יח"</f>
        <v>יח</v>
      </c>
      <c r="P3436">
        <v>350</v>
      </c>
      <c r="Q3436" t="str">
        <f>"$"</f>
        <v>$</v>
      </c>
      <c r="R3436" t="str">
        <f>"הזמנה"</f>
        <v>הזמנה</v>
      </c>
      <c r="S3436">
        <v>0</v>
      </c>
      <c r="T3436">
        <v>350</v>
      </c>
      <c r="U3436">
        <v>0</v>
      </c>
      <c r="V3436">
        <v>350</v>
      </c>
      <c r="W3436" t="str">
        <f>"$"</f>
        <v>$</v>
      </c>
      <c r="X3436">
        <v>0</v>
      </c>
      <c r="Y3436">
        <v>0</v>
      </c>
      <c r="Z3436">
        <v>0</v>
      </c>
      <c r="AA3436" t="str">
        <f>"Y"</f>
        <v>Y</v>
      </c>
      <c r="AB3436" t="str">
        <f>"SO20000247"</f>
        <v>SO20000247</v>
      </c>
      <c r="AC3436">
        <v>8</v>
      </c>
      <c r="AD3436" s="1">
        <v>43997</v>
      </c>
      <c r="AE3436" t="str">
        <f>"SH20001262"</f>
        <v>SH20001262</v>
      </c>
      <c r="AF3436" t="str">
        <f>"משלוחים ללקוח"</f>
        <v>משלוחים ללקוח</v>
      </c>
      <c r="AG3436" s="1">
        <v>44083</v>
      </c>
      <c r="AM3436" t="str">
        <f>"10"</f>
        <v>10</v>
      </c>
      <c r="AN3436" t="str">
        <f>"500000"</f>
        <v>500000</v>
      </c>
      <c r="AO3436" t="str">
        <f>"הכנסות  מלקוחות"</f>
        <v>הכנסות  מלקוחות</v>
      </c>
      <c r="AQ3436" t="str">
        <f>"034"</f>
        <v>034</v>
      </c>
      <c r="AR3436">
        <v>0</v>
      </c>
      <c r="AS3436">
        <v>0</v>
      </c>
      <c r="AT3436">
        <v>3.4670000000000001</v>
      </c>
      <c r="AX3436" t="str">
        <f>"E000314316"</f>
        <v>E000314316</v>
      </c>
      <c r="BD3436" t="str">
        <f>"ערן שלו"</f>
        <v>ערן שלו</v>
      </c>
    </row>
    <row r="3437" spans="1:56" x14ac:dyDescent="0.3">
      <c r="A3437" s="1">
        <v>44103</v>
      </c>
      <c r="B3437" t="str">
        <f>"SI206000957"</f>
        <v>SI206000957</v>
      </c>
      <c r="C3437" t="str">
        <f>"PR19000731"</f>
        <v>PR19000731</v>
      </c>
      <c r="E3437" t="str">
        <f>"Y"</f>
        <v>Y</v>
      </c>
      <c r="F3437" t="str">
        <f>"חשבוניות מרכזות"</f>
        <v>חשבוניות מרכזות</v>
      </c>
      <c r="G3437" t="str">
        <f>"700065"</f>
        <v>700065</v>
      </c>
      <c r="H3437" t="str">
        <f>"אלתא מערכות בע""מ"</f>
        <v>אלתא מערכות בע"מ</v>
      </c>
      <c r="I3437" t="str">
        <f>"10"</f>
        <v>10</v>
      </c>
      <c r="J3437" t="str">
        <f>"OP-AR01581"</f>
        <v>OP-AR01581</v>
      </c>
      <c r="K3437" t="str">
        <f>"9004W741-001 HARNESS WS101 SYSTEM POWER IN"</f>
        <v>9004W741-001 HARNESS WS101 SYSTEM POWER IN</v>
      </c>
      <c r="L3437">
        <v>2</v>
      </c>
      <c r="M3437" t="str">
        <f>"יח"</f>
        <v>יח</v>
      </c>
      <c r="N3437">
        <v>2</v>
      </c>
      <c r="O3437" t="str">
        <f>"יח"</f>
        <v>יח</v>
      </c>
      <c r="P3437">
        <v>903.94</v>
      </c>
      <c r="Q3437" t="str">
        <f>"$"</f>
        <v>$</v>
      </c>
      <c r="R3437" t="str">
        <f>"הזמנה"</f>
        <v>הזמנה</v>
      </c>
      <c r="S3437">
        <v>0</v>
      </c>
      <c r="T3437" s="2">
        <v>1807.88</v>
      </c>
      <c r="U3437">
        <v>0</v>
      </c>
      <c r="V3437" s="2">
        <v>1807.88</v>
      </c>
      <c r="W3437" t="str">
        <f>"$"</f>
        <v>$</v>
      </c>
      <c r="X3437">
        <v>0</v>
      </c>
      <c r="Y3437">
        <v>0</v>
      </c>
      <c r="Z3437">
        <v>0</v>
      </c>
      <c r="AA3437" t="str">
        <f>"Y"</f>
        <v>Y</v>
      </c>
      <c r="AB3437" t="str">
        <f>"SO19000524"</f>
        <v>SO19000524</v>
      </c>
      <c r="AC3437">
        <v>23</v>
      </c>
      <c r="AD3437" s="1">
        <v>43809</v>
      </c>
      <c r="AE3437" t="str">
        <f>"SH20001292"</f>
        <v>SH20001292</v>
      </c>
      <c r="AF3437" t="str">
        <f>"משלוחים ללקוח"</f>
        <v>משלוחים ללקוח</v>
      </c>
      <c r="AG3437" s="1">
        <v>44095</v>
      </c>
      <c r="AM3437" t="str">
        <f>"10"</f>
        <v>10</v>
      </c>
      <c r="AN3437" t="str">
        <f>"500000"</f>
        <v>500000</v>
      </c>
      <c r="AO3437" t="str">
        <f>"הכנסות  מלקוחות"</f>
        <v>הכנסות  מלקוחות</v>
      </c>
      <c r="AQ3437" t="str">
        <f>"034"</f>
        <v>034</v>
      </c>
      <c r="AR3437">
        <v>0</v>
      </c>
      <c r="AS3437">
        <v>0</v>
      </c>
      <c r="AT3437">
        <v>3.4670000000000001</v>
      </c>
      <c r="AX3437" t="str">
        <f>"E000300228"</f>
        <v>E000300228</v>
      </c>
      <c r="BD3437" t="str">
        <f>"ערן שלו"</f>
        <v>ערן שלו</v>
      </c>
    </row>
    <row r="3438" spans="1:56" x14ac:dyDescent="0.3">
      <c r="A3438" s="1">
        <v>44103</v>
      </c>
      <c r="B3438" t="str">
        <f>"SI206000957"</f>
        <v>SI206000957</v>
      </c>
      <c r="C3438" t="str">
        <f>"PR19000731"</f>
        <v>PR19000731</v>
      </c>
      <c r="E3438" t="str">
        <f>"Y"</f>
        <v>Y</v>
      </c>
      <c r="F3438" t="str">
        <f>"חשבוניות מרכזות"</f>
        <v>חשבוניות מרכזות</v>
      </c>
      <c r="G3438" t="str">
        <f>"700065"</f>
        <v>700065</v>
      </c>
      <c r="H3438" t="str">
        <f>"אלתא מערכות בע""מ"</f>
        <v>אלתא מערכות בע"מ</v>
      </c>
      <c r="I3438" t="str">
        <f>"10"</f>
        <v>10</v>
      </c>
      <c r="J3438" t="str">
        <f>"OP-AR01582"</f>
        <v>OP-AR01582</v>
      </c>
      <c r="K3438" t="str">
        <f>"9004W742-001 HARNESS WS102 RP-P2"</f>
        <v>9004W742-001 HARNESS WS102 RP-P2</v>
      </c>
      <c r="L3438">
        <v>5</v>
      </c>
      <c r="M3438" t="str">
        <f>"יח"</f>
        <v>יח</v>
      </c>
      <c r="N3438">
        <v>5</v>
      </c>
      <c r="O3438" t="str">
        <f>"יח"</f>
        <v>יח</v>
      </c>
      <c r="P3438" s="2">
        <v>2851.63</v>
      </c>
      <c r="Q3438" t="str">
        <f>"$"</f>
        <v>$</v>
      </c>
      <c r="R3438" t="str">
        <f>"הזמנה"</f>
        <v>הזמנה</v>
      </c>
      <c r="S3438">
        <v>0</v>
      </c>
      <c r="T3438" s="2">
        <v>14258.15</v>
      </c>
      <c r="U3438">
        <v>0</v>
      </c>
      <c r="V3438" s="2">
        <v>14258.15</v>
      </c>
      <c r="W3438" t="str">
        <f>"$"</f>
        <v>$</v>
      </c>
      <c r="X3438">
        <v>0</v>
      </c>
      <c r="Y3438">
        <v>0</v>
      </c>
      <c r="Z3438">
        <v>0</v>
      </c>
      <c r="AA3438" t="str">
        <f>"Y"</f>
        <v>Y</v>
      </c>
      <c r="AB3438" t="str">
        <f>"SO19000524"</f>
        <v>SO19000524</v>
      </c>
      <c r="AC3438">
        <v>27</v>
      </c>
      <c r="AD3438" s="1">
        <v>43809</v>
      </c>
      <c r="AE3438" t="str">
        <f>"SH20001292"</f>
        <v>SH20001292</v>
      </c>
      <c r="AF3438" t="str">
        <f>"משלוחים ללקוח"</f>
        <v>משלוחים ללקוח</v>
      </c>
      <c r="AG3438" s="1">
        <v>44095</v>
      </c>
      <c r="AM3438" t="str">
        <f>"10"</f>
        <v>10</v>
      </c>
      <c r="AN3438" t="str">
        <f>"500000"</f>
        <v>500000</v>
      </c>
      <c r="AO3438" t="str">
        <f>"הכנסות  מלקוחות"</f>
        <v>הכנסות  מלקוחות</v>
      </c>
      <c r="AQ3438" t="str">
        <f>"034"</f>
        <v>034</v>
      </c>
      <c r="AR3438">
        <v>0</v>
      </c>
      <c r="AS3438">
        <v>0</v>
      </c>
      <c r="AT3438">
        <v>3.4670000000000001</v>
      </c>
      <c r="AX3438" t="str">
        <f>"E000300228"</f>
        <v>E000300228</v>
      </c>
      <c r="BD3438" t="str">
        <f>"ערן שלו"</f>
        <v>ערן שלו</v>
      </c>
    </row>
    <row r="3439" spans="1:56" x14ac:dyDescent="0.3">
      <c r="A3439" s="1">
        <v>44103</v>
      </c>
      <c r="B3439" t="str">
        <f>"SI206000957"</f>
        <v>SI206000957</v>
      </c>
      <c r="C3439" t="str">
        <f>"PR19000731"</f>
        <v>PR19000731</v>
      </c>
      <c r="E3439" t="str">
        <f>"Y"</f>
        <v>Y</v>
      </c>
      <c r="F3439" t="str">
        <f>"חשבוניות מרכזות"</f>
        <v>חשבוניות מרכזות</v>
      </c>
      <c r="G3439" t="str">
        <f>"700065"</f>
        <v>700065</v>
      </c>
      <c r="H3439" t="str">
        <f>"אלתא מערכות בע""מ"</f>
        <v>אלתא מערכות בע"מ</v>
      </c>
      <c r="I3439" t="str">
        <f>"10"</f>
        <v>10</v>
      </c>
      <c r="J3439" t="str">
        <f>"OP-AR01588"</f>
        <v>OP-AR01588</v>
      </c>
      <c r="K3439" t="str">
        <f>"9004W749-001 HARNESS WS109 TMS INNER CONNECTIONS"</f>
        <v>9004W749-001 HARNESS WS109 TMS INNER CONNECTIONS</v>
      </c>
      <c r="L3439">
        <v>5</v>
      </c>
      <c r="M3439" t="str">
        <f>"יח"</f>
        <v>יח</v>
      </c>
      <c r="N3439">
        <v>5</v>
      </c>
      <c r="O3439" t="str">
        <f>"יח"</f>
        <v>יח</v>
      </c>
      <c r="P3439" s="2">
        <v>1602.3</v>
      </c>
      <c r="Q3439" t="str">
        <f>"$"</f>
        <v>$</v>
      </c>
      <c r="R3439" t="str">
        <f>"הזמנה"</f>
        <v>הזמנה</v>
      </c>
      <c r="S3439">
        <v>0</v>
      </c>
      <c r="T3439" s="2">
        <v>8011.5</v>
      </c>
      <c r="U3439">
        <v>0</v>
      </c>
      <c r="V3439" s="2">
        <v>8011.5</v>
      </c>
      <c r="W3439" t="str">
        <f>"$"</f>
        <v>$</v>
      </c>
      <c r="X3439">
        <v>0</v>
      </c>
      <c r="Y3439">
        <v>0</v>
      </c>
      <c r="Z3439">
        <v>0</v>
      </c>
      <c r="AA3439" t="str">
        <f>"Y"</f>
        <v>Y</v>
      </c>
      <c r="AB3439" t="str">
        <f>"SO19000524"</f>
        <v>SO19000524</v>
      </c>
      <c r="AC3439">
        <v>42</v>
      </c>
      <c r="AD3439" s="1">
        <v>43809</v>
      </c>
      <c r="AE3439" t="str">
        <f>"SH20001292"</f>
        <v>SH20001292</v>
      </c>
      <c r="AF3439" t="str">
        <f>"משלוחים ללקוח"</f>
        <v>משלוחים ללקוח</v>
      </c>
      <c r="AG3439" s="1">
        <v>44095</v>
      </c>
      <c r="AM3439" t="str">
        <f>"10"</f>
        <v>10</v>
      </c>
      <c r="AN3439" t="str">
        <f>"500000"</f>
        <v>500000</v>
      </c>
      <c r="AO3439" t="str">
        <f>"הכנסות  מלקוחות"</f>
        <v>הכנסות  מלקוחות</v>
      </c>
      <c r="AQ3439" t="str">
        <f>"034"</f>
        <v>034</v>
      </c>
      <c r="AR3439">
        <v>0</v>
      </c>
      <c r="AS3439">
        <v>0</v>
      </c>
      <c r="AT3439">
        <v>3.4670000000000001</v>
      </c>
      <c r="AX3439" t="str">
        <f>"E000300228"</f>
        <v>E000300228</v>
      </c>
      <c r="BD3439" t="str">
        <f>"ערן שלו"</f>
        <v>ערן שלו</v>
      </c>
    </row>
    <row r="3440" spans="1:56" x14ac:dyDescent="0.3">
      <c r="A3440" s="1">
        <v>44103</v>
      </c>
      <c r="B3440" t="str">
        <f>"SI206000957"</f>
        <v>SI206000957</v>
      </c>
      <c r="C3440" t="str">
        <f>"PR19000731"</f>
        <v>PR19000731</v>
      </c>
      <c r="E3440" t="str">
        <f>"Y"</f>
        <v>Y</v>
      </c>
      <c r="F3440" t="str">
        <f>"חשבוניות מרכזות"</f>
        <v>חשבוניות מרכזות</v>
      </c>
      <c r="G3440" t="str">
        <f>"700065"</f>
        <v>700065</v>
      </c>
      <c r="H3440" t="str">
        <f>"אלתא מערכות בע""מ"</f>
        <v>אלתא מערכות בע"מ</v>
      </c>
      <c r="I3440" t="str">
        <f>"10"</f>
        <v>10</v>
      </c>
      <c r="J3440" t="str">
        <f>"OP-AR01590"</f>
        <v>OP-AR01590</v>
      </c>
      <c r="K3440" t="str">
        <f>"9004W751-001 HARNESS WS191 TMS TO RBP"</f>
        <v>9004W751-001 HARNESS WS191 TMS TO RBP</v>
      </c>
      <c r="L3440">
        <v>2</v>
      </c>
      <c r="M3440" t="str">
        <f>"יח"</f>
        <v>יח</v>
      </c>
      <c r="N3440">
        <v>2</v>
      </c>
      <c r="O3440" t="str">
        <f>"יח"</f>
        <v>יח</v>
      </c>
      <c r="P3440">
        <v>959.52</v>
      </c>
      <c r="Q3440" t="str">
        <f>"$"</f>
        <v>$</v>
      </c>
      <c r="R3440" t="str">
        <f>"הזמנה"</f>
        <v>הזמנה</v>
      </c>
      <c r="S3440">
        <v>0</v>
      </c>
      <c r="T3440" s="2">
        <v>1919.04</v>
      </c>
      <c r="U3440">
        <v>0</v>
      </c>
      <c r="V3440" s="2">
        <v>1919.04</v>
      </c>
      <c r="W3440" t="str">
        <f>"$"</f>
        <v>$</v>
      </c>
      <c r="X3440">
        <v>0</v>
      </c>
      <c r="Y3440">
        <v>0</v>
      </c>
      <c r="Z3440">
        <v>0</v>
      </c>
      <c r="AA3440" t="str">
        <f>"Y"</f>
        <v>Y</v>
      </c>
      <c r="AB3440" t="str">
        <f>"SO19000524"</f>
        <v>SO19000524</v>
      </c>
      <c r="AC3440">
        <v>48</v>
      </c>
      <c r="AD3440" s="1">
        <v>43809</v>
      </c>
      <c r="AE3440" t="str">
        <f>"SH20001292"</f>
        <v>SH20001292</v>
      </c>
      <c r="AF3440" t="str">
        <f>"משלוחים ללקוח"</f>
        <v>משלוחים ללקוח</v>
      </c>
      <c r="AG3440" s="1">
        <v>44095</v>
      </c>
      <c r="AM3440" t="str">
        <f>"10"</f>
        <v>10</v>
      </c>
      <c r="AN3440" t="str">
        <f>"500000"</f>
        <v>500000</v>
      </c>
      <c r="AO3440" t="str">
        <f>"הכנסות  מלקוחות"</f>
        <v>הכנסות  מלקוחות</v>
      </c>
      <c r="AQ3440" t="str">
        <f>"034"</f>
        <v>034</v>
      </c>
      <c r="AR3440">
        <v>0</v>
      </c>
      <c r="AS3440">
        <v>0</v>
      </c>
      <c r="AT3440">
        <v>3.4670000000000001</v>
      </c>
      <c r="AX3440" t="str">
        <f>"E000300228"</f>
        <v>E000300228</v>
      </c>
      <c r="BD3440" t="str">
        <f>"ערן שלו"</f>
        <v>ערן שלו</v>
      </c>
    </row>
    <row r="3441" spans="1:56" x14ac:dyDescent="0.3">
      <c r="A3441" s="1">
        <v>44103</v>
      </c>
      <c r="B3441" t="str">
        <f>"SI206000956"</f>
        <v>SI206000956</v>
      </c>
      <c r="C3441" t="str">
        <f>"PR19000731"</f>
        <v>PR19000731</v>
      </c>
      <c r="E3441" t="str">
        <f>"Y"</f>
        <v>Y</v>
      </c>
      <c r="F3441" t="str">
        <f>"חשבוניות מרכזות"</f>
        <v>חשבוניות מרכזות</v>
      </c>
      <c r="G3441" t="str">
        <f>"700065"</f>
        <v>700065</v>
      </c>
      <c r="H3441" t="str">
        <f>"אלתא מערכות בע""מ"</f>
        <v>אלתא מערכות בע"מ</v>
      </c>
      <c r="I3441" t="str">
        <f>"10"</f>
        <v>10</v>
      </c>
      <c r="J3441" t="str">
        <f>"OP-AR01581"</f>
        <v>OP-AR01581</v>
      </c>
      <c r="K3441" t="str">
        <f>"9004W741-001 HARNESS WS101 SYSTEM POWER IN"</f>
        <v>9004W741-001 HARNESS WS101 SYSTEM POWER IN</v>
      </c>
      <c r="L3441">
        <v>-2</v>
      </c>
      <c r="M3441" t="str">
        <f>"יח"</f>
        <v>יח</v>
      </c>
      <c r="N3441">
        <v>-2</v>
      </c>
      <c r="O3441" t="str">
        <f>"יח"</f>
        <v>יח</v>
      </c>
      <c r="P3441">
        <v>903.94</v>
      </c>
      <c r="Q3441" t="str">
        <f>"$"</f>
        <v>$</v>
      </c>
      <c r="R3441" t="str">
        <f>"הזמנה"</f>
        <v>הזמנה</v>
      </c>
      <c r="S3441">
        <v>0</v>
      </c>
      <c r="T3441" s="2">
        <v>-1807.88</v>
      </c>
      <c r="U3441">
        <v>0</v>
      </c>
      <c r="V3441" s="2">
        <v>-1807.88</v>
      </c>
      <c r="W3441" t="str">
        <f>"$"</f>
        <v>$</v>
      </c>
      <c r="X3441">
        <v>0</v>
      </c>
      <c r="Y3441">
        <v>0</v>
      </c>
      <c r="Z3441">
        <v>0</v>
      </c>
      <c r="AA3441" t="str">
        <f>"Y"</f>
        <v>Y</v>
      </c>
      <c r="AC3441">
        <v>0</v>
      </c>
      <c r="AM3441" t="str">
        <f>"10"</f>
        <v>10</v>
      </c>
      <c r="AN3441" t="str">
        <f>"500000"</f>
        <v>500000</v>
      </c>
      <c r="AO3441" t="str">
        <f>"הכנסות  מלקוחות"</f>
        <v>הכנסות  מלקוחות</v>
      </c>
      <c r="AQ3441" t="str">
        <f>"034"</f>
        <v>034</v>
      </c>
      <c r="AR3441">
        <v>0</v>
      </c>
      <c r="AS3441">
        <v>0</v>
      </c>
      <c r="AT3441">
        <v>3.4670000000000001</v>
      </c>
      <c r="BB3441" t="str">
        <f>"Y"</f>
        <v>Y</v>
      </c>
      <c r="BD3441" t="str">
        <f>"ערן שלו"</f>
        <v>ערן שלו</v>
      </c>
    </row>
    <row r="3442" spans="1:56" x14ac:dyDescent="0.3">
      <c r="A3442" s="1">
        <v>44103</v>
      </c>
      <c r="B3442" t="str">
        <f>"SI206000956"</f>
        <v>SI206000956</v>
      </c>
      <c r="C3442" t="str">
        <f>"PR19000731"</f>
        <v>PR19000731</v>
      </c>
      <c r="E3442" t="str">
        <f>"Y"</f>
        <v>Y</v>
      </c>
      <c r="F3442" t="str">
        <f>"חשבוניות מרכזות"</f>
        <v>חשבוניות מרכזות</v>
      </c>
      <c r="G3442" t="str">
        <f>"700065"</f>
        <v>700065</v>
      </c>
      <c r="H3442" t="str">
        <f>"אלתא מערכות בע""מ"</f>
        <v>אלתא מערכות בע"מ</v>
      </c>
      <c r="I3442" t="str">
        <f>"10"</f>
        <v>10</v>
      </c>
      <c r="J3442" t="str">
        <f>"OP-AR01582"</f>
        <v>OP-AR01582</v>
      </c>
      <c r="K3442" t="str">
        <f>"9004W742-001 HARNESS WS102 RP-P2"</f>
        <v>9004W742-001 HARNESS WS102 RP-P2</v>
      </c>
      <c r="L3442">
        <v>-5</v>
      </c>
      <c r="M3442" t="str">
        <f>"יח"</f>
        <v>יח</v>
      </c>
      <c r="N3442">
        <v>-5</v>
      </c>
      <c r="O3442" t="str">
        <f>"יח"</f>
        <v>יח</v>
      </c>
      <c r="P3442" s="2">
        <v>2851.63</v>
      </c>
      <c r="Q3442" t="str">
        <f>"$"</f>
        <v>$</v>
      </c>
      <c r="R3442" t="str">
        <f>"הזמנה"</f>
        <v>הזמנה</v>
      </c>
      <c r="S3442">
        <v>0</v>
      </c>
      <c r="T3442" s="2">
        <v>-14258.15</v>
      </c>
      <c r="U3442">
        <v>0</v>
      </c>
      <c r="V3442" s="2">
        <v>-14258.15</v>
      </c>
      <c r="W3442" t="str">
        <f>"$"</f>
        <v>$</v>
      </c>
      <c r="X3442">
        <v>0</v>
      </c>
      <c r="Y3442">
        <v>0</v>
      </c>
      <c r="Z3442">
        <v>0</v>
      </c>
      <c r="AA3442" t="str">
        <f>"Y"</f>
        <v>Y</v>
      </c>
      <c r="AC3442">
        <v>0</v>
      </c>
      <c r="AM3442" t="str">
        <f>"10"</f>
        <v>10</v>
      </c>
      <c r="AN3442" t="str">
        <f>"500000"</f>
        <v>500000</v>
      </c>
      <c r="AO3442" t="str">
        <f>"הכנסות  מלקוחות"</f>
        <v>הכנסות  מלקוחות</v>
      </c>
      <c r="AQ3442" t="str">
        <f>"034"</f>
        <v>034</v>
      </c>
      <c r="AR3442">
        <v>0</v>
      </c>
      <c r="AS3442">
        <v>0</v>
      </c>
      <c r="AT3442">
        <v>3.4670000000000001</v>
      </c>
      <c r="BB3442" t="str">
        <f>"Y"</f>
        <v>Y</v>
      </c>
      <c r="BD3442" t="str">
        <f>"ערן שלו"</f>
        <v>ערן שלו</v>
      </c>
    </row>
    <row r="3443" spans="1:56" x14ac:dyDescent="0.3">
      <c r="A3443" s="1">
        <v>44103</v>
      </c>
      <c r="B3443" t="str">
        <f>"SI206000956"</f>
        <v>SI206000956</v>
      </c>
      <c r="C3443" t="str">
        <f>"PR19000731"</f>
        <v>PR19000731</v>
      </c>
      <c r="E3443" t="str">
        <f>"Y"</f>
        <v>Y</v>
      </c>
      <c r="F3443" t="str">
        <f>"חשבוניות מרכזות"</f>
        <v>חשבוניות מרכזות</v>
      </c>
      <c r="G3443" t="str">
        <f>"700065"</f>
        <v>700065</v>
      </c>
      <c r="H3443" t="str">
        <f>"אלתא מערכות בע""מ"</f>
        <v>אלתא מערכות בע"מ</v>
      </c>
      <c r="I3443" t="str">
        <f>"10"</f>
        <v>10</v>
      </c>
      <c r="J3443" t="str">
        <f>"OP-AR01585"</f>
        <v>OP-AR01585</v>
      </c>
      <c r="K3443" t="str">
        <f>"9004W745-001 HARNESS WS105 RP VIDEO SIGNALS"</f>
        <v>9004W745-001 HARNESS WS105 RP VIDEO SIGNALS</v>
      </c>
      <c r="L3443">
        <v>-1</v>
      </c>
      <c r="M3443" t="str">
        <f>"יח"</f>
        <v>יח</v>
      </c>
      <c r="N3443">
        <v>-1</v>
      </c>
      <c r="O3443" t="str">
        <f>"יח"</f>
        <v>יח</v>
      </c>
      <c r="P3443">
        <v>838.3</v>
      </c>
      <c r="Q3443" t="str">
        <f>"$"</f>
        <v>$</v>
      </c>
      <c r="R3443" t="str">
        <f>"הזמנה"</f>
        <v>הזמנה</v>
      </c>
      <c r="S3443">
        <v>0</v>
      </c>
      <c r="T3443">
        <v>-838.3</v>
      </c>
      <c r="U3443">
        <v>0</v>
      </c>
      <c r="V3443">
        <v>-838.3</v>
      </c>
      <c r="W3443" t="str">
        <f>"$"</f>
        <v>$</v>
      </c>
      <c r="X3443">
        <v>0</v>
      </c>
      <c r="Y3443">
        <v>0</v>
      </c>
      <c r="Z3443">
        <v>0</v>
      </c>
      <c r="AA3443" t="str">
        <f>"Y"</f>
        <v>Y</v>
      </c>
      <c r="AC3443">
        <v>0</v>
      </c>
      <c r="AM3443" t="str">
        <f>"10"</f>
        <v>10</v>
      </c>
      <c r="AN3443" t="str">
        <f>"500000"</f>
        <v>500000</v>
      </c>
      <c r="AO3443" t="str">
        <f>"הכנסות  מלקוחות"</f>
        <v>הכנסות  מלקוחות</v>
      </c>
      <c r="AQ3443" t="str">
        <f>"034"</f>
        <v>034</v>
      </c>
      <c r="AR3443">
        <v>0</v>
      </c>
      <c r="AS3443">
        <v>0</v>
      </c>
      <c r="AT3443">
        <v>3.4670000000000001</v>
      </c>
      <c r="BB3443" t="str">
        <f>"Y"</f>
        <v>Y</v>
      </c>
      <c r="BD3443" t="str">
        <f>"ערן שלו"</f>
        <v>ערן שלו</v>
      </c>
    </row>
    <row r="3444" spans="1:56" x14ac:dyDescent="0.3">
      <c r="A3444" s="1">
        <v>44103</v>
      </c>
      <c r="B3444" t="str">
        <f>"SI206000956"</f>
        <v>SI206000956</v>
      </c>
      <c r="C3444" t="str">
        <f>"PR19000731"</f>
        <v>PR19000731</v>
      </c>
      <c r="E3444" t="str">
        <f>"Y"</f>
        <v>Y</v>
      </c>
      <c r="F3444" t="str">
        <f>"חשבוניות מרכזות"</f>
        <v>חשבוניות מרכזות</v>
      </c>
      <c r="G3444" t="str">
        <f>"700065"</f>
        <v>700065</v>
      </c>
      <c r="H3444" t="str">
        <f>"אלתא מערכות בע""מ"</f>
        <v>אלתא מערכות בע"מ</v>
      </c>
      <c r="I3444" t="str">
        <f>"10"</f>
        <v>10</v>
      </c>
      <c r="J3444" t="str">
        <f>"OP-AR01588"</f>
        <v>OP-AR01588</v>
      </c>
      <c r="K3444" t="str">
        <f>"9004W749-001 HARNESS WS109 TMS INNER CONNECTIONS"</f>
        <v>9004W749-001 HARNESS WS109 TMS INNER CONNECTIONS</v>
      </c>
      <c r="L3444">
        <v>-5</v>
      </c>
      <c r="M3444" t="str">
        <f>"יח"</f>
        <v>יח</v>
      </c>
      <c r="N3444">
        <v>-5</v>
      </c>
      <c r="O3444" t="str">
        <f>"יח"</f>
        <v>יח</v>
      </c>
      <c r="P3444" s="2">
        <v>1602.3</v>
      </c>
      <c r="Q3444" t="str">
        <f>"$"</f>
        <v>$</v>
      </c>
      <c r="R3444" t="str">
        <f>"הזמנה"</f>
        <v>הזמנה</v>
      </c>
      <c r="S3444">
        <v>0</v>
      </c>
      <c r="T3444" s="2">
        <v>-8011.5</v>
      </c>
      <c r="U3444">
        <v>0</v>
      </c>
      <c r="V3444" s="2">
        <v>-8011.5</v>
      </c>
      <c r="W3444" t="str">
        <f>"$"</f>
        <v>$</v>
      </c>
      <c r="X3444">
        <v>0</v>
      </c>
      <c r="Y3444">
        <v>0</v>
      </c>
      <c r="Z3444">
        <v>0</v>
      </c>
      <c r="AA3444" t="str">
        <f>"Y"</f>
        <v>Y</v>
      </c>
      <c r="AC3444">
        <v>0</v>
      </c>
      <c r="AM3444" t="str">
        <f>"10"</f>
        <v>10</v>
      </c>
      <c r="AN3444" t="str">
        <f>"500000"</f>
        <v>500000</v>
      </c>
      <c r="AO3444" t="str">
        <f>"הכנסות  מלקוחות"</f>
        <v>הכנסות  מלקוחות</v>
      </c>
      <c r="AQ3444" t="str">
        <f>"034"</f>
        <v>034</v>
      </c>
      <c r="AR3444">
        <v>0</v>
      </c>
      <c r="AS3444">
        <v>0</v>
      </c>
      <c r="AT3444">
        <v>3.4670000000000001</v>
      </c>
      <c r="BB3444" t="str">
        <f>"Y"</f>
        <v>Y</v>
      </c>
      <c r="BD3444" t="str">
        <f>"ערן שלו"</f>
        <v>ערן שלו</v>
      </c>
    </row>
    <row r="3445" spans="1:56" x14ac:dyDescent="0.3">
      <c r="A3445" s="1">
        <v>44103</v>
      </c>
      <c r="B3445" t="str">
        <f>"SI206000956"</f>
        <v>SI206000956</v>
      </c>
      <c r="C3445" t="str">
        <f>"PR19000731"</f>
        <v>PR19000731</v>
      </c>
      <c r="E3445" t="str">
        <f>"Y"</f>
        <v>Y</v>
      </c>
      <c r="F3445" t="str">
        <f>"חשבוניות מרכזות"</f>
        <v>חשבוניות מרכזות</v>
      </c>
      <c r="G3445" t="str">
        <f>"700065"</f>
        <v>700065</v>
      </c>
      <c r="H3445" t="str">
        <f>"אלתא מערכות בע""מ"</f>
        <v>אלתא מערכות בע"מ</v>
      </c>
      <c r="I3445" t="str">
        <f>"10"</f>
        <v>10</v>
      </c>
      <c r="J3445" t="str">
        <f>"OP-AR01590"</f>
        <v>OP-AR01590</v>
      </c>
      <c r="K3445" t="str">
        <f>"9004W751-001 HARNESS WS191 TMS TO RBP"</f>
        <v>9004W751-001 HARNESS WS191 TMS TO RBP</v>
      </c>
      <c r="L3445">
        <v>-2</v>
      </c>
      <c r="M3445" t="str">
        <f>"יח"</f>
        <v>יח</v>
      </c>
      <c r="N3445">
        <v>-2</v>
      </c>
      <c r="O3445" t="str">
        <f>"יח"</f>
        <v>יח</v>
      </c>
      <c r="P3445">
        <v>959.52</v>
      </c>
      <c r="Q3445" t="str">
        <f>"$"</f>
        <v>$</v>
      </c>
      <c r="R3445" t="str">
        <f>"הזמנה"</f>
        <v>הזמנה</v>
      </c>
      <c r="S3445">
        <v>0</v>
      </c>
      <c r="T3445" s="2">
        <v>-1919.04</v>
      </c>
      <c r="U3445">
        <v>0</v>
      </c>
      <c r="V3445" s="2">
        <v>-1919.04</v>
      </c>
      <c r="W3445" t="str">
        <f>"$"</f>
        <v>$</v>
      </c>
      <c r="X3445">
        <v>0</v>
      </c>
      <c r="Y3445">
        <v>0</v>
      </c>
      <c r="Z3445">
        <v>0</v>
      </c>
      <c r="AA3445" t="str">
        <f>"Y"</f>
        <v>Y</v>
      </c>
      <c r="AC3445">
        <v>0</v>
      </c>
      <c r="AM3445" t="str">
        <f>"10"</f>
        <v>10</v>
      </c>
      <c r="AN3445" t="str">
        <f>"500000"</f>
        <v>500000</v>
      </c>
      <c r="AO3445" t="str">
        <f>"הכנסות  מלקוחות"</f>
        <v>הכנסות  מלקוחות</v>
      </c>
      <c r="AQ3445" t="str">
        <f>"034"</f>
        <v>034</v>
      </c>
      <c r="AR3445">
        <v>0</v>
      </c>
      <c r="AS3445">
        <v>0</v>
      </c>
      <c r="AT3445">
        <v>3.4670000000000001</v>
      </c>
      <c r="BB3445" t="str">
        <f>"Y"</f>
        <v>Y</v>
      </c>
      <c r="BD3445" t="str">
        <f>"ערן שלו"</f>
        <v>ערן שלו</v>
      </c>
    </row>
    <row r="3446" spans="1:56" x14ac:dyDescent="0.3">
      <c r="A3446" s="1">
        <v>44103</v>
      </c>
      <c r="B3446" t="str">
        <f>"SI206000946"</f>
        <v>SI206000946</v>
      </c>
      <c r="C3446" t="str">
        <f>"PR20000489"</f>
        <v>PR20000489</v>
      </c>
      <c r="E3446" t="str">
        <f>"Y"</f>
        <v>Y</v>
      </c>
      <c r="F3446" t="str">
        <f>"חשבוניות מרכזות"</f>
        <v>חשבוניות מרכזות</v>
      </c>
      <c r="G3446" t="str">
        <f>"700065"</f>
        <v>700065</v>
      </c>
      <c r="H3446" t="str">
        <f>"אלתא מערכות בע""מ"</f>
        <v>אלתא מערכות בע"מ</v>
      </c>
      <c r="I3446" t="str">
        <f>"10"</f>
        <v>10</v>
      </c>
      <c r="J3446" t="str">
        <f>"OP-AR01883"</f>
        <v>OP-AR01883</v>
      </c>
      <c r="K3446" t="str">
        <f>"1032F652-001 - HARNESS WB652 - LAB - EPU1 TO INS"</f>
        <v>1032F652-001 - HARNESS WB652 - LAB - EPU1 TO INS</v>
      </c>
      <c r="L3446">
        <v>2</v>
      </c>
      <c r="M3446" t="str">
        <f>"יח"</f>
        <v>יח</v>
      </c>
      <c r="N3446">
        <v>2</v>
      </c>
      <c r="O3446" t="str">
        <f>"יח"</f>
        <v>יח</v>
      </c>
      <c r="P3446">
        <v>556.78</v>
      </c>
      <c r="Q3446" t="str">
        <f>"$"</f>
        <v>$</v>
      </c>
      <c r="R3446" t="str">
        <f>"הזמנה"</f>
        <v>הזמנה</v>
      </c>
      <c r="S3446">
        <v>0</v>
      </c>
      <c r="T3446" s="2">
        <v>1113.56</v>
      </c>
      <c r="U3446">
        <v>0</v>
      </c>
      <c r="V3446" s="2">
        <v>1113.56</v>
      </c>
      <c r="W3446" t="str">
        <f>"$"</f>
        <v>$</v>
      </c>
      <c r="X3446">
        <v>0</v>
      </c>
      <c r="Y3446">
        <v>0</v>
      </c>
      <c r="Z3446">
        <v>0</v>
      </c>
      <c r="AA3446" t="str">
        <f>"Y"</f>
        <v>Y</v>
      </c>
      <c r="AB3446" t="str">
        <f>"SO20000291"</f>
        <v>SO20000291</v>
      </c>
      <c r="AC3446">
        <v>4</v>
      </c>
      <c r="AD3446" s="1">
        <v>44020</v>
      </c>
      <c r="AE3446" t="str">
        <f>"SH20001293"</f>
        <v>SH20001293</v>
      </c>
      <c r="AF3446" t="str">
        <f>"משלוחים ללקוח"</f>
        <v>משלוחים ללקוח</v>
      </c>
      <c r="AG3446" s="1">
        <v>44095</v>
      </c>
      <c r="AM3446" t="str">
        <f>"10"</f>
        <v>10</v>
      </c>
      <c r="AN3446" t="str">
        <f>"500000"</f>
        <v>500000</v>
      </c>
      <c r="AO3446" t="str">
        <f>"הכנסות  מלקוחות"</f>
        <v>הכנסות  מלקוחות</v>
      </c>
      <c r="AQ3446" t="str">
        <f>"034"</f>
        <v>034</v>
      </c>
      <c r="AR3446">
        <v>0</v>
      </c>
      <c r="AS3446">
        <v>0</v>
      </c>
      <c r="AT3446">
        <v>3.4670000000000001</v>
      </c>
      <c r="AX3446" t="str">
        <f>"E000315392"</f>
        <v>E000315392</v>
      </c>
      <c r="BD3446" t="str">
        <f>"ערן שלו"</f>
        <v>ערן שלו</v>
      </c>
    </row>
    <row r="3447" spans="1:56" x14ac:dyDescent="0.3">
      <c r="A3447" s="1">
        <v>44103</v>
      </c>
      <c r="B3447" t="str">
        <f>"SI206000946"</f>
        <v>SI206000946</v>
      </c>
      <c r="C3447" t="str">
        <f>"PR20000489"</f>
        <v>PR20000489</v>
      </c>
      <c r="E3447" t="str">
        <f>"Y"</f>
        <v>Y</v>
      </c>
      <c r="F3447" t="str">
        <f>"חשבוניות מרכזות"</f>
        <v>חשבוניות מרכזות</v>
      </c>
      <c r="G3447" t="str">
        <f>"700065"</f>
        <v>700065</v>
      </c>
      <c r="H3447" t="str">
        <f>"אלתא מערכות בע""מ"</f>
        <v>אלתא מערכות בע"מ</v>
      </c>
      <c r="I3447" t="str">
        <f>"10"</f>
        <v>10</v>
      </c>
      <c r="J3447" t="str">
        <f>"OP-AR01884"</f>
        <v>OP-AR01884</v>
      </c>
      <c r="K3447" t="str">
        <f>"1032F653-001 - HARNESS WB653 - LAB - EPU1 TO INS"</f>
        <v>1032F653-001 - HARNESS WB653 - LAB - EPU1 TO INS</v>
      </c>
      <c r="L3447">
        <v>2</v>
      </c>
      <c r="M3447" t="str">
        <f>"יח"</f>
        <v>יח</v>
      </c>
      <c r="N3447">
        <v>2</v>
      </c>
      <c r="O3447" t="str">
        <f>"יח"</f>
        <v>יח</v>
      </c>
      <c r="P3447">
        <v>565.83000000000004</v>
      </c>
      <c r="Q3447" t="str">
        <f>"$"</f>
        <v>$</v>
      </c>
      <c r="R3447" t="str">
        <f>"הזמנה"</f>
        <v>הזמנה</v>
      </c>
      <c r="S3447">
        <v>0</v>
      </c>
      <c r="T3447" s="2">
        <v>1131.6600000000001</v>
      </c>
      <c r="U3447">
        <v>0</v>
      </c>
      <c r="V3447" s="2">
        <v>1131.6600000000001</v>
      </c>
      <c r="W3447" t="str">
        <f>"$"</f>
        <v>$</v>
      </c>
      <c r="X3447">
        <v>0</v>
      </c>
      <c r="Y3447">
        <v>0</v>
      </c>
      <c r="Z3447">
        <v>0</v>
      </c>
      <c r="AA3447" t="str">
        <f>"Y"</f>
        <v>Y</v>
      </c>
      <c r="AB3447" t="str">
        <f>"SO20000291"</f>
        <v>SO20000291</v>
      </c>
      <c r="AC3447">
        <v>5</v>
      </c>
      <c r="AD3447" s="1">
        <v>44020</v>
      </c>
      <c r="AE3447" t="str">
        <f>"SH20001293"</f>
        <v>SH20001293</v>
      </c>
      <c r="AF3447" t="str">
        <f>"משלוחים ללקוח"</f>
        <v>משלוחים ללקוח</v>
      </c>
      <c r="AG3447" s="1">
        <v>44095</v>
      </c>
      <c r="AM3447" t="str">
        <f>"10"</f>
        <v>10</v>
      </c>
      <c r="AN3447" t="str">
        <f>"500000"</f>
        <v>500000</v>
      </c>
      <c r="AO3447" t="str">
        <f>"הכנסות  מלקוחות"</f>
        <v>הכנסות  מלקוחות</v>
      </c>
      <c r="AQ3447" t="str">
        <f>"034"</f>
        <v>034</v>
      </c>
      <c r="AR3447">
        <v>0</v>
      </c>
      <c r="AS3447">
        <v>0</v>
      </c>
      <c r="AT3447">
        <v>3.4670000000000001</v>
      </c>
      <c r="AX3447" t="str">
        <f>"E000315392"</f>
        <v>E000315392</v>
      </c>
      <c r="BD3447" t="str">
        <f>"ערן שלו"</f>
        <v>ערן שלו</v>
      </c>
    </row>
    <row r="3448" spans="1:56" x14ac:dyDescent="0.3">
      <c r="A3448" s="1">
        <v>44103</v>
      </c>
      <c r="B3448" t="str">
        <f>"SI206000945"</f>
        <v>SI206000945</v>
      </c>
      <c r="C3448" t="str">
        <f>"PR19000731"</f>
        <v>PR19000731</v>
      </c>
      <c r="E3448" t="str">
        <f>"Y"</f>
        <v>Y</v>
      </c>
      <c r="F3448" t="str">
        <f>"חשבוניות מרכזות"</f>
        <v>חשבוניות מרכזות</v>
      </c>
      <c r="G3448" t="str">
        <f>"700065"</f>
        <v>700065</v>
      </c>
      <c r="H3448" t="str">
        <f>"אלתא מערכות בע""מ"</f>
        <v>אלתא מערכות בע"מ</v>
      </c>
      <c r="I3448" t="str">
        <f>"10"</f>
        <v>10</v>
      </c>
      <c r="J3448" t="str">
        <f>"OP-AR01581"</f>
        <v>OP-AR01581</v>
      </c>
      <c r="K3448" t="str">
        <f>"9004W741-001 HARNESS WS101 SYSTEM POWER IN"</f>
        <v>9004W741-001 HARNESS WS101 SYSTEM POWER IN</v>
      </c>
      <c r="L3448">
        <v>2</v>
      </c>
      <c r="M3448" t="str">
        <f>"יח"</f>
        <v>יח</v>
      </c>
      <c r="N3448">
        <v>2</v>
      </c>
      <c r="O3448" t="str">
        <f>"יח"</f>
        <v>יח</v>
      </c>
      <c r="P3448">
        <v>903.94</v>
      </c>
      <c r="Q3448" t="str">
        <f>"$"</f>
        <v>$</v>
      </c>
      <c r="R3448" t="str">
        <f>"הזמנה"</f>
        <v>הזמנה</v>
      </c>
      <c r="S3448">
        <v>0</v>
      </c>
      <c r="T3448" s="2">
        <v>1807.88</v>
      </c>
      <c r="U3448">
        <v>0</v>
      </c>
      <c r="V3448" s="2">
        <v>1807.88</v>
      </c>
      <c r="W3448" t="str">
        <f>"$"</f>
        <v>$</v>
      </c>
      <c r="X3448">
        <v>0</v>
      </c>
      <c r="Y3448">
        <v>0</v>
      </c>
      <c r="Z3448">
        <v>0</v>
      </c>
      <c r="AA3448" t="str">
        <f>"Y"</f>
        <v>Y</v>
      </c>
      <c r="AC3448">
        <v>0</v>
      </c>
      <c r="AM3448" t="str">
        <f>"10"</f>
        <v>10</v>
      </c>
      <c r="AN3448" t="str">
        <f>"500000"</f>
        <v>500000</v>
      </c>
      <c r="AO3448" t="str">
        <f>"הכנסות  מלקוחות"</f>
        <v>הכנסות  מלקוחות</v>
      </c>
      <c r="AQ3448" t="str">
        <f>"034"</f>
        <v>034</v>
      </c>
      <c r="AR3448">
        <v>0</v>
      </c>
      <c r="AS3448">
        <v>0</v>
      </c>
      <c r="AT3448">
        <v>3.4670000000000001</v>
      </c>
      <c r="BB3448" t="str">
        <f>"Y"</f>
        <v>Y</v>
      </c>
      <c r="BD3448" t="str">
        <f>"ערן שלו"</f>
        <v>ערן שלו</v>
      </c>
    </row>
    <row r="3449" spans="1:56" x14ac:dyDescent="0.3">
      <c r="A3449" s="1">
        <v>44103</v>
      </c>
      <c r="B3449" t="str">
        <f>"SI206000945"</f>
        <v>SI206000945</v>
      </c>
      <c r="C3449" t="str">
        <f>"PR19000731"</f>
        <v>PR19000731</v>
      </c>
      <c r="E3449" t="str">
        <f>"Y"</f>
        <v>Y</v>
      </c>
      <c r="F3449" t="str">
        <f>"חשבוניות מרכזות"</f>
        <v>חשבוניות מרכזות</v>
      </c>
      <c r="G3449" t="str">
        <f>"700065"</f>
        <v>700065</v>
      </c>
      <c r="H3449" t="str">
        <f>"אלתא מערכות בע""מ"</f>
        <v>אלתא מערכות בע"מ</v>
      </c>
      <c r="I3449" t="str">
        <f>"10"</f>
        <v>10</v>
      </c>
      <c r="J3449" t="str">
        <f>"OP-AR01582"</f>
        <v>OP-AR01582</v>
      </c>
      <c r="K3449" t="str">
        <f>"9004W742-001 HARNESS WS102 RP-P2"</f>
        <v>9004W742-001 HARNESS WS102 RP-P2</v>
      </c>
      <c r="L3449">
        <v>5</v>
      </c>
      <c r="M3449" t="str">
        <f>"יח"</f>
        <v>יח</v>
      </c>
      <c r="N3449">
        <v>5</v>
      </c>
      <c r="O3449" t="str">
        <f>"יח"</f>
        <v>יח</v>
      </c>
      <c r="P3449" s="2">
        <v>2851.63</v>
      </c>
      <c r="Q3449" t="str">
        <f>"$"</f>
        <v>$</v>
      </c>
      <c r="R3449" t="str">
        <f>"הזמנה"</f>
        <v>הזמנה</v>
      </c>
      <c r="S3449">
        <v>0</v>
      </c>
      <c r="T3449" s="2">
        <v>14258.15</v>
      </c>
      <c r="U3449">
        <v>0</v>
      </c>
      <c r="V3449" s="2">
        <v>14258.15</v>
      </c>
      <c r="W3449" t="str">
        <f>"$"</f>
        <v>$</v>
      </c>
      <c r="X3449">
        <v>0</v>
      </c>
      <c r="Y3449">
        <v>0</v>
      </c>
      <c r="Z3449">
        <v>0</v>
      </c>
      <c r="AA3449" t="str">
        <f>"Y"</f>
        <v>Y</v>
      </c>
      <c r="AC3449">
        <v>0</v>
      </c>
      <c r="AM3449" t="str">
        <f>"10"</f>
        <v>10</v>
      </c>
      <c r="AN3449" t="str">
        <f>"500000"</f>
        <v>500000</v>
      </c>
      <c r="AO3449" t="str">
        <f>"הכנסות  מלקוחות"</f>
        <v>הכנסות  מלקוחות</v>
      </c>
      <c r="AQ3449" t="str">
        <f>"034"</f>
        <v>034</v>
      </c>
      <c r="AR3449">
        <v>0</v>
      </c>
      <c r="AS3449">
        <v>0</v>
      </c>
      <c r="AT3449">
        <v>3.4670000000000001</v>
      </c>
      <c r="BB3449" t="str">
        <f>"Y"</f>
        <v>Y</v>
      </c>
      <c r="BD3449" t="str">
        <f>"ערן שלו"</f>
        <v>ערן שלו</v>
      </c>
    </row>
    <row r="3450" spans="1:56" x14ac:dyDescent="0.3">
      <c r="A3450" s="1">
        <v>44103</v>
      </c>
      <c r="B3450" t="str">
        <f>"SI206000945"</f>
        <v>SI206000945</v>
      </c>
      <c r="C3450" t="str">
        <f>"PR19000731"</f>
        <v>PR19000731</v>
      </c>
      <c r="E3450" t="str">
        <f>"Y"</f>
        <v>Y</v>
      </c>
      <c r="F3450" t="str">
        <f>"חשבוניות מרכזות"</f>
        <v>חשבוניות מרכזות</v>
      </c>
      <c r="G3450" t="str">
        <f>"700065"</f>
        <v>700065</v>
      </c>
      <c r="H3450" t="str">
        <f>"אלתא מערכות בע""מ"</f>
        <v>אלתא מערכות בע"מ</v>
      </c>
      <c r="I3450" t="str">
        <f>"10"</f>
        <v>10</v>
      </c>
      <c r="J3450" t="str">
        <f>"OP-AR01585"</f>
        <v>OP-AR01585</v>
      </c>
      <c r="K3450" t="str">
        <f>"9004W745-001 HARNESS WS105 RP VIDEO SIGNALS"</f>
        <v>9004W745-001 HARNESS WS105 RP VIDEO SIGNALS</v>
      </c>
      <c r="L3450">
        <v>1</v>
      </c>
      <c r="M3450" t="str">
        <f>"יח"</f>
        <v>יח</v>
      </c>
      <c r="N3450">
        <v>1</v>
      </c>
      <c r="O3450" t="str">
        <f>"יח"</f>
        <v>יח</v>
      </c>
      <c r="P3450">
        <v>838.3</v>
      </c>
      <c r="Q3450" t="str">
        <f>"$"</f>
        <v>$</v>
      </c>
      <c r="R3450" t="str">
        <f>"הזמנה"</f>
        <v>הזמנה</v>
      </c>
      <c r="S3450">
        <v>0</v>
      </c>
      <c r="T3450">
        <v>838.3</v>
      </c>
      <c r="U3450">
        <v>0</v>
      </c>
      <c r="V3450">
        <v>838.3</v>
      </c>
      <c r="W3450" t="str">
        <f>"$"</f>
        <v>$</v>
      </c>
      <c r="X3450">
        <v>0</v>
      </c>
      <c r="Y3450">
        <v>0</v>
      </c>
      <c r="Z3450">
        <v>0</v>
      </c>
      <c r="AA3450" t="str">
        <f>"Y"</f>
        <v>Y</v>
      </c>
      <c r="AC3450">
        <v>0</v>
      </c>
      <c r="AM3450" t="str">
        <f>"10"</f>
        <v>10</v>
      </c>
      <c r="AN3450" t="str">
        <f>"500000"</f>
        <v>500000</v>
      </c>
      <c r="AO3450" t="str">
        <f>"הכנסות  מלקוחות"</f>
        <v>הכנסות  מלקוחות</v>
      </c>
      <c r="AQ3450" t="str">
        <f>"034"</f>
        <v>034</v>
      </c>
      <c r="AR3450">
        <v>0</v>
      </c>
      <c r="AS3450">
        <v>0</v>
      </c>
      <c r="AT3450">
        <v>3.4670000000000001</v>
      </c>
      <c r="BB3450" t="str">
        <f>"Y"</f>
        <v>Y</v>
      </c>
      <c r="BD3450" t="str">
        <f>"ערן שלו"</f>
        <v>ערן שלו</v>
      </c>
    </row>
    <row r="3451" spans="1:56" x14ac:dyDescent="0.3">
      <c r="A3451" s="1">
        <v>44103</v>
      </c>
      <c r="B3451" t="str">
        <f>"SI206000945"</f>
        <v>SI206000945</v>
      </c>
      <c r="C3451" t="str">
        <f>"PR19000731"</f>
        <v>PR19000731</v>
      </c>
      <c r="E3451" t="str">
        <f>"Y"</f>
        <v>Y</v>
      </c>
      <c r="F3451" t="str">
        <f>"חשבוניות מרכזות"</f>
        <v>חשבוניות מרכזות</v>
      </c>
      <c r="G3451" t="str">
        <f>"700065"</f>
        <v>700065</v>
      </c>
      <c r="H3451" t="str">
        <f>"אלתא מערכות בע""מ"</f>
        <v>אלתא מערכות בע"מ</v>
      </c>
      <c r="I3451" t="str">
        <f>"10"</f>
        <v>10</v>
      </c>
      <c r="J3451" t="str">
        <f>"OP-AR01588"</f>
        <v>OP-AR01588</v>
      </c>
      <c r="K3451" t="str">
        <f>"9004W749-001 HARNESS WS109 TMS INNER CONNECTIONS"</f>
        <v>9004W749-001 HARNESS WS109 TMS INNER CONNECTIONS</v>
      </c>
      <c r="L3451">
        <v>5</v>
      </c>
      <c r="M3451" t="str">
        <f>"יח"</f>
        <v>יח</v>
      </c>
      <c r="N3451">
        <v>5</v>
      </c>
      <c r="O3451" t="str">
        <f>"יח"</f>
        <v>יח</v>
      </c>
      <c r="P3451" s="2">
        <v>1602.3</v>
      </c>
      <c r="Q3451" t="str">
        <f>"$"</f>
        <v>$</v>
      </c>
      <c r="R3451" t="str">
        <f>"הזמנה"</f>
        <v>הזמנה</v>
      </c>
      <c r="S3451">
        <v>0</v>
      </c>
      <c r="T3451" s="2">
        <v>8011.5</v>
      </c>
      <c r="U3451">
        <v>0</v>
      </c>
      <c r="V3451" s="2">
        <v>8011.5</v>
      </c>
      <c r="W3451" t="str">
        <f>"$"</f>
        <v>$</v>
      </c>
      <c r="X3451">
        <v>0</v>
      </c>
      <c r="Y3451">
        <v>0</v>
      </c>
      <c r="Z3451">
        <v>0</v>
      </c>
      <c r="AA3451" t="str">
        <f>"Y"</f>
        <v>Y</v>
      </c>
      <c r="AC3451">
        <v>0</v>
      </c>
      <c r="AM3451" t="str">
        <f>"10"</f>
        <v>10</v>
      </c>
      <c r="AN3451" t="str">
        <f>"500000"</f>
        <v>500000</v>
      </c>
      <c r="AO3451" t="str">
        <f>"הכנסות  מלקוחות"</f>
        <v>הכנסות  מלקוחות</v>
      </c>
      <c r="AQ3451" t="str">
        <f>"034"</f>
        <v>034</v>
      </c>
      <c r="AR3451">
        <v>0</v>
      </c>
      <c r="AS3451">
        <v>0</v>
      </c>
      <c r="AT3451">
        <v>3.4670000000000001</v>
      </c>
      <c r="BB3451" t="str">
        <f>"Y"</f>
        <v>Y</v>
      </c>
      <c r="BD3451" t="str">
        <f>"ערן שלו"</f>
        <v>ערן שלו</v>
      </c>
    </row>
    <row r="3452" spans="1:56" x14ac:dyDescent="0.3">
      <c r="A3452" s="1">
        <v>44103</v>
      </c>
      <c r="B3452" t="str">
        <f>"SI206000945"</f>
        <v>SI206000945</v>
      </c>
      <c r="C3452" t="str">
        <f>"PR19000731"</f>
        <v>PR19000731</v>
      </c>
      <c r="E3452" t="str">
        <f>"Y"</f>
        <v>Y</v>
      </c>
      <c r="F3452" t="str">
        <f>"חשבוניות מרכזות"</f>
        <v>חשבוניות מרכזות</v>
      </c>
      <c r="G3452" t="str">
        <f>"700065"</f>
        <v>700065</v>
      </c>
      <c r="H3452" t="str">
        <f>"אלתא מערכות בע""מ"</f>
        <v>אלתא מערכות בע"מ</v>
      </c>
      <c r="I3452" t="str">
        <f>"10"</f>
        <v>10</v>
      </c>
      <c r="J3452" t="str">
        <f>"OP-AR01590"</f>
        <v>OP-AR01590</v>
      </c>
      <c r="K3452" t="str">
        <f>"9004W751-001 HARNESS WS191 TMS TO RBP"</f>
        <v>9004W751-001 HARNESS WS191 TMS TO RBP</v>
      </c>
      <c r="L3452">
        <v>2</v>
      </c>
      <c r="M3452" t="str">
        <f>"יח"</f>
        <v>יח</v>
      </c>
      <c r="N3452">
        <v>2</v>
      </c>
      <c r="O3452" t="str">
        <f>"יח"</f>
        <v>יח</v>
      </c>
      <c r="P3452">
        <v>959.52</v>
      </c>
      <c r="Q3452" t="str">
        <f>"$"</f>
        <v>$</v>
      </c>
      <c r="R3452" t="str">
        <f>"הזמנה"</f>
        <v>הזמנה</v>
      </c>
      <c r="S3452">
        <v>0</v>
      </c>
      <c r="T3452" s="2">
        <v>1919.04</v>
      </c>
      <c r="U3452">
        <v>0</v>
      </c>
      <c r="V3452" s="2">
        <v>1919.04</v>
      </c>
      <c r="W3452" t="str">
        <f>"$"</f>
        <v>$</v>
      </c>
      <c r="X3452">
        <v>0</v>
      </c>
      <c r="Y3452">
        <v>0</v>
      </c>
      <c r="Z3452">
        <v>0</v>
      </c>
      <c r="AA3452" t="str">
        <f>"Y"</f>
        <v>Y</v>
      </c>
      <c r="AC3452">
        <v>0</v>
      </c>
      <c r="AM3452" t="str">
        <f>"10"</f>
        <v>10</v>
      </c>
      <c r="AN3452" t="str">
        <f>"500000"</f>
        <v>500000</v>
      </c>
      <c r="AO3452" t="str">
        <f>"הכנסות  מלקוחות"</f>
        <v>הכנסות  מלקוחות</v>
      </c>
      <c r="AQ3452" t="str">
        <f>"034"</f>
        <v>034</v>
      </c>
      <c r="AR3452">
        <v>0</v>
      </c>
      <c r="AS3452">
        <v>0</v>
      </c>
      <c r="AT3452">
        <v>3.4670000000000001</v>
      </c>
      <c r="BB3452" t="str">
        <f>"Y"</f>
        <v>Y</v>
      </c>
      <c r="BD3452" t="str">
        <f>"ערן שלו"</f>
        <v>ערן שלו</v>
      </c>
    </row>
    <row r="3453" spans="1:56" x14ac:dyDescent="0.3">
      <c r="A3453" s="1">
        <v>44103</v>
      </c>
      <c r="B3453" t="str">
        <f>"SI206000944"</f>
        <v>SI206000944</v>
      </c>
      <c r="C3453" t="str">
        <f>"PR20000489"</f>
        <v>PR20000489</v>
      </c>
      <c r="E3453" t="str">
        <f>"Y"</f>
        <v>Y</v>
      </c>
      <c r="F3453" t="str">
        <f>"חשבוניות מרכזות"</f>
        <v>חשבוניות מרכזות</v>
      </c>
      <c r="G3453" t="str">
        <f>"700065"</f>
        <v>700065</v>
      </c>
      <c r="H3453" t="str">
        <f>"אלתא מערכות בע""מ"</f>
        <v>אלתא מערכות בע"מ</v>
      </c>
      <c r="I3453" t="str">
        <f>"10"</f>
        <v>10</v>
      </c>
      <c r="J3453" t="str">
        <f>"OP-AR01880"</f>
        <v>OP-AR01880</v>
      </c>
      <c r="K3453" t="str">
        <f>"1033M329-001 - TEST CABLE ASSY W10"</f>
        <v>1033M329-001 - TEST CABLE ASSY W10</v>
      </c>
      <c r="L3453">
        <v>2</v>
      </c>
      <c r="M3453" t="str">
        <f>"יח"</f>
        <v>יח</v>
      </c>
      <c r="N3453">
        <v>2</v>
      </c>
      <c r="O3453" t="str">
        <f>"יח"</f>
        <v>יח</v>
      </c>
      <c r="P3453">
        <v>226.57</v>
      </c>
      <c r="Q3453" t="str">
        <f>"$"</f>
        <v>$</v>
      </c>
      <c r="R3453" t="str">
        <f>"הזמנה"</f>
        <v>הזמנה</v>
      </c>
      <c r="S3453">
        <v>0</v>
      </c>
      <c r="T3453">
        <v>453.14</v>
      </c>
      <c r="U3453">
        <v>0</v>
      </c>
      <c r="V3453">
        <v>453.14</v>
      </c>
      <c r="W3453" t="str">
        <f>"$"</f>
        <v>$</v>
      </c>
      <c r="X3453">
        <v>0</v>
      </c>
      <c r="Y3453">
        <v>0</v>
      </c>
      <c r="Z3453">
        <v>0</v>
      </c>
      <c r="AA3453" t="str">
        <f>"Y"</f>
        <v>Y</v>
      </c>
      <c r="AB3453" t="str">
        <f>"SO20000291"</f>
        <v>SO20000291</v>
      </c>
      <c r="AC3453">
        <v>1</v>
      </c>
      <c r="AD3453" s="1">
        <v>44020</v>
      </c>
      <c r="AE3453" t="str">
        <f>"SH20001302"</f>
        <v>SH20001302</v>
      </c>
      <c r="AF3453" t="str">
        <f>"משלוחים ללקוח"</f>
        <v>משלוחים ללקוח</v>
      </c>
      <c r="AG3453" s="1">
        <v>44097</v>
      </c>
      <c r="AM3453" t="str">
        <f>"10"</f>
        <v>10</v>
      </c>
      <c r="AN3453" t="str">
        <f>"500000"</f>
        <v>500000</v>
      </c>
      <c r="AO3453" t="str">
        <f>"הכנסות  מלקוחות"</f>
        <v>הכנסות  מלקוחות</v>
      </c>
      <c r="AQ3453" t="str">
        <f>"034"</f>
        <v>034</v>
      </c>
      <c r="AR3453">
        <v>0</v>
      </c>
      <c r="AS3453">
        <v>0</v>
      </c>
      <c r="AT3453">
        <v>3.4670000000000001</v>
      </c>
      <c r="AX3453" t="str">
        <f>"E000315392"</f>
        <v>E000315392</v>
      </c>
      <c r="BD3453" t="str">
        <f>"ערן שלו"</f>
        <v>ערן שלו</v>
      </c>
    </row>
    <row r="3454" spans="1:56" x14ac:dyDescent="0.3">
      <c r="A3454" s="1">
        <v>44103</v>
      </c>
      <c r="B3454" t="str">
        <f>"SI206000944"</f>
        <v>SI206000944</v>
      </c>
      <c r="C3454" t="str">
        <f>"PR20000489"</f>
        <v>PR20000489</v>
      </c>
      <c r="E3454" t="str">
        <f>"Y"</f>
        <v>Y</v>
      </c>
      <c r="F3454" t="str">
        <f>"חשבוניות מרכזות"</f>
        <v>חשבוניות מרכזות</v>
      </c>
      <c r="G3454" t="str">
        <f>"700065"</f>
        <v>700065</v>
      </c>
      <c r="H3454" t="str">
        <f>"אלתא מערכות בע""מ"</f>
        <v>אלתא מערכות בע"מ</v>
      </c>
      <c r="I3454" t="str">
        <f>"10"</f>
        <v>10</v>
      </c>
      <c r="J3454" t="str">
        <f>"OP-AR01881"</f>
        <v>OP-AR01881</v>
      </c>
      <c r="K3454" t="str">
        <f>"1032F654-001 - HARNESS WB654 - LAB - EPU1 TO MAS"</f>
        <v>1032F654-001 - HARNESS WB654 - LAB - EPU1 TO MAS</v>
      </c>
      <c r="L3454">
        <v>2</v>
      </c>
      <c r="M3454" t="str">
        <f>"יח"</f>
        <v>יח</v>
      </c>
      <c r="N3454">
        <v>2</v>
      </c>
      <c r="O3454" t="str">
        <f>"יח"</f>
        <v>יח</v>
      </c>
      <c r="P3454">
        <v>423.4</v>
      </c>
      <c r="Q3454" t="str">
        <f>"$"</f>
        <v>$</v>
      </c>
      <c r="R3454" t="str">
        <f>"הזמנה"</f>
        <v>הזמנה</v>
      </c>
      <c r="S3454">
        <v>0</v>
      </c>
      <c r="T3454">
        <v>846.8</v>
      </c>
      <c r="U3454">
        <v>0</v>
      </c>
      <c r="V3454">
        <v>846.8</v>
      </c>
      <c r="W3454" t="str">
        <f>"$"</f>
        <v>$</v>
      </c>
      <c r="X3454">
        <v>0</v>
      </c>
      <c r="Y3454">
        <v>0</v>
      </c>
      <c r="Z3454">
        <v>0</v>
      </c>
      <c r="AA3454" t="str">
        <f>"Y"</f>
        <v>Y</v>
      </c>
      <c r="AB3454" t="str">
        <f>"SO20000291"</f>
        <v>SO20000291</v>
      </c>
      <c r="AC3454">
        <v>2</v>
      </c>
      <c r="AD3454" s="1">
        <v>44020</v>
      </c>
      <c r="AE3454" t="str">
        <f>"SH20001302"</f>
        <v>SH20001302</v>
      </c>
      <c r="AF3454" t="str">
        <f>"משלוחים ללקוח"</f>
        <v>משלוחים ללקוח</v>
      </c>
      <c r="AG3454" s="1">
        <v>44097</v>
      </c>
      <c r="AM3454" t="str">
        <f>"10"</f>
        <v>10</v>
      </c>
      <c r="AN3454" t="str">
        <f>"500000"</f>
        <v>500000</v>
      </c>
      <c r="AO3454" t="str">
        <f>"הכנסות  מלקוחות"</f>
        <v>הכנסות  מלקוחות</v>
      </c>
      <c r="AQ3454" t="str">
        <f>"034"</f>
        <v>034</v>
      </c>
      <c r="AR3454">
        <v>0</v>
      </c>
      <c r="AS3454">
        <v>0</v>
      </c>
      <c r="AT3454">
        <v>3.4670000000000001</v>
      </c>
      <c r="AX3454" t="str">
        <f>"E000315392"</f>
        <v>E000315392</v>
      </c>
      <c r="BD3454" t="str">
        <f>"ערן שלו"</f>
        <v>ערן שלו</v>
      </c>
    </row>
    <row r="3455" spans="1:56" x14ac:dyDescent="0.3">
      <c r="A3455" s="1">
        <v>44103</v>
      </c>
      <c r="B3455" t="str">
        <f>"SI206000944"</f>
        <v>SI206000944</v>
      </c>
      <c r="C3455" t="str">
        <f>"PR20000489"</f>
        <v>PR20000489</v>
      </c>
      <c r="E3455" t="str">
        <f>"Y"</f>
        <v>Y</v>
      </c>
      <c r="F3455" t="str">
        <f>"חשבוניות מרכזות"</f>
        <v>חשבוניות מרכזות</v>
      </c>
      <c r="G3455" t="str">
        <f>"700065"</f>
        <v>700065</v>
      </c>
      <c r="H3455" t="str">
        <f>"אלתא מערכות בע""מ"</f>
        <v>אלתא מערכות בע"מ</v>
      </c>
      <c r="I3455" t="str">
        <f>"10"</f>
        <v>10</v>
      </c>
      <c r="J3455" t="str">
        <f>"OP-AR01882"</f>
        <v>OP-AR01882</v>
      </c>
      <c r="K3455" t="str">
        <f>"1033M328-001 - TEST CABLE ASSY W9"</f>
        <v>1033M328-001 - TEST CABLE ASSY W9</v>
      </c>
      <c r="L3455">
        <v>2</v>
      </c>
      <c r="M3455" t="str">
        <f>"יח"</f>
        <v>יח</v>
      </c>
      <c r="N3455">
        <v>2</v>
      </c>
      <c r="O3455" t="str">
        <f>"יח"</f>
        <v>יח</v>
      </c>
      <c r="P3455">
        <v>226.16</v>
      </c>
      <c r="Q3455" t="str">
        <f>"$"</f>
        <v>$</v>
      </c>
      <c r="R3455" t="str">
        <f>"הזמנה"</f>
        <v>הזמנה</v>
      </c>
      <c r="S3455">
        <v>0</v>
      </c>
      <c r="T3455">
        <v>452.32</v>
      </c>
      <c r="U3455">
        <v>0</v>
      </c>
      <c r="V3455">
        <v>452.32</v>
      </c>
      <c r="W3455" t="str">
        <f>"$"</f>
        <v>$</v>
      </c>
      <c r="X3455">
        <v>0</v>
      </c>
      <c r="Y3455">
        <v>0</v>
      </c>
      <c r="Z3455">
        <v>0</v>
      </c>
      <c r="AA3455" t="str">
        <f>"Y"</f>
        <v>Y</v>
      </c>
      <c r="AB3455" t="str">
        <f>"SO20000291"</f>
        <v>SO20000291</v>
      </c>
      <c r="AC3455">
        <v>3</v>
      </c>
      <c r="AD3455" s="1">
        <v>44020</v>
      </c>
      <c r="AE3455" t="str">
        <f>"SH20001302"</f>
        <v>SH20001302</v>
      </c>
      <c r="AF3455" t="str">
        <f>"משלוחים ללקוח"</f>
        <v>משלוחים ללקוח</v>
      </c>
      <c r="AG3455" s="1">
        <v>44097</v>
      </c>
      <c r="AM3455" t="str">
        <f>"10"</f>
        <v>10</v>
      </c>
      <c r="AN3455" t="str">
        <f>"500000"</f>
        <v>500000</v>
      </c>
      <c r="AO3455" t="str">
        <f>"הכנסות  מלקוחות"</f>
        <v>הכנסות  מלקוחות</v>
      </c>
      <c r="AQ3455" t="str">
        <f>"034"</f>
        <v>034</v>
      </c>
      <c r="AR3455">
        <v>0</v>
      </c>
      <c r="AS3455">
        <v>0</v>
      </c>
      <c r="AT3455">
        <v>3.4670000000000001</v>
      </c>
      <c r="AX3455" t="str">
        <f>"E000315392"</f>
        <v>E000315392</v>
      </c>
      <c r="BD3455" t="str">
        <f>"ערן שלו"</f>
        <v>ערן שלו</v>
      </c>
    </row>
    <row r="3456" spans="1:56" x14ac:dyDescent="0.3">
      <c r="A3456" s="1">
        <v>44103</v>
      </c>
      <c r="B3456" t="str">
        <f>"SI206000943"</f>
        <v>SI206000943</v>
      </c>
      <c r="C3456" t="str">
        <f>"PR19000583"</f>
        <v>PR19000583</v>
      </c>
      <c r="D3456" t="str">
        <f>"PR19000583"</f>
        <v>PR19000583</v>
      </c>
      <c r="E3456" t="str">
        <f>"Y"</f>
        <v>Y</v>
      </c>
      <c r="F3456" t="str">
        <f>"חשבוניות מרכזות"</f>
        <v>חשבוניות מרכזות</v>
      </c>
      <c r="G3456" t="str">
        <f>"700065"</f>
        <v>700065</v>
      </c>
      <c r="H3456" t="str">
        <f>"אלתא מערכות בע""מ"</f>
        <v>אלתא מערכות בע"מ</v>
      </c>
      <c r="I3456" t="str">
        <f>"10"</f>
        <v>10</v>
      </c>
      <c r="J3456" t="str">
        <f>"OP-AR01523"</f>
        <v>OP-AR01523</v>
      </c>
      <c r="K3456" t="str">
        <f>"סימולטור בקרה לספינות EPS"</f>
        <v>סימולטור בקרה לספינות EPS</v>
      </c>
      <c r="L3456">
        <v>1</v>
      </c>
      <c r="M3456" t="str">
        <f>"יח"</f>
        <v>יח</v>
      </c>
      <c r="N3456">
        <v>1</v>
      </c>
      <c r="O3456" t="str">
        <f>"יח"</f>
        <v>יח</v>
      </c>
      <c r="P3456" s="2">
        <v>30000</v>
      </c>
      <c r="Q3456" t="str">
        <f>"$"</f>
        <v>$</v>
      </c>
      <c r="R3456" t="str">
        <f>"הזמנה"</f>
        <v>הזמנה</v>
      </c>
      <c r="S3456">
        <v>0</v>
      </c>
      <c r="T3456" s="2">
        <v>30000</v>
      </c>
      <c r="U3456">
        <v>0</v>
      </c>
      <c r="V3456" s="2">
        <v>30000</v>
      </c>
      <c r="W3456" t="str">
        <f>"$"</f>
        <v>$</v>
      </c>
      <c r="X3456">
        <v>0</v>
      </c>
      <c r="Y3456">
        <v>0</v>
      </c>
      <c r="Z3456">
        <v>0</v>
      </c>
      <c r="AA3456" t="str">
        <f>"Y"</f>
        <v>Y</v>
      </c>
      <c r="AB3456" t="str">
        <f>"SO20000410"</f>
        <v>SO20000410</v>
      </c>
      <c r="AC3456">
        <v>1</v>
      </c>
      <c r="AD3456" s="1">
        <v>44082</v>
      </c>
      <c r="AE3456" t="str">
        <f>"SH20001303"</f>
        <v>SH20001303</v>
      </c>
      <c r="AF3456" t="str">
        <f>"משלוחים ללקוח"</f>
        <v>משלוחים ללקוח</v>
      </c>
      <c r="AG3456" s="1">
        <v>44097</v>
      </c>
      <c r="AM3456" t="str">
        <f>"10"</f>
        <v>10</v>
      </c>
      <c r="AN3456" t="str">
        <f>"500000"</f>
        <v>500000</v>
      </c>
      <c r="AO3456" t="str">
        <f>"הכנסות  מלקוחות"</f>
        <v>הכנסות  מלקוחות</v>
      </c>
      <c r="AQ3456" t="str">
        <f>"034"</f>
        <v>034</v>
      </c>
      <c r="AR3456">
        <v>0</v>
      </c>
      <c r="AS3456">
        <v>0</v>
      </c>
      <c r="AT3456">
        <v>3.4670000000000001</v>
      </c>
      <c r="AX3456" t="str">
        <f>"E000320247"</f>
        <v>E000320247</v>
      </c>
      <c r="BD3456" t="str">
        <f>"ערן שלו"</f>
        <v>ערן שלו</v>
      </c>
    </row>
    <row r="3457" spans="1:56" x14ac:dyDescent="0.3">
      <c r="A3457" s="1">
        <v>44103</v>
      </c>
      <c r="B3457" t="str">
        <f>"SI206000942"</f>
        <v>SI206000942</v>
      </c>
      <c r="C3457" t="str">
        <f>"PR19000529"</f>
        <v>PR19000529</v>
      </c>
      <c r="E3457" t="str">
        <f>"Y"</f>
        <v>Y</v>
      </c>
      <c r="F3457" t="str">
        <f>"חשבוניות מרכזות"</f>
        <v>חשבוניות מרכזות</v>
      </c>
      <c r="G3457" t="str">
        <f>"700065"</f>
        <v>700065</v>
      </c>
      <c r="H3457" t="str">
        <f>"אלתא מערכות בע""מ"</f>
        <v>אלתא מערכות בע"מ</v>
      </c>
      <c r="I3457" t="str">
        <f>"10"</f>
        <v>10</v>
      </c>
      <c r="J3457" t="str">
        <f>"OP-AR01025"</f>
        <v>OP-AR01025</v>
      </c>
      <c r="K3457" t="str">
        <f>"BATTERY BOX 1039V520-001"</f>
        <v>BATTERY BOX 1039V520-001</v>
      </c>
      <c r="L3457">
        <v>1</v>
      </c>
      <c r="M3457" t="str">
        <f>"יח"</f>
        <v>יח</v>
      </c>
      <c r="N3457">
        <v>1</v>
      </c>
      <c r="O3457" t="str">
        <f>"יח"</f>
        <v>יח</v>
      </c>
      <c r="P3457" s="2">
        <v>5750</v>
      </c>
      <c r="Q3457" t="str">
        <f>"$"</f>
        <v>$</v>
      </c>
      <c r="R3457" t="str">
        <f>"הזמנה"</f>
        <v>הזמנה</v>
      </c>
      <c r="S3457">
        <v>0</v>
      </c>
      <c r="T3457" s="2">
        <v>5750</v>
      </c>
      <c r="U3457">
        <v>0</v>
      </c>
      <c r="V3457" s="2">
        <v>5750</v>
      </c>
      <c r="W3457" t="str">
        <f>"$"</f>
        <v>$</v>
      </c>
      <c r="X3457">
        <v>0</v>
      </c>
      <c r="Y3457">
        <v>0</v>
      </c>
      <c r="Z3457">
        <v>0</v>
      </c>
      <c r="AA3457" t="str">
        <f>"Y"</f>
        <v>Y</v>
      </c>
      <c r="AB3457" t="str">
        <f>"SO19000397"</f>
        <v>SO19000397</v>
      </c>
      <c r="AC3457">
        <v>18</v>
      </c>
      <c r="AD3457" s="1">
        <v>43716</v>
      </c>
      <c r="AE3457" t="str">
        <f>"SH20001290"</f>
        <v>SH20001290</v>
      </c>
      <c r="AF3457" t="str">
        <f>"משלוחים ללקוח"</f>
        <v>משלוחים ללקוח</v>
      </c>
      <c r="AG3457" s="1">
        <v>44095</v>
      </c>
      <c r="AM3457" t="str">
        <f>"10"</f>
        <v>10</v>
      </c>
      <c r="AN3457" t="str">
        <f>"500000"</f>
        <v>500000</v>
      </c>
      <c r="AO3457" t="str">
        <f>"הכנסות  מלקוחות"</f>
        <v>הכנסות  מלקוחות</v>
      </c>
      <c r="AQ3457" t="str">
        <f>"034"</f>
        <v>034</v>
      </c>
      <c r="AR3457">
        <v>0</v>
      </c>
      <c r="AS3457">
        <v>0</v>
      </c>
      <c r="AT3457">
        <v>3.4670000000000001</v>
      </c>
      <c r="AX3457" t="str">
        <f>"E000294050"</f>
        <v>E000294050</v>
      </c>
      <c r="BD3457" t="str">
        <f>"ערן שלו"</f>
        <v>ערן שלו</v>
      </c>
    </row>
    <row r="3458" spans="1:56" x14ac:dyDescent="0.3">
      <c r="A3458" s="1">
        <v>44103</v>
      </c>
      <c r="B3458" t="str">
        <f>"SI206000941"</f>
        <v>SI206000941</v>
      </c>
      <c r="C3458" t="str">
        <f>"PR18000543"</f>
        <v>PR18000543</v>
      </c>
      <c r="E3458" t="str">
        <f>"Y"</f>
        <v>Y</v>
      </c>
      <c r="F3458" t="str">
        <f>"חשבוניות מרכזות"</f>
        <v>חשבוניות מרכזות</v>
      </c>
      <c r="G3458" t="str">
        <f>"700065"</f>
        <v>700065</v>
      </c>
      <c r="H3458" t="str">
        <f>"אלתא מערכות בע""מ"</f>
        <v>אלתא מערכות בע"מ</v>
      </c>
      <c r="I3458" t="str">
        <f>"10"</f>
        <v>10</v>
      </c>
      <c r="J3458" t="str">
        <f>"OP-AR01083"</f>
        <v>OP-AR01083</v>
      </c>
      <c r="K3458" t="str">
        <f>"1036C960-001 HVJB_N"</f>
        <v>1036C960-001 HVJB_N</v>
      </c>
      <c r="L3458">
        <v>6</v>
      </c>
      <c r="M3458" t="str">
        <f>"יח"</f>
        <v>יח</v>
      </c>
      <c r="N3458">
        <v>6</v>
      </c>
      <c r="O3458" t="str">
        <f>"יח"</f>
        <v>יח</v>
      </c>
      <c r="P3458" s="2">
        <v>6000</v>
      </c>
      <c r="Q3458" t="str">
        <f>"$"</f>
        <v>$</v>
      </c>
      <c r="R3458" t="str">
        <f>"הזמנה"</f>
        <v>הזמנה</v>
      </c>
      <c r="S3458">
        <v>0</v>
      </c>
      <c r="T3458" s="2">
        <v>36000</v>
      </c>
      <c r="U3458">
        <v>0</v>
      </c>
      <c r="V3458" s="2">
        <v>36000</v>
      </c>
      <c r="W3458" t="str">
        <f>"$"</f>
        <v>$</v>
      </c>
      <c r="X3458">
        <v>0</v>
      </c>
      <c r="Y3458">
        <v>0</v>
      </c>
      <c r="Z3458">
        <v>0</v>
      </c>
      <c r="AA3458" t="str">
        <f>"Y"</f>
        <v>Y</v>
      </c>
      <c r="AB3458" t="str">
        <f>"SO19000320"</f>
        <v>SO19000320</v>
      </c>
      <c r="AC3458">
        <v>3</v>
      </c>
      <c r="AD3458" s="1">
        <v>43667</v>
      </c>
      <c r="AE3458" t="str">
        <f>"SH20001291"</f>
        <v>SH20001291</v>
      </c>
      <c r="AF3458" t="str">
        <f>"משלוחים ללקוח"</f>
        <v>משלוחים ללקוח</v>
      </c>
      <c r="AG3458" s="1">
        <v>44095</v>
      </c>
      <c r="AM3458" t="str">
        <f>"10"</f>
        <v>10</v>
      </c>
      <c r="AN3458" t="str">
        <f>"500000"</f>
        <v>500000</v>
      </c>
      <c r="AO3458" t="str">
        <f>"הכנסות  מלקוחות"</f>
        <v>הכנסות  מלקוחות</v>
      </c>
      <c r="AQ3458" t="str">
        <f>"034"</f>
        <v>034</v>
      </c>
      <c r="AR3458">
        <v>0</v>
      </c>
      <c r="AS3458">
        <v>0</v>
      </c>
      <c r="AT3458">
        <v>3.4670000000000001</v>
      </c>
      <c r="AX3458" t="str">
        <f>"E000290709"</f>
        <v>E000290709</v>
      </c>
      <c r="BD3458" t="str">
        <f>"ערן שלו"</f>
        <v>ערן שלו</v>
      </c>
    </row>
    <row r="3459" spans="1:56" x14ac:dyDescent="0.3">
      <c r="A3459" s="1">
        <v>44103</v>
      </c>
      <c r="B3459" t="str">
        <f>"SI206000941"</f>
        <v>SI206000941</v>
      </c>
      <c r="C3459" t="str">
        <f>"PR18000543"</f>
        <v>PR18000543</v>
      </c>
      <c r="E3459" t="str">
        <f>"Y"</f>
        <v>Y</v>
      </c>
      <c r="F3459" t="str">
        <f>"חשבוניות מרכזות"</f>
        <v>חשבוניות מרכזות</v>
      </c>
      <c r="G3459" t="str">
        <f>"700065"</f>
        <v>700065</v>
      </c>
      <c r="H3459" t="str">
        <f>"אלתא מערכות בע""מ"</f>
        <v>אלתא מערכות בע"מ</v>
      </c>
      <c r="I3459" t="str">
        <f>"10"</f>
        <v>10</v>
      </c>
      <c r="J3459" t="str">
        <f>"OP-AR01083"</f>
        <v>OP-AR01083</v>
      </c>
      <c r="K3459" t="str">
        <f>"1036C960-001 HVJB_N"</f>
        <v>1036C960-001 HVJB_N</v>
      </c>
      <c r="L3459">
        <v>3</v>
      </c>
      <c r="M3459" t="str">
        <f>"יח"</f>
        <v>יח</v>
      </c>
      <c r="N3459">
        <v>3</v>
      </c>
      <c r="O3459" t="str">
        <f>"יח"</f>
        <v>יח</v>
      </c>
      <c r="P3459" s="2">
        <v>6000</v>
      </c>
      <c r="Q3459" t="str">
        <f>"$"</f>
        <v>$</v>
      </c>
      <c r="R3459" t="str">
        <f>"הזמנה"</f>
        <v>הזמנה</v>
      </c>
      <c r="S3459">
        <v>0</v>
      </c>
      <c r="T3459" s="2">
        <v>18000</v>
      </c>
      <c r="U3459">
        <v>0</v>
      </c>
      <c r="V3459" s="2">
        <v>18000</v>
      </c>
      <c r="W3459" t="str">
        <f>"$"</f>
        <v>$</v>
      </c>
      <c r="X3459">
        <v>0</v>
      </c>
      <c r="Y3459">
        <v>0</v>
      </c>
      <c r="Z3459">
        <v>0</v>
      </c>
      <c r="AA3459" t="str">
        <f>"Y"</f>
        <v>Y</v>
      </c>
      <c r="AB3459" t="str">
        <f>"SO19000320"</f>
        <v>SO19000320</v>
      </c>
      <c r="AC3459">
        <v>4</v>
      </c>
      <c r="AD3459" s="1">
        <v>43667</v>
      </c>
      <c r="AE3459" t="str">
        <f>"SH20001291"</f>
        <v>SH20001291</v>
      </c>
      <c r="AF3459" t="str">
        <f>"משלוחים ללקוח"</f>
        <v>משלוחים ללקוח</v>
      </c>
      <c r="AG3459" s="1">
        <v>44095</v>
      </c>
      <c r="AM3459" t="str">
        <f>"10"</f>
        <v>10</v>
      </c>
      <c r="AN3459" t="str">
        <f>"500000"</f>
        <v>500000</v>
      </c>
      <c r="AO3459" t="str">
        <f>"הכנסות  מלקוחות"</f>
        <v>הכנסות  מלקוחות</v>
      </c>
      <c r="AQ3459" t="str">
        <f>"034"</f>
        <v>034</v>
      </c>
      <c r="AR3459">
        <v>0</v>
      </c>
      <c r="AS3459">
        <v>0</v>
      </c>
      <c r="AT3459">
        <v>3.4670000000000001</v>
      </c>
      <c r="AX3459" t="str">
        <f>"E000290709"</f>
        <v>E000290709</v>
      </c>
      <c r="BD3459" t="str">
        <f>"ערן שלו"</f>
        <v>ערן שלו</v>
      </c>
    </row>
    <row r="3460" spans="1:56" x14ac:dyDescent="0.3">
      <c r="A3460" s="1">
        <v>44098</v>
      </c>
      <c r="B3460" t="str">
        <f>"SI206000935"</f>
        <v>SI206000935</v>
      </c>
      <c r="C3460" t="str">
        <f>"PR20000375"</f>
        <v>PR20000375</v>
      </c>
      <c r="E3460" t="str">
        <f>"Y"</f>
        <v>Y</v>
      </c>
      <c r="F3460" t="str">
        <f>"חשבוניות מרכזות"</f>
        <v>חשבוניות מרכזות</v>
      </c>
      <c r="G3460" t="str">
        <f>"700065"</f>
        <v>700065</v>
      </c>
      <c r="H3460" t="str">
        <f>"אלתא מערכות בע""מ"</f>
        <v>אלתא מערכות בע"מ</v>
      </c>
      <c r="I3460" t="str">
        <f>"10"</f>
        <v>10</v>
      </c>
      <c r="J3460" t="str">
        <f>"OP-AR01826"</f>
        <v>OP-AR01826</v>
      </c>
      <c r="K3460" t="str">
        <f>"1039J590-001 HARNESS WV590 - ROTATING BRAKE"</f>
        <v>1039J590-001 HARNESS WV590 - ROTATING BRAKE</v>
      </c>
      <c r="L3460">
        <v>1</v>
      </c>
      <c r="M3460" t="str">
        <f>"יח"</f>
        <v>יח</v>
      </c>
      <c r="N3460">
        <v>1</v>
      </c>
      <c r="O3460" t="str">
        <f>"יח"</f>
        <v>יח</v>
      </c>
      <c r="P3460">
        <v>748</v>
      </c>
      <c r="Q3460" t="str">
        <f>"$"</f>
        <v>$</v>
      </c>
      <c r="R3460" t="str">
        <f>"הזמנה"</f>
        <v>הזמנה</v>
      </c>
      <c r="S3460">
        <v>0</v>
      </c>
      <c r="T3460">
        <v>748</v>
      </c>
      <c r="U3460">
        <v>0</v>
      </c>
      <c r="V3460">
        <v>748</v>
      </c>
      <c r="W3460" t="str">
        <f>"$"</f>
        <v>$</v>
      </c>
      <c r="X3460">
        <v>0</v>
      </c>
      <c r="Y3460">
        <v>0</v>
      </c>
      <c r="Z3460">
        <v>0</v>
      </c>
      <c r="AA3460" t="str">
        <f>"Y"</f>
        <v>Y</v>
      </c>
      <c r="AB3460" t="str">
        <f>"SO20000239"</f>
        <v>SO20000239</v>
      </c>
      <c r="AC3460">
        <v>1</v>
      </c>
      <c r="AD3460" s="1">
        <v>43991</v>
      </c>
      <c r="AE3460" t="str">
        <f>"SH20001279"</f>
        <v>SH20001279</v>
      </c>
      <c r="AF3460" t="str">
        <f>"משלוחים ללקוח"</f>
        <v>משלוחים ללקוח</v>
      </c>
      <c r="AG3460" s="1">
        <v>44089</v>
      </c>
      <c r="AM3460" t="str">
        <f>"10"</f>
        <v>10</v>
      </c>
      <c r="AN3460" t="str">
        <f>"500000"</f>
        <v>500000</v>
      </c>
      <c r="AO3460" t="str">
        <f>"הכנסות  מלקוחות"</f>
        <v>הכנסות  מלקוחות</v>
      </c>
      <c r="AQ3460" t="str">
        <f>"034"</f>
        <v>034</v>
      </c>
      <c r="AR3460">
        <v>0</v>
      </c>
      <c r="AS3460">
        <v>0</v>
      </c>
      <c r="AT3460">
        <v>3.4449999999999998</v>
      </c>
      <c r="AX3460" t="str">
        <f>"E000313924"</f>
        <v>E000313924</v>
      </c>
      <c r="BD3460" t="str">
        <f>"ערן שלו"</f>
        <v>ערן שלו</v>
      </c>
    </row>
    <row r="3461" spans="1:56" x14ac:dyDescent="0.3">
      <c r="A3461" s="1">
        <v>44098</v>
      </c>
      <c r="B3461" t="str">
        <f>"SI206000934"</f>
        <v>SI206000934</v>
      </c>
      <c r="C3461" t="str">
        <f>"PR20000348"</f>
        <v>PR20000348</v>
      </c>
      <c r="E3461" t="str">
        <f>"Y"</f>
        <v>Y</v>
      </c>
      <c r="F3461" t="str">
        <f>"חשבוניות מרכזות"</f>
        <v>חשבוניות מרכזות</v>
      </c>
      <c r="G3461" t="str">
        <f>"700065"</f>
        <v>700065</v>
      </c>
      <c r="H3461" t="str">
        <f>"אלתא מערכות בע""מ"</f>
        <v>אלתא מערכות בע"מ</v>
      </c>
      <c r="I3461" t="str">
        <f>"10"</f>
        <v>10</v>
      </c>
      <c r="J3461" t="str">
        <f>"OP-AR01746"</f>
        <v>OP-AR01746</v>
      </c>
      <c r="K3461" t="str">
        <f>"1037V770-001 WPG110-BONDING STRAP R.U. UPPER to"</f>
        <v>1037V770-001 WPG110-BONDING STRAP R.U. UPPER to</v>
      </c>
      <c r="L3461">
        <v>2</v>
      </c>
      <c r="M3461" t="str">
        <f>"יח"</f>
        <v>יח</v>
      </c>
      <c r="N3461">
        <v>2</v>
      </c>
      <c r="O3461" t="str">
        <f>"יח"</f>
        <v>יח</v>
      </c>
      <c r="P3461">
        <v>117.32</v>
      </c>
      <c r="Q3461" t="str">
        <f>"$"</f>
        <v>$</v>
      </c>
      <c r="R3461" t="str">
        <f>"הזמנה"</f>
        <v>הזמנה</v>
      </c>
      <c r="S3461">
        <v>0</v>
      </c>
      <c r="T3461">
        <v>234.64</v>
      </c>
      <c r="U3461">
        <v>0</v>
      </c>
      <c r="V3461">
        <v>234.64</v>
      </c>
      <c r="W3461" t="str">
        <f>"$"</f>
        <v>$</v>
      </c>
      <c r="X3461">
        <v>0</v>
      </c>
      <c r="Y3461">
        <v>0</v>
      </c>
      <c r="Z3461">
        <v>0</v>
      </c>
      <c r="AA3461" t="str">
        <f>"Y"</f>
        <v>Y</v>
      </c>
      <c r="AB3461" t="str">
        <f>"SO20000201"</f>
        <v>SO20000201</v>
      </c>
      <c r="AC3461">
        <v>14</v>
      </c>
      <c r="AD3461" s="1">
        <v>43970</v>
      </c>
      <c r="AE3461" t="str">
        <f>"SH20001276"</f>
        <v>SH20001276</v>
      </c>
      <c r="AF3461" t="str">
        <f>"משלוחים ללקוח"</f>
        <v>משלוחים ללקוח</v>
      </c>
      <c r="AG3461" s="1">
        <v>44089</v>
      </c>
      <c r="AM3461" t="str">
        <f>"10"</f>
        <v>10</v>
      </c>
      <c r="AN3461" t="str">
        <f>"500000"</f>
        <v>500000</v>
      </c>
      <c r="AO3461" t="str">
        <f>"הכנסות  מלקוחות"</f>
        <v>הכנסות  מלקוחות</v>
      </c>
      <c r="AQ3461" t="str">
        <f>"034"</f>
        <v>034</v>
      </c>
      <c r="AR3461">
        <v>0</v>
      </c>
      <c r="AS3461">
        <v>0</v>
      </c>
      <c r="AT3461">
        <v>3.4449999999999998</v>
      </c>
      <c r="AX3461" t="str">
        <f>"E000311250"</f>
        <v>E000311250</v>
      </c>
      <c r="BD3461" t="str">
        <f>"ערן שלו"</f>
        <v>ערן שלו</v>
      </c>
    </row>
    <row r="3462" spans="1:56" x14ac:dyDescent="0.3">
      <c r="A3462" s="1">
        <v>44098</v>
      </c>
      <c r="B3462" t="str">
        <f>"SI206000934"</f>
        <v>SI206000934</v>
      </c>
      <c r="C3462" t="str">
        <f>"PR20000348"</f>
        <v>PR20000348</v>
      </c>
      <c r="E3462" t="str">
        <f>"Y"</f>
        <v>Y</v>
      </c>
      <c r="F3462" t="str">
        <f>"חשבוניות מרכזות"</f>
        <v>חשבוניות מרכזות</v>
      </c>
      <c r="G3462" t="str">
        <f>"700065"</f>
        <v>700065</v>
      </c>
      <c r="H3462" t="str">
        <f>"אלתא מערכות בע""מ"</f>
        <v>אלתא מערכות בע"מ</v>
      </c>
      <c r="I3462" t="str">
        <f>"10"</f>
        <v>10</v>
      </c>
      <c r="J3462" t="str">
        <f>"OP-AR01775"</f>
        <v>OP-AR01775</v>
      </c>
      <c r="K3462" t="str">
        <f>"1039V118-001 WPG121-BONDING STRAP GREASER TO PED"</f>
        <v>1039V118-001 WPG121-BONDING STRAP GREASER TO PED</v>
      </c>
      <c r="L3462">
        <v>2</v>
      </c>
      <c r="M3462" t="str">
        <f>"יח"</f>
        <v>יח</v>
      </c>
      <c r="N3462">
        <v>2</v>
      </c>
      <c r="O3462" t="str">
        <f>"יח"</f>
        <v>יח</v>
      </c>
      <c r="P3462">
        <v>80.239999999999995</v>
      </c>
      <c r="Q3462" t="str">
        <f>"$"</f>
        <v>$</v>
      </c>
      <c r="R3462" t="str">
        <f>"הזמנה"</f>
        <v>הזמנה</v>
      </c>
      <c r="S3462">
        <v>0</v>
      </c>
      <c r="T3462">
        <v>160.47999999999999</v>
      </c>
      <c r="U3462">
        <v>0</v>
      </c>
      <c r="V3462">
        <v>160.47999999999999</v>
      </c>
      <c r="W3462" t="str">
        <f>"$"</f>
        <v>$</v>
      </c>
      <c r="X3462">
        <v>0</v>
      </c>
      <c r="Y3462">
        <v>0</v>
      </c>
      <c r="Z3462">
        <v>0</v>
      </c>
      <c r="AA3462" t="str">
        <f>"Y"</f>
        <v>Y</v>
      </c>
      <c r="AB3462" t="str">
        <f>"SO20000201"</f>
        <v>SO20000201</v>
      </c>
      <c r="AC3462">
        <v>41</v>
      </c>
      <c r="AD3462" s="1">
        <v>43970</v>
      </c>
      <c r="AE3462" t="str">
        <f>"SH20001276"</f>
        <v>SH20001276</v>
      </c>
      <c r="AF3462" t="str">
        <f>"משלוחים ללקוח"</f>
        <v>משלוחים ללקוח</v>
      </c>
      <c r="AG3462" s="1">
        <v>44089</v>
      </c>
      <c r="AM3462" t="str">
        <f>"10"</f>
        <v>10</v>
      </c>
      <c r="AN3462" t="str">
        <f>"500000"</f>
        <v>500000</v>
      </c>
      <c r="AO3462" t="str">
        <f>"הכנסות  מלקוחות"</f>
        <v>הכנסות  מלקוחות</v>
      </c>
      <c r="AQ3462" t="str">
        <f>"034"</f>
        <v>034</v>
      </c>
      <c r="AR3462">
        <v>0</v>
      </c>
      <c r="AS3462">
        <v>0</v>
      </c>
      <c r="AT3462">
        <v>3.4449999999999998</v>
      </c>
      <c r="AX3462" t="str">
        <f>"E000311250"</f>
        <v>E000311250</v>
      </c>
      <c r="BD3462" t="str">
        <f>"ערן שלו"</f>
        <v>ערן שלו</v>
      </c>
    </row>
    <row r="3463" spans="1:56" x14ac:dyDescent="0.3">
      <c r="A3463" s="1">
        <v>44098</v>
      </c>
      <c r="B3463" t="str">
        <f>"SI206000934"</f>
        <v>SI206000934</v>
      </c>
      <c r="C3463" t="str">
        <f>"PR20000348"</f>
        <v>PR20000348</v>
      </c>
      <c r="E3463" t="str">
        <f>"Y"</f>
        <v>Y</v>
      </c>
      <c r="F3463" t="str">
        <f>"חשבוניות מרכזות"</f>
        <v>חשבוניות מרכזות</v>
      </c>
      <c r="G3463" t="str">
        <f>"700065"</f>
        <v>700065</v>
      </c>
      <c r="H3463" t="str">
        <f>"אלתא מערכות בע""מ"</f>
        <v>אלתא מערכות בע"מ</v>
      </c>
      <c r="I3463" t="str">
        <f>"10"</f>
        <v>10</v>
      </c>
      <c r="J3463" t="str">
        <f>"OP-AR01783"</f>
        <v>OP-AR01783</v>
      </c>
      <c r="K3463" t="str">
        <f>"1037V761-001 WPG101-BONDING STRAP PDB to PLATFOR"</f>
        <v>1037V761-001 WPG101-BONDING STRAP PDB to PLATFOR</v>
      </c>
      <c r="L3463">
        <v>4</v>
      </c>
      <c r="M3463" t="str">
        <f>"יח"</f>
        <v>יח</v>
      </c>
      <c r="N3463">
        <v>4</v>
      </c>
      <c r="O3463" t="str">
        <f>"יח"</f>
        <v>יח</v>
      </c>
      <c r="P3463">
        <v>75.67</v>
      </c>
      <c r="Q3463" t="str">
        <f>"$"</f>
        <v>$</v>
      </c>
      <c r="R3463" t="str">
        <f>"הזמנה"</f>
        <v>הזמנה</v>
      </c>
      <c r="S3463">
        <v>0</v>
      </c>
      <c r="T3463">
        <v>302.68</v>
      </c>
      <c r="U3463">
        <v>0</v>
      </c>
      <c r="V3463">
        <v>302.68</v>
      </c>
      <c r="W3463" t="str">
        <f>"$"</f>
        <v>$</v>
      </c>
      <c r="X3463">
        <v>0</v>
      </c>
      <c r="Y3463">
        <v>0</v>
      </c>
      <c r="Z3463">
        <v>0</v>
      </c>
      <c r="AA3463" t="str">
        <f>"Y"</f>
        <v>Y</v>
      </c>
      <c r="AB3463" t="str">
        <f>"SO20000201"</f>
        <v>SO20000201</v>
      </c>
      <c r="AC3463">
        <v>49</v>
      </c>
      <c r="AD3463" s="1">
        <v>43970</v>
      </c>
      <c r="AE3463" t="str">
        <f>"SH20001276"</f>
        <v>SH20001276</v>
      </c>
      <c r="AF3463" t="str">
        <f>"משלוחים ללקוח"</f>
        <v>משלוחים ללקוח</v>
      </c>
      <c r="AG3463" s="1">
        <v>44089</v>
      </c>
      <c r="AM3463" t="str">
        <f>"10"</f>
        <v>10</v>
      </c>
      <c r="AN3463" t="str">
        <f>"500000"</f>
        <v>500000</v>
      </c>
      <c r="AO3463" t="str">
        <f>"הכנסות  מלקוחות"</f>
        <v>הכנסות  מלקוחות</v>
      </c>
      <c r="AQ3463" t="str">
        <f>"034"</f>
        <v>034</v>
      </c>
      <c r="AR3463">
        <v>0</v>
      </c>
      <c r="AS3463">
        <v>0</v>
      </c>
      <c r="AT3463">
        <v>3.4449999999999998</v>
      </c>
      <c r="AX3463" t="str">
        <f>"E000311250"</f>
        <v>E000311250</v>
      </c>
      <c r="BD3463" t="str">
        <f>"ערן שלו"</f>
        <v>ערן שלו</v>
      </c>
    </row>
    <row r="3464" spans="1:56" x14ac:dyDescent="0.3">
      <c r="A3464" s="1">
        <v>44098</v>
      </c>
      <c r="B3464" t="str">
        <f>"SI206000934"</f>
        <v>SI206000934</v>
      </c>
      <c r="C3464" t="str">
        <f>"PR20000348"</f>
        <v>PR20000348</v>
      </c>
      <c r="E3464" t="str">
        <f>"Y"</f>
        <v>Y</v>
      </c>
      <c r="F3464" t="str">
        <f>"חשבוניות מרכזות"</f>
        <v>חשבוניות מרכזות</v>
      </c>
      <c r="G3464" t="str">
        <f>"700065"</f>
        <v>700065</v>
      </c>
      <c r="H3464" t="str">
        <f>"אלתא מערכות בע""מ"</f>
        <v>אלתא מערכות בע"מ</v>
      </c>
      <c r="I3464" t="str">
        <f>"10"</f>
        <v>10</v>
      </c>
      <c r="J3464" t="str">
        <f>"OP-AR01785"</f>
        <v>OP-AR01785</v>
      </c>
      <c r="K3464" t="str">
        <f>"1037V780-001 WMG107-BONDING STRAP EXTERNAL MEB t"</f>
        <v>1037V780-001 WMG107-BONDING STRAP EXTERNAL MEB t</v>
      </c>
      <c r="L3464">
        <v>2</v>
      </c>
      <c r="M3464" t="str">
        <f>"יח"</f>
        <v>יח</v>
      </c>
      <c r="N3464">
        <v>2</v>
      </c>
      <c r="O3464" t="str">
        <f>"יח"</f>
        <v>יח</v>
      </c>
      <c r="P3464">
        <v>84.22</v>
      </c>
      <c r="Q3464" t="str">
        <f>"$"</f>
        <v>$</v>
      </c>
      <c r="R3464" t="str">
        <f>"הזמנה"</f>
        <v>הזמנה</v>
      </c>
      <c r="S3464">
        <v>0</v>
      </c>
      <c r="T3464">
        <v>168.44</v>
      </c>
      <c r="U3464">
        <v>0</v>
      </c>
      <c r="V3464">
        <v>168.44</v>
      </c>
      <c r="W3464" t="str">
        <f>"$"</f>
        <v>$</v>
      </c>
      <c r="X3464">
        <v>0</v>
      </c>
      <c r="Y3464">
        <v>0</v>
      </c>
      <c r="Z3464">
        <v>0</v>
      </c>
      <c r="AA3464" t="str">
        <f>"Y"</f>
        <v>Y</v>
      </c>
      <c r="AB3464" t="str">
        <f>"SO20000201"</f>
        <v>SO20000201</v>
      </c>
      <c r="AC3464">
        <v>51</v>
      </c>
      <c r="AD3464" s="1">
        <v>43970</v>
      </c>
      <c r="AE3464" t="str">
        <f>"SH20001276"</f>
        <v>SH20001276</v>
      </c>
      <c r="AF3464" t="str">
        <f>"משלוחים ללקוח"</f>
        <v>משלוחים ללקוח</v>
      </c>
      <c r="AG3464" s="1">
        <v>44089</v>
      </c>
      <c r="AM3464" t="str">
        <f>"10"</f>
        <v>10</v>
      </c>
      <c r="AN3464" t="str">
        <f>"500000"</f>
        <v>500000</v>
      </c>
      <c r="AO3464" t="str">
        <f>"הכנסות  מלקוחות"</f>
        <v>הכנסות  מלקוחות</v>
      </c>
      <c r="AQ3464" t="str">
        <f>"034"</f>
        <v>034</v>
      </c>
      <c r="AR3464">
        <v>0</v>
      </c>
      <c r="AS3464">
        <v>0</v>
      </c>
      <c r="AT3464">
        <v>3.4449999999999998</v>
      </c>
      <c r="AX3464" t="str">
        <f>"E000311250"</f>
        <v>E000311250</v>
      </c>
      <c r="BD3464" t="str">
        <f>"ערן שלו"</f>
        <v>ערן שלו</v>
      </c>
    </row>
    <row r="3465" spans="1:56" x14ac:dyDescent="0.3">
      <c r="A3465" s="1">
        <v>44098</v>
      </c>
      <c r="B3465" t="str">
        <f>"SI206000933"</f>
        <v>SI206000933</v>
      </c>
      <c r="C3465" t="str">
        <f>"PR20000198"</f>
        <v>PR20000198</v>
      </c>
      <c r="E3465" t="str">
        <f>"Y"</f>
        <v>Y</v>
      </c>
      <c r="F3465" t="str">
        <f>"חשבוניות מרכזות"</f>
        <v>חשבוניות מרכזות</v>
      </c>
      <c r="G3465" t="str">
        <f>"700065"</f>
        <v>700065</v>
      </c>
      <c r="H3465" t="str">
        <f>"אלתא מערכות בע""מ"</f>
        <v>אלתא מערכות בע"מ</v>
      </c>
      <c r="I3465" t="str">
        <f>"10"</f>
        <v>10</v>
      </c>
      <c r="J3465" t="str">
        <f>"OP-AR01693"</f>
        <v>OP-AR01693</v>
      </c>
      <c r="K3465" t="str">
        <f>"1032F915-001 HARNESS W915 - A1-ACM TO HVPS SWITC"</f>
        <v>1032F915-001 HARNESS W915 - A1-ACM TO HVPS SWITC</v>
      </c>
      <c r="L3465">
        <v>1</v>
      </c>
      <c r="M3465" t="str">
        <f>"יח"</f>
        <v>יח</v>
      </c>
      <c r="N3465">
        <v>1</v>
      </c>
      <c r="O3465" t="str">
        <f>"יח"</f>
        <v>יח</v>
      </c>
      <c r="P3465">
        <v>704.52</v>
      </c>
      <c r="Q3465" t="str">
        <f>"$"</f>
        <v>$</v>
      </c>
      <c r="R3465" t="str">
        <f>"הזמנה"</f>
        <v>הזמנה</v>
      </c>
      <c r="S3465">
        <v>0</v>
      </c>
      <c r="T3465">
        <v>704.52</v>
      </c>
      <c r="U3465">
        <v>0</v>
      </c>
      <c r="V3465">
        <v>704.52</v>
      </c>
      <c r="W3465" t="str">
        <f>"$"</f>
        <v>$</v>
      </c>
      <c r="X3465">
        <v>0</v>
      </c>
      <c r="Y3465">
        <v>0</v>
      </c>
      <c r="Z3465">
        <v>0</v>
      </c>
      <c r="AA3465" t="str">
        <f>"Y"</f>
        <v>Y</v>
      </c>
      <c r="AB3465" t="str">
        <f>"SO20000128"</f>
        <v>SO20000128</v>
      </c>
      <c r="AC3465">
        <v>2</v>
      </c>
      <c r="AD3465" s="1">
        <v>43923</v>
      </c>
      <c r="AE3465" t="str">
        <f>"SH20001278"</f>
        <v>SH20001278</v>
      </c>
      <c r="AF3465" t="str">
        <f>"משלוחים ללקוח"</f>
        <v>משלוחים ללקוח</v>
      </c>
      <c r="AG3465" s="1">
        <v>44089</v>
      </c>
      <c r="AM3465" t="str">
        <f>"10"</f>
        <v>10</v>
      </c>
      <c r="AN3465" t="str">
        <f>"500000"</f>
        <v>500000</v>
      </c>
      <c r="AO3465" t="str">
        <f>"הכנסות  מלקוחות"</f>
        <v>הכנסות  מלקוחות</v>
      </c>
      <c r="AQ3465" t="str">
        <f>"034"</f>
        <v>034</v>
      </c>
      <c r="AR3465">
        <v>0</v>
      </c>
      <c r="AS3465">
        <v>0</v>
      </c>
      <c r="AT3465">
        <v>3.4449999999999998</v>
      </c>
      <c r="AX3465" t="str">
        <f>"E000309541"</f>
        <v>E000309541</v>
      </c>
      <c r="BD3465" t="str">
        <f>"ערן שלו"</f>
        <v>ערן שלו</v>
      </c>
    </row>
    <row r="3466" spans="1:56" x14ac:dyDescent="0.3">
      <c r="A3466" s="1">
        <v>44098</v>
      </c>
      <c r="B3466" t="str">
        <f>"SI206000932"</f>
        <v>SI206000932</v>
      </c>
      <c r="C3466" t="str">
        <f>"PR20000490"</f>
        <v>PR20000490</v>
      </c>
      <c r="D3466" t="str">
        <f>"PR20000490"</f>
        <v>PR20000490</v>
      </c>
      <c r="E3466" t="str">
        <f>"Y"</f>
        <v>Y</v>
      </c>
      <c r="F3466" t="str">
        <f>"חשבוניות מרכזות"</f>
        <v>חשבוניות מרכזות</v>
      </c>
      <c r="G3466" t="str">
        <f>"700065"</f>
        <v>700065</v>
      </c>
      <c r="H3466" t="str">
        <f>"אלתא מערכות בע""מ"</f>
        <v>אלתא מערכות בע"מ</v>
      </c>
      <c r="I3466" t="str">
        <f>"10"</f>
        <v>10</v>
      </c>
      <c r="J3466" t="str">
        <f>"OP-AR01890"</f>
        <v>OP-AR01890</v>
      </c>
      <c r="K3466" t="str">
        <f>"1021M816-001 - CABLE ASSY W30"</f>
        <v>1021M816-001 - CABLE ASSY W30</v>
      </c>
      <c r="L3466">
        <v>1</v>
      </c>
      <c r="M3466" t="str">
        <f>"יח"</f>
        <v>יח</v>
      </c>
      <c r="N3466">
        <v>1</v>
      </c>
      <c r="O3466" t="str">
        <f>"יח"</f>
        <v>יח</v>
      </c>
      <c r="P3466">
        <v>335.88</v>
      </c>
      <c r="Q3466" t="str">
        <f>"$"</f>
        <v>$</v>
      </c>
      <c r="R3466" t="str">
        <f>"הזמנה"</f>
        <v>הזמנה</v>
      </c>
      <c r="S3466">
        <v>0</v>
      </c>
      <c r="T3466">
        <v>335.88</v>
      </c>
      <c r="U3466">
        <v>0</v>
      </c>
      <c r="V3466">
        <v>335.88</v>
      </c>
      <c r="W3466" t="str">
        <f>"$"</f>
        <v>$</v>
      </c>
      <c r="X3466">
        <v>0</v>
      </c>
      <c r="Y3466">
        <v>0</v>
      </c>
      <c r="Z3466">
        <v>0</v>
      </c>
      <c r="AA3466" t="str">
        <f>"Y"</f>
        <v>Y</v>
      </c>
      <c r="AB3466" t="str">
        <f>"SO20000298"</f>
        <v>SO20000298</v>
      </c>
      <c r="AC3466">
        <v>4</v>
      </c>
      <c r="AD3466" s="1">
        <v>44026</v>
      </c>
      <c r="AE3466" t="str">
        <f>"SH20001277"</f>
        <v>SH20001277</v>
      </c>
      <c r="AF3466" t="str">
        <f>"משלוחים ללקוח"</f>
        <v>משלוחים ללקוח</v>
      </c>
      <c r="AG3466" s="1">
        <v>44089</v>
      </c>
      <c r="AM3466" t="str">
        <f>"10"</f>
        <v>10</v>
      </c>
      <c r="AN3466" t="str">
        <f>"500000"</f>
        <v>500000</v>
      </c>
      <c r="AO3466" t="str">
        <f>"הכנסות  מלקוחות"</f>
        <v>הכנסות  מלקוחות</v>
      </c>
      <c r="AQ3466" t="str">
        <f>"034"</f>
        <v>034</v>
      </c>
      <c r="AR3466">
        <v>0</v>
      </c>
      <c r="AS3466">
        <v>0</v>
      </c>
      <c r="AT3466">
        <v>3.4449999999999998</v>
      </c>
      <c r="AX3466" t="str">
        <f>"E000315393"</f>
        <v>E000315393</v>
      </c>
      <c r="BD3466" t="str">
        <f>"ערן שלו"</f>
        <v>ערן שלו</v>
      </c>
    </row>
    <row r="3467" spans="1:56" x14ac:dyDescent="0.3">
      <c r="A3467" s="1">
        <v>44098</v>
      </c>
      <c r="B3467" t="str">
        <f>"SI206000932"</f>
        <v>SI206000932</v>
      </c>
      <c r="C3467" t="str">
        <f>"PR20000490"</f>
        <v>PR20000490</v>
      </c>
      <c r="D3467" t="str">
        <f>"PR20000490"</f>
        <v>PR20000490</v>
      </c>
      <c r="E3467" t="str">
        <f>"Y"</f>
        <v>Y</v>
      </c>
      <c r="F3467" t="str">
        <f>"חשבוניות מרכזות"</f>
        <v>חשבוניות מרכזות</v>
      </c>
      <c r="G3467" t="str">
        <f>"700065"</f>
        <v>700065</v>
      </c>
      <c r="H3467" t="str">
        <f>"אלתא מערכות בע""מ"</f>
        <v>אלתא מערכות בע"מ</v>
      </c>
      <c r="I3467" t="str">
        <f>"10"</f>
        <v>10</v>
      </c>
      <c r="J3467" t="str">
        <f>"OP-AR01891"</f>
        <v>OP-AR01891</v>
      </c>
      <c r="K3467" t="str">
        <f>"1021M818-001 - CABLE ASSY W31"</f>
        <v>1021M818-001 - CABLE ASSY W31</v>
      </c>
      <c r="L3467">
        <v>1</v>
      </c>
      <c r="M3467" t="str">
        <f>"יח"</f>
        <v>יח</v>
      </c>
      <c r="N3467">
        <v>1</v>
      </c>
      <c r="O3467" t="str">
        <f>"יח"</f>
        <v>יח</v>
      </c>
      <c r="P3467">
        <v>347.01</v>
      </c>
      <c r="Q3467" t="str">
        <f>"$"</f>
        <v>$</v>
      </c>
      <c r="R3467" t="str">
        <f>"הזמנה"</f>
        <v>הזמנה</v>
      </c>
      <c r="S3467">
        <v>0</v>
      </c>
      <c r="T3467">
        <v>347.01</v>
      </c>
      <c r="U3467">
        <v>0</v>
      </c>
      <c r="V3467">
        <v>347.01</v>
      </c>
      <c r="W3467" t="str">
        <f>"$"</f>
        <v>$</v>
      </c>
      <c r="X3467">
        <v>0</v>
      </c>
      <c r="Y3467">
        <v>0</v>
      </c>
      <c r="Z3467">
        <v>0</v>
      </c>
      <c r="AA3467" t="str">
        <f>"Y"</f>
        <v>Y</v>
      </c>
      <c r="AB3467" t="str">
        <f>"SO20000298"</f>
        <v>SO20000298</v>
      </c>
      <c r="AC3467">
        <v>5</v>
      </c>
      <c r="AD3467" s="1">
        <v>44026</v>
      </c>
      <c r="AE3467" t="str">
        <f>"SH20001277"</f>
        <v>SH20001277</v>
      </c>
      <c r="AF3467" t="str">
        <f>"משלוחים ללקוח"</f>
        <v>משלוחים ללקוח</v>
      </c>
      <c r="AG3467" s="1">
        <v>44089</v>
      </c>
      <c r="AM3467" t="str">
        <f>"10"</f>
        <v>10</v>
      </c>
      <c r="AN3467" t="str">
        <f>"500000"</f>
        <v>500000</v>
      </c>
      <c r="AO3467" t="str">
        <f>"הכנסות  מלקוחות"</f>
        <v>הכנסות  מלקוחות</v>
      </c>
      <c r="AQ3467" t="str">
        <f>"034"</f>
        <v>034</v>
      </c>
      <c r="AR3467">
        <v>0</v>
      </c>
      <c r="AS3467">
        <v>0</v>
      </c>
      <c r="AT3467">
        <v>3.4449999999999998</v>
      </c>
      <c r="AX3467" t="str">
        <f>"E000315393"</f>
        <v>E000315393</v>
      </c>
      <c r="BD3467" t="str">
        <f>"ערן שלו"</f>
        <v>ערן שלו</v>
      </c>
    </row>
    <row r="3468" spans="1:56" x14ac:dyDescent="0.3">
      <c r="A3468" s="1">
        <v>44098</v>
      </c>
      <c r="B3468" t="str">
        <f>"SI206000932"</f>
        <v>SI206000932</v>
      </c>
      <c r="C3468" t="str">
        <f>"PR20000490"</f>
        <v>PR20000490</v>
      </c>
      <c r="D3468" t="str">
        <f>"PR20000490"</f>
        <v>PR20000490</v>
      </c>
      <c r="E3468" t="str">
        <f>"Y"</f>
        <v>Y</v>
      </c>
      <c r="F3468" t="str">
        <f>"חשבוניות מרכזות"</f>
        <v>חשבוניות מרכזות</v>
      </c>
      <c r="G3468" t="str">
        <f>"700065"</f>
        <v>700065</v>
      </c>
      <c r="H3468" t="str">
        <f>"אלתא מערכות בע""מ"</f>
        <v>אלתא מערכות בע"מ</v>
      </c>
      <c r="I3468" t="str">
        <f>"10"</f>
        <v>10</v>
      </c>
      <c r="J3468" t="str">
        <f>"OP-AR01892"</f>
        <v>OP-AR01892</v>
      </c>
      <c r="K3468" t="str">
        <f>"1021M808-001 - CABLE ASSY W32"</f>
        <v>1021M808-001 - CABLE ASSY W32</v>
      </c>
      <c r="L3468">
        <v>1</v>
      </c>
      <c r="M3468" t="str">
        <f>"יח"</f>
        <v>יח</v>
      </c>
      <c r="N3468">
        <v>1</v>
      </c>
      <c r="O3468" t="str">
        <f>"יח"</f>
        <v>יח</v>
      </c>
      <c r="P3468">
        <v>300.17</v>
      </c>
      <c r="Q3468" t="str">
        <f>"$"</f>
        <v>$</v>
      </c>
      <c r="R3468" t="str">
        <f>"הזמנה"</f>
        <v>הזמנה</v>
      </c>
      <c r="S3468">
        <v>0</v>
      </c>
      <c r="T3468">
        <v>300.17</v>
      </c>
      <c r="U3468">
        <v>0</v>
      </c>
      <c r="V3468">
        <v>300.17</v>
      </c>
      <c r="W3468" t="str">
        <f>"$"</f>
        <v>$</v>
      </c>
      <c r="X3468">
        <v>0</v>
      </c>
      <c r="Y3468">
        <v>0</v>
      </c>
      <c r="Z3468">
        <v>0</v>
      </c>
      <c r="AA3468" t="str">
        <f>"Y"</f>
        <v>Y</v>
      </c>
      <c r="AB3468" t="str">
        <f>"SO20000298"</f>
        <v>SO20000298</v>
      </c>
      <c r="AC3468">
        <v>6</v>
      </c>
      <c r="AD3468" s="1">
        <v>44026</v>
      </c>
      <c r="AE3468" t="str">
        <f>"SH20001277"</f>
        <v>SH20001277</v>
      </c>
      <c r="AF3468" t="str">
        <f>"משלוחים ללקוח"</f>
        <v>משלוחים ללקוח</v>
      </c>
      <c r="AG3468" s="1">
        <v>44089</v>
      </c>
      <c r="AM3468" t="str">
        <f>"10"</f>
        <v>10</v>
      </c>
      <c r="AN3468" t="str">
        <f>"500000"</f>
        <v>500000</v>
      </c>
      <c r="AO3468" t="str">
        <f>"הכנסות  מלקוחות"</f>
        <v>הכנסות  מלקוחות</v>
      </c>
      <c r="AQ3468" t="str">
        <f>"034"</f>
        <v>034</v>
      </c>
      <c r="AR3468">
        <v>0</v>
      </c>
      <c r="AS3468">
        <v>0</v>
      </c>
      <c r="AT3468">
        <v>3.4449999999999998</v>
      </c>
      <c r="AX3468" t="str">
        <f>"E000315393"</f>
        <v>E000315393</v>
      </c>
      <c r="BD3468" t="str">
        <f>"ערן שלו"</f>
        <v>ערן שלו</v>
      </c>
    </row>
    <row r="3469" spans="1:56" x14ac:dyDescent="0.3">
      <c r="A3469" s="1">
        <v>44098</v>
      </c>
      <c r="B3469" t="str">
        <f>"SI206000931"</f>
        <v>SI206000931</v>
      </c>
      <c r="C3469" t="str">
        <f>"PR20000348"</f>
        <v>PR20000348</v>
      </c>
      <c r="E3469" t="str">
        <f>"Y"</f>
        <v>Y</v>
      </c>
      <c r="F3469" t="str">
        <f>"חשבוניות מרכזות"</f>
        <v>חשבוניות מרכזות</v>
      </c>
      <c r="G3469" t="str">
        <f>"700065"</f>
        <v>700065</v>
      </c>
      <c r="H3469" t="str">
        <f>"אלתא מערכות בע""מ"</f>
        <v>אלתא מערכות בע"מ</v>
      </c>
      <c r="I3469" t="str">
        <f>"10"</f>
        <v>10</v>
      </c>
      <c r="J3469" t="str">
        <f>"OP-AR01785"</f>
        <v>OP-AR01785</v>
      </c>
      <c r="K3469" t="str">
        <f>"1037V780-001 WMG107-BONDING STRAP EXTERNAL MEB t"</f>
        <v>1037V780-001 WMG107-BONDING STRAP EXTERNAL MEB t</v>
      </c>
      <c r="L3469">
        <v>2</v>
      </c>
      <c r="M3469" t="str">
        <f>"יח"</f>
        <v>יח</v>
      </c>
      <c r="N3469">
        <v>2</v>
      </c>
      <c r="O3469" t="str">
        <f>"יח"</f>
        <v>יח</v>
      </c>
      <c r="P3469">
        <v>84.22</v>
      </c>
      <c r="Q3469" t="str">
        <f>"$"</f>
        <v>$</v>
      </c>
      <c r="R3469" t="str">
        <f>"הזמנה"</f>
        <v>הזמנה</v>
      </c>
      <c r="S3469">
        <v>0</v>
      </c>
      <c r="T3469">
        <v>168.44</v>
      </c>
      <c r="U3469">
        <v>0</v>
      </c>
      <c r="V3469">
        <v>168.44</v>
      </c>
      <c r="W3469" t="str">
        <f>"$"</f>
        <v>$</v>
      </c>
      <c r="X3469">
        <v>0</v>
      </c>
      <c r="Y3469">
        <v>0</v>
      </c>
      <c r="Z3469">
        <v>0</v>
      </c>
      <c r="AA3469" t="str">
        <f>"Y"</f>
        <v>Y</v>
      </c>
      <c r="AB3469" t="str">
        <f>"SO20000201"</f>
        <v>SO20000201</v>
      </c>
      <c r="AC3469">
        <v>51</v>
      </c>
      <c r="AD3469" s="1">
        <v>43970</v>
      </c>
      <c r="AE3469" t="str">
        <f>"SH20001280"</f>
        <v>SH20001280</v>
      </c>
      <c r="AF3469" t="str">
        <f>"משלוחים ללקוח"</f>
        <v>משלוחים ללקוח</v>
      </c>
      <c r="AG3469" s="1">
        <v>44089</v>
      </c>
      <c r="AM3469" t="str">
        <f>"10"</f>
        <v>10</v>
      </c>
      <c r="AN3469" t="str">
        <f>"500000"</f>
        <v>500000</v>
      </c>
      <c r="AO3469" t="str">
        <f>"הכנסות  מלקוחות"</f>
        <v>הכנסות  מלקוחות</v>
      </c>
      <c r="AQ3469" t="str">
        <f>"034"</f>
        <v>034</v>
      </c>
      <c r="AR3469">
        <v>0</v>
      </c>
      <c r="AS3469">
        <v>0</v>
      </c>
      <c r="AT3469">
        <v>3.4449999999999998</v>
      </c>
      <c r="AX3469" t="str">
        <f>"E000311250"</f>
        <v>E000311250</v>
      </c>
      <c r="BD3469" t="str">
        <f>"ערן שלו"</f>
        <v>ערן שלו</v>
      </c>
    </row>
    <row r="3470" spans="1:56" x14ac:dyDescent="0.3">
      <c r="A3470" s="1">
        <v>44098</v>
      </c>
      <c r="B3470" t="str">
        <f>"SI206000930"</f>
        <v>SI206000930</v>
      </c>
      <c r="C3470" t="str">
        <f>"PR18000543"</f>
        <v>PR18000543</v>
      </c>
      <c r="E3470" t="str">
        <f>"Y"</f>
        <v>Y</v>
      </c>
      <c r="F3470" t="str">
        <f>"חשבוניות מרכזות"</f>
        <v>חשבוניות מרכזות</v>
      </c>
      <c r="G3470" t="str">
        <f>"700065"</f>
        <v>700065</v>
      </c>
      <c r="H3470" t="str">
        <f>"אלתא מערכות בע""מ"</f>
        <v>אלתא מערכות בע"מ</v>
      </c>
      <c r="I3470" t="str">
        <f>"10"</f>
        <v>10</v>
      </c>
      <c r="J3470" t="str">
        <f>"OP-AR01083"</f>
        <v>OP-AR01083</v>
      </c>
      <c r="K3470" t="str">
        <f>"1036C960-001 HVJB_N"</f>
        <v>1036C960-001 HVJB_N</v>
      </c>
      <c r="L3470">
        <v>6</v>
      </c>
      <c r="M3470" t="str">
        <f>"יח"</f>
        <v>יח</v>
      </c>
      <c r="N3470">
        <v>6</v>
      </c>
      <c r="O3470" t="str">
        <f>"יח"</f>
        <v>יח</v>
      </c>
      <c r="P3470" s="2">
        <v>6000</v>
      </c>
      <c r="Q3470" t="str">
        <f>"$"</f>
        <v>$</v>
      </c>
      <c r="R3470" t="str">
        <f>"הזמנה"</f>
        <v>הזמנה</v>
      </c>
      <c r="S3470">
        <v>0</v>
      </c>
      <c r="T3470" s="2">
        <v>36000</v>
      </c>
      <c r="U3470">
        <v>0</v>
      </c>
      <c r="V3470" s="2">
        <v>36000</v>
      </c>
      <c r="W3470" t="str">
        <f>"$"</f>
        <v>$</v>
      </c>
      <c r="X3470">
        <v>0</v>
      </c>
      <c r="Y3470">
        <v>0</v>
      </c>
      <c r="Z3470">
        <v>0</v>
      </c>
      <c r="AA3470" t="str">
        <f>"Y"</f>
        <v>Y</v>
      </c>
      <c r="AB3470" t="str">
        <f>"SO19000320"</f>
        <v>SO19000320</v>
      </c>
      <c r="AC3470">
        <v>2</v>
      </c>
      <c r="AD3470" s="1">
        <v>43667</v>
      </c>
      <c r="AE3470" t="str">
        <f>"SH20001260"</f>
        <v>SH20001260</v>
      </c>
      <c r="AF3470" t="str">
        <f>"משלוחים ללקוח"</f>
        <v>משלוחים ללקוח</v>
      </c>
      <c r="AG3470" s="1">
        <v>44082</v>
      </c>
      <c r="AM3470" t="str">
        <f>"10"</f>
        <v>10</v>
      </c>
      <c r="AN3470" t="str">
        <f>"500000"</f>
        <v>500000</v>
      </c>
      <c r="AO3470" t="str">
        <f>"הכנסות  מלקוחות"</f>
        <v>הכנסות  מלקוחות</v>
      </c>
      <c r="AQ3470" t="str">
        <f>"034"</f>
        <v>034</v>
      </c>
      <c r="AR3470">
        <v>0</v>
      </c>
      <c r="AS3470">
        <v>0</v>
      </c>
      <c r="AT3470">
        <v>3.4449999999999998</v>
      </c>
      <c r="AX3470" t="str">
        <f>"E000290709"</f>
        <v>E000290709</v>
      </c>
      <c r="BD3470" t="str">
        <f>"ערן שלו"</f>
        <v>ערן שלו</v>
      </c>
    </row>
    <row r="3471" spans="1:56" x14ac:dyDescent="0.3">
      <c r="A3471" s="1">
        <v>44098</v>
      </c>
      <c r="B3471" t="str">
        <f>"SI206000930"</f>
        <v>SI206000930</v>
      </c>
      <c r="C3471" t="str">
        <f>"PR18000543"</f>
        <v>PR18000543</v>
      </c>
      <c r="E3471" t="str">
        <f>"Y"</f>
        <v>Y</v>
      </c>
      <c r="F3471" t="str">
        <f>"חשבוניות מרכזות"</f>
        <v>חשבוניות מרכזות</v>
      </c>
      <c r="G3471" t="str">
        <f>"700065"</f>
        <v>700065</v>
      </c>
      <c r="H3471" t="str">
        <f>"אלתא מערכות בע""מ"</f>
        <v>אלתא מערכות בע"מ</v>
      </c>
      <c r="I3471" t="str">
        <f>"10"</f>
        <v>10</v>
      </c>
      <c r="J3471" t="str">
        <f>"OP-AR01083"</f>
        <v>OP-AR01083</v>
      </c>
      <c r="K3471" t="str">
        <f>"1036C960-001 HVJB_N"</f>
        <v>1036C960-001 HVJB_N</v>
      </c>
      <c r="L3471">
        <v>2</v>
      </c>
      <c r="M3471" t="str">
        <f>"יח"</f>
        <v>יח</v>
      </c>
      <c r="N3471">
        <v>2</v>
      </c>
      <c r="O3471" t="str">
        <f>"יח"</f>
        <v>יח</v>
      </c>
      <c r="P3471" s="2">
        <v>6000</v>
      </c>
      <c r="Q3471" t="str">
        <f>"$"</f>
        <v>$</v>
      </c>
      <c r="R3471" t="str">
        <f>"הזמנה"</f>
        <v>הזמנה</v>
      </c>
      <c r="S3471">
        <v>0</v>
      </c>
      <c r="T3471" s="2">
        <v>12000</v>
      </c>
      <c r="U3471">
        <v>0</v>
      </c>
      <c r="V3471" s="2">
        <v>12000</v>
      </c>
      <c r="W3471" t="str">
        <f>"$"</f>
        <v>$</v>
      </c>
      <c r="X3471">
        <v>0</v>
      </c>
      <c r="Y3471">
        <v>0</v>
      </c>
      <c r="Z3471">
        <v>0</v>
      </c>
      <c r="AA3471" t="str">
        <f>"Y"</f>
        <v>Y</v>
      </c>
      <c r="AB3471" t="str">
        <f>"SO19000320"</f>
        <v>SO19000320</v>
      </c>
      <c r="AC3471">
        <v>3</v>
      </c>
      <c r="AD3471" s="1">
        <v>43667</v>
      </c>
      <c r="AE3471" t="str">
        <f>"SH20001260"</f>
        <v>SH20001260</v>
      </c>
      <c r="AF3471" t="str">
        <f>"משלוחים ללקוח"</f>
        <v>משלוחים ללקוח</v>
      </c>
      <c r="AG3471" s="1">
        <v>44082</v>
      </c>
      <c r="AM3471" t="str">
        <f>"10"</f>
        <v>10</v>
      </c>
      <c r="AN3471" t="str">
        <f>"500000"</f>
        <v>500000</v>
      </c>
      <c r="AO3471" t="str">
        <f>"הכנסות  מלקוחות"</f>
        <v>הכנסות  מלקוחות</v>
      </c>
      <c r="AQ3471" t="str">
        <f>"034"</f>
        <v>034</v>
      </c>
      <c r="AR3471">
        <v>0</v>
      </c>
      <c r="AS3471">
        <v>0</v>
      </c>
      <c r="AT3471">
        <v>3.4449999999999998</v>
      </c>
      <c r="AX3471" t="str">
        <f>"E000290709"</f>
        <v>E000290709</v>
      </c>
      <c r="BD3471" t="str">
        <f>"ערן שלו"</f>
        <v>ערן שלו</v>
      </c>
    </row>
    <row r="3472" spans="1:56" x14ac:dyDescent="0.3">
      <c r="A3472" s="1">
        <v>44098</v>
      </c>
      <c r="B3472" t="str">
        <f>"SI206000929"</f>
        <v>SI206000929</v>
      </c>
      <c r="C3472" t="str">
        <f>"PR20000373"</f>
        <v>PR20000373</v>
      </c>
      <c r="E3472" t="str">
        <f>"Y"</f>
        <v>Y</v>
      </c>
      <c r="F3472" t="str">
        <f>"חשבוניות מרכזות"</f>
        <v>חשבוניות מרכזות</v>
      </c>
      <c r="G3472" t="str">
        <f>"700065"</f>
        <v>700065</v>
      </c>
      <c r="H3472" t="str">
        <f>"אלתא מערכות בע""מ"</f>
        <v>אלתא מערכות בע"מ</v>
      </c>
      <c r="I3472" t="str">
        <f>"10"</f>
        <v>10</v>
      </c>
      <c r="J3472" t="str">
        <f>"OP-AR00467"</f>
        <v>OP-AR00467</v>
      </c>
      <c r="K3472" t="str">
        <f>"AC PCU CONTROL BOX"</f>
        <v>AC PCU CONTROL BOX</v>
      </c>
      <c r="L3472">
        <v>1</v>
      </c>
      <c r="M3472" t="str">
        <f>"יח"</f>
        <v>יח</v>
      </c>
      <c r="N3472">
        <v>1</v>
      </c>
      <c r="O3472" t="str">
        <f>"יח"</f>
        <v>יח</v>
      </c>
      <c r="P3472" s="2">
        <v>4250</v>
      </c>
      <c r="Q3472" t="str">
        <f>"$"</f>
        <v>$</v>
      </c>
      <c r="R3472" t="str">
        <f>"הזמנה"</f>
        <v>הזמנה</v>
      </c>
      <c r="S3472">
        <v>0</v>
      </c>
      <c r="T3472" s="2">
        <v>4250</v>
      </c>
      <c r="U3472">
        <v>0</v>
      </c>
      <c r="V3472" s="2">
        <v>4250</v>
      </c>
      <c r="W3472" t="str">
        <f>"$"</f>
        <v>$</v>
      </c>
      <c r="X3472">
        <v>0</v>
      </c>
      <c r="Y3472">
        <v>0</v>
      </c>
      <c r="Z3472">
        <v>0</v>
      </c>
      <c r="AA3472" t="str">
        <f>"Y"</f>
        <v>Y</v>
      </c>
      <c r="AB3472" t="str">
        <f>"SO20000234"</f>
        <v>SO20000234</v>
      </c>
      <c r="AC3472">
        <v>2</v>
      </c>
      <c r="AD3472" s="1">
        <v>43990</v>
      </c>
      <c r="AE3472" t="str">
        <f>"SH20001258"</f>
        <v>SH20001258</v>
      </c>
      <c r="AF3472" t="str">
        <f>"משלוחים ללקוח"</f>
        <v>משלוחים ללקוח</v>
      </c>
      <c r="AG3472" s="1">
        <v>44082</v>
      </c>
      <c r="AM3472" t="str">
        <f>"10"</f>
        <v>10</v>
      </c>
      <c r="AN3472" t="str">
        <f>"500000"</f>
        <v>500000</v>
      </c>
      <c r="AO3472" t="str">
        <f>"הכנסות  מלקוחות"</f>
        <v>הכנסות  מלקוחות</v>
      </c>
      <c r="AQ3472" t="str">
        <f>"034"</f>
        <v>034</v>
      </c>
      <c r="AR3472">
        <v>0</v>
      </c>
      <c r="AS3472">
        <v>0</v>
      </c>
      <c r="AT3472">
        <v>3.4449999999999998</v>
      </c>
      <c r="AX3472" t="str">
        <f>"E000313933"</f>
        <v>E000313933</v>
      </c>
      <c r="BD3472" t="str">
        <f>"ערן שלו"</f>
        <v>ערן שלו</v>
      </c>
    </row>
    <row r="3473" spans="1:56" x14ac:dyDescent="0.3">
      <c r="A3473" s="1">
        <v>44098</v>
      </c>
      <c r="B3473" t="str">
        <f>"SI206000928"</f>
        <v>SI206000928</v>
      </c>
      <c r="C3473" t="str">
        <f>"PR20000300"</f>
        <v>PR20000300</v>
      </c>
      <c r="D3473" t="str">
        <f>"PR20000300"</f>
        <v>PR20000300</v>
      </c>
      <c r="E3473" t="str">
        <f>"Y"</f>
        <v>Y</v>
      </c>
      <c r="F3473" t="str">
        <f>"חשבוניות מרכזות"</f>
        <v>חשבוניות מרכזות</v>
      </c>
      <c r="G3473" t="str">
        <f>"700065"</f>
        <v>700065</v>
      </c>
      <c r="H3473" t="str">
        <f>"אלתא מערכות בע""מ"</f>
        <v>אלתא מערכות בע"מ</v>
      </c>
      <c r="I3473" t="str">
        <f>"10"</f>
        <v>10</v>
      </c>
      <c r="J3473" t="str">
        <f>"OP-AR00467"</f>
        <v>OP-AR00467</v>
      </c>
      <c r="K3473" t="str">
        <f>"AC PCU CONTROL BOX"</f>
        <v>AC PCU CONTROL BOX</v>
      </c>
      <c r="L3473">
        <v>2</v>
      </c>
      <c r="M3473" t="str">
        <f>"יח"</f>
        <v>יח</v>
      </c>
      <c r="N3473">
        <v>2</v>
      </c>
      <c r="O3473" t="str">
        <f>"יח"</f>
        <v>יח</v>
      </c>
      <c r="P3473" s="2">
        <v>4250</v>
      </c>
      <c r="Q3473" t="str">
        <f>"$"</f>
        <v>$</v>
      </c>
      <c r="R3473" t="str">
        <f>"הזמנה"</f>
        <v>הזמנה</v>
      </c>
      <c r="S3473">
        <v>0</v>
      </c>
      <c r="T3473" s="2">
        <v>8500</v>
      </c>
      <c r="U3473">
        <v>0</v>
      </c>
      <c r="V3473" s="2">
        <v>8500</v>
      </c>
      <c r="W3473" t="str">
        <f>"$"</f>
        <v>$</v>
      </c>
      <c r="X3473">
        <v>0</v>
      </c>
      <c r="Y3473">
        <v>0</v>
      </c>
      <c r="Z3473">
        <v>0</v>
      </c>
      <c r="AA3473" t="str">
        <f>"Y"</f>
        <v>Y</v>
      </c>
      <c r="AB3473" t="str">
        <f>"SO20000185"</f>
        <v>SO20000185</v>
      </c>
      <c r="AC3473">
        <v>1</v>
      </c>
      <c r="AD3473" s="1">
        <v>43957</v>
      </c>
      <c r="AE3473" t="str">
        <f>"SH20001257"</f>
        <v>SH20001257</v>
      </c>
      <c r="AF3473" t="str">
        <f>"משלוחים ללקוח"</f>
        <v>משלוחים ללקוח</v>
      </c>
      <c r="AG3473" s="1">
        <v>44082</v>
      </c>
      <c r="AM3473" t="str">
        <f>"10"</f>
        <v>10</v>
      </c>
      <c r="AN3473" t="str">
        <f>"500000"</f>
        <v>500000</v>
      </c>
      <c r="AO3473" t="str">
        <f>"הכנסות  מלקוחות"</f>
        <v>הכנסות  מלקוחות</v>
      </c>
      <c r="AQ3473" t="str">
        <f>"034"</f>
        <v>034</v>
      </c>
      <c r="AR3473">
        <v>0</v>
      </c>
      <c r="AS3473">
        <v>0</v>
      </c>
      <c r="AT3473">
        <v>3.4449999999999998</v>
      </c>
      <c r="AX3473" t="str">
        <f>"E000311074"</f>
        <v>E000311074</v>
      </c>
      <c r="BD3473" t="str">
        <f>"ערן שלו"</f>
        <v>ערן שלו</v>
      </c>
    </row>
    <row r="3474" spans="1:56" x14ac:dyDescent="0.3">
      <c r="A3474" s="1">
        <v>44098</v>
      </c>
      <c r="B3474" t="str">
        <f>"SI206000927"</f>
        <v>SI206000927</v>
      </c>
      <c r="C3474" t="str">
        <f>"PR20000348"</f>
        <v>PR20000348</v>
      </c>
      <c r="E3474" t="str">
        <f>"Y"</f>
        <v>Y</v>
      </c>
      <c r="F3474" t="str">
        <f>"חשבוניות מרכזות"</f>
        <v>חשבוניות מרכזות</v>
      </c>
      <c r="G3474" t="str">
        <f>"700065"</f>
        <v>700065</v>
      </c>
      <c r="H3474" t="str">
        <f>"אלתא מערכות בע""מ"</f>
        <v>אלתא מערכות בע"מ</v>
      </c>
      <c r="I3474" t="str">
        <f>"10"</f>
        <v>10</v>
      </c>
      <c r="J3474" t="str">
        <f>"OP-AR01735"</f>
        <v>OP-AR01735</v>
      </c>
      <c r="K3474" t="str">
        <f>"1039V324-001 WP324 - POWER 320VDC PDB TO ROTARY"</f>
        <v>1039V324-001 WP324 - POWER 320VDC PDB TO ROTARY</v>
      </c>
      <c r="L3474">
        <v>2</v>
      </c>
      <c r="M3474" t="str">
        <f>"יח"</f>
        <v>יח</v>
      </c>
      <c r="N3474">
        <v>2</v>
      </c>
      <c r="O3474" t="str">
        <f>"יח"</f>
        <v>יח</v>
      </c>
      <c r="P3474" s="2">
        <v>1282.33</v>
      </c>
      <c r="Q3474" t="str">
        <f>"$"</f>
        <v>$</v>
      </c>
      <c r="R3474" t="str">
        <f>"הזמנה"</f>
        <v>הזמנה</v>
      </c>
      <c r="S3474">
        <v>0</v>
      </c>
      <c r="T3474" s="2">
        <v>2564.66</v>
      </c>
      <c r="U3474">
        <v>0</v>
      </c>
      <c r="V3474" s="2">
        <v>2564.66</v>
      </c>
      <c r="W3474" t="str">
        <f>"$"</f>
        <v>$</v>
      </c>
      <c r="X3474">
        <v>0</v>
      </c>
      <c r="Y3474">
        <v>0</v>
      </c>
      <c r="Z3474">
        <v>0</v>
      </c>
      <c r="AA3474" t="str">
        <f>"Y"</f>
        <v>Y</v>
      </c>
      <c r="AB3474" t="str">
        <f>"SO20000201"</f>
        <v>SO20000201</v>
      </c>
      <c r="AC3474">
        <v>3</v>
      </c>
      <c r="AD3474" s="1">
        <v>43970</v>
      </c>
      <c r="AE3474" t="str">
        <f>"SH20001256"</f>
        <v>SH20001256</v>
      </c>
      <c r="AF3474" t="str">
        <f>"משלוחים ללקוח"</f>
        <v>משלוחים ללקוח</v>
      </c>
      <c r="AG3474" s="1">
        <v>44082</v>
      </c>
      <c r="AM3474" t="str">
        <f>"10"</f>
        <v>10</v>
      </c>
      <c r="AN3474" t="str">
        <f>"500000"</f>
        <v>500000</v>
      </c>
      <c r="AO3474" t="str">
        <f>"הכנסות  מלקוחות"</f>
        <v>הכנסות  מלקוחות</v>
      </c>
      <c r="AQ3474" t="str">
        <f>"034"</f>
        <v>034</v>
      </c>
      <c r="AR3474">
        <v>0</v>
      </c>
      <c r="AS3474">
        <v>0</v>
      </c>
      <c r="AT3474">
        <v>3.4449999999999998</v>
      </c>
      <c r="AX3474" t="str">
        <f>"E000311250"</f>
        <v>E000311250</v>
      </c>
      <c r="BD3474" t="str">
        <f>"ערן שלו"</f>
        <v>ערן שלו</v>
      </c>
    </row>
    <row r="3475" spans="1:56" x14ac:dyDescent="0.3">
      <c r="A3475" s="1">
        <v>44098</v>
      </c>
      <c r="B3475" t="str">
        <f>"SI206000927"</f>
        <v>SI206000927</v>
      </c>
      <c r="C3475" t="str">
        <f>"PR20000348"</f>
        <v>PR20000348</v>
      </c>
      <c r="E3475" t="str">
        <f>"Y"</f>
        <v>Y</v>
      </c>
      <c r="F3475" t="str">
        <f>"חשבוניות מרכזות"</f>
        <v>חשבוניות מרכזות</v>
      </c>
      <c r="G3475" t="str">
        <f>"700065"</f>
        <v>700065</v>
      </c>
      <c r="H3475" t="str">
        <f>"אלתא מערכות בע""מ"</f>
        <v>אלתא מערכות בע"מ</v>
      </c>
      <c r="I3475" t="str">
        <f>"10"</f>
        <v>10</v>
      </c>
      <c r="J3475" t="str">
        <f>"OP-AR01790"</f>
        <v>OP-AR01790</v>
      </c>
      <c r="K3475" t="str">
        <f>"1036U401-001 WPG22 - BONDING CABLE PLATFORM TO E"</f>
        <v>1036U401-001 WPG22 - BONDING CABLE PLATFORM TO E</v>
      </c>
      <c r="L3475">
        <v>8</v>
      </c>
      <c r="M3475" t="str">
        <f>"יח"</f>
        <v>יח</v>
      </c>
      <c r="N3475">
        <v>8</v>
      </c>
      <c r="O3475" t="str">
        <f>"יח"</f>
        <v>יח</v>
      </c>
      <c r="P3475">
        <v>155.44</v>
      </c>
      <c r="Q3475" t="str">
        <f>"$"</f>
        <v>$</v>
      </c>
      <c r="R3475" t="str">
        <f>"הזמנה"</f>
        <v>הזמנה</v>
      </c>
      <c r="S3475">
        <v>0</v>
      </c>
      <c r="T3475" s="2">
        <v>1243.52</v>
      </c>
      <c r="U3475">
        <v>0</v>
      </c>
      <c r="V3475" s="2">
        <v>1243.52</v>
      </c>
      <c r="W3475" t="str">
        <f>"$"</f>
        <v>$</v>
      </c>
      <c r="X3475">
        <v>0</v>
      </c>
      <c r="Y3475">
        <v>0</v>
      </c>
      <c r="Z3475">
        <v>0</v>
      </c>
      <c r="AA3475" t="str">
        <f>"Y"</f>
        <v>Y</v>
      </c>
      <c r="AB3475" t="str">
        <f>"SO20000201"</f>
        <v>SO20000201</v>
      </c>
      <c r="AC3475">
        <v>55</v>
      </c>
      <c r="AD3475" s="1">
        <v>43970</v>
      </c>
      <c r="AE3475" t="str">
        <f>"SH20001256"</f>
        <v>SH20001256</v>
      </c>
      <c r="AF3475" t="str">
        <f>"משלוחים ללקוח"</f>
        <v>משלוחים ללקוח</v>
      </c>
      <c r="AG3475" s="1">
        <v>44082</v>
      </c>
      <c r="AM3475" t="str">
        <f>"10"</f>
        <v>10</v>
      </c>
      <c r="AN3475" t="str">
        <f>"500000"</f>
        <v>500000</v>
      </c>
      <c r="AO3475" t="str">
        <f>"הכנסות  מלקוחות"</f>
        <v>הכנסות  מלקוחות</v>
      </c>
      <c r="AQ3475" t="str">
        <f>"034"</f>
        <v>034</v>
      </c>
      <c r="AR3475">
        <v>0</v>
      </c>
      <c r="AS3475">
        <v>0</v>
      </c>
      <c r="AT3475">
        <v>3.4449999999999998</v>
      </c>
      <c r="AX3475" t="str">
        <f>"E000311250"</f>
        <v>E000311250</v>
      </c>
      <c r="BD3475" t="str">
        <f>"ערן שלו"</f>
        <v>ערן שלו</v>
      </c>
    </row>
    <row r="3476" spans="1:56" x14ac:dyDescent="0.3">
      <c r="A3476" s="1">
        <v>44098</v>
      </c>
      <c r="B3476" t="str">
        <f>"SI206000926"</f>
        <v>SI206000926</v>
      </c>
      <c r="C3476" t="str">
        <f>"PR18000822"</f>
        <v>PR18000822</v>
      </c>
      <c r="E3476" t="str">
        <f>"Y"</f>
        <v>Y</v>
      </c>
      <c r="F3476" t="str">
        <f>"חשבוניות מרכזות"</f>
        <v>חשבוניות מרכזות</v>
      </c>
      <c r="G3476" t="str">
        <f>"700065"</f>
        <v>700065</v>
      </c>
      <c r="H3476" t="str">
        <f>"אלתא מערכות בע""מ"</f>
        <v>אלתא מערכות בע"מ</v>
      </c>
      <c r="I3476" t="str">
        <f>"10"</f>
        <v>10</v>
      </c>
      <c r="J3476" t="str">
        <f>"OP-AR12324"</f>
        <v>OP-AR12324</v>
      </c>
      <c r="K3476" t="str">
        <f>"לוח חלוקה DC PDB מק""ט לקוח 1025A690-001"</f>
        <v>לוח חלוקה DC PDB מק"ט לקוח 1025A690-001</v>
      </c>
      <c r="L3476">
        <v>1</v>
      </c>
      <c r="M3476" t="str">
        <f>"יח"</f>
        <v>יח</v>
      </c>
      <c r="N3476">
        <v>1</v>
      </c>
      <c r="O3476" t="str">
        <f>"יח"</f>
        <v>יח</v>
      </c>
      <c r="P3476" s="2">
        <v>101947</v>
      </c>
      <c r="Q3476" t="str">
        <f>"$"</f>
        <v>$</v>
      </c>
      <c r="R3476" t="str">
        <f>"הזמנה"</f>
        <v>הזמנה</v>
      </c>
      <c r="S3476">
        <v>0</v>
      </c>
      <c r="T3476" s="2">
        <v>101947</v>
      </c>
      <c r="U3476">
        <v>0</v>
      </c>
      <c r="V3476" s="2">
        <v>101947</v>
      </c>
      <c r="W3476" t="str">
        <f>"$"</f>
        <v>$</v>
      </c>
      <c r="X3476">
        <v>0</v>
      </c>
      <c r="Y3476">
        <v>0</v>
      </c>
      <c r="Z3476">
        <v>0</v>
      </c>
      <c r="AA3476" t="str">
        <f>"Y"</f>
        <v>Y</v>
      </c>
      <c r="AB3476" t="str">
        <f>"SO18000636"</f>
        <v>SO18000636</v>
      </c>
      <c r="AC3476">
        <v>1</v>
      </c>
      <c r="AD3476" s="1">
        <v>43418</v>
      </c>
      <c r="AE3476" t="str">
        <f>"SH20000997"</f>
        <v>SH20000997</v>
      </c>
      <c r="AF3476" t="str">
        <f>"משלוחים ללקוח"</f>
        <v>משלוחים ללקוח</v>
      </c>
      <c r="AG3476" s="1">
        <v>44040</v>
      </c>
      <c r="AM3476" t="str">
        <f>"10"</f>
        <v>10</v>
      </c>
      <c r="AN3476" t="str">
        <f>"500000"</f>
        <v>500000</v>
      </c>
      <c r="AO3476" t="str">
        <f>"הכנסות  מלקוחות"</f>
        <v>הכנסות  מלקוחות</v>
      </c>
      <c r="AQ3476" t="str">
        <f>"007"</f>
        <v>007</v>
      </c>
      <c r="AR3476">
        <v>0</v>
      </c>
      <c r="AS3476">
        <v>0</v>
      </c>
      <c r="AT3476">
        <v>3.4449999999999998</v>
      </c>
      <c r="AX3476" t="str">
        <f>"E000272374"</f>
        <v>E000272374</v>
      </c>
      <c r="BD3476" t="str">
        <f>"רוני דידי"</f>
        <v>רוני דידי</v>
      </c>
    </row>
    <row r="3477" spans="1:56" x14ac:dyDescent="0.3">
      <c r="A3477" s="1">
        <v>44096</v>
      </c>
      <c r="B3477" t="str">
        <f>"SI206000919"</f>
        <v>SI206000919</v>
      </c>
      <c r="C3477" t="str">
        <f>"PR19000454"</f>
        <v>PR19000454</v>
      </c>
      <c r="D3477" t="str">
        <f>"PR19000454"</f>
        <v>PR19000454</v>
      </c>
      <c r="E3477" t="str">
        <f>"Y"</f>
        <v>Y</v>
      </c>
      <c r="F3477" t="str">
        <f>"חשבוניות מרכזות"</f>
        <v>חשבוניות מרכזות</v>
      </c>
      <c r="G3477" t="str">
        <f>"700065"</f>
        <v>700065</v>
      </c>
      <c r="H3477" t="str">
        <f>"אלתא מערכות בע""מ"</f>
        <v>אלתא מערכות בע"מ</v>
      </c>
      <c r="I3477" t="str">
        <f>"10"</f>
        <v>10</v>
      </c>
      <c r="J3477" t="str">
        <f>"000"</f>
        <v>000</v>
      </c>
      <c r="K3477" t="str">
        <f>"אריזות עץ"</f>
        <v>אריזות עץ</v>
      </c>
      <c r="L3477">
        <v>1</v>
      </c>
      <c r="M3477" t="str">
        <f>"יח"</f>
        <v>יח</v>
      </c>
      <c r="N3477">
        <v>1</v>
      </c>
      <c r="O3477" t="str">
        <f>"יח"</f>
        <v>יח</v>
      </c>
      <c r="P3477">
        <v>700</v>
      </c>
      <c r="Q3477" t="str">
        <f>"$"</f>
        <v>$</v>
      </c>
      <c r="R3477" t="str">
        <f>"הזמנה"</f>
        <v>הזמנה</v>
      </c>
      <c r="S3477">
        <v>0</v>
      </c>
      <c r="T3477">
        <v>700</v>
      </c>
      <c r="U3477">
        <v>0</v>
      </c>
      <c r="V3477">
        <v>700</v>
      </c>
      <c r="W3477" t="str">
        <f>"$"</f>
        <v>$</v>
      </c>
      <c r="X3477">
        <v>0</v>
      </c>
      <c r="Y3477">
        <v>0</v>
      </c>
      <c r="Z3477">
        <v>0</v>
      </c>
      <c r="AA3477" t="str">
        <f>"Y"</f>
        <v>Y</v>
      </c>
      <c r="AB3477" t="str">
        <f>"SO20000425"</f>
        <v>SO20000425</v>
      </c>
      <c r="AC3477">
        <v>1</v>
      </c>
      <c r="AD3477" s="1">
        <v>44096</v>
      </c>
      <c r="AM3477" t="str">
        <f>"10"</f>
        <v>10</v>
      </c>
      <c r="AN3477" t="str">
        <f>"500000"</f>
        <v>500000</v>
      </c>
      <c r="AO3477" t="str">
        <f>"הכנסות  מלקוחות"</f>
        <v>הכנסות  מלקוחות</v>
      </c>
      <c r="AQ3477" t="str">
        <f>"034"</f>
        <v>034</v>
      </c>
      <c r="AR3477">
        <v>0</v>
      </c>
      <c r="AS3477">
        <v>0</v>
      </c>
      <c r="AT3477">
        <v>3.4420000000000002</v>
      </c>
      <c r="AX3477" t="str">
        <f>"E000322211"</f>
        <v>E000322211</v>
      </c>
      <c r="BD3477" t="str">
        <f>"ערן שלו"</f>
        <v>ערן שלו</v>
      </c>
    </row>
    <row r="3478" spans="1:56" x14ac:dyDescent="0.3">
      <c r="A3478" s="1">
        <v>44096</v>
      </c>
      <c r="B3478" t="str">
        <f>"SI206000918"</f>
        <v>SI206000918</v>
      </c>
      <c r="C3478" t="str">
        <f>"PR20000200"</f>
        <v>PR20000200</v>
      </c>
      <c r="E3478" t="str">
        <f>"Y"</f>
        <v>Y</v>
      </c>
      <c r="F3478" t="str">
        <f>"חשבוניות מרכזות"</f>
        <v>חשבוניות מרכזות</v>
      </c>
      <c r="G3478" t="str">
        <f>"700065"</f>
        <v>700065</v>
      </c>
      <c r="H3478" t="str">
        <f>"אלתא מערכות בע""מ"</f>
        <v>אלתא מערכות בע"מ</v>
      </c>
      <c r="I3478" t="str">
        <f>"10"</f>
        <v>10</v>
      </c>
      <c r="J3478" t="str">
        <f>"OP-AR01702"</f>
        <v>OP-AR01702</v>
      </c>
      <c r="K3478" t="str">
        <f>"1020B584-003 P.C.U HARN/W7/ABS NC/DATA POS"</f>
        <v>1020B584-003 P.C.U HARN/W7/ABS NC/DATA POS</v>
      </c>
      <c r="L3478">
        <v>4</v>
      </c>
      <c r="M3478" t="str">
        <f>"יח"</f>
        <v>יח</v>
      </c>
      <c r="N3478">
        <v>4</v>
      </c>
      <c r="O3478" t="str">
        <f>"יח"</f>
        <v>יח</v>
      </c>
      <c r="P3478" s="2">
        <v>1400.15</v>
      </c>
      <c r="Q3478" t="str">
        <f>"$"</f>
        <v>$</v>
      </c>
      <c r="R3478" t="str">
        <f>"הזמנה"</f>
        <v>הזמנה</v>
      </c>
      <c r="S3478">
        <v>0</v>
      </c>
      <c r="T3478" s="2">
        <v>5600.6</v>
      </c>
      <c r="U3478">
        <v>0</v>
      </c>
      <c r="V3478" s="2">
        <v>5600.6</v>
      </c>
      <c r="W3478" t="str">
        <f>"$"</f>
        <v>$</v>
      </c>
      <c r="X3478">
        <v>0</v>
      </c>
      <c r="Y3478">
        <v>0</v>
      </c>
      <c r="Z3478">
        <v>0</v>
      </c>
      <c r="AA3478" t="str">
        <f>"Y"</f>
        <v>Y</v>
      </c>
      <c r="AB3478" t="str">
        <f>"SO20000141"</f>
        <v>SO20000141</v>
      </c>
      <c r="AC3478">
        <v>8</v>
      </c>
      <c r="AD3478" s="1">
        <v>43940</v>
      </c>
      <c r="AE3478" t="str">
        <f>"SH20001289"</f>
        <v>SH20001289</v>
      </c>
      <c r="AF3478" t="str">
        <f>"משלוחים ללקוח"</f>
        <v>משלוחים ללקוח</v>
      </c>
      <c r="AG3478" s="1">
        <v>44095</v>
      </c>
      <c r="AM3478" t="str">
        <f>"10"</f>
        <v>10</v>
      </c>
      <c r="AN3478" t="str">
        <f>"500000"</f>
        <v>500000</v>
      </c>
      <c r="AO3478" t="str">
        <f>"הכנסות  מלקוחות"</f>
        <v>הכנסות  מלקוחות</v>
      </c>
      <c r="AQ3478" t="str">
        <f>"034"</f>
        <v>034</v>
      </c>
      <c r="AR3478">
        <v>0</v>
      </c>
      <c r="AS3478">
        <v>0</v>
      </c>
      <c r="AT3478">
        <v>3.4420000000000002</v>
      </c>
      <c r="AX3478" t="str">
        <f>"E000308646"</f>
        <v>E000308646</v>
      </c>
      <c r="BD3478" t="str">
        <f>"ערן שלו"</f>
        <v>ערן שלו</v>
      </c>
    </row>
    <row r="3479" spans="1:56" x14ac:dyDescent="0.3">
      <c r="A3479" s="1">
        <v>44096</v>
      </c>
      <c r="B3479" t="str">
        <f>"SI206000917"</f>
        <v>SI206000917</v>
      </c>
      <c r="C3479" t="str">
        <f>"PR20000200"</f>
        <v>PR20000200</v>
      </c>
      <c r="E3479" t="str">
        <f>"Y"</f>
        <v>Y</v>
      </c>
      <c r="F3479" t="str">
        <f>"חשבוניות מרכזות"</f>
        <v>חשבוניות מרכזות</v>
      </c>
      <c r="G3479" t="str">
        <f>"700065"</f>
        <v>700065</v>
      </c>
      <c r="H3479" t="str">
        <f>"אלתא מערכות בע""מ"</f>
        <v>אלתא מערכות בע"מ</v>
      </c>
      <c r="I3479" t="str">
        <f>"10"</f>
        <v>10</v>
      </c>
      <c r="J3479" t="str">
        <f>"OP-AR01700"</f>
        <v>OP-AR01700</v>
      </c>
      <c r="K3479" t="str">
        <f>"2019E570-001 CABLE ASSY POWER W1"</f>
        <v>2019E570-001 CABLE ASSY POWER W1</v>
      </c>
      <c r="L3479">
        <v>1</v>
      </c>
      <c r="M3479" t="str">
        <f>"יח"</f>
        <v>יח</v>
      </c>
      <c r="N3479">
        <v>1</v>
      </c>
      <c r="O3479" t="str">
        <f>"יח"</f>
        <v>יח</v>
      </c>
      <c r="P3479">
        <v>688.09</v>
      </c>
      <c r="Q3479" t="str">
        <f>"$"</f>
        <v>$</v>
      </c>
      <c r="R3479" t="str">
        <f>"הזמנה"</f>
        <v>הזמנה</v>
      </c>
      <c r="S3479">
        <v>0</v>
      </c>
      <c r="T3479">
        <v>688.09</v>
      </c>
      <c r="U3479">
        <v>0</v>
      </c>
      <c r="V3479">
        <v>688.09</v>
      </c>
      <c r="W3479" t="str">
        <f>"$"</f>
        <v>$</v>
      </c>
      <c r="X3479">
        <v>0</v>
      </c>
      <c r="Y3479">
        <v>0</v>
      </c>
      <c r="Z3479">
        <v>0</v>
      </c>
      <c r="AA3479" t="str">
        <f>"Y"</f>
        <v>Y</v>
      </c>
      <c r="AB3479" t="str">
        <f>"SO20000141"</f>
        <v>SO20000141</v>
      </c>
      <c r="AC3479">
        <v>6</v>
      </c>
      <c r="AD3479" s="1">
        <v>43940</v>
      </c>
      <c r="AE3479" t="str">
        <f>"SH20001110"</f>
        <v>SH20001110</v>
      </c>
      <c r="AF3479" t="str">
        <f>"משלוחים ללקוח"</f>
        <v>משלוחים ללקוח</v>
      </c>
      <c r="AG3479" s="1">
        <v>44061</v>
      </c>
      <c r="AM3479" t="str">
        <f>"10"</f>
        <v>10</v>
      </c>
      <c r="AN3479" t="str">
        <f>"500000"</f>
        <v>500000</v>
      </c>
      <c r="AO3479" t="str">
        <f>"הכנסות  מלקוחות"</f>
        <v>הכנסות  מלקוחות</v>
      </c>
      <c r="AQ3479" t="str">
        <f>"034"</f>
        <v>034</v>
      </c>
      <c r="AR3479">
        <v>0</v>
      </c>
      <c r="AS3479">
        <v>0</v>
      </c>
      <c r="AT3479">
        <v>3.4420000000000002</v>
      </c>
      <c r="AX3479" t="str">
        <f>"E000308646"</f>
        <v>E000308646</v>
      </c>
      <c r="BD3479" t="str">
        <f>"ערן שלו"</f>
        <v>ערן שלו</v>
      </c>
    </row>
    <row r="3480" spans="1:56" x14ac:dyDescent="0.3">
      <c r="A3480" s="1">
        <v>44096</v>
      </c>
      <c r="B3480" t="str">
        <f>"SI206000916"</f>
        <v>SI206000916</v>
      </c>
      <c r="C3480" t="str">
        <f>"PR20000200"</f>
        <v>PR20000200</v>
      </c>
      <c r="E3480" t="str">
        <f>"Y"</f>
        <v>Y</v>
      </c>
      <c r="F3480" t="str">
        <f>"חשבוניות מרכזות"</f>
        <v>חשבוניות מרכזות</v>
      </c>
      <c r="G3480" t="str">
        <f>"700065"</f>
        <v>700065</v>
      </c>
      <c r="H3480" t="str">
        <f>"אלתא מערכות בע""מ"</f>
        <v>אלתא מערכות בע"מ</v>
      </c>
      <c r="I3480" t="str">
        <f>"10"</f>
        <v>10</v>
      </c>
      <c r="J3480" t="str">
        <f>"OP-AR01697"</f>
        <v>OP-AR01697</v>
      </c>
      <c r="K3480" t="str">
        <f>"NRE FOR E000308646"</f>
        <v>NRE FOR E000308646</v>
      </c>
      <c r="L3480">
        <v>1</v>
      </c>
      <c r="M3480" t="str">
        <f>"יח"</f>
        <v>יח</v>
      </c>
      <c r="N3480">
        <v>1</v>
      </c>
      <c r="O3480" t="str">
        <f>"יח"</f>
        <v>יח</v>
      </c>
      <c r="P3480">
        <v>250</v>
      </c>
      <c r="Q3480" t="str">
        <f>"$"</f>
        <v>$</v>
      </c>
      <c r="R3480" t="str">
        <f>"הזמנה"</f>
        <v>הזמנה</v>
      </c>
      <c r="S3480">
        <v>0</v>
      </c>
      <c r="T3480">
        <v>250</v>
      </c>
      <c r="U3480">
        <v>0</v>
      </c>
      <c r="V3480">
        <v>250</v>
      </c>
      <c r="W3480" t="str">
        <f>"$"</f>
        <v>$</v>
      </c>
      <c r="X3480">
        <v>0</v>
      </c>
      <c r="Y3480">
        <v>0</v>
      </c>
      <c r="Z3480">
        <v>0</v>
      </c>
      <c r="AA3480" t="str">
        <f>"Y"</f>
        <v>Y</v>
      </c>
      <c r="AB3480" t="str">
        <f>"SO20000141"</f>
        <v>SO20000141</v>
      </c>
      <c r="AC3480">
        <v>2</v>
      </c>
      <c r="AD3480" s="1">
        <v>43940</v>
      </c>
      <c r="AE3480" t="str">
        <f>"SH20001294"</f>
        <v>SH20001294</v>
      </c>
      <c r="AF3480" t="str">
        <f>"משלוחים ללקוח"</f>
        <v>משלוחים ללקוח</v>
      </c>
      <c r="AG3480" s="1">
        <v>44096</v>
      </c>
      <c r="AM3480" t="str">
        <f>"10"</f>
        <v>10</v>
      </c>
      <c r="AN3480" t="str">
        <f>"500000"</f>
        <v>500000</v>
      </c>
      <c r="AO3480" t="str">
        <f>"הכנסות  מלקוחות"</f>
        <v>הכנסות  מלקוחות</v>
      </c>
      <c r="AQ3480" t="str">
        <f>"034"</f>
        <v>034</v>
      </c>
      <c r="AR3480">
        <v>0</v>
      </c>
      <c r="AS3480">
        <v>0</v>
      </c>
      <c r="AT3480">
        <v>3.4420000000000002</v>
      </c>
      <c r="AX3480" t="str">
        <f>"E000308646"</f>
        <v>E000308646</v>
      </c>
      <c r="BD3480" t="str">
        <f>"ערן שלו"</f>
        <v>ערן שלו</v>
      </c>
    </row>
    <row r="3481" spans="1:56" x14ac:dyDescent="0.3">
      <c r="A3481" s="1">
        <v>44096</v>
      </c>
      <c r="B3481" t="str">
        <f>"SI206000916"</f>
        <v>SI206000916</v>
      </c>
      <c r="C3481" t="str">
        <f>"PR20000200"</f>
        <v>PR20000200</v>
      </c>
      <c r="E3481" t="str">
        <f>"Y"</f>
        <v>Y</v>
      </c>
      <c r="F3481" t="str">
        <f>"חשבוניות מרכזות"</f>
        <v>חשבוניות מרכזות</v>
      </c>
      <c r="G3481" t="str">
        <f>"700065"</f>
        <v>700065</v>
      </c>
      <c r="H3481" t="str">
        <f>"אלתא מערכות בע""מ"</f>
        <v>אלתא מערכות בע"מ</v>
      </c>
      <c r="I3481" t="str">
        <f>"10"</f>
        <v>10</v>
      </c>
      <c r="J3481" t="str">
        <f>"OP-AR01698"</f>
        <v>OP-AR01698</v>
      </c>
      <c r="K3481" t="str">
        <f>"MOQ FOR E000308646"</f>
        <v>MOQ FOR E000308646</v>
      </c>
      <c r="L3481">
        <v>1</v>
      </c>
      <c r="M3481" t="str">
        <f>"יח"</f>
        <v>יח</v>
      </c>
      <c r="N3481">
        <v>1</v>
      </c>
      <c r="O3481" t="str">
        <f>"יח"</f>
        <v>יח</v>
      </c>
      <c r="P3481">
        <v>500</v>
      </c>
      <c r="Q3481" t="str">
        <f>"$"</f>
        <v>$</v>
      </c>
      <c r="R3481" t="str">
        <f>"הזמנה"</f>
        <v>הזמנה</v>
      </c>
      <c r="S3481">
        <v>0</v>
      </c>
      <c r="T3481">
        <v>500</v>
      </c>
      <c r="U3481">
        <v>0</v>
      </c>
      <c r="V3481">
        <v>500</v>
      </c>
      <c r="W3481" t="str">
        <f>"$"</f>
        <v>$</v>
      </c>
      <c r="X3481">
        <v>0</v>
      </c>
      <c r="Y3481">
        <v>0</v>
      </c>
      <c r="Z3481">
        <v>0</v>
      </c>
      <c r="AA3481" t="str">
        <f>"Y"</f>
        <v>Y</v>
      </c>
      <c r="AB3481" t="str">
        <f>"SO20000141"</f>
        <v>SO20000141</v>
      </c>
      <c r="AC3481">
        <v>3</v>
      </c>
      <c r="AD3481" s="1">
        <v>43940</v>
      </c>
      <c r="AE3481" t="str">
        <f>"SH20001294"</f>
        <v>SH20001294</v>
      </c>
      <c r="AF3481" t="str">
        <f>"משלוחים ללקוח"</f>
        <v>משלוחים ללקוח</v>
      </c>
      <c r="AG3481" s="1">
        <v>44096</v>
      </c>
      <c r="AM3481" t="str">
        <f>"10"</f>
        <v>10</v>
      </c>
      <c r="AN3481" t="str">
        <f>"500000"</f>
        <v>500000</v>
      </c>
      <c r="AO3481" t="str">
        <f>"הכנסות  מלקוחות"</f>
        <v>הכנסות  מלקוחות</v>
      </c>
      <c r="AQ3481" t="str">
        <f>"034"</f>
        <v>034</v>
      </c>
      <c r="AR3481">
        <v>0</v>
      </c>
      <c r="AS3481">
        <v>0</v>
      </c>
      <c r="AT3481">
        <v>3.4420000000000002</v>
      </c>
      <c r="AX3481" t="str">
        <f>"E000308646"</f>
        <v>E000308646</v>
      </c>
      <c r="BD3481" t="str">
        <f>"ערן שלו"</f>
        <v>ערן שלו</v>
      </c>
    </row>
    <row r="3482" spans="1:56" x14ac:dyDescent="0.3">
      <c r="A3482" s="1">
        <v>44077</v>
      </c>
      <c r="B3482" t="str">
        <f>"SI206000885"</f>
        <v>SI206000885</v>
      </c>
      <c r="C3482" t="str">
        <f>"PR20000387"</f>
        <v>PR20000387</v>
      </c>
      <c r="D3482" t="str">
        <f>"PR20000387"</f>
        <v>PR20000387</v>
      </c>
      <c r="E3482" t="str">
        <f>"Y"</f>
        <v>Y</v>
      </c>
      <c r="F3482" t="str">
        <f>"חשבוניות מרכזות"</f>
        <v>חשבוניות מרכזות</v>
      </c>
      <c r="G3482" t="str">
        <f>"700065"</f>
        <v>700065</v>
      </c>
      <c r="H3482" t="str">
        <f>"אלתא מערכות בע""מ"</f>
        <v>אלתא מערכות בע"מ</v>
      </c>
      <c r="I3482" t="str">
        <f>"10"</f>
        <v>10</v>
      </c>
      <c r="J3482" t="str">
        <f>"OP-AR01834"</f>
        <v>OP-AR01834</v>
      </c>
      <c r="K3482" t="str">
        <f>"3025Y493-001 POWER CABLE W493"</f>
        <v>3025Y493-001 POWER CABLE W493</v>
      </c>
      <c r="L3482">
        <v>1</v>
      </c>
      <c r="M3482" t="str">
        <f>"יח"</f>
        <v>יח</v>
      </c>
      <c r="N3482">
        <v>1</v>
      </c>
      <c r="O3482" t="str">
        <f>"יח"</f>
        <v>יח</v>
      </c>
      <c r="P3482">
        <v>279.8</v>
      </c>
      <c r="Q3482" t="str">
        <f>"$"</f>
        <v>$</v>
      </c>
      <c r="R3482" t="str">
        <f>"הזמנה"</f>
        <v>הזמנה</v>
      </c>
      <c r="S3482">
        <v>0</v>
      </c>
      <c r="T3482">
        <v>279.8</v>
      </c>
      <c r="U3482">
        <v>0</v>
      </c>
      <c r="V3482">
        <v>279.8</v>
      </c>
      <c r="W3482" t="str">
        <f>"$"</f>
        <v>$</v>
      </c>
      <c r="X3482">
        <v>0</v>
      </c>
      <c r="Y3482">
        <v>0</v>
      </c>
      <c r="Z3482">
        <v>0</v>
      </c>
      <c r="AA3482" t="str">
        <f>"Y"</f>
        <v>Y</v>
      </c>
      <c r="AB3482" t="str">
        <f>"SO20000247"</f>
        <v>SO20000247</v>
      </c>
      <c r="AC3482">
        <v>1</v>
      </c>
      <c r="AD3482" s="1">
        <v>43997</v>
      </c>
      <c r="AE3482" t="str">
        <f>"SH20001216"</f>
        <v>SH20001216</v>
      </c>
      <c r="AF3482" t="str">
        <f>"משלוחים ללקוח"</f>
        <v>משלוחים ללקוח</v>
      </c>
      <c r="AG3482" s="1">
        <v>44075</v>
      </c>
      <c r="AM3482" t="str">
        <f>"10"</f>
        <v>10</v>
      </c>
      <c r="AN3482" t="str">
        <f>"500000"</f>
        <v>500000</v>
      </c>
      <c r="AO3482" t="str">
        <f>"הכנסות  מלקוחות"</f>
        <v>הכנסות  מלקוחות</v>
      </c>
      <c r="AQ3482" t="str">
        <f>"034"</f>
        <v>034</v>
      </c>
      <c r="AR3482">
        <v>0</v>
      </c>
      <c r="AS3482">
        <v>0</v>
      </c>
      <c r="AT3482">
        <v>3.3660000000000001</v>
      </c>
      <c r="AX3482" t="str">
        <f>"E000314316"</f>
        <v>E000314316</v>
      </c>
      <c r="BD3482" t="str">
        <f>"ערן שלו"</f>
        <v>ערן שלו</v>
      </c>
    </row>
    <row r="3483" spans="1:56" x14ac:dyDescent="0.3">
      <c r="A3483" s="1">
        <v>44077</v>
      </c>
      <c r="B3483" t="str">
        <f>"SI206000885"</f>
        <v>SI206000885</v>
      </c>
      <c r="C3483" t="str">
        <f>"PR20000387"</f>
        <v>PR20000387</v>
      </c>
      <c r="D3483" t="str">
        <f>"PR20000387"</f>
        <v>PR20000387</v>
      </c>
      <c r="E3483" t="str">
        <f>"Y"</f>
        <v>Y</v>
      </c>
      <c r="F3483" t="str">
        <f>"חשבוניות מרכזות"</f>
        <v>חשבוניות מרכזות</v>
      </c>
      <c r="G3483" t="str">
        <f>"700065"</f>
        <v>700065</v>
      </c>
      <c r="H3483" t="str">
        <f>"אלתא מערכות בע""מ"</f>
        <v>אלתא מערכות בע"מ</v>
      </c>
      <c r="I3483" t="str">
        <f>"10"</f>
        <v>10</v>
      </c>
      <c r="J3483" t="str">
        <f>"OP-AR01835"</f>
        <v>OP-AR01835</v>
      </c>
      <c r="K3483" t="str">
        <f>"3025Y494-001 GROUND CABLE W494"</f>
        <v>3025Y494-001 GROUND CABLE W494</v>
      </c>
      <c r="L3483">
        <v>1</v>
      </c>
      <c r="M3483" t="str">
        <f>"יח"</f>
        <v>יח</v>
      </c>
      <c r="N3483">
        <v>1</v>
      </c>
      <c r="O3483" t="str">
        <f>"יח"</f>
        <v>יח</v>
      </c>
      <c r="P3483">
        <v>285.35000000000002</v>
      </c>
      <c r="Q3483" t="str">
        <f>"$"</f>
        <v>$</v>
      </c>
      <c r="R3483" t="str">
        <f>"הזמנה"</f>
        <v>הזמנה</v>
      </c>
      <c r="S3483">
        <v>0</v>
      </c>
      <c r="T3483">
        <v>285.35000000000002</v>
      </c>
      <c r="U3483">
        <v>0</v>
      </c>
      <c r="V3483">
        <v>285.35000000000002</v>
      </c>
      <c r="W3483" t="str">
        <f>"$"</f>
        <v>$</v>
      </c>
      <c r="X3483">
        <v>0</v>
      </c>
      <c r="Y3483">
        <v>0</v>
      </c>
      <c r="Z3483">
        <v>0</v>
      </c>
      <c r="AA3483" t="str">
        <f>"Y"</f>
        <v>Y</v>
      </c>
      <c r="AB3483" t="str">
        <f>"SO20000247"</f>
        <v>SO20000247</v>
      </c>
      <c r="AC3483">
        <v>2</v>
      </c>
      <c r="AD3483" s="1">
        <v>43997</v>
      </c>
      <c r="AE3483" t="str">
        <f>"SH20001216"</f>
        <v>SH20001216</v>
      </c>
      <c r="AF3483" t="str">
        <f>"משלוחים ללקוח"</f>
        <v>משלוחים ללקוח</v>
      </c>
      <c r="AG3483" s="1">
        <v>44075</v>
      </c>
      <c r="AM3483" t="str">
        <f>"10"</f>
        <v>10</v>
      </c>
      <c r="AN3483" t="str">
        <f>"500000"</f>
        <v>500000</v>
      </c>
      <c r="AO3483" t="str">
        <f>"הכנסות  מלקוחות"</f>
        <v>הכנסות  מלקוחות</v>
      </c>
      <c r="AQ3483" t="str">
        <f>"034"</f>
        <v>034</v>
      </c>
      <c r="AR3483">
        <v>0</v>
      </c>
      <c r="AS3483">
        <v>0</v>
      </c>
      <c r="AT3483">
        <v>3.3660000000000001</v>
      </c>
      <c r="AX3483" t="str">
        <f>"E000314316"</f>
        <v>E000314316</v>
      </c>
      <c r="BD3483" t="str">
        <f>"ערן שלו"</f>
        <v>ערן שלו</v>
      </c>
    </row>
    <row r="3484" spans="1:56" x14ac:dyDescent="0.3">
      <c r="A3484" s="1">
        <v>44077</v>
      </c>
      <c r="B3484" t="str">
        <f>"SI206000885"</f>
        <v>SI206000885</v>
      </c>
      <c r="C3484" t="str">
        <f>"PR20000387"</f>
        <v>PR20000387</v>
      </c>
      <c r="D3484" t="str">
        <f>"PR20000387"</f>
        <v>PR20000387</v>
      </c>
      <c r="E3484" t="str">
        <f>"Y"</f>
        <v>Y</v>
      </c>
      <c r="F3484" t="str">
        <f>"חשבוניות מרכזות"</f>
        <v>חשבוניות מרכזות</v>
      </c>
      <c r="G3484" t="str">
        <f>"700065"</f>
        <v>700065</v>
      </c>
      <c r="H3484" t="str">
        <f>"אלתא מערכות בע""מ"</f>
        <v>אלתא מערכות בע"מ</v>
      </c>
      <c r="I3484" t="str">
        <f>"10"</f>
        <v>10</v>
      </c>
      <c r="J3484" t="str">
        <f>"OP-AR01836"</f>
        <v>OP-AR01836</v>
      </c>
      <c r="K3484" t="str">
        <f>"3025Y495-001 ETHERNET CABLE W495"</f>
        <v>3025Y495-001 ETHERNET CABLE W495</v>
      </c>
      <c r="L3484">
        <v>1</v>
      </c>
      <c r="M3484" t="str">
        <f>"יח"</f>
        <v>יח</v>
      </c>
      <c r="N3484">
        <v>1</v>
      </c>
      <c r="O3484" t="str">
        <f>"יח"</f>
        <v>יח</v>
      </c>
      <c r="P3484">
        <v>274.86</v>
      </c>
      <c r="Q3484" t="str">
        <f>"$"</f>
        <v>$</v>
      </c>
      <c r="R3484" t="str">
        <f>"הזמנה"</f>
        <v>הזמנה</v>
      </c>
      <c r="S3484">
        <v>0</v>
      </c>
      <c r="T3484">
        <v>274.86</v>
      </c>
      <c r="U3484">
        <v>0</v>
      </c>
      <c r="V3484">
        <v>274.86</v>
      </c>
      <c r="W3484" t="str">
        <f>"$"</f>
        <v>$</v>
      </c>
      <c r="X3484">
        <v>0</v>
      </c>
      <c r="Y3484">
        <v>0</v>
      </c>
      <c r="Z3484">
        <v>0</v>
      </c>
      <c r="AA3484" t="str">
        <f>"Y"</f>
        <v>Y</v>
      </c>
      <c r="AB3484" t="str">
        <f>"SO20000247"</f>
        <v>SO20000247</v>
      </c>
      <c r="AC3484">
        <v>3</v>
      </c>
      <c r="AD3484" s="1">
        <v>43997</v>
      </c>
      <c r="AE3484" t="str">
        <f>"SH20001216"</f>
        <v>SH20001216</v>
      </c>
      <c r="AF3484" t="str">
        <f>"משלוחים ללקוח"</f>
        <v>משלוחים ללקוח</v>
      </c>
      <c r="AG3484" s="1">
        <v>44075</v>
      </c>
      <c r="AM3484" t="str">
        <f>"10"</f>
        <v>10</v>
      </c>
      <c r="AN3484" t="str">
        <f>"500000"</f>
        <v>500000</v>
      </c>
      <c r="AO3484" t="str">
        <f>"הכנסות  מלקוחות"</f>
        <v>הכנסות  מלקוחות</v>
      </c>
      <c r="AQ3484" t="str">
        <f>"034"</f>
        <v>034</v>
      </c>
      <c r="AR3484">
        <v>0</v>
      </c>
      <c r="AS3484">
        <v>0</v>
      </c>
      <c r="AT3484">
        <v>3.3660000000000001</v>
      </c>
      <c r="AX3484" t="str">
        <f>"E000314316"</f>
        <v>E000314316</v>
      </c>
      <c r="BD3484" t="str">
        <f>"ערן שלו"</f>
        <v>ערן שלו</v>
      </c>
    </row>
    <row r="3485" spans="1:56" x14ac:dyDescent="0.3">
      <c r="A3485" s="1">
        <v>44077</v>
      </c>
      <c r="B3485" t="str">
        <f>"SI206000885"</f>
        <v>SI206000885</v>
      </c>
      <c r="C3485" t="str">
        <f>"PR20000387"</f>
        <v>PR20000387</v>
      </c>
      <c r="D3485" t="str">
        <f>"PR20000387"</f>
        <v>PR20000387</v>
      </c>
      <c r="E3485" t="str">
        <f>"Y"</f>
        <v>Y</v>
      </c>
      <c r="F3485" t="str">
        <f>"חשבוניות מרכזות"</f>
        <v>חשבוניות מרכזות</v>
      </c>
      <c r="G3485" t="str">
        <f>"700065"</f>
        <v>700065</v>
      </c>
      <c r="H3485" t="str">
        <f>"אלתא מערכות בע""מ"</f>
        <v>אלתא מערכות בע"מ</v>
      </c>
      <c r="I3485" t="str">
        <f>"10"</f>
        <v>10</v>
      </c>
      <c r="J3485" t="str">
        <f>"OP-AR01837"</f>
        <v>OP-AR01837</v>
      </c>
      <c r="K3485" t="str">
        <f>"3025Y496-001 ETHERNET CABLE W496"</f>
        <v>3025Y496-001 ETHERNET CABLE W496</v>
      </c>
      <c r="L3485">
        <v>1</v>
      </c>
      <c r="M3485" t="str">
        <f>"יח"</f>
        <v>יח</v>
      </c>
      <c r="N3485">
        <v>1</v>
      </c>
      <c r="O3485" t="str">
        <f>"יח"</f>
        <v>יח</v>
      </c>
      <c r="P3485">
        <v>274.86</v>
      </c>
      <c r="Q3485" t="str">
        <f>"$"</f>
        <v>$</v>
      </c>
      <c r="R3485" t="str">
        <f>"הזמנה"</f>
        <v>הזמנה</v>
      </c>
      <c r="S3485">
        <v>0</v>
      </c>
      <c r="T3485">
        <v>274.86</v>
      </c>
      <c r="U3485">
        <v>0</v>
      </c>
      <c r="V3485">
        <v>274.86</v>
      </c>
      <c r="W3485" t="str">
        <f>"$"</f>
        <v>$</v>
      </c>
      <c r="X3485">
        <v>0</v>
      </c>
      <c r="Y3485">
        <v>0</v>
      </c>
      <c r="Z3485">
        <v>0</v>
      </c>
      <c r="AA3485" t="str">
        <f>"Y"</f>
        <v>Y</v>
      </c>
      <c r="AB3485" t="str">
        <f>"SO20000247"</f>
        <v>SO20000247</v>
      </c>
      <c r="AC3485">
        <v>5</v>
      </c>
      <c r="AD3485" s="1">
        <v>43997</v>
      </c>
      <c r="AE3485" t="str">
        <f>"SH20001216"</f>
        <v>SH20001216</v>
      </c>
      <c r="AF3485" t="str">
        <f>"משלוחים ללקוח"</f>
        <v>משלוחים ללקוח</v>
      </c>
      <c r="AG3485" s="1">
        <v>44075</v>
      </c>
      <c r="AM3485" t="str">
        <f>"10"</f>
        <v>10</v>
      </c>
      <c r="AN3485" t="str">
        <f>"500000"</f>
        <v>500000</v>
      </c>
      <c r="AO3485" t="str">
        <f>"הכנסות  מלקוחות"</f>
        <v>הכנסות  מלקוחות</v>
      </c>
      <c r="AQ3485" t="str">
        <f>"034"</f>
        <v>034</v>
      </c>
      <c r="AR3485">
        <v>0</v>
      </c>
      <c r="AS3485">
        <v>0</v>
      </c>
      <c r="AT3485">
        <v>3.3660000000000001</v>
      </c>
      <c r="AX3485" t="str">
        <f>"E000314316"</f>
        <v>E000314316</v>
      </c>
      <c r="BD3485" t="str">
        <f>"ערן שלו"</f>
        <v>ערן שלו</v>
      </c>
    </row>
    <row r="3486" spans="1:56" x14ac:dyDescent="0.3">
      <c r="A3486" s="1">
        <v>44077</v>
      </c>
      <c r="B3486" t="str">
        <f>"SI206000885"</f>
        <v>SI206000885</v>
      </c>
      <c r="C3486" t="str">
        <f>"PR20000387"</f>
        <v>PR20000387</v>
      </c>
      <c r="D3486" t="str">
        <f>"PR20000387"</f>
        <v>PR20000387</v>
      </c>
      <c r="E3486" t="str">
        <f>"Y"</f>
        <v>Y</v>
      </c>
      <c r="F3486" t="str">
        <f>"חשבוניות מרכזות"</f>
        <v>חשבוניות מרכזות</v>
      </c>
      <c r="G3486" t="str">
        <f>"700065"</f>
        <v>700065</v>
      </c>
      <c r="H3486" t="str">
        <f>"אלתא מערכות בע""מ"</f>
        <v>אלתא מערכות בע"מ</v>
      </c>
      <c r="I3486" t="str">
        <f>"10"</f>
        <v>10</v>
      </c>
      <c r="J3486" t="str">
        <f>"OP-AR01838"</f>
        <v>OP-AR01838</v>
      </c>
      <c r="K3486" t="str">
        <f>"3025Y497-001 ETHERNET CABLE W497"</f>
        <v>3025Y497-001 ETHERNET CABLE W497</v>
      </c>
      <c r="L3486">
        <v>1</v>
      </c>
      <c r="M3486" t="str">
        <f>"יח"</f>
        <v>יח</v>
      </c>
      <c r="N3486">
        <v>1</v>
      </c>
      <c r="O3486" t="str">
        <f>"יח"</f>
        <v>יח</v>
      </c>
      <c r="P3486">
        <v>274.86</v>
      </c>
      <c r="Q3486" t="str">
        <f>"$"</f>
        <v>$</v>
      </c>
      <c r="R3486" t="str">
        <f>"הזמנה"</f>
        <v>הזמנה</v>
      </c>
      <c r="S3486">
        <v>0</v>
      </c>
      <c r="T3486">
        <v>274.86</v>
      </c>
      <c r="U3486">
        <v>0</v>
      </c>
      <c r="V3486">
        <v>274.86</v>
      </c>
      <c r="W3486" t="str">
        <f>"$"</f>
        <v>$</v>
      </c>
      <c r="X3486">
        <v>0</v>
      </c>
      <c r="Y3486">
        <v>0</v>
      </c>
      <c r="Z3486">
        <v>0</v>
      </c>
      <c r="AA3486" t="str">
        <f>"Y"</f>
        <v>Y</v>
      </c>
      <c r="AB3486" t="str">
        <f>"SO20000247"</f>
        <v>SO20000247</v>
      </c>
      <c r="AC3486">
        <v>6</v>
      </c>
      <c r="AD3486" s="1">
        <v>43997</v>
      </c>
      <c r="AE3486" t="str">
        <f>"SH20001216"</f>
        <v>SH20001216</v>
      </c>
      <c r="AF3486" t="str">
        <f>"משלוחים ללקוח"</f>
        <v>משלוחים ללקוח</v>
      </c>
      <c r="AG3486" s="1">
        <v>44075</v>
      </c>
      <c r="AM3486" t="str">
        <f>"10"</f>
        <v>10</v>
      </c>
      <c r="AN3486" t="str">
        <f>"500000"</f>
        <v>500000</v>
      </c>
      <c r="AO3486" t="str">
        <f>"הכנסות  מלקוחות"</f>
        <v>הכנסות  מלקוחות</v>
      </c>
      <c r="AQ3486" t="str">
        <f>"034"</f>
        <v>034</v>
      </c>
      <c r="AR3486">
        <v>0</v>
      </c>
      <c r="AS3486">
        <v>0</v>
      </c>
      <c r="AT3486">
        <v>3.3660000000000001</v>
      </c>
      <c r="AX3486" t="str">
        <f>"E000314316"</f>
        <v>E000314316</v>
      </c>
      <c r="BD3486" t="str">
        <f>"ערן שלו"</f>
        <v>ערן שלו</v>
      </c>
    </row>
    <row r="3487" spans="1:56" x14ac:dyDescent="0.3">
      <c r="A3487" s="1">
        <v>44077</v>
      </c>
      <c r="B3487" t="str">
        <f>"SI206000885"</f>
        <v>SI206000885</v>
      </c>
      <c r="C3487" t="str">
        <f>"PR20000387"</f>
        <v>PR20000387</v>
      </c>
      <c r="D3487" t="str">
        <f>"PR20000387"</f>
        <v>PR20000387</v>
      </c>
      <c r="E3487" t="str">
        <f>"Y"</f>
        <v>Y</v>
      </c>
      <c r="F3487" t="str">
        <f>"חשבוניות מרכזות"</f>
        <v>חשבוניות מרכזות</v>
      </c>
      <c r="G3487" t="str">
        <f>"700065"</f>
        <v>700065</v>
      </c>
      <c r="H3487" t="str">
        <f>"אלתא מערכות בע""מ"</f>
        <v>אלתא מערכות בע"מ</v>
      </c>
      <c r="I3487" t="str">
        <f>"10"</f>
        <v>10</v>
      </c>
      <c r="J3487" t="str">
        <f>"OP-AR01839"</f>
        <v>OP-AR01839</v>
      </c>
      <c r="K3487" t="str">
        <f>"3025Y498-001 ETHERNET CABLE W498"</f>
        <v>3025Y498-001 ETHERNET CABLE W498</v>
      </c>
      <c r="L3487">
        <v>1</v>
      </c>
      <c r="M3487" t="str">
        <f>"יח"</f>
        <v>יח</v>
      </c>
      <c r="N3487">
        <v>1</v>
      </c>
      <c r="O3487" t="str">
        <f>"יח"</f>
        <v>יח</v>
      </c>
      <c r="P3487">
        <v>274.86</v>
      </c>
      <c r="Q3487" t="str">
        <f>"$"</f>
        <v>$</v>
      </c>
      <c r="R3487" t="str">
        <f>"הזמנה"</f>
        <v>הזמנה</v>
      </c>
      <c r="S3487">
        <v>0</v>
      </c>
      <c r="T3487">
        <v>274.86</v>
      </c>
      <c r="U3487">
        <v>0</v>
      </c>
      <c r="V3487">
        <v>274.86</v>
      </c>
      <c r="W3487" t="str">
        <f>"$"</f>
        <v>$</v>
      </c>
      <c r="X3487">
        <v>0</v>
      </c>
      <c r="Y3487">
        <v>0</v>
      </c>
      <c r="Z3487">
        <v>0</v>
      </c>
      <c r="AA3487" t="str">
        <f>"Y"</f>
        <v>Y</v>
      </c>
      <c r="AB3487" t="str">
        <f>"SO20000247"</f>
        <v>SO20000247</v>
      </c>
      <c r="AC3487">
        <v>7</v>
      </c>
      <c r="AD3487" s="1">
        <v>43997</v>
      </c>
      <c r="AE3487" t="str">
        <f>"SH20001216"</f>
        <v>SH20001216</v>
      </c>
      <c r="AF3487" t="str">
        <f>"משלוחים ללקוח"</f>
        <v>משלוחים ללקוח</v>
      </c>
      <c r="AG3487" s="1">
        <v>44075</v>
      </c>
      <c r="AM3487" t="str">
        <f>"10"</f>
        <v>10</v>
      </c>
      <c r="AN3487" t="str">
        <f>"500000"</f>
        <v>500000</v>
      </c>
      <c r="AO3487" t="str">
        <f>"הכנסות  מלקוחות"</f>
        <v>הכנסות  מלקוחות</v>
      </c>
      <c r="AQ3487" t="str">
        <f>"034"</f>
        <v>034</v>
      </c>
      <c r="AR3487">
        <v>0</v>
      </c>
      <c r="AS3487">
        <v>0</v>
      </c>
      <c r="AT3487">
        <v>3.3660000000000001</v>
      </c>
      <c r="AX3487" t="str">
        <f>"E000314316"</f>
        <v>E000314316</v>
      </c>
      <c r="BD3487" t="str">
        <f>"ערן שלו"</f>
        <v>ערן שלו</v>
      </c>
    </row>
    <row r="3488" spans="1:56" x14ac:dyDescent="0.3">
      <c r="A3488" s="1">
        <v>44077</v>
      </c>
      <c r="B3488" t="str">
        <f>"SI206000884"</f>
        <v>SI206000884</v>
      </c>
      <c r="C3488" t="str">
        <f>"PR20000387"</f>
        <v>PR20000387</v>
      </c>
      <c r="E3488" t="str">
        <f>"Y"</f>
        <v>Y</v>
      </c>
      <c r="F3488" t="str">
        <f>"חשבוניות מרכזות"</f>
        <v>חשבוניות מרכזות</v>
      </c>
      <c r="G3488" t="str">
        <f>"700065"</f>
        <v>700065</v>
      </c>
      <c r="H3488" t="str">
        <f>"אלתא מערכות בע""מ"</f>
        <v>אלתא מערכות בע"מ</v>
      </c>
      <c r="I3488" t="str">
        <f>"10"</f>
        <v>10</v>
      </c>
      <c r="J3488" t="str">
        <f>"OP-AR01834"</f>
        <v>OP-AR01834</v>
      </c>
      <c r="K3488" t="str">
        <f>"3025Y493-001 POWER CABLE W493"</f>
        <v>3025Y493-001 POWER CABLE W493</v>
      </c>
      <c r="L3488">
        <v>-1</v>
      </c>
      <c r="M3488" t="str">
        <f>"יח"</f>
        <v>יח</v>
      </c>
      <c r="N3488">
        <v>-1</v>
      </c>
      <c r="O3488" t="str">
        <f>"יח"</f>
        <v>יח</v>
      </c>
      <c r="P3488">
        <v>274.86</v>
      </c>
      <c r="Q3488" t="str">
        <f>"$"</f>
        <v>$</v>
      </c>
      <c r="R3488" t="str">
        <f>"הזמנה"</f>
        <v>הזמנה</v>
      </c>
      <c r="S3488">
        <v>0</v>
      </c>
      <c r="T3488">
        <v>-274.86</v>
      </c>
      <c r="U3488">
        <v>0</v>
      </c>
      <c r="V3488">
        <v>-274.86</v>
      </c>
      <c r="W3488" t="str">
        <f>"$"</f>
        <v>$</v>
      </c>
      <c r="X3488">
        <v>0</v>
      </c>
      <c r="Y3488">
        <v>0</v>
      </c>
      <c r="Z3488">
        <v>0</v>
      </c>
      <c r="AA3488" t="str">
        <f>"Y"</f>
        <v>Y</v>
      </c>
      <c r="AC3488">
        <v>0</v>
      </c>
      <c r="AM3488" t="str">
        <f>"10"</f>
        <v>10</v>
      </c>
      <c r="AN3488" t="str">
        <f>"500000"</f>
        <v>500000</v>
      </c>
      <c r="AO3488" t="str">
        <f>"הכנסות  מלקוחות"</f>
        <v>הכנסות  מלקוחות</v>
      </c>
      <c r="AQ3488" t="str">
        <f>"034"</f>
        <v>034</v>
      </c>
      <c r="AR3488">
        <v>0</v>
      </c>
      <c r="AS3488">
        <v>0</v>
      </c>
      <c r="AT3488">
        <v>3.3660000000000001</v>
      </c>
      <c r="BB3488" t="str">
        <f>"Y"</f>
        <v>Y</v>
      </c>
      <c r="BD3488" t="str">
        <f>"ערן שלו"</f>
        <v>ערן שלו</v>
      </c>
    </row>
    <row r="3489" spans="1:56" x14ac:dyDescent="0.3">
      <c r="A3489" s="1">
        <v>44077</v>
      </c>
      <c r="B3489" t="str">
        <f>"SI206000884"</f>
        <v>SI206000884</v>
      </c>
      <c r="C3489" t="str">
        <f>"PR20000387"</f>
        <v>PR20000387</v>
      </c>
      <c r="E3489" t="str">
        <f>"Y"</f>
        <v>Y</v>
      </c>
      <c r="F3489" t="str">
        <f>"חשבוניות מרכזות"</f>
        <v>חשבוניות מרכזות</v>
      </c>
      <c r="G3489" t="str">
        <f>"700065"</f>
        <v>700065</v>
      </c>
      <c r="H3489" t="str">
        <f>"אלתא מערכות בע""מ"</f>
        <v>אלתא מערכות בע"מ</v>
      </c>
      <c r="I3489" t="str">
        <f>"10"</f>
        <v>10</v>
      </c>
      <c r="J3489" t="str">
        <f>"OP-AR01835"</f>
        <v>OP-AR01835</v>
      </c>
      <c r="K3489" t="str">
        <f>"3025Y494-001 GROUND CABLE W494"</f>
        <v>3025Y494-001 GROUND CABLE W494</v>
      </c>
      <c r="L3489">
        <v>-1</v>
      </c>
      <c r="M3489" t="str">
        <f>"יח"</f>
        <v>יח</v>
      </c>
      <c r="N3489">
        <v>-1</v>
      </c>
      <c r="O3489" t="str">
        <f>"יח"</f>
        <v>יח</v>
      </c>
      <c r="P3489">
        <v>279.8</v>
      </c>
      <c r="Q3489" t="str">
        <f>"$"</f>
        <v>$</v>
      </c>
      <c r="R3489" t="str">
        <f>"הזמנה"</f>
        <v>הזמנה</v>
      </c>
      <c r="S3489">
        <v>0</v>
      </c>
      <c r="T3489">
        <v>-279.8</v>
      </c>
      <c r="U3489">
        <v>0</v>
      </c>
      <c r="V3489">
        <v>-279.8</v>
      </c>
      <c r="W3489" t="str">
        <f>"$"</f>
        <v>$</v>
      </c>
      <c r="X3489">
        <v>0</v>
      </c>
      <c r="Y3489">
        <v>0</v>
      </c>
      <c r="Z3489">
        <v>0</v>
      </c>
      <c r="AA3489" t="str">
        <f>"Y"</f>
        <v>Y</v>
      </c>
      <c r="AC3489">
        <v>0</v>
      </c>
      <c r="AM3489" t="str">
        <f>"10"</f>
        <v>10</v>
      </c>
      <c r="AN3489" t="str">
        <f>"500000"</f>
        <v>500000</v>
      </c>
      <c r="AO3489" t="str">
        <f>"הכנסות  מלקוחות"</f>
        <v>הכנסות  מלקוחות</v>
      </c>
      <c r="AQ3489" t="str">
        <f>"034"</f>
        <v>034</v>
      </c>
      <c r="AR3489">
        <v>0</v>
      </c>
      <c r="AS3489">
        <v>0</v>
      </c>
      <c r="AT3489">
        <v>3.3660000000000001</v>
      </c>
      <c r="BB3489" t="str">
        <f>"Y"</f>
        <v>Y</v>
      </c>
      <c r="BD3489" t="str">
        <f>"ערן שלו"</f>
        <v>ערן שלו</v>
      </c>
    </row>
    <row r="3490" spans="1:56" x14ac:dyDescent="0.3">
      <c r="A3490" s="1">
        <v>44077</v>
      </c>
      <c r="B3490" t="str">
        <f>"SI206000884"</f>
        <v>SI206000884</v>
      </c>
      <c r="C3490" t="str">
        <f>"PR20000387"</f>
        <v>PR20000387</v>
      </c>
      <c r="E3490" t="str">
        <f>"Y"</f>
        <v>Y</v>
      </c>
      <c r="F3490" t="str">
        <f>"חשבוניות מרכזות"</f>
        <v>חשבוניות מרכזות</v>
      </c>
      <c r="G3490" t="str">
        <f>"700065"</f>
        <v>700065</v>
      </c>
      <c r="H3490" t="str">
        <f>"אלתא מערכות בע""מ"</f>
        <v>אלתא מערכות בע"מ</v>
      </c>
      <c r="I3490" t="str">
        <f>"10"</f>
        <v>10</v>
      </c>
      <c r="J3490" t="str">
        <f>"OP-AR01836"</f>
        <v>OP-AR01836</v>
      </c>
      <c r="K3490" t="str">
        <f>"3025Y495-001 ETHERNET CABLE W495"</f>
        <v>3025Y495-001 ETHERNET CABLE W495</v>
      </c>
      <c r="L3490">
        <v>-1</v>
      </c>
      <c r="M3490" t="str">
        <f>"יח"</f>
        <v>יח</v>
      </c>
      <c r="N3490">
        <v>-1</v>
      </c>
      <c r="O3490" t="str">
        <f>"יח"</f>
        <v>יח</v>
      </c>
      <c r="P3490">
        <v>274.86</v>
      </c>
      <c r="Q3490" t="str">
        <f>"$"</f>
        <v>$</v>
      </c>
      <c r="R3490" t="str">
        <f>"הזמנה"</f>
        <v>הזמנה</v>
      </c>
      <c r="S3490">
        <v>0</v>
      </c>
      <c r="T3490">
        <v>-274.86</v>
      </c>
      <c r="U3490">
        <v>0</v>
      </c>
      <c r="V3490">
        <v>-274.86</v>
      </c>
      <c r="W3490" t="str">
        <f>"$"</f>
        <v>$</v>
      </c>
      <c r="X3490">
        <v>0</v>
      </c>
      <c r="Y3490">
        <v>0</v>
      </c>
      <c r="Z3490">
        <v>0</v>
      </c>
      <c r="AA3490" t="str">
        <f>"Y"</f>
        <v>Y</v>
      </c>
      <c r="AC3490">
        <v>0</v>
      </c>
      <c r="AM3490" t="str">
        <f>"10"</f>
        <v>10</v>
      </c>
      <c r="AN3490" t="str">
        <f>"500000"</f>
        <v>500000</v>
      </c>
      <c r="AO3490" t="str">
        <f>"הכנסות  מלקוחות"</f>
        <v>הכנסות  מלקוחות</v>
      </c>
      <c r="AQ3490" t="str">
        <f>"034"</f>
        <v>034</v>
      </c>
      <c r="AR3490">
        <v>0</v>
      </c>
      <c r="AS3490">
        <v>0</v>
      </c>
      <c r="AT3490">
        <v>3.3660000000000001</v>
      </c>
      <c r="BB3490" t="str">
        <f>"Y"</f>
        <v>Y</v>
      </c>
      <c r="BD3490" t="str">
        <f>"ערן שלו"</f>
        <v>ערן שלו</v>
      </c>
    </row>
    <row r="3491" spans="1:56" x14ac:dyDescent="0.3">
      <c r="A3491" s="1">
        <v>44077</v>
      </c>
      <c r="B3491" t="str">
        <f>"SI206000884"</f>
        <v>SI206000884</v>
      </c>
      <c r="C3491" t="str">
        <f>"PR20000387"</f>
        <v>PR20000387</v>
      </c>
      <c r="E3491" t="str">
        <f>"Y"</f>
        <v>Y</v>
      </c>
      <c r="F3491" t="str">
        <f>"חשבוניות מרכזות"</f>
        <v>חשבוניות מרכזות</v>
      </c>
      <c r="G3491" t="str">
        <f>"700065"</f>
        <v>700065</v>
      </c>
      <c r="H3491" t="str">
        <f>"אלתא מערכות בע""מ"</f>
        <v>אלתא מערכות בע"מ</v>
      </c>
      <c r="I3491" t="str">
        <f>"10"</f>
        <v>10</v>
      </c>
      <c r="J3491" t="str">
        <f>"OP-AR01837"</f>
        <v>OP-AR01837</v>
      </c>
      <c r="K3491" t="str">
        <f>"3025Y496-001 ETHERNET CABLE W496"</f>
        <v>3025Y496-001 ETHERNET CABLE W496</v>
      </c>
      <c r="L3491">
        <v>-1</v>
      </c>
      <c r="M3491" t="str">
        <f>"יח"</f>
        <v>יח</v>
      </c>
      <c r="N3491">
        <v>-1</v>
      </c>
      <c r="O3491" t="str">
        <f>"יח"</f>
        <v>יח</v>
      </c>
      <c r="P3491">
        <v>274.86</v>
      </c>
      <c r="Q3491" t="str">
        <f>"$"</f>
        <v>$</v>
      </c>
      <c r="R3491" t="str">
        <f>"הזמנה"</f>
        <v>הזמנה</v>
      </c>
      <c r="S3491">
        <v>0</v>
      </c>
      <c r="T3491">
        <v>-274.86</v>
      </c>
      <c r="U3491">
        <v>0</v>
      </c>
      <c r="V3491">
        <v>-274.86</v>
      </c>
      <c r="W3491" t="str">
        <f>"$"</f>
        <v>$</v>
      </c>
      <c r="X3491">
        <v>0</v>
      </c>
      <c r="Y3491">
        <v>0</v>
      </c>
      <c r="Z3491">
        <v>0</v>
      </c>
      <c r="AA3491" t="str">
        <f>"Y"</f>
        <v>Y</v>
      </c>
      <c r="AC3491">
        <v>0</v>
      </c>
      <c r="AM3491" t="str">
        <f>"10"</f>
        <v>10</v>
      </c>
      <c r="AN3491" t="str">
        <f>"500000"</f>
        <v>500000</v>
      </c>
      <c r="AO3491" t="str">
        <f>"הכנסות  מלקוחות"</f>
        <v>הכנסות  מלקוחות</v>
      </c>
      <c r="AQ3491" t="str">
        <f>"034"</f>
        <v>034</v>
      </c>
      <c r="AR3491">
        <v>0</v>
      </c>
      <c r="AS3491">
        <v>0</v>
      </c>
      <c r="AT3491">
        <v>3.3660000000000001</v>
      </c>
      <c r="BB3491" t="str">
        <f>"Y"</f>
        <v>Y</v>
      </c>
      <c r="BD3491" t="str">
        <f>"ערן שלו"</f>
        <v>ערן שלו</v>
      </c>
    </row>
    <row r="3492" spans="1:56" x14ac:dyDescent="0.3">
      <c r="A3492" s="1">
        <v>44077</v>
      </c>
      <c r="B3492" t="str">
        <f>"SI206000884"</f>
        <v>SI206000884</v>
      </c>
      <c r="C3492" t="str">
        <f>"PR20000387"</f>
        <v>PR20000387</v>
      </c>
      <c r="E3492" t="str">
        <f>"Y"</f>
        <v>Y</v>
      </c>
      <c r="F3492" t="str">
        <f>"חשבוניות מרכזות"</f>
        <v>חשבוניות מרכזות</v>
      </c>
      <c r="G3492" t="str">
        <f>"700065"</f>
        <v>700065</v>
      </c>
      <c r="H3492" t="str">
        <f>"אלתא מערכות בע""מ"</f>
        <v>אלתא מערכות בע"מ</v>
      </c>
      <c r="I3492" t="str">
        <f>"10"</f>
        <v>10</v>
      </c>
      <c r="J3492" t="str">
        <f>"OP-AR01838"</f>
        <v>OP-AR01838</v>
      </c>
      <c r="K3492" t="str">
        <f>"3025Y497-001 ETHERNET CABLE W497"</f>
        <v>3025Y497-001 ETHERNET CABLE W497</v>
      </c>
      <c r="L3492">
        <v>-1</v>
      </c>
      <c r="M3492" t="str">
        <f>"יח"</f>
        <v>יח</v>
      </c>
      <c r="N3492">
        <v>-1</v>
      </c>
      <c r="O3492" t="str">
        <f>"יח"</f>
        <v>יח</v>
      </c>
      <c r="P3492">
        <v>285.35000000000002</v>
      </c>
      <c r="Q3492" t="str">
        <f>"$"</f>
        <v>$</v>
      </c>
      <c r="R3492" t="str">
        <f>"הזמנה"</f>
        <v>הזמנה</v>
      </c>
      <c r="S3492">
        <v>0</v>
      </c>
      <c r="T3492">
        <v>-285.35000000000002</v>
      </c>
      <c r="U3492">
        <v>0</v>
      </c>
      <c r="V3492">
        <v>-285.35000000000002</v>
      </c>
      <c r="W3492" t="str">
        <f>"$"</f>
        <v>$</v>
      </c>
      <c r="X3492">
        <v>0</v>
      </c>
      <c r="Y3492">
        <v>0</v>
      </c>
      <c r="Z3492">
        <v>0</v>
      </c>
      <c r="AA3492" t="str">
        <f>"Y"</f>
        <v>Y</v>
      </c>
      <c r="AC3492">
        <v>0</v>
      </c>
      <c r="AM3492" t="str">
        <f>"10"</f>
        <v>10</v>
      </c>
      <c r="AN3492" t="str">
        <f>"500000"</f>
        <v>500000</v>
      </c>
      <c r="AO3492" t="str">
        <f>"הכנסות  מלקוחות"</f>
        <v>הכנסות  מלקוחות</v>
      </c>
      <c r="AQ3492" t="str">
        <f>"034"</f>
        <v>034</v>
      </c>
      <c r="AR3492">
        <v>0</v>
      </c>
      <c r="AS3492">
        <v>0</v>
      </c>
      <c r="AT3492">
        <v>3.3660000000000001</v>
      </c>
      <c r="BB3492" t="str">
        <f>"Y"</f>
        <v>Y</v>
      </c>
      <c r="BD3492" t="str">
        <f>"ערן שלו"</f>
        <v>ערן שלו</v>
      </c>
    </row>
    <row r="3493" spans="1:56" x14ac:dyDescent="0.3">
      <c r="A3493" s="1">
        <v>44077</v>
      </c>
      <c r="B3493" t="str">
        <f>"SI206000884"</f>
        <v>SI206000884</v>
      </c>
      <c r="C3493" t="str">
        <f>"PR20000387"</f>
        <v>PR20000387</v>
      </c>
      <c r="E3493" t="str">
        <f>"Y"</f>
        <v>Y</v>
      </c>
      <c r="F3493" t="str">
        <f>"חשבוניות מרכזות"</f>
        <v>חשבוניות מרכזות</v>
      </c>
      <c r="G3493" t="str">
        <f>"700065"</f>
        <v>700065</v>
      </c>
      <c r="H3493" t="str">
        <f>"אלתא מערכות בע""מ"</f>
        <v>אלתא מערכות בע"מ</v>
      </c>
      <c r="I3493" t="str">
        <f>"10"</f>
        <v>10</v>
      </c>
      <c r="J3493" t="str">
        <f>"OP-AR01839"</f>
        <v>OP-AR01839</v>
      </c>
      <c r="K3493" t="str">
        <f>"3025Y498-001 ETHERNET CABLE W498"</f>
        <v>3025Y498-001 ETHERNET CABLE W498</v>
      </c>
      <c r="L3493">
        <v>-1</v>
      </c>
      <c r="M3493" t="str">
        <f>"יח"</f>
        <v>יח</v>
      </c>
      <c r="N3493">
        <v>-1</v>
      </c>
      <c r="O3493" t="str">
        <f>"יח"</f>
        <v>יח</v>
      </c>
      <c r="P3493">
        <v>350</v>
      </c>
      <c r="Q3493" t="str">
        <f>"$"</f>
        <v>$</v>
      </c>
      <c r="R3493" t="str">
        <f>"הזמנה"</f>
        <v>הזמנה</v>
      </c>
      <c r="S3493">
        <v>0</v>
      </c>
      <c r="T3493">
        <v>-350</v>
      </c>
      <c r="U3493">
        <v>0</v>
      </c>
      <c r="V3493">
        <v>-350</v>
      </c>
      <c r="W3493" t="str">
        <f>"$"</f>
        <v>$</v>
      </c>
      <c r="X3493">
        <v>0</v>
      </c>
      <c r="Y3493">
        <v>0</v>
      </c>
      <c r="Z3493">
        <v>0</v>
      </c>
      <c r="AA3493" t="str">
        <f>"Y"</f>
        <v>Y</v>
      </c>
      <c r="AC3493">
        <v>0</v>
      </c>
      <c r="AM3493" t="str">
        <f>"10"</f>
        <v>10</v>
      </c>
      <c r="AN3493" t="str">
        <f>"500000"</f>
        <v>500000</v>
      </c>
      <c r="AO3493" t="str">
        <f>"הכנסות  מלקוחות"</f>
        <v>הכנסות  מלקוחות</v>
      </c>
      <c r="AQ3493" t="str">
        <f>"034"</f>
        <v>034</v>
      </c>
      <c r="AR3493">
        <v>0</v>
      </c>
      <c r="AS3493">
        <v>0</v>
      </c>
      <c r="AT3493">
        <v>3.3660000000000001</v>
      </c>
      <c r="BB3493" t="str">
        <f>"Y"</f>
        <v>Y</v>
      </c>
      <c r="BD3493" t="str">
        <f>"ערן שלו"</f>
        <v>ערן שלו</v>
      </c>
    </row>
    <row r="3494" spans="1:56" x14ac:dyDescent="0.3">
      <c r="A3494" s="1">
        <v>44077</v>
      </c>
      <c r="B3494" t="str">
        <f>"SI206000879"</f>
        <v>SI206000879</v>
      </c>
      <c r="C3494" t="str">
        <f>"PR20000348"</f>
        <v>PR20000348</v>
      </c>
      <c r="E3494" t="str">
        <f>"Y"</f>
        <v>Y</v>
      </c>
      <c r="F3494" t="str">
        <f>"חשבוניות מרכזות"</f>
        <v>חשבוניות מרכזות</v>
      </c>
      <c r="G3494" t="str">
        <f>"700065"</f>
        <v>700065</v>
      </c>
      <c r="H3494" t="str">
        <f>"אלתא מערכות בע""מ"</f>
        <v>אלתא מערכות בע"מ</v>
      </c>
      <c r="I3494" t="str">
        <f>"10"</f>
        <v>10</v>
      </c>
      <c r="J3494" t="str">
        <f>"OP-AR01760"</f>
        <v>OP-AR01760</v>
      </c>
      <c r="K3494" t="str">
        <f>"1039V384-001 WP384 - POWER PEDESTAL TO PEDPNL (H"</f>
        <v>1039V384-001 WP384 - POWER PEDESTAL TO PEDPNL (H</v>
      </c>
      <c r="L3494">
        <v>2</v>
      </c>
      <c r="M3494" t="str">
        <f>"יח"</f>
        <v>יח</v>
      </c>
      <c r="N3494">
        <v>2</v>
      </c>
      <c r="O3494" t="str">
        <f>"יח"</f>
        <v>יח</v>
      </c>
      <c r="P3494">
        <v>915.53</v>
      </c>
      <c r="Q3494" t="str">
        <f>"$"</f>
        <v>$</v>
      </c>
      <c r="R3494" t="str">
        <f>"הזמנה"</f>
        <v>הזמנה</v>
      </c>
      <c r="S3494">
        <v>0</v>
      </c>
      <c r="T3494" s="2">
        <v>1831.06</v>
      </c>
      <c r="U3494">
        <v>0</v>
      </c>
      <c r="V3494" s="2">
        <v>1831.06</v>
      </c>
      <c r="W3494" t="str">
        <f>"$"</f>
        <v>$</v>
      </c>
      <c r="X3494">
        <v>0</v>
      </c>
      <c r="Y3494">
        <v>0</v>
      </c>
      <c r="Z3494">
        <v>0</v>
      </c>
      <c r="AA3494" t="str">
        <f>"Y"</f>
        <v>Y</v>
      </c>
      <c r="AB3494" t="str">
        <f>"SO20000201"</f>
        <v>SO20000201</v>
      </c>
      <c r="AC3494">
        <v>28</v>
      </c>
      <c r="AD3494" s="1">
        <v>43970</v>
      </c>
      <c r="AE3494" t="str">
        <f>"SH20001214"</f>
        <v>SH20001214</v>
      </c>
      <c r="AF3494" t="str">
        <f>"משלוחים ללקוח"</f>
        <v>משלוחים ללקוח</v>
      </c>
      <c r="AG3494" s="1">
        <v>44075</v>
      </c>
      <c r="AM3494" t="str">
        <f>"10"</f>
        <v>10</v>
      </c>
      <c r="AN3494" t="str">
        <f>"500000"</f>
        <v>500000</v>
      </c>
      <c r="AO3494" t="str">
        <f>"הכנסות  מלקוחות"</f>
        <v>הכנסות  מלקוחות</v>
      </c>
      <c r="AQ3494" t="str">
        <f>"034"</f>
        <v>034</v>
      </c>
      <c r="AR3494">
        <v>0</v>
      </c>
      <c r="AS3494">
        <v>0</v>
      </c>
      <c r="AT3494">
        <v>3.3660000000000001</v>
      </c>
      <c r="AX3494" t="str">
        <f>"E000311250"</f>
        <v>E000311250</v>
      </c>
      <c r="BD3494" t="str">
        <f>"ערן שלו"</f>
        <v>ערן שלו</v>
      </c>
    </row>
    <row r="3495" spans="1:56" x14ac:dyDescent="0.3">
      <c r="A3495" s="1">
        <v>44077</v>
      </c>
      <c r="B3495" t="str">
        <f>"SI206000879"</f>
        <v>SI206000879</v>
      </c>
      <c r="C3495" t="str">
        <f>"PR20000348"</f>
        <v>PR20000348</v>
      </c>
      <c r="E3495" t="str">
        <f>"Y"</f>
        <v>Y</v>
      </c>
      <c r="F3495" t="str">
        <f>"חשבוניות מרכזות"</f>
        <v>חשבוניות מרכזות</v>
      </c>
      <c r="G3495" t="str">
        <f>"700065"</f>
        <v>700065</v>
      </c>
      <c r="H3495" t="str">
        <f>"אלתא מערכות בע""מ"</f>
        <v>אלתא מערכות בע"מ</v>
      </c>
      <c r="I3495" t="str">
        <f>"10"</f>
        <v>10</v>
      </c>
      <c r="J3495" t="str">
        <f>"OP-AR01784"</f>
        <v>OP-AR01784</v>
      </c>
      <c r="K3495" t="str">
        <f>"1037V243-001 WPG118-BONDING STRAP PED PNL L/R TO"</f>
        <v>1037V243-001 WPG118-BONDING STRAP PED PNL L/R TO</v>
      </c>
      <c r="L3495">
        <v>4</v>
      </c>
      <c r="M3495" t="str">
        <f>"יח"</f>
        <v>יח</v>
      </c>
      <c r="N3495">
        <v>4</v>
      </c>
      <c r="O3495" t="str">
        <f>"יח"</f>
        <v>יח</v>
      </c>
      <c r="P3495">
        <v>59.09</v>
      </c>
      <c r="Q3495" t="str">
        <f>"$"</f>
        <v>$</v>
      </c>
      <c r="R3495" t="str">
        <f>"הזמנה"</f>
        <v>הזמנה</v>
      </c>
      <c r="S3495">
        <v>0</v>
      </c>
      <c r="T3495">
        <v>236.36</v>
      </c>
      <c r="U3495">
        <v>0</v>
      </c>
      <c r="V3495">
        <v>236.36</v>
      </c>
      <c r="W3495" t="str">
        <f>"$"</f>
        <v>$</v>
      </c>
      <c r="X3495">
        <v>0</v>
      </c>
      <c r="Y3495">
        <v>0</v>
      </c>
      <c r="Z3495">
        <v>0</v>
      </c>
      <c r="AA3495" t="str">
        <f>"Y"</f>
        <v>Y</v>
      </c>
      <c r="AB3495" t="str">
        <f>"SO20000201"</f>
        <v>SO20000201</v>
      </c>
      <c r="AC3495">
        <v>50</v>
      </c>
      <c r="AD3495" s="1">
        <v>43970</v>
      </c>
      <c r="AE3495" t="str">
        <f>"SH20001214"</f>
        <v>SH20001214</v>
      </c>
      <c r="AF3495" t="str">
        <f>"משלוחים ללקוח"</f>
        <v>משלוחים ללקוח</v>
      </c>
      <c r="AG3495" s="1">
        <v>44075</v>
      </c>
      <c r="AM3495" t="str">
        <f>"10"</f>
        <v>10</v>
      </c>
      <c r="AN3495" t="str">
        <f>"500000"</f>
        <v>500000</v>
      </c>
      <c r="AO3495" t="str">
        <f>"הכנסות  מלקוחות"</f>
        <v>הכנסות  מלקוחות</v>
      </c>
      <c r="AQ3495" t="str">
        <f>"034"</f>
        <v>034</v>
      </c>
      <c r="AR3495">
        <v>0</v>
      </c>
      <c r="AS3495">
        <v>0</v>
      </c>
      <c r="AT3495">
        <v>3.3660000000000001</v>
      </c>
      <c r="AX3495" t="str">
        <f>"E000311250"</f>
        <v>E000311250</v>
      </c>
      <c r="BD3495" t="str">
        <f>"ערן שלו"</f>
        <v>ערן שלו</v>
      </c>
    </row>
    <row r="3496" spans="1:56" x14ac:dyDescent="0.3">
      <c r="A3496" s="1">
        <v>44077</v>
      </c>
      <c r="B3496" t="str">
        <f>"SI206000878"</f>
        <v>SI206000878</v>
      </c>
      <c r="C3496" t="str">
        <f>"PR20000210"</f>
        <v>PR20000210</v>
      </c>
      <c r="D3496" t="str">
        <f>"PR20000210"</f>
        <v>PR20000210</v>
      </c>
      <c r="E3496" t="str">
        <f>"Y"</f>
        <v>Y</v>
      </c>
      <c r="F3496" t="str">
        <f>"חשבוניות מרכזות"</f>
        <v>חשבוניות מרכזות</v>
      </c>
      <c r="G3496" t="str">
        <f>"700065"</f>
        <v>700065</v>
      </c>
      <c r="H3496" t="str">
        <f>"אלתא מערכות בע""מ"</f>
        <v>אלתא מערכות בע"מ</v>
      </c>
      <c r="I3496" t="str">
        <f>"10"</f>
        <v>10</v>
      </c>
      <c r="J3496" t="str">
        <f>"OP-AR01712"</f>
        <v>OP-AR01712</v>
      </c>
      <c r="K3496" t="str">
        <f>"1022H891-002 W11 -DC CABLE ASSY (MASTER)"</f>
        <v>1022H891-002 W11 -DC CABLE ASSY (MASTER)</v>
      </c>
      <c r="L3496">
        <v>4</v>
      </c>
      <c r="M3496" t="str">
        <f>"יח"</f>
        <v>יח</v>
      </c>
      <c r="N3496">
        <v>4</v>
      </c>
      <c r="O3496" t="str">
        <f>"יח"</f>
        <v>יח</v>
      </c>
      <c r="P3496">
        <v>635.26</v>
      </c>
      <c r="Q3496" t="str">
        <f>"$"</f>
        <v>$</v>
      </c>
      <c r="R3496" t="str">
        <f>"הזמנה"</f>
        <v>הזמנה</v>
      </c>
      <c r="S3496">
        <v>0</v>
      </c>
      <c r="T3496" s="2">
        <v>2541.04</v>
      </c>
      <c r="U3496">
        <v>0</v>
      </c>
      <c r="V3496" s="2">
        <v>2541.04</v>
      </c>
      <c r="W3496" t="str">
        <f>"$"</f>
        <v>$</v>
      </c>
      <c r="X3496">
        <v>0</v>
      </c>
      <c r="Y3496">
        <v>0</v>
      </c>
      <c r="Z3496">
        <v>0</v>
      </c>
      <c r="AA3496" t="str">
        <f>"Y"</f>
        <v>Y</v>
      </c>
      <c r="AB3496" t="str">
        <f>"SO20000139"</f>
        <v>SO20000139</v>
      </c>
      <c r="AC3496">
        <v>10</v>
      </c>
      <c r="AD3496" s="1">
        <v>43940</v>
      </c>
      <c r="AE3496" t="str">
        <f>"SH20001213"</f>
        <v>SH20001213</v>
      </c>
      <c r="AF3496" t="str">
        <f>"משלוחים ללקוח"</f>
        <v>משלוחים ללקוח</v>
      </c>
      <c r="AG3496" s="1">
        <v>44075</v>
      </c>
      <c r="AM3496" t="str">
        <f>"10"</f>
        <v>10</v>
      </c>
      <c r="AN3496" t="str">
        <f>"500000"</f>
        <v>500000</v>
      </c>
      <c r="AO3496" t="str">
        <f>"הכנסות  מלקוחות"</f>
        <v>הכנסות  מלקוחות</v>
      </c>
      <c r="AQ3496" t="str">
        <f>"034"</f>
        <v>034</v>
      </c>
      <c r="AR3496">
        <v>0</v>
      </c>
      <c r="AS3496">
        <v>0</v>
      </c>
      <c r="AT3496">
        <v>3.3660000000000001</v>
      </c>
      <c r="AX3496" t="str">
        <f>"E000309670"</f>
        <v>E000309670</v>
      </c>
      <c r="BD3496" t="str">
        <f>"ערן שלו"</f>
        <v>ערן שלו</v>
      </c>
    </row>
    <row r="3497" spans="1:56" x14ac:dyDescent="0.3">
      <c r="A3497" s="1">
        <v>44077</v>
      </c>
      <c r="B3497" t="str">
        <f>"SI206000877"</f>
        <v>SI206000877</v>
      </c>
      <c r="C3497" t="str">
        <f>"PR20000387"</f>
        <v>PR20000387</v>
      </c>
      <c r="E3497" t="str">
        <f>"Y"</f>
        <v>Y</v>
      </c>
      <c r="F3497" t="str">
        <f>"חשבוניות מרכזות"</f>
        <v>חשבוניות מרכזות</v>
      </c>
      <c r="G3497" t="str">
        <f>"700065"</f>
        <v>700065</v>
      </c>
      <c r="H3497" t="str">
        <f>"אלתא מערכות בע""מ"</f>
        <v>אלתא מערכות בע"מ</v>
      </c>
      <c r="I3497" t="str">
        <f>"10"</f>
        <v>10</v>
      </c>
      <c r="J3497" t="str">
        <f>"OP-AR01834"</f>
        <v>OP-AR01834</v>
      </c>
      <c r="K3497" t="str">
        <f>"3025Y493-001 POWER CABLE W493"</f>
        <v>3025Y493-001 POWER CABLE W493</v>
      </c>
      <c r="L3497">
        <v>1</v>
      </c>
      <c r="M3497" t="str">
        <f>"יח"</f>
        <v>יח</v>
      </c>
      <c r="N3497">
        <v>1</v>
      </c>
      <c r="O3497" t="str">
        <f>"יח"</f>
        <v>יח</v>
      </c>
      <c r="P3497">
        <v>274.86</v>
      </c>
      <c r="Q3497" t="str">
        <f>"$"</f>
        <v>$</v>
      </c>
      <c r="R3497" t="str">
        <f>"הזמנה"</f>
        <v>הזמנה</v>
      </c>
      <c r="S3497">
        <v>0</v>
      </c>
      <c r="T3497">
        <v>274.86</v>
      </c>
      <c r="U3497">
        <v>0</v>
      </c>
      <c r="V3497">
        <v>274.86</v>
      </c>
      <c r="W3497" t="str">
        <f>"$"</f>
        <v>$</v>
      </c>
      <c r="X3497">
        <v>0</v>
      </c>
      <c r="Y3497">
        <v>0</v>
      </c>
      <c r="Z3497">
        <v>0</v>
      </c>
      <c r="AA3497" t="str">
        <f>"Y"</f>
        <v>Y</v>
      </c>
      <c r="AC3497">
        <v>0</v>
      </c>
      <c r="AM3497" t="str">
        <f>"10"</f>
        <v>10</v>
      </c>
      <c r="AN3497" t="str">
        <f>"500000"</f>
        <v>500000</v>
      </c>
      <c r="AO3497" t="str">
        <f>"הכנסות  מלקוחות"</f>
        <v>הכנסות  מלקוחות</v>
      </c>
      <c r="AQ3497" t="str">
        <f>"034"</f>
        <v>034</v>
      </c>
      <c r="AR3497">
        <v>0</v>
      </c>
      <c r="AS3497">
        <v>0</v>
      </c>
      <c r="AT3497">
        <v>3.3660000000000001</v>
      </c>
      <c r="BB3497" t="str">
        <f>"Y"</f>
        <v>Y</v>
      </c>
      <c r="BD3497" t="str">
        <f>"ערן שלו"</f>
        <v>ערן שלו</v>
      </c>
    </row>
    <row r="3498" spans="1:56" x14ac:dyDescent="0.3">
      <c r="A3498" s="1">
        <v>44077</v>
      </c>
      <c r="B3498" t="str">
        <f>"SI206000877"</f>
        <v>SI206000877</v>
      </c>
      <c r="C3498" t="str">
        <f>"PR20000387"</f>
        <v>PR20000387</v>
      </c>
      <c r="E3498" t="str">
        <f>"Y"</f>
        <v>Y</v>
      </c>
      <c r="F3498" t="str">
        <f>"חשבוניות מרכזות"</f>
        <v>חשבוניות מרכזות</v>
      </c>
      <c r="G3498" t="str">
        <f>"700065"</f>
        <v>700065</v>
      </c>
      <c r="H3498" t="str">
        <f>"אלתא מערכות בע""מ"</f>
        <v>אלתא מערכות בע"מ</v>
      </c>
      <c r="I3498" t="str">
        <f>"10"</f>
        <v>10</v>
      </c>
      <c r="J3498" t="str">
        <f>"OP-AR01835"</f>
        <v>OP-AR01835</v>
      </c>
      <c r="K3498" t="str">
        <f>"3025Y494-001 GROUND CABLE W494"</f>
        <v>3025Y494-001 GROUND CABLE W494</v>
      </c>
      <c r="L3498">
        <v>1</v>
      </c>
      <c r="M3498" t="str">
        <f>"יח"</f>
        <v>יח</v>
      </c>
      <c r="N3498">
        <v>1</v>
      </c>
      <c r="O3498" t="str">
        <f>"יח"</f>
        <v>יח</v>
      </c>
      <c r="P3498">
        <v>279.8</v>
      </c>
      <c r="Q3498" t="str">
        <f>"$"</f>
        <v>$</v>
      </c>
      <c r="R3498" t="str">
        <f>"הזמנה"</f>
        <v>הזמנה</v>
      </c>
      <c r="S3498">
        <v>0</v>
      </c>
      <c r="T3498">
        <v>279.8</v>
      </c>
      <c r="U3498">
        <v>0</v>
      </c>
      <c r="V3498">
        <v>279.8</v>
      </c>
      <c r="W3498" t="str">
        <f>"$"</f>
        <v>$</v>
      </c>
      <c r="X3498">
        <v>0</v>
      </c>
      <c r="Y3498">
        <v>0</v>
      </c>
      <c r="Z3498">
        <v>0</v>
      </c>
      <c r="AA3498" t="str">
        <f>"Y"</f>
        <v>Y</v>
      </c>
      <c r="AC3498">
        <v>0</v>
      </c>
      <c r="AM3498" t="str">
        <f>"10"</f>
        <v>10</v>
      </c>
      <c r="AN3498" t="str">
        <f>"500000"</f>
        <v>500000</v>
      </c>
      <c r="AO3498" t="str">
        <f>"הכנסות  מלקוחות"</f>
        <v>הכנסות  מלקוחות</v>
      </c>
      <c r="AQ3498" t="str">
        <f>"034"</f>
        <v>034</v>
      </c>
      <c r="AR3498">
        <v>0</v>
      </c>
      <c r="AS3498">
        <v>0</v>
      </c>
      <c r="AT3498">
        <v>3.3660000000000001</v>
      </c>
      <c r="BB3498" t="str">
        <f>"Y"</f>
        <v>Y</v>
      </c>
      <c r="BD3498" t="str">
        <f>"ערן שלו"</f>
        <v>ערן שלו</v>
      </c>
    </row>
    <row r="3499" spans="1:56" x14ac:dyDescent="0.3">
      <c r="A3499" s="1">
        <v>44077</v>
      </c>
      <c r="B3499" t="str">
        <f>"SI206000877"</f>
        <v>SI206000877</v>
      </c>
      <c r="C3499" t="str">
        <f>"PR20000387"</f>
        <v>PR20000387</v>
      </c>
      <c r="E3499" t="str">
        <f>"Y"</f>
        <v>Y</v>
      </c>
      <c r="F3499" t="str">
        <f>"חשבוניות מרכזות"</f>
        <v>חשבוניות מרכזות</v>
      </c>
      <c r="G3499" t="str">
        <f>"700065"</f>
        <v>700065</v>
      </c>
      <c r="H3499" t="str">
        <f>"אלתא מערכות בע""מ"</f>
        <v>אלתא מערכות בע"מ</v>
      </c>
      <c r="I3499" t="str">
        <f>"10"</f>
        <v>10</v>
      </c>
      <c r="J3499" t="str">
        <f>"OP-AR01836"</f>
        <v>OP-AR01836</v>
      </c>
      <c r="K3499" t="str">
        <f>"3025Y495-001 ETHERNET CABLE W495"</f>
        <v>3025Y495-001 ETHERNET CABLE W495</v>
      </c>
      <c r="L3499">
        <v>1</v>
      </c>
      <c r="M3499" t="str">
        <f>"יח"</f>
        <v>יח</v>
      </c>
      <c r="N3499">
        <v>1</v>
      </c>
      <c r="O3499" t="str">
        <f>"יח"</f>
        <v>יח</v>
      </c>
      <c r="P3499">
        <v>274.86</v>
      </c>
      <c r="Q3499" t="str">
        <f>"$"</f>
        <v>$</v>
      </c>
      <c r="R3499" t="str">
        <f>"הזמנה"</f>
        <v>הזמנה</v>
      </c>
      <c r="S3499">
        <v>0</v>
      </c>
      <c r="T3499">
        <v>274.86</v>
      </c>
      <c r="U3499">
        <v>0</v>
      </c>
      <c r="V3499">
        <v>274.86</v>
      </c>
      <c r="W3499" t="str">
        <f>"$"</f>
        <v>$</v>
      </c>
      <c r="X3499">
        <v>0</v>
      </c>
      <c r="Y3499">
        <v>0</v>
      </c>
      <c r="Z3499">
        <v>0</v>
      </c>
      <c r="AA3499" t="str">
        <f>"Y"</f>
        <v>Y</v>
      </c>
      <c r="AC3499">
        <v>0</v>
      </c>
      <c r="AM3499" t="str">
        <f>"10"</f>
        <v>10</v>
      </c>
      <c r="AN3499" t="str">
        <f>"500000"</f>
        <v>500000</v>
      </c>
      <c r="AO3499" t="str">
        <f>"הכנסות  מלקוחות"</f>
        <v>הכנסות  מלקוחות</v>
      </c>
      <c r="AQ3499" t="str">
        <f>"034"</f>
        <v>034</v>
      </c>
      <c r="AR3499">
        <v>0</v>
      </c>
      <c r="AS3499">
        <v>0</v>
      </c>
      <c r="AT3499">
        <v>3.3660000000000001</v>
      </c>
      <c r="BB3499" t="str">
        <f>"Y"</f>
        <v>Y</v>
      </c>
      <c r="BD3499" t="str">
        <f>"ערן שלו"</f>
        <v>ערן שלו</v>
      </c>
    </row>
    <row r="3500" spans="1:56" x14ac:dyDescent="0.3">
      <c r="A3500" s="1">
        <v>44077</v>
      </c>
      <c r="B3500" t="str">
        <f>"SI206000877"</f>
        <v>SI206000877</v>
      </c>
      <c r="C3500" t="str">
        <f>"PR20000387"</f>
        <v>PR20000387</v>
      </c>
      <c r="E3500" t="str">
        <f>"Y"</f>
        <v>Y</v>
      </c>
      <c r="F3500" t="str">
        <f>"חשבוניות מרכזות"</f>
        <v>חשבוניות מרכזות</v>
      </c>
      <c r="G3500" t="str">
        <f>"700065"</f>
        <v>700065</v>
      </c>
      <c r="H3500" t="str">
        <f>"אלתא מערכות בע""מ"</f>
        <v>אלתא מערכות בע"מ</v>
      </c>
      <c r="I3500" t="str">
        <f>"10"</f>
        <v>10</v>
      </c>
      <c r="J3500" t="str">
        <f>"OP-AR01837"</f>
        <v>OP-AR01837</v>
      </c>
      <c r="K3500" t="str">
        <f>"3025Y496-001 ETHERNET CABLE W496"</f>
        <v>3025Y496-001 ETHERNET CABLE W496</v>
      </c>
      <c r="L3500">
        <v>1</v>
      </c>
      <c r="M3500" t="str">
        <f>"יח"</f>
        <v>יח</v>
      </c>
      <c r="N3500">
        <v>1</v>
      </c>
      <c r="O3500" t="str">
        <f>"יח"</f>
        <v>יח</v>
      </c>
      <c r="P3500">
        <v>274.86</v>
      </c>
      <c r="Q3500" t="str">
        <f>"$"</f>
        <v>$</v>
      </c>
      <c r="R3500" t="str">
        <f>"הזמנה"</f>
        <v>הזמנה</v>
      </c>
      <c r="S3500">
        <v>0</v>
      </c>
      <c r="T3500">
        <v>274.86</v>
      </c>
      <c r="U3500">
        <v>0</v>
      </c>
      <c r="V3500">
        <v>274.86</v>
      </c>
      <c r="W3500" t="str">
        <f>"$"</f>
        <v>$</v>
      </c>
      <c r="X3500">
        <v>0</v>
      </c>
      <c r="Y3500">
        <v>0</v>
      </c>
      <c r="Z3500">
        <v>0</v>
      </c>
      <c r="AA3500" t="str">
        <f>"Y"</f>
        <v>Y</v>
      </c>
      <c r="AC3500">
        <v>0</v>
      </c>
      <c r="AM3500" t="str">
        <f>"10"</f>
        <v>10</v>
      </c>
      <c r="AN3500" t="str">
        <f>"500000"</f>
        <v>500000</v>
      </c>
      <c r="AO3500" t="str">
        <f>"הכנסות  מלקוחות"</f>
        <v>הכנסות  מלקוחות</v>
      </c>
      <c r="AQ3500" t="str">
        <f>"034"</f>
        <v>034</v>
      </c>
      <c r="AR3500">
        <v>0</v>
      </c>
      <c r="AS3500">
        <v>0</v>
      </c>
      <c r="AT3500">
        <v>3.3660000000000001</v>
      </c>
      <c r="BB3500" t="str">
        <f>"Y"</f>
        <v>Y</v>
      </c>
      <c r="BD3500" t="str">
        <f>"ערן שלו"</f>
        <v>ערן שלו</v>
      </c>
    </row>
    <row r="3501" spans="1:56" x14ac:dyDescent="0.3">
      <c r="A3501" s="1">
        <v>44077</v>
      </c>
      <c r="B3501" t="str">
        <f>"SI206000877"</f>
        <v>SI206000877</v>
      </c>
      <c r="C3501" t="str">
        <f>"PR20000387"</f>
        <v>PR20000387</v>
      </c>
      <c r="E3501" t="str">
        <f>"Y"</f>
        <v>Y</v>
      </c>
      <c r="F3501" t="str">
        <f>"חשבוניות מרכזות"</f>
        <v>חשבוניות מרכזות</v>
      </c>
      <c r="G3501" t="str">
        <f>"700065"</f>
        <v>700065</v>
      </c>
      <c r="H3501" t="str">
        <f>"אלתא מערכות בע""מ"</f>
        <v>אלתא מערכות בע"מ</v>
      </c>
      <c r="I3501" t="str">
        <f>"10"</f>
        <v>10</v>
      </c>
      <c r="J3501" t="str">
        <f>"OP-AR01838"</f>
        <v>OP-AR01838</v>
      </c>
      <c r="K3501" t="str">
        <f>"3025Y497-001 ETHERNET CABLE W497"</f>
        <v>3025Y497-001 ETHERNET CABLE W497</v>
      </c>
      <c r="L3501">
        <v>1</v>
      </c>
      <c r="M3501" t="str">
        <f>"יח"</f>
        <v>יח</v>
      </c>
      <c r="N3501">
        <v>1</v>
      </c>
      <c r="O3501" t="str">
        <f>"יח"</f>
        <v>יח</v>
      </c>
      <c r="P3501">
        <v>285.35000000000002</v>
      </c>
      <c r="Q3501" t="str">
        <f>"$"</f>
        <v>$</v>
      </c>
      <c r="R3501" t="str">
        <f>"הזמנה"</f>
        <v>הזמנה</v>
      </c>
      <c r="S3501">
        <v>0</v>
      </c>
      <c r="T3501">
        <v>285.35000000000002</v>
      </c>
      <c r="U3501">
        <v>0</v>
      </c>
      <c r="V3501">
        <v>285.35000000000002</v>
      </c>
      <c r="W3501" t="str">
        <f>"$"</f>
        <v>$</v>
      </c>
      <c r="X3501">
        <v>0</v>
      </c>
      <c r="Y3501">
        <v>0</v>
      </c>
      <c r="Z3501">
        <v>0</v>
      </c>
      <c r="AA3501" t="str">
        <f>"Y"</f>
        <v>Y</v>
      </c>
      <c r="AC3501">
        <v>0</v>
      </c>
      <c r="AM3501" t="str">
        <f>"10"</f>
        <v>10</v>
      </c>
      <c r="AN3501" t="str">
        <f>"500000"</f>
        <v>500000</v>
      </c>
      <c r="AO3501" t="str">
        <f>"הכנסות  מלקוחות"</f>
        <v>הכנסות  מלקוחות</v>
      </c>
      <c r="AQ3501" t="str">
        <f>"034"</f>
        <v>034</v>
      </c>
      <c r="AR3501">
        <v>0</v>
      </c>
      <c r="AS3501">
        <v>0</v>
      </c>
      <c r="AT3501">
        <v>3.3660000000000001</v>
      </c>
      <c r="BB3501" t="str">
        <f>"Y"</f>
        <v>Y</v>
      </c>
      <c r="BD3501" t="str">
        <f>"ערן שלו"</f>
        <v>ערן שלו</v>
      </c>
    </row>
    <row r="3502" spans="1:56" x14ac:dyDescent="0.3">
      <c r="A3502" s="1">
        <v>44077</v>
      </c>
      <c r="B3502" t="str">
        <f>"SI206000877"</f>
        <v>SI206000877</v>
      </c>
      <c r="C3502" t="str">
        <f>"PR20000387"</f>
        <v>PR20000387</v>
      </c>
      <c r="E3502" t="str">
        <f>"Y"</f>
        <v>Y</v>
      </c>
      <c r="F3502" t="str">
        <f>"חשבוניות מרכזות"</f>
        <v>חשבוניות מרכזות</v>
      </c>
      <c r="G3502" t="str">
        <f>"700065"</f>
        <v>700065</v>
      </c>
      <c r="H3502" t="str">
        <f>"אלתא מערכות בע""מ"</f>
        <v>אלתא מערכות בע"מ</v>
      </c>
      <c r="I3502" t="str">
        <f>"10"</f>
        <v>10</v>
      </c>
      <c r="J3502" t="str">
        <f>"OP-AR01839"</f>
        <v>OP-AR01839</v>
      </c>
      <c r="K3502" t="str">
        <f>"3025Y498-001 ETHERNET CABLE W498"</f>
        <v>3025Y498-001 ETHERNET CABLE W498</v>
      </c>
      <c r="L3502">
        <v>1</v>
      </c>
      <c r="M3502" t="str">
        <f>"יח"</f>
        <v>יח</v>
      </c>
      <c r="N3502">
        <v>1</v>
      </c>
      <c r="O3502" t="str">
        <f>"יח"</f>
        <v>יח</v>
      </c>
      <c r="P3502">
        <v>350</v>
      </c>
      <c r="Q3502" t="str">
        <f>"$"</f>
        <v>$</v>
      </c>
      <c r="R3502" t="str">
        <f>"הזמנה"</f>
        <v>הזמנה</v>
      </c>
      <c r="S3502">
        <v>0</v>
      </c>
      <c r="T3502">
        <v>350</v>
      </c>
      <c r="U3502">
        <v>0</v>
      </c>
      <c r="V3502">
        <v>350</v>
      </c>
      <c r="W3502" t="str">
        <f>"$"</f>
        <v>$</v>
      </c>
      <c r="X3502">
        <v>0</v>
      </c>
      <c r="Y3502">
        <v>0</v>
      </c>
      <c r="Z3502">
        <v>0</v>
      </c>
      <c r="AA3502" t="str">
        <f>"Y"</f>
        <v>Y</v>
      </c>
      <c r="AC3502">
        <v>0</v>
      </c>
      <c r="AM3502" t="str">
        <f>"10"</f>
        <v>10</v>
      </c>
      <c r="AN3502" t="str">
        <f>"500000"</f>
        <v>500000</v>
      </c>
      <c r="AO3502" t="str">
        <f>"הכנסות  מלקוחות"</f>
        <v>הכנסות  מלקוחות</v>
      </c>
      <c r="AQ3502" t="str">
        <f>"034"</f>
        <v>034</v>
      </c>
      <c r="AR3502">
        <v>0</v>
      </c>
      <c r="AS3502">
        <v>0</v>
      </c>
      <c r="AT3502">
        <v>3.3660000000000001</v>
      </c>
      <c r="BB3502" t="str">
        <f>"Y"</f>
        <v>Y</v>
      </c>
      <c r="BD3502" t="str">
        <f>"ערן שלו"</f>
        <v>ערן שלו</v>
      </c>
    </row>
    <row r="3503" spans="1:56" x14ac:dyDescent="0.3">
      <c r="A3503" s="1">
        <v>44075</v>
      </c>
      <c r="B3503" t="str">
        <f>"SI206000870"</f>
        <v>SI206000870</v>
      </c>
      <c r="E3503" t="str">
        <f>"Y"</f>
        <v>Y</v>
      </c>
      <c r="F3503" t="str">
        <f>"חשבוניות מרכזות"</f>
        <v>חשבוניות מרכזות</v>
      </c>
      <c r="G3503" t="str">
        <f>"700065"</f>
        <v>700065</v>
      </c>
      <c r="H3503" t="str">
        <f>"אלתא מערכות בע""מ"</f>
        <v>אלתא מערכות בע"מ</v>
      </c>
      <c r="I3503" t="str">
        <f>"10"</f>
        <v>10</v>
      </c>
      <c r="J3503" t="str">
        <f>"OP-AR01833"</f>
        <v>OP-AR01833</v>
      </c>
      <c r="K3503" t="str">
        <f>"NRE FOR E000308084"</f>
        <v>NRE FOR E000308084</v>
      </c>
      <c r="L3503">
        <v>1</v>
      </c>
      <c r="M3503" t="str">
        <f>"יח"</f>
        <v>יח</v>
      </c>
      <c r="N3503">
        <v>1</v>
      </c>
      <c r="O3503" t="str">
        <f>"יח"</f>
        <v>יח</v>
      </c>
      <c r="P3503">
        <v>350</v>
      </c>
      <c r="Q3503" t="str">
        <f>"$"</f>
        <v>$</v>
      </c>
      <c r="R3503" t="str">
        <f>"הזמנה"</f>
        <v>הזמנה</v>
      </c>
      <c r="S3503">
        <v>0</v>
      </c>
      <c r="T3503">
        <v>350</v>
      </c>
      <c r="U3503">
        <v>0</v>
      </c>
      <c r="V3503">
        <v>350</v>
      </c>
      <c r="W3503" t="str">
        <f>"$"</f>
        <v>$</v>
      </c>
      <c r="X3503">
        <v>0</v>
      </c>
      <c r="Y3503">
        <v>0</v>
      </c>
      <c r="Z3503">
        <v>0</v>
      </c>
      <c r="AA3503" t="str">
        <f>"Y"</f>
        <v>Y</v>
      </c>
      <c r="AB3503" t="str">
        <f>"SO20000127"</f>
        <v>SO20000127</v>
      </c>
      <c r="AC3503">
        <v>3</v>
      </c>
      <c r="AD3503" s="1">
        <v>43923</v>
      </c>
      <c r="AM3503" t="str">
        <f>"10"</f>
        <v>10</v>
      </c>
      <c r="AN3503" t="str">
        <f>"500000"</f>
        <v>500000</v>
      </c>
      <c r="AO3503" t="str">
        <f>"הכנסות  מלקוחות"</f>
        <v>הכנסות  מלקוחות</v>
      </c>
      <c r="AQ3503" t="str">
        <f>"034"</f>
        <v>034</v>
      </c>
      <c r="AR3503">
        <v>0</v>
      </c>
      <c r="AS3503">
        <v>0</v>
      </c>
      <c r="AT3503">
        <v>3.3620000000000001</v>
      </c>
      <c r="AX3503" t="str">
        <f>"E000308084"</f>
        <v>E000308084</v>
      </c>
      <c r="BD3503" t="str">
        <f>"ערן שלו"</f>
        <v>ערן שלו</v>
      </c>
    </row>
    <row r="3504" spans="1:56" x14ac:dyDescent="0.3">
      <c r="A3504" s="1">
        <v>44075</v>
      </c>
      <c r="B3504" t="str">
        <f>"CR207000036"</f>
        <v>CR207000036</v>
      </c>
      <c r="C3504" t="str">
        <f>"PR19000400"</f>
        <v>PR19000400</v>
      </c>
      <c r="D3504" t="str">
        <f>"PR19000400"</f>
        <v>PR19000400</v>
      </c>
      <c r="E3504" t="str">
        <f>"Y"</f>
        <v>Y</v>
      </c>
      <c r="F3504" t="str">
        <f>"חשבוניות זיכוי"</f>
        <v>חשבוניות זיכוי</v>
      </c>
      <c r="G3504" t="str">
        <f>"700065"</f>
        <v>700065</v>
      </c>
      <c r="H3504" t="str">
        <f>"אלתא מערכות בע""מ"</f>
        <v>אלתא מערכות בע"מ</v>
      </c>
      <c r="I3504" t="str">
        <f>"10"</f>
        <v>10</v>
      </c>
      <c r="J3504" t="str">
        <f>"000"</f>
        <v>000</v>
      </c>
      <c r="K3504" t="str">
        <f>"חיוב פיגורים חשבונית SI206000608"</f>
        <v>חיוב פיגורים חשבונית SI206000608</v>
      </c>
      <c r="L3504">
        <v>1</v>
      </c>
      <c r="M3504" t="str">
        <f>"יח"</f>
        <v>יח</v>
      </c>
      <c r="N3504">
        <v>1</v>
      </c>
      <c r="O3504" t="str">
        <f>"יח"</f>
        <v>יח</v>
      </c>
      <c r="P3504">
        <v>438.63</v>
      </c>
      <c r="Q3504" t="str">
        <f>"$"</f>
        <v>$</v>
      </c>
      <c r="R3504" t="str">
        <f>"ידני"</f>
        <v>ידני</v>
      </c>
      <c r="S3504">
        <v>0</v>
      </c>
      <c r="T3504" s="2">
        <v>1506.26</v>
      </c>
      <c r="U3504">
        <v>0</v>
      </c>
      <c r="V3504" s="2">
        <v>1506.26</v>
      </c>
      <c r="W3504" t="str">
        <f>"ש""ח"</f>
        <v>ש"ח</v>
      </c>
      <c r="X3504">
        <v>0</v>
      </c>
      <c r="Y3504">
        <v>0</v>
      </c>
      <c r="Z3504">
        <v>0</v>
      </c>
      <c r="AA3504" t="str">
        <f>"Y"</f>
        <v>Y</v>
      </c>
      <c r="AB3504" t="str">
        <f>"SO20000168"</f>
        <v>SO20000168</v>
      </c>
      <c r="AC3504">
        <v>11</v>
      </c>
      <c r="AD3504" s="1">
        <v>43948</v>
      </c>
      <c r="AM3504" t="str">
        <f>"10"</f>
        <v>10</v>
      </c>
      <c r="AN3504" t="str">
        <f>"500000"</f>
        <v>500000</v>
      </c>
      <c r="AO3504" t="str">
        <f>"הכנסות  מלקוחות"</f>
        <v>הכנסות  מלקוחות</v>
      </c>
      <c r="AQ3504" t="str">
        <f>"034"</f>
        <v>034</v>
      </c>
      <c r="AR3504">
        <v>0</v>
      </c>
      <c r="AS3504">
        <v>0</v>
      </c>
      <c r="AT3504">
        <v>3.4340000000000002</v>
      </c>
      <c r="AX3504" t="str">
        <f>"E000310582"</f>
        <v>E000310582</v>
      </c>
      <c r="BD3504" t="str">
        <f>"ערן שלו"</f>
        <v>ערן שלו</v>
      </c>
    </row>
    <row r="3505" spans="1:56" x14ac:dyDescent="0.3">
      <c r="A3505" s="1">
        <v>44075</v>
      </c>
      <c r="B3505" t="str">
        <f>"CR207000035"</f>
        <v>CR207000035</v>
      </c>
      <c r="E3505" t="str">
        <f>"Y"</f>
        <v>Y</v>
      </c>
      <c r="F3505" t="str">
        <f>"חשבוניות זיכוי"</f>
        <v>חשבוניות זיכוי</v>
      </c>
      <c r="G3505" t="str">
        <f>"700065"</f>
        <v>700065</v>
      </c>
      <c r="H3505" t="str">
        <f>"אלתא מערכות בע""מ"</f>
        <v>אלתא מערכות בע"מ</v>
      </c>
      <c r="I3505" t="str">
        <f>"10"</f>
        <v>10</v>
      </c>
      <c r="J3505" t="str">
        <f>"000"</f>
        <v>000</v>
      </c>
      <c r="K3505" t="str">
        <f>"חיוב חשבונית בגין פיגורים SI206000549"</f>
        <v>חיוב חשבונית בגין פיגורים SI206000549</v>
      </c>
      <c r="L3505">
        <v>1</v>
      </c>
      <c r="M3505" t="str">
        <f>"יח"</f>
        <v>יח</v>
      </c>
      <c r="N3505">
        <v>1</v>
      </c>
      <c r="O3505" t="str">
        <f>"יח"</f>
        <v>יח</v>
      </c>
      <c r="P3505">
        <v>63.28</v>
      </c>
      <c r="Q3505" t="str">
        <f>"$"</f>
        <v>$</v>
      </c>
      <c r="R3505" t="str">
        <f>"ידני"</f>
        <v>ידני</v>
      </c>
      <c r="S3505">
        <v>0</v>
      </c>
      <c r="T3505">
        <v>218.57</v>
      </c>
      <c r="U3505">
        <v>0</v>
      </c>
      <c r="V3505">
        <v>218.57</v>
      </c>
      <c r="W3505" t="str">
        <f>"ש""ח"</f>
        <v>ש"ח</v>
      </c>
      <c r="X3505">
        <v>0</v>
      </c>
      <c r="Y3505">
        <v>0</v>
      </c>
      <c r="Z3505">
        <v>0</v>
      </c>
      <c r="AA3505" t="str">
        <f>"Y"</f>
        <v>Y</v>
      </c>
      <c r="AB3505" t="str">
        <f>"SO19000524"</f>
        <v>SO19000524</v>
      </c>
      <c r="AC3505">
        <v>24</v>
      </c>
      <c r="AD3505" s="1">
        <v>43809</v>
      </c>
      <c r="AM3505" t="str">
        <f>"10"</f>
        <v>10</v>
      </c>
      <c r="AN3505" t="str">
        <f>"500000"</f>
        <v>500000</v>
      </c>
      <c r="AO3505" t="str">
        <f>"הכנסות  מלקוחות"</f>
        <v>הכנסות  מלקוחות</v>
      </c>
      <c r="AQ3505" t="str">
        <f>"034"</f>
        <v>034</v>
      </c>
      <c r="AR3505">
        <v>0</v>
      </c>
      <c r="AS3505">
        <v>0</v>
      </c>
      <c r="AT3505">
        <v>3.4540000000000002</v>
      </c>
      <c r="AX3505" t="str">
        <f>"E000300228"</f>
        <v>E000300228</v>
      </c>
      <c r="BD3505" t="str">
        <f>"ערן שלו"</f>
        <v>ערן שלו</v>
      </c>
    </row>
    <row r="3506" spans="1:56" x14ac:dyDescent="0.3">
      <c r="A3506" s="1">
        <v>44075</v>
      </c>
      <c r="B3506" t="str">
        <f>"CR207000035"</f>
        <v>CR207000035</v>
      </c>
      <c r="E3506" t="str">
        <f>"Y"</f>
        <v>Y</v>
      </c>
      <c r="F3506" t="str">
        <f>"חשבוניות זיכוי"</f>
        <v>חשבוניות זיכוי</v>
      </c>
      <c r="G3506" t="str">
        <f>"700065"</f>
        <v>700065</v>
      </c>
      <c r="H3506" t="str">
        <f>"אלתא מערכות בע""מ"</f>
        <v>אלתא מערכות בע"מ</v>
      </c>
      <c r="I3506" t="str">
        <f>"10"</f>
        <v>10</v>
      </c>
      <c r="J3506" t="str">
        <f>"000"</f>
        <v>000</v>
      </c>
      <c r="K3506" t="str">
        <f>"חיוב חשבונית בגין פיגורים SI206000549"</f>
        <v>חיוב חשבונית בגין פיגורים SI206000549</v>
      </c>
      <c r="L3506">
        <v>1</v>
      </c>
      <c r="M3506" t="str">
        <f>"יח"</f>
        <v>יח</v>
      </c>
      <c r="N3506">
        <v>1</v>
      </c>
      <c r="O3506" t="str">
        <f>"יח"</f>
        <v>יח</v>
      </c>
      <c r="P3506">
        <v>199.61</v>
      </c>
      <c r="Q3506" t="str">
        <f>"$"</f>
        <v>$</v>
      </c>
      <c r="R3506" t="str">
        <f>"ידני"</f>
        <v>ידני</v>
      </c>
      <c r="S3506">
        <v>0</v>
      </c>
      <c r="T3506">
        <v>689.45</v>
      </c>
      <c r="U3506">
        <v>0</v>
      </c>
      <c r="V3506">
        <v>689.45</v>
      </c>
      <c r="W3506" t="str">
        <f>"ש""ח"</f>
        <v>ש"ח</v>
      </c>
      <c r="X3506">
        <v>0</v>
      </c>
      <c r="Y3506">
        <v>0</v>
      </c>
      <c r="Z3506">
        <v>0</v>
      </c>
      <c r="AA3506" t="str">
        <f>"Y"</f>
        <v>Y</v>
      </c>
      <c r="AB3506" t="str">
        <f>"SO19000524"</f>
        <v>SO19000524</v>
      </c>
      <c r="AC3506">
        <v>28</v>
      </c>
      <c r="AD3506" s="1">
        <v>43809</v>
      </c>
      <c r="AM3506" t="str">
        <f>"10"</f>
        <v>10</v>
      </c>
      <c r="AN3506" t="str">
        <f>"500000"</f>
        <v>500000</v>
      </c>
      <c r="AO3506" t="str">
        <f>"הכנסות  מלקוחות"</f>
        <v>הכנסות  מלקוחות</v>
      </c>
      <c r="AQ3506" t="str">
        <f>"034"</f>
        <v>034</v>
      </c>
      <c r="AR3506">
        <v>0</v>
      </c>
      <c r="AS3506">
        <v>0</v>
      </c>
      <c r="AT3506">
        <v>3.4540000000000002</v>
      </c>
      <c r="AX3506" t="str">
        <f>"E000300228"</f>
        <v>E000300228</v>
      </c>
      <c r="BD3506" t="str">
        <f>"ערן שלו"</f>
        <v>ערן שלו</v>
      </c>
    </row>
    <row r="3507" spans="1:56" x14ac:dyDescent="0.3">
      <c r="A3507" s="1">
        <v>44075</v>
      </c>
      <c r="B3507" t="str">
        <f>"CR207000035"</f>
        <v>CR207000035</v>
      </c>
      <c r="E3507" t="str">
        <f>"Y"</f>
        <v>Y</v>
      </c>
      <c r="F3507" t="str">
        <f>"חשבוניות זיכוי"</f>
        <v>חשבוניות זיכוי</v>
      </c>
      <c r="G3507" t="str">
        <f>"700065"</f>
        <v>700065</v>
      </c>
      <c r="H3507" t="str">
        <f>"אלתא מערכות בע""מ"</f>
        <v>אלתא מערכות בע"מ</v>
      </c>
      <c r="I3507" t="str">
        <f>"10"</f>
        <v>10</v>
      </c>
      <c r="J3507" t="str">
        <f>"000"</f>
        <v>000</v>
      </c>
      <c r="K3507" t="str">
        <f>"חיוב חשבונית בגין פיגורים SI206000549"</f>
        <v>חיוב חשבונית בגין פיגורים SI206000549</v>
      </c>
      <c r="L3507">
        <v>1</v>
      </c>
      <c r="M3507" t="str">
        <f>"יח"</f>
        <v>יח</v>
      </c>
      <c r="N3507">
        <v>1</v>
      </c>
      <c r="O3507" t="str">
        <f>"יח"</f>
        <v>יח</v>
      </c>
      <c r="P3507">
        <v>26.87</v>
      </c>
      <c r="Q3507" t="str">
        <f>"$"</f>
        <v>$</v>
      </c>
      <c r="R3507" t="str">
        <f>"ידני"</f>
        <v>ידני</v>
      </c>
      <c r="S3507">
        <v>0</v>
      </c>
      <c r="T3507">
        <v>92.81</v>
      </c>
      <c r="U3507">
        <v>0</v>
      </c>
      <c r="V3507">
        <v>92.81</v>
      </c>
      <c r="W3507" t="str">
        <f>"ש""ח"</f>
        <v>ש"ח</v>
      </c>
      <c r="X3507">
        <v>0</v>
      </c>
      <c r="Y3507">
        <v>0</v>
      </c>
      <c r="Z3507">
        <v>0</v>
      </c>
      <c r="AA3507" t="str">
        <f>"Y"</f>
        <v>Y</v>
      </c>
      <c r="AB3507" t="str">
        <f>"SO19000524"</f>
        <v>SO19000524</v>
      </c>
      <c r="AC3507">
        <v>31</v>
      </c>
      <c r="AD3507" s="1">
        <v>43809</v>
      </c>
      <c r="AM3507" t="str">
        <f>"10"</f>
        <v>10</v>
      </c>
      <c r="AN3507" t="str">
        <f>"500000"</f>
        <v>500000</v>
      </c>
      <c r="AO3507" t="str">
        <f>"הכנסות  מלקוחות"</f>
        <v>הכנסות  מלקוחות</v>
      </c>
      <c r="AQ3507" t="str">
        <f>"034"</f>
        <v>034</v>
      </c>
      <c r="AR3507">
        <v>0</v>
      </c>
      <c r="AS3507">
        <v>0</v>
      </c>
      <c r="AT3507">
        <v>3.4540000000000002</v>
      </c>
      <c r="AX3507" t="str">
        <f>"E000300228"</f>
        <v>E000300228</v>
      </c>
      <c r="BD3507" t="str">
        <f>"ערן שלו"</f>
        <v>ערן שלו</v>
      </c>
    </row>
    <row r="3508" spans="1:56" x14ac:dyDescent="0.3">
      <c r="A3508" s="1">
        <v>44075</v>
      </c>
      <c r="B3508" t="str">
        <f>"CR207000035"</f>
        <v>CR207000035</v>
      </c>
      <c r="E3508" t="str">
        <f>"Y"</f>
        <v>Y</v>
      </c>
      <c r="F3508" t="str">
        <f>"חשבוניות זיכוי"</f>
        <v>חשבוניות זיכוי</v>
      </c>
      <c r="G3508" t="str">
        <f>"700065"</f>
        <v>700065</v>
      </c>
      <c r="H3508" t="str">
        <f>"אלתא מערכות בע""מ"</f>
        <v>אלתא מערכות בע"מ</v>
      </c>
      <c r="I3508" t="str">
        <f>"10"</f>
        <v>10</v>
      </c>
      <c r="J3508" t="str">
        <f>"000"</f>
        <v>000</v>
      </c>
      <c r="K3508" t="str">
        <f>"חיוב חשבונית בגין פיגורים SI206000549"</f>
        <v>חיוב חשבונית בגין פיגורים SI206000549</v>
      </c>
      <c r="L3508">
        <v>1</v>
      </c>
      <c r="M3508" t="str">
        <f>"יח"</f>
        <v>יח</v>
      </c>
      <c r="N3508">
        <v>1</v>
      </c>
      <c r="O3508" t="str">
        <f>"יח"</f>
        <v>יח</v>
      </c>
      <c r="P3508">
        <v>33.53</v>
      </c>
      <c r="Q3508" t="str">
        <f>"$"</f>
        <v>$</v>
      </c>
      <c r="R3508" t="str">
        <f>"ידני"</f>
        <v>ידני</v>
      </c>
      <c r="S3508">
        <v>0</v>
      </c>
      <c r="T3508">
        <v>115.81</v>
      </c>
      <c r="U3508">
        <v>0</v>
      </c>
      <c r="V3508">
        <v>115.81</v>
      </c>
      <c r="W3508" t="str">
        <f>"ש""ח"</f>
        <v>ש"ח</v>
      </c>
      <c r="X3508">
        <v>0</v>
      </c>
      <c r="Y3508">
        <v>0</v>
      </c>
      <c r="Z3508">
        <v>0</v>
      </c>
      <c r="AA3508" t="str">
        <f>"Y"</f>
        <v>Y</v>
      </c>
      <c r="AB3508" t="str">
        <f>"SO19000524"</f>
        <v>SO19000524</v>
      </c>
      <c r="AC3508">
        <v>36</v>
      </c>
      <c r="AD3508" s="1">
        <v>43809</v>
      </c>
      <c r="AM3508" t="str">
        <f>"10"</f>
        <v>10</v>
      </c>
      <c r="AN3508" t="str">
        <f>"500000"</f>
        <v>500000</v>
      </c>
      <c r="AO3508" t="str">
        <f>"הכנסות  מלקוחות"</f>
        <v>הכנסות  מלקוחות</v>
      </c>
      <c r="AQ3508" t="str">
        <f>"034"</f>
        <v>034</v>
      </c>
      <c r="AR3508">
        <v>0</v>
      </c>
      <c r="AS3508">
        <v>0</v>
      </c>
      <c r="AT3508">
        <v>3.4540000000000002</v>
      </c>
      <c r="AX3508" t="str">
        <f>"E000300228"</f>
        <v>E000300228</v>
      </c>
      <c r="BD3508" t="str">
        <f>"ערן שלו"</f>
        <v>ערן שלו</v>
      </c>
    </row>
    <row r="3509" spans="1:56" x14ac:dyDescent="0.3">
      <c r="A3509" s="1">
        <v>44075</v>
      </c>
      <c r="B3509" t="str">
        <f>"CR207000035"</f>
        <v>CR207000035</v>
      </c>
      <c r="E3509" t="str">
        <f>"Y"</f>
        <v>Y</v>
      </c>
      <c r="F3509" t="str">
        <f>"חשבוניות זיכוי"</f>
        <v>חשבוניות זיכוי</v>
      </c>
      <c r="G3509" t="str">
        <f>"700065"</f>
        <v>700065</v>
      </c>
      <c r="H3509" t="str">
        <f>"אלתא מערכות בע""מ"</f>
        <v>אלתא מערכות בע"מ</v>
      </c>
      <c r="I3509" t="str">
        <f>"10"</f>
        <v>10</v>
      </c>
      <c r="J3509" t="str">
        <f>"000"</f>
        <v>000</v>
      </c>
      <c r="K3509" t="str">
        <f>"חיוב חשבונית בגין פיגורים SI206000549"</f>
        <v>חיוב חשבונית בגין פיגורים SI206000549</v>
      </c>
      <c r="L3509">
        <v>1</v>
      </c>
      <c r="M3509" t="str">
        <f>"יח"</f>
        <v>יח</v>
      </c>
      <c r="N3509">
        <v>1</v>
      </c>
      <c r="O3509" t="str">
        <f>"יח"</f>
        <v>יח</v>
      </c>
      <c r="P3509">
        <v>20.61</v>
      </c>
      <c r="Q3509" t="str">
        <f>"$"</f>
        <v>$</v>
      </c>
      <c r="R3509" t="str">
        <f>"ידני"</f>
        <v>ידני</v>
      </c>
      <c r="S3509">
        <v>0</v>
      </c>
      <c r="T3509">
        <v>71.19</v>
      </c>
      <c r="U3509">
        <v>0</v>
      </c>
      <c r="V3509">
        <v>71.19</v>
      </c>
      <c r="W3509" t="str">
        <f>"ש""ח"</f>
        <v>ש"ח</v>
      </c>
      <c r="X3509">
        <v>0</v>
      </c>
      <c r="Y3509">
        <v>0</v>
      </c>
      <c r="Z3509">
        <v>0</v>
      </c>
      <c r="AA3509" t="str">
        <f>"Y"</f>
        <v>Y</v>
      </c>
      <c r="AB3509" t="str">
        <f>"SO19000524"</f>
        <v>SO19000524</v>
      </c>
      <c r="AC3509">
        <v>40</v>
      </c>
      <c r="AD3509" s="1">
        <v>43809</v>
      </c>
      <c r="AM3509" t="str">
        <f>"10"</f>
        <v>10</v>
      </c>
      <c r="AN3509" t="str">
        <f>"500000"</f>
        <v>500000</v>
      </c>
      <c r="AO3509" t="str">
        <f>"הכנסות  מלקוחות"</f>
        <v>הכנסות  מלקוחות</v>
      </c>
      <c r="AQ3509" t="str">
        <f>"034"</f>
        <v>034</v>
      </c>
      <c r="AR3509">
        <v>0</v>
      </c>
      <c r="AS3509">
        <v>0</v>
      </c>
      <c r="AT3509">
        <v>3.4540000000000002</v>
      </c>
      <c r="AX3509" t="str">
        <f>"E000300228"</f>
        <v>E000300228</v>
      </c>
      <c r="BD3509" t="str">
        <f>"ערן שלו"</f>
        <v>ערן שלו</v>
      </c>
    </row>
    <row r="3510" spans="1:56" x14ac:dyDescent="0.3">
      <c r="A3510" s="1">
        <v>44075</v>
      </c>
      <c r="B3510" t="str">
        <f>"CR207000035"</f>
        <v>CR207000035</v>
      </c>
      <c r="E3510" t="str">
        <f>"Y"</f>
        <v>Y</v>
      </c>
      <c r="F3510" t="str">
        <f>"חשבוניות זיכוי"</f>
        <v>חשבוניות זיכוי</v>
      </c>
      <c r="G3510" t="str">
        <f>"700065"</f>
        <v>700065</v>
      </c>
      <c r="H3510" t="str">
        <f>"אלתא מערכות בע""מ"</f>
        <v>אלתא מערכות בע"מ</v>
      </c>
      <c r="I3510" t="str">
        <f>"10"</f>
        <v>10</v>
      </c>
      <c r="J3510" t="str">
        <f>"000"</f>
        <v>000</v>
      </c>
      <c r="K3510" t="str">
        <f>"חיוב חשבונית בגין פיגורים SI206000549"</f>
        <v>חיוב חשבונית בגין פיגורים SI206000549</v>
      </c>
      <c r="L3510">
        <v>1</v>
      </c>
      <c r="M3510" t="str">
        <f>"יח"</f>
        <v>יח</v>
      </c>
      <c r="N3510">
        <v>1</v>
      </c>
      <c r="O3510" t="str">
        <f>"יח"</f>
        <v>יח</v>
      </c>
      <c r="P3510">
        <v>112.16</v>
      </c>
      <c r="Q3510" t="str">
        <f>"$"</f>
        <v>$</v>
      </c>
      <c r="R3510" t="str">
        <f>"ידני"</f>
        <v>ידני</v>
      </c>
      <c r="S3510">
        <v>0</v>
      </c>
      <c r="T3510">
        <v>387.4</v>
      </c>
      <c r="U3510">
        <v>0</v>
      </c>
      <c r="V3510">
        <v>387.4</v>
      </c>
      <c r="W3510" t="str">
        <f>"ש""ח"</f>
        <v>ש"ח</v>
      </c>
      <c r="X3510">
        <v>0</v>
      </c>
      <c r="Y3510">
        <v>0</v>
      </c>
      <c r="Z3510">
        <v>0</v>
      </c>
      <c r="AA3510" t="str">
        <f>"Y"</f>
        <v>Y</v>
      </c>
      <c r="AB3510" t="str">
        <f>"SO19000524"</f>
        <v>SO19000524</v>
      </c>
      <c r="AC3510">
        <v>43</v>
      </c>
      <c r="AD3510" s="1">
        <v>43809</v>
      </c>
      <c r="AM3510" t="str">
        <f>"10"</f>
        <v>10</v>
      </c>
      <c r="AN3510" t="str">
        <f>"500000"</f>
        <v>500000</v>
      </c>
      <c r="AO3510" t="str">
        <f>"הכנסות  מלקוחות"</f>
        <v>הכנסות  מלקוחות</v>
      </c>
      <c r="AQ3510" t="str">
        <f>"034"</f>
        <v>034</v>
      </c>
      <c r="AR3510">
        <v>0</v>
      </c>
      <c r="AS3510">
        <v>0</v>
      </c>
      <c r="AT3510">
        <v>3.4540000000000002</v>
      </c>
      <c r="AX3510" t="str">
        <f>"E000300228"</f>
        <v>E000300228</v>
      </c>
      <c r="BD3510" t="str">
        <f>"ערן שלו"</f>
        <v>ערן שלו</v>
      </c>
    </row>
    <row r="3511" spans="1:56" x14ac:dyDescent="0.3">
      <c r="A3511" s="1">
        <v>44075</v>
      </c>
      <c r="B3511" t="str">
        <f>"CR207000035"</f>
        <v>CR207000035</v>
      </c>
      <c r="E3511" t="str">
        <f>"Y"</f>
        <v>Y</v>
      </c>
      <c r="F3511" t="str">
        <f>"חשבוניות זיכוי"</f>
        <v>חשבוניות זיכוי</v>
      </c>
      <c r="G3511" t="str">
        <f>"700065"</f>
        <v>700065</v>
      </c>
      <c r="H3511" t="str">
        <f>"אלתא מערכות בע""מ"</f>
        <v>אלתא מערכות בע"מ</v>
      </c>
      <c r="I3511" t="str">
        <f>"10"</f>
        <v>10</v>
      </c>
      <c r="J3511" t="str">
        <f>"000"</f>
        <v>000</v>
      </c>
      <c r="K3511" t="str">
        <f>"חיוב חשבונית בגין פיגורים SI206000549"</f>
        <v>חיוב חשבונית בגין פיגורים SI206000549</v>
      </c>
      <c r="L3511">
        <v>1</v>
      </c>
      <c r="M3511" t="str">
        <f>"יח"</f>
        <v>יח</v>
      </c>
      <c r="N3511">
        <v>1</v>
      </c>
      <c r="O3511" t="str">
        <f>"יח"</f>
        <v>יח</v>
      </c>
      <c r="P3511">
        <v>67.17</v>
      </c>
      <c r="Q3511" t="str">
        <f>"$"</f>
        <v>$</v>
      </c>
      <c r="R3511" t="str">
        <f>"ידני"</f>
        <v>ידני</v>
      </c>
      <c r="S3511">
        <v>0</v>
      </c>
      <c r="T3511">
        <v>232.01</v>
      </c>
      <c r="U3511">
        <v>0</v>
      </c>
      <c r="V3511">
        <v>232.01</v>
      </c>
      <c r="W3511" t="str">
        <f>"ש""ח"</f>
        <v>ש"ח</v>
      </c>
      <c r="X3511">
        <v>0</v>
      </c>
      <c r="Y3511">
        <v>0</v>
      </c>
      <c r="Z3511">
        <v>0</v>
      </c>
      <c r="AA3511" t="str">
        <f>"Y"</f>
        <v>Y</v>
      </c>
      <c r="AB3511" t="str">
        <f>"SO19000524"</f>
        <v>SO19000524</v>
      </c>
      <c r="AC3511">
        <v>49</v>
      </c>
      <c r="AD3511" s="1">
        <v>43809</v>
      </c>
      <c r="AM3511" t="str">
        <f>"10"</f>
        <v>10</v>
      </c>
      <c r="AN3511" t="str">
        <f>"500000"</f>
        <v>500000</v>
      </c>
      <c r="AO3511" t="str">
        <f>"הכנסות  מלקוחות"</f>
        <v>הכנסות  מלקוחות</v>
      </c>
      <c r="AQ3511" t="str">
        <f>"034"</f>
        <v>034</v>
      </c>
      <c r="AR3511">
        <v>0</v>
      </c>
      <c r="AS3511">
        <v>0</v>
      </c>
      <c r="AT3511">
        <v>3.4540000000000002</v>
      </c>
      <c r="AX3511" t="str">
        <f>"E000300228"</f>
        <v>E000300228</v>
      </c>
      <c r="BD3511" t="str">
        <f>"ערן שלו"</f>
        <v>ערן שלו</v>
      </c>
    </row>
    <row r="3512" spans="1:56" x14ac:dyDescent="0.3">
      <c r="A3512" s="1">
        <v>44075</v>
      </c>
      <c r="B3512" t="str">
        <f>"CR207000035"</f>
        <v>CR207000035</v>
      </c>
      <c r="E3512" t="str">
        <f>"Y"</f>
        <v>Y</v>
      </c>
      <c r="F3512" t="str">
        <f>"חשבוניות זיכוי"</f>
        <v>חשבוניות זיכוי</v>
      </c>
      <c r="G3512" t="str">
        <f>"700065"</f>
        <v>700065</v>
      </c>
      <c r="H3512" t="str">
        <f>"אלתא מערכות בע""מ"</f>
        <v>אלתא מערכות בע"מ</v>
      </c>
      <c r="I3512" t="str">
        <f>"10"</f>
        <v>10</v>
      </c>
      <c r="J3512" t="str">
        <f>"000"</f>
        <v>000</v>
      </c>
      <c r="K3512" t="str">
        <f>"חיוב חשבונית בגין פיגורים SI206000549"</f>
        <v>חיוב חשבונית בגין פיגורים SI206000549</v>
      </c>
      <c r="L3512">
        <v>1</v>
      </c>
      <c r="M3512" t="str">
        <f>"יח"</f>
        <v>יח</v>
      </c>
      <c r="N3512">
        <v>1</v>
      </c>
      <c r="O3512" t="str">
        <f>"יח"</f>
        <v>יח</v>
      </c>
      <c r="P3512">
        <v>8.07</v>
      </c>
      <c r="Q3512" t="str">
        <f>"$"</f>
        <v>$</v>
      </c>
      <c r="R3512" t="str">
        <f>"ידני"</f>
        <v>ידני</v>
      </c>
      <c r="S3512">
        <v>0</v>
      </c>
      <c r="T3512">
        <v>27.87</v>
      </c>
      <c r="U3512">
        <v>0</v>
      </c>
      <c r="V3512">
        <v>27.87</v>
      </c>
      <c r="W3512" t="str">
        <f>"ש""ח"</f>
        <v>ש"ח</v>
      </c>
      <c r="X3512">
        <v>0</v>
      </c>
      <c r="Y3512">
        <v>0</v>
      </c>
      <c r="Z3512">
        <v>0</v>
      </c>
      <c r="AA3512" t="str">
        <f>"Y"</f>
        <v>Y</v>
      </c>
      <c r="AB3512" t="str">
        <f>"SO19000524"</f>
        <v>SO19000524</v>
      </c>
      <c r="AC3512">
        <v>52</v>
      </c>
      <c r="AD3512" s="1">
        <v>43809</v>
      </c>
      <c r="AM3512" t="str">
        <f>"10"</f>
        <v>10</v>
      </c>
      <c r="AN3512" t="str">
        <f>"500000"</f>
        <v>500000</v>
      </c>
      <c r="AO3512" t="str">
        <f>"הכנסות  מלקוחות"</f>
        <v>הכנסות  מלקוחות</v>
      </c>
      <c r="AQ3512" t="str">
        <f>"034"</f>
        <v>034</v>
      </c>
      <c r="AR3512">
        <v>0</v>
      </c>
      <c r="AS3512">
        <v>0</v>
      </c>
      <c r="AT3512">
        <v>3.4540000000000002</v>
      </c>
      <c r="AX3512" t="str">
        <f>"E000300228"</f>
        <v>E000300228</v>
      </c>
      <c r="BD3512" t="str">
        <f>"ערן שלו"</f>
        <v>ערן שלו</v>
      </c>
    </row>
    <row r="3513" spans="1:56" x14ac:dyDescent="0.3">
      <c r="A3513" s="1">
        <v>44075</v>
      </c>
      <c r="B3513" t="str">
        <f>"CR207000035"</f>
        <v>CR207000035</v>
      </c>
      <c r="E3513" t="str">
        <f>"Y"</f>
        <v>Y</v>
      </c>
      <c r="F3513" t="str">
        <f>"חשבוניות זיכוי"</f>
        <v>חשבוניות זיכוי</v>
      </c>
      <c r="G3513" t="str">
        <f>"700065"</f>
        <v>700065</v>
      </c>
      <c r="H3513" t="str">
        <f>"אלתא מערכות בע""מ"</f>
        <v>אלתא מערכות בע"מ</v>
      </c>
      <c r="I3513" t="str">
        <f>"10"</f>
        <v>10</v>
      </c>
      <c r="J3513" t="str">
        <f>"000"</f>
        <v>000</v>
      </c>
      <c r="K3513" t="str">
        <f>"חיוב חשבונית בגין פיגורים SI206000549"</f>
        <v>חיוב חשבונית בגין פיגורים SI206000549</v>
      </c>
      <c r="L3513">
        <v>1</v>
      </c>
      <c r="M3513" t="str">
        <f>"יח"</f>
        <v>יח</v>
      </c>
      <c r="N3513">
        <v>1</v>
      </c>
      <c r="O3513" t="str">
        <f>"יח"</f>
        <v>יח</v>
      </c>
      <c r="P3513">
        <v>43.04</v>
      </c>
      <c r="Q3513" t="str">
        <f>"$"</f>
        <v>$</v>
      </c>
      <c r="R3513" t="str">
        <f>"ידני"</f>
        <v>ידני</v>
      </c>
      <c r="S3513">
        <v>0</v>
      </c>
      <c r="T3513">
        <v>148.66</v>
      </c>
      <c r="U3513">
        <v>0</v>
      </c>
      <c r="V3513">
        <v>148.66</v>
      </c>
      <c r="W3513" t="str">
        <f>"ש""ח"</f>
        <v>ש"ח</v>
      </c>
      <c r="X3513">
        <v>0</v>
      </c>
      <c r="Y3513">
        <v>0</v>
      </c>
      <c r="Z3513">
        <v>0</v>
      </c>
      <c r="AA3513" t="str">
        <f>"Y"</f>
        <v>Y</v>
      </c>
      <c r="AB3513" t="str">
        <f>"SO19000524"</f>
        <v>SO19000524</v>
      </c>
      <c r="AC3513">
        <v>53</v>
      </c>
      <c r="AD3513" s="1">
        <v>43809</v>
      </c>
      <c r="AM3513" t="str">
        <f>"10"</f>
        <v>10</v>
      </c>
      <c r="AN3513" t="str">
        <f>"500000"</f>
        <v>500000</v>
      </c>
      <c r="AO3513" t="str">
        <f>"הכנסות  מלקוחות"</f>
        <v>הכנסות  מלקוחות</v>
      </c>
      <c r="AQ3513" t="str">
        <f>"034"</f>
        <v>034</v>
      </c>
      <c r="AR3513">
        <v>0</v>
      </c>
      <c r="AS3513">
        <v>0</v>
      </c>
      <c r="AT3513">
        <v>3.4540000000000002</v>
      </c>
      <c r="AX3513" t="str">
        <f>"E000300228"</f>
        <v>E000300228</v>
      </c>
      <c r="BD3513" t="str">
        <f>"ערן שלו"</f>
        <v>ערן שלו</v>
      </c>
    </row>
    <row r="3514" spans="1:56" x14ac:dyDescent="0.3">
      <c r="A3514" s="1">
        <v>44075</v>
      </c>
      <c r="B3514" t="str">
        <f>"CR207000034"</f>
        <v>CR207000034</v>
      </c>
      <c r="E3514" t="str">
        <f>"Y"</f>
        <v>Y</v>
      </c>
      <c r="F3514" t="str">
        <f>"חשבוניות זיכוי"</f>
        <v>חשבוניות זיכוי</v>
      </c>
      <c r="G3514" t="str">
        <f>"700065"</f>
        <v>700065</v>
      </c>
      <c r="H3514" t="str">
        <f>"אלתא מערכות בע""מ"</f>
        <v>אלתא מערכות בע"מ</v>
      </c>
      <c r="I3514" t="str">
        <f>"10"</f>
        <v>10</v>
      </c>
      <c r="J3514" t="str">
        <f>"000"</f>
        <v>000</v>
      </c>
      <c r="K3514" t="str">
        <f>"חיוב פיגורים SI206000484"</f>
        <v>חיוב פיגורים SI206000484</v>
      </c>
      <c r="L3514">
        <v>1</v>
      </c>
      <c r="M3514" t="str">
        <f>"יח"</f>
        <v>יח</v>
      </c>
      <c r="N3514">
        <v>1</v>
      </c>
      <c r="O3514" t="str">
        <f>"יח"</f>
        <v>יח</v>
      </c>
      <c r="P3514">
        <v>880</v>
      </c>
      <c r="Q3514" t="str">
        <f>"$"</f>
        <v>$</v>
      </c>
      <c r="R3514" t="str">
        <f>"ידני"</f>
        <v>ידני</v>
      </c>
      <c r="S3514">
        <v>0</v>
      </c>
      <c r="T3514" s="2">
        <v>3093.2</v>
      </c>
      <c r="U3514">
        <v>0</v>
      </c>
      <c r="V3514" s="2">
        <v>3093.2</v>
      </c>
      <c r="W3514" t="str">
        <f>"ש""ח"</f>
        <v>ש"ח</v>
      </c>
      <c r="X3514">
        <v>0</v>
      </c>
      <c r="Y3514">
        <v>0</v>
      </c>
      <c r="Z3514">
        <v>0</v>
      </c>
      <c r="AA3514" t="str">
        <f>"Y"</f>
        <v>Y</v>
      </c>
      <c r="AB3514" t="str">
        <f>"SO19000397"</f>
        <v>SO19000397</v>
      </c>
      <c r="AC3514">
        <v>3</v>
      </c>
      <c r="AD3514" s="1">
        <v>43716</v>
      </c>
      <c r="AM3514" t="str">
        <f>"10"</f>
        <v>10</v>
      </c>
      <c r="AN3514" t="str">
        <f>"500000"</f>
        <v>500000</v>
      </c>
      <c r="AO3514" t="str">
        <f>"הכנסות  מלקוחות"</f>
        <v>הכנסות  מלקוחות</v>
      </c>
      <c r="AQ3514" t="str">
        <f>"034"</f>
        <v>034</v>
      </c>
      <c r="AR3514">
        <v>0</v>
      </c>
      <c r="AS3514">
        <v>0</v>
      </c>
      <c r="AT3514">
        <v>3.5150000000000001</v>
      </c>
      <c r="AX3514" t="str">
        <f>"E000294050"</f>
        <v>E000294050</v>
      </c>
      <c r="BD3514" t="str">
        <f>"ערן שלו"</f>
        <v>ערן שלו</v>
      </c>
    </row>
    <row r="3515" spans="1:56" x14ac:dyDescent="0.3">
      <c r="A3515" s="1">
        <v>44075</v>
      </c>
      <c r="B3515" t="str">
        <f>"CR207000034"</f>
        <v>CR207000034</v>
      </c>
      <c r="E3515" t="str">
        <f>"Y"</f>
        <v>Y</v>
      </c>
      <c r="F3515" t="str">
        <f>"חשבוניות זיכוי"</f>
        <v>חשבוניות זיכוי</v>
      </c>
      <c r="G3515" t="str">
        <f>"700065"</f>
        <v>700065</v>
      </c>
      <c r="H3515" t="str">
        <f>"אלתא מערכות בע""מ"</f>
        <v>אלתא מערכות בע"מ</v>
      </c>
      <c r="I3515" t="str">
        <f>"10"</f>
        <v>10</v>
      </c>
      <c r="J3515" t="str">
        <f>"000"</f>
        <v>000</v>
      </c>
      <c r="K3515" t="str">
        <f>"חיוב פיגורים SI206000484"</f>
        <v>חיוב פיגורים SI206000484</v>
      </c>
      <c r="L3515">
        <v>1</v>
      </c>
      <c r="M3515" t="str">
        <f>"יח"</f>
        <v>יח</v>
      </c>
      <c r="N3515">
        <v>1</v>
      </c>
      <c r="O3515" t="str">
        <f>"יח"</f>
        <v>יח</v>
      </c>
      <c r="P3515">
        <v>440</v>
      </c>
      <c r="Q3515" t="str">
        <f>"$"</f>
        <v>$</v>
      </c>
      <c r="R3515" t="str">
        <f>"ידני"</f>
        <v>ידני</v>
      </c>
      <c r="S3515">
        <v>0</v>
      </c>
      <c r="T3515" s="2">
        <v>1546.6</v>
      </c>
      <c r="U3515">
        <v>0</v>
      </c>
      <c r="V3515" s="2">
        <v>1546.6</v>
      </c>
      <c r="W3515" t="str">
        <f>"ש""ח"</f>
        <v>ש"ח</v>
      </c>
      <c r="X3515">
        <v>0</v>
      </c>
      <c r="Y3515">
        <v>0</v>
      </c>
      <c r="Z3515">
        <v>0</v>
      </c>
      <c r="AA3515" t="str">
        <f>"Y"</f>
        <v>Y</v>
      </c>
      <c r="AB3515" t="str">
        <f>"SO19000397"</f>
        <v>SO19000397</v>
      </c>
      <c r="AC3515">
        <v>17</v>
      </c>
      <c r="AD3515" s="1">
        <v>43716</v>
      </c>
      <c r="AM3515" t="str">
        <f>"10"</f>
        <v>10</v>
      </c>
      <c r="AN3515" t="str">
        <f>"500000"</f>
        <v>500000</v>
      </c>
      <c r="AO3515" t="str">
        <f>"הכנסות  מלקוחות"</f>
        <v>הכנסות  מלקוחות</v>
      </c>
      <c r="AQ3515" t="str">
        <f>"034"</f>
        <v>034</v>
      </c>
      <c r="AR3515">
        <v>0</v>
      </c>
      <c r="AS3515">
        <v>0</v>
      </c>
      <c r="AT3515">
        <v>3.5150000000000001</v>
      </c>
      <c r="AX3515" t="str">
        <f>"E000294050"</f>
        <v>E000294050</v>
      </c>
      <c r="BD3515" t="str">
        <f>"ערן שלו"</f>
        <v>ערן שלו</v>
      </c>
    </row>
    <row r="3516" spans="1:56" x14ac:dyDescent="0.3">
      <c r="A3516" s="1">
        <v>44074</v>
      </c>
      <c r="B3516" t="str">
        <f>"SI206000865"</f>
        <v>SI206000865</v>
      </c>
      <c r="C3516" t="str">
        <f>"PR20000218"</f>
        <v>PR20000218</v>
      </c>
      <c r="E3516" t="str">
        <f>"Y"</f>
        <v>Y</v>
      </c>
      <c r="F3516" t="str">
        <f>"חשבוניות מרכזות"</f>
        <v>חשבוניות מרכזות</v>
      </c>
      <c r="G3516" t="str">
        <f>"700065"</f>
        <v>700065</v>
      </c>
      <c r="H3516" t="str">
        <f>"אלתא מערכות בע""מ"</f>
        <v>אלתא מערכות בע"מ</v>
      </c>
      <c r="I3516" t="str">
        <f>"11"</f>
        <v>11</v>
      </c>
      <c r="J3516" t="str">
        <f>"OP-KT00100"</f>
        <v>OP-KT00100</v>
      </c>
      <c r="K3516" t="str">
        <f>"PHILIPPINE 1039R900-001 RPS SPARE PARTS LIST"</f>
        <v>PHILIPPINE 1039R900-001 RPS SPARE PARTS LIST</v>
      </c>
      <c r="L3516">
        <v>1</v>
      </c>
      <c r="M3516" t="str">
        <f>"יח"</f>
        <v>יח</v>
      </c>
      <c r="N3516">
        <v>1</v>
      </c>
      <c r="O3516" t="str">
        <f>"יח"</f>
        <v>יח</v>
      </c>
      <c r="P3516" s="2">
        <v>28205.55</v>
      </c>
      <c r="Q3516" t="str">
        <f>"$"</f>
        <v>$</v>
      </c>
      <c r="R3516" t="str">
        <f>"הזמנה"</f>
        <v>הזמנה</v>
      </c>
      <c r="S3516">
        <v>0</v>
      </c>
      <c r="T3516" s="2">
        <v>28205.55</v>
      </c>
      <c r="U3516">
        <v>0</v>
      </c>
      <c r="V3516" s="2">
        <v>28205.55</v>
      </c>
      <c r="W3516" t="str">
        <f>"$"</f>
        <v>$</v>
      </c>
      <c r="X3516">
        <v>0</v>
      </c>
      <c r="Y3516">
        <v>0</v>
      </c>
      <c r="Z3516">
        <v>0</v>
      </c>
      <c r="AA3516" t="str">
        <f>"Y"</f>
        <v>Y</v>
      </c>
      <c r="AB3516" t="str">
        <f>"SO20000138"</f>
        <v>SO20000138</v>
      </c>
      <c r="AC3516">
        <v>1</v>
      </c>
      <c r="AD3516" s="1">
        <v>43938</v>
      </c>
      <c r="AE3516" t="str">
        <f>"SH20001196"</f>
        <v>SH20001196</v>
      </c>
      <c r="AF3516" t="str">
        <f>"משלוחים ללקוח"</f>
        <v>משלוחים ללקוח</v>
      </c>
      <c r="AG3516" s="1">
        <v>44073</v>
      </c>
      <c r="AM3516" t="str">
        <f>"10"</f>
        <v>10</v>
      </c>
      <c r="AN3516" t="str">
        <f>"500000"</f>
        <v>500000</v>
      </c>
      <c r="AO3516" t="str">
        <f>"הכנסות  מלקוחות"</f>
        <v>הכנסות  מלקוחות</v>
      </c>
      <c r="AQ3516" t="str">
        <f>"034"</f>
        <v>034</v>
      </c>
      <c r="AR3516">
        <v>0</v>
      </c>
      <c r="AS3516">
        <v>0</v>
      </c>
      <c r="AT3516">
        <v>3.3679999999999999</v>
      </c>
      <c r="AX3516" t="str">
        <f>"E000309816"</f>
        <v>E000309816</v>
      </c>
      <c r="BD3516" t="str">
        <f>"ערן שלו"</f>
        <v>ערן שלו</v>
      </c>
    </row>
    <row r="3517" spans="1:56" x14ac:dyDescent="0.3">
      <c r="A3517" s="1">
        <v>44074</v>
      </c>
      <c r="B3517" t="str">
        <f>"SI206000865"</f>
        <v>SI206000865</v>
      </c>
      <c r="C3517" t="str">
        <f>"PR20000218"</f>
        <v>PR20000218</v>
      </c>
      <c r="E3517" t="str">
        <f>"Y"</f>
        <v>Y</v>
      </c>
      <c r="F3517" t="str">
        <f>"חשבוניות מרכזות"</f>
        <v>חשבוניות מרכזות</v>
      </c>
      <c r="G3517" t="str">
        <f>"700065"</f>
        <v>700065</v>
      </c>
      <c r="H3517" t="str">
        <f>"אלתא מערכות בע""מ"</f>
        <v>אלתא מערכות בע"מ</v>
      </c>
      <c r="I3517" t="str">
        <f>"11"</f>
        <v>11</v>
      </c>
      <c r="J3517" t="str">
        <f>"OP-KT00101"</f>
        <v>OP-KT00101</v>
      </c>
      <c r="K3517" t="str">
        <f>"VIETNAM 1039R555-001 RPS SPARE PARTS LIST"</f>
        <v>VIETNAM 1039R555-001 RPS SPARE PARTS LIST</v>
      </c>
      <c r="L3517">
        <v>1</v>
      </c>
      <c r="M3517" t="str">
        <f>"יח"</f>
        <v>יח</v>
      </c>
      <c r="N3517">
        <v>1</v>
      </c>
      <c r="O3517" t="str">
        <f>"יח"</f>
        <v>יח</v>
      </c>
      <c r="P3517" s="2">
        <v>27350</v>
      </c>
      <c r="Q3517" t="str">
        <f>"$"</f>
        <v>$</v>
      </c>
      <c r="R3517" t="str">
        <f>"הזמנה"</f>
        <v>הזמנה</v>
      </c>
      <c r="S3517">
        <v>0</v>
      </c>
      <c r="T3517" s="2">
        <v>27350</v>
      </c>
      <c r="U3517">
        <v>0</v>
      </c>
      <c r="V3517" s="2">
        <v>27350</v>
      </c>
      <c r="W3517" t="str">
        <f>"$"</f>
        <v>$</v>
      </c>
      <c r="X3517">
        <v>0</v>
      </c>
      <c r="Y3517">
        <v>0</v>
      </c>
      <c r="Z3517">
        <v>0</v>
      </c>
      <c r="AA3517" t="str">
        <f>"Y"</f>
        <v>Y</v>
      </c>
      <c r="AB3517" t="str">
        <f>"SO20000138"</f>
        <v>SO20000138</v>
      </c>
      <c r="AC3517">
        <v>2</v>
      </c>
      <c r="AD3517" s="1">
        <v>43938</v>
      </c>
      <c r="AE3517" t="str">
        <f>"SH20001196"</f>
        <v>SH20001196</v>
      </c>
      <c r="AF3517" t="str">
        <f>"משלוחים ללקוח"</f>
        <v>משלוחים ללקוח</v>
      </c>
      <c r="AG3517" s="1">
        <v>44073</v>
      </c>
      <c r="AM3517" t="str">
        <f>"10"</f>
        <v>10</v>
      </c>
      <c r="AN3517" t="str">
        <f>"500000"</f>
        <v>500000</v>
      </c>
      <c r="AO3517" t="str">
        <f>"הכנסות  מלקוחות"</f>
        <v>הכנסות  מלקוחות</v>
      </c>
      <c r="AQ3517" t="str">
        <f>"034"</f>
        <v>034</v>
      </c>
      <c r="AR3517">
        <v>0</v>
      </c>
      <c r="AS3517">
        <v>0</v>
      </c>
      <c r="AT3517">
        <v>3.3679999999999999</v>
      </c>
      <c r="AX3517" t="str">
        <f>"E000309816"</f>
        <v>E000309816</v>
      </c>
      <c r="BD3517" t="str">
        <f>"ערן שלו"</f>
        <v>ערן שלו</v>
      </c>
    </row>
    <row r="3518" spans="1:56" x14ac:dyDescent="0.3">
      <c r="A3518" s="1">
        <v>44073</v>
      </c>
      <c r="B3518" t="str">
        <f>"SI206000857"</f>
        <v>SI206000857</v>
      </c>
      <c r="C3518" t="str">
        <f>"PR20000013"</f>
        <v>PR20000013</v>
      </c>
      <c r="D3518" t="str">
        <f>"PR20000013"</f>
        <v>PR20000013</v>
      </c>
      <c r="E3518" t="str">
        <f>"Y"</f>
        <v>Y</v>
      </c>
      <c r="F3518" t="str">
        <f>"חשבוניות מרכזות"</f>
        <v>חשבוניות מרכזות</v>
      </c>
      <c r="G3518" t="str">
        <f>"700065"</f>
        <v>700065</v>
      </c>
      <c r="H3518" t="str">
        <f>"אלתא מערכות בע""מ"</f>
        <v>אלתא מערכות בע"מ</v>
      </c>
      <c r="I3518" t="str">
        <f>"01"</f>
        <v>01</v>
      </c>
      <c r="J3518" t="str">
        <f>"OP-AR01637"</f>
        <v>OP-AR01637</v>
      </c>
      <c r="K3518" t="str">
        <f>"שיפוץ שליטה קרון מופ"</f>
        <v>שיפוץ שליטה קרון מופ</v>
      </c>
      <c r="L3518">
        <v>1</v>
      </c>
      <c r="M3518" t="str">
        <f>"יח"</f>
        <v>יח</v>
      </c>
      <c r="N3518">
        <v>1</v>
      </c>
      <c r="O3518" t="str">
        <f>"יח"</f>
        <v>יח</v>
      </c>
      <c r="P3518" s="2">
        <v>22099.39</v>
      </c>
      <c r="Q3518" t="str">
        <f>"$"</f>
        <v>$</v>
      </c>
      <c r="R3518" t="str">
        <f>"הזמנה"</f>
        <v>הזמנה</v>
      </c>
      <c r="S3518">
        <v>0</v>
      </c>
      <c r="T3518" s="2">
        <v>22099.39</v>
      </c>
      <c r="U3518">
        <v>0</v>
      </c>
      <c r="V3518" s="2">
        <v>22099.39</v>
      </c>
      <c r="W3518" t="str">
        <f>"$"</f>
        <v>$</v>
      </c>
      <c r="X3518">
        <v>0</v>
      </c>
      <c r="Y3518">
        <v>0</v>
      </c>
      <c r="Z3518">
        <v>0</v>
      </c>
      <c r="AA3518" t="str">
        <f>"Y"</f>
        <v>Y</v>
      </c>
      <c r="AB3518" t="str">
        <f>"SO20000011"</f>
        <v>SO20000011</v>
      </c>
      <c r="AC3518">
        <v>1</v>
      </c>
      <c r="AD3518" s="1">
        <v>43836</v>
      </c>
      <c r="AE3518" t="str">
        <f>"SH20001170"</f>
        <v>SH20001170</v>
      </c>
      <c r="AF3518" t="str">
        <f>"משלוחים ללקוח"</f>
        <v>משלוחים ללקוח</v>
      </c>
      <c r="AG3518" s="1">
        <v>44067</v>
      </c>
      <c r="AM3518" t="str">
        <f>"10"</f>
        <v>10</v>
      </c>
      <c r="AN3518" t="str">
        <f>"500000"</f>
        <v>500000</v>
      </c>
      <c r="AO3518" t="str">
        <f>"הכנסות  מלקוחות"</f>
        <v>הכנסות  מלקוחות</v>
      </c>
      <c r="AQ3518" t="str">
        <f>"030"</f>
        <v>030</v>
      </c>
      <c r="AR3518">
        <v>0</v>
      </c>
      <c r="AS3518">
        <v>0</v>
      </c>
      <c r="AT3518">
        <v>3.3679999999999999</v>
      </c>
      <c r="AX3518" t="str">
        <f>"E000300987"</f>
        <v>E000300987</v>
      </c>
      <c r="BD3518" t="str">
        <f>"דוד דהן"</f>
        <v>דוד דהן</v>
      </c>
    </row>
    <row r="3519" spans="1:56" x14ac:dyDescent="0.3">
      <c r="A3519" s="1">
        <v>44066</v>
      </c>
      <c r="B3519" t="str">
        <f>"SI206000851"</f>
        <v>SI206000851</v>
      </c>
      <c r="C3519" t="str">
        <f>"PR20000217"</f>
        <v>PR20000217</v>
      </c>
      <c r="D3519" t="str">
        <f>"PR20000217"</f>
        <v>PR20000217</v>
      </c>
      <c r="E3519" t="str">
        <f>"Y"</f>
        <v>Y</v>
      </c>
      <c r="F3519" t="str">
        <f>"חשבוניות מרכזות"</f>
        <v>חשבוניות מרכזות</v>
      </c>
      <c r="G3519" t="str">
        <f>"700065"</f>
        <v>700065</v>
      </c>
      <c r="H3519" t="str">
        <f>"אלתא מערכות בע""מ"</f>
        <v>אלתא מערכות בע"מ</v>
      </c>
      <c r="I3519" t="str">
        <f>"10"</f>
        <v>10</v>
      </c>
      <c r="J3519" t="str">
        <f>"OP-AR01716"</f>
        <v>OP-AR01716</v>
      </c>
      <c r="K3519" t="str">
        <f>"4050B381-001 HARNESS W381 - KEY LOAD SSTU"</f>
        <v>4050B381-001 HARNESS W381 - KEY LOAD SSTU</v>
      </c>
      <c r="L3519">
        <v>10</v>
      </c>
      <c r="M3519" t="str">
        <f>"יח"</f>
        <v>יח</v>
      </c>
      <c r="N3519">
        <v>10</v>
      </c>
      <c r="O3519" t="str">
        <f>"יח"</f>
        <v>יח</v>
      </c>
      <c r="P3519">
        <v>211.52</v>
      </c>
      <c r="Q3519" t="str">
        <f>"$"</f>
        <v>$</v>
      </c>
      <c r="R3519" t="str">
        <f>"הזמנה"</f>
        <v>הזמנה</v>
      </c>
      <c r="S3519">
        <v>0</v>
      </c>
      <c r="T3519" s="2">
        <v>2115.1999999999998</v>
      </c>
      <c r="U3519">
        <v>0</v>
      </c>
      <c r="V3519" s="2">
        <v>2115.1999999999998</v>
      </c>
      <c r="W3519" t="str">
        <f>"$"</f>
        <v>$</v>
      </c>
      <c r="X3519">
        <v>0</v>
      </c>
      <c r="Y3519">
        <v>0</v>
      </c>
      <c r="Z3519">
        <v>0</v>
      </c>
      <c r="AA3519" t="str">
        <f>"Y"</f>
        <v>Y</v>
      </c>
      <c r="AB3519" t="str">
        <f>"SO20000144"</f>
        <v>SO20000144</v>
      </c>
      <c r="AC3519">
        <v>1</v>
      </c>
      <c r="AD3519" s="1">
        <v>43940</v>
      </c>
      <c r="AE3519" t="str">
        <f>"SH20001081"</f>
        <v>SH20001081</v>
      </c>
      <c r="AF3519" t="str">
        <f>"משלוחים ללקוח"</f>
        <v>משלוחים ללקוח</v>
      </c>
      <c r="AG3519" s="1">
        <v>44055</v>
      </c>
      <c r="AM3519" t="str">
        <f>"10"</f>
        <v>10</v>
      </c>
      <c r="AN3519" t="str">
        <f>"500000"</f>
        <v>500000</v>
      </c>
      <c r="AO3519" t="str">
        <f>"הכנסות  מלקוחות"</f>
        <v>הכנסות  מלקוחות</v>
      </c>
      <c r="AQ3519" t="str">
        <f>"034"</f>
        <v>034</v>
      </c>
      <c r="AR3519">
        <v>0</v>
      </c>
      <c r="AS3519">
        <v>0</v>
      </c>
      <c r="AT3519">
        <v>3.4039999999999999</v>
      </c>
      <c r="AX3519" t="str">
        <f>"E000310458"</f>
        <v>E000310458</v>
      </c>
      <c r="BD3519" t="str">
        <f>"ערן שלו"</f>
        <v>ערן שלו</v>
      </c>
    </row>
    <row r="3520" spans="1:56" x14ac:dyDescent="0.3">
      <c r="A3520" s="1">
        <v>44066</v>
      </c>
      <c r="B3520" t="str">
        <f>"SI206000850"</f>
        <v>SI206000850</v>
      </c>
      <c r="C3520" t="str">
        <f>"PR18000543"</f>
        <v>PR18000543</v>
      </c>
      <c r="E3520" t="str">
        <f>"Y"</f>
        <v>Y</v>
      </c>
      <c r="F3520" t="str">
        <f>"חשבוניות מרכזות"</f>
        <v>חשבוניות מרכזות</v>
      </c>
      <c r="G3520" t="str">
        <f>"700065"</f>
        <v>700065</v>
      </c>
      <c r="H3520" t="str">
        <f>"אלתא מערכות בע""מ"</f>
        <v>אלתא מערכות בע"מ</v>
      </c>
      <c r="I3520" t="str">
        <f>"10"</f>
        <v>10</v>
      </c>
      <c r="J3520" t="str">
        <f>"OP-AR01083"</f>
        <v>OP-AR01083</v>
      </c>
      <c r="K3520" t="str">
        <f>"1036C960-001 HVJB_N"</f>
        <v>1036C960-001 HVJB_N</v>
      </c>
      <c r="L3520">
        <v>3</v>
      </c>
      <c r="M3520" t="str">
        <f>"יח"</f>
        <v>יח</v>
      </c>
      <c r="N3520">
        <v>3</v>
      </c>
      <c r="O3520" t="str">
        <f>"יח"</f>
        <v>יח</v>
      </c>
      <c r="P3520" s="2">
        <v>6000</v>
      </c>
      <c r="Q3520" t="str">
        <f>"$"</f>
        <v>$</v>
      </c>
      <c r="R3520" t="str">
        <f>"הזמנה"</f>
        <v>הזמנה</v>
      </c>
      <c r="S3520">
        <v>0</v>
      </c>
      <c r="T3520" s="2">
        <v>18000</v>
      </c>
      <c r="U3520">
        <v>0</v>
      </c>
      <c r="V3520" s="2">
        <v>18000</v>
      </c>
      <c r="W3520" t="str">
        <f>"$"</f>
        <v>$</v>
      </c>
      <c r="X3520">
        <v>0</v>
      </c>
      <c r="Y3520">
        <v>0</v>
      </c>
      <c r="Z3520">
        <v>0</v>
      </c>
      <c r="AA3520" t="str">
        <f>"Y"</f>
        <v>Y</v>
      </c>
      <c r="AB3520" t="str">
        <f>"SO19000320"</f>
        <v>SO19000320</v>
      </c>
      <c r="AC3520">
        <v>1</v>
      </c>
      <c r="AD3520" s="1">
        <v>43667</v>
      </c>
      <c r="AE3520" t="str">
        <f>"SH20001082"</f>
        <v>SH20001082</v>
      </c>
      <c r="AF3520" t="str">
        <f>"משלוחים ללקוח"</f>
        <v>משלוחים ללקוח</v>
      </c>
      <c r="AG3520" s="1">
        <v>44055</v>
      </c>
      <c r="AM3520" t="str">
        <f>"10"</f>
        <v>10</v>
      </c>
      <c r="AN3520" t="str">
        <f>"500000"</f>
        <v>500000</v>
      </c>
      <c r="AO3520" t="str">
        <f>"הכנסות  מלקוחות"</f>
        <v>הכנסות  מלקוחות</v>
      </c>
      <c r="AQ3520" t="str">
        <f>"034"</f>
        <v>034</v>
      </c>
      <c r="AR3520">
        <v>0</v>
      </c>
      <c r="AS3520">
        <v>0</v>
      </c>
      <c r="AT3520">
        <v>3.4039999999999999</v>
      </c>
      <c r="AX3520" t="str">
        <f>"E000290709"</f>
        <v>E000290709</v>
      </c>
      <c r="BD3520" t="str">
        <f>"ערן שלו"</f>
        <v>ערן שלו</v>
      </c>
    </row>
    <row r="3521" spans="1:56" x14ac:dyDescent="0.3">
      <c r="A3521" s="1">
        <v>44066</v>
      </c>
      <c r="B3521" t="str">
        <f>"SI206000849"</f>
        <v>SI206000849</v>
      </c>
      <c r="C3521" t="str">
        <f>"PR20000183"</f>
        <v>PR20000183</v>
      </c>
      <c r="E3521" t="str">
        <f>"Y"</f>
        <v>Y</v>
      </c>
      <c r="F3521" t="str">
        <f>"חשבוניות מרכזות"</f>
        <v>חשבוניות מרכזות</v>
      </c>
      <c r="G3521" t="str">
        <f>"700065"</f>
        <v>700065</v>
      </c>
      <c r="H3521" t="str">
        <f>"אלתא מערכות בע""מ"</f>
        <v>אלתא מערכות בע"מ</v>
      </c>
      <c r="I3521" t="str">
        <f>"10"</f>
        <v>10</v>
      </c>
      <c r="J3521" t="str">
        <f>"OP-AR01694"</f>
        <v>OP-AR01694</v>
      </c>
      <c r="K3521" t="str">
        <f>"1023B323-001 CABLE ASSY WC034 GPS ADAPTER CABLE"</f>
        <v>1023B323-001 CABLE ASSY WC034 GPS ADAPTER CABLE</v>
      </c>
      <c r="L3521">
        <v>2</v>
      </c>
      <c r="M3521" t="str">
        <f>"יח"</f>
        <v>יח</v>
      </c>
      <c r="N3521">
        <v>2</v>
      </c>
      <c r="O3521" t="str">
        <f>"יח"</f>
        <v>יח</v>
      </c>
      <c r="P3521">
        <v>234.72</v>
      </c>
      <c r="Q3521" t="str">
        <f>"$"</f>
        <v>$</v>
      </c>
      <c r="R3521" t="str">
        <f>"הזמנה"</f>
        <v>הזמנה</v>
      </c>
      <c r="S3521">
        <v>0</v>
      </c>
      <c r="T3521">
        <v>469.44</v>
      </c>
      <c r="U3521">
        <v>0</v>
      </c>
      <c r="V3521">
        <v>469.44</v>
      </c>
      <c r="W3521" t="str">
        <f>"$"</f>
        <v>$</v>
      </c>
      <c r="X3521">
        <v>0</v>
      </c>
      <c r="Y3521">
        <v>0</v>
      </c>
      <c r="Z3521">
        <v>0</v>
      </c>
      <c r="AA3521" t="str">
        <f>"Y"</f>
        <v>Y</v>
      </c>
      <c r="AB3521" t="str">
        <f>"SO20000127"</f>
        <v>SO20000127</v>
      </c>
      <c r="AC3521">
        <v>1</v>
      </c>
      <c r="AD3521" s="1">
        <v>43923</v>
      </c>
      <c r="AE3521" t="str">
        <f>"SH20001083"</f>
        <v>SH20001083</v>
      </c>
      <c r="AF3521" t="str">
        <f>"משלוחים ללקוח"</f>
        <v>משלוחים ללקוח</v>
      </c>
      <c r="AG3521" s="1">
        <v>44055</v>
      </c>
      <c r="AM3521" t="str">
        <f>"10"</f>
        <v>10</v>
      </c>
      <c r="AN3521" t="str">
        <f>"500000"</f>
        <v>500000</v>
      </c>
      <c r="AO3521" t="str">
        <f>"הכנסות  מלקוחות"</f>
        <v>הכנסות  מלקוחות</v>
      </c>
      <c r="AQ3521" t="str">
        <f>"034"</f>
        <v>034</v>
      </c>
      <c r="AR3521">
        <v>0</v>
      </c>
      <c r="AS3521">
        <v>0</v>
      </c>
      <c r="AT3521">
        <v>3.4039999999999999</v>
      </c>
      <c r="AX3521" t="str">
        <f>"E000308084"</f>
        <v>E000308084</v>
      </c>
      <c r="BD3521" t="str">
        <f>"ערן שלו"</f>
        <v>ערן שלו</v>
      </c>
    </row>
    <row r="3522" spans="1:56" x14ac:dyDescent="0.3">
      <c r="A3522" s="1">
        <v>44066</v>
      </c>
      <c r="B3522" t="str">
        <f>"SI206000848"</f>
        <v>SI206000848</v>
      </c>
      <c r="C3522" t="str">
        <f>"PR19000109"</f>
        <v>PR19000109</v>
      </c>
      <c r="E3522" t="str">
        <f>"Y"</f>
        <v>Y</v>
      </c>
      <c r="F3522" t="str">
        <f>"חשבוניות מרכזות"</f>
        <v>חשבוניות מרכזות</v>
      </c>
      <c r="G3522" t="str">
        <f>"700065"</f>
        <v>700065</v>
      </c>
      <c r="H3522" t="str">
        <f>"אלתא מערכות בע""מ"</f>
        <v>אלתא מערכות בע"מ</v>
      </c>
      <c r="I3522" t="str">
        <f>"05"</f>
        <v>05</v>
      </c>
      <c r="J3522" t="str">
        <f>"GN9900099"</f>
        <v>GN9900099</v>
      </c>
      <c r="K3522" t="str">
        <f>"אנליזה לפרויקט ספינות"</f>
        <v>אנליזה לפרויקט ספינות</v>
      </c>
      <c r="L3522">
        <v>1</v>
      </c>
      <c r="M3522" t="str">
        <f>"יח"</f>
        <v>יח</v>
      </c>
      <c r="N3522">
        <v>1</v>
      </c>
      <c r="O3522" t="str">
        <f>"יח"</f>
        <v>יח</v>
      </c>
      <c r="P3522" s="2">
        <v>31600</v>
      </c>
      <c r="Q3522" t="str">
        <f>"$"</f>
        <v>$</v>
      </c>
      <c r="R3522" t="str">
        <f>"הזמנה"</f>
        <v>הזמנה</v>
      </c>
      <c r="S3522">
        <v>0</v>
      </c>
      <c r="T3522" s="2">
        <v>31600</v>
      </c>
      <c r="U3522">
        <v>0</v>
      </c>
      <c r="V3522" s="2">
        <v>31600</v>
      </c>
      <c r="W3522" t="str">
        <f>"$"</f>
        <v>$</v>
      </c>
      <c r="X3522">
        <v>0</v>
      </c>
      <c r="Y3522">
        <v>0</v>
      </c>
      <c r="Z3522">
        <v>0</v>
      </c>
      <c r="AA3522" t="str">
        <f>"Y"</f>
        <v>Y</v>
      </c>
      <c r="AB3522" t="str">
        <f>"SO19000156"</f>
        <v>SO19000156</v>
      </c>
      <c r="AC3522">
        <v>33</v>
      </c>
      <c r="AD3522" s="1">
        <v>43562</v>
      </c>
      <c r="AE3522" t="str">
        <f>"SH19001761"</f>
        <v>SH19001761</v>
      </c>
      <c r="AF3522" t="str">
        <f>"משלוחים ללקוח"</f>
        <v>משלוחים ללקוח</v>
      </c>
      <c r="AG3522" s="1">
        <v>43815</v>
      </c>
      <c r="AM3522" t="str">
        <f>"10"</f>
        <v>10</v>
      </c>
      <c r="AN3522" t="str">
        <f>"500000"</f>
        <v>500000</v>
      </c>
      <c r="AO3522" t="str">
        <f>"הכנסות  מלקוחות"</f>
        <v>הכנסות  מלקוחות</v>
      </c>
      <c r="AQ3522" t="str">
        <f>"034"</f>
        <v>034</v>
      </c>
      <c r="AR3522">
        <v>0</v>
      </c>
      <c r="AS3522">
        <v>0</v>
      </c>
      <c r="AT3522">
        <v>3.4039999999999999</v>
      </c>
      <c r="AX3522" t="str">
        <f>"E000270896"</f>
        <v>E000270896</v>
      </c>
      <c r="BD3522" t="str">
        <f>"ערן שלו"</f>
        <v>ערן שלו</v>
      </c>
    </row>
    <row r="3523" spans="1:56" x14ac:dyDescent="0.3">
      <c r="A3523" s="1">
        <v>44066</v>
      </c>
      <c r="B3523" t="str">
        <f>"SI206000847"</f>
        <v>SI206000847</v>
      </c>
      <c r="C3523" t="str">
        <f>"PR19000528"</f>
        <v>PR19000528</v>
      </c>
      <c r="E3523" t="str">
        <f>"Y"</f>
        <v>Y</v>
      </c>
      <c r="F3523" t="str">
        <f>"חשבוניות מרכזות"</f>
        <v>חשבוניות מרכזות</v>
      </c>
      <c r="G3523" t="str">
        <f>"700065"</f>
        <v>700065</v>
      </c>
      <c r="H3523" t="str">
        <f>"אלתא מערכות בע""מ"</f>
        <v>אלתא מערכות בע"מ</v>
      </c>
      <c r="I3523" t="str">
        <f>"10"</f>
        <v>10</v>
      </c>
      <c r="J3523" t="str">
        <f>"OP-AR09105-1"</f>
        <v>OP-AR09105-1</v>
      </c>
      <c r="K3523" t="str">
        <f>"לוח ARMY מק""ט לקוח 1036V310-001"</f>
        <v>לוח ARMY מק"ט לקוח 1036V310-001</v>
      </c>
      <c r="L3523">
        <v>1</v>
      </c>
      <c r="M3523" t="str">
        <f>"יח"</f>
        <v>יח</v>
      </c>
      <c r="N3523">
        <v>1</v>
      </c>
      <c r="O3523" t="str">
        <f>"יח"</f>
        <v>יח</v>
      </c>
      <c r="P3523" s="2">
        <v>39948</v>
      </c>
      <c r="Q3523" t="str">
        <f>"$"</f>
        <v>$</v>
      </c>
      <c r="R3523" t="str">
        <f>"הזמנה"</f>
        <v>הזמנה</v>
      </c>
      <c r="S3523">
        <v>0</v>
      </c>
      <c r="T3523" s="2">
        <v>39948</v>
      </c>
      <c r="U3523">
        <v>0</v>
      </c>
      <c r="V3523" s="2">
        <v>39948</v>
      </c>
      <c r="W3523" t="str">
        <f>"$"</f>
        <v>$</v>
      </c>
      <c r="X3523">
        <v>0</v>
      </c>
      <c r="Y3523">
        <v>0</v>
      </c>
      <c r="Z3523">
        <v>0</v>
      </c>
      <c r="AA3523" t="str">
        <f>"Y"</f>
        <v>Y</v>
      </c>
      <c r="AB3523" t="str">
        <f>"SO19000397"</f>
        <v>SO19000397</v>
      </c>
      <c r="AC3523">
        <v>10</v>
      </c>
      <c r="AD3523" s="1">
        <v>43716</v>
      </c>
      <c r="AE3523" t="str">
        <f>"SH20001113"</f>
        <v>SH20001113</v>
      </c>
      <c r="AF3523" t="str">
        <f>"משלוחים ללקוח"</f>
        <v>משלוחים ללקוח</v>
      </c>
      <c r="AG3523" s="1">
        <v>44061</v>
      </c>
      <c r="AM3523" t="str">
        <f>"10"</f>
        <v>10</v>
      </c>
      <c r="AN3523" t="str">
        <f>"500000"</f>
        <v>500000</v>
      </c>
      <c r="AO3523" t="str">
        <f>"הכנסות  מלקוחות"</f>
        <v>הכנסות  מלקוחות</v>
      </c>
      <c r="AQ3523" t="str">
        <f>"034"</f>
        <v>034</v>
      </c>
      <c r="AR3523">
        <v>0</v>
      </c>
      <c r="AS3523">
        <v>0</v>
      </c>
      <c r="AT3523">
        <v>3.4039999999999999</v>
      </c>
      <c r="AX3523" t="str">
        <f>"E000294050"</f>
        <v>E000294050</v>
      </c>
      <c r="BD3523" t="str">
        <f>"ערן שלו"</f>
        <v>ערן שלו</v>
      </c>
    </row>
    <row r="3524" spans="1:56" x14ac:dyDescent="0.3">
      <c r="A3524" s="1">
        <v>44063</v>
      </c>
      <c r="B3524" t="str">
        <f>"SI206000846"</f>
        <v>SI206000846</v>
      </c>
      <c r="C3524" t="str">
        <f>"PR19000528"</f>
        <v>PR19000528</v>
      </c>
      <c r="E3524" t="str">
        <f>"Y"</f>
        <v>Y</v>
      </c>
      <c r="F3524" t="str">
        <f>"חשבוניות מרכזות"</f>
        <v>חשבוניות מרכזות</v>
      </c>
      <c r="G3524" t="str">
        <f>"700065"</f>
        <v>700065</v>
      </c>
      <c r="H3524" t="str">
        <f>"אלתא מערכות בע""מ"</f>
        <v>אלתא מערכות בע"מ</v>
      </c>
      <c r="I3524" t="str">
        <f>"10"</f>
        <v>10</v>
      </c>
      <c r="J3524" t="str">
        <f>"OP-AR09105-1"</f>
        <v>OP-AR09105-1</v>
      </c>
      <c r="K3524" t="str">
        <f>"לוח ARMY מק""ט לקוח 1036V310-001"</f>
        <v>לוח ARMY מק"ט לקוח 1036V310-001</v>
      </c>
      <c r="L3524">
        <v>-1</v>
      </c>
      <c r="M3524" t="str">
        <f>"יח"</f>
        <v>יח</v>
      </c>
      <c r="N3524">
        <v>-1</v>
      </c>
      <c r="O3524" t="str">
        <f>"יח"</f>
        <v>יח</v>
      </c>
      <c r="P3524" s="2">
        <v>39948</v>
      </c>
      <c r="Q3524" t="str">
        <f>"$"</f>
        <v>$</v>
      </c>
      <c r="R3524" t="str">
        <f>"הזמנה"</f>
        <v>הזמנה</v>
      </c>
      <c r="S3524">
        <v>0</v>
      </c>
      <c r="T3524" s="2">
        <v>-39948</v>
      </c>
      <c r="U3524">
        <v>0</v>
      </c>
      <c r="V3524" s="2">
        <v>-39948</v>
      </c>
      <c r="W3524" t="str">
        <f>"$"</f>
        <v>$</v>
      </c>
      <c r="X3524">
        <v>0</v>
      </c>
      <c r="Y3524">
        <v>0</v>
      </c>
      <c r="Z3524">
        <v>0</v>
      </c>
      <c r="AA3524" t="str">
        <f>"Y"</f>
        <v>Y</v>
      </c>
      <c r="AC3524">
        <v>0</v>
      </c>
      <c r="AM3524" t="str">
        <f>"10"</f>
        <v>10</v>
      </c>
      <c r="AN3524" t="str">
        <f>"500000"</f>
        <v>500000</v>
      </c>
      <c r="AO3524" t="str">
        <f>"הכנסות  מלקוחות"</f>
        <v>הכנסות  מלקוחות</v>
      </c>
      <c r="AQ3524" t="str">
        <f>"034"</f>
        <v>034</v>
      </c>
      <c r="AR3524">
        <v>0</v>
      </c>
      <c r="AS3524">
        <v>0</v>
      </c>
      <c r="AT3524">
        <v>3.4</v>
      </c>
      <c r="BB3524" t="str">
        <f>"Y"</f>
        <v>Y</v>
      </c>
      <c r="BD3524" t="str">
        <f>"ערן שלו"</f>
        <v>ערן שלו</v>
      </c>
    </row>
    <row r="3525" spans="1:56" x14ac:dyDescent="0.3">
      <c r="A3525" s="1">
        <v>44063</v>
      </c>
      <c r="B3525" t="str">
        <f>"SI206000840"</f>
        <v>SI206000840</v>
      </c>
      <c r="C3525" t="str">
        <f>"PR19000112"</f>
        <v>PR19000112</v>
      </c>
      <c r="E3525" t="str">
        <f>"Y"</f>
        <v>Y</v>
      </c>
      <c r="F3525" t="str">
        <f>"חשבוניות מרכזות"</f>
        <v>חשבוניות מרכזות</v>
      </c>
      <c r="G3525" t="str">
        <f>"700065"</f>
        <v>700065</v>
      </c>
      <c r="H3525" t="str">
        <f>"אלתא מערכות בע""מ"</f>
        <v>אלתא מערכות בע"מ</v>
      </c>
      <c r="I3525" t="str">
        <f>"05"</f>
        <v>05</v>
      </c>
      <c r="J3525" t="str">
        <f>"OP-PD02883"</f>
        <v>OP-PD02883</v>
      </c>
      <c r="K3525" t="str">
        <f>"ISOLATION TRANSFORMER UNIT 70KVA"</f>
        <v>ISOLATION TRANSFORMER UNIT 70KVA</v>
      </c>
      <c r="L3525">
        <v>1</v>
      </c>
      <c r="M3525" t="str">
        <f>"יח"</f>
        <v>יח</v>
      </c>
      <c r="N3525">
        <v>1</v>
      </c>
      <c r="O3525" t="str">
        <f>"יח"</f>
        <v>יח</v>
      </c>
      <c r="P3525" s="2">
        <v>19000</v>
      </c>
      <c r="Q3525" t="str">
        <f>"$"</f>
        <v>$</v>
      </c>
      <c r="R3525" t="str">
        <f>"הזמנה"</f>
        <v>הזמנה</v>
      </c>
      <c r="S3525">
        <v>0</v>
      </c>
      <c r="T3525" s="2">
        <v>19000</v>
      </c>
      <c r="U3525">
        <v>0</v>
      </c>
      <c r="V3525" s="2">
        <v>19000</v>
      </c>
      <c r="W3525" t="str">
        <f>"$"</f>
        <v>$</v>
      </c>
      <c r="X3525">
        <v>0</v>
      </c>
      <c r="Y3525">
        <v>0</v>
      </c>
      <c r="Z3525">
        <v>0</v>
      </c>
      <c r="AA3525" t="str">
        <f>"Y"</f>
        <v>Y</v>
      </c>
      <c r="AB3525" t="str">
        <f>"SO19000156"</f>
        <v>SO19000156</v>
      </c>
      <c r="AC3525">
        <v>19</v>
      </c>
      <c r="AD3525" s="1">
        <v>43562</v>
      </c>
      <c r="AE3525" t="str">
        <f>"SH20001124"</f>
        <v>SH20001124</v>
      </c>
      <c r="AF3525" t="str">
        <f>"משלוחים ללקוח"</f>
        <v>משלוחים ללקוח</v>
      </c>
      <c r="AG3525" s="1">
        <v>44061</v>
      </c>
      <c r="AM3525" t="str">
        <f>"10"</f>
        <v>10</v>
      </c>
      <c r="AN3525" t="str">
        <f>"500000"</f>
        <v>500000</v>
      </c>
      <c r="AO3525" t="str">
        <f>"הכנסות  מלקוחות"</f>
        <v>הכנסות  מלקוחות</v>
      </c>
      <c r="AQ3525" t="str">
        <f>"034"</f>
        <v>034</v>
      </c>
      <c r="AR3525">
        <v>0</v>
      </c>
      <c r="AS3525">
        <v>0</v>
      </c>
      <c r="AT3525">
        <v>3.4</v>
      </c>
      <c r="AX3525" t="str">
        <f>"E000270896"</f>
        <v>E000270896</v>
      </c>
      <c r="BD3525" t="str">
        <f>"ערן שלו"</f>
        <v>ערן שלו</v>
      </c>
    </row>
    <row r="3526" spans="1:56" x14ac:dyDescent="0.3">
      <c r="A3526" s="1">
        <v>44063</v>
      </c>
      <c r="B3526" t="str">
        <f>"SI206000839"</f>
        <v>SI206000839</v>
      </c>
      <c r="C3526" t="str">
        <f>"PR19000111"</f>
        <v>PR19000111</v>
      </c>
      <c r="E3526" t="str">
        <f>"Y"</f>
        <v>Y</v>
      </c>
      <c r="F3526" t="str">
        <f>"חשבוניות מרכזות"</f>
        <v>חשבוניות מרכזות</v>
      </c>
      <c r="G3526" t="str">
        <f>"700065"</f>
        <v>700065</v>
      </c>
      <c r="H3526" t="str">
        <f>"אלתא מערכות בע""מ"</f>
        <v>אלתא מערכות בע"מ</v>
      </c>
      <c r="I3526" t="str">
        <f>"05"</f>
        <v>05</v>
      </c>
      <c r="J3526" t="str">
        <f>"OP-PD02882"</f>
        <v>OP-PD02882</v>
      </c>
      <c r="K3526" t="str">
        <f>"ISOLATION TRANSFORMER UNIT 200KVA"</f>
        <v>ISOLATION TRANSFORMER UNIT 200KVA</v>
      </c>
      <c r="L3526">
        <v>2</v>
      </c>
      <c r="M3526" t="str">
        <f>"יח"</f>
        <v>יח</v>
      </c>
      <c r="N3526">
        <v>2</v>
      </c>
      <c r="O3526" t="str">
        <f>"יח"</f>
        <v>יח</v>
      </c>
      <c r="P3526" s="2">
        <v>38000</v>
      </c>
      <c r="Q3526" t="str">
        <f>"$"</f>
        <v>$</v>
      </c>
      <c r="R3526" t="str">
        <f>"הזמנה"</f>
        <v>הזמנה</v>
      </c>
      <c r="S3526">
        <v>0</v>
      </c>
      <c r="T3526" s="2">
        <v>76000</v>
      </c>
      <c r="U3526">
        <v>0</v>
      </c>
      <c r="V3526" s="2">
        <v>76000</v>
      </c>
      <c r="W3526" t="str">
        <f>"$"</f>
        <v>$</v>
      </c>
      <c r="X3526">
        <v>0</v>
      </c>
      <c r="Y3526">
        <v>0</v>
      </c>
      <c r="Z3526">
        <v>0</v>
      </c>
      <c r="AA3526" t="str">
        <f>"Y"</f>
        <v>Y</v>
      </c>
      <c r="AB3526" t="str">
        <f>"SO19000156"</f>
        <v>SO19000156</v>
      </c>
      <c r="AC3526">
        <v>14</v>
      </c>
      <c r="AD3526" s="1">
        <v>43562</v>
      </c>
      <c r="AE3526" t="str">
        <f>"SH20001123"</f>
        <v>SH20001123</v>
      </c>
      <c r="AF3526" t="str">
        <f>"משלוחים ללקוח"</f>
        <v>משלוחים ללקוח</v>
      </c>
      <c r="AG3526" s="1">
        <v>44061</v>
      </c>
      <c r="AM3526" t="str">
        <f>"10"</f>
        <v>10</v>
      </c>
      <c r="AN3526" t="str">
        <f>"500000"</f>
        <v>500000</v>
      </c>
      <c r="AO3526" t="str">
        <f>"הכנסות  מלקוחות"</f>
        <v>הכנסות  מלקוחות</v>
      </c>
      <c r="AQ3526" t="str">
        <f>"034"</f>
        <v>034</v>
      </c>
      <c r="AR3526">
        <v>0</v>
      </c>
      <c r="AS3526">
        <v>0</v>
      </c>
      <c r="AT3526">
        <v>3.4</v>
      </c>
      <c r="AX3526" t="str">
        <f>"E000270896"</f>
        <v>E000270896</v>
      </c>
      <c r="BD3526" t="str">
        <f>"ערן שלו"</f>
        <v>ערן שלו</v>
      </c>
    </row>
    <row r="3527" spans="1:56" x14ac:dyDescent="0.3">
      <c r="A3527" s="1">
        <v>44063</v>
      </c>
      <c r="B3527" t="str">
        <f>"SI206000838"</f>
        <v>SI206000838</v>
      </c>
      <c r="C3527" t="str">
        <f>"PR19000108"</f>
        <v>PR19000108</v>
      </c>
      <c r="E3527" t="str">
        <f>"Y"</f>
        <v>Y</v>
      </c>
      <c r="F3527" t="str">
        <f>"חשבוניות מרכזות"</f>
        <v>חשבוניות מרכזות</v>
      </c>
      <c r="G3527" t="str">
        <f>"700065"</f>
        <v>700065</v>
      </c>
      <c r="H3527" t="str">
        <f>"אלתא מערכות בע""מ"</f>
        <v>אלתא מערכות בע"מ</v>
      </c>
      <c r="I3527" t="str">
        <f>"05"</f>
        <v>05</v>
      </c>
      <c r="J3527" t="str">
        <f>"OP-PD02880"</f>
        <v>OP-PD02880</v>
      </c>
      <c r="K3527" t="str">
        <f>"POWER DISTRIBUTION BOARD 06/07-SOCD"</f>
        <v>POWER DISTRIBUTION BOARD 06/07-SOCD</v>
      </c>
      <c r="L3527">
        <v>2</v>
      </c>
      <c r="M3527" t="str">
        <f>"יח"</f>
        <v>יח</v>
      </c>
      <c r="N3527">
        <v>2</v>
      </c>
      <c r="O3527" t="str">
        <f>"יח"</f>
        <v>יח</v>
      </c>
      <c r="P3527" s="2">
        <v>50800</v>
      </c>
      <c r="Q3527" t="str">
        <f>"$"</f>
        <v>$</v>
      </c>
      <c r="R3527" t="str">
        <f>"הזמנה"</f>
        <v>הזמנה</v>
      </c>
      <c r="S3527">
        <v>0</v>
      </c>
      <c r="T3527" s="2">
        <v>101600</v>
      </c>
      <c r="U3527">
        <v>0</v>
      </c>
      <c r="V3527" s="2">
        <v>101600</v>
      </c>
      <c r="W3527" t="str">
        <f>"$"</f>
        <v>$</v>
      </c>
      <c r="X3527">
        <v>0</v>
      </c>
      <c r="Y3527">
        <v>0</v>
      </c>
      <c r="Z3527">
        <v>0</v>
      </c>
      <c r="AA3527" t="str">
        <f>"Y"</f>
        <v>Y</v>
      </c>
      <c r="AB3527" t="str">
        <f>"SO19000156"</f>
        <v>SO19000156</v>
      </c>
      <c r="AC3527">
        <v>4</v>
      </c>
      <c r="AD3527" s="1">
        <v>43562</v>
      </c>
      <c r="AE3527" t="str">
        <f>"SH20001122"</f>
        <v>SH20001122</v>
      </c>
      <c r="AF3527" t="str">
        <f>"משלוחים ללקוח"</f>
        <v>משלוחים ללקוח</v>
      </c>
      <c r="AG3527" s="1">
        <v>44061</v>
      </c>
      <c r="AM3527" t="str">
        <f>"10"</f>
        <v>10</v>
      </c>
      <c r="AN3527" t="str">
        <f>"500000"</f>
        <v>500000</v>
      </c>
      <c r="AO3527" t="str">
        <f>"הכנסות  מלקוחות"</f>
        <v>הכנסות  מלקוחות</v>
      </c>
      <c r="AQ3527" t="str">
        <f>"034"</f>
        <v>034</v>
      </c>
      <c r="AR3527">
        <v>0</v>
      </c>
      <c r="AS3527">
        <v>0</v>
      </c>
      <c r="AT3527">
        <v>3.4</v>
      </c>
      <c r="AX3527" t="str">
        <f>"E000270896"</f>
        <v>E000270896</v>
      </c>
      <c r="BD3527" t="str">
        <f>"ערן שלו"</f>
        <v>ערן שלו</v>
      </c>
    </row>
    <row r="3528" spans="1:56" x14ac:dyDescent="0.3">
      <c r="A3528" s="1">
        <v>44063</v>
      </c>
      <c r="B3528" t="str">
        <f>"SI206000837"</f>
        <v>SI206000837</v>
      </c>
      <c r="C3528" t="str">
        <f>"PR19000110"</f>
        <v>PR19000110</v>
      </c>
      <c r="E3528" t="str">
        <f>"Y"</f>
        <v>Y</v>
      </c>
      <c r="F3528" t="str">
        <f>"חשבוניות מרכזות"</f>
        <v>חשבוניות מרכזות</v>
      </c>
      <c r="G3528" t="str">
        <f>"700065"</f>
        <v>700065</v>
      </c>
      <c r="H3528" t="str">
        <f>"אלתא מערכות בע""מ"</f>
        <v>אלתא מערכות בע"מ</v>
      </c>
      <c r="I3528" t="str">
        <f>"05"</f>
        <v>05</v>
      </c>
      <c r="J3528" t="str">
        <f>"OP-PD02881"</f>
        <v>OP-PD02881</v>
      </c>
      <c r="K3528" t="str">
        <f>"POWER DISTRIBUTION BOARD 09-SOCD"</f>
        <v>POWER DISTRIBUTION BOARD 09-SOCD</v>
      </c>
      <c r="L3528">
        <v>1</v>
      </c>
      <c r="M3528" t="str">
        <f>"יח"</f>
        <v>יח</v>
      </c>
      <c r="N3528">
        <v>1</v>
      </c>
      <c r="O3528" t="str">
        <f>"יח"</f>
        <v>יח</v>
      </c>
      <c r="P3528" s="2">
        <v>43010</v>
      </c>
      <c r="Q3528" t="str">
        <f>"$"</f>
        <v>$</v>
      </c>
      <c r="R3528" t="str">
        <f>"הזמנה"</f>
        <v>הזמנה</v>
      </c>
      <c r="S3528">
        <v>0</v>
      </c>
      <c r="T3528" s="2">
        <v>43010</v>
      </c>
      <c r="U3528">
        <v>0</v>
      </c>
      <c r="V3528" s="2">
        <v>43010</v>
      </c>
      <c r="W3528" t="str">
        <f>"$"</f>
        <v>$</v>
      </c>
      <c r="X3528">
        <v>0</v>
      </c>
      <c r="Y3528">
        <v>0</v>
      </c>
      <c r="Z3528">
        <v>0</v>
      </c>
      <c r="AA3528" t="str">
        <f>"Y"</f>
        <v>Y</v>
      </c>
      <c r="AB3528" t="str">
        <f>"SO19000156"</f>
        <v>SO19000156</v>
      </c>
      <c r="AC3528">
        <v>9</v>
      </c>
      <c r="AD3528" s="1">
        <v>43562</v>
      </c>
      <c r="AE3528" t="str">
        <f>"SH20001121"</f>
        <v>SH20001121</v>
      </c>
      <c r="AF3528" t="str">
        <f>"משלוחים ללקוח"</f>
        <v>משלוחים ללקוח</v>
      </c>
      <c r="AG3528" s="1">
        <v>44061</v>
      </c>
      <c r="AM3528" t="str">
        <f>"10"</f>
        <v>10</v>
      </c>
      <c r="AN3528" t="str">
        <f>"500000"</f>
        <v>500000</v>
      </c>
      <c r="AO3528" t="str">
        <f>"הכנסות  מלקוחות"</f>
        <v>הכנסות  מלקוחות</v>
      </c>
      <c r="AQ3528" t="str">
        <f>"034"</f>
        <v>034</v>
      </c>
      <c r="AR3528">
        <v>0</v>
      </c>
      <c r="AS3528">
        <v>0</v>
      </c>
      <c r="AT3528">
        <v>3.4</v>
      </c>
      <c r="AX3528" t="str">
        <f>"E000270896"</f>
        <v>E000270896</v>
      </c>
      <c r="BD3528" t="str">
        <f>"ערן שלו"</f>
        <v>ערן שלו</v>
      </c>
    </row>
    <row r="3529" spans="1:56" x14ac:dyDescent="0.3">
      <c r="A3529" s="1">
        <v>44063</v>
      </c>
      <c r="B3529" t="str">
        <f>"SI206000836"</f>
        <v>SI206000836</v>
      </c>
      <c r="C3529" t="str">
        <f>"PR20000115"</f>
        <v>PR20000115</v>
      </c>
      <c r="D3529" t="str">
        <f>"PR20000115"</f>
        <v>PR20000115</v>
      </c>
      <c r="E3529" t="str">
        <f>"Y"</f>
        <v>Y</v>
      </c>
      <c r="F3529" t="str">
        <f>"חשבוניות מרכזות"</f>
        <v>חשבוניות מרכזות</v>
      </c>
      <c r="G3529" t="str">
        <f>"700065"</f>
        <v>700065</v>
      </c>
      <c r="H3529" t="str">
        <f>"אלתא מערכות בע""מ"</f>
        <v>אלתא מערכות בע"מ</v>
      </c>
      <c r="I3529" t="str">
        <f>"10"</f>
        <v>10</v>
      </c>
      <c r="J3529" t="str">
        <f>"OP-AR01651"</f>
        <v>OP-AR01651</v>
      </c>
      <c r="K3529" t="str">
        <f>"1041G323-001 W323-PWR 220GENERATOR TO PEDEST PS1"</f>
        <v>1041G323-001 W323-PWR 220GENERATOR TO PEDEST PS1</v>
      </c>
      <c r="L3529">
        <v>1</v>
      </c>
      <c r="M3529" t="str">
        <f>"יח"</f>
        <v>יח</v>
      </c>
      <c r="N3529">
        <v>1</v>
      </c>
      <c r="O3529" t="str">
        <f>"יח"</f>
        <v>יח</v>
      </c>
      <c r="P3529" s="2">
        <v>1123.81</v>
      </c>
      <c r="Q3529" t="str">
        <f>"$"</f>
        <v>$</v>
      </c>
      <c r="R3529" t="str">
        <f>"הזמנה"</f>
        <v>הזמנה</v>
      </c>
      <c r="S3529">
        <v>0</v>
      </c>
      <c r="T3529" s="2">
        <v>1123.81</v>
      </c>
      <c r="U3529">
        <v>0</v>
      </c>
      <c r="V3529" s="2">
        <v>1123.81</v>
      </c>
      <c r="W3529" t="str">
        <f>"$"</f>
        <v>$</v>
      </c>
      <c r="X3529">
        <v>0</v>
      </c>
      <c r="Y3529">
        <v>0</v>
      </c>
      <c r="Z3529">
        <v>0</v>
      </c>
      <c r="AA3529" t="str">
        <f>"Y"</f>
        <v>Y</v>
      </c>
      <c r="AB3529" t="str">
        <f>"SO20000094"</f>
        <v>SO20000094</v>
      </c>
      <c r="AC3529">
        <v>18</v>
      </c>
      <c r="AD3529" s="1">
        <v>43891</v>
      </c>
      <c r="AE3529" t="str">
        <f>"SH20001115"</f>
        <v>SH20001115</v>
      </c>
      <c r="AF3529" t="str">
        <f>"משלוחים ללקוח"</f>
        <v>משלוחים ללקוח</v>
      </c>
      <c r="AG3529" s="1">
        <v>44060</v>
      </c>
      <c r="AM3529" t="str">
        <f>"10"</f>
        <v>10</v>
      </c>
      <c r="AN3529" t="str">
        <f>"500000"</f>
        <v>500000</v>
      </c>
      <c r="AO3529" t="str">
        <f>"הכנסות  מלקוחות"</f>
        <v>הכנסות  מלקוחות</v>
      </c>
      <c r="AQ3529" t="str">
        <f>"034"</f>
        <v>034</v>
      </c>
      <c r="AR3529">
        <v>0</v>
      </c>
      <c r="AS3529">
        <v>0</v>
      </c>
      <c r="AT3529">
        <v>3.4</v>
      </c>
      <c r="AX3529" t="str">
        <f>"E000306197"</f>
        <v>E000306197</v>
      </c>
      <c r="BD3529" t="str">
        <f>"ערן שלו"</f>
        <v>ערן שלו</v>
      </c>
    </row>
    <row r="3530" spans="1:56" x14ac:dyDescent="0.3">
      <c r="A3530" s="1">
        <v>44063</v>
      </c>
      <c r="B3530" t="str">
        <f>"SI206000835"</f>
        <v>SI206000835</v>
      </c>
      <c r="C3530" t="str">
        <f>"PR20000210"</f>
        <v>PR20000210</v>
      </c>
      <c r="D3530" t="str">
        <f>"PR20000210"</f>
        <v>PR20000210</v>
      </c>
      <c r="E3530" t="str">
        <f>"Y"</f>
        <v>Y</v>
      </c>
      <c r="F3530" t="str">
        <f>"חשבוניות מרכזות"</f>
        <v>חשבוניות מרכזות</v>
      </c>
      <c r="G3530" t="str">
        <f>"700065"</f>
        <v>700065</v>
      </c>
      <c r="H3530" t="str">
        <f>"אלתא מערכות בע""מ"</f>
        <v>אלתא מערכות בע"מ</v>
      </c>
      <c r="I3530" t="str">
        <f>"10"</f>
        <v>10</v>
      </c>
      <c r="J3530" t="str">
        <f>"OP-AR01710"</f>
        <v>OP-AR01710</v>
      </c>
      <c r="K3530" t="str">
        <f>"1022H889-001 W9 -INPUT DC CABLE (SLAVE)"</f>
        <v>1022H889-001 W9 -INPUT DC CABLE (SLAVE)</v>
      </c>
      <c r="L3530">
        <v>12</v>
      </c>
      <c r="M3530" t="str">
        <f>"יח"</f>
        <v>יח</v>
      </c>
      <c r="N3530">
        <v>12</v>
      </c>
      <c r="O3530" t="str">
        <f>"יח"</f>
        <v>יח</v>
      </c>
      <c r="P3530">
        <v>484.17</v>
      </c>
      <c r="Q3530" t="str">
        <f>"$"</f>
        <v>$</v>
      </c>
      <c r="R3530" t="str">
        <f>"הזמנה"</f>
        <v>הזמנה</v>
      </c>
      <c r="S3530">
        <v>0</v>
      </c>
      <c r="T3530" s="2">
        <v>5810.04</v>
      </c>
      <c r="U3530">
        <v>0</v>
      </c>
      <c r="V3530" s="2">
        <v>5810.04</v>
      </c>
      <c r="W3530" t="str">
        <f>"$"</f>
        <v>$</v>
      </c>
      <c r="X3530">
        <v>0</v>
      </c>
      <c r="Y3530">
        <v>0</v>
      </c>
      <c r="Z3530">
        <v>0</v>
      </c>
      <c r="AA3530" t="str">
        <f>"Y"</f>
        <v>Y</v>
      </c>
      <c r="AB3530" t="str">
        <f>"SO20000139"</f>
        <v>SO20000139</v>
      </c>
      <c r="AC3530">
        <v>6</v>
      </c>
      <c r="AD3530" s="1">
        <v>43940</v>
      </c>
      <c r="AE3530" t="str">
        <f>"SH20001114"</f>
        <v>SH20001114</v>
      </c>
      <c r="AF3530" t="str">
        <f>"משלוחים ללקוח"</f>
        <v>משלוחים ללקוח</v>
      </c>
      <c r="AG3530" s="1">
        <v>44061</v>
      </c>
      <c r="AM3530" t="str">
        <f>"10"</f>
        <v>10</v>
      </c>
      <c r="AN3530" t="str">
        <f>"500000"</f>
        <v>500000</v>
      </c>
      <c r="AO3530" t="str">
        <f>"הכנסות  מלקוחות"</f>
        <v>הכנסות  מלקוחות</v>
      </c>
      <c r="AQ3530" t="str">
        <f>"034"</f>
        <v>034</v>
      </c>
      <c r="AR3530">
        <v>0</v>
      </c>
      <c r="AS3530">
        <v>0</v>
      </c>
      <c r="AT3530">
        <v>3.4</v>
      </c>
      <c r="AX3530" t="str">
        <f>"E000309670"</f>
        <v>E000309670</v>
      </c>
      <c r="BD3530" t="str">
        <f>"ערן שלו"</f>
        <v>ערן שלו</v>
      </c>
    </row>
    <row r="3531" spans="1:56" x14ac:dyDescent="0.3">
      <c r="A3531" s="1">
        <v>44063</v>
      </c>
      <c r="B3531" t="str">
        <f>"SI206000835"</f>
        <v>SI206000835</v>
      </c>
      <c r="C3531" t="str">
        <f>"PR20000210"</f>
        <v>PR20000210</v>
      </c>
      <c r="D3531" t="str">
        <f>"PR20000210"</f>
        <v>PR20000210</v>
      </c>
      <c r="E3531" t="str">
        <f>"Y"</f>
        <v>Y</v>
      </c>
      <c r="F3531" t="str">
        <f>"חשבוניות מרכזות"</f>
        <v>חשבוניות מרכזות</v>
      </c>
      <c r="G3531" t="str">
        <f>"700065"</f>
        <v>700065</v>
      </c>
      <c r="H3531" t="str">
        <f>"אלתא מערכות בע""מ"</f>
        <v>אלתא מערכות בע"מ</v>
      </c>
      <c r="I3531" t="str">
        <f>"10"</f>
        <v>10</v>
      </c>
      <c r="J3531" t="str">
        <f>"OP-AR01711"</f>
        <v>OP-AR01711</v>
      </c>
      <c r="K3531" t="str">
        <f>"1022H890-001 W10- INPUT DC CABLE ASSY (MASTER)"</f>
        <v>1022H890-001 W10- INPUT DC CABLE ASSY (MASTER)</v>
      </c>
      <c r="L3531">
        <v>4</v>
      </c>
      <c r="M3531" t="str">
        <f>"יח"</f>
        <v>יח</v>
      </c>
      <c r="N3531">
        <v>4</v>
      </c>
      <c r="O3531" t="str">
        <f>"יח"</f>
        <v>יח</v>
      </c>
      <c r="P3531">
        <v>278.07</v>
      </c>
      <c r="Q3531" t="str">
        <f>"$"</f>
        <v>$</v>
      </c>
      <c r="R3531" t="str">
        <f>"הזמנה"</f>
        <v>הזמנה</v>
      </c>
      <c r="S3531">
        <v>0</v>
      </c>
      <c r="T3531" s="2">
        <v>1112.28</v>
      </c>
      <c r="U3531">
        <v>0</v>
      </c>
      <c r="V3531" s="2">
        <v>1112.28</v>
      </c>
      <c r="W3531" t="str">
        <f>"$"</f>
        <v>$</v>
      </c>
      <c r="X3531">
        <v>0</v>
      </c>
      <c r="Y3531">
        <v>0</v>
      </c>
      <c r="Z3531">
        <v>0</v>
      </c>
      <c r="AA3531" t="str">
        <f>"Y"</f>
        <v>Y</v>
      </c>
      <c r="AB3531" t="str">
        <f>"SO20000139"</f>
        <v>SO20000139</v>
      </c>
      <c r="AC3531">
        <v>8</v>
      </c>
      <c r="AD3531" s="1">
        <v>43940</v>
      </c>
      <c r="AE3531" t="str">
        <f>"SH20001114"</f>
        <v>SH20001114</v>
      </c>
      <c r="AF3531" t="str">
        <f>"משלוחים ללקוח"</f>
        <v>משלוחים ללקוח</v>
      </c>
      <c r="AG3531" s="1">
        <v>44061</v>
      </c>
      <c r="AM3531" t="str">
        <f>"10"</f>
        <v>10</v>
      </c>
      <c r="AN3531" t="str">
        <f>"500000"</f>
        <v>500000</v>
      </c>
      <c r="AO3531" t="str">
        <f>"הכנסות  מלקוחות"</f>
        <v>הכנסות  מלקוחות</v>
      </c>
      <c r="AQ3531" t="str">
        <f>"034"</f>
        <v>034</v>
      </c>
      <c r="AR3531">
        <v>0</v>
      </c>
      <c r="AS3531">
        <v>0</v>
      </c>
      <c r="AT3531">
        <v>3.4</v>
      </c>
      <c r="AX3531" t="str">
        <f>"E000309670"</f>
        <v>E000309670</v>
      </c>
      <c r="BD3531" t="str">
        <f>"ערן שלו"</f>
        <v>ערן שלו</v>
      </c>
    </row>
    <row r="3532" spans="1:56" x14ac:dyDescent="0.3">
      <c r="A3532" s="1">
        <v>44063</v>
      </c>
      <c r="B3532" t="str">
        <f>"SI206000834"</f>
        <v>SI206000834</v>
      </c>
      <c r="C3532" t="str">
        <f>"PR19000528"</f>
        <v>PR19000528</v>
      </c>
      <c r="E3532" t="str">
        <f>"Y"</f>
        <v>Y</v>
      </c>
      <c r="F3532" t="str">
        <f>"חשבוניות מרכזות"</f>
        <v>חשבוניות מרכזות</v>
      </c>
      <c r="G3532" t="str">
        <f>"700065"</f>
        <v>700065</v>
      </c>
      <c r="H3532" t="str">
        <f>"אלתא מערכות בע""מ"</f>
        <v>אלתא מערכות בע"מ</v>
      </c>
      <c r="I3532" t="str">
        <f>"10"</f>
        <v>10</v>
      </c>
      <c r="J3532" t="str">
        <f>"OP-AR09105-1"</f>
        <v>OP-AR09105-1</v>
      </c>
      <c r="K3532" t="str">
        <f>"לוח ARMY מק""ט לקוח 1036V310-001"</f>
        <v>לוח ARMY מק"ט לקוח 1036V310-001</v>
      </c>
      <c r="L3532">
        <v>1</v>
      </c>
      <c r="M3532" t="str">
        <f>"יח"</f>
        <v>יח</v>
      </c>
      <c r="N3532">
        <v>1</v>
      </c>
      <c r="O3532" t="str">
        <f>"יח"</f>
        <v>יח</v>
      </c>
      <c r="P3532" s="2">
        <v>39948</v>
      </c>
      <c r="Q3532" t="str">
        <f>"$"</f>
        <v>$</v>
      </c>
      <c r="R3532" t="str">
        <f>"הזמנה"</f>
        <v>הזמנה</v>
      </c>
      <c r="S3532">
        <v>0</v>
      </c>
      <c r="T3532" s="2">
        <v>39948</v>
      </c>
      <c r="U3532">
        <v>0</v>
      </c>
      <c r="V3532" s="2">
        <v>39948</v>
      </c>
      <c r="W3532" t="str">
        <f>"$"</f>
        <v>$</v>
      </c>
      <c r="X3532">
        <v>0</v>
      </c>
      <c r="Y3532">
        <v>0</v>
      </c>
      <c r="Z3532">
        <v>0</v>
      </c>
      <c r="AA3532" t="str">
        <f>"Y"</f>
        <v>Y</v>
      </c>
      <c r="AC3532">
        <v>0</v>
      </c>
      <c r="AM3532" t="str">
        <f>"10"</f>
        <v>10</v>
      </c>
      <c r="AN3532" t="str">
        <f>"500000"</f>
        <v>500000</v>
      </c>
      <c r="AO3532" t="str">
        <f>"הכנסות  מלקוחות"</f>
        <v>הכנסות  מלקוחות</v>
      </c>
      <c r="AQ3532" t="str">
        <f>"034"</f>
        <v>034</v>
      </c>
      <c r="AR3532">
        <v>0</v>
      </c>
      <c r="AS3532">
        <v>0</v>
      </c>
      <c r="AT3532">
        <v>3.4</v>
      </c>
      <c r="BB3532" t="str">
        <f>"Y"</f>
        <v>Y</v>
      </c>
      <c r="BD3532" t="str">
        <f>"ערן שלו"</f>
        <v>ערן שלו</v>
      </c>
    </row>
    <row r="3533" spans="1:56" x14ac:dyDescent="0.3">
      <c r="A3533" s="1">
        <v>44063</v>
      </c>
      <c r="B3533" t="str">
        <f>"SI206000833"</f>
        <v>SI206000833</v>
      </c>
      <c r="C3533" t="str">
        <f>"PR18000822"</f>
        <v>PR18000822</v>
      </c>
      <c r="E3533" t="str">
        <f>"Y"</f>
        <v>Y</v>
      </c>
      <c r="F3533" t="str">
        <f>"חשבוניות מרכזות"</f>
        <v>חשבוניות מרכזות</v>
      </c>
      <c r="G3533" t="str">
        <f>"700065"</f>
        <v>700065</v>
      </c>
      <c r="H3533" t="str">
        <f>"אלתא מערכות בע""מ"</f>
        <v>אלתא מערכות בע"מ</v>
      </c>
      <c r="I3533" t="str">
        <f>"10"</f>
        <v>10</v>
      </c>
      <c r="J3533" t="str">
        <f>"OP-AR12324"</f>
        <v>OP-AR12324</v>
      </c>
      <c r="K3533" t="str">
        <f>"לוח חלוקה DC PDB מק""ט לקוח 1025A690-001"</f>
        <v>לוח חלוקה DC PDB מק"ט לקוח 1025A690-001</v>
      </c>
      <c r="L3533">
        <v>1</v>
      </c>
      <c r="M3533" t="str">
        <f>"יח"</f>
        <v>יח</v>
      </c>
      <c r="N3533">
        <v>1</v>
      </c>
      <c r="O3533" t="str">
        <f>"יח"</f>
        <v>יח</v>
      </c>
      <c r="P3533" s="2">
        <v>101947</v>
      </c>
      <c r="Q3533" t="str">
        <f>"$"</f>
        <v>$</v>
      </c>
      <c r="R3533" t="str">
        <f>"הזמנה"</f>
        <v>הזמנה</v>
      </c>
      <c r="S3533">
        <v>0</v>
      </c>
      <c r="T3533" s="2">
        <v>101947</v>
      </c>
      <c r="U3533">
        <v>0</v>
      </c>
      <c r="V3533" s="2">
        <v>101947</v>
      </c>
      <c r="W3533" t="str">
        <f>"$"</f>
        <v>$</v>
      </c>
      <c r="X3533">
        <v>0</v>
      </c>
      <c r="Y3533">
        <v>0</v>
      </c>
      <c r="Z3533">
        <v>0</v>
      </c>
      <c r="AA3533" t="str">
        <f>"Y"</f>
        <v>Y</v>
      </c>
      <c r="AB3533" t="str">
        <f>"SO18000636"</f>
        <v>SO18000636</v>
      </c>
      <c r="AC3533">
        <v>2</v>
      </c>
      <c r="AD3533" s="1">
        <v>43418</v>
      </c>
      <c r="AE3533" t="str">
        <f>"SH20001112"</f>
        <v>SH20001112</v>
      </c>
      <c r="AF3533" t="str">
        <f>"משלוחים ללקוח"</f>
        <v>משלוחים ללקוח</v>
      </c>
      <c r="AG3533" s="1">
        <v>44061</v>
      </c>
      <c r="AM3533" t="str">
        <f>"10"</f>
        <v>10</v>
      </c>
      <c r="AN3533" t="str">
        <f>"500000"</f>
        <v>500000</v>
      </c>
      <c r="AO3533" t="str">
        <f>"הכנסות  מלקוחות"</f>
        <v>הכנסות  מלקוחות</v>
      </c>
      <c r="AQ3533" t="str">
        <f>"007"</f>
        <v>007</v>
      </c>
      <c r="AR3533">
        <v>0</v>
      </c>
      <c r="AS3533">
        <v>0</v>
      </c>
      <c r="AT3533">
        <v>3.4</v>
      </c>
      <c r="AX3533" t="str">
        <f>"E000272374"</f>
        <v>E000272374</v>
      </c>
      <c r="BD3533" t="str">
        <f>"רוני דידי"</f>
        <v>רוני דידי</v>
      </c>
    </row>
    <row r="3534" spans="1:56" x14ac:dyDescent="0.3">
      <c r="A3534" s="1">
        <v>44063</v>
      </c>
      <c r="B3534" t="str">
        <f>"SI206000832"</f>
        <v>SI206000832</v>
      </c>
      <c r="C3534" t="str">
        <f>"PR19000398"</f>
        <v>PR19000398</v>
      </c>
      <c r="E3534" t="str">
        <f>"Y"</f>
        <v>Y</v>
      </c>
      <c r="F3534" t="str">
        <f>"חשבוניות מרכזות"</f>
        <v>חשבוניות מרכזות</v>
      </c>
      <c r="G3534" t="str">
        <f>"700065"</f>
        <v>700065</v>
      </c>
      <c r="H3534" t="str">
        <f>"אלתא מערכות בע""מ"</f>
        <v>אלתא מערכות בע"מ</v>
      </c>
      <c r="I3534" t="str">
        <f>"10"</f>
        <v>10</v>
      </c>
      <c r="J3534" t="str">
        <f>"OP-AR01302"</f>
        <v>OP-AR01302</v>
      </c>
      <c r="K3534" t="str">
        <f>"PDU חטיבת  1038U960-001 CU"</f>
        <v>PDU חטיבת  1038U960-001 CU</v>
      </c>
      <c r="L3534">
        <v>2</v>
      </c>
      <c r="M3534" t="str">
        <f>"יח"</f>
        <v>יח</v>
      </c>
      <c r="N3534">
        <v>2</v>
      </c>
      <c r="O3534" t="str">
        <f>"יח"</f>
        <v>יח</v>
      </c>
      <c r="P3534" s="2">
        <v>9484</v>
      </c>
      <c r="Q3534" t="str">
        <f>"$"</f>
        <v>$</v>
      </c>
      <c r="R3534" t="str">
        <f>"הזמנה"</f>
        <v>הזמנה</v>
      </c>
      <c r="S3534">
        <v>0</v>
      </c>
      <c r="T3534" s="2">
        <v>18968</v>
      </c>
      <c r="U3534">
        <v>0</v>
      </c>
      <c r="V3534" s="2">
        <v>18968</v>
      </c>
      <c r="W3534" t="str">
        <f>"$"</f>
        <v>$</v>
      </c>
      <c r="X3534">
        <v>0</v>
      </c>
      <c r="Y3534">
        <v>0</v>
      </c>
      <c r="Z3534">
        <v>0</v>
      </c>
      <c r="AA3534" t="str">
        <f>"Y"</f>
        <v>Y</v>
      </c>
      <c r="AB3534" t="str">
        <f>"SO19000305"</f>
        <v>SO19000305</v>
      </c>
      <c r="AC3534">
        <v>11</v>
      </c>
      <c r="AD3534" s="1">
        <v>43657</v>
      </c>
      <c r="AE3534" t="str">
        <f>"SH20001111"</f>
        <v>SH20001111</v>
      </c>
      <c r="AF3534" t="str">
        <f>"משלוחים ללקוח"</f>
        <v>משלוחים ללקוח</v>
      </c>
      <c r="AG3534" s="1">
        <v>44061</v>
      </c>
      <c r="AM3534" t="str">
        <f>"10"</f>
        <v>10</v>
      </c>
      <c r="AN3534" t="str">
        <f>"500000"</f>
        <v>500000</v>
      </c>
      <c r="AO3534" t="str">
        <f>"הכנסות  מלקוחות"</f>
        <v>הכנסות  מלקוחות</v>
      </c>
      <c r="AQ3534" t="str">
        <f>"034"</f>
        <v>034</v>
      </c>
      <c r="AR3534">
        <v>0</v>
      </c>
      <c r="AS3534">
        <v>0</v>
      </c>
      <c r="AT3534">
        <v>3.4</v>
      </c>
      <c r="AX3534" t="str">
        <f>"E000290708"</f>
        <v>E000290708</v>
      </c>
      <c r="BD3534" t="str">
        <f>"ערן שלו"</f>
        <v>ערן שלו</v>
      </c>
    </row>
    <row r="3535" spans="1:56" x14ac:dyDescent="0.3">
      <c r="A3535" s="1">
        <v>44059</v>
      </c>
      <c r="B3535" t="str">
        <f>"SI206000823"</f>
        <v>SI206000823</v>
      </c>
      <c r="C3535" t="str">
        <f>"PR18000543"</f>
        <v>PR18000543</v>
      </c>
      <c r="D3535" t="str">
        <f>"PR18000543"</f>
        <v>PR18000543</v>
      </c>
      <c r="E3535" t="str">
        <f>"Y"</f>
        <v>Y</v>
      </c>
      <c r="F3535" t="str">
        <f>"חשבוניות מרכזות"</f>
        <v>חשבוניות מרכזות</v>
      </c>
      <c r="G3535" t="str">
        <f>"700065"</f>
        <v>700065</v>
      </c>
      <c r="H3535" t="str">
        <f>"אלתא מערכות בע""מ"</f>
        <v>אלתא מערכות בע"מ</v>
      </c>
      <c r="I3535" t="str">
        <f>"10"</f>
        <v>10</v>
      </c>
      <c r="J3535" t="str">
        <f>"OP-AR01083"</f>
        <v>OP-AR01083</v>
      </c>
      <c r="K3535" t="str">
        <f>"1036C960-001 HVJB_N"</f>
        <v>1036C960-001 HVJB_N</v>
      </c>
      <c r="L3535">
        <v>1</v>
      </c>
      <c r="M3535" t="str">
        <f>"יח"</f>
        <v>יח</v>
      </c>
      <c r="N3535">
        <v>1</v>
      </c>
      <c r="O3535" t="str">
        <f>"יח"</f>
        <v>יח</v>
      </c>
      <c r="P3535" s="2">
        <v>6500</v>
      </c>
      <c r="Q3535" t="str">
        <f>"$"</f>
        <v>$</v>
      </c>
      <c r="R3535" t="str">
        <f>"הזמנה"</f>
        <v>הזמנה</v>
      </c>
      <c r="S3535">
        <v>0</v>
      </c>
      <c r="T3535" s="2">
        <v>6500</v>
      </c>
      <c r="U3535">
        <v>0</v>
      </c>
      <c r="V3535" s="2">
        <v>6500</v>
      </c>
      <c r="W3535" t="str">
        <f>"$"</f>
        <v>$</v>
      </c>
      <c r="X3535">
        <v>0</v>
      </c>
      <c r="Y3535">
        <v>0</v>
      </c>
      <c r="Z3535">
        <v>0</v>
      </c>
      <c r="AA3535" t="str">
        <f>"Y"</f>
        <v>Y</v>
      </c>
      <c r="AB3535" t="str">
        <f>"SO18000429"</f>
        <v>SO18000429</v>
      </c>
      <c r="AC3535">
        <v>11</v>
      </c>
      <c r="AD3535" s="1">
        <v>43311</v>
      </c>
      <c r="AE3535" t="str">
        <f>"SH20001053"</f>
        <v>SH20001053</v>
      </c>
      <c r="AF3535" t="str">
        <f>"משלוחים ללקוח"</f>
        <v>משלוחים ללקוח</v>
      </c>
      <c r="AG3535" s="1">
        <v>44048</v>
      </c>
      <c r="AM3535" t="str">
        <f>"10"</f>
        <v>10</v>
      </c>
      <c r="AN3535" t="str">
        <f>"500000"</f>
        <v>500000</v>
      </c>
      <c r="AO3535" t="str">
        <f>"הכנסות  מלקוחות"</f>
        <v>הכנסות  מלקוחות</v>
      </c>
      <c r="AQ3535" t="str">
        <f>"007"</f>
        <v>007</v>
      </c>
      <c r="AR3535">
        <v>0</v>
      </c>
      <c r="AS3535">
        <v>0</v>
      </c>
      <c r="AT3535">
        <v>3.4039999999999999</v>
      </c>
      <c r="AX3535" t="str">
        <f>"E000266439"</f>
        <v>E000266439</v>
      </c>
      <c r="BD3535" t="str">
        <f>"רוני דידי"</f>
        <v>רוני דידי</v>
      </c>
    </row>
    <row r="3536" spans="1:56" x14ac:dyDescent="0.3">
      <c r="A3536" s="1">
        <v>44059</v>
      </c>
      <c r="B3536" t="str">
        <f>"SI206000823"</f>
        <v>SI206000823</v>
      </c>
      <c r="C3536" t="str">
        <f>"PR18000543"</f>
        <v>PR18000543</v>
      </c>
      <c r="D3536" t="str">
        <f>"PR18000543"</f>
        <v>PR18000543</v>
      </c>
      <c r="E3536" t="str">
        <f>"Y"</f>
        <v>Y</v>
      </c>
      <c r="F3536" t="str">
        <f>"חשבוניות מרכזות"</f>
        <v>חשבוניות מרכזות</v>
      </c>
      <c r="G3536" t="str">
        <f>"700065"</f>
        <v>700065</v>
      </c>
      <c r="H3536" t="str">
        <f>"אלתא מערכות בע""מ"</f>
        <v>אלתא מערכות בע"מ</v>
      </c>
      <c r="I3536" t="str">
        <f>"10"</f>
        <v>10</v>
      </c>
      <c r="J3536" t="str">
        <f>"OP-AR01083"</f>
        <v>OP-AR01083</v>
      </c>
      <c r="K3536" t="str">
        <f>"1036C960-001 HVJB_N"</f>
        <v>1036C960-001 HVJB_N</v>
      </c>
      <c r="L3536">
        <v>5</v>
      </c>
      <c r="M3536" t="str">
        <f>"יח"</f>
        <v>יח</v>
      </c>
      <c r="N3536">
        <v>5</v>
      </c>
      <c r="O3536" t="str">
        <f>"יח"</f>
        <v>יח</v>
      </c>
      <c r="P3536" s="2">
        <v>6500</v>
      </c>
      <c r="Q3536" t="str">
        <f>"$"</f>
        <v>$</v>
      </c>
      <c r="R3536" t="str">
        <f>"הזמנה"</f>
        <v>הזמנה</v>
      </c>
      <c r="S3536">
        <v>0</v>
      </c>
      <c r="T3536" s="2">
        <v>32500</v>
      </c>
      <c r="U3536">
        <v>0</v>
      </c>
      <c r="V3536" s="2">
        <v>32500</v>
      </c>
      <c r="W3536" t="str">
        <f>"$"</f>
        <v>$</v>
      </c>
      <c r="X3536">
        <v>0</v>
      </c>
      <c r="Y3536">
        <v>0</v>
      </c>
      <c r="Z3536">
        <v>0</v>
      </c>
      <c r="AA3536" t="str">
        <f>"Y"</f>
        <v>Y</v>
      </c>
      <c r="AB3536" t="str">
        <f>"SO18000429"</f>
        <v>SO18000429</v>
      </c>
      <c r="AC3536">
        <v>13</v>
      </c>
      <c r="AD3536" s="1">
        <v>43311</v>
      </c>
      <c r="AE3536" t="str">
        <f>"SH20001053"</f>
        <v>SH20001053</v>
      </c>
      <c r="AF3536" t="str">
        <f>"משלוחים ללקוח"</f>
        <v>משלוחים ללקוח</v>
      </c>
      <c r="AG3536" s="1">
        <v>44048</v>
      </c>
      <c r="AM3536" t="str">
        <f>"10"</f>
        <v>10</v>
      </c>
      <c r="AN3536" t="str">
        <f>"500000"</f>
        <v>500000</v>
      </c>
      <c r="AO3536" t="str">
        <f>"הכנסות  מלקוחות"</f>
        <v>הכנסות  מלקוחות</v>
      </c>
      <c r="AQ3536" t="str">
        <f>"007"</f>
        <v>007</v>
      </c>
      <c r="AR3536">
        <v>0</v>
      </c>
      <c r="AS3536">
        <v>0</v>
      </c>
      <c r="AT3536">
        <v>3.4039999999999999</v>
      </c>
      <c r="AX3536" t="str">
        <f>"E000266439"</f>
        <v>E000266439</v>
      </c>
      <c r="BD3536" t="str">
        <f>"רוני דידי"</f>
        <v>רוני דידי</v>
      </c>
    </row>
    <row r="3537" spans="1:56" x14ac:dyDescent="0.3">
      <c r="A3537" s="1">
        <v>44059</v>
      </c>
      <c r="B3537" t="str">
        <f>"SI206000822"</f>
        <v>SI206000822</v>
      </c>
      <c r="C3537" t="str">
        <f>"PR20000271"</f>
        <v>PR20000271</v>
      </c>
      <c r="D3537" t="str">
        <f>"PR20000271"</f>
        <v>PR20000271</v>
      </c>
      <c r="E3537" t="str">
        <f>"Y"</f>
        <v>Y</v>
      </c>
      <c r="F3537" t="str">
        <f>"חשבוניות מרכזות"</f>
        <v>חשבוניות מרכזות</v>
      </c>
      <c r="G3537" t="str">
        <f>"700065"</f>
        <v>700065</v>
      </c>
      <c r="H3537" t="str">
        <f>"אלתא מערכות בע""מ"</f>
        <v>אלתא מערכות בע"מ</v>
      </c>
      <c r="I3537" t="str">
        <f>"10"</f>
        <v>10</v>
      </c>
      <c r="J3537" t="str">
        <f>"OP-AR01722"</f>
        <v>OP-AR01722</v>
      </c>
      <c r="K3537" t="str">
        <f>"NRE להזמנה E000310450"</f>
        <v>NRE להזמנה E000310450</v>
      </c>
      <c r="L3537">
        <v>1</v>
      </c>
      <c r="M3537" t="str">
        <f>"יח"</f>
        <v>יח</v>
      </c>
      <c r="N3537">
        <v>1</v>
      </c>
      <c r="O3537" t="str">
        <f>"יח"</f>
        <v>יח</v>
      </c>
      <c r="P3537">
        <v>150</v>
      </c>
      <c r="Q3537" t="str">
        <f>"$"</f>
        <v>$</v>
      </c>
      <c r="R3537" t="str">
        <f>"הזמנה"</f>
        <v>הזמנה</v>
      </c>
      <c r="S3537">
        <v>0</v>
      </c>
      <c r="T3537">
        <v>150</v>
      </c>
      <c r="U3537">
        <v>0</v>
      </c>
      <c r="V3537">
        <v>150</v>
      </c>
      <c r="W3537" t="str">
        <f>"$"</f>
        <v>$</v>
      </c>
      <c r="X3537">
        <v>0</v>
      </c>
      <c r="Y3537">
        <v>0</v>
      </c>
      <c r="Z3537">
        <v>0</v>
      </c>
      <c r="AA3537" t="str">
        <f>"Y"</f>
        <v>Y</v>
      </c>
      <c r="AB3537" t="str">
        <f>"SO20000169"</f>
        <v>SO20000169</v>
      </c>
      <c r="AC3537">
        <v>3</v>
      </c>
      <c r="AD3537" s="1">
        <v>43948</v>
      </c>
      <c r="AM3537" t="str">
        <f>"10"</f>
        <v>10</v>
      </c>
      <c r="AN3537" t="str">
        <f>"500000"</f>
        <v>500000</v>
      </c>
      <c r="AO3537" t="str">
        <f>"הכנסות  מלקוחות"</f>
        <v>הכנסות  מלקוחות</v>
      </c>
      <c r="AQ3537" t="str">
        <f>"034"</f>
        <v>034</v>
      </c>
      <c r="AR3537">
        <v>0</v>
      </c>
      <c r="AS3537">
        <v>0</v>
      </c>
      <c r="AT3537">
        <v>3.4039999999999999</v>
      </c>
      <c r="AX3537" t="str">
        <f>"E000310450"</f>
        <v>E000310450</v>
      </c>
      <c r="BD3537" t="str">
        <f>"ערן שלו"</f>
        <v>ערן שלו</v>
      </c>
    </row>
    <row r="3538" spans="1:56" x14ac:dyDescent="0.3">
      <c r="A3538" s="1">
        <v>44059</v>
      </c>
      <c r="B3538" t="str">
        <f>"SI206000819"</f>
        <v>SI206000819</v>
      </c>
      <c r="C3538" t="str">
        <f>"PR19000731"</f>
        <v>PR19000731</v>
      </c>
      <c r="E3538" t="str">
        <f>"Y"</f>
        <v>Y</v>
      </c>
      <c r="F3538" t="str">
        <f>"חשבוניות מרכזות"</f>
        <v>חשבוניות מרכזות</v>
      </c>
      <c r="G3538" t="str">
        <f>"700065"</f>
        <v>700065</v>
      </c>
      <c r="H3538" t="str">
        <f>"אלתא מערכות בע""מ"</f>
        <v>אלתא מערכות בע"מ</v>
      </c>
      <c r="I3538" t="str">
        <f>"10"</f>
        <v>10</v>
      </c>
      <c r="J3538" t="str">
        <f>"OP-AR01581"</f>
        <v>OP-AR01581</v>
      </c>
      <c r="K3538" t="str">
        <f>"9004W741-001 HARNESS WS101 SYSTEM POWER IN"</f>
        <v>9004W741-001 HARNESS WS101 SYSTEM POWER IN</v>
      </c>
      <c r="L3538">
        <v>8</v>
      </c>
      <c r="M3538" t="str">
        <f>"יח"</f>
        <v>יח</v>
      </c>
      <c r="N3538">
        <v>8</v>
      </c>
      <c r="O3538" t="str">
        <f>"יח"</f>
        <v>יח</v>
      </c>
      <c r="P3538">
        <v>903.94</v>
      </c>
      <c r="Q3538" t="str">
        <f>"$"</f>
        <v>$</v>
      </c>
      <c r="R3538" t="str">
        <f>"הזמנה"</f>
        <v>הזמנה</v>
      </c>
      <c r="S3538">
        <v>0</v>
      </c>
      <c r="T3538" s="2">
        <v>7231.52</v>
      </c>
      <c r="U3538">
        <v>0</v>
      </c>
      <c r="V3538" s="2">
        <v>7231.52</v>
      </c>
      <c r="W3538" t="str">
        <f>"$"</f>
        <v>$</v>
      </c>
      <c r="X3538">
        <v>0</v>
      </c>
      <c r="Y3538">
        <v>0</v>
      </c>
      <c r="Z3538">
        <v>0</v>
      </c>
      <c r="AA3538" t="str">
        <f>"Y"</f>
        <v>Y</v>
      </c>
      <c r="AB3538" t="str">
        <f>"SO19000524"</f>
        <v>SO19000524</v>
      </c>
      <c r="AC3538">
        <v>23</v>
      </c>
      <c r="AD3538" s="1">
        <v>43809</v>
      </c>
      <c r="AE3538" t="str">
        <f>"SH20001054"</f>
        <v>SH20001054</v>
      </c>
      <c r="AF3538" t="str">
        <f>"משלוחים ללקוח"</f>
        <v>משלוחים ללקוח</v>
      </c>
      <c r="AG3538" s="1">
        <v>44048</v>
      </c>
      <c r="AM3538" t="str">
        <f>"10"</f>
        <v>10</v>
      </c>
      <c r="AN3538" t="str">
        <f>"500000"</f>
        <v>500000</v>
      </c>
      <c r="AO3538" t="str">
        <f>"הכנסות  מלקוחות"</f>
        <v>הכנסות  מלקוחות</v>
      </c>
      <c r="AQ3538" t="str">
        <f>"034"</f>
        <v>034</v>
      </c>
      <c r="AR3538">
        <v>0</v>
      </c>
      <c r="AS3538">
        <v>0</v>
      </c>
      <c r="AT3538">
        <v>3.4039999999999999</v>
      </c>
      <c r="AX3538" t="str">
        <f>"E000300228"</f>
        <v>E000300228</v>
      </c>
      <c r="BD3538" t="str">
        <f>"ערן שלו"</f>
        <v>ערן שלו</v>
      </c>
    </row>
    <row r="3539" spans="1:56" x14ac:dyDescent="0.3">
      <c r="A3539" s="1">
        <v>44059</v>
      </c>
      <c r="B3539" t="str">
        <f>"SI206000819"</f>
        <v>SI206000819</v>
      </c>
      <c r="C3539" t="str">
        <f>"PR19000731"</f>
        <v>PR19000731</v>
      </c>
      <c r="E3539" t="str">
        <f>"Y"</f>
        <v>Y</v>
      </c>
      <c r="F3539" t="str">
        <f>"חשבוניות מרכזות"</f>
        <v>חשבוניות מרכזות</v>
      </c>
      <c r="G3539" t="str">
        <f>"700065"</f>
        <v>700065</v>
      </c>
      <c r="H3539" t="str">
        <f>"אלתא מערכות בע""מ"</f>
        <v>אלתא מערכות בע"מ</v>
      </c>
      <c r="I3539" t="str">
        <f>"10"</f>
        <v>10</v>
      </c>
      <c r="J3539" t="str">
        <f>"OP-AR01582"</f>
        <v>OP-AR01582</v>
      </c>
      <c r="K3539" t="str">
        <f>"9004W742-001 HARNESS WS102 RP-P2"</f>
        <v>9004W742-001 HARNESS WS102 RP-P2</v>
      </c>
      <c r="L3539">
        <v>5</v>
      </c>
      <c r="M3539" t="str">
        <f>"יח"</f>
        <v>יח</v>
      </c>
      <c r="N3539">
        <v>5</v>
      </c>
      <c r="O3539" t="str">
        <f>"יח"</f>
        <v>יח</v>
      </c>
      <c r="P3539" s="2">
        <v>2851.63</v>
      </c>
      <c r="Q3539" t="str">
        <f>"$"</f>
        <v>$</v>
      </c>
      <c r="R3539" t="str">
        <f>"הזמנה"</f>
        <v>הזמנה</v>
      </c>
      <c r="S3539">
        <v>0</v>
      </c>
      <c r="T3539" s="2">
        <v>14258.15</v>
      </c>
      <c r="U3539">
        <v>0</v>
      </c>
      <c r="V3539" s="2">
        <v>14258.15</v>
      </c>
      <c r="W3539" t="str">
        <f>"$"</f>
        <v>$</v>
      </c>
      <c r="X3539">
        <v>0</v>
      </c>
      <c r="Y3539">
        <v>0</v>
      </c>
      <c r="Z3539">
        <v>0</v>
      </c>
      <c r="AA3539" t="str">
        <f>"Y"</f>
        <v>Y</v>
      </c>
      <c r="AB3539" t="str">
        <f>"SO19000524"</f>
        <v>SO19000524</v>
      </c>
      <c r="AC3539">
        <v>27</v>
      </c>
      <c r="AD3539" s="1">
        <v>43809</v>
      </c>
      <c r="AE3539" t="str">
        <f>"SH20001054"</f>
        <v>SH20001054</v>
      </c>
      <c r="AF3539" t="str">
        <f>"משלוחים ללקוח"</f>
        <v>משלוחים ללקוח</v>
      </c>
      <c r="AG3539" s="1">
        <v>44048</v>
      </c>
      <c r="AM3539" t="str">
        <f>"10"</f>
        <v>10</v>
      </c>
      <c r="AN3539" t="str">
        <f>"500000"</f>
        <v>500000</v>
      </c>
      <c r="AO3539" t="str">
        <f>"הכנסות  מלקוחות"</f>
        <v>הכנסות  מלקוחות</v>
      </c>
      <c r="AQ3539" t="str">
        <f>"034"</f>
        <v>034</v>
      </c>
      <c r="AR3539">
        <v>0</v>
      </c>
      <c r="AS3539">
        <v>0</v>
      </c>
      <c r="AT3539">
        <v>3.4039999999999999</v>
      </c>
      <c r="AX3539" t="str">
        <f>"E000300228"</f>
        <v>E000300228</v>
      </c>
      <c r="BD3539" t="str">
        <f>"ערן שלו"</f>
        <v>ערן שלו</v>
      </c>
    </row>
    <row r="3540" spans="1:56" x14ac:dyDescent="0.3">
      <c r="A3540" s="1">
        <v>44059</v>
      </c>
      <c r="B3540" t="str">
        <f>"SI206000819"</f>
        <v>SI206000819</v>
      </c>
      <c r="C3540" t="str">
        <f>"PR19000731"</f>
        <v>PR19000731</v>
      </c>
      <c r="E3540" t="str">
        <f>"Y"</f>
        <v>Y</v>
      </c>
      <c r="F3540" t="str">
        <f>"חשבוניות מרכזות"</f>
        <v>חשבוניות מרכזות</v>
      </c>
      <c r="G3540" t="str">
        <f>"700065"</f>
        <v>700065</v>
      </c>
      <c r="H3540" t="str">
        <f>"אלתא מערכות בע""מ"</f>
        <v>אלתא מערכות בע"מ</v>
      </c>
      <c r="I3540" t="str">
        <f>"10"</f>
        <v>10</v>
      </c>
      <c r="J3540" t="str">
        <f>"OP-AR01589"</f>
        <v>OP-AR01589</v>
      </c>
      <c r="K3540" t="str">
        <f>"9004W750-001 HARNESS WS121 NCDR"</f>
        <v>9004W750-001 HARNESS WS121 NCDR</v>
      </c>
      <c r="L3540">
        <v>10</v>
      </c>
      <c r="M3540" t="str">
        <f>"יח"</f>
        <v>יח</v>
      </c>
      <c r="N3540">
        <v>10</v>
      </c>
      <c r="O3540" t="str">
        <f>"יח"</f>
        <v>יח</v>
      </c>
      <c r="P3540">
        <v>547.15</v>
      </c>
      <c r="Q3540" t="str">
        <f>"$"</f>
        <v>$</v>
      </c>
      <c r="R3540" t="str">
        <f>"הזמנה"</f>
        <v>הזמנה</v>
      </c>
      <c r="S3540">
        <v>0</v>
      </c>
      <c r="T3540" s="2">
        <v>5471.5</v>
      </c>
      <c r="U3540">
        <v>0</v>
      </c>
      <c r="V3540" s="2">
        <v>5471.5</v>
      </c>
      <c r="W3540" t="str">
        <f>"$"</f>
        <v>$</v>
      </c>
      <c r="X3540">
        <v>0</v>
      </c>
      <c r="Y3540">
        <v>0</v>
      </c>
      <c r="Z3540">
        <v>0</v>
      </c>
      <c r="AA3540" t="str">
        <f>"Y"</f>
        <v>Y</v>
      </c>
      <c r="AB3540" t="str">
        <f>"SO19000524"</f>
        <v>SO19000524</v>
      </c>
      <c r="AC3540">
        <v>44</v>
      </c>
      <c r="AD3540" s="1">
        <v>43809</v>
      </c>
      <c r="AE3540" t="str">
        <f>"SH20001054"</f>
        <v>SH20001054</v>
      </c>
      <c r="AF3540" t="str">
        <f>"משלוחים ללקוח"</f>
        <v>משלוחים ללקוח</v>
      </c>
      <c r="AG3540" s="1">
        <v>44048</v>
      </c>
      <c r="AM3540" t="str">
        <f>"10"</f>
        <v>10</v>
      </c>
      <c r="AN3540" t="str">
        <f>"500000"</f>
        <v>500000</v>
      </c>
      <c r="AO3540" t="str">
        <f>"הכנסות  מלקוחות"</f>
        <v>הכנסות  מלקוחות</v>
      </c>
      <c r="AQ3540" t="str">
        <f>"034"</f>
        <v>034</v>
      </c>
      <c r="AR3540">
        <v>0</v>
      </c>
      <c r="AS3540">
        <v>0</v>
      </c>
      <c r="AT3540">
        <v>3.4039999999999999</v>
      </c>
      <c r="AX3540" t="str">
        <f>"E000300228"</f>
        <v>E000300228</v>
      </c>
      <c r="BD3540" t="str">
        <f>"ערן שלו"</f>
        <v>ערן שלו</v>
      </c>
    </row>
    <row r="3541" spans="1:56" x14ac:dyDescent="0.3">
      <c r="A3541" s="1">
        <v>44059</v>
      </c>
      <c r="B3541" t="str">
        <f>"SI206000819"</f>
        <v>SI206000819</v>
      </c>
      <c r="C3541" t="str">
        <f>"PR19000731"</f>
        <v>PR19000731</v>
      </c>
      <c r="E3541" t="str">
        <f>"Y"</f>
        <v>Y</v>
      </c>
      <c r="F3541" t="str">
        <f>"חשבוניות מרכזות"</f>
        <v>חשבוניות מרכזות</v>
      </c>
      <c r="G3541" t="str">
        <f>"700065"</f>
        <v>700065</v>
      </c>
      <c r="H3541" t="str">
        <f>"אלתא מערכות בע""מ"</f>
        <v>אלתא מערכות בע"מ</v>
      </c>
      <c r="I3541" t="str">
        <f>"10"</f>
        <v>10</v>
      </c>
      <c r="J3541" t="str">
        <f>"OP-AR01590"</f>
        <v>OP-AR01590</v>
      </c>
      <c r="K3541" t="str">
        <f>"9004W751-001 HARNESS WS191 TMS TO RBP"</f>
        <v>9004W751-001 HARNESS WS191 TMS TO RBP</v>
      </c>
      <c r="L3541">
        <v>2</v>
      </c>
      <c r="M3541" t="str">
        <f>"יח"</f>
        <v>יח</v>
      </c>
      <c r="N3541">
        <v>2</v>
      </c>
      <c r="O3541" t="str">
        <f>"יח"</f>
        <v>יח</v>
      </c>
      <c r="P3541">
        <v>959.52</v>
      </c>
      <c r="Q3541" t="str">
        <f>"$"</f>
        <v>$</v>
      </c>
      <c r="R3541" t="str">
        <f>"הזמנה"</f>
        <v>הזמנה</v>
      </c>
      <c r="S3541">
        <v>0</v>
      </c>
      <c r="T3541" s="2">
        <v>1919.04</v>
      </c>
      <c r="U3541">
        <v>0</v>
      </c>
      <c r="V3541" s="2">
        <v>1919.04</v>
      </c>
      <c r="W3541" t="str">
        <f>"$"</f>
        <v>$</v>
      </c>
      <c r="X3541">
        <v>0</v>
      </c>
      <c r="Y3541">
        <v>0</v>
      </c>
      <c r="Z3541">
        <v>0</v>
      </c>
      <c r="AA3541" t="str">
        <f>"Y"</f>
        <v>Y</v>
      </c>
      <c r="AB3541" t="str">
        <f>"SO19000524"</f>
        <v>SO19000524</v>
      </c>
      <c r="AC3541">
        <v>48</v>
      </c>
      <c r="AD3541" s="1">
        <v>43809</v>
      </c>
      <c r="AE3541" t="str">
        <f>"SH20001054"</f>
        <v>SH20001054</v>
      </c>
      <c r="AF3541" t="str">
        <f>"משלוחים ללקוח"</f>
        <v>משלוחים ללקוח</v>
      </c>
      <c r="AG3541" s="1">
        <v>44048</v>
      </c>
      <c r="AM3541" t="str">
        <f>"10"</f>
        <v>10</v>
      </c>
      <c r="AN3541" t="str">
        <f>"500000"</f>
        <v>500000</v>
      </c>
      <c r="AO3541" t="str">
        <f>"הכנסות  מלקוחות"</f>
        <v>הכנסות  מלקוחות</v>
      </c>
      <c r="AQ3541" t="str">
        <f>"034"</f>
        <v>034</v>
      </c>
      <c r="AR3541">
        <v>0</v>
      </c>
      <c r="AS3541">
        <v>0</v>
      </c>
      <c r="AT3541">
        <v>3.4039999999999999</v>
      </c>
      <c r="AX3541" t="str">
        <f>"E000300228"</f>
        <v>E000300228</v>
      </c>
      <c r="BD3541" t="str">
        <f>"ערן שלו"</f>
        <v>ערן שלו</v>
      </c>
    </row>
    <row r="3542" spans="1:56" x14ac:dyDescent="0.3">
      <c r="A3542" s="1">
        <v>44059</v>
      </c>
      <c r="B3542" t="str">
        <f>"SI206000818"</f>
        <v>SI206000818</v>
      </c>
      <c r="C3542" t="str">
        <f>"PR20000183"</f>
        <v>PR20000183</v>
      </c>
      <c r="E3542" t="str">
        <f>"Y"</f>
        <v>Y</v>
      </c>
      <c r="F3542" t="str">
        <f>"חשבוניות מרכזות"</f>
        <v>חשבוניות מרכזות</v>
      </c>
      <c r="G3542" t="str">
        <f>"700065"</f>
        <v>700065</v>
      </c>
      <c r="H3542" t="str">
        <f>"אלתא מערכות בע""מ"</f>
        <v>אלתא מערכות בע"מ</v>
      </c>
      <c r="I3542" t="str">
        <f>"10"</f>
        <v>10</v>
      </c>
      <c r="J3542" t="str">
        <f>"OP-AR01695"</f>
        <v>OP-AR01695</v>
      </c>
      <c r="K3542" t="str">
        <f>"1023B325-001 CABLE ASSY WC037 GPS ADAPTER CABLE"</f>
        <v>1023B325-001 CABLE ASSY WC037 GPS ADAPTER CABLE</v>
      </c>
      <c r="L3542">
        <v>2</v>
      </c>
      <c r="M3542" t="str">
        <f>"יח"</f>
        <v>יח</v>
      </c>
      <c r="N3542">
        <v>2</v>
      </c>
      <c r="O3542" t="str">
        <f>"יח"</f>
        <v>יח</v>
      </c>
      <c r="P3542">
        <v>200.4</v>
      </c>
      <c r="Q3542" t="str">
        <f>"$"</f>
        <v>$</v>
      </c>
      <c r="R3542" t="str">
        <f>"הזמנה"</f>
        <v>הזמנה</v>
      </c>
      <c r="S3542">
        <v>0</v>
      </c>
      <c r="T3542">
        <v>400.8</v>
      </c>
      <c r="U3542">
        <v>0</v>
      </c>
      <c r="V3542">
        <v>400.8</v>
      </c>
      <c r="W3542" t="str">
        <f>"$"</f>
        <v>$</v>
      </c>
      <c r="X3542">
        <v>0</v>
      </c>
      <c r="Y3542">
        <v>0</v>
      </c>
      <c r="Z3542">
        <v>0</v>
      </c>
      <c r="AA3542" t="str">
        <f>"Y"</f>
        <v>Y</v>
      </c>
      <c r="AB3542" t="str">
        <f>"SO20000127"</f>
        <v>SO20000127</v>
      </c>
      <c r="AC3542">
        <v>2</v>
      </c>
      <c r="AD3542" s="1">
        <v>43923</v>
      </c>
      <c r="AE3542" t="str">
        <f>"SH20001055"</f>
        <v>SH20001055</v>
      </c>
      <c r="AF3542" t="str">
        <f>"משלוחים ללקוח"</f>
        <v>משלוחים ללקוח</v>
      </c>
      <c r="AG3542" s="1">
        <v>44048</v>
      </c>
      <c r="AM3542" t="str">
        <f>"10"</f>
        <v>10</v>
      </c>
      <c r="AN3542" t="str">
        <f>"500000"</f>
        <v>500000</v>
      </c>
      <c r="AO3542" t="str">
        <f>"הכנסות  מלקוחות"</f>
        <v>הכנסות  מלקוחות</v>
      </c>
      <c r="AQ3542" t="str">
        <f>"034"</f>
        <v>034</v>
      </c>
      <c r="AR3542">
        <v>0</v>
      </c>
      <c r="AS3542">
        <v>0</v>
      </c>
      <c r="AT3542">
        <v>3.4039999999999999</v>
      </c>
      <c r="AX3542" t="str">
        <f>"E000308084"</f>
        <v>E000308084</v>
      </c>
      <c r="BD3542" t="str">
        <f>"ערן שלו"</f>
        <v>ערן שלו</v>
      </c>
    </row>
    <row r="3543" spans="1:56" x14ac:dyDescent="0.3">
      <c r="A3543" s="1">
        <v>44059</v>
      </c>
      <c r="B3543" t="str">
        <f>"SI206000817"</f>
        <v>SI206000817</v>
      </c>
      <c r="C3543" t="str">
        <f>"PR20000245"</f>
        <v>PR20000245</v>
      </c>
      <c r="D3543" t="str">
        <f>"PR20000245"</f>
        <v>PR20000245</v>
      </c>
      <c r="E3543" t="str">
        <f>"Y"</f>
        <v>Y</v>
      </c>
      <c r="F3543" t="str">
        <f>"חשבוניות מרכזות"</f>
        <v>חשבוניות מרכזות</v>
      </c>
      <c r="G3543" t="str">
        <f>"700065"</f>
        <v>700065</v>
      </c>
      <c r="H3543" t="str">
        <f>"אלתא מערכות בע""מ"</f>
        <v>אלתא מערכות בע"מ</v>
      </c>
      <c r="I3543" t="str">
        <f>"10"</f>
        <v>10</v>
      </c>
      <c r="J3543" t="str">
        <f>"OP-AR01726"</f>
        <v>OP-AR01726</v>
      </c>
      <c r="K3543" t="str">
        <f>"4020F405-001 CABLE ASSY W5"</f>
        <v>4020F405-001 CABLE ASSY W5</v>
      </c>
      <c r="L3543">
        <v>8</v>
      </c>
      <c r="M3543" t="str">
        <f>"יח"</f>
        <v>יח</v>
      </c>
      <c r="N3543">
        <v>8</v>
      </c>
      <c r="O3543" t="str">
        <f>"יח"</f>
        <v>יח</v>
      </c>
      <c r="P3543">
        <v>529.1</v>
      </c>
      <c r="Q3543" t="str">
        <f>"$"</f>
        <v>$</v>
      </c>
      <c r="R3543" t="str">
        <f>"הזמנה"</f>
        <v>הזמנה</v>
      </c>
      <c r="S3543">
        <v>0</v>
      </c>
      <c r="T3543" s="2">
        <v>4232.8</v>
      </c>
      <c r="U3543">
        <v>0</v>
      </c>
      <c r="V3543" s="2">
        <v>4232.8</v>
      </c>
      <c r="W3543" t="str">
        <f>"$"</f>
        <v>$</v>
      </c>
      <c r="X3543">
        <v>0</v>
      </c>
      <c r="Y3543">
        <v>0</v>
      </c>
      <c r="Z3543">
        <v>0</v>
      </c>
      <c r="AA3543" t="str">
        <f>"Y"</f>
        <v>Y</v>
      </c>
      <c r="AB3543" t="str">
        <f>"SO20000174"</f>
        <v>SO20000174</v>
      </c>
      <c r="AC3543">
        <v>4</v>
      </c>
      <c r="AD3543" s="1">
        <v>43954</v>
      </c>
      <c r="AE3543" t="str">
        <f>"SH20001052"</f>
        <v>SH20001052</v>
      </c>
      <c r="AF3543" t="str">
        <f>"משלוחים ללקוח"</f>
        <v>משלוחים ללקוח</v>
      </c>
      <c r="AG3543" s="1">
        <v>44048</v>
      </c>
      <c r="AM3543" t="str">
        <f>"10"</f>
        <v>10</v>
      </c>
      <c r="AN3543" t="str">
        <f>"500000"</f>
        <v>500000</v>
      </c>
      <c r="AO3543" t="str">
        <f>"הכנסות  מלקוחות"</f>
        <v>הכנסות  מלקוחות</v>
      </c>
      <c r="AQ3543" t="str">
        <f>"034"</f>
        <v>034</v>
      </c>
      <c r="AR3543">
        <v>0</v>
      </c>
      <c r="AS3543">
        <v>0</v>
      </c>
      <c r="AT3543">
        <v>3.4039999999999999</v>
      </c>
      <c r="AX3543" t="str">
        <f>"E000309897"</f>
        <v>E000309897</v>
      </c>
      <c r="BD3543" t="str">
        <f>"ערן שלו"</f>
        <v>ערן שלו</v>
      </c>
    </row>
    <row r="3544" spans="1:56" x14ac:dyDescent="0.3">
      <c r="A3544" s="1">
        <v>44059</v>
      </c>
      <c r="B3544" t="str">
        <f>"SI206000816"</f>
        <v>SI206000816</v>
      </c>
      <c r="C3544" t="str">
        <f>"PR20000348"</f>
        <v>PR20000348</v>
      </c>
      <c r="E3544" t="str">
        <f>"Y"</f>
        <v>Y</v>
      </c>
      <c r="F3544" t="str">
        <f>"חשבוניות מרכזות"</f>
        <v>חשבוניות מרכזות</v>
      </c>
      <c r="G3544" t="str">
        <f>"700065"</f>
        <v>700065</v>
      </c>
      <c r="H3544" t="str">
        <f>"אלתא מערכות בע""מ"</f>
        <v>אלתא מערכות בע"מ</v>
      </c>
      <c r="I3544" t="str">
        <f>"10"</f>
        <v>10</v>
      </c>
      <c r="J3544" t="str">
        <f>"OP-AR01740"</f>
        <v>OP-AR01740</v>
      </c>
      <c r="K3544" t="str">
        <f>"1039V322-001 WP322 - PWR. AND CON. PDB TO PEDES"</f>
        <v>1039V322-001 WP322 - PWR. AND CON. PDB TO PEDES</v>
      </c>
      <c r="L3544">
        <v>2</v>
      </c>
      <c r="M3544" t="str">
        <f>"יח"</f>
        <v>יח</v>
      </c>
      <c r="N3544">
        <v>2</v>
      </c>
      <c r="O3544" t="str">
        <f>"יח"</f>
        <v>יח</v>
      </c>
      <c r="P3544">
        <v>559.29</v>
      </c>
      <c r="Q3544" t="str">
        <f>"$"</f>
        <v>$</v>
      </c>
      <c r="R3544" t="str">
        <f>"הזמנה"</f>
        <v>הזמנה</v>
      </c>
      <c r="S3544">
        <v>0</v>
      </c>
      <c r="T3544" s="2">
        <v>1118.58</v>
      </c>
      <c r="U3544">
        <v>0</v>
      </c>
      <c r="V3544" s="2">
        <v>1118.58</v>
      </c>
      <c r="W3544" t="str">
        <f>"$"</f>
        <v>$</v>
      </c>
      <c r="X3544">
        <v>0</v>
      </c>
      <c r="Y3544">
        <v>0</v>
      </c>
      <c r="Z3544">
        <v>0</v>
      </c>
      <c r="AA3544" t="str">
        <f>"Y"</f>
        <v>Y</v>
      </c>
      <c r="AB3544" t="str">
        <f>"SO20000201"</f>
        <v>SO20000201</v>
      </c>
      <c r="AC3544">
        <v>8</v>
      </c>
      <c r="AD3544" s="1">
        <v>43970</v>
      </c>
      <c r="AE3544" t="str">
        <f>"SH20001056"</f>
        <v>SH20001056</v>
      </c>
      <c r="AF3544" t="str">
        <f>"משלוחים ללקוח"</f>
        <v>משלוחים ללקוח</v>
      </c>
      <c r="AG3544" s="1">
        <v>44048</v>
      </c>
      <c r="AM3544" t="str">
        <f>"10"</f>
        <v>10</v>
      </c>
      <c r="AN3544" t="str">
        <f>"500000"</f>
        <v>500000</v>
      </c>
      <c r="AO3544" t="str">
        <f>"הכנסות  מלקוחות"</f>
        <v>הכנסות  מלקוחות</v>
      </c>
      <c r="AQ3544" t="str">
        <f>"034"</f>
        <v>034</v>
      </c>
      <c r="AR3544">
        <v>0</v>
      </c>
      <c r="AS3544">
        <v>0</v>
      </c>
      <c r="AT3544">
        <v>3.4039999999999999</v>
      </c>
      <c r="AX3544" t="str">
        <f>"E000311250"</f>
        <v>E000311250</v>
      </c>
      <c r="BD3544" t="str">
        <f>"ערן שלו"</f>
        <v>ערן שלו</v>
      </c>
    </row>
    <row r="3545" spans="1:56" x14ac:dyDescent="0.3">
      <c r="A3545" s="1">
        <v>44059</v>
      </c>
      <c r="B3545" t="str">
        <f>"SI206000816"</f>
        <v>SI206000816</v>
      </c>
      <c r="C3545" t="str">
        <f>"PR20000348"</f>
        <v>PR20000348</v>
      </c>
      <c r="E3545" t="str">
        <f>"Y"</f>
        <v>Y</v>
      </c>
      <c r="F3545" t="str">
        <f>"חשבוניות מרכזות"</f>
        <v>חשבוניות מרכזות</v>
      </c>
      <c r="G3545" t="str">
        <f>"700065"</f>
        <v>700065</v>
      </c>
      <c r="H3545" t="str">
        <f>"אלתא מערכות בע""מ"</f>
        <v>אלתא מערכות בע"מ</v>
      </c>
      <c r="I3545" t="str">
        <f>"10"</f>
        <v>10</v>
      </c>
      <c r="J3545" t="str">
        <f>"OP-AR01745"</f>
        <v>OP-AR01745</v>
      </c>
      <c r="K3545" t="str">
        <f>"1039V343-001 WP343 - POWER 230VAC PDB TO CHARGER"</f>
        <v>1039V343-001 WP343 - POWER 230VAC PDB TO CHARGER</v>
      </c>
      <c r="L3545">
        <v>2</v>
      </c>
      <c r="M3545" t="str">
        <f>"יח"</f>
        <v>יח</v>
      </c>
      <c r="N3545">
        <v>2</v>
      </c>
      <c r="O3545" t="str">
        <f>"יח"</f>
        <v>יח</v>
      </c>
      <c r="P3545">
        <v>334.51</v>
      </c>
      <c r="Q3545" t="str">
        <f>"$"</f>
        <v>$</v>
      </c>
      <c r="R3545" t="str">
        <f>"הזמנה"</f>
        <v>הזמנה</v>
      </c>
      <c r="S3545">
        <v>0</v>
      </c>
      <c r="T3545">
        <v>669.02</v>
      </c>
      <c r="U3545">
        <v>0</v>
      </c>
      <c r="V3545">
        <v>669.02</v>
      </c>
      <c r="W3545" t="str">
        <f>"$"</f>
        <v>$</v>
      </c>
      <c r="X3545">
        <v>0</v>
      </c>
      <c r="Y3545">
        <v>0</v>
      </c>
      <c r="Z3545">
        <v>0</v>
      </c>
      <c r="AA3545" t="str">
        <f>"Y"</f>
        <v>Y</v>
      </c>
      <c r="AB3545" t="str">
        <f>"SO20000201"</f>
        <v>SO20000201</v>
      </c>
      <c r="AC3545">
        <v>13</v>
      </c>
      <c r="AD3545" s="1">
        <v>43970</v>
      </c>
      <c r="AE3545" t="str">
        <f>"SH20001056"</f>
        <v>SH20001056</v>
      </c>
      <c r="AF3545" t="str">
        <f>"משלוחים ללקוח"</f>
        <v>משלוחים ללקוח</v>
      </c>
      <c r="AG3545" s="1">
        <v>44048</v>
      </c>
      <c r="AM3545" t="str">
        <f>"10"</f>
        <v>10</v>
      </c>
      <c r="AN3545" t="str">
        <f>"500000"</f>
        <v>500000</v>
      </c>
      <c r="AO3545" t="str">
        <f>"הכנסות  מלקוחות"</f>
        <v>הכנסות  מלקוחות</v>
      </c>
      <c r="AQ3545" t="str">
        <f>"034"</f>
        <v>034</v>
      </c>
      <c r="AR3545">
        <v>0</v>
      </c>
      <c r="AS3545">
        <v>0</v>
      </c>
      <c r="AT3545">
        <v>3.4039999999999999</v>
      </c>
      <c r="AX3545" t="str">
        <f>"E000311250"</f>
        <v>E000311250</v>
      </c>
      <c r="BD3545" t="str">
        <f>"ערן שלו"</f>
        <v>ערן שלו</v>
      </c>
    </row>
    <row r="3546" spans="1:56" x14ac:dyDescent="0.3">
      <c r="A3546" s="1">
        <v>44059</v>
      </c>
      <c r="B3546" t="str">
        <f>"SI206000816"</f>
        <v>SI206000816</v>
      </c>
      <c r="C3546" t="str">
        <f>"PR20000348"</f>
        <v>PR20000348</v>
      </c>
      <c r="E3546" t="str">
        <f>"Y"</f>
        <v>Y</v>
      </c>
      <c r="F3546" t="str">
        <f>"חשבוניות מרכזות"</f>
        <v>חשבוניות מרכזות</v>
      </c>
      <c r="G3546" t="str">
        <f>"700065"</f>
        <v>700065</v>
      </c>
      <c r="H3546" t="str">
        <f>"אלתא מערכות בע""מ"</f>
        <v>אלתא מערכות בע"מ</v>
      </c>
      <c r="I3546" t="str">
        <f>"10"</f>
        <v>10</v>
      </c>
      <c r="J3546" t="str">
        <f>"OP-AR01767"</f>
        <v>OP-AR01767</v>
      </c>
      <c r="K3546" t="str">
        <f>"1036U405-001 WP435 - MEB AZ/EL - ABS - ENCODER"</f>
        <v>1036U405-001 WP435 - MEB AZ/EL - ABS - ENCODER</v>
      </c>
      <c r="L3546">
        <v>2</v>
      </c>
      <c r="M3546" t="str">
        <f>"יח"</f>
        <v>יח</v>
      </c>
      <c r="N3546">
        <v>2</v>
      </c>
      <c r="O3546" t="str">
        <f>"יח"</f>
        <v>יח</v>
      </c>
      <c r="P3546">
        <v>526.25</v>
      </c>
      <c r="Q3546" t="str">
        <f>"$"</f>
        <v>$</v>
      </c>
      <c r="R3546" t="str">
        <f>"הזמנה"</f>
        <v>הזמנה</v>
      </c>
      <c r="S3546">
        <v>0</v>
      </c>
      <c r="T3546" s="2">
        <v>1052.5</v>
      </c>
      <c r="U3546">
        <v>0</v>
      </c>
      <c r="V3546" s="2">
        <v>1052.5</v>
      </c>
      <c r="W3546" t="str">
        <f>"$"</f>
        <v>$</v>
      </c>
      <c r="X3546">
        <v>0</v>
      </c>
      <c r="Y3546">
        <v>0</v>
      </c>
      <c r="Z3546">
        <v>0</v>
      </c>
      <c r="AA3546" t="str">
        <f>"Y"</f>
        <v>Y</v>
      </c>
      <c r="AB3546" t="str">
        <f>"SO20000201"</f>
        <v>SO20000201</v>
      </c>
      <c r="AC3546">
        <v>33</v>
      </c>
      <c r="AD3546" s="1">
        <v>43970</v>
      </c>
      <c r="AE3546" t="str">
        <f>"SH20001056"</f>
        <v>SH20001056</v>
      </c>
      <c r="AF3546" t="str">
        <f>"משלוחים ללקוח"</f>
        <v>משלוחים ללקוח</v>
      </c>
      <c r="AG3546" s="1">
        <v>44048</v>
      </c>
      <c r="AM3546" t="str">
        <f>"10"</f>
        <v>10</v>
      </c>
      <c r="AN3546" t="str">
        <f>"500000"</f>
        <v>500000</v>
      </c>
      <c r="AO3546" t="str">
        <f>"הכנסות  מלקוחות"</f>
        <v>הכנסות  מלקוחות</v>
      </c>
      <c r="AQ3546" t="str">
        <f>"034"</f>
        <v>034</v>
      </c>
      <c r="AR3546">
        <v>0</v>
      </c>
      <c r="AS3546">
        <v>0</v>
      </c>
      <c r="AT3546">
        <v>3.4039999999999999</v>
      </c>
      <c r="AX3546" t="str">
        <f>"E000311250"</f>
        <v>E000311250</v>
      </c>
      <c r="BD3546" t="str">
        <f>"ערן שלו"</f>
        <v>ערן שלו</v>
      </c>
    </row>
    <row r="3547" spans="1:56" x14ac:dyDescent="0.3">
      <c r="A3547" s="1">
        <v>44059</v>
      </c>
      <c r="B3547" t="str">
        <f>"SI206000816"</f>
        <v>SI206000816</v>
      </c>
      <c r="C3547" t="str">
        <f>"PR20000348"</f>
        <v>PR20000348</v>
      </c>
      <c r="E3547" t="str">
        <f>"Y"</f>
        <v>Y</v>
      </c>
      <c r="F3547" t="str">
        <f>"חשבוניות מרכזות"</f>
        <v>חשבוניות מרכזות</v>
      </c>
      <c r="G3547" t="str">
        <f>"700065"</f>
        <v>700065</v>
      </c>
      <c r="H3547" t="str">
        <f>"אלתא מערכות בע""מ"</f>
        <v>אלתא מערכות בע"מ</v>
      </c>
      <c r="I3547" t="str">
        <f>"10"</f>
        <v>10</v>
      </c>
      <c r="J3547" t="str">
        <f>"OP-AR01794"</f>
        <v>OP-AR01794</v>
      </c>
      <c r="K3547" t="str">
        <f>"1039V228-001 HARNESS W028 AUX BOX TO ANTENNA"</f>
        <v>1039V228-001 HARNESS W028 AUX BOX TO ANTENNA</v>
      </c>
      <c r="L3547">
        <v>2</v>
      </c>
      <c r="M3547" t="str">
        <f>"יח"</f>
        <v>יח</v>
      </c>
      <c r="N3547">
        <v>2</v>
      </c>
      <c r="O3547" t="str">
        <f>"יח"</f>
        <v>יח</v>
      </c>
      <c r="P3547">
        <v>578.03</v>
      </c>
      <c r="Q3547" t="str">
        <f>"$"</f>
        <v>$</v>
      </c>
      <c r="R3547" t="str">
        <f>"הזמנה"</f>
        <v>הזמנה</v>
      </c>
      <c r="S3547">
        <v>0</v>
      </c>
      <c r="T3547" s="2">
        <v>1156.06</v>
      </c>
      <c r="U3547">
        <v>0</v>
      </c>
      <c r="V3547" s="2">
        <v>1156.06</v>
      </c>
      <c r="W3547" t="str">
        <f>"$"</f>
        <v>$</v>
      </c>
      <c r="X3547">
        <v>0</v>
      </c>
      <c r="Y3547">
        <v>0</v>
      </c>
      <c r="Z3547">
        <v>0</v>
      </c>
      <c r="AA3547" t="str">
        <f>"Y"</f>
        <v>Y</v>
      </c>
      <c r="AB3547" t="str">
        <f>"SO20000201"</f>
        <v>SO20000201</v>
      </c>
      <c r="AC3547">
        <v>59</v>
      </c>
      <c r="AD3547" s="1">
        <v>43970</v>
      </c>
      <c r="AE3547" t="str">
        <f>"SH20001056"</f>
        <v>SH20001056</v>
      </c>
      <c r="AF3547" t="str">
        <f>"משלוחים ללקוח"</f>
        <v>משלוחים ללקוח</v>
      </c>
      <c r="AG3547" s="1">
        <v>44048</v>
      </c>
      <c r="AM3547" t="str">
        <f>"10"</f>
        <v>10</v>
      </c>
      <c r="AN3547" t="str">
        <f>"500000"</f>
        <v>500000</v>
      </c>
      <c r="AO3547" t="str">
        <f>"הכנסות  מלקוחות"</f>
        <v>הכנסות  מלקוחות</v>
      </c>
      <c r="AQ3547" t="str">
        <f>"034"</f>
        <v>034</v>
      </c>
      <c r="AR3547">
        <v>0</v>
      </c>
      <c r="AS3547">
        <v>0</v>
      </c>
      <c r="AT3547">
        <v>3.4039999999999999</v>
      </c>
      <c r="AX3547" t="str">
        <f>"E000311250"</f>
        <v>E000311250</v>
      </c>
      <c r="BD3547" t="str">
        <f>"ערן שלו"</f>
        <v>ערן שלו</v>
      </c>
    </row>
    <row r="3548" spans="1:56" x14ac:dyDescent="0.3">
      <c r="A3548" s="1">
        <v>44059</v>
      </c>
      <c r="B3548" t="str">
        <f>"SI206000815"</f>
        <v>SI206000815</v>
      </c>
      <c r="C3548" t="str">
        <f>"PR20000271"</f>
        <v>PR20000271</v>
      </c>
      <c r="D3548" t="str">
        <f>"PR20000271"</f>
        <v>PR20000271</v>
      </c>
      <c r="E3548" t="str">
        <f>"Y"</f>
        <v>Y</v>
      </c>
      <c r="F3548" t="str">
        <f>"חשבוניות מרכזות"</f>
        <v>חשבוניות מרכזות</v>
      </c>
      <c r="G3548" t="str">
        <f>"700065"</f>
        <v>700065</v>
      </c>
      <c r="H3548" t="str">
        <f>"אלתא מערכות בע""מ"</f>
        <v>אלתא מערכות בע"מ</v>
      </c>
      <c r="I3548" t="str">
        <f>"10"</f>
        <v>10</v>
      </c>
      <c r="J3548" t="str">
        <f>"OP-AR01720"</f>
        <v>OP-AR01720</v>
      </c>
      <c r="K3548" t="str">
        <f>"1038A179-001 WA179 CABLE ASSY"</f>
        <v>1038A179-001 WA179 CABLE ASSY</v>
      </c>
      <c r="L3548">
        <v>2</v>
      </c>
      <c r="M3548" t="str">
        <f>"יח"</f>
        <v>יח</v>
      </c>
      <c r="N3548">
        <v>2</v>
      </c>
      <c r="O3548" t="str">
        <f>"יח"</f>
        <v>יח</v>
      </c>
      <c r="P3548">
        <v>332.4</v>
      </c>
      <c r="Q3548" t="str">
        <f>"$"</f>
        <v>$</v>
      </c>
      <c r="R3548" t="str">
        <f>"הזמנה"</f>
        <v>הזמנה</v>
      </c>
      <c r="S3548">
        <v>0</v>
      </c>
      <c r="T3548">
        <v>664.8</v>
      </c>
      <c r="U3548">
        <v>0</v>
      </c>
      <c r="V3548">
        <v>664.8</v>
      </c>
      <c r="W3548" t="str">
        <f>"$"</f>
        <v>$</v>
      </c>
      <c r="X3548">
        <v>0</v>
      </c>
      <c r="Y3548">
        <v>0</v>
      </c>
      <c r="Z3548">
        <v>0</v>
      </c>
      <c r="AA3548" t="str">
        <f>"Y"</f>
        <v>Y</v>
      </c>
      <c r="AB3548" t="str">
        <f>"SO20000169"</f>
        <v>SO20000169</v>
      </c>
      <c r="AC3548">
        <v>1</v>
      </c>
      <c r="AD3548" s="1">
        <v>43948</v>
      </c>
      <c r="AE3548" t="str">
        <f>"SH20001058"</f>
        <v>SH20001058</v>
      </c>
      <c r="AF3548" t="str">
        <f>"משלוחים ללקוח"</f>
        <v>משלוחים ללקוח</v>
      </c>
      <c r="AG3548" s="1">
        <v>44048</v>
      </c>
      <c r="AM3548" t="str">
        <f>"10"</f>
        <v>10</v>
      </c>
      <c r="AN3548" t="str">
        <f>"500000"</f>
        <v>500000</v>
      </c>
      <c r="AO3548" t="str">
        <f>"הכנסות  מלקוחות"</f>
        <v>הכנסות  מלקוחות</v>
      </c>
      <c r="AQ3548" t="str">
        <f>"034"</f>
        <v>034</v>
      </c>
      <c r="AR3548">
        <v>0</v>
      </c>
      <c r="AS3548">
        <v>0</v>
      </c>
      <c r="AT3548">
        <v>3.4039999999999999</v>
      </c>
      <c r="AX3548" t="str">
        <f>"E000310450"</f>
        <v>E000310450</v>
      </c>
      <c r="BD3548" t="str">
        <f>"ערן שלו"</f>
        <v>ערן שלו</v>
      </c>
    </row>
    <row r="3549" spans="1:56" x14ac:dyDescent="0.3">
      <c r="A3549" s="1">
        <v>44059</v>
      </c>
      <c r="B3549" t="str">
        <f>"SI206000815"</f>
        <v>SI206000815</v>
      </c>
      <c r="C3549" t="str">
        <f>"PR20000271"</f>
        <v>PR20000271</v>
      </c>
      <c r="D3549" t="str">
        <f>"PR20000271"</f>
        <v>PR20000271</v>
      </c>
      <c r="E3549" t="str">
        <f>"Y"</f>
        <v>Y</v>
      </c>
      <c r="F3549" t="str">
        <f>"חשבוניות מרכזות"</f>
        <v>חשבוניות מרכזות</v>
      </c>
      <c r="G3549" t="str">
        <f>"700065"</f>
        <v>700065</v>
      </c>
      <c r="H3549" t="str">
        <f>"אלתא מערכות בע""מ"</f>
        <v>אלתא מערכות בע"מ</v>
      </c>
      <c r="I3549" t="str">
        <f>"10"</f>
        <v>10</v>
      </c>
      <c r="J3549" t="str">
        <f>"OP-AR01721"</f>
        <v>OP-AR01721</v>
      </c>
      <c r="K3549" t="str">
        <f>"1023B534-001 WV034 PWR - PDB2 TO CUG"</f>
        <v>1023B534-001 WV034 PWR - PDB2 TO CUG</v>
      </c>
      <c r="L3549">
        <v>1</v>
      </c>
      <c r="M3549" t="str">
        <f>"יח"</f>
        <v>יח</v>
      </c>
      <c r="N3549">
        <v>1</v>
      </c>
      <c r="O3549" t="str">
        <f>"יח"</f>
        <v>יח</v>
      </c>
      <c r="P3549">
        <v>409.79</v>
      </c>
      <c r="Q3549" t="str">
        <f>"$"</f>
        <v>$</v>
      </c>
      <c r="R3549" t="str">
        <f>"הזמנה"</f>
        <v>הזמנה</v>
      </c>
      <c r="S3549">
        <v>0</v>
      </c>
      <c r="T3549">
        <v>409.79</v>
      </c>
      <c r="U3549">
        <v>0</v>
      </c>
      <c r="V3549">
        <v>409.79</v>
      </c>
      <c r="W3549" t="str">
        <f>"$"</f>
        <v>$</v>
      </c>
      <c r="X3549">
        <v>0</v>
      </c>
      <c r="Y3549">
        <v>0</v>
      </c>
      <c r="Z3549">
        <v>0</v>
      </c>
      <c r="AA3549" t="str">
        <f>"Y"</f>
        <v>Y</v>
      </c>
      <c r="AB3549" t="str">
        <f>"SO20000169"</f>
        <v>SO20000169</v>
      </c>
      <c r="AC3549">
        <v>2</v>
      </c>
      <c r="AD3549" s="1">
        <v>43948</v>
      </c>
      <c r="AE3549" t="str">
        <f>"SH20001058"</f>
        <v>SH20001058</v>
      </c>
      <c r="AF3549" t="str">
        <f>"משלוחים ללקוח"</f>
        <v>משלוחים ללקוח</v>
      </c>
      <c r="AG3549" s="1">
        <v>44048</v>
      </c>
      <c r="AM3549" t="str">
        <f>"10"</f>
        <v>10</v>
      </c>
      <c r="AN3549" t="str">
        <f>"500000"</f>
        <v>500000</v>
      </c>
      <c r="AO3549" t="str">
        <f>"הכנסות  מלקוחות"</f>
        <v>הכנסות  מלקוחות</v>
      </c>
      <c r="AQ3549" t="str">
        <f>"034"</f>
        <v>034</v>
      </c>
      <c r="AR3549">
        <v>0</v>
      </c>
      <c r="AS3549">
        <v>0</v>
      </c>
      <c r="AT3549">
        <v>3.4039999999999999</v>
      </c>
      <c r="AX3549" t="str">
        <f>"E000310450"</f>
        <v>E000310450</v>
      </c>
      <c r="BD3549" t="str">
        <f>"ערן שלו"</f>
        <v>ערן שלו</v>
      </c>
    </row>
    <row r="3550" spans="1:56" x14ac:dyDescent="0.3">
      <c r="A3550" s="1">
        <v>44059</v>
      </c>
      <c r="B3550" t="str">
        <f>"SI206000814"</f>
        <v>SI206000814</v>
      </c>
      <c r="C3550" t="str">
        <f>"PR20000055"</f>
        <v>PR20000055</v>
      </c>
      <c r="E3550" t="str">
        <f>"Y"</f>
        <v>Y</v>
      </c>
      <c r="F3550" t="str">
        <f>"חשבוניות מרכזות"</f>
        <v>חשבוניות מרכזות</v>
      </c>
      <c r="G3550" t="str">
        <f>"700065"</f>
        <v>700065</v>
      </c>
      <c r="H3550" t="str">
        <f>"אלתא מערכות בע""מ"</f>
        <v>אלתא מערכות בע"מ</v>
      </c>
      <c r="I3550" t="str">
        <f>"10"</f>
        <v>10</v>
      </c>
      <c r="J3550" t="str">
        <f>"OP-AR01612"</f>
        <v>OP-AR01612</v>
      </c>
      <c r="K3550" t="str">
        <f>"1024R212-001 W2-MPC ETH MAINT. CABLE"</f>
        <v>1024R212-001 W2-MPC ETH MAINT. CABLE</v>
      </c>
      <c r="L3550">
        <v>2</v>
      </c>
      <c r="M3550" t="str">
        <f>"יח"</f>
        <v>יח</v>
      </c>
      <c r="N3550">
        <v>2</v>
      </c>
      <c r="O3550" t="str">
        <f>"יח"</f>
        <v>יח</v>
      </c>
      <c r="P3550" s="2">
        <v>1136.3499999999999</v>
      </c>
      <c r="Q3550" t="str">
        <f>"$"</f>
        <v>$</v>
      </c>
      <c r="R3550" t="str">
        <f>"הזמנה"</f>
        <v>הזמנה</v>
      </c>
      <c r="S3550">
        <v>0</v>
      </c>
      <c r="T3550" s="2">
        <v>2272.6999999999998</v>
      </c>
      <c r="U3550">
        <v>0</v>
      </c>
      <c r="V3550" s="2">
        <v>2272.6999999999998</v>
      </c>
      <c r="W3550" t="str">
        <f>"$"</f>
        <v>$</v>
      </c>
      <c r="X3550">
        <v>0</v>
      </c>
      <c r="Y3550">
        <v>0</v>
      </c>
      <c r="Z3550">
        <v>0</v>
      </c>
      <c r="AA3550" t="str">
        <f>"Y"</f>
        <v>Y</v>
      </c>
      <c r="AB3550" t="str">
        <f>"SO20000047"</f>
        <v>SO20000047</v>
      </c>
      <c r="AC3550">
        <v>1</v>
      </c>
      <c r="AD3550" s="1">
        <v>43864</v>
      </c>
      <c r="AE3550" t="str">
        <f>"SH20001057"</f>
        <v>SH20001057</v>
      </c>
      <c r="AF3550" t="str">
        <f>"משלוחים ללקוח"</f>
        <v>משלוחים ללקוח</v>
      </c>
      <c r="AG3550" s="1">
        <v>44048</v>
      </c>
      <c r="AM3550" t="str">
        <f>"10"</f>
        <v>10</v>
      </c>
      <c r="AN3550" t="str">
        <f>"500000"</f>
        <v>500000</v>
      </c>
      <c r="AO3550" t="str">
        <f>"הכנסות  מלקוחות"</f>
        <v>הכנסות  מלקוחות</v>
      </c>
      <c r="AQ3550" t="str">
        <f>"034"</f>
        <v>034</v>
      </c>
      <c r="AR3550">
        <v>0</v>
      </c>
      <c r="AS3550">
        <v>0</v>
      </c>
      <c r="AT3550">
        <v>3.4039999999999999</v>
      </c>
      <c r="AX3550" t="str">
        <f>"E000304282"</f>
        <v>E000304282</v>
      </c>
      <c r="BD3550" t="str">
        <f>"ערן שלו"</f>
        <v>ערן שלו</v>
      </c>
    </row>
    <row r="3551" spans="1:56" x14ac:dyDescent="0.3">
      <c r="A3551" s="1">
        <v>44052</v>
      </c>
      <c r="B3551" t="str">
        <f>"SI206000787"</f>
        <v>SI206000787</v>
      </c>
      <c r="E3551" t="str">
        <f>"Y"</f>
        <v>Y</v>
      </c>
      <c r="F3551" t="str">
        <f>"חשבוניות מרכזות"</f>
        <v>חשבוניות מרכזות</v>
      </c>
      <c r="G3551" t="str">
        <f>"700065"</f>
        <v>700065</v>
      </c>
      <c r="H3551" t="str">
        <f>"אלתא מערכות בע""מ"</f>
        <v>אלתא מערכות בע"מ</v>
      </c>
      <c r="I3551" t="str">
        <f>"10"</f>
        <v>10</v>
      </c>
      <c r="J3551" t="str">
        <f>"OP-AR01615"</f>
        <v>OP-AR01615</v>
      </c>
      <c r="K3551" t="str">
        <f>"NRE FOR E000304282"</f>
        <v>NRE FOR E000304282</v>
      </c>
      <c r="L3551">
        <v>1</v>
      </c>
      <c r="M3551" t="str">
        <f>"יח"</f>
        <v>יח</v>
      </c>
      <c r="N3551">
        <v>1</v>
      </c>
      <c r="O3551" t="str">
        <f>"יח"</f>
        <v>יח</v>
      </c>
      <c r="P3551">
        <v>452</v>
      </c>
      <c r="Q3551" t="str">
        <f>"$"</f>
        <v>$</v>
      </c>
      <c r="R3551" t="str">
        <f>"הזמנה"</f>
        <v>הזמנה</v>
      </c>
      <c r="S3551">
        <v>0</v>
      </c>
      <c r="T3551">
        <v>452</v>
      </c>
      <c r="U3551">
        <v>0</v>
      </c>
      <c r="V3551">
        <v>452</v>
      </c>
      <c r="W3551" t="str">
        <f>"$"</f>
        <v>$</v>
      </c>
      <c r="X3551">
        <v>0</v>
      </c>
      <c r="Y3551">
        <v>0</v>
      </c>
      <c r="Z3551">
        <v>0</v>
      </c>
      <c r="AA3551" t="str">
        <f>"Y"</f>
        <v>Y</v>
      </c>
      <c r="AB3551" t="str">
        <f>"SO20000047"</f>
        <v>SO20000047</v>
      </c>
      <c r="AC3551">
        <v>4</v>
      </c>
      <c r="AD3551" s="1">
        <v>43864</v>
      </c>
      <c r="AM3551" t="str">
        <f>"10"</f>
        <v>10</v>
      </c>
      <c r="AN3551" t="str">
        <f>"500000"</f>
        <v>500000</v>
      </c>
      <c r="AO3551" t="str">
        <f>"הכנסות  מלקוחות"</f>
        <v>הכנסות  מלקוחות</v>
      </c>
      <c r="AQ3551" t="str">
        <f>"034"</f>
        <v>034</v>
      </c>
      <c r="AR3551">
        <v>0</v>
      </c>
      <c r="AS3551">
        <v>0</v>
      </c>
      <c r="AT3551">
        <v>3.4089999999999998</v>
      </c>
      <c r="AX3551" t="str">
        <f>"E000304282"</f>
        <v>E000304282</v>
      </c>
      <c r="BD3551" t="str">
        <f>"ערן שלו"</f>
        <v>ערן שלו</v>
      </c>
    </row>
    <row r="3552" spans="1:56" x14ac:dyDescent="0.3">
      <c r="A3552" s="1">
        <v>44046</v>
      </c>
      <c r="B3552" t="str">
        <f>"SI206000762"</f>
        <v>SI206000762</v>
      </c>
      <c r="C3552" t="str">
        <f>"PR19000454"</f>
        <v>PR19000454</v>
      </c>
      <c r="D3552" t="str">
        <f>"PR19000454"</f>
        <v>PR19000454</v>
      </c>
      <c r="E3552" t="str">
        <f>"Y"</f>
        <v>Y</v>
      </c>
      <c r="F3552" t="str">
        <f>"חשבוניות מרכזות"</f>
        <v>חשבוניות מרכזות</v>
      </c>
      <c r="G3552" t="str">
        <f>"700065"</f>
        <v>700065</v>
      </c>
      <c r="H3552" t="str">
        <f>"אלתא מערכות בע""מ"</f>
        <v>אלתא מערכות בע"מ</v>
      </c>
      <c r="I3552" t="str">
        <f>"10"</f>
        <v>10</v>
      </c>
      <c r="J3552" t="str">
        <f>"000"</f>
        <v>000</v>
      </c>
      <c r="K3552" t="str">
        <f>"ביטול קנס שקוזז 1.4.20 לחשבונית מס SI196001438"</f>
        <v>ביטול קנס שקוזז 1.4.20 לחשבונית מס SI196001438</v>
      </c>
      <c r="L3552">
        <v>1</v>
      </c>
      <c r="M3552" t="str">
        <f>"יח"</f>
        <v>יח</v>
      </c>
      <c r="N3552">
        <v>1</v>
      </c>
      <c r="O3552" t="str">
        <f>"יח"</f>
        <v>יח</v>
      </c>
      <c r="P3552">
        <v>76.48</v>
      </c>
      <c r="Q3552" t="str">
        <f>"$"</f>
        <v>$</v>
      </c>
      <c r="R3552" t="str">
        <f>"הזמנה"</f>
        <v>הזמנה</v>
      </c>
      <c r="S3552">
        <v>0</v>
      </c>
      <c r="T3552">
        <v>76.48</v>
      </c>
      <c r="U3552">
        <v>0</v>
      </c>
      <c r="V3552">
        <v>76.48</v>
      </c>
      <c r="W3552" t="str">
        <f>"$"</f>
        <v>$</v>
      </c>
      <c r="X3552">
        <v>0</v>
      </c>
      <c r="Y3552">
        <v>0</v>
      </c>
      <c r="Z3552">
        <v>0</v>
      </c>
      <c r="AA3552" t="str">
        <f>"Y"</f>
        <v>Y</v>
      </c>
      <c r="AB3552" t="str">
        <f>"SO19000516"</f>
        <v>SO19000516</v>
      </c>
      <c r="AC3552">
        <v>15</v>
      </c>
      <c r="AD3552" s="1">
        <v>43808</v>
      </c>
      <c r="AM3552" t="str">
        <f>"10"</f>
        <v>10</v>
      </c>
      <c r="AN3552" t="str">
        <f>"500000"</f>
        <v>500000</v>
      </c>
      <c r="AO3552" t="str">
        <f>"הכנסות  מלקוחות"</f>
        <v>הכנסות  מלקוחות</v>
      </c>
      <c r="AQ3552" t="str">
        <f>"034"</f>
        <v>034</v>
      </c>
      <c r="AR3552">
        <v>0</v>
      </c>
      <c r="AS3552">
        <v>0</v>
      </c>
      <c r="AT3552">
        <v>3.468</v>
      </c>
      <c r="AX3552" t="str">
        <f>"E000295397"</f>
        <v>E000295397</v>
      </c>
      <c r="BD3552" t="str">
        <f>"ערן שלו"</f>
        <v>ערן שלו</v>
      </c>
    </row>
    <row r="3553" spans="1:56" x14ac:dyDescent="0.3">
      <c r="A3553" s="1">
        <v>44041</v>
      </c>
      <c r="B3553" t="str">
        <f>"SI206000754"</f>
        <v>SI206000754</v>
      </c>
      <c r="C3553" t="str">
        <f>"PR20000216"</f>
        <v>PR20000216</v>
      </c>
      <c r="D3553" t="str">
        <f>"PR20000216"</f>
        <v>PR20000216</v>
      </c>
      <c r="E3553" t="str">
        <f>"Y"</f>
        <v>Y</v>
      </c>
      <c r="F3553" t="str">
        <f>"חשבוניות מרכזות"</f>
        <v>חשבוניות מרכזות</v>
      </c>
      <c r="G3553" t="str">
        <f>"700065"</f>
        <v>700065</v>
      </c>
      <c r="H3553" t="str">
        <f>"אלתא מערכות בע""מ"</f>
        <v>אלתא מערכות בע"מ</v>
      </c>
      <c r="I3553" t="str">
        <f>"10"</f>
        <v>10</v>
      </c>
      <c r="J3553" t="str">
        <f>"OP-AR01715"</f>
        <v>OP-AR01715</v>
      </c>
      <c r="K3553" t="str">
        <f>"1032M387-002 PC4 CABLE- REWORK"</f>
        <v>1032M387-002 PC4 CABLE- REWORK</v>
      </c>
      <c r="L3553">
        <v>1</v>
      </c>
      <c r="M3553" t="str">
        <f>"יח"</f>
        <v>יח</v>
      </c>
      <c r="N3553">
        <v>1</v>
      </c>
      <c r="O3553" t="str">
        <f>"יח"</f>
        <v>יח</v>
      </c>
      <c r="P3553">
        <v>368.51</v>
      </c>
      <c r="Q3553" t="str">
        <f>"$"</f>
        <v>$</v>
      </c>
      <c r="R3553" t="str">
        <f>"הזמנה"</f>
        <v>הזמנה</v>
      </c>
      <c r="S3553">
        <v>0</v>
      </c>
      <c r="T3553">
        <v>368.51</v>
      </c>
      <c r="U3553">
        <v>0</v>
      </c>
      <c r="V3553">
        <v>368.51</v>
      </c>
      <c r="W3553" t="str">
        <f>"$"</f>
        <v>$</v>
      </c>
      <c r="X3553">
        <v>0</v>
      </c>
      <c r="Y3553">
        <v>0</v>
      </c>
      <c r="Z3553">
        <v>0</v>
      </c>
      <c r="AA3553" t="str">
        <f>"Y"</f>
        <v>Y</v>
      </c>
      <c r="AB3553" t="str">
        <f>"SO20000145"</f>
        <v>SO20000145</v>
      </c>
      <c r="AC3553">
        <v>1</v>
      </c>
      <c r="AD3553" s="1">
        <v>43940</v>
      </c>
      <c r="AE3553" t="str">
        <f>"SH20000998"</f>
        <v>SH20000998</v>
      </c>
      <c r="AF3553" t="str">
        <f>"משלוחים ללקוח"</f>
        <v>משלוחים ללקוח</v>
      </c>
      <c r="AG3553" s="1">
        <v>44040</v>
      </c>
      <c r="AM3553" t="str">
        <f>"10"</f>
        <v>10</v>
      </c>
      <c r="AN3553" t="str">
        <f>"500000"</f>
        <v>500000</v>
      </c>
      <c r="AO3553" t="str">
        <f>"הכנסות  מלקוחות"</f>
        <v>הכנסות  מלקוחות</v>
      </c>
      <c r="AQ3553" t="str">
        <f>"034"</f>
        <v>034</v>
      </c>
      <c r="AR3553">
        <v>0</v>
      </c>
      <c r="AS3553">
        <v>0</v>
      </c>
      <c r="AT3553">
        <v>3.415</v>
      </c>
      <c r="AX3553" t="str">
        <f>"E000310245"</f>
        <v>E000310245</v>
      </c>
      <c r="BD3553" t="str">
        <f>"ערן שלו"</f>
        <v>ערן שלו</v>
      </c>
    </row>
    <row r="3554" spans="1:56" x14ac:dyDescent="0.3">
      <c r="A3554" s="1">
        <v>44041</v>
      </c>
      <c r="B3554" t="str">
        <f>"SI206000753"</f>
        <v>SI206000753</v>
      </c>
      <c r="C3554" t="str">
        <f>"PR20000439"</f>
        <v>PR20000439</v>
      </c>
      <c r="E3554" t="str">
        <f>"Y"</f>
        <v>Y</v>
      </c>
      <c r="F3554" t="str">
        <f>"חשבוניות מרכזות"</f>
        <v>חשבוניות מרכזות</v>
      </c>
      <c r="G3554" t="str">
        <f>"700065"</f>
        <v>700065</v>
      </c>
      <c r="H3554" t="str">
        <f>"אלתא מערכות בע""מ"</f>
        <v>אלתא מערכות בע"מ</v>
      </c>
      <c r="I3554" t="str">
        <f>"05"</f>
        <v>05</v>
      </c>
      <c r="J3554" t="str">
        <f>"OP-PD03364"</f>
        <v>OP-PD03364</v>
      </c>
      <c r="K3554" t="str">
        <f>"לוח אינטגרצייה ABDS"</f>
        <v>לוח אינטגרצייה ABDS</v>
      </c>
      <c r="L3554">
        <v>1</v>
      </c>
      <c r="M3554" t="str">
        <f>"יח"</f>
        <v>יח</v>
      </c>
      <c r="N3554">
        <v>1</v>
      </c>
      <c r="O3554" t="str">
        <f>"יח"</f>
        <v>יח</v>
      </c>
      <c r="P3554" s="2">
        <v>15666.178599999999</v>
      </c>
      <c r="Q3554" t="str">
        <f>"$"</f>
        <v>$</v>
      </c>
      <c r="R3554" t="str">
        <f>"הזמנה"</f>
        <v>הזמנה</v>
      </c>
      <c r="S3554">
        <v>0</v>
      </c>
      <c r="T3554" s="2">
        <v>15666.18</v>
      </c>
      <c r="U3554">
        <v>0</v>
      </c>
      <c r="V3554" s="2">
        <v>15666.18</v>
      </c>
      <c r="W3554" t="str">
        <f>"$"</f>
        <v>$</v>
      </c>
      <c r="X3554">
        <v>0</v>
      </c>
      <c r="Y3554">
        <v>0</v>
      </c>
      <c r="Z3554">
        <v>0</v>
      </c>
      <c r="AA3554" t="str">
        <f>"Y"</f>
        <v>Y</v>
      </c>
      <c r="AB3554" t="str">
        <f>"SO20000254"</f>
        <v>SO20000254</v>
      </c>
      <c r="AC3554">
        <v>1</v>
      </c>
      <c r="AD3554" s="1">
        <v>43998</v>
      </c>
      <c r="AE3554" t="str">
        <f>"SH20000857"</f>
        <v>SH20000857</v>
      </c>
      <c r="AF3554" t="str">
        <f>"משלוחים ללקוח"</f>
        <v>משלוחים ללקוח</v>
      </c>
      <c r="AG3554" s="1">
        <v>44012</v>
      </c>
      <c r="AM3554" t="str">
        <f>"10"</f>
        <v>10</v>
      </c>
      <c r="AN3554" t="str">
        <f>"500000"</f>
        <v>500000</v>
      </c>
      <c r="AO3554" t="str">
        <f>"הכנסות  מלקוחות"</f>
        <v>הכנסות  מלקוחות</v>
      </c>
      <c r="AQ3554" t="str">
        <f>"034"</f>
        <v>034</v>
      </c>
      <c r="AR3554">
        <v>0</v>
      </c>
      <c r="AS3554">
        <v>0</v>
      </c>
      <c r="AT3554">
        <v>3.415</v>
      </c>
      <c r="AX3554" t="str">
        <f>"E000314861"</f>
        <v>E000314861</v>
      </c>
      <c r="BD3554" t="str">
        <f>"ערן שלו"</f>
        <v>ערן שלו</v>
      </c>
    </row>
    <row r="3555" spans="1:56" x14ac:dyDescent="0.3">
      <c r="A3555" s="1">
        <v>44041</v>
      </c>
      <c r="B3555" t="str">
        <f>"SI206000752"</f>
        <v>SI206000752</v>
      </c>
      <c r="C3555" t="str">
        <f>"PR18000543"</f>
        <v>PR18000543</v>
      </c>
      <c r="D3555" t="str">
        <f>"PR18000543"</f>
        <v>PR18000543</v>
      </c>
      <c r="E3555" t="str">
        <f>"Y"</f>
        <v>Y</v>
      </c>
      <c r="F3555" t="str">
        <f>"חשבוניות מרכזות"</f>
        <v>חשבוניות מרכזות</v>
      </c>
      <c r="G3555" t="str">
        <f>"700065"</f>
        <v>700065</v>
      </c>
      <c r="H3555" t="str">
        <f>"אלתא מערכות בע""מ"</f>
        <v>אלתא מערכות בע"מ</v>
      </c>
      <c r="I3555" t="str">
        <f>"10"</f>
        <v>10</v>
      </c>
      <c r="J3555" t="str">
        <f>"OP-AR01083"</f>
        <v>OP-AR01083</v>
      </c>
      <c r="K3555" t="str">
        <f>"1036C960-001 HVJB_N"</f>
        <v>1036C960-001 HVJB_N</v>
      </c>
      <c r="L3555">
        <v>1</v>
      </c>
      <c r="M3555" t="str">
        <f>"יח"</f>
        <v>יח</v>
      </c>
      <c r="N3555">
        <v>1</v>
      </c>
      <c r="O3555" t="str">
        <f>"יח"</f>
        <v>יח</v>
      </c>
      <c r="P3555" s="2">
        <v>6500</v>
      </c>
      <c r="Q3555" t="str">
        <f>"$"</f>
        <v>$</v>
      </c>
      <c r="R3555" t="str">
        <f>"הזמנה"</f>
        <v>הזמנה</v>
      </c>
      <c r="S3555">
        <v>0</v>
      </c>
      <c r="T3555" s="2">
        <v>6500</v>
      </c>
      <c r="U3555">
        <v>0</v>
      </c>
      <c r="V3555" s="2">
        <v>6500</v>
      </c>
      <c r="W3555" t="str">
        <f>"$"</f>
        <v>$</v>
      </c>
      <c r="X3555">
        <v>0</v>
      </c>
      <c r="Y3555">
        <v>0</v>
      </c>
      <c r="Z3555">
        <v>0</v>
      </c>
      <c r="AA3555" t="str">
        <f>"Y"</f>
        <v>Y</v>
      </c>
      <c r="AB3555" t="str">
        <f>"SO18000429"</f>
        <v>SO18000429</v>
      </c>
      <c r="AC3555">
        <v>12</v>
      </c>
      <c r="AD3555" s="1">
        <v>43311</v>
      </c>
      <c r="AE3555" t="str">
        <f>"SH20000992"</f>
        <v>SH20000992</v>
      </c>
      <c r="AF3555" t="str">
        <f>"משלוחים ללקוח"</f>
        <v>משלוחים ללקוח</v>
      </c>
      <c r="AG3555" s="1">
        <v>44040</v>
      </c>
      <c r="AM3555" t="str">
        <f>"10"</f>
        <v>10</v>
      </c>
      <c r="AN3555" t="str">
        <f>"500000"</f>
        <v>500000</v>
      </c>
      <c r="AO3555" t="str">
        <f>"הכנסות  מלקוחות"</f>
        <v>הכנסות  מלקוחות</v>
      </c>
      <c r="AQ3555" t="str">
        <f>"007"</f>
        <v>007</v>
      </c>
      <c r="AR3555">
        <v>0</v>
      </c>
      <c r="AS3555">
        <v>0</v>
      </c>
      <c r="AT3555">
        <v>3.415</v>
      </c>
      <c r="AX3555" t="str">
        <f>"E000266439"</f>
        <v>E000266439</v>
      </c>
      <c r="BD3555" t="str">
        <f>"רוני דידי"</f>
        <v>רוני דידי</v>
      </c>
    </row>
    <row r="3556" spans="1:56" x14ac:dyDescent="0.3">
      <c r="A3556" s="1">
        <v>44041</v>
      </c>
      <c r="B3556" t="str">
        <f>"SI206000752"</f>
        <v>SI206000752</v>
      </c>
      <c r="C3556" t="str">
        <f>"PR18000543"</f>
        <v>PR18000543</v>
      </c>
      <c r="D3556" t="str">
        <f>"PR18000543"</f>
        <v>PR18000543</v>
      </c>
      <c r="E3556" t="str">
        <f>"Y"</f>
        <v>Y</v>
      </c>
      <c r="F3556" t="str">
        <f>"חשבוניות מרכזות"</f>
        <v>חשבוניות מרכזות</v>
      </c>
      <c r="G3556" t="str">
        <f>"700065"</f>
        <v>700065</v>
      </c>
      <c r="H3556" t="str">
        <f>"אלתא מערכות בע""מ"</f>
        <v>אלתא מערכות בע"מ</v>
      </c>
      <c r="I3556" t="str">
        <f>"10"</f>
        <v>10</v>
      </c>
      <c r="J3556" t="str">
        <f>"OP-AR01083"</f>
        <v>OP-AR01083</v>
      </c>
      <c r="K3556" t="str">
        <f>"1036C960-001 HVJB_N"</f>
        <v>1036C960-001 HVJB_N</v>
      </c>
      <c r="L3556">
        <v>1</v>
      </c>
      <c r="M3556" t="str">
        <f>"יח"</f>
        <v>יח</v>
      </c>
      <c r="N3556">
        <v>1</v>
      </c>
      <c r="O3556" t="str">
        <f>"יח"</f>
        <v>יח</v>
      </c>
      <c r="P3556" s="2">
        <v>6500</v>
      </c>
      <c r="Q3556" t="str">
        <f>"$"</f>
        <v>$</v>
      </c>
      <c r="R3556" t="str">
        <f>"הזמנה"</f>
        <v>הזמנה</v>
      </c>
      <c r="S3556">
        <v>0</v>
      </c>
      <c r="T3556" s="2">
        <v>6500</v>
      </c>
      <c r="U3556">
        <v>0</v>
      </c>
      <c r="V3556" s="2">
        <v>6500</v>
      </c>
      <c r="W3556" t="str">
        <f>"$"</f>
        <v>$</v>
      </c>
      <c r="X3556">
        <v>0</v>
      </c>
      <c r="Y3556">
        <v>0</v>
      </c>
      <c r="Z3556">
        <v>0</v>
      </c>
      <c r="AA3556" t="str">
        <f>"Y"</f>
        <v>Y</v>
      </c>
      <c r="AB3556" t="str">
        <f>"SO18000429"</f>
        <v>SO18000429</v>
      </c>
      <c r="AC3556">
        <v>12</v>
      </c>
      <c r="AD3556" s="1">
        <v>43311</v>
      </c>
      <c r="AE3556" t="str">
        <f>"SH20000992"</f>
        <v>SH20000992</v>
      </c>
      <c r="AF3556" t="str">
        <f>"משלוחים ללקוח"</f>
        <v>משלוחים ללקוח</v>
      </c>
      <c r="AG3556" s="1">
        <v>44040</v>
      </c>
      <c r="AM3556" t="str">
        <f>"10"</f>
        <v>10</v>
      </c>
      <c r="AN3556" t="str">
        <f>"500000"</f>
        <v>500000</v>
      </c>
      <c r="AO3556" t="str">
        <f>"הכנסות  מלקוחות"</f>
        <v>הכנסות  מלקוחות</v>
      </c>
      <c r="AQ3556" t="str">
        <f>"007"</f>
        <v>007</v>
      </c>
      <c r="AR3556">
        <v>0</v>
      </c>
      <c r="AS3556">
        <v>0</v>
      </c>
      <c r="AT3556">
        <v>3.415</v>
      </c>
      <c r="AX3556" t="str">
        <f>"E000266439"</f>
        <v>E000266439</v>
      </c>
      <c r="BD3556" t="str">
        <f>"רוני דידי"</f>
        <v>רוני דידי</v>
      </c>
    </row>
    <row r="3557" spans="1:56" x14ac:dyDescent="0.3">
      <c r="A3557" s="1">
        <v>44041</v>
      </c>
      <c r="B3557" t="str">
        <f>"SI206000751"</f>
        <v>SI206000751</v>
      </c>
      <c r="C3557" t="str">
        <f>"PR20000198"</f>
        <v>PR20000198</v>
      </c>
      <c r="E3557" t="str">
        <f>"Y"</f>
        <v>Y</v>
      </c>
      <c r="F3557" t="str">
        <f>"חשבוניות מרכזות"</f>
        <v>חשבוניות מרכזות</v>
      </c>
      <c r="G3557" t="str">
        <f>"700065"</f>
        <v>700065</v>
      </c>
      <c r="H3557" t="str">
        <f>"אלתא מערכות בע""מ"</f>
        <v>אלתא מערכות בע"מ</v>
      </c>
      <c r="I3557" t="str">
        <f>"10"</f>
        <v>10</v>
      </c>
      <c r="J3557" t="str">
        <f>"OP-AR01693"</f>
        <v>OP-AR01693</v>
      </c>
      <c r="K3557" t="str">
        <f>"1032F915-001 HARNESS W915 - A1-ACM TO HVPS SWITC"</f>
        <v>1032F915-001 HARNESS W915 - A1-ACM TO HVPS SWITC</v>
      </c>
      <c r="L3557">
        <v>4</v>
      </c>
      <c r="M3557" t="str">
        <f>"יח"</f>
        <v>יח</v>
      </c>
      <c r="N3557">
        <v>4</v>
      </c>
      <c r="O3557" t="str">
        <f>"יח"</f>
        <v>יח</v>
      </c>
      <c r="P3557">
        <v>704.52</v>
      </c>
      <c r="Q3557" t="str">
        <f>"$"</f>
        <v>$</v>
      </c>
      <c r="R3557" t="str">
        <f>"הזמנה"</f>
        <v>הזמנה</v>
      </c>
      <c r="S3557">
        <v>0</v>
      </c>
      <c r="T3557" s="2">
        <v>2818.08</v>
      </c>
      <c r="U3557">
        <v>0</v>
      </c>
      <c r="V3557" s="2">
        <v>2818.08</v>
      </c>
      <c r="W3557" t="str">
        <f>"$"</f>
        <v>$</v>
      </c>
      <c r="X3557">
        <v>0</v>
      </c>
      <c r="Y3557">
        <v>0</v>
      </c>
      <c r="Z3557">
        <v>0</v>
      </c>
      <c r="AA3557" t="str">
        <f>"Y"</f>
        <v>Y</v>
      </c>
      <c r="AB3557" t="str">
        <f>"SO20000128"</f>
        <v>SO20000128</v>
      </c>
      <c r="AC3557">
        <v>1</v>
      </c>
      <c r="AD3557" s="1">
        <v>43923</v>
      </c>
      <c r="AE3557" t="str">
        <f>"SH20000984"</f>
        <v>SH20000984</v>
      </c>
      <c r="AF3557" t="str">
        <f>"משלוחים ללקוח"</f>
        <v>משלוחים ללקוח</v>
      </c>
      <c r="AG3557" s="1">
        <v>44038</v>
      </c>
      <c r="AM3557" t="str">
        <f>"10"</f>
        <v>10</v>
      </c>
      <c r="AN3557" t="str">
        <f>"500000"</f>
        <v>500000</v>
      </c>
      <c r="AO3557" t="str">
        <f>"הכנסות  מלקוחות"</f>
        <v>הכנסות  מלקוחות</v>
      </c>
      <c r="AQ3557" t="str">
        <f>"034"</f>
        <v>034</v>
      </c>
      <c r="AR3557">
        <v>0</v>
      </c>
      <c r="AS3557">
        <v>0</v>
      </c>
      <c r="AT3557">
        <v>3.415</v>
      </c>
      <c r="AX3557" t="str">
        <f>"E000309541"</f>
        <v>E000309541</v>
      </c>
      <c r="BD3557" t="str">
        <f>"ערן שלו"</f>
        <v>ערן שלו</v>
      </c>
    </row>
    <row r="3558" spans="1:56" x14ac:dyDescent="0.3">
      <c r="A3558" s="1">
        <v>44041</v>
      </c>
      <c r="B3558" t="str">
        <f>"SI206000749"</f>
        <v>SI206000749</v>
      </c>
      <c r="E3558" t="str">
        <f>"Y"</f>
        <v>Y</v>
      </c>
      <c r="F3558" t="str">
        <f>"חשבוניות מרכזות"</f>
        <v>חשבוניות מרכזות</v>
      </c>
      <c r="G3558" t="str">
        <f>"700065"</f>
        <v>700065</v>
      </c>
      <c r="H3558" t="str">
        <f>"אלתא מערכות בע""מ"</f>
        <v>אלתא מערכות בע"מ</v>
      </c>
      <c r="I3558" t="str">
        <f>"10"</f>
        <v>10</v>
      </c>
      <c r="J3558" t="str">
        <f>"000"</f>
        <v>000</v>
      </c>
      <c r="K3558" t="str">
        <f>"ניסויים PDU יחידת"</f>
        <v>ניסויים PDU יחידת</v>
      </c>
      <c r="L3558">
        <v>1</v>
      </c>
      <c r="M3558" t="str">
        <f>"יח"</f>
        <v>יח</v>
      </c>
      <c r="N3558">
        <v>1</v>
      </c>
      <c r="O3558" t="str">
        <f>"יח"</f>
        <v>יח</v>
      </c>
      <c r="P3558" s="2">
        <v>19245</v>
      </c>
      <c r="Q3558" t="str">
        <f>"$"</f>
        <v>$</v>
      </c>
      <c r="R3558" t="str">
        <f>"הזמנה"</f>
        <v>הזמנה</v>
      </c>
      <c r="S3558">
        <v>0</v>
      </c>
      <c r="T3558" s="2">
        <v>19245</v>
      </c>
      <c r="U3558">
        <v>0</v>
      </c>
      <c r="V3558" s="2">
        <v>19245</v>
      </c>
      <c r="W3558" t="str">
        <f>"$"</f>
        <v>$</v>
      </c>
      <c r="X3558">
        <v>0</v>
      </c>
      <c r="Y3558">
        <v>0</v>
      </c>
      <c r="Z3558">
        <v>0</v>
      </c>
      <c r="AA3558" t="str">
        <f>"Y"</f>
        <v>Y</v>
      </c>
      <c r="AB3558" t="str">
        <f>"SO19000305"</f>
        <v>SO19000305</v>
      </c>
      <c r="AC3558">
        <v>2</v>
      </c>
      <c r="AD3558" s="1">
        <v>43657</v>
      </c>
      <c r="AM3558" t="str">
        <f>"10"</f>
        <v>10</v>
      </c>
      <c r="AN3558" t="str">
        <f>"500000"</f>
        <v>500000</v>
      </c>
      <c r="AO3558" t="str">
        <f>"הכנסות  מלקוחות"</f>
        <v>הכנסות  מלקוחות</v>
      </c>
      <c r="AQ3558" t="str">
        <f>"034"</f>
        <v>034</v>
      </c>
      <c r="AR3558">
        <v>0</v>
      </c>
      <c r="AS3558">
        <v>0</v>
      </c>
      <c r="AT3558">
        <v>3.415</v>
      </c>
      <c r="AX3558" t="str">
        <f>"E000290708"</f>
        <v>E000290708</v>
      </c>
      <c r="BD3558" t="str">
        <f>"ערן שלו"</f>
        <v>ערן שלו</v>
      </c>
    </row>
    <row r="3559" spans="1:56" x14ac:dyDescent="0.3">
      <c r="A3559" s="1">
        <v>44040</v>
      </c>
      <c r="B3559" t="str">
        <f>"SI206000755"</f>
        <v>SI206000755</v>
      </c>
      <c r="C3559" t="str">
        <f>"PR18000822"</f>
        <v>PR18000822</v>
      </c>
      <c r="E3559" t="str">
        <f>"Y"</f>
        <v>Y</v>
      </c>
      <c r="F3559" t="str">
        <f>"חשבוניות מרכזות"</f>
        <v>חשבוניות מרכזות</v>
      </c>
      <c r="G3559" t="str">
        <f>"700065"</f>
        <v>700065</v>
      </c>
      <c r="H3559" t="str">
        <f>"אלתא מערכות בע""מ"</f>
        <v>אלתא מערכות בע"מ</v>
      </c>
      <c r="I3559" t="str">
        <f>"10"</f>
        <v>10</v>
      </c>
      <c r="J3559" t="str">
        <f>"OP-AR12324"</f>
        <v>OP-AR12324</v>
      </c>
      <c r="K3559" t="str">
        <f>"לוח חלוקה DC PDB מק""ט לקוח 1025A690-001"</f>
        <v>לוח חלוקה DC PDB מק"ט לקוח 1025A690-001</v>
      </c>
      <c r="L3559">
        <v>-1</v>
      </c>
      <c r="M3559" t="str">
        <f>"יח"</f>
        <v>יח</v>
      </c>
      <c r="N3559">
        <v>-1</v>
      </c>
      <c r="O3559" t="str">
        <f>"יח"</f>
        <v>יח</v>
      </c>
      <c r="P3559" s="2">
        <v>101947</v>
      </c>
      <c r="Q3559" t="str">
        <f>"$"</f>
        <v>$</v>
      </c>
      <c r="R3559" t="str">
        <f>"הזמנה"</f>
        <v>הזמנה</v>
      </c>
      <c r="S3559">
        <v>3</v>
      </c>
      <c r="T3559" s="2">
        <v>-98888.59</v>
      </c>
      <c r="U3559">
        <v>0</v>
      </c>
      <c r="V3559" s="2">
        <v>-98888.59</v>
      </c>
      <c r="W3559" t="str">
        <f>"$"</f>
        <v>$</v>
      </c>
      <c r="X3559">
        <v>0</v>
      </c>
      <c r="Y3559">
        <v>0</v>
      </c>
      <c r="Z3559">
        <v>0</v>
      </c>
      <c r="AA3559" t="str">
        <f>"Y"</f>
        <v>Y</v>
      </c>
      <c r="AC3559">
        <v>0</v>
      </c>
      <c r="AM3559" t="str">
        <f>"10"</f>
        <v>10</v>
      </c>
      <c r="AN3559" t="str">
        <f>"500000"</f>
        <v>500000</v>
      </c>
      <c r="AO3559" t="str">
        <f>"הכנסות  מלקוחות"</f>
        <v>הכנסות  מלקוחות</v>
      </c>
      <c r="AQ3559" t="str">
        <f>"007"</f>
        <v>007</v>
      </c>
      <c r="AR3559">
        <v>0</v>
      </c>
      <c r="AS3559">
        <v>0</v>
      </c>
      <c r="AT3559">
        <v>3.4129999999999998</v>
      </c>
      <c r="BB3559" t="str">
        <f>"Y"</f>
        <v>Y</v>
      </c>
      <c r="BD3559" t="str">
        <f>"רוני דידי"</f>
        <v>רוני דידי</v>
      </c>
    </row>
    <row r="3560" spans="1:56" x14ac:dyDescent="0.3">
      <c r="A3560" s="1">
        <v>44040</v>
      </c>
      <c r="B3560" t="str">
        <f>"SI206000745"</f>
        <v>SI206000745</v>
      </c>
      <c r="C3560" t="str">
        <f>"PR18000822"</f>
        <v>PR18000822</v>
      </c>
      <c r="E3560" t="str">
        <f>"Y"</f>
        <v>Y</v>
      </c>
      <c r="F3560" t="str">
        <f>"חשבוניות מרכזות"</f>
        <v>חשבוניות מרכזות</v>
      </c>
      <c r="G3560" t="str">
        <f>"700065"</f>
        <v>700065</v>
      </c>
      <c r="H3560" t="str">
        <f>"אלתא מערכות בע""מ"</f>
        <v>אלתא מערכות בע"מ</v>
      </c>
      <c r="I3560" t="str">
        <f>"10"</f>
        <v>10</v>
      </c>
      <c r="J3560" t="str">
        <f>"OP-AR12324"</f>
        <v>OP-AR12324</v>
      </c>
      <c r="K3560" t="str">
        <f>"לוח חלוקה DC PDB מק""ט לקוח 1025A690-001"</f>
        <v>לוח חלוקה DC PDB מק"ט לקוח 1025A690-001</v>
      </c>
      <c r="L3560">
        <v>1</v>
      </c>
      <c r="M3560" t="str">
        <f>"יח"</f>
        <v>יח</v>
      </c>
      <c r="N3560">
        <v>1</v>
      </c>
      <c r="O3560" t="str">
        <f>"יח"</f>
        <v>יח</v>
      </c>
      <c r="P3560" s="2">
        <v>101947</v>
      </c>
      <c r="Q3560" t="str">
        <f>"$"</f>
        <v>$</v>
      </c>
      <c r="R3560" t="str">
        <f>"הזמנה"</f>
        <v>הזמנה</v>
      </c>
      <c r="S3560">
        <v>3</v>
      </c>
      <c r="T3560" s="2">
        <v>98888.59</v>
      </c>
      <c r="U3560">
        <v>0</v>
      </c>
      <c r="V3560" s="2">
        <v>98888.59</v>
      </c>
      <c r="W3560" t="str">
        <f>"$"</f>
        <v>$</v>
      </c>
      <c r="X3560">
        <v>0</v>
      </c>
      <c r="Y3560">
        <v>0</v>
      </c>
      <c r="Z3560">
        <v>0</v>
      </c>
      <c r="AA3560" t="str">
        <f>"Y"</f>
        <v>Y</v>
      </c>
      <c r="AC3560">
        <v>0</v>
      </c>
      <c r="AM3560" t="str">
        <f>"10"</f>
        <v>10</v>
      </c>
      <c r="AN3560" t="str">
        <f>"500000"</f>
        <v>500000</v>
      </c>
      <c r="AO3560" t="str">
        <f>"הכנסות  מלקוחות"</f>
        <v>הכנסות  מלקוחות</v>
      </c>
      <c r="AQ3560" t="str">
        <f>"007"</f>
        <v>007</v>
      </c>
      <c r="AR3560">
        <v>0</v>
      </c>
      <c r="AS3560">
        <v>0</v>
      </c>
      <c r="AT3560">
        <v>3.4129999999999998</v>
      </c>
      <c r="BB3560" t="str">
        <f>"Y"</f>
        <v>Y</v>
      </c>
      <c r="BD3560" t="str">
        <f>"רוני דידי"</f>
        <v>רוני דידי</v>
      </c>
    </row>
    <row r="3561" spans="1:56" x14ac:dyDescent="0.3">
      <c r="A3561" s="1">
        <v>44040</v>
      </c>
      <c r="B3561" t="str">
        <f>"SI206000744"</f>
        <v>SI206000744</v>
      </c>
      <c r="C3561" t="str">
        <f>"PR19000527"</f>
        <v>PR19000527</v>
      </c>
      <c r="E3561" t="str">
        <f>"Y"</f>
        <v>Y</v>
      </c>
      <c r="F3561" t="str">
        <f>"חשבוניות מרכזות"</f>
        <v>חשבוניות מרכזות</v>
      </c>
      <c r="G3561" t="str">
        <f>"700065"</f>
        <v>700065</v>
      </c>
      <c r="H3561" t="str">
        <f>"אלתא מערכות בע""מ"</f>
        <v>אלתא מערכות בע"מ</v>
      </c>
      <c r="I3561" t="str">
        <f>"10"</f>
        <v>10</v>
      </c>
      <c r="J3561" t="str">
        <f>"OP-AR09107-1"</f>
        <v>OP-AR09107-1</v>
      </c>
      <c r="K3561" t="str">
        <f>"לוח AUX BOX מק""ט לקוח 1036V320 001"</f>
        <v>לוח AUX BOX מק"ט לקוח 1036V320 001</v>
      </c>
      <c r="L3561">
        <v>1</v>
      </c>
      <c r="M3561" t="str">
        <f>"יח"</f>
        <v>יח</v>
      </c>
      <c r="N3561">
        <v>1</v>
      </c>
      <c r="O3561" t="str">
        <f>"יח"</f>
        <v>יח</v>
      </c>
      <c r="P3561" s="2">
        <v>27792</v>
      </c>
      <c r="Q3561" t="str">
        <f>"$"</f>
        <v>$</v>
      </c>
      <c r="R3561" t="str">
        <f>"הזמנה"</f>
        <v>הזמנה</v>
      </c>
      <c r="S3561">
        <v>0</v>
      </c>
      <c r="T3561" s="2">
        <v>27792</v>
      </c>
      <c r="U3561">
        <v>0</v>
      </c>
      <c r="V3561" s="2">
        <v>27792</v>
      </c>
      <c r="W3561" t="str">
        <f>"$"</f>
        <v>$</v>
      </c>
      <c r="X3561">
        <v>0</v>
      </c>
      <c r="Y3561">
        <v>0</v>
      </c>
      <c r="Z3561">
        <v>0</v>
      </c>
      <c r="AA3561" t="str">
        <f>"Y"</f>
        <v>Y</v>
      </c>
      <c r="AB3561" t="str">
        <f>"SO19000397"</f>
        <v>SO19000397</v>
      </c>
      <c r="AC3561">
        <v>13</v>
      </c>
      <c r="AD3561" s="1">
        <v>43716</v>
      </c>
      <c r="AE3561" t="str">
        <f>"SH20000996"</f>
        <v>SH20000996</v>
      </c>
      <c r="AF3561" t="str">
        <f>"משלוחים ללקוח"</f>
        <v>משלוחים ללקוח</v>
      </c>
      <c r="AG3561" s="1">
        <v>44040</v>
      </c>
      <c r="AM3561" t="str">
        <f>"10"</f>
        <v>10</v>
      </c>
      <c r="AN3561" t="str">
        <f>"500000"</f>
        <v>500000</v>
      </c>
      <c r="AO3561" t="str">
        <f>"הכנסות  מלקוחות"</f>
        <v>הכנסות  מלקוחות</v>
      </c>
      <c r="AQ3561" t="str">
        <f>"034"</f>
        <v>034</v>
      </c>
      <c r="AR3561">
        <v>0</v>
      </c>
      <c r="AS3561">
        <v>0</v>
      </c>
      <c r="AT3561">
        <v>3.4129999999999998</v>
      </c>
      <c r="AX3561" t="str">
        <f>"E000294050"</f>
        <v>E000294050</v>
      </c>
      <c r="BD3561" t="str">
        <f>"ערן שלו"</f>
        <v>ערן שלו</v>
      </c>
    </row>
    <row r="3562" spans="1:56" x14ac:dyDescent="0.3">
      <c r="A3562" s="1">
        <v>44040</v>
      </c>
      <c r="B3562" t="str">
        <f>"SI206000744"</f>
        <v>SI206000744</v>
      </c>
      <c r="C3562" t="str">
        <f>"PR19000527"</f>
        <v>PR19000527</v>
      </c>
      <c r="E3562" t="str">
        <f>"Y"</f>
        <v>Y</v>
      </c>
      <c r="F3562" t="str">
        <f>"חשבוניות מרכזות"</f>
        <v>חשבוניות מרכזות</v>
      </c>
      <c r="G3562" t="str">
        <f>"700065"</f>
        <v>700065</v>
      </c>
      <c r="H3562" t="str">
        <f>"אלתא מערכות בע""מ"</f>
        <v>אלתא מערכות בע"מ</v>
      </c>
      <c r="I3562" t="str">
        <f>"10"</f>
        <v>10</v>
      </c>
      <c r="J3562" t="str">
        <f>"OP-AR09107-1"</f>
        <v>OP-AR09107-1</v>
      </c>
      <c r="K3562" t="str">
        <f>"לוח AUX BOX מק""ט לקוח 1036V320 001"</f>
        <v>לוח AUX BOX מק"ט לקוח 1036V320 001</v>
      </c>
      <c r="L3562">
        <v>1</v>
      </c>
      <c r="M3562" t="str">
        <f>"יח"</f>
        <v>יח</v>
      </c>
      <c r="N3562">
        <v>1</v>
      </c>
      <c r="O3562" t="str">
        <f>"יח"</f>
        <v>יח</v>
      </c>
      <c r="P3562" s="2">
        <v>27792</v>
      </c>
      <c r="Q3562" t="str">
        <f>"$"</f>
        <v>$</v>
      </c>
      <c r="R3562" t="str">
        <f>"הזמנה"</f>
        <v>הזמנה</v>
      </c>
      <c r="S3562">
        <v>0</v>
      </c>
      <c r="T3562" s="2">
        <v>27792</v>
      </c>
      <c r="U3562">
        <v>0</v>
      </c>
      <c r="V3562" s="2">
        <v>27792</v>
      </c>
      <c r="W3562" t="str">
        <f>"$"</f>
        <v>$</v>
      </c>
      <c r="X3562">
        <v>0</v>
      </c>
      <c r="Y3562">
        <v>0</v>
      </c>
      <c r="Z3562">
        <v>0</v>
      </c>
      <c r="AA3562" t="str">
        <f>"Y"</f>
        <v>Y</v>
      </c>
      <c r="AB3562" t="str">
        <f>"SO19000397"</f>
        <v>SO19000397</v>
      </c>
      <c r="AC3562">
        <v>19</v>
      </c>
      <c r="AD3562" s="1">
        <v>43716</v>
      </c>
      <c r="AE3562" t="str">
        <f>"SH20000996"</f>
        <v>SH20000996</v>
      </c>
      <c r="AF3562" t="str">
        <f>"משלוחים ללקוח"</f>
        <v>משלוחים ללקוח</v>
      </c>
      <c r="AG3562" s="1">
        <v>44040</v>
      </c>
      <c r="AM3562" t="str">
        <f>"10"</f>
        <v>10</v>
      </c>
      <c r="AN3562" t="str">
        <f>"500000"</f>
        <v>500000</v>
      </c>
      <c r="AO3562" t="str">
        <f>"הכנסות  מלקוחות"</f>
        <v>הכנסות  מלקוחות</v>
      </c>
      <c r="AQ3562" t="str">
        <f>"034"</f>
        <v>034</v>
      </c>
      <c r="AR3562">
        <v>0</v>
      </c>
      <c r="AS3562">
        <v>0</v>
      </c>
      <c r="AT3562">
        <v>3.4129999999999998</v>
      </c>
      <c r="AX3562" t="str">
        <f>"E000294050"</f>
        <v>E000294050</v>
      </c>
      <c r="BD3562" t="str">
        <f>"ערן שלו"</f>
        <v>ערן שלו</v>
      </c>
    </row>
    <row r="3563" spans="1:56" x14ac:dyDescent="0.3">
      <c r="A3563" s="1">
        <v>44040</v>
      </c>
      <c r="B3563" t="str">
        <f>"SI206000743"</f>
        <v>SI206000743</v>
      </c>
      <c r="C3563" t="str">
        <f>"PR19000528"</f>
        <v>PR19000528</v>
      </c>
      <c r="E3563" t="str">
        <f>"Y"</f>
        <v>Y</v>
      </c>
      <c r="F3563" t="str">
        <f>"חשבוניות מרכזות"</f>
        <v>חשבוניות מרכזות</v>
      </c>
      <c r="G3563" t="str">
        <f>"700065"</f>
        <v>700065</v>
      </c>
      <c r="H3563" t="str">
        <f>"אלתא מערכות בע""מ"</f>
        <v>אלתא מערכות בע"מ</v>
      </c>
      <c r="I3563" t="str">
        <f>"10"</f>
        <v>10</v>
      </c>
      <c r="J3563" t="str">
        <f>"OP-AR09105-1"</f>
        <v>OP-AR09105-1</v>
      </c>
      <c r="K3563" t="str">
        <f>"לוח ARMY מק""ט לקוח 1036V310-001"</f>
        <v>לוח ARMY מק"ט לקוח 1036V310-001</v>
      </c>
      <c r="L3563">
        <v>1</v>
      </c>
      <c r="M3563" t="str">
        <f>"יח"</f>
        <v>יח</v>
      </c>
      <c r="N3563">
        <v>1</v>
      </c>
      <c r="O3563" t="str">
        <f>"יח"</f>
        <v>יח</v>
      </c>
      <c r="P3563" s="2">
        <v>39948</v>
      </c>
      <c r="Q3563" t="str">
        <f>"$"</f>
        <v>$</v>
      </c>
      <c r="R3563" t="str">
        <f>"הזמנה"</f>
        <v>הזמנה</v>
      </c>
      <c r="S3563">
        <v>0</v>
      </c>
      <c r="T3563" s="2">
        <v>39948</v>
      </c>
      <c r="U3563">
        <v>0</v>
      </c>
      <c r="V3563" s="2">
        <v>39948</v>
      </c>
      <c r="W3563" t="str">
        <f>"$"</f>
        <v>$</v>
      </c>
      <c r="X3563">
        <v>0</v>
      </c>
      <c r="Y3563">
        <v>0</v>
      </c>
      <c r="Z3563">
        <v>0</v>
      </c>
      <c r="AA3563" t="str">
        <f>"Y"</f>
        <v>Y</v>
      </c>
      <c r="AB3563" t="str">
        <f>"SO19000397"</f>
        <v>SO19000397</v>
      </c>
      <c r="AC3563">
        <v>7</v>
      </c>
      <c r="AD3563" s="1">
        <v>43716</v>
      </c>
      <c r="AE3563" t="str">
        <f>"SH20000993"</f>
        <v>SH20000993</v>
      </c>
      <c r="AF3563" t="str">
        <f>"משלוחים ללקוח"</f>
        <v>משלוחים ללקוח</v>
      </c>
      <c r="AG3563" s="1">
        <v>44040</v>
      </c>
      <c r="AM3563" t="str">
        <f>"10"</f>
        <v>10</v>
      </c>
      <c r="AN3563" t="str">
        <f>"500000"</f>
        <v>500000</v>
      </c>
      <c r="AO3563" t="str">
        <f>"הכנסות  מלקוחות"</f>
        <v>הכנסות  מלקוחות</v>
      </c>
      <c r="AQ3563" t="str">
        <f>"034"</f>
        <v>034</v>
      </c>
      <c r="AR3563">
        <v>0</v>
      </c>
      <c r="AS3563">
        <v>0</v>
      </c>
      <c r="AT3563">
        <v>3.4129999999999998</v>
      </c>
      <c r="AX3563" t="str">
        <f>"E000294050"</f>
        <v>E000294050</v>
      </c>
      <c r="BD3563" t="str">
        <f>"ערן שלו"</f>
        <v>ערן שלו</v>
      </c>
    </row>
    <row r="3564" spans="1:56" x14ac:dyDescent="0.3">
      <c r="A3564" s="1">
        <v>44039</v>
      </c>
      <c r="B3564" t="str">
        <f>"SI206000788"</f>
        <v>SI206000788</v>
      </c>
      <c r="C3564" t="str">
        <f>"PR20000066"</f>
        <v>PR20000066</v>
      </c>
      <c r="E3564" t="str">
        <f>"Y"</f>
        <v>Y</v>
      </c>
      <c r="F3564" t="str">
        <f>"חשבוניות מרכזות"</f>
        <v>חשבוניות מרכזות</v>
      </c>
      <c r="G3564" t="str">
        <f>"700065"</f>
        <v>700065</v>
      </c>
      <c r="H3564" t="str">
        <f>"אלתא מערכות בע""מ"</f>
        <v>אלתא מערכות בע"מ</v>
      </c>
      <c r="I3564" t="str">
        <f>"10"</f>
        <v>10</v>
      </c>
      <c r="J3564" t="str">
        <f>"OP-AR01616"</f>
        <v>OP-AR01616</v>
      </c>
      <c r="K3564" t="str">
        <f>"1041G103-001 W103 - PWR 220 ANT FRAME TO PS1"</f>
        <v>1041G103-001 W103 - PWR 220 ANT FRAME TO PS1</v>
      </c>
      <c r="L3564">
        <v>-1</v>
      </c>
      <c r="M3564" t="str">
        <f>"יח"</f>
        <v>יח</v>
      </c>
      <c r="N3564">
        <v>-1</v>
      </c>
      <c r="O3564" t="str">
        <f>"יח"</f>
        <v>יח</v>
      </c>
      <c r="P3564">
        <v>635.87</v>
      </c>
      <c r="Q3564" t="str">
        <f>"$"</f>
        <v>$</v>
      </c>
      <c r="R3564" t="str">
        <f>"הזמנה"</f>
        <v>הזמנה</v>
      </c>
      <c r="S3564">
        <v>0</v>
      </c>
      <c r="T3564">
        <v>-635.87</v>
      </c>
      <c r="U3564">
        <v>0</v>
      </c>
      <c r="V3564">
        <v>-635.87</v>
      </c>
      <c r="W3564" t="str">
        <f>"$"</f>
        <v>$</v>
      </c>
      <c r="X3564">
        <v>0</v>
      </c>
      <c r="Y3564">
        <v>0</v>
      </c>
      <c r="Z3564">
        <v>0</v>
      </c>
      <c r="AA3564" t="str">
        <f>"Y"</f>
        <v>Y</v>
      </c>
      <c r="AC3564">
        <v>0</v>
      </c>
      <c r="AM3564" t="str">
        <f>"10"</f>
        <v>10</v>
      </c>
      <c r="AN3564" t="str">
        <f>"500000"</f>
        <v>500000</v>
      </c>
      <c r="AO3564" t="str">
        <f>"הכנסות  מלקוחות"</f>
        <v>הכנסות  מלקוחות</v>
      </c>
      <c r="AQ3564" t="str">
        <f>"034"</f>
        <v>034</v>
      </c>
      <c r="AR3564">
        <v>0</v>
      </c>
      <c r="AS3564">
        <v>0</v>
      </c>
      <c r="AT3564">
        <v>3.42</v>
      </c>
      <c r="BB3564" t="str">
        <f>"Y"</f>
        <v>Y</v>
      </c>
      <c r="BD3564" t="str">
        <f>"ערן שלו"</f>
        <v>ערן שלו</v>
      </c>
    </row>
    <row r="3565" spans="1:56" x14ac:dyDescent="0.3">
      <c r="A3565" s="1">
        <v>44039</v>
      </c>
      <c r="B3565" t="str">
        <f>"SI206000788"</f>
        <v>SI206000788</v>
      </c>
      <c r="C3565" t="str">
        <f>"PR20000066"</f>
        <v>PR20000066</v>
      </c>
      <c r="E3565" t="str">
        <f>"Y"</f>
        <v>Y</v>
      </c>
      <c r="F3565" t="str">
        <f>"חשבוניות מרכזות"</f>
        <v>חשבוניות מרכזות</v>
      </c>
      <c r="G3565" t="str">
        <f>"700065"</f>
        <v>700065</v>
      </c>
      <c r="H3565" t="str">
        <f>"אלתא מערכות בע""מ"</f>
        <v>אלתא מערכות בע"מ</v>
      </c>
      <c r="I3565" t="str">
        <f>"10"</f>
        <v>10</v>
      </c>
      <c r="J3565" t="str">
        <f>"OP-AR01617"</f>
        <v>OP-AR01617</v>
      </c>
      <c r="K3565" t="str">
        <f>"1041G104-001 W104 - PWR 220 ANT FRAME TO PS2"</f>
        <v>1041G104-001 W104 - PWR 220 ANT FRAME TO PS2</v>
      </c>
      <c r="L3565">
        <v>-1</v>
      </c>
      <c r="M3565" t="str">
        <f>"יח"</f>
        <v>יח</v>
      </c>
      <c r="N3565">
        <v>-1</v>
      </c>
      <c r="O3565" t="str">
        <f>"יח"</f>
        <v>יח</v>
      </c>
      <c r="P3565">
        <v>635.87</v>
      </c>
      <c r="Q3565" t="str">
        <f>"$"</f>
        <v>$</v>
      </c>
      <c r="R3565" t="str">
        <f>"הזמנה"</f>
        <v>הזמנה</v>
      </c>
      <c r="S3565">
        <v>0</v>
      </c>
      <c r="T3565">
        <v>-635.87</v>
      </c>
      <c r="U3565">
        <v>0</v>
      </c>
      <c r="V3565">
        <v>-635.87</v>
      </c>
      <c r="W3565" t="str">
        <f>"$"</f>
        <v>$</v>
      </c>
      <c r="X3565">
        <v>0</v>
      </c>
      <c r="Y3565">
        <v>0</v>
      </c>
      <c r="Z3565">
        <v>0</v>
      </c>
      <c r="AA3565" t="str">
        <f>"Y"</f>
        <v>Y</v>
      </c>
      <c r="AC3565">
        <v>0</v>
      </c>
      <c r="AM3565" t="str">
        <f>"10"</f>
        <v>10</v>
      </c>
      <c r="AN3565" t="str">
        <f>"500000"</f>
        <v>500000</v>
      </c>
      <c r="AO3565" t="str">
        <f>"הכנסות  מלקוחות"</f>
        <v>הכנסות  מלקוחות</v>
      </c>
      <c r="AQ3565" t="str">
        <f>"034"</f>
        <v>034</v>
      </c>
      <c r="AR3565">
        <v>0</v>
      </c>
      <c r="AS3565">
        <v>0</v>
      </c>
      <c r="AT3565">
        <v>3.42</v>
      </c>
      <c r="BB3565" t="str">
        <f>"Y"</f>
        <v>Y</v>
      </c>
      <c r="BD3565" t="str">
        <f>"ערן שלו"</f>
        <v>ערן שלו</v>
      </c>
    </row>
    <row r="3566" spans="1:56" x14ac:dyDescent="0.3">
      <c r="A3566" s="1">
        <v>44039</v>
      </c>
      <c r="B3566" t="str">
        <f>"SI206000788"</f>
        <v>SI206000788</v>
      </c>
      <c r="C3566" t="str">
        <f>"PR20000066"</f>
        <v>PR20000066</v>
      </c>
      <c r="E3566" t="str">
        <f>"Y"</f>
        <v>Y</v>
      </c>
      <c r="F3566" t="str">
        <f>"חשבוניות מרכזות"</f>
        <v>חשבוניות מרכזות</v>
      </c>
      <c r="G3566" t="str">
        <f>"700065"</f>
        <v>700065</v>
      </c>
      <c r="H3566" t="str">
        <f>"אלתא מערכות בע""מ"</f>
        <v>אלתא מערכות בע"מ</v>
      </c>
      <c r="I3566" t="str">
        <f>"10"</f>
        <v>10</v>
      </c>
      <c r="J3566" t="str">
        <f>"OP-AR01625"</f>
        <v>OP-AR01625</v>
      </c>
      <c r="K3566" t="str">
        <f>"1041G202-001 FSC power cable"</f>
        <v>1041G202-001 FSC power cable</v>
      </c>
      <c r="L3566">
        <v>-1</v>
      </c>
      <c r="M3566" t="str">
        <f>"יח"</f>
        <v>יח</v>
      </c>
      <c r="N3566">
        <v>-1</v>
      </c>
      <c r="O3566" t="str">
        <f>"יח"</f>
        <v>יח</v>
      </c>
      <c r="P3566">
        <v>540.38</v>
      </c>
      <c r="Q3566" t="str">
        <f>"$"</f>
        <v>$</v>
      </c>
      <c r="R3566" t="str">
        <f>"הזמנה"</f>
        <v>הזמנה</v>
      </c>
      <c r="S3566">
        <v>0</v>
      </c>
      <c r="T3566">
        <v>-540.38</v>
      </c>
      <c r="U3566">
        <v>0</v>
      </c>
      <c r="V3566">
        <v>-540.38</v>
      </c>
      <c r="W3566" t="str">
        <f>"$"</f>
        <v>$</v>
      </c>
      <c r="X3566">
        <v>0</v>
      </c>
      <c r="Y3566">
        <v>0</v>
      </c>
      <c r="Z3566">
        <v>0</v>
      </c>
      <c r="AA3566" t="str">
        <f>"Y"</f>
        <v>Y</v>
      </c>
      <c r="AC3566">
        <v>0</v>
      </c>
      <c r="AM3566" t="str">
        <f>"10"</f>
        <v>10</v>
      </c>
      <c r="AN3566" t="str">
        <f>"500000"</f>
        <v>500000</v>
      </c>
      <c r="AO3566" t="str">
        <f>"הכנסות  מלקוחות"</f>
        <v>הכנסות  מלקוחות</v>
      </c>
      <c r="AQ3566" t="str">
        <f>"034"</f>
        <v>034</v>
      </c>
      <c r="AR3566">
        <v>0</v>
      </c>
      <c r="AS3566">
        <v>0</v>
      </c>
      <c r="AT3566">
        <v>3.42</v>
      </c>
      <c r="BB3566" t="str">
        <f>"Y"</f>
        <v>Y</v>
      </c>
      <c r="BD3566" t="str">
        <f>"ערן שלו"</f>
        <v>ערן שלו</v>
      </c>
    </row>
    <row r="3567" spans="1:56" x14ac:dyDescent="0.3">
      <c r="A3567" s="1">
        <v>44039</v>
      </c>
      <c r="B3567" t="str">
        <f>"SI206000736"</f>
        <v>SI206000736</v>
      </c>
      <c r="C3567" t="str">
        <f>"PR20000056"</f>
        <v>PR20000056</v>
      </c>
      <c r="E3567" t="str">
        <f>"Y"</f>
        <v>Y</v>
      </c>
      <c r="F3567" t="str">
        <f>"חשבוניות מרכזות"</f>
        <v>חשבוניות מרכזות</v>
      </c>
      <c r="G3567" t="str">
        <f>"700065"</f>
        <v>700065</v>
      </c>
      <c r="H3567" t="str">
        <f>"אלתא מערכות בע""מ"</f>
        <v>אלתא מערכות בע"מ</v>
      </c>
      <c r="I3567" t="str">
        <f>"10"</f>
        <v>10</v>
      </c>
      <c r="J3567" t="str">
        <f>"OP-AR01610"</f>
        <v>OP-AR01610</v>
      </c>
      <c r="K3567" t="str">
        <f>"2210B260-001 GHTP DTS CABLE ASSY W23"</f>
        <v>2210B260-001 GHTP DTS CABLE ASSY W23</v>
      </c>
      <c r="L3567">
        <v>1</v>
      </c>
      <c r="M3567" t="str">
        <f>"יח"</f>
        <v>יח</v>
      </c>
      <c r="N3567">
        <v>1</v>
      </c>
      <c r="O3567" t="str">
        <f>"יח"</f>
        <v>יח</v>
      </c>
      <c r="P3567" s="2">
        <v>1242.1300000000001</v>
      </c>
      <c r="Q3567" t="str">
        <f>"$"</f>
        <v>$</v>
      </c>
      <c r="R3567" t="str">
        <f>"הזמנה"</f>
        <v>הזמנה</v>
      </c>
      <c r="S3567">
        <v>0</v>
      </c>
      <c r="T3567" s="2">
        <v>1242.1300000000001</v>
      </c>
      <c r="U3567">
        <v>0</v>
      </c>
      <c r="V3567" s="2">
        <v>1242.1300000000001</v>
      </c>
      <c r="W3567" t="str">
        <f>"$"</f>
        <v>$</v>
      </c>
      <c r="X3567">
        <v>0</v>
      </c>
      <c r="Y3567">
        <v>0</v>
      </c>
      <c r="Z3567">
        <v>0</v>
      </c>
      <c r="AA3567" t="str">
        <f>"Y"</f>
        <v>Y</v>
      </c>
      <c r="AB3567" t="str">
        <f>"SO20000046"</f>
        <v>SO20000046</v>
      </c>
      <c r="AC3567">
        <v>2</v>
      </c>
      <c r="AD3567" s="1">
        <v>43864</v>
      </c>
      <c r="AE3567" t="str">
        <f>"SH20000970"</f>
        <v>SH20000970</v>
      </c>
      <c r="AF3567" t="str">
        <f>"משלוחים ללקוח"</f>
        <v>משלוחים ללקוח</v>
      </c>
      <c r="AG3567" s="1">
        <v>44034</v>
      </c>
      <c r="AM3567" t="str">
        <f>"10"</f>
        <v>10</v>
      </c>
      <c r="AN3567" t="str">
        <f>"500000"</f>
        <v>500000</v>
      </c>
      <c r="AO3567" t="str">
        <f>"הכנסות  מלקוחות"</f>
        <v>הכנסות  מלקוחות</v>
      </c>
      <c r="AQ3567" t="str">
        <f>"034"</f>
        <v>034</v>
      </c>
      <c r="AR3567">
        <v>0</v>
      </c>
      <c r="AS3567">
        <v>0</v>
      </c>
      <c r="AT3567">
        <v>3.42</v>
      </c>
      <c r="AX3567" t="str">
        <f>"E000304544"</f>
        <v>E000304544</v>
      </c>
      <c r="BD3567" t="str">
        <f>"ערן שלו"</f>
        <v>ערן שלו</v>
      </c>
    </row>
    <row r="3568" spans="1:56" x14ac:dyDescent="0.3">
      <c r="A3568" s="1">
        <v>44039</v>
      </c>
      <c r="B3568" t="str">
        <f>"SI206000735"</f>
        <v>SI206000735</v>
      </c>
      <c r="C3568" t="str">
        <f>"PR19000731"</f>
        <v>PR19000731</v>
      </c>
      <c r="E3568" t="str">
        <f>"Y"</f>
        <v>Y</v>
      </c>
      <c r="F3568" t="str">
        <f>"חשבוניות מרכזות"</f>
        <v>חשבוניות מרכזות</v>
      </c>
      <c r="G3568" t="str">
        <f>"700065"</f>
        <v>700065</v>
      </c>
      <c r="H3568" t="str">
        <f>"אלתא מערכות בע""מ"</f>
        <v>אלתא מערכות בע"מ</v>
      </c>
      <c r="I3568" t="str">
        <f>"10"</f>
        <v>10</v>
      </c>
      <c r="J3568" t="str">
        <f>"OP-AR01587"</f>
        <v>OP-AR01587</v>
      </c>
      <c r="K3568" t="str">
        <f>"9004W747-001 HARNESS WS107 ANT MOT DRV"</f>
        <v>9004W747-001 HARNESS WS107 ANT MOT DRV</v>
      </c>
      <c r="L3568">
        <v>10</v>
      </c>
      <c r="M3568" t="str">
        <f>"יח"</f>
        <v>יח</v>
      </c>
      <c r="N3568">
        <v>10</v>
      </c>
      <c r="O3568" t="str">
        <f>"יח"</f>
        <v>יח</v>
      </c>
      <c r="P3568">
        <v>658.16</v>
      </c>
      <c r="Q3568" t="str">
        <f>"$"</f>
        <v>$</v>
      </c>
      <c r="R3568" t="str">
        <f>"הזמנה"</f>
        <v>הזמנה</v>
      </c>
      <c r="S3568">
        <v>0</v>
      </c>
      <c r="T3568" s="2">
        <v>6581.6</v>
      </c>
      <c r="U3568">
        <v>0</v>
      </c>
      <c r="V3568" s="2">
        <v>6581.6</v>
      </c>
      <c r="W3568" t="str">
        <f>"$"</f>
        <v>$</v>
      </c>
      <c r="X3568">
        <v>0</v>
      </c>
      <c r="Y3568">
        <v>0</v>
      </c>
      <c r="Z3568">
        <v>0</v>
      </c>
      <c r="AA3568" t="str">
        <f>"Y"</f>
        <v>Y</v>
      </c>
      <c r="AB3568" t="str">
        <f>"SO19000524"</f>
        <v>SO19000524</v>
      </c>
      <c r="AC3568">
        <v>41</v>
      </c>
      <c r="AD3568" s="1">
        <v>43809</v>
      </c>
      <c r="AE3568" t="str">
        <f>"SH20000969"</f>
        <v>SH20000969</v>
      </c>
      <c r="AF3568" t="str">
        <f>"משלוחים ללקוח"</f>
        <v>משלוחים ללקוח</v>
      </c>
      <c r="AG3568" s="1">
        <v>44034</v>
      </c>
      <c r="AM3568" t="str">
        <f>"10"</f>
        <v>10</v>
      </c>
      <c r="AN3568" t="str">
        <f>"500000"</f>
        <v>500000</v>
      </c>
      <c r="AO3568" t="str">
        <f>"הכנסות  מלקוחות"</f>
        <v>הכנסות  מלקוחות</v>
      </c>
      <c r="AQ3568" t="str">
        <f>"034"</f>
        <v>034</v>
      </c>
      <c r="AR3568">
        <v>0</v>
      </c>
      <c r="AS3568">
        <v>0</v>
      </c>
      <c r="AT3568">
        <v>3.42</v>
      </c>
      <c r="AX3568" t="str">
        <f>"E000300228"</f>
        <v>E000300228</v>
      </c>
      <c r="BD3568" t="str">
        <f>"ערן שלו"</f>
        <v>ערן שלו</v>
      </c>
    </row>
    <row r="3569" spans="1:56" x14ac:dyDescent="0.3">
      <c r="A3569" s="1">
        <v>44039</v>
      </c>
      <c r="B3569" t="str">
        <f>"SI206000735"</f>
        <v>SI206000735</v>
      </c>
      <c r="C3569" t="str">
        <f>"PR19000731"</f>
        <v>PR19000731</v>
      </c>
      <c r="E3569" t="str">
        <f>"Y"</f>
        <v>Y</v>
      </c>
      <c r="F3569" t="str">
        <f>"חשבוניות מרכזות"</f>
        <v>חשבוניות מרכזות</v>
      </c>
      <c r="G3569" t="str">
        <f>"700065"</f>
        <v>700065</v>
      </c>
      <c r="H3569" t="str">
        <f>"אלתא מערכות בע""מ"</f>
        <v>אלתא מערכות בע"מ</v>
      </c>
      <c r="I3569" t="str">
        <f>"10"</f>
        <v>10</v>
      </c>
      <c r="J3569" t="str">
        <f>"OP-AR01584"</f>
        <v>OP-AR01584</v>
      </c>
      <c r="K3569" t="str">
        <f>"9004W744-001 HARNESS WS104 RP TO TX"</f>
        <v>9004W744-001 HARNESS WS104 RP TO TX</v>
      </c>
      <c r="L3569">
        <v>10</v>
      </c>
      <c r="M3569" t="str">
        <f>"יח"</f>
        <v>יח</v>
      </c>
      <c r="N3569">
        <v>10</v>
      </c>
      <c r="O3569" t="str">
        <f>"יח"</f>
        <v>יח</v>
      </c>
      <c r="P3569">
        <v>438.4</v>
      </c>
      <c r="Q3569" t="str">
        <f>"$"</f>
        <v>$</v>
      </c>
      <c r="R3569" t="str">
        <f>"הזמנה"</f>
        <v>הזמנה</v>
      </c>
      <c r="S3569">
        <v>0</v>
      </c>
      <c r="T3569" s="2">
        <v>4384</v>
      </c>
      <c r="U3569">
        <v>0</v>
      </c>
      <c r="V3569" s="2">
        <v>4384</v>
      </c>
      <c r="W3569" t="str">
        <f>"$"</f>
        <v>$</v>
      </c>
      <c r="X3569">
        <v>0</v>
      </c>
      <c r="Y3569">
        <v>0</v>
      </c>
      <c r="Z3569">
        <v>0</v>
      </c>
      <c r="AA3569" t="str">
        <f>"Y"</f>
        <v>Y</v>
      </c>
      <c r="AB3569" t="str">
        <f>"SO19000524"</f>
        <v>SO19000524</v>
      </c>
      <c r="AC3569">
        <v>32</v>
      </c>
      <c r="AD3569" s="1">
        <v>43809</v>
      </c>
      <c r="AE3569" t="str">
        <f>"SH20000969"</f>
        <v>SH20000969</v>
      </c>
      <c r="AF3569" t="str">
        <f>"משלוחים ללקוח"</f>
        <v>משלוחים ללקוח</v>
      </c>
      <c r="AG3569" s="1">
        <v>44034</v>
      </c>
      <c r="AM3569" t="str">
        <f>"10"</f>
        <v>10</v>
      </c>
      <c r="AN3569" t="str">
        <f>"500000"</f>
        <v>500000</v>
      </c>
      <c r="AO3569" t="str">
        <f>"הכנסות  מלקוחות"</f>
        <v>הכנסות  מלקוחות</v>
      </c>
      <c r="AQ3569" t="str">
        <f>"034"</f>
        <v>034</v>
      </c>
      <c r="AR3569">
        <v>0</v>
      </c>
      <c r="AS3569">
        <v>0</v>
      </c>
      <c r="AT3569">
        <v>3.42</v>
      </c>
      <c r="AX3569" t="str">
        <f>"E000300228"</f>
        <v>E000300228</v>
      </c>
      <c r="BD3569" t="str">
        <f>"ערן שלו"</f>
        <v>ערן שלו</v>
      </c>
    </row>
    <row r="3570" spans="1:56" x14ac:dyDescent="0.3">
      <c r="A3570" s="1">
        <v>44039</v>
      </c>
      <c r="B3570" t="str">
        <f>"SI206000734"</f>
        <v>SI206000734</v>
      </c>
      <c r="C3570" t="str">
        <f>"PR20000066"</f>
        <v>PR20000066</v>
      </c>
      <c r="D3570" t="str">
        <f>"PR20000066"</f>
        <v>PR20000066</v>
      </c>
      <c r="E3570" t="str">
        <f>"Y"</f>
        <v>Y</v>
      </c>
      <c r="F3570" t="str">
        <f>"חשבוניות מרכזות"</f>
        <v>חשבוניות מרכזות</v>
      </c>
      <c r="G3570" t="str">
        <f>"700065"</f>
        <v>700065</v>
      </c>
      <c r="H3570" t="str">
        <f>"אלתא מערכות בע""מ"</f>
        <v>אלתא מערכות בע"מ</v>
      </c>
      <c r="I3570" t="str">
        <f>"10"</f>
        <v>10</v>
      </c>
      <c r="J3570" t="str">
        <f>"OP-AR01622"</f>
        <v>OP-AR01622</v>
      </c>
      <c r="K3570" t="str">
        <f>"1041G132-001 W132 : ANT PS HPLS CTRL"</f>
        <v>1041G132-001 W132 : ANT PS HPLS CTRL</v>
      </c>
      <c r="L3570">
        <v>1</v>
      </c>
      <c r="M3570" t="str">
        <f>"יח"</f>
        <v>יח</v>
      </c>
      <c r="N3570">
        <v>1</v>
      </c>
      <c r="O3570" t="str">
        <f>"יח"</f>
        <v>יח</v>
      </c>
      <c r="P3570" s="2">
        <v>2594.1999999999998</v>
      </c>
      <c r="Q3570" t="str">
        <f>"$"</f>
        <v>$</v>
      </c>
      <c r="R3570" t="str">
        <f>"הזמנה"</f>
        <v>הזמנה</v>
      </c>
      <c r="S3570">
        <v>0</v>
      </c>
      <c r="T3570" s="2">
        <v>2594.1999999999998</v>
      </c>
      <c r="U3570">
        <v>0</v>
      </c>
      <c r="V3570" s="2">
        <v>2594.1999999999998</v>
      </c>
      <c r="W3570" t="str">
        <f>"$"</f>
        <v>$</v>
      </c>
      <c r="X3570">
        <v>0</v>
      </c>
      <c r="Y3570">
        <v>0</v>
      </c>
      <c r="Z3570">
        <v>0</v>
      </c>
      <c r="AA3570" t="str">
        <f>"Y"</f>
        <v>Y</v>
      </c>
      <c r="AB3570" t="str">
        <f>"SO20000062"</f>
        <v>SO20000062</v>
      </c>
      <c r="AC3570">
        <v>13</v>
      </c>
      <c r="AD3570" s="1">
        <v>43870</v>
      </c>
      <c r="AE3570" t="str">
        <f>"SH20000968"</f>
        <v>SH20000968</v>
      </c>
      <c r="AF3570" t="str">
        <f>"משלוחים ללקוח"</f>
        <v>משלוחים ללקוח</v>
      </c>
      <c r="AG3570" s="1">
        <v>44034</v>
      </c>
      <c r="AM3570" t="str">
        <f>"10"</f>
        <v>10</v>
      </c>
      <c r="AN3570" t="str">
        <f>"500000"</f>
        <v>500000</v>
      </c>
      <c r="AO3570" t="str">
        <f>"הכנסות  מלקוחות"</f>
        <v>הכנסות  מלקוחות</v>
      </c>
      <c r="AQ3570" t="str">
        <f>"034"</f>
        <v>034</v>
      </c>
      <c r="AR3570">
        <v>0</v>
      </c>
      <c r="AS3570">
        <v>0</v>
      </c>
      <c r="AT3570">
        <v>3.42</v>
      </c>
      <c r="AX3570" t="str">
        <f>"E000305063"</f>
        <v>E000305063</v>
      </c>
      <c r="BD3570" t="str">
        <f>"ערן שלו"</f>
        <v>ערן שלו</v>
      </c>
    </row>
    <row r="3571" spans="1:56" x14ac:dyDescent="0.3">
      <c r="A3571" s="1">
        <v>44039</v>
      </c>
      <c r="B3571" t="str">
        <f>"SI206000733"</f>
        <v>SI206000733</v>
      </c>
      <c r="C3571" t="str">
        <f>"PR20000200"</f>
        <v>PR20000200</v>
      </c>
      <c r="E3571" t="str">
        <f>"Y"</f>
        <v>Y</v>
      </c>
      <c r="F3571" t="str">
        <f>"חשבוניות מרכזות"</f>
        <v>חשבוניות מרכזות</v>
      </c>
      <c r="G3571" t="str">
        <f>"700065"</f>
        <v>700065</v>
      </c>
      <c r="H3571" t="str">
        <f>"אלתא מערכות בע""מ"</f>
        <v>אלתא מערכות בע"מ</v>
      </c>
      <c r="I3571" t="str">
        <f>"10"</f>
        <v>10</v>
      </c>
      <c r="J3571" t="str">
        <f>"OP-AR01696"</f>
        <v>OP-AR01696</v>
      </c>
      <c r="K3571" t="str">
        <f>"1020B582-001 P.C.U W6 HARNESS INPUT AC 3 PHASE T"</f>
        <v>1020B582-001 P.C.U W6 HARNESS INPUT AC 3 PHASE T</v>
      </c>
      <c r="L3571">
        <v>4</v>
      </c>
      <c r="M3571" t="str">
        <f>"יח"</f>
        <v>יח</v>
      </c>
      <c r="N3571">
        <v>4</v>
      </c>
      <c r="O3571" t="str">
        <f>"יח"</f>
        <v>יח</v>
      </c>
      <c r="P3571">
        <v>324.37</v>
      </c>
      <c r="Q3571" t="str">
        <f>"$"</f>
        <v>$</v>
      </c>
      <c r="R3571" t="str">
        <f>"הזמנה"</f>
        <v>הזמנה</v>
      </c>
      <c r="S3571">
        <v>0</v>
      </c>
      <c r="T3571" s="2">
        <v>1297.48</v>
      </c>
      <c r="U3571">
        <v>0</v>
      </c>
      <c r="V3571" s="2">
        <v>1297.48</v>
      </c>
      <c r="W3571" t="str">
        <f>"$"</f>
        <v>$</v>
      </c>
      <c r="X3571">
        <v>0</v>
      </c>
      <c r="Y3571">
        <v>0</v>
      </c>
      <c r="Z3571">
        <v>0</v>
      </c>
      <c r="AA3571" t="str">
        <f>"Y"</f>
        <v>Y</v>
      </c>
      <c r="AB3571" t="str">
        <f>"SO20000141"</f>
        <v>SO20000141</v>
      </c>
      <c r="AC3571">
        <v>1</v>
      </c>
      <c r="AD3571" s="1">
        <v>43940</v>
      </c>
      <c r="AE3571" t="str">
        <f>"SH20000967"</f>
        <v>SH20000967</v>
      </c>
      <c r="AF3571" t="str">
        <f>"משלוחים ללקוח"</f>
        <v>משלוחים ללקוח</v>
      </c>
      <c r="AG3571" s="1">
        <v>44034</v>
      </c>
      <c r="AM3571" t="str">
        <f>"10"</f>
        <v>10</v>
      </c>
      <c r="AN3571" t="str">
        <f>"500000"</f>
        <v>500000</v>
      </c>
      <c r="AO3571" t="str">
        <f>"הכנסות  מלקוחות"</f>
        <v>הכנסות  מלקוחות</v>
      </c>
      <c r="AQ3571" t="str">
        <f>"034"</f>
        <v>034</v>
      </c>
      <c r="AR3571">
        <v>0</v>
      </c>
      <c r="AS3571">
        <v>0</v>
      </c>
      <c r="AT3571">
        <v>3.42</v>
      </c>
      <c r="AX3571" t="str">
        <f>"E000308646"</f>
        <v>E000308646</v>
      </c>
      <c r="BD3571" t="str">
        <f>"ערן שלו"</f>
        <v>ערן שלו</v>
      </c>
    </row>
    <row r="3572" spans="1:56" x14ac:dyDescent="0.3">
      <c r="A3572" s="1">
        <v>44039</v>
      </c>
      <c r="B3572" t="str">
        <f>"SI206000732"</f>
        <v>SI206000732</v>
      </c>
      <c r="C3572" t="str">
        <f>"PR18000543"</f>
        <v>PR18000543</v>
      </c>
      <c r="D3572" t="str">
        <f>"PR18000543"</f>
        <v>PR18000543</v>
      </c>
      <c r="E3572" t="str">
        <f>"Y"</f>
        <v>Y</v>
      </c>
      <c r="F3572" t="str">
        <f>"חשבוניות מרכזות"</f>
        <v>חשבוניות מרכזות</v>
      </c>
      <c r="G3572" t="str">
        <f>"700065"</f>
        <v>700065</v>
      </c>
      <c r="H3572" t="str">
        <f>"אלתא מערכות בע""מ"</f>
        <v>אלתא מערכות בע"מ</v>
      </c>
      <c r="I3572" t="str">
        <f>"10"</f>
        <v>10</v>
      </c>
      <c r="J3572" t="str">
        <f>"OP-AR01083"</f>
        <v>OP-AR01083</v>
      </c>
      <c r="K3572" t="str">
        <f>"1036C960-001 HVJB_N"</f>
        <v>1036C960-001 HVJB_N</v>
      </c>
      <c r="L3572">
        <v>1</v>
      </c>
      <c r="M3572" t="str">
        <f>"יח"</f>
        <v>יח</v>
      </c>
      <c r="N3572">
        <v>1</v>
      </c>
      <c r="O3572" t="str">
        <f>"יח"</f>
        <v>יח</v>
      </c>
      <c r="P3572" s="2">
        <v>6500</v>
      </c>
      <c r="Q3572" t="str">
        <f>"$"</f>
        <v>$</v>
      </c>
      <c r="R3572" t="str">
        <f>"הזמנה"</f>
        <v>הזמנה</v>
      </c>
      <c r="S3572">
        <v>0</v>
      </c>
      <c r="T3572" s="2">
        <v>6500</v>
      </c>
      <c r="U3572">
        <v>0</v>
      </c>
      <c r="V3572" s="2">
        <v>6500</v>
      </c>
      <c r="W3572" t="str">
        <f>"$"</f>
        <v>$</v>
      </c>
      <c r="X3572">
        <v>0</v>
      </c>
      <c r="Y3572">
        <v>0</v>
      </c>
      <c r="Z3572">
        <v>0</v>
      </c>
      <c r="AA3572" t="str">
        <f>"Y"</f>
        <v>Y</v>
      </c>
      <c r="AB3572" t="str">
        <f>"SO18000429"</f>
        <v>SO18000429</v>
      </c>
      <c r="AC3572">
        <v>10</v>
      </c>
      <c r="AD3572" s="1">
        <v>43311</v>
      </c>
      <c r="AE3572" t="str">
        <f>"SH20000960"</f>
        <v>SH20000960</v>
      </c>
      <c r="AF3572" t="str">
        <f>"משלוחים ללקוח"</f>
        <v>משלוחים ללקוח</v>
      </c>
      <c r="AG3572" s="1">
        <v>44033</v>
      </c>
      <c r="AM3572" t="str">
        <f>"10"</f>
        <v>10</v>
      </c>
      <c r="AN3572" t="str">
        <f>"500000"</f>
        <v>500000</v>
      </c>
      <c r="AO3572" t="str">
        <f>"הכנסות  מלקוחות"</f>
        <v>הכנסות  מלקוחות</v>
      </c>
      <c r="AQ3572" t="str">
        <f>"007"</f>
        <v>007</v>
      </c>
      <c r="AR3572">
        <v>0</v>
      </c>
      <c r="AS3572">
        <v>0</v>
      </c>
      <c r="AT3572">
        <v>3.42</v>
      </c>
      <c r="AX3572" t="str">
        <f>"E000266439"</f>
        <v>E000266439</v>
      </c>
      <c r="BD3572" t="str">
        <f>"רוני דידי"</f>
        <v>רוני דידי</v>
      </c>
    </row>
    <row r="3573" spans="1:56" x14ac:dyDescent="0.3">
      <c r="A3573" s="1">
        <v>44039</v>
      </c>
      <c r="B3573" t="str">
        <f>"SI206000731"</f>
        <v>SI206000731</v>
      </c>
      <c r="C3573" t="str">
        <f>"PR19000731"</f>
        <v>PR19000731</v>
      </c>
      <c r="E3573" t="str">
        <f>"Y"</f>
        <v>Y</v>
      </c>
      <c r="F3573" t="str">
        <f>"חשבוניות מרכזות"</f>
        <v>חשבוניות מרכזות</v>
      </c>
      <c r="G3573" t="str">
        <f>"700065"</f>
        <v>700065</v>
      </c>
      <c r="H3573" t="str">
        <f>"אלתא מערכות בע""מ"</f>
        <v>אלתא מערכות בע"מ</v>
      </c>
      <c r="I3573" t="str">
        <f>"10"</f>
        <v>10</v>
      </c>
      <c r="J3573" t="str">
        <f>"OP-AR01588"</f>
        <v>OP-AR01588</v>
      </c>
      <c r="K3573" t="str">
        <f>"9004W749-001 HARNESS WS109 TMS INNER CONNECTIONS"</f>
        <v>9004W749-001 HARNESS WS109 TMS INNER CONNECTIONS</v>
      </c>
      <c r="L3573">
        <v>3</v>
      </c>
      <c r="M3573" t="str">
        <f>"יח"</f>
        <v>יח</v>
      </c>
      <c r="N3573">
        <v>3</v>
      </c>
      <c r="O3573" t="str">
        <f>"יח"</f>
        <v>יח</v>
      </c>
      <c r="P3573" s="2">
        <v>1602.3</v>
      </c>
      <c r="Q3573" t="str">
        <f>"$"</f>
        <v>$</v>
      </c>
      <c r="R3573" t="str">
        <f>"הזמנה"</f>
        <v>הזמנה</v>
      </c>
      <c r="S3573">
        <v>0</v>
      </c>
      <c r="T3573" s="2">
        <v>4806.8999999999996</v>
      </c>
      <c r="U3573">
        <v>0</v>
      </c>
      <c r="V3573" s="2">
        <v>4806.8999999999996</v>
      </c>
      <c r="W3573" t="str">
        <f>"$"</f>
        <v>$</v>
      </c>
      <c r="X3573">
        <v>0</v>
      </c>
      <c r="Y3573">
        <v>0</v>
      </c>
      <c r="Z3573">
        <v>0</v>
      </c>
      <c r="AA3573" t="str">
        <f>"Y"</f>
        <v>Y</v>
      </c>
      <c r="AB3573" t="str">
        <f>"SO19000524"</f>
        <v>SO19000524</v>
      </c>
      <c r="AC3573">
        <v>15</v>
      </c>
      <c r="AD3573" s="1">
        <v>43809</v>
      </c>
      <c r="AE3573" t="str">
        <f>"SH20000959"</f>
        <v>SH20000959</v>
      </c>
      <c r="AF3573" t="str">
        <f>"משלוחים ללקוח"</f>
        <v>משלוחים ללקוח</v>
      </c>
      <c r="AG3573" s="1">
        <v>44033</v>
      </c>
      <c r="AM3573" t="str">
        <f>"10"</f>
        <v>10</v>
      </c>
      <c r="AN3573" t="str">
        <f>"500000"</f>
        <v>500000</v>
      </c>
      <c r="AO3573" t="str">
        <f>"הכנסות  מלקוחות"</f>
        <v>הכנסות  מלקוחות</v>
      </c>
      <c r="AQ3573" t="str">
        <f>"034"</f>
        <v>034</v>
      </c>
      <c r="AR3573">
        <v>0</v>
      </c>
      <c r="AS3573">
        <v>0</v>
      </c>
      <c r="AT3573">
        <v>3.42</v>
      </c>
      <c r="AX3573" t="str">
        <f>"E000300228"</f>
        <v>E000300228</v>
      </c>
      <c r="BD3573" t="str">
        <f>"ערן שלו"</f>
        <v>ערן שלו</v>
      </c>
    </row>
    <row r="3574" spans="1:56" x14ac:dyDescent="0.3">
      <c r="A3574" s="1">
        <v>44039</v>
      </c>
      <c r="B3574" t="str">
        <f>"SI206000731"</f>
        <v>SI206000731</v>
      </c>
      <c r="C3574" t="str">
        <f>"PR19000731"</f>
        <v>PR19000731</v>
      </c>
      <c r="E3574" t="str">
        <f>"Y"</f>
        <v>Y</v>
      </c>
      <c r="F3574" t="str">
        <f>"חשבוניות מרכזות"</f>
        <v>חשבוניות מרכזות</v>
      </c>
      <c r="G3574" t="str">
        <f>"700065"</f>
        <v>700065</v>
      </c>
      <c r="H3574" t="str">
        <f>"אלתא מערכות בע""מ"</f>
        <v>אלתא מערכות בע"מ</v>
      </c>
      <c r="I3574" t="str">
        <f>"10"</f>
        <v>10</v>
      </c>
      <c r="J3574" t="str">
        <f>"OP-AR01588"</f>
        <v>OP-AR01588</v>
      </c>
      <c r="K3574" t="str">
        <f>"9004W749-001 HARNESS WS109 TMS INNER CONNECTIONS"</f>
        <v>9004W749-001 HARNESS WS109 TMS INNER CONNECTIONS</v>
      </c>
      <c r="L3574">
        <v>2</v>
      </c>
      <c r="M3574" t="str">
        <f>"יח"</f>
        <v>יח</v>
      </c>
      <c r="N3574">
        <v>2</v>
      </c>
      <c r="O3574" t="str">
        <f>"יח"</f>
        <v>יח</v>
      </c>
      <c r="P3574" s="2">
        <v>1602.3</v>
      </c>
      <c r="Q3574" t="str">
        <f>"$"</f>
        <v>$</v>
      </c>
      <c r="R3574" t="str">
        <f>"הזמנה"</f>
        <v>הזמנה</v>
      </c>
      <c r="S3574">
        <v>0</v>
      </c>
      <c r="T3574" s="2">
        <v>3204.6</v>
      </c>
      <c r="U3574">
        <v>0</v>
      </c>
      <c r="V3574" s="2">
        <v>3204.6</v>
      </c>
      <c r="W3574" t="str">
        <f>"$"</f>
        <v>$</v>
      </c>
      <c r="X3574">
        <v>0</v>
      </c>
      <c r="Y3574">
        <v>0</v>
      </c>
      <c r="Z3574">
        <v>0</v>
      </c>
      <c r="AA3574" t="str">
        <f>"Y"</f>
        <v>Y</v>
      </c>
      <c r="AB3574" t="str">
        <f>"SO19000524"</f>
        <v>SO19000524</v>
      </c>
      <c r="AC3574">
        <v>42</v>
      </c>
      <c r="AD3574" s="1">
        <v>43809</v>
      </c>
      <c r="AE3574" t="str">
        <f>"SH20000959"</f>
        <v>SH20000959</v>
      </c>
      <c r="AF3574" t="str">
        <f>"משלוחים ללקוח"</f>
        <v>משלוחים ללקוח</v>
      </c>
      <c r="AG3574" s="1">
        <v>44033</v>
      </c>
      <c r="AM3574" t="str">
        <f>"10"</f>
        <v>10</v>
      </c>
      <c r="AN3574" t="str">
        <f>"500000"</f>
        <v>500000</v>
      </c>
      <c r="AO3574" t="str">
        <f>"הכנסות  מלקוחות"</f>
        <v>הכנסות  מלקוחות</v>
      </c>
      <c r="AQ3574" t="str">
        <f>"034"</f>
        <v>034</v>
      </c>
      <c r="AR3574">
        <v>0</v>
      </c>
      <c r="AS3574">
        <v>0</v>
      </c>
      <c r="AT3574">
        <v>3.42</v>
      </c>
      <c r="AX3574" t="str">
        <f>"E000300228"</f>
        <v>E000300228</v>
      </c>
      <c r="BD3574" t="str">
        <f>"ערן שלו"</f>
        <v>ערן שלו</v>
      </c>
    </row>
    <row r="3575" spans="1:56" x14ac:dyDescent="0.3">
      <c r="A3575" s="1">
        <v>44039</v>
      </c>
      <c r="B3575" t="str">
        <f>"SI206000730"</f>
        <v>SI206000730</v>
      </c>
      <c r="C3575" t="str">
        <f>"PR20000245"</f>
        <v>PR20000245</v>
      </c>
      <c r="D3575" t="str">
        <f>"PR20000245"</f>
        <v>PR20000245</v>
      </c>
      <c r="E3575" t="str">
        <f>"Y"</f>
        <v>Y</v>
      </c>
      <c r="F3575" t="str">
        <f>"חשבוניות מרכזות"</f>
        <v>חשבוניות מרכזות</v>
      </c>
      <c r="G3575" t="str">
        <f>"700065"</f>
        <v>700065</v>
      </c>
      <c r="H3575" t="str">
        <f>"אלתא מערכות בע""מ"</f>
        <v>אלתא מערכות בע"מ</v>
      </c>
      <c r="I3575" t="str">
        <f>"10"</f>
        <v>10</v>
      </c>
      <c r="J3575" t="str">
        <f>"OP-AR01725"</f>
        <v>OP-AR01725</v>
      </c>
      <c r="K3575" t="str">
        <f>"4020F413-001 CABLE ASSY W13"</f>
        <v>4020F413-001 CABLE ASSY W13</v>
      </c>
      <c r="L3575">
        <v>8</v>
      </c>
      <c r="M3575" t="str">
        <f>"יח"</f>
        <v>יח</v>
      </c>
      <c r="N3575">
        <v>8</v>
      </c>
      <c r="O3575" t="str">
        <f>"יח"</f>
        <v>יח</v>
      </c>
      <c r="P3575">
        <v>213.7</v>
      </c>
      <c r="Q3575" t="str">
        <f>"$"</f>
        <v>$</v>
      </c>
      <c r="R3575" t="str">
        <f>"הזמנה"</f>
        <v>הזמנה</v>
      </c>
      <c r="S3575">
        <v>0</v>
      </c>
      <c r="T3575" s="2">
        <v>1709.6</v>
      </c>
      <c r="U3575">
        <v>0</v>
      </c>
      <c r="V3575" s="2">
        <v>1709.6</v>
      </c>
      <c r="W3575" t="str">
        <f>"$"</f>
        <v>$</v>
      </c>
      <c r="X3575">
        <v>0</v>
      </c>
      <c r="Y3575">
        <v>0</v>
      </c>
      <c r="Z3575">
        <v>0</v>
      </c>
      <c r="AA3575" t="str">
        <f>"Y"</f>
        <v>Y</v>
      </c>
      <c r="AB3575" t="str">
        <f>"SO20000174"</f>
        <v>SO20000174</v>
      </c>
      <c r="AC3575">
        <v>3</v>
      </c>
      <c r="AD3575" s="1">
        <v>43954</v>
      </c>
      <c r="AE3575" t="str">
        <f>"SH20000958"</f>
        <v>SH20000958</v>
      </c>
      <c r="AF3575" t="str">
        <f>"משלוחים ללקוח"</f>
        <v>משלוחים ללקוח</v>
      </c>
      <c r="AG3575" s="1">
        <v>44033</v>
      </c>
      <c r="AM3575" t="str">
        <f>"10"</f>
        <v>10</v>
      </c>
      <c r="AN3575" t="str">
        <f>"500000"</f>
        <v>500000</v>
      </c>
      <c r="AO3575" t="str">
        <f>"הכנסות  מלקוחות"</f>
        <v>הכנסות  מלקוחות</v>
      </c>
      <c r="AQ3575" t="str">
        <f>"034"</f>
        <v>034</v>
      </c>
      <c r="AR3575">
        <v>0</v>
      </c>
      <c r="AS3575">
        <v>0</v>
      </c>
      <c r="AT3575">
        <v>3.42</v>
      </c>
      <c r="AX3575" t="str">
        <f>"E000309897"</f>
        <v>E000309897</v>
      </c>
      <c r="BD3575" t="str">
        <f>"ערן שלו"</f>
        <v>ערן שלו</v>
      </c>
    </row>
    <row r="3576" spans="1:56" x14ac:dyDescent="0.3">
      <c r="A3576" s="1">
        <v>44039</v>
      </c>
      <c r="B3576" t="str">
        <f>"SI206000729"</f>
        <v>SI206000729</v>
      </c>
      <c r="C3576" t="str">
        <f>"PR20000200"</f>
        <v>PR20000200</v>
      </c>
      <c r="E3576" t="str">
        <f>"Y"</f>
        <v>Y</v>
      </c>
      <c r="F3576" t="str">
        <f>"חשבוניות מרכזות"</f>
        <v>חשבוניות מרכזות</v>
      </c>
      <c r="G3576" t="str">
        <f>"700065"</f>
        <v>700065</v>
      </c>
      <c r="H3576" t="str">
        <f>"אלתא מערכות בע""מ"</f>
        <v>אלתא מערכות בע"מ</v>
      </c>
      <c r="I3576" t="str">
        <f>"10"</f>
        <v>10</v>
      </c>
      <c r="J3576" t="str">
        <f>"OP-AR01701"</f>
        <v>OP-AR01701</v>
      </c>
      <c r="K3576" t="str">
        <f>"1020B573-003 P.C.U W2 HARNESS MOTOR POWER"</f>
        <v>1020B573-003 P.C.U W2 HARNESS MOTOR POWER</v>
      </c>
      <c r="L3576">
        <v>4</v>
      </c>
      <c r="M3576" t="str">
        <f>"יח"</f>
        <v>יח</v>
      </c>
      <c r="N3576">
        <v>4</v>
      </c>
      <c r="O3576" t="str">
        <f>"יח"</f>
        <v>יח</v>
      </c>
      <c r="P3576">
        <v>663.36</v>
      </c>
      <c r="Q3576" t="str">
        <f>"$"</f>
        <v>$</v>
      </c>
      <c r="R3576" t="str">
        <f>"הזמנה"</f>
        <v>הזמנה</v>
      </c>
      <c r="S3576">
        <v>0</v>
      </c>
      <c r="T3576" s="2">
        <v>2653.44</v>
      </c>
      <c r="U3576">
        <v>0</v>
      </c>
      <c r="V3576" s="2">
        <v>2653.44</v>
      </c>
      <c r="W3576" t="str">
        <f>"$"</f>
        <v>$</v>
      </c>
      <c r="X3576">
        <v>0</v>
      </c>
      <c r="Y3576">
        <v>0</v>
      </c>
      <c r="Z3576">
        <v>0</v>
      </c>
      <c r="AA3576" t="str">
        <f>"Y"</f>
        <v>Y</v>
      </c>
      <c r="AB3576" t="str">
        <f>"SO20000141"</f>
        <v>SO20000141</v>
      </c>
      <c r="AC3576">
        <v>7</v>
      </c>
      <c r="AD3576" s="1">
        <v>43940</v>
      </c>
      <c r="AE3576" t="str">
        <f>"SH20000957"</f>
        <v>SH20000957</v>
      </c>
      <c r="AF3576" t="str">
        <f>"משלוחים ללקוח"</f>
        <v>משלוחים ללקוח</v>
      </c>
      <c r="AG3576" s="1">
        <v>44033</v>
      </c>
      <c r="AM3576" t="str">
        <f>"10"</f>
        <v>10</v>
      </c>
      <c r="AN3576" t="str">
        <f>"500000"</f>
        <v>500000</v>
      </c>
      <c r="AO3576" t="str">
        <f>"הכנסות  מלקוחות"</f>
        <v>הכנסות  מלקוחות</v>
      </c>
      <c r="AQ3576" t="str">
        <f>"034"</f>
        <v>034</v>
      </c>
      <c r="AR3576">
        <v>0</v>
      </c>
      <c r="AS3576">
        <v>0</v>
      </c>
      <c r="AT3576">
        <v>3.42</v>
      </c>
      <c r="AX3576" t="str">
        <f>"E000308646"</f>
        <v>E000308646</v>
      </c>
      <c r="BD3576" t="str">
        <f>"ערן שלו"</f>
        <v>ערן שלו</v>
      </c>
    </row>
    <row r="3577" spans="1:56" x14ac:dyDescent="0.3">
      <c r="A3577" s="1">
        <v>44039</v>
      </c>
      <c r="B3577" t="str">
        <f>"SI206000729"</f>
        <v>SI206000729</v>
      </c>
      <c r="C3577" t="str">
        <f>"PR20000200"</f>
        <v>PR20000200</v>
      </c>
      <c r="E3577" t="str">
        <f>"Y"</f>
        <v>Y</v>
      </c>
      <c r="F3577" t="str">
        <f>"חשבוניות מרכזות"</f>
        <v>חשבוניות מרכזות</v>
      </c>
      <c r="G3577" t="str">
        <f>"700065"</f>
        <v>700065</v>
      </c>
      <c r="H3577" t="str">
        <f>"אלתא מערכות בע""מ"</f>
        <v>אלתא מערכות בע"מ</v>
      </c>
      <c r="I3577" t="str">
        <f>"10"</f>
        <v>10</v>
      </c>
      <c r="J3577" t="str">
        <f>"OP-AR01703"</f>
        <v>OP-AR01703</v>
      </c>
      <c r="K3577" t="str">
        <f>"1020B570-001 P.C.U HARNESS W4"</f>
        <v>1020B570-001 P.C.U HARNESS W4</v>
      </c>
      <c r="L3577">
        <v>4</v>
      </c>
      <c r="M3577" t="str">
        <f>"יח"</f>
        <v>יח</v>
      </c>
      <c r="N3577">
        <v>4</v>
      </c>
      <c r="O3577" t="str">
        <f>"יח"</f>
        <v>יח</v>
      </c>
      <c r="P3577">
        <v>178.18</v>
      </c>
      <c r="Q3577" t="str">
        <f>"$"</f>
        <v>$</v>
      </c>
      <c r="R3577" t="str">
        <f>"הזמנה"</f>
        <v>הזמנה</v>
      </c>
      <c r="S3577">
        <v>0</v>
      </c>
      <c r="T3577">
        <v>712.72</v>
      </c>
      <c r="U3577">
        <v>0</v>
      </c>
      <c r="V3577">
        <v>712.72</v>
      </c>
      <c r="W3577" t="str">
        <f>"$"</f>
        <v>$</v>
      </c>
      <c r="X3577">
        <v>0</v>
      </c>
      <c r="Y3577">
        <v>0</v>
      </c>
      <c r="Z3577">
        <v>0</v>
      </c>
      <c r="AA3577" t="str">
        <f>"Y"</f>
        <v>Y</v>
      </c>
      <c r="AB3577" t="str">
        <f>"SO20000141"</f>
        <v>SO20000141</v>
      </c>
      <c r="AC3577">
        <v>9</v>
      </c>
      <c r="AD3577" s="1">
        <v>43940</v>
      </c>
      <c r="AE3577" t="str">
        <f>"SH20000957"</f>
        <v>SH20000957</v>
      </c>
      <c r="AF3577" t="str">
        <f>"משלוחים ללקוח"</f>
        <v>משלוחים ללקוח</v>
      </c>
      <c r="AG3577" s="1">
        <v>44033</v>
      </c>
      <c r="AM3577" t="str">
        <f>"10"</f>
        <v>10</v>
      </c>
      <c r="AN3577" t="str">
        <f>"500000"</f>
        <v>500000</v>
      </c>
      <c r="AO3577" t="str">
        <f>"הכנסות  מלקוחות"</f>
        <v>הכנסות  מלקוחות</v>
      </c>
      <c r="AQ3577" t="str">
        <f>"034"</f>
        <v>034</v>
      </c>
      <c r="AR3577">
        <v>0</v>
      </c>
      <c r="AS3577">
        <v>0</v>
      </c>
      <c r="AT3577">
        <v>3.42</v>
      </c>
      <c r="AX3577" t="str">
        <f>"E000308646"</f>
        <v>E000308646</v>
      </c>
      <c r="BD3577" t="str">
        <f>"ערן שלו"</f>
        <v>ערן שלו</v>
      </c>
    </row>
    <row r="3578" spans="1:56" x14ac:dyDescent="0.3">
      <c r="A3578" s="1">
        <v>44039</v>
      </c>
      <c r="B3578" t="str">
        <f>"SI206000728"</f>
        <v>SI206000728</v>
      </c>
      <c r="C3578" t="str">
        <f>"PR20000066"</f>
        <v>PR20000066</v>
      </c>
      <c r="E3578" t="str">
        <f>"Y"</f>
        <v>Y</v>
      </c>
      <c r="F3578" t="str">
        <f>"חשבוניות מרכזות"</f>
        <v>חשבוניות מרכזות</v>
      </c>
      <c r="G3578" t="str">
        <f>"700065"</f>
        <v>700065</v>
      </c>
      <c r="H3578" t="str">
        <f>"אלתא מערכות בע""מ"</f>
        <v>אלתא מערכות בע"מ</v>
      </c>
      <c r="I3578" t="str">
        <f>"10"</f>
        <v>10</v>
      </c>
      <c r="J3578" t="str">
        <f>"OP-AR01616"</f>
        <v>OP-AR01616</v>
      </c>
      <c r="K3578" t="str">
        <f>"1041G103-001 W103 - PWR 220 ANT FRAME TO PS1"</f>
        <v>1041G103-001 W103 - PWR 220 ANT FRAME TO PS1</v>
      </c>
      <c r="L3578">
        <v>1</v>
      </c>
      <c r="M3578" t="str">
        <f>"יח"</f>
        <v>יח</v>
      </c>
      <c r="N3578">
        <v>1</v>
      </c>
      <c r="O3578" t="str">
        <f>"יח"</f>
        <v>יח</v>
      </c>
      <c r="P3578">
        <v>635.87</v>
      </c>
      <c r="Q3578" t="str">
        <f>"$"</f>
        <v>$</v>
      </c>
      <c r="R3578" t="str">
        <f>"הזמנה"</f>
        <v>הזמנה</v>
      </c>
      <c r="S3578">
        <v>0</v>
      </c>
      <c r="T3578">
        <v>635.87</v>
      </c>
      <c r="U3578">
        <v>0</v>
      </c>
      <c r="V3578">
        <v>635.87</v>
      </c>
      <c r="W3578" t="str">
        <f>"$"</f>
        <v>$</v>
      </c>
      <c r="X3578">
        <v>0</v>
      </c>
      <c r="Y3578">
        <v>0</v>
      </c>
      <c r="Z3578">
        <v>0</v>
      </c>
      <c r="AA3578" t="str">
        <f>"Y"</f>
        <v>Y</v>
      </c>
      <c r="AC3578">
        <v>0</v>
      </c>
      <c r="AM3578" t="str">
        <f>"10"</f>
        <v>10</v>
      </c>
      <c r="AN3578" t="str">
        <f>"500000"</f>
        <v>500000</v>
      </c>
      <c r="AO3578" t="str">
        <f>"הכנסות  מלקוחות"</f>
        <v>הכנסות  מלקוחות</v>
      </c>
      <c r="AQ3578" t="str">
        <f>"034"</f>
        <v>034</v>
      </c>
      <c r="AR3578">
        <v>0</v>
      </c>
      <c r="AS3578">
        <v>0</v>
      </c>
      <c r="AT3578">
        <v>3.42</v>
      </c>
      <c r="BB3578" t="str">
        <f>"Y"</f>
        <v>Y</v>
      </c>
      <c r="BD3578" t="str">
        <f>"ערן שלו"</f>
        <v>ערן שלו</v>
      </c>
    </row>
    <row r="3579" spans="1:56" x14ac:dyDescent="0.3">
      <c r="A3579" s="1">
        <v>44039</v>
      </c>
      <c r="B3579" t="str">
        <f>"SI206000728"</f>
        <v>SI206000728</v>
      </c>
      <c r="C3579" t="str">
        <f>"PR20000066"</f>
        <v>PR20000066</v>
      </c>
      <c r="E3579" t="str">
        <f>"Y"</f>
        <v>Y</v>
      </c>
      <c r="F3579" t="str">
        <f>"חשבוניות מרכזות"</f>
        <v>חשבוניות מרכזות</v>
      </c>
      <c r="G3579" t="str">
        <f>"700065"</f>
        <v>700065</v>
      </c>
      <c r="H3579" t="str">
        <f>"אלתא מערכות בע""מ"</f>
        <v>אלתא מערכות בע"מ</v>
      </c>
      <c r="I3579" t="str">
        <f>"10"</f>
        <v>10</v>
      </c>
      <c r="J3579" t="str">
        <f>"OP-AR01617"</f>
        <v>OP-AR01617</v>
      </c>
      <c r="K3579" t="str">
        <f>"1041G104-001 W104 - PWR 220 ANT FRAME TO PS2"</f>
        <v>1041G104-001 W104 - PWR 220 ANT FRAME TO PS2</v>
      </c>
      <c r="L3579">
        <v>1</v>
      </c>
      <c r="M3579" t="str">
        <f>"יח"</f>
        <v>יח</v>
      </c>
      <c r="N3579">
        <v>1</v>
      </c>
      <c r="O3579" t="str">
        <f>"יח"</f>
        <v>יח</v>
      </c>
      <c r="P3579">
        <v>635.87</v>
      </c>
      <c r="Q3579" t="str">
        <f>"$"</f>
        <v>$</v>
      </c>
      <c r="R3579" t="str">
        <f>"הזמנה"</f>
        <v>הזמנה</v>
      </c>
      <c r="S3579">
        <v>0</v>
      </c>
      <c r="T3579">
        <v>635.87</v>
      </c>
      <c r="U3579">
        <v>0</v>
      </c>
      <c r="V3579">
        <v>635.87</v>
      </c>
      <c r="W3579" t="str">
        <f>"$"</f>
        <v>$</v>
      </c>
      <c r="X3579">
        <v>0</v>
      </c>
      <c r="Y3579">
        <v>0</v>
      </c>
      <c r="Z3579">
        <v>0</v>
      </c>
      <c r="AA3579" t="str">
        <f>"Y"</f>
        <v>Y</v>
      </c>
      <c r="AC3579">
        <v>0</v>
      </c>
      <c r="AM3579" t="str">
        <f>"10"</f>
        <v>10</v>
      </c>
      <c r="AN3579" t="str">
        <f>"500000"</f>
        <v>500000</v>
      </c>
      <c r="AO3579" t="str">
        <f>"הכנסות  מלקוחות"</f>
        <v>הכנסות  מלקוחות</v>
      </c>
      <c r="AQ3579" t="str">
        <f>"034"</f>
        <v>034</v>
      </c>
      <c r="AR3579">
        <v>0</v>
      </c>
      <c r="AS3579">
        <v>0</v>
      </c>
      <c r="AT3579">
        <v>3.42</v>
      </c>
      <c r="BB3579" t="str">
        <f>"Y"</f>
        <v>Y</v>
      </c>
      <c r="BD3579" t="str">
        <f>"ערן שלו"</f>
        <v>ערן שלו</v>
      </c>
    </row>
    <row r="3580" spans="1:56" x14ac:dyDescent="0.3">
      <c r="A3580" s="1">
        <v>44039</v>
      </c>
      <c r="B3580" t="str">
        <f>"SI206000728"</f>
        <v>SI206000728</v>
      </c>
      <c r="C3580" t="str">
        <f>"PR20000066"</f>
        <v>PR20000066</v>
      </c>
      <c r="E3580" t="str">
        <f>"Y"</f>
        <v>Y</v>
      </c>
      <c r="F3580" t="str">
        <f>"חשבוניות מרכזות"</f>
        <v>חשבוניות מרכזות</v>
      </c>
      <c r="G3580" t="str">
        <f>"700065"</f>
        <v>700065</v>
      </c>
      <c r="H3580" t="str">
        <f>"אלתא מערכות בע""מ"</f>
        <v>אלתא מערכות בע"מ</v>
      </c>
      <c r="I3580" t="str">
        <f>"10"</f>
        <v>10</v>
      </c>
      <c r="J3580" t="str">
        <f>"OP-AR01625"</f>
        <v>OP-AR01625</v>
      </c>
      <c r="K3580" t="str">
        <f>"1041G202-001 FSC power cable"</f>
        <v>1041G202-001 FSC power cable</v>
      </c>
      <c r="L3580">
        <v>1</v>
      </c>
      <c r="M3580" t="str">
        <f>"יח"</f>
        <v>יח</v>
      </c>
      <c r="N3580">
        <v>1</v>
      </c>
      <c r="O3580" t="str">
        <f>"יח"</f>
        <v>יח</v>
      </c>
      <c r="P3580">
        <v>540.38</v>
      </c>
      <c r="Q3580" t="str">
        <f>"$"</f>
        <v>$</v>
      </c>
      <c r="R3580" t="str">
        <f>"הזמנה"</f>
        <v>הזמנה</v>
      </c>
      <c r="S3580">
        <v>0</v>
      </c>
      <c r="T3580">
        <v>540.38</v>
      </c>
      <c r="U3580">
        <v>0</v>
      </c>
      <c r="V3580">
        <v>540.38</v>
      </c>
      <c r="W3580" t="str">
        <f>"$"</f>
        <v>$</v>
      </c>
      <c r="X3580">
        <v>0</v>
      </c>
      <c r="Y3580">
        <v>0</v>
      </c>
      <c r="Z3580">
        <v>0</v>
      </c>
      <c r="AA3580" t="str">
        <f>"Y"</f>
        <v>Y</v>
      </c>
      <c r="AC3580">
        <v>0</v>
      </c>
      <c r="AM3580" t="str">
        <f>"10"</f>
        <v>10</v>
      </c>
      <c r="AN3580" t="str">
        <f>"500000"</f>
        <v>500000</v>
      </c>
      <c r="AO3580" t="str">
        <f>"הכנסות  מלקוחות"</f>
        <v>הכנסות  מלקוחות</v>
      </c>
      <c r="AQ3580" t="str">
        <f>"034"</f>
        <v>034</v>
      </c>
      <c r="AR3580">
        <v>0</v>
      </c>
      <c r="AS3580">
        <v>0</v>
      </c>
      <c r="AT3580">
        <v>3.42</v>
      </c>
      <c r="BB3580" t="str">
        <f>"Y"</f>
        <v>Y</v>
      </c>
      <c r="BD3580" t="str">
        <f>"ערן שלו"</f>
        <v>ערן שלו</v>
      </c>
    </row>
    <row r="3581" spans="1:56" x14ac:dyDescent="0.3">
      <c r="A3581" s="1">
        <v>44039</v>
      </c>
      <c r="B3581" t="str">
        <f>"SI206000727"</f>
        <v>SI206000727</v>
      </c>
      <c r="C3581" t="str">
        <f>"PR20000354"</f>
        <v>PR20000354</v>
      </c>
      <c r="D3581" t="str">
        <f>"PR20000354"</f>
        <v>PR20000354</v>
      </c>
      <c r="E3581" t="str">
        <f>"Y"</f>
        <v>Y</v>
      </c>
      <c r="F3581" t="str">
        <f>"חשבוניות מרכזות"</f>
        <v>חשבוניות מרכזות</v>
      </c>
      <c r="G3581" t="str">
        <f>"700065"</f>
        <v>700065</v>
      </c>
      <c r="H3581" t="str">
        <f>"אלתא מערכות בע""מ"</f>
        <v>אלתא מערכות בע"מ</v>
      </c>
      <c r="I3581" t="str">
        <f>"10"</f>
        <v>10</v>
      </c>
      <c r="J3581" t="str">
        <f>"OP-AR01823"</f>
        <v>OP-AR01823</v>
      </c>
      <c r="K3581" t="str">
        <f>"1036H251-001 HARNESS WC251 - ETHERNET CABLE"</f>
        <v>1036H251-001 HARNESS WC251 - ETHERNET CABLE</v>
      </c>
      <c r="L3581">
        <v>1</v>
      </c>
      <c r="M3581" t="str">
        <f>"יח"</f>
        <v>יח</v>
      </c>
      <c r="N3581">
        <v>1</v>
      </c>
      <c r="O3581" t="str">
        <f>"יח"</f>
        <v>יח</v>
      </c>
      <c r="P3581">
        <v>442.26</v>
      </c>
      <c r="Q3581" t="str">
        <f>"$"</f>
        <v>$</v>
      </c>
      <c r="R3581" t="str">
        <f>"הזמנה"</f>
        <v>הזמנה</v>
      </c>
      <c r="S3581">
        <v>0</v>
      </c>
      <c r="T3581">
        <v>442.26</v>
      </c>
      <c r="U3581">
        <v>0</v>
      </c>
      <c r="V3581">
        <v>442.26</v>
      </c>
      <c r="W3581" t="str">
        <f>"$"</f>
        <v>$</v>
      </c>
      <c r="X3581">
        <v>0</v>
      </c>
      <c r="Y3581">
        <v>0</v>
      </c>
      <c r="Z3581">
        <v>0</v>
      </c>
      <c r="AA3581" t="str">
        <f>"Y"</f>
        <v>Y</v>
      </c>
      <c r="AB3581" t="str">
        <f>"SO20000214"</f>
        <v>SO20000214</v>
      </c>
      <c r="AC3581">
        <v>1</v>
      </c>
      <c r="AD3581" s="1">
        <v>43978</v>
      </c>
      <c r="AE3581" t="str">
        <f>"SH20000955"</f>
        <v>SH20000955</v>
      </c>
      <c r="AF3581" t="str">
        <f>"משלוחים ללקוח"</f>
        <v>משלוחים ללקוח</v>
      </c>
      <c r="AG3581" s="1">
        <v>44033</v>
      </c>
      <c r="AM3581" t="str">
        <f>"10"</f>
        <v>10</v>
      </c>
      <c r="AN3581" t="str">
        <f>"500000"</f>
        <v>500000</v>
      </c>
      <c r="AO3581" t="str">
        <f>"הכנסות  מלקוחות"</f>
        <v>הכנסות  מלקוחות</v>
      </c>
      <c r="AQ3581" t="str">
        <f>"034"</f>
        <v>034</v>
      </c>
      <c r="AR3581">
        <v>0</v>
      </c>
      <c r="AS3581">
        <v>0</v>
      </c>
      <c r="AT3581">
        <v>3.42</v>
      </c>
      <c r="AX3581" t="str">
        <f>"E000313296"</f>
        <v>E000313296</v>
      </c>
      <c r="BD3581" t="str">
        <f>"ערן שלו"</f>
        <v>ערן שלו</v>
      </c>
    </row>
    <row r="3582" spans="1:56" x14ac:dyDescent="0.3">
      <c r="A3582" s="1">
        <v>44039</v>
      </c>
      <c r="B3582" t="str">
        <f>"SI206000726"</f>
        <v>SI206000726</v>
      </c>
      <c r="C3582" t="str">
        <f>"PR20000110"</f>
        <v>PR20000110</v>
      </c>
      <c r="E3582" t="str">
        <f>"Y"</f>
        <v>Y</v>
      </c>
      <c r="F3582" t="str">
        <f>"חשבוניות מרכזות"</f>
        <v>חשבוניות מרכזות</v>
      </c>
      <c r="G3582" t="str">
        <f>"700065"</f>
        <v>700065</v>
      </c>
      <c r="H3582" t="str">
        <f>"אלתא מערכות בע""מ"</f>
        <v>אלתא מערכות בע"מ</v>
      </c>
      <c r="I3582" t="str">
        <f>"10"</f>
        <v>10</v>
      </c>
      <c r="J3582" t="str">
        <f>"OP-AR01647"</f>
        <v>OP-AR01647</v>
      </c>
      <c r="K3582" t="str">
        <f>"1023B165-001 WA165 POWER SUPPLY TO SGU2"</f>
        <v>1023B165-001 WA165 POWER SUPPLY TO SGU2</v>
      </c>
      <c r="L3582">
        <v>1</v>
      </c>
      <c r="M3582" t="str">
        <f>"יח"</f>
        <v>יח</v>
      </c>
      <c r="N3582">
        <v>1</v>
      </c>
      <c r="O3582" t="str">
        <f>"יח"</f>
        <v>יח</v>
      </c>
      <c r="P3582">
        <v>602.33000000000004</v>
      </c>
      <c r="Q3582" t="str">
        <f>"$"</f>
        <v>$</v>
      </c>
      <c r="R3582" t="str">
        <f>"הזמנה"</f>
        <v>הזמנה</v>
      </c>
      <c r="S3582">
        <v>0</v>
      </c>
      <c r="T3582">
        <v>602.33000000000004</v>
      </c>
      <c r="U3582">
        <v>0</v>
      </c>
      <c r="V3582">
        <v>602.33000000000004</v>
      </c>
      <c r="W3582" t="str">
        <f>"$"</f>
        <v>$</v>
      </c>
      <c r="X3582">
        <v>0</v>
      </c>
      <c r="Y3582">
        <v>0</v>
      </c>
      <c r="Z3582">
        <v>0</v>
      </c>
      <c r="AA3582" t="str">
        <f>"Y"</f>
        <v>Y</v>
      </c>
      <c r="AB3582" t="str">
        <f>"SO20000088"</f>
        <v>SO20000088</v>
      </c>
      <c r="AC3582">
        <v>1</v>
      </c>
      <c r="AD3582" s="1">
        <v>43888</v>
      </c>
      <c r="AE3582" t="str">
        <f>"SH20000954"</f>
        <v>SH20000954</v>
      </c>
      <c r="AF3582" t="str">
        <f>"משלוחים ללקוח"</f>
        <v>משלוחים ללקוח</v>
      </c>
      <c r="AG3582" s="1">
        <v>44033</v>
      </c>
      <c r="AM3582" t="str">
        <f>"10"</f>
        <v>10</v>
      </c>
      <c r="AN3582" t="str">
        <f>"500000"</f>
        <v>500000</v>
      </c>
      <c r="AO3582" t="str">
        <f>"הכנסות  מלקוחות"</f>
        <v>הכנסות  מלקוחות</v>
      </c>
      <c r="AQ3582" t="str">
        <f>"034"</f>
        <v>034</v>
      </c>
      <c r="AR3582">
        <v>0</v>
      </c>
      <c r="AS3582">
        <v>0</v>
      </c>
      <c r="AT3582">
        <v>3.42</v>
      </c>
      <c r="AX3582" t="str">
        <f>"E000306881"</f>
        <v>E000306881</v>
      </c>
      <c r="BD3582" t="str">
        <f>"ערן שלו"</f>
        <v>ערן שלו</v>
      </c>
    </row>
    <row r="3583" spans="1:56" x14ac:dyDescent="0.3">
      <c r="A3583" s="1">
        <v>44039</v>
      </c>
      <c r="B3583" t="str">
        <f>"SI206000724"</f>
        <v>SI206000724</v>
      </c>
      <c r="C3583" t="str">
        <f>"PR19000400"</f>
        <v>PR19000400</v>
      </c>
      <c r="E3583" t="str">
        <f>"Y"</f>
        <v>Y</v>
      </c>
      <c r="F3583" t="str">
        <f>"חשבוניות מרכזות"</f>
        <v>חשבוניות מרכזות</v>
      </c>
      <c r="G3583" t="str">
        <f>"700065"</f>
        <v>700065</v>
      </c>
      <c r="H3583" t="str">
        <f>"אלתא מערכות בע""מ"</f>
        <v>אלתא מערכות בע"מ</v>
      </c>
      <c r="I3583" t="str">
        <f>"10"</f>
        <v>10</v>
      </c>
      <c r="J3583" t="str">
        <f>"OP-KT00091"</f>
        <v>OP-KT00091</v>
      </c>
      <c r="K3583" t="str">
        <f>"P15 EPS CABLE KIT"</f>
        <v>P15 EPS CABLE KIT</v>
      </c>
      <c r="L3583">
        <v>1</v>
      </c>
      <c r="M3583" t="str">
        <f>"יח"</f>
        <v>יח</v>
      </c>
      <c r="N3583">
        <v>1</v>
      </c>
      <c r="O3583" t="str">
        <f>"יח"</f>
        <v>יח</v>
      </c>
      <c r="P3583" s="2">
        <v>45570</v>
      </c>
      <c r="Q3583" t="str">
        <f>"$"</f>
        <v>$</v>
      </c>
      <c r="R3583" t="str">
        <f>"הזמנה"</f>
        <v>הזמנה</v>
      </c>
      <c r="S3583">
        <v>0</v>
      </c>
      <c r="T3583" s="2">
        <v>45570</v>
      </c>
      <c r="U3583">
        <v>0</v>
      </c>
      <c r="V3583" s="2">
        <v>45570</v>
      </c>
      <c r="W3583" t="str">
        <f>"$"</f>
        <v>$</v>
      </c>
      <c r="X3583">
        <v>0</v>
      </c>
      <c r="Y3583">
        <v>0</v>
      </c>
      <c r="Z3583">
        <v>0</v>
      </c>
      <c r="AA3583" t="str">
        <f>"Y"</f>
        <v>Y</v>
      </c>
      <c r="AB3583" t="str">
        <f>"SO20000012"</f>
        <v>SO20000012</v>
      </c>
      <c r="AC3583">
        <v>1</v>
      </c>
      <c r="AD3583" s="1">
        <v>43837</v>
      </c>
      <c r="AE3583" t="str">
        <f>"SH20000945"</f>
        <v>SH20000945</v>
      </c>
      <c r="AF3583" t="str">
        <f>"משלוחים ללקוח"</f>
        <v>משלוחים ללקוח</v>
      </c>
      <c r="AG3583" s="1">
        <v>44032</v>
      </c>
      <c r="AM3583" t="str">
        <f>"10"</f>
        <v>10</v>
      </c>
      <c r="AN3583" t="str">
        <f>"500000"</f>
        <v>500000</v>
      </c>
      <c r="AO3583" t="str">
        <f>"הכנסות  מלקוחות"</f>
        <v>הכנסות  מלקוחות</v>
      </c>
      <c r="AQ3583" t="str">
        <f>"034"</f>
        <v>034</v>
      </c>
      <c r="AR3583">
        <v>0</v>
      </c>
      <c r="AS3583">
        <v>0</v>
      </c>
      <c r="AT3583">
        <v>3.42</v>
      </c>
      <c r="AX3583" t="str">
        <f>"E000301089"</f>
        <v>E000301089</v>
      </c>
      <c r="BD3583" t="str">
        <f>"ערן שלו"</f>
        <v>ערן שלו</v>
      </c>
    </row>
    <row r="3584" spans="1:56" x14ac:dyDescent="0.3">
      <c r="A3584" s="1">
        <v>44039</v>
      </c>
      <c r="B3584" t="str">
        <f>"SI206000724"</f>
        <v>SI206000724</v>
      </c>
      <c r="C3584" t="str">
        <f>"PR19000400"</f>
        <v>PR19000400</v>
      </c>
      <c r="E3584" t="str">
        <f>"Y"</f>
        <v>Y</v>
      </c>
      <c r="F3584" t="str">
        <f>"חשבוניות מרכזות"</f>
        <v>חשבוניות מרכזות</v>
      </c>
      <c r="G3584" t="str">
        <f>"700065"</f>
        <v>700065</v>
      </c>
      <c r="H3584" t="str">
        <f>"אלתא מערכות בע""מ"</f>
        <v>אלתא מערכות בע"מ</v>
      </c>
      <c r="I3584" t="str">
        <f>"10"</f>
        <v>10</v>
      </c>
      <c r="J3584" t="str">
        <f>"OP-KT00091"</f>
        <v>OP-KT00091</v>
      </c>
      <c r="K3584" t="str">
        <f>"P15 EPS CABLE KIT"</f>
        <v>P15 EPS CABLE KIT</v>
      </c>
      <c r="L3584">
        <v>1</v>
      </c>
      <c r="M3584" t="str">
        <f>"יח"</f>
        <v>יח</v>
      </c>
      <c r="N3584">
        <v>1</v>
      </c>
      <c r="O3584" t="str">
        <f>"יח"</f>
        <v>יח</v>
      </c>
      <c r="P3584" s="2">
        <v>45570</v>
      </c>
      <c r="Q3584" t="str">
        <f>"$"</f>
        <v>$</v>
      </c>
      <c r="R3584" t="str">
        <f>"הזמנה"</f>
        <v>הזמנה</v>
      </c>
      <c r="S3584">
        <v>0</v>
      </c>
      <c r="T3584" s="2">
        <v>45570</v>
      </c>
      <c r="U3584">
        <v>0</v>
      </c>
      <c r="V3584" s="2">
        <v>45570</v>
      </c>
      <c r="W3584" t="str">
        <f>"$"</f>
        <v>$</v>
      </c>
      <c r="X3584">
        <v>0</v>
      </c>
      <c r="Y3584">
        <v>0</v>
      </c>
      <c r="Z3584">
        <v>0</v>
      </c>
      <c r="AA3584" t="str">
        <f>"Y"</f>
        <v>Y</v>
      </c>
      <c r="AB3584" t="str">
        <f>"SO20000012"</f>
        <v>SO20000012</v>
      </c>
      <c r="AC3584">
        <v>2</v>
      </c>
      <c r="AD3584" s="1">
        <v>43837</v>
      </c>
      <c r="AE3584" t="str">
        <f>"SH20000945"</f>
        <v>SH20000945</v>
      </c>
      <c r="AF3584" t="str">
        <f>"משלוחים ללקוח"</f>
        <v>משלוחים ללקוח</v>
      </c>
      <c r="AG3584" s="1">
        <v>44032</v>
      </c>
      <c r="AM3584" t="str">
        <f>"10"</f>
        <v>10</v>
      </c>
      <c r="AN3584" t="str">
        <f>"500000"</f>
        <v>500000</v>
      </c>
      <c r="AO3584" t="str">
        <f>"הכנסות  מלקוחות"</f>
        <v>הכנסות  מלקוחות</v>
      </c>
      <c r="AQ3584" t="str">
        <f>"034"</f>
        <v>034</v>
      </c>
      <c r="AR3584">
        <v>0</v>
      </c>
      <c r="AS3584">
        <v>0</v>
      </c>
      <c r="AT3584">
        <v>3.42</v>
      </c>
      <c r="AX3584" t="str">
        <f>"E000301089"</f>
        <v>E000301089</v>
      </c>
      <c r="BD3584" t="str">
        <f>"ערן שלו"</f>
        <v>ערן שלו</v>
      </c>
    </row>
    <row r="3585" spans="1:56" x14ac:dyDescent="0.3">
      <c r="A3585" s="1">
        <v>44039</v>
      </c>
      <c r="B3585" t="str">
        <f>"SI206000723"</f>
        <v>SI206000723</v>
      </c>
      <c r="E3585" t="str">
        <f>"Y"</f>
        <v>Y</v>
      </c>
      <c r="F3585" t="str">
        <f>"חשבוניות מרכזות"</f>
        <v>חשבוניות מרכזות</v>
      </c>
      <c r="G3585" t="str">
        <f>"700065"</f>
        <v>700065</v>
      </c>
      <c r="H3585" t="str">
        <f>"אלתא מערכות בע""מ"</f>
        <v>אלתא מערכות בע"מ</v>
      </c>
      <c r="I3585" t="str">
        <f>"10"</f>
        <v>10</v>
      </c>
      <c r="J3585" t="str">
        <f>"999"</f>
        <v>999</v>
      </c>
      <c r="K3585" t="str">
        <f>"עדכוני תכולה עבור חטיבת +CU"</f>
        <v>עדכוני תכולה עבור חטיבת +CU</v>
      </c>
      <c r="L3585">
        <v>0.5</v>
      </c>
      <c r="M3585" t="str">
        <f>"חל"</f>
        <v>חל</v>
      </c>
      <c r="N3585">
        <v>0.5</v>
      </c>
      <c r="O3585" t="str">
        <f>"חל"</f>
        <v>חל</v>
      </c>
      <c r="P3585" s="2">
        <v>8153.74</v>
      </c>
      <c r="Q3585" t="str">
        <f>"$"</f>
        <v>$</v>
      </c>
      <c r="R3585" t="str">
        <f>"הזמנה"</f>
        <v>הזמנה</v>
      </c>
      <c r="S3585">
        <v>0</v>
      </c>
      <c r="T3585" s="2">
        <v>4076.87</v>
      </c>
      <c r="U3585">
        <v>0</v>
      </c>
      <c r="V3585" s="2">
        <v>4076.87</v>
      </c>
      <c r="W3585" t="str">
        <f>"$"</f>
        <v>$</v>
      </c>
      <c r="X3585">
        <v>0</v>
      </c>
      <c r="Y3585">
        <v>0</v>
      </c>
      <c r="Z3585">
        <v>0</v>
      </c>
      <c r="AA3585" t="str">
        <f>"Y"</f>
        <v>Y</v>
      </c>
      <c r="AB3585" t="str">
        <f>"SO20000219"</f>
        <v>SO20000219</v>
      </c>
      <c r="AC3585">
        <v>1</v>
      </c>
      <c r="AD3585" s="1">
        <v>43982</v>
      </c>
      <c r="AM3585" t="str">
        <f>"10"</f>
        <v>10</v>
      </c>
      <c r="AN3585" t="str">
        <f>"500000"</f>
        <v>500000</v>
      </c>
      <c r="AO3585" t="str">
        <f>"הכנסות  מלקוחות"</f>
        <v>הכנסות  מלקוחות</v>
      </c>
      <c r="AQ3585" t="str">
        <f>"034"</f>
        <v>034</v>
      </c>
      <c r="AR3585">
        <v>0</v>
      </c>
      <c r="AS3585">
        <v>0</v>
      </c>
      <c r="AT3585">
        <v>3.42</v>
      </c>
      <c r="AX3585" t="str">
        <f>"E000312759"</f>
        <v>E000312759</v>
      </c>
      <c r="BD3585" t="str">
        <f>"ערן שלו"</f>
        <v>ערן שלו</v>
      </c>
    </row>
    <row r="3586" spans="1:56" x14ac:dyDescent="0.3">
      <c r="A3586" s="1">
        <v>44038</v>
      </c>
      <c r="B3586" t="str">
        <f>"SI206000742"</f>
        <v>SI206000742</v>
      </c>
      <c r="E3586" t="str">
        <f>"Y"</f>
        <v>Y</v>
      </c>
      <c r="F3586" t="str">
        <f>"חשבוניות מרכזות"</f>
        <v>חשבוניות מרכזות</v>
      </c>
      <c r="G3586" t="str">
        <f>"700065"</f>
        <v>700065</v>
      </c>
      <c r="H3586" t="str">
        <f>"אלתא מערכות בע""מ"</f>
        <v>אלתא מערכות בע"מ</v>
      </c>
      <c r="I3586" t="str">
        <f>"10"</f>
        <v>10</v>
      </c>
      <c r="J3586" t="str">
        <f>"OP-AR01691"</f>
        <v>OP-AR01691</v>
      </c>
      <c r="K3586" t="str">
        <f>"עבור נגדיים הזמנה E000306880"</f>
        <v>עבור נגדיים הזמנה E000306880</v>
      </c>
      <c r="L3586">
        <v>-1</v>
      </c>
      <c r="M3586" t="str">
        <f>"יח"</f>
        <v>יח</v>
      </c>
      <c r="N3586">
        <v>-1</v>
      </c>
      <c r="O3586" t="str">
        <f>"יח"</f>
        <v>יח</v>
      </c>
      <c r="P3586">
        <v>150</v>
      </c>
      <c r="Q3586" t="str">
        <f>"$"</f>
        <v>$</v>
      </c>
      <c r="R3586" t="str">
        <f>"הזמנה"</f>
        <v>הזמנה</v>
      </c>
      <c r="S3586">
        <v>0</v>
      </c>
      <c r="T3586">
        <v>-150</v>
      </c>
      <c r="U3586">
        <v>0</v>
      </c>
      <c r="V3586">
        <v>-150</v>
      </c>
      <c r="W3586" t="str">
        <f>"$"</f>
        <v>$</v>
      </c>
      <c r="X3586">
        <v>0</v>
      </c>
      <c r="Y3586">
        <v>0</v>
      </c>
      <c r="Z3586">
        <v>0</v>
      </c>
      <c r="AA3586" t="str">
        <f>"Y"</f>
        <v>Y</v>
      </c>
      <c r="AC3586">
        <v>0</v>
      </c>
      <c r="AM3586" t="str">
        <f>"10"</f>
        <v>10</v>
      </c>
      <c r="AN3586" t="str">
        <f>"500000"</f>
        <v>500000</v>
      </c>
      <c r="AO3586" t="str">
        <f>"הכנסות  מלקוחות"</f>
        <v>הכנסות  מלקוחות</v>
      </c>
      <c r="AQ3586" t="str">
        <f>"034"</f>
        <v>034</v>
      </c>
      <c r="AR3586">
        <v>0</v>
      </c>
      <c r="AS3586">
        <v>0</v>
      </c>
      <c r="AT3586">
        <v>3.42</v>
      </c>
      <c r="BB3586" t="str">
        <f>"Y"</f>
        <v>Y</v>
      </c>
      <c r="BD3586" t="str">
        <f>"ערן שלו"</f>
        <v>ערן שלו</v>
      </c>
    </row>
    <row r="3587" spans="1:56" x14ac:dyDescent="0.3">
      <c r="A3587" s="1">
        <v>44038</v>
      </c>
      <c r="B3587" t="str">
        <f>"SI206000722"</f>
        <v>SI206000722</v>
      </c>
      <c r="C3587" t="str">
        <f>"PR19000400"</f>
        <v>PR19000400</v>
      </c>
      <c r="D3587" t="str">
        <f>"PR19000400"</f>
        <v>PR19000400</v>
      </c>
      <c r="E3587" t="str">
        <f>"Y"</f>
        <v>Y</v>
      </c>
      <c r="F3587" t="str">
        <f>"חשבוניות מרכזות"</f>
        <v>חשבוניות מרכזות</v>
      </c>
      <c r="G3587" t="str">
        <f>"700065"</f>
        <v>700065</v>
      </c>
      <c r="H3587" t="str">
        <f>"אלתא מערכות בע""מ"</f>
        <v>אלתא מערכות בע"מ</v>
      </c>
      <c r="I3587" t="str">
        <f>"10"</f>
        <v>10</v>
      </c>
      <c r="J3587" t="str">
        <f>"000"</f>
        <v>000</v>
      </c>
      <c r="K3587" t="str">
        <f>"משלוח אווירי"</f>
        <v>משלוח אווירי</v>
      </c>
      <c r="L3587">
        <v>1</v>
      </c>
      <c r="M3587" t="str">
        <f>"יח"</f>
        <v>יח</v>
      </c>
      <c r="N3587">
        <v>1</v>
      </c>
      <c r="O3587" t="str">
        <f>"יח"</f>
        <v>יח</v>
      </c>
      <c r="P3587" s="2">
        <v>3900</v>
      </c>
      <c r="Q3587" t="str">
        <f>"$"</f>
        <v>$</v>
      </c>
      <c r="R3587" t="str">
        <f>"הזמנה"</f>
        <v>הזמנה</v>
      </c>
      <c r="S3587">
        <v>0</v>
      </c>
      <c r="T3587" s="2">
        <v>3900</v>
      </c>
      <c r="U3587">
        <v>0</v>
      </c>
      <c r="V3587" s="2">
        <v>3900</v>
      </c>
      <c r="W3587" t="str">
        <f>"$"</f>
        <v>$</v>
      </c>
      <c r="X3587">
        <v>0</v>
      </c>
      <c r="Y3587">
        <v>0</v>
      </c>
      <c r="Z3587">
        <v>0</v>
      </c>
      <c r="AA3587" t="str">
        <f>"Y"</f>
        <v>Y</v>
      </c>
      <c r="AB3587" t="str">
        <f>"SO20000168"</f>
        <v>SO20000168</v>
      </c>
      <c r="AC3587">
        <v>10</v>
      </c>
      <c r="AD3587" s="1">
        <v>43948</v>
      </c>
      <c r="AM3587" t="str">
        <f>"10"</f>
        <v>10</v>
      </c>
      <c r="AN3587" t="str">
        <f>"500000"</f>
        <v>500000</v>
      </c>
      <c r="AO3587" t="str">
        <f>"הכנסות  מלקוחות"</f>
        <v>הכנסות  מלקוחות</v>
      </c>
      <c r="AQ3587" t="str">
        <f>"034"</f>
        <v>034</v>
      </c>
      <c r="AR3587">
        <v>0</v>
      </c>
      <c r="AS3587">
        <v>0</v>
      </c>
      <c r="AT3587">
        <v>3.42</v>
      </c>
      <c r="AX3587" t="str">
        <f>"E000310582"</f>
        <v>E000310582</v>
      </c>
      <c r="BD3587" t="str">
        <f>"ערן שלו"</f>
        <v>ערן שלו</v>
      </c>
    </row>
    <row r="3588" spans="1:56" x14ac:dyDescent="0.3">
      <c r="A3588" s="1">
        <v>44038</v>
      </c>
      <c r="B3588" t="str">
        <f>"SI206000721"</f>
        <v>SI206000721</v>
      </c>
      <c r="E3588" t="str">
        <f>"Y"</f>
        <v>Y</v>
      </c>
      <c r="F3588" t="str">
        <f>"חשבוניות מרכזות"</f>
        <v>חשבוניות מרכזות</v>
      </c>
      <c r="G3588" t="str">
        <f>"700065"</f>
        <v>700065</v>
      </c>
      <c r="H3588" t="str">
        <f>"אלתא מערכות בע""מ"</f>
        <v>אלתא מערכות בע"מ</v>
      </c>
      <c r="I3588" t="str">
        <f>"10"</f>
        <v>10</v>
      </c>
      <c r="J3588" t="str">
        <f>"OP-AR01611"</f>
        <v>OP-AR01611</v>
      </c>
      <c r="K3588" t="str">
        <f>"נגדיים לכבל 2210B260-001"</f>
        <v>נגדיים לכבל 2210B260-001</v>
      </c>
      <c r="L3588">
        <v>1</v>
      </c>
      <c r="M3588" t="str">
        <f>"יח"</f>
        <v>יח</v>
      </c>
      <c r="N3588">
        <v>1</v>
      </c>
      <c r="O3588" t="str">
        <f>"יח"</f>
        <v>יח</v>
      </c>
      <c r="P3588">
        <v>250</v>
      </c>
      <c r="Q3588" t="str">
        <f>"$"</f>
        <v>$</v>
      </c>
      <c r="R3588" t="str">
        <f>"הזמנה"</f>
        <v>הזמנה</v>
      </c>
      <c r="S3588">
        <v>0</v>
      </c>
      <c r="T3588">
        <v>250</v>
      </c>
      <c r="U3588">
        <v>0</v>
      </c>
      <c r="V3588">
        <v>250</v>
      </c>
      <c r="W3588" t="str">
        <f>"$"</f>
        <v>$</v>
      </c>
      <c r="X3588">
        <v>0</v>
      </c>
      <c r="Y3588">
        <v>0</v>
      </c>
      <c r="Z3588">
        <v>0</v>
      </c>
      <c r="AA3588" t="str">
        <f>"Y"</f>
        <v>Y</v>
      </c>
      <c r="AB3588" t="str">
        <f>"SO20000046"</f>
        <v>SO20000046</v>
      </c>
      <c r="AC3588">
        <v>1</v>
      </c>
      <c r="AD3588" s="1">
        <v>43864</v>
      </c>
      <c r="AM3588" t="str">
        <f>"10"</f>
        <v>10</v>
      </c>
      <c r="AN3588" t="str">
        <f>"500000"</f>
        <v>500000</v>
      </c>
      <c r="AO3588" t="str">
        <f>"הכנסות  מלקוחות"</f>
        <v>הכנסות  מלקוחות</v>
      </c>
      <c r="AQ3588" t="str">
        <f>"034"</f>
        <v>034</v>
      </c>
      <c r="AR3588">
        <v>0</v>
      </c>
      <c r="AS3588">
        <v>0</v>
      </c>
      <c r="AT3588">
        <v>3.42</v>
      </c>
      <c r="AX3588" t="str">
        <f>"E000304544"</f>
        <v>E000304544</v>
      </c>
      <c r="BD3588" t="str">
        <f>"ערן שלו"</f>
        <v>ערן שלו</v>
      </c>
    </row>
    <row r="3589" spans="1:56" x14ac:dyDescent="0.3">
      <c r="A3589" s="1">
        <v>44038</v>
      </c>
      <c r="B3589" t="str">
        <f>"SI206000720"</f>
        <v>SI206000720</v>
      </c>
      <c r="E3589" t="str">
        <f>"Y"</f>
        <v>Y</v>
      </c>
      <c r="F3589" t="str">
        <f>"חשבוניות מרכזות"</f>
        <v>חשבוניות מרכזות</v>
      </c>
      <c r="G3589" t="str">
        <f>"700065"</f>
        <v>700065</v>
      </c>
      <c r="H3589" t="str">
        <f>"אלתא מערכות בע""מ"</f>
        <v>אלתא מערכות בע"מ</v>
      </c>
      <c r="I3589" t="str">
        <f>"10"</f>
        <v>10</v>
      </c>
      <c r="J3589" t="str">
        <f>"OP-AR01691"</f>
        <v>OP-AR01691</v>
      </c>
      <c r="K3589" t="str">
        <f>"עבור נגדיים הזמנה E000306880"</f>
        <v>עבור נגדיים הזמנה E000306880</v>
      </c>
      <c r="L3589">
        <v>1</v>
      </c>
      <c r="M3589" t="str">
        <f>"יח"</f>
        <v>יח</v>
      </c>
      <c r="N3589">
        <v>1</v>
      </c>
      <c r="O3589" t="str">
        <f>"יח"</f>
        <v>יח</v>
      </c>
      <c r="P3589">
        <v>150</v>
      </c>
      <c r="Q3589" t="str">
        <f>"$"</f>
        <v>$</v>
      </c>
      <c r="R3589" t="str">
        <f>"הזמנה"</f>
        <v>הזמנה</v>
      </c>
      <c r="S3589">
        <v>0</v>
      </c>
      <c r="T3589">
        <v>150</v>
      </c>
      <c r="U3589">
        <v>0</v>
      </c>
      <c r="V3589">
        <v>150</v>
      </c>
      <c r="W3589" t="str">
        <f>"$"</f>
        <v>$</v>
      </c>
      <c r="X3589">
        <v>0</v>
      </c>
      <c r="Y3589">
        <v>0</v>
      </c>
      <c r="Z3589">
        <v>0</v>
      </c>
      <c r="AA3589" t="str">
        <f>"Y"</f>
        <v>Y</v>
      </c>
      <c r="AC3589">
        <v>0</v>
      </c>
      <c r="AM3589" t="str">
        <f>"10"</f>
        <v>10</v>
      </c>
      <c r="AN3589" t="str">
        <f>"500000"</f>
        <v>500000</v>
      </c>
      <c r="AO3589" t="str">
        <f>"הכנסות  מלקוחות"</f>
        <v>הכנסות  מלקוחות</v>
      </c>
      <c r="AQ3589" t="str">
        <f>"034"</f>
        <v>034</v>
      </c>
      <c r="AR3589">
        <v>0</v>
      </c>
      <c r="AS3589">
        <v>0</v>
      </c>
      <c r="AT3589">
        <v>3.42</v>
      </c>
      <c r="BB3589" t="str">
        <f>"Y"</f>
        <v>Y</v>
      </c>
      <c r="BD3589" t="str">
        <f>"ערן שלו"</f>
        <v>ערן שלו</v>
      </c>
    </row>
    <row r="3590" spans="1:56" x14ac:dyDescent="0.3">
      <c r="A3590" s="1">
        <v>44032</v>
      </c>
      <c r="B3590" t="str">
        <f>"SI206000700"</f>
        <v>SI206000700</v>
      </c>
      <c r="C3590" t="str">
        <f>"PR20000029"</f>
        <v>PR20000029</v>
      </c>
      <c r="D3590" t="str">
        <f>"PR20000029"</f>
        <v>PR20000029</v>
      </c>
      <c r="E3590" t="str">
        <f>"Y"</f>
        <v>Y</v>
      </c>
      <c r="F3590" t="str">
        <f>"חשבוניות מרכזות"</f>
        <v>חשבוניות מרכזות</v>
      </c>
      <c r="G3590" t="str">
        <f>"700065"</f>
        <v>700065</v>
      </c>
      <c r="H3590" t="str">
        <f>"אלתא מערכות בע""מ"</f>
        <v>אלתא מערכות בע"מ</v>
      </c>
      <c r="I3590" t="str">
        <f>"10"</f>
        <v>10</v>
      </c>
      <c r="J3590" t="str">
        <f>"OP-AR01603"</f>
        <v>OP-AR01603</v>
      </c>
      <c r="K3590" t="str">
        <f>"1034E631-002 HARNESS W631 - EXT REC CL CABLE"</f>
        <v>1034E631-002 HARNESS W631 - EXT REC CL CABLE</v>
      </c>
      <c r="L3590">
        <v>10</v>
      </c>
      <c r="M3590" t="str">
        <f>"יח"</f>
        <v>יח</v>
      </c>
      <c r="N3590">
        <v>10</v>
      </c>
      <c r="O3590" t="str">
        <f>"יח"</f>
        <v>יח</v>
      </c>
      <c r="P3590">
        <v>352.82</v>
      </c>
      <c r="Q3590" t="str">
        <f>"$"</f>
        <v>$</v>
      </c>
      <c r="R3590" t="str">
        <f>"הזמנה"</f>
        <v>הזמנה</v>
      </c>
      <c r="S3590">
        <v>0</v>
      </c>
      <c r="T3590" s="2">
        <v>3528.2</v>
      </c>
      <c r="U3590">
        <v>0</v>
      </c>
      <c r="V3590" s="2">
        <v>3528.2</v>
      </c>
      <c r="W3590" t="str">
        <f>"$"</f>
        <v>$</v>
      </c>
      <c r="X3590">
        <v>0</v>
      </c>
      <c r="Y3590">
        <v>0</v>
      </c>
      <c r="Z3590">
        <v>0</v>
      </c>
      <c r="AA3590" t="str">
        <f>"Y"</f>
        <v>Y</v>
      </c>
      <c r="AB3590" t="str">
        <f>"SO20000029"</f>
        <v>SO20000029</v>
      </c>
      <c r="AC3590">
        <v>1</v>
      </c>
      <c r="AD3590" s="1">
        <v>43852</v>
      </c>
      <c r="AE3590" t="str">
        <f>"SH20000911"</f>
        <v>SH20000911</v>
      </c>
      <c r="AF3590" t="str">
        <f>"משלוחים ללקוח"</f>
        <v>משלוחים ללקוח</v>
      </c>
      <c r="AG3590" s="1">
        <v>44025</v>
      </c>
      <c r="AM3590" t="str">
        <f>"10"</f>
        <v>10</v>
      </c>
      <c r="AN3590" t="str">
        <f>"500000"</f>
        <v>500000</v>
      </c>
      <c r="AO3590" t="str">
        <f>"הכנסות  מלקוחות"</f>
        <v>הכנסות  מלקוחות</v>
      </c>
      <c r="AQ3590" t="str">
        <f>"034"</f>
        <v>034</v>
      </c>
      <c r="AR3590">
        <v>0</v>
      </c>
      <c r="AS3590">
        <v>0</v>
      </c>
      <c r="AT3590">
        <v>3.4470000000000001</v>
      </c>
      <c r="AX3590" t="str">
        <f>"E000303577"</f>
        <v>E000303577</v>
      </c>
      <c r="BD3590" t="str">
        <f>"ערן שלו"</f>
        <v>ערן שלו</v>
      </c>
    </row>
    <row r="3591" spans="1:56" x14ac:dyDescent="0.3">
      <c r="A3591" s="1">
        <v>44032</v>
      </c>
      <c r="B3591" t="str">
        <f>"SI206000699"</f>
        <v>SI206000699</v>
      </c>
      <c r="C3591" t="str">
        <f>"PR20000055"</f>
        <v>PR20000055</v>
      </c>
      <c r="E3591" t="str">
        <f>"Y"</f>
        <v>Y</v>
      </c>
      <c r="F3591" t="str">
        <f>"חשבוניות מרכזות"</f>
        <v>חשבוניות מרכזות</v>
      </c>
      <c r="G3591" t="str">
        <f>"700065"</f>
        <v>700065</v>
      </c>
      <c r="H3591" t="str">
        <f>"אלתא מערכות בע""מ"</f>
        <v>אלתא מערכות בע"מ</v>
      </c>
      <c r="I3591" t="str">
        <f>"10"</f>
        <v>10</v>
      </c>
      <c r="J3591" t="str">
        <f>"OP-AR01612"</f>
        <v>OP-AR01612</v>
      </c>
      <c r="K3591" t="str">
        <f>"1024R212-001 W2-MPC ETH MAINT. CABLE"</f>
        <v>1024R212-001 W2-MPC ETH MAINT. CABLE</v>
      </c>
      <c r="L3591">
        <v>1</v>
      </c>
      <c r="M3591" t="str">
        <f>"יח"</f>
        <v>יח</v>
      </c>
      <c r="N3591">
        <v>1</v>
      </c>
      <c r="O3591" t="str">
        <f>"יח"</f>
        <v>יח</v>
      </c>
      <c r="P3591" s="2">
        <v>1136.3499999999999</v>
      </c>
      <c r="Q3591" t="str">
        <f>"$"</f>
        <v>$</v>
      </c>
      <c r="R3591" t="str">
        <f>"הזמנה"</f>
        <v>הזמנה</v>
      </c>
      <c r="S3591">
        <v>0</v>
      </c>
      <c r="T3591" s="2">
        <v>1136.3499999999999</v>
      </c>
      <c r="U3591">
        <v>0</v>
      </c>
      <c r="V3591" s="2">
        <v>1136.3499999999999</v>
      </c>
      <c r="W3591" t="str">
        <f>"$"</f>
        <v>$</v>
      </c>
      <c r="X3591">
        <v>0</v>
      </c>
      <c r="Y3591">
        <v>0</v>
      </c>
      <c r="Z3591">
        <v>0</v>
      </c>
      <c r="AA3591" t="str">
        <f>"Y"</f>
        <v>Y</v>
      </c>
      <c r="AB3591" t="str">
        <f>"SO20000047"</f>
        <v>SO20000047</v>
      </c>
      <c r="AC3591">
        <v>1</v>
      </c>
      <c r="AD3591" s="1">
        <v>43864</v>
      </c>
      <c r="AE3591" t="str">
        <f>"SH20000909"</f>
        <v>SH20000909</v>
      </c>
      <c r="AF3591" t="str">
        <f>"משלוחים ללקוח"</f>
        <v>משלוחים ללקוח</v>
      </c>
      <c r="AG3591" s="1">
        <v>44025</v>
      </c>
      <c r="AM3591" t="str">
        <f>"10"</f>
        <v>10</v>
      </c>
      <c r="AN3591" t="str">
        <f>"500000"</f>
        <v>500000</v>
      </c>
      <c r="AO3591" t="str">
        <f>"הכנסות  מלקוחות"</f>
        <v>הכנסות  מלקוחות</v>
      </c>
      <c r="AQ3591" t="str">
        <f>"034"</f>
        <v>034</v>
      </c>
      <c r="AR3591">
        <v>0</v>
      </c>
      <c r="AS3591">
        <v>0</v>
      </c>
      <c r="AT3591">
        <v>3.4470000000000001</v>
      </c>
      <c r="AX3591" t="str">
        <f>"E000304282"</f>
        <v>E000304282</v>
      </c>
      <c r="BD3591" t="str">
        <f>"ערן שלו"</f>
        <v>ערן שלו</v>
      </c>
    </row>
    <row r="3592" spans="1:56" x14ac:dyDescent="0.3">
      <c r="A3592" s="1">
        <v>44032</v>
      </c>
      <c r="B3592" t="str">
        <f>"SI206000699"</f>
        <v>SI206000699</v>
      </c>
      <c r="C3592" t="str">
        <f>"PR20000055"</f>
        <v>PR20000055</v>
      </c>
      <c r="E3592" t="str">
        <f>"Y"</f>
        <v>Y</v>
      </c>
      <c r="F3592" t="str">
        <f>"חשבוניות מרכזות"</f>
        <v>חשבוניות מרכזות</v>
      </c>
      <c r="G3592" t="str">
        <f>"700065"</f>
        <v>700065</v>
      </c>
      <c r="H3592" t="str">
        <f>"אלתא מערכות בע""מ"</f>
        <v>אלתא מערכות בע"מ</v>
      </c>
      <c r="I3592" t="str">
        <f>"10"</f>
        <v>10</v>
      </c>
      <c r="J3592" t="str">
        <f>"OP-AR01613"</f>
        <v>OP-AR01613</v>
      </c>
      <c r="K3592" t="str">
        <f>"1030T810-001 W1- MPC OPERATION CABLE"</f>
        <v>1030T810-001 W1- MPC OPERATION CABLE</v>
      </c>
      <c r="L3592">
        <v>3</v>
      </c>
      <c r="M3592" t="str">
        <f>"יח"</f>
        <v>יח</v>
      </c>
      <c r="N3592">
        <v>3</v>
      </c>
      <c r="O3592" t="str">
        <f>"יח"</f>
        <v>יח</v>
      </c>
      <c r="P3592">
        <v>899.22</v>
      </c>
      <c r="Q3592" t="str">
        <f>"$"</f>
        <v>$</v>
      </c>
      <c r="R3592" t="str">
        <f>"הזמנה"</f>
        <v>הזמנה</v>
      </c>
      <c r="S3592">
        <v>0</v>
      </c>
      <c r="T3592" s="2">
        <v>2697.66</v>
      </c>
      <c r="U3592">
        <v>0</v>
      </c>
      <c r="V3592" s="2">
        <v>2697.66</v>
      </c>
      <c r="W3592" t="str">
        <f>"$"</f>
        <v>$</v>
      </c>
      <c r="X3592">
        <v>0</v>
      </c>
      <c r="Y3592">
        <v>0</v>
      </c>
      <c r="Z3592">
        <v>0</v>
      </c>
      <c r="AA3592" t="str">
        <f>"Y"</f>
        <v>Y</v>
      </c>
      <c r="AB3592" t="str">
        <f>"SO20000047"</f>
        <v>SO20000047</v>
      </c>
      <c r="AC3592">
        <v>2</v>
      </c>
      <c r="AD3592" s="1">
        <v>43864</v>
      </c>
      <c r="AE3592" t="str">
        <f>"SH20000909"</f>
        <v>SH20000909</v>
      </c>
      <c r="AF3592" t="str">
        <f>"משלוחים ללקוח"</f>
        <v>משלוחים ללקוח</v>
      </c>
      <c r="AG3592" s="1">
        <v>44025</v>
      </c>
      <c r="AM3592" t="str">
        <f>"10"</f>
        <v>10</v>
      </c>
      <c r="AN3592" t="str">
        <f>"500000"</f>
        <v>500000</v>
      </c>
      <c r="AO3592" t="str">
        <f>"הכנסות  מלקוחות"</f>
        <v>הכנסות  מלקוחות</v>
      </c>
      <c r="AQ3592" t="str">
        <f>"034"</f>
        <v>034</v>
      </c>
      <c r="AR3592">
        <v>0</v>
      </c>
      <c r="AS3592">
        <v>0</v>
      </c>
      <c r="AT3592">
        <v>3.4470000000000001</v>
      </c>
      <c r="AX3592" t="str">
        <f>"E000304282"</f>
        <v>E000304282</v>
      </c>
      <c r="BD3592" t="str">
        <f>"ערן שלו"</f>
        <v>ערן שלו</v>
      </c>
    </row>
    <row r="3593" spans="1:56" x14ac:dyDescent="0.3">
      <c r="A3593" s="1">
        <v>44032</v>
      </c>
      <c r="B3593" t="str">
        <f>"SI206000699"</f>
        <v>SI206000699</v>
      </c>
      <c r="C3593" t="str">
        <f>"PR20000055"</f>
        <v>PR20000055</v>
      </c>
      <c r="E3593" t="str">
        <f>"Y"</f>
        <v>Y</v>
      </c>
      <c r="F3593" t="str">
        <f>"חשבוניות מרכזות"</f>
        <v>חשבוניות מרכזות</v>
      </c>
      <c r="G3593" t="str">
        <f>"700065"</f>
        <v>700065</v>
      </c>
      <c r="H3593" t="str">
        <f>"אלתא מערכות בע""מ"</f>
        <v>אלתא מערכות בע"מ</v>
      </c>
      <c r="I3593" t="str">
        <f>"10"</f>
        <v>10</v>
      </c>
      <c r="J3593" t="str">
        <f>"OP-AR01614"</f>
        <v>OP-AR01614</v>
      </c>
      <c r="K3593" t="str">
        <f>"9008G215-001 MPC TEST CABLE"</f>
        <v>9008G215-001 MPC TEST CABLE</v>
      </c>
      <c r="L3593">
        <v>2</v>
      </c>
      <c r="M3593" t="str">
        <f>"יח"</f>
        <v>יח</v>
      </c>
      <c r="N3593">
        <v>2</v>
      </c>
      <c r="O3593" t="str">
        <f>"יח"</f>
        <v>יח</v>
      </c>
      <c r="P3593">
        <v>441.39</v>
      </c>
      <c r="Q3593" t="str">
        <f>"$"</f>
        <v>$</v>
      </c>
      <c r="R3593" t="str">
        <f>"הזמנה"</f>
        <v>הזמנה</v>
      </c>
      <c r="S3593">
        <v>0</v>
      </c>
      <c r="T3593">
        <v>882.78</v>
      </c>
      <c r="U3593">
        <v>0</v>
      </c>
      <c r="V3593">
        <v>882.78</v>
      </c>
      <c r="W3593" t="str">
        <f>"$"</f>
        <v>$</v>
      </c>
      <c r="X3593">
        <v>0</v>
      </c>
      <c r="Y3593">
        <v>0</v>
      </c>
      <c r="Z3593">
        <v>0</v>
      </c>
      <c r="AA3593" t="str">
        <f>"Y"</f>
        <v>Y</v>
      </c>
      <c r="AB3593" t="str">
        <f>"SO20000047"</f>
        <v>SO20000047</v>
      </c>
      <c r="AC3593">
        <v>3</v>
      </c>
      <c r="AD3593" s="1">
        <v>43864</v>
      </c>
      <c r="AE3593" t="str">
        <f>"SH20000909"</f>
        <v>SH20000909</v>
      </c>
      <c r="AF3593" t="str">
        <f>"משלוחים ללקוח"</f>
        <v>משלוחים ללקוח</v>
      </c>
      <c r="AG3593" s="1">
        <v>44025</v>
      </c>
      <c r="AM3593" t="str">
        <f>"10"</f>
        <v>10</v>
      </c>
      <c r="AN3593" t="str">
        <f>"500000"</f>
        <v>500000</v>
      </c>
      <c r="AO3593" t="str">
        <f>"הכנסות  מלקוחות"</f>
        <v>הכנסות  מלקוחות</v>
      </c>
      <c r="AQ3593" t="str">
        <f>"034"</f>
        <v>034</v>
      </c>
      <c r="AR3593">
        <v>0</v>
      </c>
      <c r="AS3593">
        <v>0</v>
      </c>
      <c r="AT3593">
        <v>3.4470000000000001</v>
      </c>
      <c r="AX3593" t="str">
        <f>"E000304282"</f>
        <v>E000304282</v>
      </c>
      <c r="BD3593" t="str">
        <f>"ערן שלו"</f>
        <v>ערן שלו</v>
      </c>
    </row>
    <row r="3594" spans="1:56" x14ac:dyDescent="0.3">
      <c r="A3594" s="1">
        <v>44032</v>
      </c>
      <c r="B3594" t="str">
        <f>"SI206000698"</f>
        <v>SI206000698</v>
      </c>
      <c r="C3594" t="str">
        <f>"PR20000115"</f>
        <v>PR20000115</v>
      </c>
      <c r="D3594" t="str">
        <f>"PR20000115"</f>
        <v>PR20000115</v>
      </c>
      <c r="E3594" t="str">
        <f>"Y"</f>
        <v>Y</v>
      </c>
      <c r="F3594" t="str">
        <f>"חשבוניות מרכזות"</f>
        <v>חשבוניות מרכזות</v>
      </c>
      <c r="G3594" t="str">
        <f>"700065"</f>
        <v>700065</v>
      </c>
      <c r="H3594" t="str">
        <f>"אלתא מערכות בע""מ"</f>
        <v>אלתא מערכות בע"מ</v>
      </c>
      <c r="I3594" t="str">
        <f>"10"</f>
        <v>10</v>
      </c>
      <c r="J3594" t="str">
        <f>"OP-AR01650"</f>
        <v>OP-AR01650</v>
      </c>
      <c r="K3594" t="str">
        <f>"1041G357-001 W357 - CU RACK TO PEDESTAL - CONTRO"</f>
        <v>1041G357-001 W357 - CU RACK TO PEDESTAL - CONTRO</v>
      </c>
      <c r="L3594">
        <v>1</v>
      </c>
      <c r="M3594" t="str">
        <f>"יח"</f>
        <v>יח</v>
      </c>
      <c r="N3594">
        <v>1</v>
      </c>
      <c r="O3594" t="str">
        <f>"יח"</f>
        <v>יח</v>
      </c>
      <c r="P3594">
        <v>930.53</v>
      </c>
      <c r="Q3594" t="str">
        <f>"$"</f>
        <v>$</v>
      </c>
      <c r="R3594" t="str">
        <f>"הזמנה"</f>
        <v>הזמנה</v>
      </c>
      <c r="S3594">
        <v>0</v>
      </c>
      <c r="T3594">
        <v>930.53</v>
      </c>
      <c r="U3594">
        <v>0</v>
      </c>
      <c r="V3594">
        <v>930.53</v>
      </c>
      <c r="W3594" t="str">
        <f>"$"</f>
        <v>$</v>
      </c>
      <c r="X3594">
        <v>0</v>
      </c>
      <c r="Y3594">
        <v>0</v>
      </c>
      <c r="Z3594">
        <v>0</v>
      </c>
      <c r="AA3594" t="str">
        <f>"Y"</f>
        <v>Y</v>
      </c>
      <c r="AB3594" t="str">
        <f>"SO20000094"</f>
        <v>SO20000094</v>
      </c>
      <c r="AC3594">
        <v>16</v>
      </c>
      <c r="AD3594" s="1">
        <v>43891</v>
      </c>
      <c r="AE3594" t="str">
        <f>"SH20000907"</f>
        <v>SH20000907</v>
      </c>
      <c r="AF3594" t="str">
        <f>"משלוחים ללקוח"</f>
        <v>משלוחים ללקוח</v>
      </c>
      <c r="AG3594" s="1">
        <v>44025</v>
      </c>
      <c r="AM3594" t="str">
        <f>"10"</f>
        <v>10</v>
      </c>
      <c r="AN3594" t="str">
        <f>"500000"</f>
        <v>500000</v>
      </c>
      <c r="AO3594" t="str">
        <f>"הכנסות  מלקוחות"</f>
        <v>הכנסות  מלקוחות</v>
      </c>
      <c r="AQ3594" t="str">
        <f>"034"</f>
        <v>034</v>
      </c>
      <c r="AR3594">
        <v>0</v>
      </c>
      <c r="AS3594">
        <v>0</v>
      </c>
      <c r="AT3594">
        <v>3.4470000000000001</v>
      </c>
      <c r="AX3594" t="str">
        <f>"E000306197"</f>
        <v>E000306197</v>
      </c>
      <c r="BD3594" t="str">
        <f>"ערן שלו"</f>
        <v>ערן שלו</v>
      </c>
    </row>
    <row r="3595" spans="1:56" x14ac:dyDescent="0.3">
      <c r="A3595" s="1">
        <v>44032</v>
      </c>
      <c r="B3595" t="str">
        <f>"SI206000698"</f>
        <v>SI206000698</v>
      </c>
      <c r="C3595" t="str">
        <f>"PR20000115"</f>
        <v>PR20000115</v>
      </c>
      <c r="D3595" t="str">
        <f>"PR20000115"</f>
        <v>PR20000115</v>
      </c>
      <c r="E3595" t="str">
        <f>"Y"</f>
        <v>Y</v>
      </c>
      <c r="F3595" t="str">
        <f>"חשבוניות מרכזות"</f>
        <v>חשבוניות מרכזות</v>
      </c>
      <c r="G3595" t="str">
        <f>"700065"</f>
        <v>700065</v>
      </c>
      <c r="H3595" t="str">
        <f>"אלתא מערכות בע""מ"</f>
        <v>אלתא מערכות בע"מ</v>
      </c>
      <c r="I3595" t="str">
        <f>"10"</f>
        <v>10</v>
      </c>
      <c r="J3595" t="str">
        <f>"OP-AR01651"</f>
        <v>OP-AR01651</v>
      </c>
      <c r="K3595" t="str">
        <f>"1041G323-001 W323-PWR 220GENERATOR TO PEDEST PS1"</f>
        <v>1041G323-001 W323-PWR 220GENERATOR TO PEDEST PS1</v>
      </c>
      <c r="L3595">
        <v>1</v>
      </c>
      <c r="M3595" t="str">
        <f>"יח"</f>
        <v>יח</v>
      </c>
      <c r="N3595">
        <v>1</v>
      </c>
      <c r="O3595" t="str">
        <f>"יח"</f>
        <v>יח</v>
      </c>
      <c r="P3595" s="2">
        <v>1123.81</v>
      </c>
      <c r="Q3595" t="str">
        <f>"$"</f>
        <v>$</v>
      </c>
      <c r="R3595" t="str">
        <f>"הזמנה"</f>
        <v>הזמנה</v>
      </c>
      <c r="S3595">
        <v>0</v>
      </c>
      <c r="T3595" s="2">
        <v>1123.81</v>
      </c>
      <c r="U3595">
        <v>0</v>
      </c>
      <c r="V3595" s="2">
        <v>1123.81</v>
      </c>
      <c r="W3595" t="str">
        <f>"$"</f>
        <v>$</v>
      </c>
      <c r="X3595">
        <v>0</v>
      </c>
      <c r="Y3595">
        <v>0</v>
      </c>
      <c r="Z3595">
        <v>0</v>
      </c>
      <c r="AA3595" t="str">
        <f>"Y"</f>
        <v>Y</v>
      </c>
      <c r="AB3595" t="str">
        <f>"SO20000094"</f>
        <v>SO20000094</v>
      </c>
      <c r="AC3595">
        <v>18</v>
      </c>
      <c r="AD3595" s="1">
        <v>43891</v>
      </c>
      <c r="AE3595" t="str">
        <f>"SH20000907"</f>
        <v>SH20000907</v>
      </c>
      <c r="AF3595" t="str">
        <f>"משלוחים ללקוח"</f>
        <v>משלוחים ללקוח</v>
      </c>
      <c r="AG3595" s="1">
        <v>44025</v>
      </c>
      <c r="AM3595" t="str">
        <f>"10"</f>
        <v>10</v>
      </c>
      <c r="AN3595" t="str">
        <f>"500000"</f>
        <v>500000</v>
      </c>
      <c r="AO3595" t="str">
        <f>"הכנסות  מלקוחות"</f>
        <v>הכנסות  מלקוחות</v>
      </c>
      <c r="AQ3595" t="str">
        <f>"034"</f>
        <v>034</v>
      </c>
      <c r="AR3595">
        <v>0</v>
      </c>
      <c r="AS3595">
        <v>0</v>
      </c>
      <c r="AT3595">
        <v>3.4470000000000001</v>
      </c>
      <c r="AX3595" t="str">
        <f>"E000306197"</f>
        <v>E000306197</v>
      </c>
      <c r="BD3595" t="str">
        <f>"ערן שלו"</f>
        <v>ערן שלו</v>
      </c>
    </row>
    <row r="3596" spans="1:56" x14ac:dyDescent="0.3">
      <c r="A3596" s="1">
        <v>44032</v>
      </c>
      <c r="B3596" t="str">
        <f>"SI206000698"</f>
        <v>SI206000698</v>
      </c>
      <c r="C3596" t="str">
        <f>"PR20000115"</f>
        <v>PR20000115</v>
      </c>
      <c r="D3596" t="str">
        <f>"PR20000115"</f>
        <v>PR20000115</v>
      </c>
      <c r="E3596" t="str">
        <f>"Y"</f>
        <v>Y</v>
      </c>
      <c r="F3596" t="str">
        <f>"חשבוניות מרכזות"</f>
        <v>חשבוניות מרכזות</v>
      </c>
      <c r="G3596" t="str">
        <f>"700065"</f>
        <v>700065</v>
      </c>
      <c r="H3596" t="str">
        <f>"אלתא מערכות בע""מ"</f>
        <v>אלתא מערכות בע"מ</v>
      </c>
      <c r="I3596" t="str">
        <f>"10"</f>
        <v>10</v>
      </c>
      <c r="J3596" t="str">
        <f>"OP-AR01652"</f>
        <v>OP-AR01652</v>
      </c>
      <c r="K3596" t="str">
        <f>"1041G324-001 W32-PWR 220VGENERATOR TO PEDEST PS2"</f>
        <v>1041G324-001 W32-PWR 220VGENERATOR TO PEDEST PS2</v>
      </c>
      <c r="L3596">
        <v>1</v>
      </c>
      <c r="M3596" t="str">
        <f>"יח"</f>
        <v>יח</v>
      </c>
      <c r="N3596">
        <v>1</v>
      </c>
      <c r="O3596" t="str">
        <f>"יח"</f>
        <v>יח</v>
      </c>
      <c r="P3596" s="2">
        <v>1218.08</v>
      </c>
      <c r="Q3596" t="str">
        <f>"$"</f>
        <v>$</v>
      </c>
      <c r="R3596" t="str">
        <f>"הזמנה"</f>
        <v>הזמנה</v>
      </c>
      <c r="S3596">
        <v>0</v>
      </c>
      <c r="T3596" s="2">
        <v>1218.08</v>
      </c>
      <c r="U3596">
        <v>0</v>
      </c>
      <c r="V3596" s="2">
        <v>1218.08</v>
      </c>
      <c r="W3596" t="str">
        <f>"$"</f>
        <v>$</v>
      </c>
      <c r="X3596">
        <v>0</v>
      </c>
      <c r="Y3596">
        <v>0</v>
      </c>
      <c r="Z3596">
        <v>0</v>
      </c>
      <c r="AA3596" t="str">
        <f>"Y"</f>
        <v>Y</v>
      </c>
      <c r="AB3596" t="str">
        <f>"SO20000094"</f>
        <v>SO20000094</v>
      </c>
      <c r="AC3596">
        <v>20</v>
      </c>
      <c r="AD3596" s="1">
        <v>43891</v>
      </c>
      <c r="AE3596" t="str">
        <f>"SH20000907"</f>
        <v>SH20000907</v>
      </c>
      <c r="AF3596" t="str">
        <f>"משלוחים ללקוח"</f>
        <v>משלוחים ללקוח</v>
      </c>
      <c r="AG3596" s="1">
        <v>44025</v>
      </c>
      <c r="AM3596" t="str">
        <f>"10"</f>
        <v>10</v>
      </c>
      <c r="AN3596" t="str">
        <f>"500000"</f>
        <v>500000</v>
      </c>
      <c r="AO3596" t="str">
        <f>"הכנסות  מלקוחות"</f>
        <v>הכנסות  מלקוחות</v>
      </c>
      <c r="AQ3596" t="str">
        <f>"034"</f>
        <v>034</v>
      </c>
      <c r="AR3596">
        <v>0</v>
      </c>
      <c r="AS3596">
        <v>0</v>
      </c>
      <c r="AT3596">
        <v>3.4470000000000001</v>
      </c>
      <c r="AX3596" t="str">
        <f>"E000306197"</f>
        <v>E000306197</v>
      </c>
      <c r="BD3596" t="str">
        <f>"ערן שלו"</f>
        <v>ערן שלו</v>
      </c>
    </row>
    <row r="3597" spans="1:56" x14ac:dyDescent="0.3">
      <c r="A3597" s="1">
        <v>44032</v>
      </c>
      <c r="B3597" t="str">
        <f>"SI206000698"</f>
        <v>SI206000698</v>
      </c>
      <c r="C3597" t="str">
        <f>"PR20000115"</f>
        <v>PR20000115</v>
      </c>
      <c r="D3597" t="str">
        <f>"PR20000115"</f>
        <v>PR20000115</v>
      </c>
      <c r="E3597" t="str">
        <f>"Y"</f>
        <v>Y</v>
      </c>
      <c r="F3597" t="str">
        <f>"חשבוניות מרכזות"</f>
        <v>חשבוניות מרכזות</v>
      </c>
      <c r="G3597" t="str">
        <f>"700065"</f>
        <v>700065</v>
      </c>
      <c r="H3597" t="str">
        <f>"אלתא מערכות בע""מ"</f>
        <v>אלתא מערכות בע"מ</v>
      </c>
      <c r="I3597" t="str">
        <f>"10"</f>
        <v>10</v>
      </c>
      <c r="J3597" t="str">
        <f>"OP-AR01652"</f>
        <v>OP-AR01652</v>
      </c>
      <c r="K3597" t="str">
        <f>"1041G324-001 W32-PWR 220VGENERATOR TO PEDEST PS2"</f>
        <v>1041G324-001 W32-PWR 220VGENERATOR TO PEDEST PS2</v>
      </c>
      <c r="L3597">
        <v>1</v>
      </c>
      <c r="M3597" t="str">
        <f>"יח"</f>
        <v>יח</v>
      </c>
      <c r="N3597">
        <v>1</v>
      </c>
      <c r="O3597" t="str">
        <f>"יח"</f>
        <v>יח</v>
      </c>
      <c r="P3597" s="2">
        <v>1218.08</v>
      </c>
      <c r="Q3597" t="str">
        <f>"$"</f>
        <v>$</v>
      </c>
      <c r="R3597" t="str">
        <f>"הזמנה"</f>
        <v>הזמנה</v>
      </c>
      <c r="S3597">
        <v>0</v>
      </c>
      <c r="T3597" s="2">
        <v>1218.08</v>
      </c>
      <c r="U3597">
        <v>0</v>
      </c>
      <c r="V3597" s="2">
        <v>1218.08</v>
      </c>
      <c r="W3597" t="str">
        <f>"$"</f>
        <v>$</v>
      </c>
      <c r="X3597">
        <v>0</v>
      </c>
      <c r="Y3597">
        <v>0</v>
      </c>
      <c r="Z3597">
        <v>0</v>
      </c>
      <c r="AA3597" t="str">
        <f>"Y"</f>
        <v>Y</v>
      </c>
      <c r="AB3597" t="str">
        <f>"SO20000094"</f>
        <v>SO20000094</v>
      </c>
      <c r="AC3597">
        <v>21</v>
      </c>
      <c r="AD3597" s="1">
        <v>43891</v>
      </c>
      <c r="AE3597" t="str">
        <f>"SH20000907"</f>
        <v>SH20000907</v>
      </c>
      <c r="AF3597" t="str">
        <f>"משלוחים ללקוח"</f>
        <v>משלוחים ללקוח</v>
      </c>
      <c r="AG3597" s="1">
        <v>44025</v>
      </c>
      <c r="AM3597" t="str">
        <f>"10"</f>
        <v>10</v>
      </c>
      <c r="AN3597" t="str">
        <f>"500000"</f>
        <v>500000</v>
      </c>
      <c r="AO3597" t="str">
        <f>"הכנסות  מלקוחות"</f>
        <v>הכנסות  מלקוחות</v>
      </c>
      <c r="AQ3597" t="str">
        <f>"034"</f>
        <v>034</v>
      </c>
      <c r="AR3597">
        <v>0</v>
      </c>
      <c r="AS3597">
        <v>0</v>
      </c>
      <c r="AT3597">
        <v>3.4470000000000001</v>
      </c>
      <c r="AX3597" t="str">
        <f>"E000306197"</f>
        <v>E000306197</v>
      </c>
      <c r="BD3597" t="str">
        <f>"ערן שלו"</f>
        <v>ערן שלו</v>
      </c>
    </row>
    <row r="3598" spans="1:56" x14ac:dyDescent="0.3">
      <c r="A3598" s="1">
        <v>44032</v>
      </c>
      <c r="B3598" t="str">
        <f>"SI206000697"</f>
        <v>SI206000697</v>
      </c>
      <c r="C3598" t="str">
        <f>"PR20000120"</f>
        <v>PR20000120</v>
      </c>
      <c r="D3598" t="str">
        <f>"PR20000120"</f>
        <v>PR20000120</v>
      </c>
      <c r="E3598" t="str">
        <f>"Y"</f>
        <v>Y</v>
      </c>
      <c r="F3598" t="str">
        <f>"חשבוניות מרכזות"</f>
        <v>חשבוניות מרכזות</v>
      </c>
      <c r="G3598" t="str">
        <f>"700065"</f>
        <v>700065</v>
      </c>
      <c r="H3598" t="str">
        <f>"אלתא מערכות בע""מ"</f>
        <v>אלתא מערכות בע"מ</v>
      </c>
      <c r="I3598" t="str">
        <f>"10"</f>
        <v>10</v>
      </c>
      <c r="J3598" t="str">
        <f>"OP-AR01665"</f>
        <v>OP-AR01665</v>
      </c>
      <c r="K3598" t="str">
        <f>"6649E016-001 SYSTEM BUNDLE TO RSU - VELODYNE"</f>
        <v>6649E016-001 SYSTEM BUNDLE TO RSU - VELODYNE</v>
      </c>
      <c r="L3598">
        <v>1</v>
      </c>
      <c r="M3598" t="str">
        <f>"יח"</f>
        <v>יח</v>
      </c>
      <c r="N3598">
        <v>1</v>
      </c>
      <c r="O3598" t="str">
        <f>"יח"</f>
        <v>יח</v>
      </c>
      <c r="P3598">
        <v>956</v>
      </c>
      <c r="Q3598" t="str">
        <f>"$"</f>
        <v>$</v>
      </c>
      <c r="R3598" t="str">
        <f>"הזמנה"</f>
        <v>הזמנה</v>
      </c>
      <c r="S3598">
        <v>0</v>
      </c>
      <c r="T3598">
        <v>956</v>
      </c>
      <c r="U3598">
        <v>0</v>
      </c>
      <c r="V3598">
        <v>956</v>
      </c>
      <c r="W3598" t="str">
        <f>"$"</f>
        <v>$</v>
      </c>
      <c r="X3598">
        <v>0</v>
      </c>
      <c r="Y3598">
        <v>0</v>
      </c>
      <c r="Z3598">
        <v>0</v>
      </c>
      <c r="AA3598" t="str">
        <f>"Y"</f>
        <v>Y</v>
      </c>
      <c r="AB3598" t="str">
        <f>"SO20000103"</f>
        <v>SO20000103</v>
      </c>
      <c r="AC3598">
        <v>9</v>
      </c>
      <c r="AD3598" s="1">
        <v>43899</v>
      </c>
      <c r="AE3598" t="str">
        <f>"SH20000906"</f>
        <v>SH20000906</v>
      </c>
      <c r="AF3598" t="str">
        <f>"משלוחים ללקוח"</f>
        <v>משלוחים ללקוח</v>
      </c>
      <c r="AG3598" s="1">
        <v>44025</v>
      </c>
      <c r="AM3598" t="str">
        <f>"10"</f>
        <v>10</v>
      </c>
      <c r="AN3598" t="str">
        <f>"500000"</f>
        <v>500000</v>
      </c>
      <c r="AO3598" t="str">
        <f>"הכנסות  מלקוחות"</f>
        <v>הכנסות  מלקוחות</v>
      </c>
      <c r="AQ3598" t="str">
        <f>"034"</f>
        <v>034</v>
      </c>
      <c r="AR3598">
        <v>0</v>
      </c>
      <c r="AS3598">
        <v>0</v>
      </c>
      <c r="AT3598">
        <v>3.4470000000000001</v>
      </c>
      <c r="AX3598" t="str">
        <f>"E000306153"</f>
        <v>E000306153</v>
      </c>
      <c r="BD3598" t="str">
        <f>"ערן שלו"</f>
        <v>ערן שלו</v>
      </c>
    </row>
    <row r="3599" spans="1:56" x14ac:dyDescent="0.3">
      <c r="A3599" s="1">
        <v>44032</v>
      </c>
      <c r="B3599" t="str">
        <f>"SI206000697"</f>
        <v>SI206000697</v>
      </c>
      <c r="C3599" t="str">
        <f>"PR20000120"</f>
        <v>PR20000120</v>
      </c>
      <c r="D3599" t="str">
        <f>"PR20000120"</f>
        <v>PR20000120</v>
      </c>
      <c r="E3599" t="str">
        <f>"Y"</f>
        <v>Y</v>
      </c>
      <c r="F3599" t="str">
        <f>"חשבוניות מרכזות"</f>
        <v>חשבוניות מרכזות</v>
      </c>
      <c r="G3599" t="str">
        <f>"700065"</f>
        <v>700065</v>
      </c>
      <c r="H3599" t="str">
        <f>"אלתא מערכות בע""מ"</f>
        <v>אלתא מערכות בע"מ</v>
      </c>
      <c r="I3599" t="str">
        <f>"10"</f>
        <v>10</v>
      </c>
      <c r="J3599" t="str">
        <f>"OP-AR01670"</f>
        <v>OP-AR01670</v>
      </c>
      <c r="K3599" t="str">
        <f>"6660E111-001 W111"</f>
        <v>6660E111-001 W111</v>
      </c>
      <c r="L3599">
        <v>1</v>
      </c>
      <c r="M3599" t="str">
        <f>"יח"</f>
        <v>יח</v>
      </c>
      <c r="N3599">
        <v>1</v>
      </c>
      <c r="O3599" t="str">
        <f>"יח"</f>
        <v>יח</v>
      </c>
      <c r="P3599">
        <v>185.37</v>
      </c>
      <c r="Q3599" t="str">
        <f>"$"</f>
        <v>$</v>
      </c>
      <c r="R3599" t="str">
        <f>"הזמנה"</f>
        <v>הזמנה</v>
      </c>
      <c r="S3599">
        <v>0</v>
      </c>
      <c r="T3599">
        <v>185.37</v>
      </c>
      <c r="U3599">
        <v>0</v>
      </c>
      <c r="V3599">
        <v>185.37</v>
      </c>
      <c r="W3599" t="str">
        <f>"$"</f>
        <v>$</v>
      </c>
      <c r="X3599">
        <v>0</v>
      </c>
      <c r="Y3599">
        <v>0</v>
      </c>
      <c r="Z3599">
        <v>0</v>
      </c>
      <c r="AA3599" t="str">
        <f>"Y"</f>
        <v>Y</v>
      </c>
      <c r="AB3599" t="str">
        <f>"SO20000103"</f>
        <v>SO20000103</v>
      </c>
      <c r="AC3599">
        <v>13</v>
      </c>
      <c r="AD3599" s="1">
        <v>43899</v>
      </c>
      <c r="AE3599" t="str">
        <f>"SH20000906"</f>
        <v>SH20000906</v>
      </c>
      <c r="AF3599" t="str">
        <f>"משלוחים ללקוח"</f>
        <v>משלוחים ללקוח</v>
      </c>
      <c r="AG3599" s="1">
        <v>44025</v>
      </c>
      <c r="AM3599" t="str">
        <f>"10"</f>
        <v>10</v>
      </c>
      <c r="AN3599" t="str">
        <f>"500000"</f>
        <v>500000</v>
      </c>
      <c r="AO3599" t="str">
        <f>"הכנסות  מלקוחות"</f>
        <v>הכנסות  מלקוחות</v>
      </c>
      <c r="AQ3599" t="str">
        <f>"034"</f>
        <v>034</v>
      </c>
      <c r="AR3599">
        <v>0</v>
      </c>
      <c r="AS3599">
        <v>0</v>
      </c>
      <c r="AT3599">
        <v>3.4470000000000001</v>
      </c>
      <c r="AX3599" t="str">
        <f>"E000306153"</f>
        <v>E000306153</v>
      </c>
      <c r="BD3599" t="str">
        <f>"ערן שלו"</f>
        <v>ערן שלו</v>
      </c>
    </row>
    <row r="3600" spans="1:56" x14ac:dyDescent="0.3">
      <c r="A3600" s="1">
        <v>44032</v>
      </c>
      <c r="B3600" t="str">
        <f>"SI206000697"</f>
        <v>SI206000697</v>
      </c>
      <c r="C3600" t="str">
        <f>"PR20000120"</f>
        <v>PR20000120</v>
      </c>
      <c r="D3600" t="str">
        <f>"PR20000120"</f>
        <v>PR20000120</v>
      </c>
      <c r="E3600" t="str">
        <f>"Y"</f>
        <v>Y</v>
      </c>
      <c r="F3600" t="str">
        <f>"חשבוניות מרכזות"</f>
        <v>חשבוניות מרכזות</v>
      </c>
      <c r="G3600" t="str">
        <f>"700065"</f>
        <v>700065</v>
      </c>
      <c r="H3600" t="str">
        <f>"אלתא מערכות בע""מ"</f>
        <v>אלתא מערכות בע"מ</v>
      </c>
      <c r="I3600" t="str">
        <f>"10"</f>
        <v>10</v>
      </c>
      <c r="J3600" t="str">
        <f>"OP-AR01687"</f>
        <v>OP-AR01687</v>
      </c>
      <c r="K3600" t="str">
        <f>"6649E013-001 SYSTEM BUNDLE TO RSU - LOCALIZATION"</f>
        <v>6649E013-001 SYSTEM BUNDLE TO RSU - LOCALIZATION</v>
      </c>
      <c r="L3600">
        <v>1</v>
      </c>
      <c r="M3600" t="str">
        <f>"יח"</f>
        <v>יח</v>
      </c>
      <c r="N3600">
        <v>1</v>
      </c>
      <c r="O3600" t="str">
        <f>"יח"</f>
        <v>יח</v>
      </c>
      <c r="P3600" s="2">
        <v>1460.02</v>
      </c>
      <c r="Q3600" t="str">
        <f>"$"</f>
        <v>$</v>
      </c>
      <c r="R3600" t="str">
        <f>"הזמנה"</f>
        <v>הזמנה</v>
      </c>
      <c r="S3600">
        <v>0</v>
      </c>
      <c r="T3600" s="2">
        <v>1460.02</v>
      </c>
      <c r="U3600">
        <v>0</v>
      </c>
      <c r="V3600" s="2">
        <v>1460.02</v>
      </c>
      <c r="W3600" t="str">
        <f>"$"</f>
        <v>$</v>
      </c>
      <c r="X3600">
        <v>0</v>
      </c>
      <c r="Y3600">
        <v>0</v>
      </c>
      <c r="Z3600">
        <v>0</v>
      </c>
      <c r="AA3600" t="str">
        <f>"Y"</f>
        <v>Y</v>
      </c>
      <c r="AB3600" t="str">
        <f>"SO20000103"</f>
        <v>SO20000103</v>
      </c>
      <c r="AC3600">
        <v>25</v>
      </c>
      <c r="AD3600" s="1">
        <v>43899</v>
      </c>
      <c r="AE3600" t="str">
        <f>"SH20000906"</f>
        <v>SH20000906</v>
      </c>
      <c r="AF3600" t="str">
        <f>"משלוחים ללקוח"</f>
        <v>משלוחים ללקוח</v>
      </c>
      <c r="AG3600" s="1">
        <v>44025</v>
      </c>
      <c r="AM3600" t="str">
        <f>"10"</f>
        <v>10</v>
      </c>
      <c r="AN3600" t="str">
        <f>"500000"</f>
        <v>500000</v>
      </c>
      <c r="AO3600" t="str">
        <f>"הכנסות  מלקוחות"</f>
        <v>הכנסות  מלקוחות</v>
      </c>
      <c r="AQ3600" t="str">
        <f>"034"</f>
        <v>034</v>
      </c>
      <c r="AR3600">
        <v>0</v>
      </c>
      <c r="AS3600">
        <v>0</v>
      </c>
      <c r="AT3600">
        <v>3.4470000000000001</v>
      </c>
      <c r="AX3600" t="str">
        <f>"E000306153"</f>
        <v>E000306153</v>
      </c>
      <c r="BD3600" t="str">
        <f>"ערן שלו"</f>
        <v>ערן שלו</v>
      </c>
    </row>
    <row r="3601" spans="1:56" x14ac:dyDescent="0.3">
      <c r="A3601" s="1">
        <v>44032</v>
      </c>
      <c r="B3601" t="str">
        <f>"SI206000697"</f>
        <v>SI206000697</v>
      </c>
      <c r="C3601" t="str">
        <f>"PR20000120"</f>
        <v>PR20000120</v>
      </c>
      <c r="D3601" t="str">
        <f>"PR20000120"</f>
        <v>PR20000120</v>
      </c>
      <c r="E3601" t="str">
        <f>"Y"</f>
        <v>Y</v>
      </c>
      <c r="F3601" t="str">
        <f>"חשבוניות מרכזות"</f>
        <v>חשבוניות מרכזות</v>
      </c>
      <c r="G3601" t="str">
        <f>"700065"</f>
        <v>700065</v>
      </c>
      <c r="H3601" t="str">
        <f>"אלתא מערכות בע""מ"</f>
        <v>אלתא מערכות בע"מ</v>
      </c>
      <c r="I3601" t="str">
        <f>"10"</f>
        <v>10</v>
      </c>
      <c r="J3601" t="str">
        <f>"OP-AR01689"</f>
        <v>OP-AR01689</v>
      </c>
      <c r="K3601" t="str">
        <f>"6649E014-001 SYSTEM BUNDLE TO RSU - VIDEO"</f>
        <v>6649E014-001 SYSTEM BUNDLE TO RSU - VIDEO</v>
      </c>
      <c r="L3601">
        <v>1</v>
      </c>
      <c r="M3601" t="str">
        <f>"יח"</f>
        <v>יח</v>
      </c>
      <c r="N3601">
        <v>1</v>
      </c>
      <c r="O3601" t="str">
        <f>"יח"</f>
        <v>יח</v>
      </c>
      <c r="P3601" s="2">
        <v>1567</v>
      </c>
      <c r="Q3601" t="str">
        <f>"$"</f>
        <v>$</v>
      </c>
      <c r="R3601" t="str">
        <f>"הזמנה"</f>
        <v>הזמנה</v>
      </c>
      <c r="S3601">
        <v>0</v>
      </c>
      <c r="T3601" s="2">
        <v>1567</v>
      </c>
      <c r="U3601">
        <v>0</v>
      </c>
      <c r="V3601" s="2">
        <v>1567</v>
      </c>
      <c r="W3601" t="str">
        <f>"$"</f>
        <v>$</v>
      </c>
      <c r="X3601">
        <v>0</v>
      </c>
      <c r="Y3601">
        <v>0</v>
      </c>
      <c r="Z3601">
        <v>0</v>
      </c>
      <c r="AA3601" t="str">
        <f>"Y"</f>
        <v>Y</v>
      </c>
      <c r="AB3601" t="str">
        <f>"SO20000103"</f>
        <v>SO20000103</v>
      </c>
      <c r="AC3601">
        <v>26</v>
      </c>
      <c r="AD3601" s="1">
        <v>43899</v>
      </c>
      <c r="AE3601" t="str">
        <f>"SH20000906"</f>
        <v>SH20000906</v>
      </c>
      <c r="AF3601" t="str">
        <f>"משלוחים ללקוח"</f>
        <v>משלוחים ללקוח</v>
      </c>
      <c r="AG3601" s="1">
        <v>44025</v>
      </c>
      <c r="AM3601" t="str">
        <f>"10"</f>
        <v>10</v>
      </c>
      <c r="AN3601" t="str">
        <f>"500000"</f>
        <v>500000</v>
      </c>
      <c r="AO3601" t="str">
        <f>"הכנסות  מלקוחות"</f>
        <v>הכנסות  מלקוחות</v>
      </c>
      <c r="AQ3601" t="str">
        <f>"034"</f>
        <v>034</v>
      </c>
      <c r="AR3601">
        <v>0</v>
      </c>
      <c r="AS3601">
        <v>0</v>
      </c>
      <c r="AT3601">
        <v>3.4470000000000001</v>
      </c>
      <c r="AX3601" t="str">
        <f>"E000306153"</f>
        <v>E000306153</v>
      </c>
      <c r="BD3601" t="str">
        <f>"ערן שלו"</f>
        <v>ערן שלו</v>
      </c>
    </row>
    <row r="3602" spans="1:56" x14ac:dyDescent="0.3">
      <c r="A3602" s="1">
        <v>44032</v>
      </c>
      <c r="B3602" t="str">
        <f>"SI206000696"</f>
        <v>SI206000696</v>
      </c>
      <c r="C3602" t="str">
        <f>"PR19000731"</f>
        <v>PR19000731</v>
      </c>
      <c r="E3602" t="str">
        <f>"Y"</f>
        <v>Y</v>
      </c>
      <c r="F3602" t="str">
        <f>"חשבוניות מרכזות"</f>
        <v>חשבוניות מרכזות</v>
      </c>
      <c r="G3602" t="str">
        <f>"700065"</f>
        <v>700065</v>
      </c>
      <c r="H3602" t="str">
        <f>"אלתא מערכות בע""מ"</f>
        <v>אלתא מערכות בע"מ</v>
      </c>
      <c r="I3602" t="str">
        <f>"10"</f>
        <v>10</v>
      </c>
      <c r="J3602" t="str">
        <f>"OP-AR01586"</f>
        <v>OP-AR01586</v>
      </c>
      <c r="K3602" t="str">
        <f>"9004W746-001 WS106 SHORT PLUG EMP"</f>
        <v>9004W746-001 WS106 SHORT PLUG EMP</v>
      </c>
      <c r="L3602">
        <v>5</v>
      </c>
      <c r="M3602" t="str">
        <f>"יח"</f>
        <v>יח</v>
      </c>
      <c r="N3602">
        <v>5</v>
      </c>
      <c r="O3602" t="str">
        <f>"יח"</f>
        <v>יח</v>
      </c>
      <c r="P3602">
        <v>98.13</v>
      </c>
      <c r="Q3602" t="str">
        <f>"$"</f>
        <v>$</v>
      </c>
      <c r="R3602" t="str">
        <f>"הזמנה"</f>
        <v>הזמנה</v>
      </c>
      <c r="S3602">
        <v>0</v>
      </c>
      <c r="T3602">
        <v>490.65</v>
      </c>
      <c r="U3602">
        <v>0</v>
      </c>
      <c r="V3602">
        <v>490.65</v>
      </c>
      <c r="W3602" t="str">
        <f>"$"</f>
        <v>$</v>
      </c>
      <c r="X3602">
        <v>0</v>
      </c>
      <c r="Y3602">
        <v>0</v>
      </c>
      <c r="Z3602">
        <v>0</v>
      </c>
      <c r="AA3602" t="str">
        <f>"Y"</f>
        <v>Y</v>
      </c>
      <c r="AB3602" t="str">
        <f>"SO19000524"</f>
        <v>SO19000524</v>
      </c>
      <c r="AC3602">
        <v>38</v>
      </c>
      <c r="AD3602" s="1">
        <v>43809</v>
      </c>
      <c r="AE3602" t="str">
        <f>"SH20000912"</f>
        <v>SH20000912</v>
      </c>
      <c r="AF3602" t="str">
        <f>"משלוחים ללקוח"</f>
        <v>משלוחים ללקוח</v>
      </c>
      <c r="AG3602" s="1">
        <v>44025</v>
      </c>
      <c r="AM3602" t="str">
        <f>"10"</f>
        <v>10</v>
      </c>
      <c r="AN3602" t="str">
        <f>"500000"</f>
        <v>500000</v>
      </c>
      <c r="AO3602" t="str">
        <f>"הכנסות  מלקוחות"</f>
        <v>הכנסות  מלקוחות</v>
      </c>
      <c r="AQ3602" t="str">
        <f>"034"</f>
        <v>034</v>
      </c>
      <c r="AR3602">
        <v>0</v>
      </c>
      <c r="AS3602">
        <v>0</v>
      </c>
      <c r="AT3602">
        <v>3.4470000000000001</v>
      </c>
      <c r="AX3602" t="str">
        <f>"E000300228"</f>
        <v>E000300228</v>
      </c>
      <c r="BD3602" t="str">
        <f>"ערן שלו"</f>
        <v>ערן שלו</v>
      </c>
    </row>
    <row r="3603" spans="1:56" x14ac:dyDescent="0.3">
      <c r="A3603" s="1">
        <v>44032</v>
      </c>
      <c r="B3603" t="str">
        <f>"SI206000695"</f>
        <v>SI206000695</v>
      </c>
      <c r="C3603" t="str">
        <f>"PR20000245"</f>
        <v>PR20000245</v>
      </c>
      <c r="D3603" t="str">
        <f>"PR20000245"</f>
        <v>PR20000245</v>
      </c>
      <c r="E3603" t="str">
        <f>"Y"</f>
        <v>Y</v>
      </c>
      <c r="F3603" t="str">
        <f>"חשבוניות מרכזות"</f>
        <v>חשבוניות מרכזות</v>
      </c>
      <c r="G3603" t="str">
        <f>"700065"</f>
        <v>700065</v>
      </c>
      <c r="H3603" t="str">
        <f>"אלתא מערכות בע""מ"</f>
        <v>אלתא מערכות בע"מ</v>
      </c>
      <c r="I3603" t="str">
        <f>"10"</f>
        <v>10</v>
      </c>
      <c r="J3603" t="str">
        <f>"OP-AR01727"</f>
        <v>OP-AR01727</v>
      </c>
      <c r="K3603" t="str">
        <f>"4020F416-001 CABLE ASSY W16"</f>
        <v>4020F416-001 CABLE ASSY W16</v>
      </c>
      <c r="L3603">
        <v>8</v>
      </c>
      <c r="M3603" t="str">
        <f>"יח"</f>
        <v>יח</v>
      </c>
      <c r="N3603">
        <v>8</v>
      </c>
      <c r="O3603" t="str">
        <f>"יח"</f>
        <v>יח</v>
      </c>
      <c r="P3603">
        <v>194.72</v>
      </c>
      <c r="Q3603" t="str">
        <f>"$"</f>
        <v>$</v>
      </c>
      <c r="R3603" t="str">
        <f>"הזמנה"</f>
        <v>הזמנה</v>
      </c>
      <c r="S3603">
        <v>0</v>
      </c>
      <c r="T3603" s="2">
        <v>1557.76</v>
      </c>
      <c r="U3603">
        <v>0</v>
      </c>
      <c r="V3603" s="2">
        <v>1557.76</v>
      </c>
      <c r="W3603" t="str">
        <f>"$"</f>
        <v>$</v>
      </c>
      <c r="X3603">
        <v>0</v>
      </c>
      <c r="Y3603">
        <v>0</v>
      </c>
      <c r="Z3603">
        <v>0</v>
      </c>
      <c r="AA3603" t="str">
        <f>"Y"</f>
        <v>Y</v>
      </c>
      <c r="AB3603" t="str">
        <f>"SO20000174"</f>
        <v>SO20000174</v>
      </c>
      <c r="AC3603">
        <v>5</v>
      </c>
      <c r="AD3603" s="1">
        <v>43954</v>
      </c>
      <c r="AE3603" t="str">
        <f>"SH20000910"</f>
        <v>SH20000910</v>
      </c>
      <c r="AF3603" t="str">
        <f>"משלוחים ללקוח"</f>
        <v>משלוחים ללקוח</v>
      </c>
      <c r="AG3603" s="1">
        <v>44025</v>
      </c>
      <c r="AM3603" t="str">
        <f>"10"</f>
        <v>10</v>
      </c>
      <c r="AN3603" t="str">
        <f>"500000"</f>
        <v>500000</v>
      </c>
      <c r="AO3603" t="str">
        <f>"הכנסות  מלקוחות"</f>
        <v>הכנסות  מלקוחות</v>
      </c>
      <c r="AQ3603" t="str">
        <f>"034"</f>
        <v>034</v>
      </c>
      <c r="AR3603">
        <v>0</v>
      </c>
      <c r="AS3603">
        <v>0</v>
      </c>
      <c r="AT3603">
        <v>3.4470000000000001</v>
      </c>
      <c r="AX3603" t="str">
        <f>"E000309897"</f>
        <v>E000309897</v>
      </c>
      <c r="BD3603" t="str">
        <f>"ערן שלו"</f>
        <v>ערן שלו</v>
      </c>
    </row>
    <row r="3604" spans="1:56" x14ac:dyDescent="0.3">
      <c r="A3604" s="1">
        <v>44032</v>
      </c>
      <c r="B3604" t="str">
        <f>"SI206000694"</f>
        <v>SI206000694</v>
      </c>
      <c r="C3604" t="str">
        <f>"PR20000200"</f>
        <v>PR20000200</v>
      </c>
      <c r="E3604" t="str">
        <f>"Y"</f>
        <v>Y</v>
      </c>
      <c r="F3604" t="str">
        <f>"חשבוניות מרכזות"</f>
        <v>חשבוניות מרכזות</v>
      </c>
      <c r="G3604" t="str">
        <f>"700065"</f>
        <v>700065</v>
      </c>
      <c r="H3604" t="str">
        <f>"אלתא מערכות בע""מ"</f>
        <v>אלתא מערכות בע"מ</v>
      </c>
      <c r="I3604" t="str">
        <f>"10"</f>
        <v>10</v>
      </c>
      <c r="J3604" t="str">
        <f>"OP-AR01699"</f>
        <v>OP-AR01699</v>
      </c>
      <c r="K3604" t="str">
        <f>"1028G927-001 CABLE ASSY CTRL W2"</f>
        <v>1028G927-001 CABLE ASSY CTRL W2</v>
      </c>
      <c r="L3604">
        <v>1</v>
      </c>
      <c r="M3604" t="str">
        <f>"יח"</f>
        <v>יח</v>
      </c>
      <c r="N3604">
        <v>1</v>
      </c>
      <c r="O3604" t="str">
        <f>"יח"</f>
        <v>יח</v>
      </c>
      <c r="P3604">
        <v>280.77999999999997</v>
      </c>
      <c r="Q3604" t="str">
        <f>"$"</f>
        <v>$</v>
      </c>
      <c r="R3604" t="str">
        <f>"הזמנה"</f>
        <v>הזמנה</v>
      </c>
      <c r="S3604">
        <v>0</v>
      </c>
      <c r="T3604">
        <v>280.77999999999997</v>
      </c>
      <c r="U3604">
        <v>0</v>
      </c>
      <c r="V3604">
        <v>280.77999999999997</v>
      </c>
      <c r="W3604" t="str">
        <f>"$"</f>
        <v>$</v>
      </c>
      <c r="X3604">
        <v>0</v>
      </c>
      <c r="Y3604">
        <v>0</v>
      </c>
      <c r="Z3604">
        <v>0</v>
      </c>
      <c r="AA3604" t="str">
        <f>"Y"</f>
        <v>Y</v>
      </c>
      <c r="AB3604" t="str">
        <f>"SO20000141"</f>
        <v>SO20000141</v>
      </c>
      <c r="AC3604">
        <v>5</v>
      </c>
      <c r="AD3604" s="1">
        <v>43940</v>
      </c>
      <c r="AE3604" t="str">
        <f>"SH20000908"</f>
        <v>SH20000908</v>
      </c>
      <c r="AF3604" t="str">
        <f>"משלוחים ללקוח"</f>
        <v>משלוחים ללקוח</v>
      </c>
      <c r="AG3604" s="1">
        <v>44025</v>
      </c>
      <c r="AM3604" t="str">
        <f>"10"</f>
        <v>10</v>
      </c>
      <c r="AN3604" t="str">
        <f>"500000"</f>
        <v>500000</v>
      </c>
      <c r="AO3604" t="str">
        <f>"הכנסות  מלקוחות"</f>
        <v>הכנסות  מלקוחות</v>
      </c>
      <c r="AQ3604" t="str">
        <f>"034"</f>
        <v>034</v>
      </c>
      <c r="AR3604">
        <v>0</v>
      </c>
      <c r="AS3604">
        <v>0</v>
      </c>
      <c r="AT3604">
        <v>3.4470000000000001</v>
      </c>
      <c r="AX3604" t="str">
        <f>"E000308646"</f>
        <v>E000308646</v>
      </c>
      <c r="BD3604" t="str">
        <f>"ערן שלו"</f>
        <v>ערן שלו</v>
      </c>
    </row>
    <row r="3605" spans="1:56" x14ac:dyDescent="0.3">
      <c r="A3605" s="1">
        <v>44032</v>
      </c>
      <c r="B3605" t="str">
        <f>"SI206000691"</f>
        <v>SI206000691</v>
      </c>
      <c r="C3605" t="str">
        <f>"PR20000120"</f>
        <v>PR20000120</v>
      </c>
      <c r="D3605" t="str">
        <f>"PR20000120"</f>
        <v>PR20000120</v>
      </c>
      <c r="E3605" t="str">
        <f>"Y"</f>
        <v>Y</v>
      </c>
      <c r="F3605" t="str">
        <f>"חשבוניות מרכזות"</f>
        <v>חשבוניות מרכזות</v>
      </c>
      <c r="G3605" t="str">
        <f>"700065"</f>
        <v>700065</v>
      </c>
      <c r="H3605" t="str">
        <f>"אלתא מערכות בע""מ"</f>
        <v>אלתא מערכות בע"מ</v>
      </c>
      <c r="I3605" t="str">
        <f>"10"</f>
        <v>10</v>
      </c>
      <c r="J3605" t="str">
        <f>"OP-AR01664"</f>
        <v>OP-AR01664</v>
      </c>
      <c r="K3605" t="str">
        <f>"6649E012-001 SYSTEM BUNDLE TO RSU - COMMUNICATIO"</f>
        <v>6649E012-001 SYSTEM BUNDLE TO RSU - COMMUNICATIO</v>
      </c>
      <c r="L3605">
        <v>1</v>
      </c>
      <c r="M3605" t="str">
        <f>"יח"</f>
        <v>יח</v>
      </c>
      <c r="N3605">
        <v>1</v>
      </c>
      <c r="O3605" t="str">
        <f>"יח"</f>
        <v>יח</v>
      </c>
      <c r="P3605">
        <v>490.17</v>
      </c>
      <c r="Q3605" t="str">
        <f>"$"</f>
        <v>$</v>
      </c>
      <c r="R3605" t="str">
        <f>"הזמנה"</f>
        <v>הזמנה</v>
      </c>
      <c r="S3605">
        <v>0</v>
      </c>
      <c r="T3605">
        <v>490.17</v>
      </c>
      <c r="U3605">
        <v>0</v>
      </c>
      <c r="V3605">
        <v>490.17</v>
      </c>
      <c r="W3605" t="str">
        <f>"$"</f>
        <v>$</v>
      </c>
      <c r="X3605">
        <v>0</v>
      </c>
      <c r="Y3605">
        <v>0</v>
      </c>
      <c r="Z3605">
        <v>0</v>
      </c>
      <c r="AA3605" t="str">
        <f>"Y"</f>
        <v>Y</v>
      </c>
      <c r="AB3605" t="str">
        <f>"SO20000103"</f>
        <v>SO20000103</v>
      </c>
      <c r="AC3605">
        <v>8</v>
      </c>
      <c r="AD3605" s="1">
        <v>43899</v>
      </c>
      <c r="AE3605" t="str">
        <f>"SH20000885"</f>
        <v>SH20000885</v>
      </c>
      <c r="AF3605" t="str">
        <f>"משלוחים ללקוח"</f>
        <v>משלוחים ללקוח</v>
      </c>
      <c r="AG3605" s="1">
        <v>44020</v>
      </c>
      <c r="AM3605" t="str">
        <f>"10"</f>
        <v>10</v>
      </c>
      <c r="AN3605" t="str">
        <f>"500000"</f>
        <v>500000</v>
      </c>
      <c r="AO3605" t="str">
        <f>"הכנסות  מלקוחות"</f>
        <v>הכנסות  מלקוחות</v>
      </c>
      <c r="AQ3605" t="str">
        <f>"034"</f>
        <v>034</v>
      </c>
      <c r="AR3605">
        <v>0</v>
      </c>
      <c r="AS3605">
        <v>0</v>
      </c>
      <c r="AT3605">
        <v>3.4470000000000001</v>
      </c>
      <c r="AX3605" t="str">
        <f>"E000306153"</f>
        <v>E000306153</v>
      </c>
      <c r="BD3605" t="str">
        <f>"ערן שלו"</f>
        <v>ערן שלו</v>
      </c>
    </row>
    <row r="3606" spans="1:56" x14ac:dyDescent="0.3">
      <c r="A3606" s="1">
        <v>44032</v>
      </c>
      <c r="B3606" t="str">
        <f>"SI206000691"</f>
        <v>SI206000691</v>
      </c>
      <c r="C3606" t="str">
        <f>"PR20000120"</f>
        <v>PR20000120</v>
      </c>
      <c r="D3606" t="str">
        <f>"PR20000120"</f>
        <v>PR20000120</v>
      </c>
      <c r="E3606" t="str">
        <f>"Y"</f>
        <v>Y</v>
      </c>
      <c r="F3606" t="str">
        <f>"חשבוניות מרכזות"</f>
        <v>חשבוניות מרכזות</v>
      </c>
      <c r="G3606" t="str">
        <f>"700065"</f>
        <v>700065</v>
      </c>
      <c r="H3606" t="str">
        <f>"אלתא מערכות בע""מ"</f>
        <v>אלתא מערכות בע"מ</v>
      </c>
      <c r="I3606" t="str">
        <f>"10"</f>
        <v>10</v>
      </c>
      <c r="J3606" t="str">
        <f>"OP-AR01667"</f>
        <v>OP-AR01667</v>
      </c>
      <c r="K3606" t="str">
        <f>"6660J719-003 W719"</f>
        <v>6660J719-003 W719</v>
      </c>
      <c r="L3606">
        <v>1</v>
      </c>
      <c r="M3606" t="str">
        <f>"יח"</f>
        <v>יח</v>
      </c>
      <c r="N3606">
        <v>1</v>
      </c>
      <c r="O3606" t="str">
        <f>"יח"</f>
        <v>יח</v>
      </c>
      <c r="P3606">
        <v>558.62</v>
      </c>
      <c r="Q3606" t="str">
        <f>"$"</f>
        <v>$</v>
      </c>
      <c r="R3606" t="str">
        <f>"הזמנה"</f>
        <v>הזמנה</v>
      </c>
      <c r="S3606">
        <v>0</v>
      </c>
      <c r="T3606">
        <v>558.62</v>
      </c>
      <c r="U3606">
        <v>0</v>
      </c>
      <c r="V3606">
        <v>558.62</v>
      </c>
      <c r="W3606" t="str">
        <f>"$"</f>
        <v>$</v>
      </c>
      <c r="X3606">
        <v>0</v>
      </c>
      <c r="Y3606">
        <v>0</v>
      </c>
      <c r="Z3606">
        <v>0</v>
      </c>
      <c r="AA3606" t="str">
        <f>"Y"</f>
        <v>Y</v>
      </c>
      <c r="AB3606" t="str">
        <f>"SO20000103"</f>
        <v>SO20000103</v>
      </c>
      <c r="AC3606">
        <v>11</v>
      </c>
      <c r="AD3606" s="1">
        <v>43899</v>
      </c>
      <c r="AE3606" t="str">
        <f>"SH20000885"</f>
        <v>SH20000885</v>
      </c>
      <c r="AF3606" t="str">
        <f>"משלוחים ללקוח"</f>
        <v>משלוחים ללקוח</v>
      </c>
      <c r="AG3606" s="1">
        <v>44020</v>
      </c>
      <c r="AM3606" t="str">
        <f>"10"</f>
        <v>10</v>
      </c>
      <c r="AN3606" t="str">
        <f>"500000"</f>
        <v>500000</v>
      </c>
      <c r="AO3606" t="str">
        <f>"הכנסות  מלקוחות"</f>
        <v>הכנסות  מלקוחות</v>
      </c>
      <c r="AQ3606" t="str">
        <f>"034"</f>
        <v>034</v>
      </c>
      <c r="AR3606">
        <v>0</v>
      </c>
      <c r="AS3606">
        <v>0</v>
      </c>
      <c r="AT3606">
        <v>3.4470000000000001</v>
      </c>
      <c r="AX3606" t="str">
        <f>"E000306153"</f>
        <v>E000306153</v>
      </c>
      <c r="BD3606" t="str">
        <f>"ערן שלו"</f>
        <v>ערן שלו</v>
      </c>
    </row>
    <row r="3607" spans="1:56" x14ac:dyDescent="0.3">
      <c r="A3607" s="1">
        <v>44032</v>
      </c>
      <c r="B3607" t="str">
        <f>"SI206000691"</f>
        <v>SI206000691</v>
      </c>
      <c r="C3607" t="str">
        <f>"PR20000120"</f>
        <v>PR20000120</v>
      </c>
      <c r="D3607" t="str">
        <f>"PR20000120"</f>
        <v>PR20000120</v>
      </c>
      <c r="E3607" t="str">
        <f>"Y"</f>
        <v>Y</v>
      </c>
      <c r="F3607" t="str">
        <f>"חשבוניות מרכזות"</f>
        <v>חשבוניות מרכזות</v>
      </c>
      <c r="G3607" t="str">
        <f>"700065"</f>
        <v>700065</v>
      </c>
      <c r="H3607" t="str">
        <f>"אלתא מערכות בע""מ"</f>
        <v>אלתא מערכות בע"מ</v>
      </c>
      <c r="I3607" t="str">
        <f>"10"</f>
        <v>10</v>
      </c>
      <c r="J3607" t="str">
        <f>"OP-AR01668"</f>
        <v>OP-AR01668</v>
      </c>
      <c r="K3607" t="str">
        <f>"6660J891-001 W891"</f>
        <v>6660J891-001 W891</v>
      </c>
      <c r="L3607">
        <v>2</v>
      </c>
      <c r="M3607" t="str">
        <f>"יח"</f>
        <v>יח</v>
      </c>
      <c r="N3607">
        <v>2</v>
      </c>
      <c r="O3607" t="str">
        <f>"יח"</f>
        <v>יח</v>
      </c>
      <c r="P3607">
        <v>254.19</v>
      </c>
      <c r="Q3607" t="str">
        <f>"$"</f>
        <v>$</v>
      </c>
      <c r="R3607" t="str">
        <f>"הזמנה"</f>
        <v>הזמנה</v>
      </c>
      <c r="S3607">
        <v>0</v>
      </c>
      <c r="T3607">
        <v>508.38</v>
      </c>
      <c r="U3607">
        <v>0</v>
      </c>
      <c r="V3607">
        <v>508.38</v>
      </c>
      <c r="W3607" t="str">
        <f>"$"</f>
        <v>$</v>
      </c>
      <c r="X3607">
        <v>0</v>
      </c>
      <c r="Y3607">
        <v>0</v>
      </c>
      <c r="Z3607">
        <v>0</v>
      </c>
      <c r="AA3607" t="str">
        <f>"Y"</f>
        <v>Y</v>
      </c>
      <c r="AB3607" t="str">
        <f>"SO20000103"</f>
        <v>SO20000103</v>
      </c>
      <c r="AC3607">
        <v>12</v>
      </c>
      <c r="AD3607" s="1">
        <v>43899</v>
      </c>
      <c r="AE3607" t="str">
        <f>"SH20000885"</f>
        <v>SH20000885</v>
      </c>
      <c r="AF3607" t="str">
        <f>"משלוחים ללקוח"</f>
        <v>משלוחים ללקוח</v>
      </c>
      <c r="AG3607" s="1">
        <v>44020</v>
      </c>
      <c r="AM3607" t="str">
        <f>"10"</f>
        <v>10</v>
      </c>
      <c r="AN3607" t="str">
        <f>"500000"</f>
        <v>500000</v>
      </c>
      <c r="AO3607" t="str">
        <f>"הכנסות  מלקוחות"</f>
        <v>הכנסות  מלקוחות</v>
      </c>
      <c r="AQ3607" t="str">
        <f>"034"</f>
        <v>034</v>
      </c>
      <c r="AR3607">
        <v>0</v>
      </c>
      <c r="AS3607">
        <v>0</v>
      </c>
      <c r="AT3607">
        <v>3.4470000000000001</v>
      </c>
      <c r="AX3607" t="str">
        <f>"E000306153"</f>
        <v>E000306153</v>
      </c>
      <c r="BD3607" t="str">
        <f>"ערן שלו"</f>
        <v>ערן שלו</v>
      </c>
    </row>
    <row r="3608" spans="1:56" x14ac:dyDescent="0.3">
      <c r="A3608" s="1">
        <v>44032</v>
      </c>
      <c r="B3608" t="str">
        <f>"SI206000691"</f>
        <v>SI206000691</v>
      </c>
      <c r="C3608" t="str">
        <f>"PR20000120"</f>
        <v>PR20000120</v>
      </c>
      <c r="D3608" t="str">
        <f>"PR20000120"</f>
        <v>PR20000120</v>
      </c>
      <c r="E3608" t="str">
        <f>"Y"</f>
        <v>Y</v>
      </c>
      <c r="F3608" t="str">
        <f>"חשבוניות מרכזות"</f>
        <v>חשבוניות מרכזות</v>
      </c>
      <c r="G3608" t="str">
        <f>"700065"</f>
        <v>700065</v>
      </c>
      <c r="H3608" t="str">
        <f>"אלתא מערכות בע""מ"</f>
        <v>אלתא מערכות בע"מ</v>
      </c>
      <c r="I3608" t="str">
        <f>"10"</f>
        <v>10</v>
      </c>
      <c r="J3608" t="str">
        <f>"OP-AR01679"</f>
        <v>OP-AR01679</v>
      </c>
      <c r="K3608" t="str">
        <f>"6649E632-001 ANT DOMO N TYPE -TBDM- N TYPE"</f>
        <v>6649E632-001 ANT DOMO N TYPE -TBDM- N TYPE</v>
      </c>
      <c r="L3608">
        <v>1</v>
      </c>
      <c r="M3608" t="str">
        <f>"יח"</f>
        <v>יח</v>
      </c>
      <c r="N3608">
        <v>1</v>
      </c>
      <c r="O3608" t="str">
        <f>"יח"</f>
        <v>יח</v>
      </c>
      <c r="P3608">
        <v>307.08</v>
      </c>
      <c r="Q3608" t="str">
        <f>"$"</f>
        <v>$</v>
      </c>
      <c r="R3608" t="str">
        <f>"הזמנה"</f>
        <v>הזמנה</v>
      </c>
      <c r="S3608">
        <v>0</v>
      </c>
      <c r="T3608">
        <v>307.08</v>
      </c>
      <c r="U3608">
        <v>0</v>
      </c>
      <c r="V3608">
        <v>307.08</v>
      </c>
      <c r="W3608" t="str">
        <f>"$"</f>
        <v>$</v>
      </c>
      <c r="X3608">
        <v>0</v>
      </c>
      <c r="Y3608">
        <v>0</v>
      </c>
      <c r="Z3608">
        <v>0</v>
      </c>
      <c r="AA3608" t="str">
        <f>"Y"</f>
        <v>Y</v>
      </c>
      <c r="AB3608" t="str">
        <f>"SO20000103"</f>
        <v>SO20000103</v>
      </c>
      <c r="AC3608">
        <v>17</v>
      </c>
      <c r="AD3608" s="1">
        <v>43899</v>
      </c>
      <c r="AE3608" t="str">
        <f>"SH20000885"</f>
        <v>SH20000885</v>
      </c>
      <c r="AF3608" t="str">
        <f>"משלוחים ללקוח"</f>
        <v>משלוחים ללקוח</v>
      </c>
      <c r="AG3608" s="1">
        <v>44020</v>
      </c>
      <c r="AM3608" t="str">
        <f>"10"</f>
        <v>10</v>
      </c>
      <c r="AN3608" t="str">
        <f>"500000"</f>
        <v>500000</v>
      </c>
      <c r="AO3608" t="str">
        <f>"הכנסות  מלקוחות"</f>
        <v>הכנסות  מלקוחות</v>
      </c>
      <c r="AQ3608" t="str">
        <f>"034"</f>
        <v>034</v>
      </c>
      <c r="AR3608">
        <v>0</v>
      </c>
      <c r="AS3608">
        <v>0</v>
      </c>
      <c r="AT3608">
        <v>3.4470000000000001</v>
      </c>
      <c r="AX3608" t="str">
        <f>"E000306153"</f>
        <v>E000306153</v>
      </c>
      <c r="BD3608" t="str">
        <f>"ערן שלו"</f>
        <v>ערן שלו</v>
      </c>
    </row>
    <row r="3609" spans="1:56" x14ac:dyDescent="0.3">
      <c r="A3609" s="1">
        <v>44032</v>
      </c>
      <c r="B3609" t="str">
        <f>"SI206000691"</f>
        <v>SI206000691</v>
      </c>
      <c r="C3609" t="str">
        <f>"PR20000120"</f>
        <v>PR20000120</v>
      </c>
      <c r="D3609" t="str">
        <f>"PR20000120"</f>
        <v>PR20000120</v>
      </c>
      <c r="E3609" t="str">
        <f>"Y"</f>
        <v>Y</v>
      </c>
      <c r="F3609" t="str">
        <f>"חשבוניות מרכזות"</f>
        <v>חשבוניות מרכזות</v>
      </c>
      <c r="G3609" t="str">
        <f>"700065"</f>
        <v>700065</v>
      </c>
      <c r="H3609" t="str">
        <f>"אלתא מערכות בע""מ"</f>
        <v>אלתא מערכות בע"מ</v>
      </c>
      <c r="I3609" t="str">
        <f>"10"</f>
        <v>10</v>
      </c>
      <c r="J3609" t="str">
        <f>"OP-AR01681"</f>
        <v>OP-AR01681</v>
      </c>
      <c r="K3609" t="str">
        <f>"6649J011-001 W7001"</f>
        <v>6649J011-001 W7001</v>
      </c>
      <c r="L3609">
        <v>1</v>
      </c>
      <c r="M3609" t="str">
        <f>"יח"</f>
        <v>יח</v>
      </c>
      <c r="N3609">
        <v>1</v>
      </c>
      <c r="O3609" t="str">
        <f>"יח"</f>
        <v>יח</v>
      </c>
      <c r="P3609" s="2">
        <v>1349.28</v>
      </c>
      <c r="Q3609" t="str">
        <f>"$"</f>
        <v>$</v>
      </c>
      <c r="R3609" t="str">
        <f>"הזמנה"</f>
        <v>הזמנה</v>
      </c>
      <c r="S3609">
        <v>0</v>
      </c>
      <c r="T3609" s="2">
        <v>1349.28</v>
      </c>
      <c r="U3609">
        <v>0</v>
      </c>
      <c r="V3609" s="2">
        <v>1349.28</v>
      </c>
      <c r="W3609" t="str">
        <f>"$"</f>
        <v>$</v>
      </c>
      <c r="X3609">
        <v>0</v>
      </c>
      <c r="Y3609">
        <v>0</v>
      </c>
      <c r="Z3609">
        <v>0</v>
      </c>
      <c r="AA3609" t="str">
        <f>"Y"</f>
        <v>Y</v>
      </c>
      <c r="AB3609" t="str">
        <f>"SO20000103"</f>
        <v>SO20000103</v>
      </c>
      <c r="AC3609">
        <v>18</v>
      </c>
      <c r="AD3609" s="1">
        <v>43899</v>
      </c>
      <c r="AE3609" t="str">
        <f>"SH20000885"</f>
        <v>SH20000885</v>
      </c>
      <c r="AF3609" t="str">
        <f>"משלוחים ללקוח"</f>
        <v>משלוחים ללקוח</v>
      </c>
      <c r="AG3609" s="1">
        <v>44020</v>
      </c>
      <c r="AM3609" t="str">
        <f>"10"</f>
        <v>10</v>
      </c>
      <c r="AN3609" t="str">
        <f>"500000"</f>
        <v>500000</v>
      </c>
      <c r="AO3609" t="str">
        <f>"הכנסות  מלקוחות"</f>
        <v>הכנסות  מלקוחות</v>
      </c>
      <c r="AQ3609" t="str">
        <f>"034"</f>
        <v>034</v>
      </c>
      <c r="AR3609">
        <v>0</v>
      </c>
      <c r="AS3609">
        <v>0</v>
      </c>
      <c r="AT3609">
        <v>3.4470000000000001</v>
      </c>
      <c r="AX3609" t="str">
        <f>"E000306153"</f>
        <v>E000306153</v>
      </c>
      <c r="BD3609" t="str">
        <f>"ערן שלו"</f>
        <v>ערן שלו</v>
      </c>
    </row>
    <row r="3610" spans="1:56" x14ac:dyDescent="0.3">
      <c r="A3610" s="1">
        <v>44032</v>
      </c>
      <c r="B3610" t="str">
        <f>"SI206000691"</f>
        <v>SI206000691</v>
      </c>
      <c r="C3610" t="str">
        <f>"PR20000120"</f>
        <v>PR20000120</v>
      </c>
      <c r="D3610" t="str">
        <f>"PR20000120"</f>
        <v>PR20000120</v>
      </c>
      <c r="E3610" t="str">
        <f>"Y"</f>
        <v>Y</v>
      </c>
      <c r="F3610" t="str">
        <f>"חשבוניות מרכזות"</f>
        <v>חשבוניות מרכזות</v>
      </c>
      <c r="G3610" t="str">
        <f>"700065"</f>
        <v>700065</v>
      </c>
      <c r="H3610" t="str">
        <f>"אלתא מערכות בע""מ"</f>
        <v>אלתא מערכות בע"מ</v>
      </c>
      <c r="I3610" t="str">
        <f>"10"</f>
        <v>10</v>
      </c>
      <c r="J3610" t="str">
        <f>"OP-AR01685"</f>
        <v>OP-AR01685</v>
      </c>
      <c r="K3610" t="str">
        <f>"6660J731-001 W731"</f>
        <v>6660J731-001 W731</v>
      </c>
      <c r="L3610">
        <v>1</v>
      </c>
      <c r="M3610" t="str">
        <f>"יח"</f>
        <v>יח</v>
      </c>
      <c r="N3610">
        <v>1</v>
      </c>
      <c r="O3610" t="str">
        <f>"יח"</f>
        <v>יח</v>
      </c>
      <c r="P3610">
        <v>402.48</v>
      </c>
      <c r="Q3610" t="str">
        <f>"$"</f>
        <v>$</v>
      </c>
      <c r="R3610" t="str">
        <f>"הזמנה"</f>
        <v>הזמנה</v>
      </c>
      <c r="S3610">
        <v>0</v>
      </c>
      <c r="T3610">
        <v>402.48</v>
      </c>
      <c r="U3610">
        <v>0</v>
      </c>
      <c r="V3610">
        <v>402.48</v>
      </c>
      <c r="W3610" t="str">
        <f>"$"</f>
        <v>$</v>
      </c>
      <c r="X3610">
        <v>0</v>
      </c>
      <c r="Y3610">
        <v>0</v>
      </c>
      <c r="Z3610">
        <v>0</v>
      </c>
      <c r="AA3610" t="str">
        <f>"Y"</f>
        <v>Y</v>
      </c>
      <c r="AB3610" t="str">
        <f>"SO20000103"</f>
        <v>SO20000103</v>
      </c>
      <c r="AC3610">
        <v>22</v>
      </c>
      <c r="AD3610" s="1">
        <v>43899</v>
      </c>
      <c r="AE3610" t="str">
        <f>"SH20000885"</f>
        <v>SH20000885</v>
      </c>
      <c r="AF3610" t="str">
        <f>"משלוחים ללקוח"</f>
        <v>משלוחים ללקוח</v>
      </c>
      <c r="AG3610" s="1">
        <v>44020</v>
      </c>
      <c r="AM3610" t="str">
        <f>"10"</f>
        <v>10</v>
      </c>
      <c r="AN3610" t="str">
        <f>"500000"</f>
        <v>500000</v>
      </c>
      <c r="AO3610" t="str">
        <f>"הכנסות  מלקוחות"</f>
        <v>הכנסות  מלקוחות</v>
      </c>
      <c r="AQ3610" t="str">
        <f>"034"</f>
        <v>034</v>
      </c>
      <c r="AR3610">
        <v>0</v>
      </c>
      <c r="AS3610">
        <v>0</v>
      </c>
      <c r="AT3610">
        <v>3.4470000000000001</v>
      </c>
      <c r="AX3610" t="str">
        <f>"E000306153"</f>
        <v>E000306153</v>
      </c>
      <c r="BD3610" t="str">
        <f>"ערן שלו"</f>
        <v>ערן שלו</v>
      </c>
    </row>
    <row r="3611" spans="1:56" x14ac:dyDescent="0.3">
      <c r="A3611" s="1">
        <v>44032</v>
      </c>
      <c r="B3611" t="str">
        <f>"SI206000690"</f>
        <v>SI206000690</v>
      </c>
      <c r="C3611" t="str">
        <f>"PR20000120"</f>
        <v>PR20000120</v>
      </c>
      <c r="E3611" t="str">
        <f>"Y"</f>
        <v>Y</v>
      </c>
      <c r="F3611" t="str">
        <f>"חשבוניות מרכזות"</f>
        <v>חשבוניות מרכזות</v>
      </c>
      <c r="G3611" t="str">
        <f>"700065"</f>
        <v>700065</v>
      </c>
      <c r="H3611" t="str">
        <f>"אלתא מערכות בע""מ"</f>
        <v>אלתא מערכות בע"מ</v>
      </c>
      <c r="I3611" t="str">
        <f>"10"</f>
        <v>10</v>
      </c>
      <c r="J3611" t="str">
        <f>"OP-AR01664"</f>
        <v>OP-AR01664</v>
      </c>
      <c r="K3611" t="str">
        <f>"6649E012-001 SYSTEM BUNDLE TO RSU - COMMUNICATIO"</f>
        <v>6649E012-001 SYSTEM BUNDLE TO RSU - COMMUNICATIO</v>
      </c>
      <c r="L3611">
        <v>-1</v>
      </c>
      <c r="M3611" t="str">
        <f>"יח"</f>
        <v>יח</v>
      </c>
      <c r="N3611">
        <v>-1</v>
      </c>
      <c r="O3611" t="str">
        <f>"יח"</f>
        <v>יח</v>
      </c>
      <c r="P3611">
        <v>490.17</v>
      </c>
      <c r="Q3611" t="str">
        <f>"$"</f>
        <v>$</v>
      </c>
      <c r="R3611" t="str">
        <f>"הזמנה"</f>
        <v>הזמנה</v>
      </c>
      <c r="S3611">
        <v>0</v>
      </c>
      <c r="T3611">
        <v>-490.17</v>
      </c>
      <c r="U3611">
        <v>0</v>
      </c>
      <c r="V3611">
        <v>-490.17</v>
      </c>
      <c r="W3611" t="str">
        <f>"$"</f>
        <v>$</v>
      </c>
      <c r="X3611">
        <v>0</v>
      </c>
      <c r="Y3611">
        <v>0</v>
      </c>
      <c r="Z3611">
        <v>0</v>
      </c>
      <c r="AA3611" t="str">
        <f>"Y"</f>
        <v>Y</v>
      </c>
      <c r="AC3611">
        <v>0</v>
      </c>
      <c r="AM3611" t="str">
        <f>"10"</f>
        <v>10</v>
      </c>
      <c r="AN3611" t="str">
        <f>"500000"</f>
        <v>500000</v>
      </c>
      <c r="AO3611" t="str">
        <f>"הכנסות  מלקוחות"</f>
        <v>הכנסות  מלקוחות</v>
      </c>
      <c r="AQ3611" t="str">
        <f>"034"</f>
        <v>034</v>
      </c>
      <c r="AR3611">
        <v>0</v>
      </c>
      <c r="AS3611">
        <v>0</v>
      </c>
      <c r="AT3611">
        <v>3.4470000000000001</v>
      </c>
      <c r="BB3611" t="str">
        <f>"Y"</f>
        <v>Y</v>
      </c>
      <c r="BD3611" t="str">
        <f>"ערן שלו"</f>
        <v>ערן שלו</v>
      </c>
    </row>
    <row r="3612" spans="1:56" x14ac:dyDescent="0.3">
      <c r="A3612" s="1">
        <v>44032</v>
      </c>
      <c r="B3612" t="str">
        <f>"SI206000690"</f>
        <v>SI206000690</v>
      </c>
      <c r="C3612" t="str">
        <f>"PR20000120"</f>
        <v>PR20000120</v>
      </c>
      <c r="E3612" t="str">
        <f>"Y"</f>
        <v>Y</v>
      </c>
      <c r="F3612" t="str">
        <f>"חשבוניות מרכזות"</f>
        <v>חשבוניות מרכזות</v>
      </c>
      <c r="G3612" t="str">
        <f>"700065"</f>
        <v>700065</v>
      </c>
      <c r="H3612" t="str">
        <f>"אלתא מערכות בע""מ"</f>
        <v>אלתא מערכות בע"מ</v>
      </c>
      <c r="I3612" t="str">
        <f>"10"</f>
        <v>10</v>
      </c>
      <c r="J3612" t="str">
        <f>"OP-AR01667"</f>
        <v>OP-AR01667</v>
      </c>
      <c r="K3612" t="str">
        <f>"6660J719-003 W719"</f>
        <v>6660J719-003 W719</v>
      </c>
      <c r="L3612">
        <v>-1</v>
      </c>
      <c r="M3612" t="str">
        <f>"יח"</f>
        <v>יח</v>
      </c>
      <c r="N3612">
        <v>-1</v>
      </c>
      <c r="O3612" t="str">
        <f>"יח"</f>
        <v>יח</v>
      </c>
      <c r="P3612">
        <v>558.62</v>
      </c>
      <c r="Q3612" t="str">
        <f>"$"</f>
        <v>$</v>
      </c>
      <c r="R3612" t="str">
        <f>"הזמנה"</f>
        <v>הזמנה</v>
      </c>
      <c r="S3612">
        <v>0</v>
      </c>
      <c r="T3612">
        <v>-558.62</v>
      </c>
      <c r="U3612">
        <v>0</v>
      </c>
      <c r="V3612">
        <v>-558.62</v>
      </c>
      <c r="W3612" t="str">
        <f>"$"</f>
        <v>$</v>
      </c>
      <c r="X3612">
        <v>0</v>
      </c>
      <c r="Y3612">
        <v>0</v>
      </c>
      <c r="Z3612">
        <v>0</v>
      </c>
      <c r="AA3612" t="str">
        <f>"Y"</f>
        <v>Y</v>
      </c>
      <c r="AC3612">
        <v>0</v>
      </c>
      <c r="AM3612" t="str">
        <f>"10"</f>
        <v>10</v>
      </c>
      <c r="AN3612" t="str">
        <f>"500000"</f>
        <v>500000</v>
      </c>
      <c r="AO3612" t="str">
        <f>"הכנסות  מלקוחות"</f>
        <v>הכנסות  מלקוחות</v>
      </c>
      <c r="AQ3612" t="str">
        <f>"034"</f>
        <v>034</v>
      </c>
      <c r="AR3612">
        <v>0</v>
      </c>
      <c r="AS3612">
        <v>0</v>
      </c>
      <c r="AT3612">
        <v>3.4470000000000001</v>
      </c>
      <c r="BB3612" t="str">
        <f>"Y"</f>
        <v>Y</v>
      </c>
      <c r="BD3612" t="str">
        <f>"ערן שלו"</f>
        <v>ערן שלו</v>
      </c>
    </row>
    <row r="3613" spans="1:56" x14ac:dyDescent="0.3">
      <c r="A3613" s="1">
        <v>44032</v>
      </c>
      <c r="B3613" t="str">
        <f>"SI206000690"</f>
        <v>SI206000690</v>
      </c>
      <c r="C3613" t="str">
        <f>"PR20000120"</f>
        <v>PR20000120</v>
      </c>
      <c r="E3613" t="str">
        <f>"Y"</f>
        <v>Y</v>
      </c>
      <c r="F3613" t="str">
        <f>"חשבוניות מרכזות"</f>
        <v>חשבוניות מרכזות</v>
      </c>
      <c r="G3613" t="str">
        <f>"700065"</f>
        <v>700065</v>
      </c>
      <c r="H3613" t="str">
        <f>"אלתא מערכות בע""מ"</f>
        <v>אלתא מערכות בע"מ</v>
      </c>
      <c r="I3613" t="str">
        <f>"10"</f>
        <v>10</v>
      </c>
      <c r="J3613" t="str">
        <f>"OP-AR01668"</f>
        <v>OP-AR01668</v>
      </c>
      <c r="K3613" t="str">
        <f>"6660J891-001 W891"</f>
        <v>6660J891-001 W891</v>
      </c>
      <c r="L3613">
        <v>-2</v>
      </c>
      <c r="M3613" t="str">
        <f>"יח"</f>
        <v>יח</v>
      </c>
      <c r="N3613">
        <v>-2</v>
      </c>
      <c r="O3613" t="str">
        <f>"יח"</f>
        <v>יח</v>
      </c>
      <c r="P3613">
        <v>508.38</v>
      </c>
      <c r="Q3613" t="str">
        <f>"$"</f>
        <v>$</v>
      </c>
      <c r="R3613" t="str">
        <f>"הזמנה"</f>
        <v>הזמנה</v>
      </c>
      <c r="S3613">
        <v>0</v>
      </c>
      <c r="T3613" s="2">
        <v>-1016.76</v>
      </c>
      <c r="U3613">
        <v>0</v>
      </c>
      <c r="V3613" s="2">
        <v>-1016.76</v>
      </c>
      <c r="W3613" t="str">
        <f>"$"</f>
        <v>$</v>
      </c>
      <c r="X3613">
        <v>0</v>
      </c>
      <c r="Y3613">
        <v>0</v>
      </c>
      <c r="Z3613">
        <v>0</v>
      </c>
      <c r="AA3613" t="str">
        <f>"Y"</f>
        <v>Y</v>
      </c>
      <c r="AC3613">
        <v>0</v>
      </c>
      <c r="AM3613" t="str">
        <f>"10"</f>
        <v>10</v>
      </c>
      <c r="AN3613" t="str">
        <f>"500000"</f>
        <v>500000</v>
      </c>
      <c r="AO3613" t="str">
        <f>"הכנסות  מלקוחות"</f>
        <v>הכנסות  מלקוחות</v>
      </c>
      <c r="AQ3613" t="str">
        <f>"034"</f>
        <v>034</v>
      </c>
      <c r="AR3613">
        <v>0</v>
      </c>
      <c r="AS3613">
        <v>0</v>
      </c>
      <c r="AT3613">
        <v>3.4470000000000001</v>
      </c>
      <c r="BB3613" t="str">
        <f>"Y"</f>
        <v>Y</v>
      </c>
      <c r="BD3613" t="str">
        <f>"ערן שלו"</f>
        <v>ערן שלו</v>
      </c>
    </row>
    <row r="3614" spans="1:56" x14ac:dyDescent="0.3">
      <c r="A3614" s="1">
        <v>44032</v>
      </c>
      <c r="B3614" t="str">
        <f>"SI206000690"</f>
        <v>SI206000690</v>
      </c>
      <c r="C3614" t="str">
        <f>"PR20000120"</f>
        <v>PR20000120</v>
      </c>
      <c r="E3614" t="str">
        <f>"Y"</f>
        <v>Y</v>
      </c>
      <c r="F3614" t="str">
        <f>"חשבוניות מרכזות"</f>
        <v>חשבוניות מרכזות</v>
      </c>
      <c r="G3614" t="str">
        <f>"700065"</f>
        <v>700065</v>
      </c>
      <c r="H3614" t="str">
        <f>"אלתא מערכות בע""מ"</f>
        <v>אלתא מערכות בע"מ</v>
      </c>
      <c r="I3614" t="str">
        <f>"10"</f>
        <v>10</v>
      </c>
      <c r="J3614" t="str">
        <f>"OP-AR01679"</f>
        <v>OP-AR01679</v>
      </c>
      <c r="K3614" t="str">
        <f>"6649E632-001 ANT DOMO N TYPE -TBDM- N TYPE"</f>
        <v>6649E632-001 ANT DOMO N TYPE -TBDM- N TYPE</v>
      </c>
      <c r="L3614">
        <v>-1</v>
      </c>
      <c r="M3614" t="str">
        <f>"יח"</f>
        <v>יח</v>
      </c>
      <c r="N3614">
        <v>-1</v>
      </c>
      <c r="O3614" t="str">
        <f>"יח"</f>
        <v>יח</v>
      </c>
      <c r="P3614">
        <v>307.08</v>
      </c>
      <c r="Q3614" t="str">
        <f>"$"</f>
        <v>$</v>
      </c>
      <c r="R3614" t="str">
        <f>"הזמנה"</f>
        <v>הזמנה</v>
      </c>
      <c r="S3614">
        <v>0</v>
      </c>
      <c r="T3614">
        <v>-307.08</v>
      </c>
      <c r="U3614">
        <v>0</v>
      </c>
      <c r="V3614">
        <v>-307.08</v>
      </c>
      <c r="W3614" t="str">
        <f>"$"</f>
        <v>$</v>
      </c>
      <c r="X3614">
        <v>0</v>
      </c>
      <c r="Y3614">
        <v>0</v>
      </c>
      <c r="Z3614">
        <v>0</v>
      </c>
      <c r="AA3614" t="str">
        <f>"Y"</f>
        <v>Y</v>
      </c>
      <c r="AC3614">
        <v>0</v>
      </c>
      <c r="AM3614" t="str">
        <f>"10"</f>
        <v>10</v>
      </c>
      <c r="AN3614" t="str">
        <f>"500000"</f>
        <v>500000</v>
      </c>
      <c r="AO3614" t="str">
        <f>"הכנסות  מלקוחות"</f>
        <v>הכנסות  מלקוחות</v>
      </c>
      <c r="AQ3614" t="str">
        <f>"034"</f>
        <v>034</v>
      </c>
      <c r="AR3614">
        <v>0</v>
      </c>
      <c r="AS3614">
        <v>0</v>
      </c>
      <c r="AT3614">
        <v>3.4470000000000001</v>
      </c>
      <c r="BB3614" t="str">
        <f>"Y"</f>
        <v>Y</v>
      </c>
      <c r="BD3614" t="str">
        <f>"ערן שלו"</f>
        <v>ערן שלו</v>
      </c>
    </row>
    <row r="3615" spans="1:56" x14ac:dyDescent="0.3">
      <c r="A3615" s="1">
        <v>44032</v>
      </c>
      <c r="B3615" t="str">
        <f>"SI206000690"</f>
        <v>SI206000690</v>
      </c>
      <c r="C3615" t="str">
        <f>"PR20000120"</f>
        <v>PR20000120</v>
      </c>
      <c r="E3615" t="str">
        <f>"Y"</f>
        <v>Y</v>
      </c>
      <c r="F3615" t="str">
        <f>"חשבוניות מרכזות"</f>
        <v>חשבוניות מרכזות</v>
      </c>
      <c r="G3615" t="str">
        <f>"700065"</f>
        <v>700065</v>
      </c>
      <c r="H3615" t="str">
        <f>"אלתא מערכות בע""מ"</f>
        <v>אלתא מערכות בע"מ</v>
      </c>
      <c r="I3615" t="str">
        <f>"10"</f>
        <v>10</v>
      </c>
      <c r="J3615" t="str">
        <f>"OP-AR01681"</f>
        <v>OP-AR01681</v>
      </c>
      <c r="K3615" t="str">
        <f>"6649J011-001 W7001"</f>
        <v>6649J011-001 W7001</v>
      </c>
      <c r="L3615">
        <v>-1</v>
      </c>
      <c r="M3615" t="str">
        <f>"יח"</f>
        <v>יח</v>
      </c>
      <c r="N3615">
        <v>-1</v>
      </c>
      <c r="O3615" t="str">
        <f>"יח"</f>
        <v>יח</v>
      </c>
      <c r="P3615" s="2">
        <v>1349.28</v>
      </c>
      <c r="Q3615" t="str">
        <f>"$"</f>
        <v>$</v>
      </c>
      <c r="R3615" t="str">
        <f>"הזמנה"</f>
        <v>הזמנה</v>
      </c>
      <c r="S3615">
        <v>0</v>
      </c>
      <c r="T3615" s="2">
        <v>-1349.28</v>
      </c>
      <c r="U3615">
        <v>0</v>
      </c>
      <c r="V3615" s="2">
        <v>-1349.28</v>
      </c>
      <c r="W3615" t="str">
        <f>"$"</f>
        <v>$</v>
      </c>
      <c r="X3615">
        <v>0</v>
      </c>
      <c r="Y3615">
        <v>0</v>
      </c>
      <c r="Z3615">
        <v>0</v>
      </c>
      <c r="AA3615" t="str">
        <f>"Y"</f>
        <v>Y</v>
      </c>
      <c r="AC3615">
        <v>0</v>
      </c>
      <c r="AM3615" t="str">
        <f>"10"</f>
        <v>10</v>
      </c>
      <c r="AN3615" t="str">
        <f>"500000"</f>
        <v>500000</v>
      </c>
      <c r="AO3615" t="str">
        <f>"הכנסות  מלקוחות"</f>
        <v>הכנסות  מלקוחות</v>
      </c>
      <c r="AQ3615" t="str">
        <f>"034"</f>
        <v>034</v>
      </c>
      <c r="AR3615">
        <v>0</v>
      </c>
      <c r="AS3615">
        <v>0</v>
      </c>
      <c r="AT3615">
        <v>3.4470000000000001</v>
      </c>
      <c r="BB3615" t="str">
        <f>"Y"</f>
        <v>Y</v>
      </c>
      <c r="BD3615" t="str">
        <f>"ערן שלו"</f>
        <v>ערן שלו</v>
      </c>
    </row>
    <row r="3616" spans="1:56" x14ac:dyDescent="0.3">
      <c r="A3616" s="1">
        <v>44032</v>
      </c>
      <c r="B3616" t="str">
        <f>"SI206000690"</f>
        <v>SI206000690</v>
      </c>
      <c r="C3616" t="str">
        <f>"PR20000120"</f>
        <v>PR20000120</v>
      </c>
      <c r="E3616" t="str">
        <f>"Y"</f>
        <v>Y</v>
      </c>
      <c r="F3616" t="str">
        <f>"חשבוניות מרכזות"</f>
        <v>חשבוניות מרכזות</v>
      </c>
      <c r="G3616" t="str">
        <f>"700065"</f>
        <v>700065</v>
      </c>
      <c r="H3616" t="str">
        <f>"אלתא מערכות בע""מ"</f>
        <v>אלתא מערכות בע"מ</v>
      </c>
      <c r="I3616" t="str">
        <f>"10"</f>
        <v>10</v>
      </c>
      <c r="J3616" t="str">
        <f>"OP-AR01685"</f>
        <v>OP-AR01685</v>
      </c>
      <c r="K3616" t="str">
        <f>"6660J731-001 W731"</f>
        <v>6660J731-001 W731</v>
      </c>
      <c r="L3616">
        <v>-1</v>
      </c>
      <c r="M3616" t="str">
        <f>"יח"</f>
        <v>יח</v>
      </c>
      <c r="N3616">
        <v>-1</v>
      </c>
      <c r="O3616" t="str">
        <f>"יח"</f>
        <v>יח</v>
      </c>
      <c r="P3616">
        <v>402.48</v>
      </c>
      <c r="Q3616" t="str">
        <f>"$"</f>
        <v>$</v>
      </c>
      <c r="R3616" t="str">
        <f>"הזמנה"</f>
        <v>הזמנה</v>
      </c>
      <c r="S3616">
        <v>0</v>
      </c>
      <c r="T3616">
        <v>-402.48</v>
      </c>
      <c r="U3616">
        <v>0</v>
      </c>
      <c r="V3616">
        <v>-402.48</v>
      </c>
      <c r="W3616" t="str">
        <f>"$"</f>
        <v>$</v>
      </c>
      <c r="X3616">
        <v>0</v>
      </c>
      <c r="Y3616">
        <v>0</v>
      </c>
      <c r="Z3616">
        <v>0</v>
      </c>
      <c r="AA3616" t="str">
        <f>"Y"</f>
        <v>Y</v>
      </c>
      <c r="AC3616">
        <v>0</v>
      </c>
      <c r="AM3616" t="str">
        <f>"10"</f>
        <v>10</v>
      </c>
      <c r="AN3616" t="str">
        <f>"500000"</f>
        <v>500000</v>
      </c>
      <c r="AO3616" t="str">
        <f>"הכנסות  מלקוחות"</f>
        <v>הכנסות  מלקוחות</v>
      </c>
      <c r="AQ3616" t="str">
        <f>"034"</f>
        <v>034</v>
      </c>
      <c r="AR3616">
        <v>0</v>
      </c>
      <c r="AS3616">
        <v>0</v>
      </c>
      <c r="AT3616">
        <v>3.4470000000000001</v>
      </c>
      <c r="BB3616" t="str">
        <f>"Y"</f>
        <v>Y</v>
      </c>
      <c r="BD3616" t="str">
        <f>"ערן שלו"</f>
        <v>ערן שלו</v>
      </c>
    </row>
    <row r="3617" spans="1:56" x14ac:dyDescent="0.3">
      <c r="A3617" s="1">
        <v>44032</v>
      </c>
      <c r="B3617" t="str">
        <f>"SI206000689"</f>
        <v>SI206000689</v>
      </c>
      <c r="C3617" t="str">
        <f>"PR20000115"</f>
        <v>PR20000115</v>
      </c>
      <c r="D3617" t="str">
        <f>"PR20000115"</f>
        <v>PR20000115</v>
      </c>
      <c r="E3617" t="str">
        <f>"Y"</f>
        <v>Y</v>
      </c>
      <c r="F3617" t="str">
        <f>"חשבוניות מרכזות"</f>
        <v>חשבוניות מרכזות</v>
      </c>
      <c r="G3617" t="str">
        <f>"700065"</f>
        <v>700065</v>
      </c>
      <c r="H3617" t="str">
        <f>"אלתא מערכות בע""מ"</f>
        <v>אלתא מערכות בע"מ</v>
      </c>
      <c r="I3617" t="str">
        <f>"10"</f>
        <v>10</v>
      </c>
      <c r="J3617" t="str">
        <f>"OP-AR01655"</f>
        <v>OP-AR01655</v>
      </c>
      <c r="K3617" t="str">
        <f>"1041G354-001 W354 - PWR FROM SHELTER TO ANT UNIT"</f>
        <v>1041G354-001 W354 - PWR FROM SHELTER TO ANT UNIT</v>
      </c>
      <c r="L3617">
        <v>1</v>
      </c>
      <c r="M3617" t="str">
        <f>"יח"</f>
        <v>יח</v>
      </c>
      <c r="N3617">
        <v>1</v>
      </c>
      <c r="O3617" t="str">
        <f>"יח"</f>
        <v>יח</v>
      </c>
      <c r="P3617" s="2">
        <v>1334.63</v>
      </c>
      <c r="Q3617" t="str">
        <f>"$"</f>
        <v>$</v>
      </c>
      <c r="R3617" t="str">
        <f>"הזמנה"</f>
        <v>הזמנה</v>
      </c>
      <c r="S3617">
        <v>0</v>
      </c>
      <c r="T3617" s="2">
        <v>1334.63</v>
      </c>
      <c r="U3617">
        <v>0</v>
      </c>
      <c r="V3617" s="2">
        <v>1334.63</v>
      </c>
      <c r="W3617" t="str">
        <f>"$"</f>
        <v>$</v>
      </c>
      <c r="X3617">
        <v>0</v>
      </c>
      <c r="Y3617">
        <v>0</v>
      </c>
      <c r="Z3617">
        <v>0</v>
      </c>
      <c r="AA3617" t="str">
        <f>"Y"</f>
        <v>Y</v>
      </c>
      <c r="AB3617" t="str">
        <f>"SO20000094"</f>
        <v>SO20000094</v>
      </c>
      <c r="AC3617">
        <v>4</v>
      </c>
      <c r="AD3617" s="1">
        <v>43891</v>
      </c>
      <c r="AE3617" t="str">
        <f>"SH20000891"</f>
        <v>SH20000891</v>
      </c>
      <c r="AF3617" t="str">
        <f>"משלוחים ללקוח"</f>
        <v>משלוחים ללקוח</v>
      </c>
      <c r="AG3617" s="1">
        <v>44021</v>
      </c>
      <c r="AM3617" t="str">
        <f>"10"</f>
        <v>10</v>
      </c>
      <c r="AN3617" t="str">
        <f>"500000"</f>
        <v>500000</v>
      </c>
      <c r="AO3617" t="str">
        <f>"הכנסות  מלקוחות"</f>
        <v>הכנסות  מלקוחות</v>
      </c>
      <c r="AQ3617" t="str">
        <f>"034"</f>
        <v>034</v>
      </c>
      <c r="AR3617">
        <v>0</v>
      </c>
      <c r="AS3617">
        <v>0</v>
      </c>
      <c r="AT3617">
        <v>3.4470000000000001</v>
      </c>
      <c r="AX3617" t="str">
        <f>"E000306197"</f>
        <v>E000306197</v>
      </c>
      <c r="BD3617" t="str">
        <f>"ערן שלו"</f>
        <v>ערן שלו</v>
      </c>
    </row>
    <row r="3618" spans="1:56" x14ac:dyDescent="0.3">
      <c r="A3618" s="1">
        <v>44032</v>
      </c>
      <c r="B3618" t="str">
        <f>"SI206000689"</f>
        <v>SI206000689</v>
      </c>
      <c r="C3618" t="str">
        <f>"PR20000115"</f>
        <v>PR20000115</v>
      </c>
      <c r="D3618" t="str">
        <f>"PR20000115"</f>
        <v>PR20000115</v>
      </c>
      <c r="E3618" t="str">
        <f>"Y"</f>
        <v>Y</v>
      </c>
      <c r="F3618" t="str">
        <f>"חשבוניות מרכזות"</f>
        <v>חשבוניות מרכזות</v>
      </c>
      <c r="G3618" t="str">
        <f>"700065"</f>
        <v>700065</v>
      </c>
      <c r="H3618" t="str">
        <f>"אלתא מערכות בע""מ"</f>
        <v>אלתא מערכות בע"מ</v>
      </c>
      <c r="I3618" t="str">
        <f>"10"</f>
        <v>10</v>
      </c>
      <c r="J3618" t="str">
        <f>"OP-AR01655"</f>
        <v>OP-AR01655</v>
      </c>
      <c r="K3618" t="str">
        <f>"1041G354-001 W354 - PWR FROM SHELTER TO ANT UNIT"</f>
        <v>1041G354-001 W354 - PWR FROM SHELTER TO ANT UNIT</v>
      </c>
      <c r="L3618">
        <v>2</v>
      </c>
      <c r="M3618" t="str">
        <f>"יח"</f>
        <v>יח</v>
      </c>
      <c r="N3618">
        <v>2</v>
      </c>
      <c r="O3618" t="str">
        <f>"יח"</f>
        <v>יח</v>
      </c>
      <c r="P3618" s="2">
        <v>1334.63</v>
      </c>
      <c r="Q3618" t="str">
        <f>"$"</f>
        <v>$</v>
      </c>
      <c r="R3618" t="str">
        <f>"הזמנה"</f>
        <v>הזמנה</v>
      </c>
      <c r="S3618">
        <v>0</v>
      </c>
      <c r="T3618" s="2">
        <v>2669.26</v>
      </c>
      <c r="U3618">
        <v>0</v>
      </c>
      <c r="V3618" s="2">
        <v>2669.26</v>
      </c>
      <c r="W3618" t="str">
        <f>"$"</f>
        <v>$</v>
      </c>
      <c r="X3618">
        <v>0</v>
      </c>
      <c r="Y3618">
        <v>0</v>
      </c>
      <c r="Z3618">
        <v>0</v>
      </c>
      <c r="AA3618" t="str">
        <f>"Y"</f>
        <v>Y</v>
      </c>
      <c r="AB3618" t="str">
        <f>"SO20000094"</f>
        <v>SO20000094</v>
      </c>
      <c r="AC3618">
        <v>5</v>
      </c>
      <c r="AD3618" s="1">
        <v>43891</v>
      </c>
      <c r="AE3618" t="str">
        <f>"SH20000891"</f>
        <v>SH20000891</v>
      </c>
      <c r="AF3618" t="str">
        <f>"משלוחים ללקוח"</f>
        <v>משלוחים ללקוח</v>
      </c>
      <c r="AG3618" s="1">
        <v>44021</v>
      </c>
      <c r="AM3618" t="str">
        <f>"10"</f>
        <v>10</v>
      </c>
      <c r="AN3618" t="str">
        <f>"500000"</f>
        <v>500000</v>
      </c>
      <c r="AO3618" t="str">
        <f>"הכנסות  מלקוחות"</f>
        <v>הכנסות  מלקוחות</v>
      </c>
      <c r="AQ3618" t="str">
        <f>"034"</f>
        <v>034</v>
      </c>
      <c r="AR3618">
        <v>0</v>
      </c>
      <c r="AS3618">
        <v>0</v>
      </c>
      <c r="AT3618">
        <v>3.4470000000000001</v>
      </c>
      <c r="AX3618" t="str">
        <f>"E000306197"</f>
        <v>E000306197</v>
      </c>
      <c r="BD3618" t="str">
        <f>"ערן שלו"</f>
        <v>ערן שלו</v>
      </c>
    </row>
    <row r="3619" spans="1:56" x14ac:dyDescent="0.3">
      <c r="A3619" s="1">
        <v>44032</v>
      </c>
      <c r="B3619" t="str">
        <f>"SI206000689"</f>
        <v>SI206000689</v>
      </c>
      <c r="C3619" t="str">
        <f>"PR20000115"</f>
        <v>PR20000115</v>
      </c>
      <c r="D3619" t="str">
        <f>"PR20000115"</f>
        <v>PR20000115</v>
      </c>
      <c r="E3619" t="str">
        <f>"Y"</f>
        <v>Y</v>
      </c>
      <c r="F3619" t="str">
        <f>"חשבוניות מרכזות"</f>
        <v>חשבוניות מרכזות</v>
      </c>
      <c r="G3619" t="str">
        <f>"700065"</f>
        <v>700065</v>
      </c>
      <c r="H3619" t="str">
        <f>"אלתא מערכות בע""מ"</f>
        <v>אלתא מערכות בע"מ</v>
      </c>
      <c r="I3619" t="str">
        <f>"10"</f>
        <v>10</v>
      </c>
      <c r="J3619" t="str">
        <f>"OP-AR01656"</f>
        <v>OP-AR01656</v>
      </c>
      <c r="K3619" t="str">
        <f>"1041G356-001 W356 - CU RACK TO PEDESTAL - POWER"</f>
        <v>1041G356-001 W356 - CU RACK TO PEDESTAL - POWER</v>
      </c>
      <c r="L3619">
        <v>1</v>
      </c>
      <c r="M3619" t="str">
        <f>"יח"</f>
        <v>יח</v>
      </c>
      <c r="N3619">
        <v>1</v>
      </c>
      <c r="O3619" t="str">
        <f>"יח"</f>
        <v>יח</v>
      </c>
      <c r="P3619">
        <v>846.71</v>
      </c>
      <c r="Q3619" t="str">
        <f>"$"</f>
        <v>$</v>
      </c>
      <c r="R3619" t="str">
        <f>"הזמנה"</f>
        <v>הזמנה</v>
      </c>
      <c r="S3619">
        <v>0</v>
      </c>
      <c r="T3619">
        <v>846.71</v>
      </c>
      <c r="U3619">
        <v>0</v>
      </c>
      <c r="V3619">
        <v>846.71</v>
      </c>
      <c r="W3619" t="str">
        <f>"$"</f>
        <v>$</v>
      </c>
      <c r="X3619">
        <v>0</v>
      </c>
      <c r="Y3619">
        <v>0</v>
      </c>
      <c r="Z3619">
        <v>0</v>
      </c>
      <c r="AA3619" t="str">
        <f>"Y"</f>
        <v>Y</v>
      </c>
      <c r="AB3619" t="str">
        <f>"SO20000094"</f>
        <v>SO20000094</v>
      </c>
      <c r="AC3619">
        <v>6</v>
      </c>
      <c r="AD3619" s="1">
        <v>43891</v>
      </c>
      <c r="AE3619" t="str">
        <f>"SH20000891"</f>
        <v>SH20000891</v>
      </c>
      <c r="AF3619" t="str">
        <f>"משלוחים ללקוח"</f>
        <v>משלוחים ללקוח</v>
      </c>
      <c r="AG3619" s="1">
        <v>44021</v>
      </c>
      <c r="AM3619" t="str">
        <f>"10"</f>
        <v>10</v>
      </c>
      <c r="AN3619" t="str">
        <f>"500000"</f>
        <v>500000</v>
      </c>
      <c r="AO3619" t="str">
        <f>"הכנסות  מלקוחות"</f>
        <v>הכנסות  מלקוחות</v>
      </c>
      <c r="AQ3619" t="str">
        <f>"034"</f>
        <v>034</v>
      </c>
      <c r="AR3619">
        <v>0</v>
      </c>
      <c r="AS3619">
        <v>0</v>
      </c>
      <c r="AT3619">
        <v>3.4470000000000001</v>
      </c>
      <c r="AX3619" t="str">
        <f>"E000306197"</f>
        <v>E000306197</v>
      </c>
      <c r="BD3619" t="str">
        <f>"ערן שלו"</f>
        <v>ערן שלו</v>
      </c>
    </row>
    <row r="3620" spans="1:56" x14ac:dyDescent="0.3">
      <c r="A3620" s="1">
        <v>44032</v>
      </c>
      <c r="B3620" t="str">
        <f>"SI206000689"</f>
        <v>SI206000689</v>
      </c>
      <c r="C3620" t="str">
        <f>"PR20000115"</f>
        <v>PR20000115</v>
      </c>
      <c r="D3620" t="str">
        <f>"PR20000115"</f>
        <v>PR20000115</v>
      </c>
      <c r="E3620" t="str">
        <f>"Y"</f>
        <v>Y</v>
      </c>
      <c r="F3620" t="str">
        <f>"חשבוניות מרכזות"</f>
        <v>חשבוניות מרכזות</v>
      </c>
      <c r="G3620" t="str">
        <f>"700065"</f>
        <v>700065</v>
      </c>
      <c r="H3620" t="str">
        <f>"אלתא מערכות בע""מ"</f>
        <v>אלתא מערכות בע"מ</v>
      </c>
      <c r="I3620" t="str">
        <f>"10"</f>
        <v>10</v>
      </c>
      <c r="J3620" t="str">
        <f>"OP-AR01656"</f>
        <v>OP-AR01656</v>
      </c>
      <c r="K3620" t="str">
        <f>"1041G356-001 W356 - CU RACK TO PEDESTAL - POWER"</f>
        <v>1041G356-001 W356 - CU RACK TO PEDESTAL - POWER</v>
      </c>
      <c r="L3620">
        <v>2</v>
      </c>
      <c r="M3620" t="str">
        <f>"יח"</f>
        <v>יח</v>
      </c>
      <c r="N3620">
        <v>2</v>
      </c>
      <c r="O3620" t="str">
        <f>"יח"</f>
        <v>יח</v>
      </c>
      <c r="P3620">
        <v>846.71</v>
      </c>
      <c r="Q3620" t="str">
        <f>"$"</f>
        <v>$</v>
      </c>
      <c r="R3620" t="str">
        <f>"הזמנה"</f>
        <v>הזמנה</v>
      </c>
      <c r="S3620">
        <v>0</v>
      </c>
      <c r="T3620" s="2">
        <v>1693.42</v>
      </c>
      <c r="U3620">
        <v>0</v>
      </c>
      <c r="V3620" s="2">
        <v>1693.42</v>
      </c>
      <c r="W3620" t="str">
        <f>"$"</f>
        <v>$</v>
      </c>
      <c r="X3620">
        <v>0</v>
      </c>
      <c r="Y3620">
        <v>0</v>
      </c>
      <c r="Z3620">
        <v>0</v>
      </c>
      <c r="AA3620" t="str">
        <f>"Y"</f>
        <v>Y</v>
      </c>
      <c r="AB3620" t="str">
        <f>"SO20000094"</f>
        <v>SO20000094</v>
      </c>
      <c r="AC3620">
        <v>7</v>
      </c>
      <c r="AD3620" s="1">
        <v>43891</v>
      </c>
      <c r="AE3620" t="str">
        <f>"SH20000891"</f>
        <v>SH20000891</v>
      </c>
      <c r="AF3620" t="str">
        <f>"משלוחים ללקוח"</f>
        <v>משלוחים ללקוח</v>
      </c>
      <c r="AG3620" s="1">
        <v>44021</v>
      </c>
      <c r="AM3620" t="str">
        <f>"10"</f>
        <v>10</v>
      </c>
      <c r="AN3620" t="str">
        <f>"500000"</f>
        <v>500000</v>
      </c>
      <c r="AO3620" t="str">
        <f>"הכנסות  מלקוחות"</f>
        <v>הכנסות  מלקוחות</v>
      </c>
      <c r="AQ3620" t="str">
        <f>"034"</f>
        <v>034</v>
      </c>
      <c r="AR3620">
        <v>0</v>
      </c>
      <c r="AS3620">
        <v>0</v>
      </c>
      <c r="AT3620">
        <v>3.4470000000000001</v>
      </c>
      <c r="AX3620" t="str">
        <f>"E000306197"</f>
        <v>E000306197</v>
      </c>
      <c r="BD3620" t="str">
        <f>"ערן שלו"</f>
        <v>ערן שלו</v>
      </c>
    </row>
    <row r="3621" spans="1:56" x14ac:dyDescent="0.3">
      <c r="A3621" s="1">
        <v>44032</v>
      </c>
      <c r="B3621" t="str">
        <f>"SI206000689"</f>
        <v>SI206000689</v>
      </c>
      <c r="C3621" t="str">
        <f>"PR20000115"</f>
        <v>PR20000115</v>
      </c>
      <c r="D3621" t="str">
        <f>"PR20000115"</f>
        <v>PR20000115</v>
      </c>
      <c r="E3621" t="str">
        <f>"Y"</f>
        <v>Y</v>
      </c>
      <c r="F3621" t="str">
        <f>"חשבוניות מרכזות"</f>
        <v>חשבוניות מרכזות</v>
      </c>
      <c r="G3621" t="str">
        <f>"700065"</f>
        <v>700065</v>
      </c>
      <c r="H3621" t="str">
        <f>"אלתא מערכות בע""מ"</f>
        <v>אלתא מערכות בע"מ</v>
      </c>
      <c r="I3621" t="str">
        <f>"10"</f>
        <v>10</v>
      </c>
      <c r="J3621" t="str">
        <f>"OP-AR01658"</f>
        <v>OP-AR01658</v>
      </c>
      <c r="K3621" t="str">
        <f>"1041G355-001 W355 - LIMIT SWITCHES, CU RACK TO P"</f>
        <v>1041G355-001 W355 - LIMIT SWITCHES, CU RACK TO P</v>
      </c>
      <c r="L3621">
        <v>1</v>
      </c>
      <c r="M3621" t="str">
        <f>"יח"</f>
        <v>יח</v>
      </c>
      <c r="N3621">
        <v>1</v>
      </c>
      <c r="O3621" t="str">
        <f>"יח"</f>
        <v>יח</v>
      </c>
      <c r="P3621" s="2">
        <v>1711.17</v>
      </c>
      <c r="Q3621" t="str">
        <f>"$"</f>
        <v>$</v>
      </c>
      <c r="R3621" t="str">
        <f>"הזמנה"</f>
        <v>הזמנה</v>
      </c>
      <c r="S3621">
        <v>0</v>
      </c>
      <c r="T3621" s="2">
        <v>1711.17</v>
      </c>
      <c r="U3621">
        <v>0</v>
      </c>
      <c r="V3621" s="2">
        <v>1711.17</v>
      </c>
      <c r="W3621" t="str">
        <f>"$"</f>
        <v>$</v>
      </c>
      <c r="X3621">
        <v>0</v>
      </c>
      <c r="Y3621">
        <v>0</v>
      </c>
      <c r="Z3621">
        <v>0</v>
      </c>
      <c r="AA3621" t="str">
        <f>"Y"</f>
        <v>Y</v>
      </c>
      <c r="AB3621" t="str">
        <f>"SO20000094"</f>
        <v>SO20000094</v>
      </c>
      <c r="AC3621">
        <v>10</v>
      </c>
      <c r="AD3621" s="1">
        <v>43891</v>
      </c>
      <c r="AE3621" t="str">
        <f>"SH20000891"</f>
        <v>SH20000891</v>
      </c>
      <c r="AF3621" t="str">
        <f>"משלוחים ללקוח"</f>
        <v>משלוחים ללקוח</v>
      </c>
      <c r="AG3621" s="1">
        <v>44021</v>
      </c>
      <c r="AM3621" t="str">
        <f>"10"</f>
        <v>10</v>
      </c>
      <c r="AN3621" t="str">
        <f>"500000"</f>
        <v>500000</v>
      </c>
      <c r="AO3621" t="str">
        <f>"הכנסות  מלקוחות"</f>
        <v>הכנסות  מלקוחות</v>
      </c>
      <c r="AQ3621" t="str">
        <f>"034"</f>
        <v>034</v>
      </c>
      <c r="AR3621">
        <v>0</v>
      </c>
      <c r="AS3621">
        <v>0</v>
      </c>
      <c r="AT3621">
        <v>3.4470000000000001</v>
      </c>
      <c r="AX3621" t="str">
        <f>"E000306197"</f>
        <v>E000306197</v>
      </c>
      <c r="BD3621" t="str">
        <f>"ערן שלו"</f>
        <v>ערן שלו</v>
      </c>
    </row>
    <row r="3622" spans="1:56" x14ac:dyDescent="0.3">
      <c r="A3622" s="1">
        <v>44032</v>
      </c>
      <c r="B3622" t="str">
        <f>"SI206000689"</f>
        <v>SI206000689</v>
      </c>
      <c r="C3622" t="str">
        <f>"PR20000115"</f>
        <v>PR20000115</v>
      </c>
      <c r="D3622" t="str">
        <f>"PR20000115"</f>
        <v>PR20000115</v>
      </c>
      <c r="E3622" t="str">
        <f>"Y"</f>
        <v>Y</v>
      </c>
      <c r="F3622" t="str">
        <f>"חשבוניות מרכזות"</f>
        <v>חשבוניות מרכזות</v>
      </c>
      <c r="G3622" t="str">
        <f>"700065"</f>
        <v>700065</v>
      </c>
      <c r="H3622" t="str">
        <f>"אלתא מערכות בע""מ"</f>
        <v>אלתא מערכות בע"מ</v>
      </c>
      <c r="I3622" t="str">
        <f>"10"</f>
        <v>10</v>
      </c>
      <c r="J3622" t="str">
        <f>"OP-AR01658"</f>
        <v>OP-AR01658</v>
      </c>
      <c r="K3622" t="str">
        <f>"1041G355-001 W355 - LIMIT SWITCHES, CU RACK TO P"</f>
        <v>1041G355-001 W355 - LIMIT SWITCHES, CU RACK TO P</v>
      </c>
      <c r="L3622">
        <v>2</v>
      </c>
      <c r="M3622" t="str">
        <f>"יח"</f>
        <v>יח</v>
      </c>
      <c r="N3622">
        <v>2</v>
      </c>
      <c r="O3622" t="str">
        <f>"יח"</f>
        <v>יח</v>
      </c>
      <c r="P3622" s="2">
        <v>1711.17</v>
      </c>
      <c r="Q3622" t="str">
        <f>"$"</f>
        <v>$</v>
      </c>
      <c r="R3622" t="str">
        <f>"הזמנה"</f>
        <v>הזמנה</v>
      </c>
      <c r="S3622">
        <v>0</v>
      </c>
      <c r="T3622" s="2">
        <v>3422.34</v>
      </c>
      <c r="U3622">
        <v>0</v>
      </c>
      <c r="V3622" s="2">
        <v>3422.34</v>
      </c>
      <c r="W3622" t="str">
        <f>"$"</f>
        <v>$</v>
      </c>
      <c r="X3622">
        <v>0</v>
      </c>
      <c r="Y3622">
        <v>0</v>
      </c>
      <c r="Z3622">
        <v>0</v>
      </c>
      <c r="AA3622" t="str">
        <f>"Y"</f>
        <v>Y</v>
      </c>
      <c r="AB3622" t="str">
        <f>"SO20000094"</f>
        <v>SO20000094</v>
      </c>
      <c r="AC3622">
        <v>11</v>
      </c>
      <c r="AD3622" s="1">
        <v>43891</v>
      </c>
      <c r="AE3622" t="str">
        <f>"SH20000891"</f>
        <v>SH20000891</v>
      </c>
      <c r="AF3622" t="str">
        <f>"משלוחים ללקוח"</f>
        <v>משלוחים ללקוח</v>
      </c>
      <c r="AG3622" s="1">
        <v>44021</v>
      </c>
      <c r="AM3622" t="str">
        <f>"10"</f>
        <v>10</v>
      </c>
      <c r="AN3622" t="str">
        <f>"500000"</f>
        <v>500000</v>
      </c>
      <c r="AO3622" t="str">
        <f>"הכנסות  מלקוחות"</f>
        <v>הכנסות  מלקוחות</v>
      </c>
      <c r="AQ3622" t="str">
        <f>"034"</f>
        <v>034</v>
      </c>
      <c r="AR3622">
        <v>0</v>
      </c>
      <c r="AS3622">
        <v>0</v>
      </c>
      <c r="AT3622">
        <v>3.4470000000000001</v>
      </c>
      <c r="AX3622" t="str">
        <f>"E000306197"</f>
        <v>E000306197</v>
      </c>
      <c r="BD3622" t="str">
        <f>"ערן שלו"</f>
        <v>ערן שלו</v>
      </c>
    </row>
    <row r="3623" spans="1:56" x14ac:dyDescent="0.3">
      <c r="A3623" s="1">
        <v>44032</v>
      </c>
      <c r="B3623" t="str">
        <f>"SI206000689"</f>
        <v>SI206000689</v>
      </c>
      <c r="C3623" t="str">
        <f>"PR20000115"</f>
        <v>PR20000115</v>
      </c>
      <c r="D3623" t="str">
        <f>"PR20000115"</f>
        <v>PR20000115</v>
      </c>
      <c r="E3623" t="str">
        <f>"Y"</f>
        <v>Y</v>
      </c>
      <c r="F3623" t="str">
        <f>"חשבוניות מרכזות"</f>
        <v>חשבוניות מרכזות</v>
      </c>
      <c r="G3623" t="str">
        <f>"700065"</f>
        <v>700065</v>
      </c>
      <c r="H3623" t="str">
        <f>"אלתא מערכות בע""מ"</f>
        <v>אלתא מערכות בע"מ</v>
      </c>
      <c r="I3623" t="str">
        <f>"10"</f>
        <v>10</v>
      </c>
      <c r="J3623" t="str">
        <f>"OP-AR01659"</f>
        <v>OP-AR01659</v>
      </c>
      <c r="K3623" t="str">
        <f>"1041G353-001 W353 - SHELTER TO PEDESTAL (CAMERA)"</f>
        <v>1041G353-001 W353 - SHELTER TO PEDESTAL (CAMERA)</v>
      </c>
      <c r="L3623">
        <v>1</v>
      </c>
      <c r="M3623" t="str">
        <f>"יח"</f>
        <v>יח</v>
      </c>
      <c r="N3623">
        <v>1</v>
      </c>
      <c r="O3623" t="str">
        <f>"יח"</f>
        <v>יח</v>
      </c>
      <c r="P3623">
        <v>806.46</v>
      </c>
      <c r="Q3623" t="str">
        <f>"$"</f>
        <v>$</v>
      </c>
      <c r="R3623" t="str">
        <f>"הזמנה"</f>
        <v>הזמנה</v>
      </c>
      <c r="S3623">
        <v>0</v>
      </c>
      <c r="T3623">
        <v>806.46</v>
      </c>
      <c r="U3623">
        <v>0</v>
      </c>
      <c r="V3623">
        <v>806.46</v>
      </c>
      <c r="W3623" t="str">
        <f>"$"</f>
        <v>$</v>
      </c>
      <c r="X3623">
        <v>0</v>
      </c>
      <c r="Y3623">
        <v>0</v>
      </c>
      <c r="Z3623">
        <v>0</v>
      </c>
      <c r="AA3623" t="str">
        <f>"Y"</f>
        <v>Y</v>
      </c>
      <c r="AB3623" t="str">
        <f>"SO20000094"</f>
        <v>SO20000094</v>
      </c>
      <c r="AC3623">
        <v>12</v>
      </c>
      <c r="AD3623" s="1">
        <v>43891</v>
      </c>
      <c r="AE3623" t="str">
        <f>"SH20000891"</f>
        <v>SH20000891</v>
      </c>
      <c r="AF3623" t="str">
        <f>"משלוחים ללקוח"</f>
        <v>משלוחים ללקוח</v>
      </c>
      <c r="AG3623" s="1">
        <v>44021</v>
      </c>
      <c r="AM3623" t="str">
        <f>"10"</f>
        <v>10</v>
      </c>
      <c r="AN3623" t="str">
        <f>"500000"</f>
        <v>500000</v>
      </c>
      <c r="AO3623" t="str">
        <f>"הכנסות  מלקוחות"</f>
        <v>הכנסות  מלקוחות</v>
      </c>
      <c r="AQ3623" t="str">
        <f>"034"</f>
        <v>034</v>
      </c>
      <c r="AR3623">
        <v>0</v>
      </c>
      <c r="AS3623">
        <v>0</v>
      </c>
      <c r="AT3623">
        <v>3.4470000000000001</v>
      </c>
      <c r="AX3623" t="str">
        <f>"E000306197"</f>
        <v>E000306197</v>
      </c>
      <c r="BD3623" t="str">
        <f>"ערן שלו"</f>
        <v>ערן שלו</v>
      </c>
    </row>
    <row r="3624" spans="1:56" x14ac:dyDescent="0.3">
      <c r="A3624" s="1">
        <v>44032</v>
      </c>
      <c r="B3624" t="str">
        <f>"SI206000689"</f>
        <v>SI206000689</v>
      </c>
      <c r="C3624" t="str">
        <f>"PR20000115"</f>
        <v>PR20000115</v>
      </c>
      <c r="D3624" t="str">
        <f>"PR20000115"</f>
        <v>PR20000115</v>
      </c>
      <c r="E3624" t="str">
        <f>"Y"</f>
        <v>Y</v>
      </c>
      <c r="F3624" t="str">
        <f>"חשבוניות מרכזות"</f>
        <v>חשבוניות מרכזות</v>
      </c>
      <c r="G3624" t="str">
        <f>"700065"</f>
        <v>700065</v>
      </c>
      <c r="H3624" t="str">
        <f>"אלתא מערכות בע""מ"</f>
        <v>אלתא מערכות בע"מ</v>
      </c>
      <c r="I3624" t="str">
        <f>"10"</f>
        <v>10</v>
      </c>
      <c r="J3624" t="str">
        <f>"OP-AR01659"</f>
        <v>OP-AR01659</v>
      </c>
      <c r="K3624" t="str">
        <f>"1041G353-001 W353 - SHELTER TO PEDESTAL (CAMERA)"</f>
        <v>1041G353-001 W353 - SHELTER TO PEDESTAL (CAMERA)</v>
      </c>
      <c r="L3624">
        <v>2</v>
      </c>
      <c r="M3624" t="str">
        <f>"יח"</f>
        <v>יח</v>
      </c>
      <c r="N3624">
        <v>2</v>
      </c>
      <c r="O3624" t="str">
        <f>"יח"</f>
        <v>יח</v>
      </c>
      <c r="P3624">
        <v>806.46</v>
      </c>
      <c r="Q3624" t="str">
        <f>"$"</f>
        <v>$</v>
      </c>
      <c r="R3624" t="str">
        <f>"הזמנה"</f>
        <v>הזמנה</v>
      </c>
      <c r="S3624">
        <v>0</v>
      </c>
      <c r="T3624" s="2">
        <v>1612.92</v>
      </c>
      <c r="U3624">
        <v>0</v>
      </c>
      <c r="V3624" s="2">
        <v>1612.92</v>
      </c>
      <c r="W3624" t="str">
        <f>"$"</f>
        <v>$</v>
      </c>
      <c r="X3624">
        <v>0</v>
      </c>
      <c r="Y3624">
        <v>0</v>
      </c>
      <c r="Z3624">
        <v>0</v>
      </c>
      <c r="AA3624" t="str">
        <f>"Y"</f>
        <v>Y</v>
      </c>
      <c r="AB3624" t="str">
        <f>"SO20000094"</f>
        <v>SO20000094</v>
      </c>
      <c r="AC3624">
        <v>13</v>
      </c>
      <c r="AD3624" s="1">
        <v>43891</v>
      </c>
      <c r="AE3624" t="str">
        <f>"SH20000891"</f>
        <v>SH20000891</v>
      </c>
      <c r="AF3624" t="str">
        <f>"משלוחים ללקוח"</f>
        <v>משלוחים ללקוח</v>
      </c>
      <c r="AG3624" s="1">
        <v>44021</v>
      </c>
      <c r="AM3624" t="str">
        <f>"10"</f>
        <v>10</v>
      </c>
      <c r="AN3624" t="str">
        <f>"500000"</f>
        <v>500000</v>
      </c>
      <c r="AO3624" t="str">
        <f>"הכנסות  מלקוחות"</f>
        <v>הכנסות  מלקוחות</v>
      </c>
      <c r="AQ3624" t="str">
        <f>"034"</f>
        <v>034</v>
      </c>
      <c r="AR3624">
        <v>0</v>
      </c>
      <c r="AS3624">
        <v>0</v>
      </c>
      <c r="AT3624">
        <v>3.4470000000000001</v>
      </c>
      <c r="AX3624" t="str">
        <f>"E000306197"</f>
        <v>E000306197</v>
      </c>
      <c r="BD3624" t="str">
        <f>"ערן שלו"</f>
        <v>ערן שלו</v>
      </c>
    </row>
    <row r="3625" spans="1:56" x14ac:dyDescent="0.3">
      <c r="A3625" s="1">
        <v>44032</v>
      </c>
      <c r="B3625" t="str">
        <f>"SI206000689"</f>
        <v>SI206000689</v>
      </c>
      <c r="C3625" t="str">
        <f>"PR20000115"</f>
        <v>PR20000115</v>
      </c>
      <c r="D3625" t="str">
        <f>"PR20000115"</f>
        <v>PR20000115</v>
      </c>
      <c r="E3625" t="str">
        <f>"Y"</f>
        <v>Y</v>
      </c>
      <c r="F3625" t="str">
        <f>"חשבוניות מרכזות"</f>
        <v>חשבוניות מרכזות</v>
      </c>
      <c r="G3625" t="str">
        <f>"700065"</f>
        <v>700065</v>
      </c>
      <c r="H3625" t="str">
        <f>"אלתא מערכות בע""מ"</f>
        <v>אלתא מערכות בע"מ</v>
      </c>
      <c r="I3625" t="str">
        <f>"10"</f>
        <v>10</v>
      </c>
      <c r="J3625" t="str">
        <f>"OP-AR01650"</f>
        <v>OP-AR01650</v>
      </c>
      <c r="K3625" t="str">
        <f>"1041G357-001 W357 - CU RACK TO PEDESTAL - CONTRO"</f>
        <v>1041G357-001 W357 - CU RACK TO PEDESTAL - CONTRO</v>
      </c>
      <c r="L3625">
        <v>2</v>
      </c>
      <c r="M3625" t="str">
        <f>"יח"</f>
        <v>יח</v>
      </c>
      <c r="N3625">
        <v>2</v>
      </c>
      <c r="O3625" t="str">
        <f>"יח"</f>
        <v>יח</v>
      </c>
      <c r="P3625">
        <v>930.53</v>
      </c>
      <c r="Q3625" t="str">
        <f>"$"</f>
        <v>$</v>
      </c>
      <c r="R3625" t="str">
        <f>"הזמנה"</f>
        <v>הזמנה</v>
      </c>
      <c r="S3625">
        <v>0</v>
      </c>
      <c r="T3625" s="2">
        <v>1861.06</v>
      </c>
      <c r="U3625">
        <v>0</v>
      </c>
      <c r="V3625" s="2">
        <v>1861.06</v>
      </c>
      <c r="W3625" t="str">
        <f>"$"</f>
        <v>$</v>
      </c>
      <c r="X3625">
        <v>0</v>
      </c>
      <c r="Y3625">
        <v>0</v>
      </c>
      <c r="Z3625">
        <v>0</v>
      </c>
      <c r="AA3625" t="str">
        <f>"Y"</f>
        <v>Y</v>
      </c>
      <c r="AB3625" t="str">
        <f>"SO20000094"</f>
        <v>SO20000094</v>
      </c>
      <c r="AC3625">
        <v>15</v>
      </c>
      <c r="AD3625" s="1">
        <v>43891</v>
      </c>
      <c r="AE3625" t="str">
        <f>"SH20000891"</f>
        <v>SH20000891</v>
      </c>
      <c r="AF3625" t="str">
        <f>"משלוחים ללקוח"</f>
        <v>משלוחים ללקוח</v>
      </c>
      <c r="AG3625" s="1">
        <v>44021</v>
      </c>
      <c r="AM3625" t="str">
        <f>"10"</f>
        <v>10</v>
      </c>
      <c r="AN3625" t="str">
        <f>"500000"</f>
        <v>500000</v>
      </c>
      <c r="AO3625" t="str">
        <f>"הכנסות  מלקוחות"</f>
        <v>הכנסות  מלקוחות</v>
      </c>
      <c r="AQ3625" t="str">
        <f>"034"</f>
        <v>034</v>
      </c>
      <c r="AR3625">
        <v>0</v>
      </c>
      <c r="AS3625">
        <v>0</v>
      </c>
      <c r="AT3625">
        <v>3.4470000000000001</v>
      </c>
      <c r="AX3625" t="str">
        <f>"E000306197"</f>
        <v>E000306197</v>
      </c>
      <c r="BD3625" t="str">
        <f>"ערן שלו"</f>
        <v>ערן שלו</v>
      </c>
    </row>
    <row r="3626" spans="1:56" x14ac:dyDescent="0.3">
      <c r="A3626" s="1">
        <v>44032</v>
      </c>
      <c r="B3626" t="str">
        <f>"SI206000689"</f>
        <v>SI206000689</v>
      </c>
      <c r="C3626" t="str">
        <f>"PR20000115"</f>
        <v>PR20000115</v>
      </c>
      <c r="D3626" t="str">
        <f>"PR20000115"</f>
        <v>PR20000115</v>
      </c>
      <c r="E3626" t="str">
        <f>"Y"</f>
        <v>Y</v>
      </c>
      <c r="F3626" t="str">
        <f>"חשבוניות מרכזות"</f>
        <v>חשבוניות מרכזות</v>
      </c>
      <c r="G3626" t="str">
        <f>"700065"</f>
        <v>700065</v>
      </c>
      <c r="H3626" t="str">
        <f>"אלתא מערכות בע""מ"</f>
        <v>אלתא מערכות בע"מ</v>
      </c>
      <c r="I3626" t="str">
        <f>"10"</f>
        <v>10</v>
      </c>
      <c r="J3626" t="str">
        <f>"OP-AR01651"</f>
        <v>OP-AR01651</v>
      </c>
      <c r="K3626" t="str">
        <f>"1041G323-001 W323-PWR 220GENERATOR TO PEDEST PS1"</f>
        <v>1041G323-001 W323-PWR 220GENERATOR TO PEDEST PS1</v>
      </c>
      <c r="L3626">
        <v>1</v>
      </c>
      <c r="M3626" t="str">
        <f>"יח"</f>
        <v>יח</v>
      </c>
      <c r="N3626">
        <v>1</v>
      </c>
      <c r="O3626" t="str">
        <f>"יח"</f>
        <v>יח</v>
      </c>
      <c r="P3626" s="2">
        <v>1123.81</v>
      </c>
      <c r="Q3626" t="str">
        <f>"$"</f>
        <v>$</v>
      </c>
      <c r="R3626" t="str">
        <f>"הזמנה"</f>
        <v>הזמנה</v>
      </c>
      <c r="S3626">
        <v>0</v>
      </c>
      <c r="T3626" s="2">
        <v>1123.81</v>
      </c>
      <c r="U3626">
        <v>0</v>
      </c>
      <c r="V3626" s="2">
        <v>1123.81</v>
      </c>
      <c r="W3626" t="str">
        <f>"$"</f>
        <v>$</v>
      </c>
      <c r="X3626">
        <v>0</v>
      </c>
      <c r="Y3626">
        <v>0</v>
      </c>
      <c r="Z3626">
        <v>0</v>
      </c>
      <c r="AA3626" t="str">
        <f>"Y"</f>
        <v>Y</v>
      </c>
      <c r="AB3626" t="str">
        <f>"SO20000094"</f>
        <v>SO20000094</v>
      </c>
      <c r="AC3626">
        <v>17</v>
      </c>
      <c r="AD3626" s="1">
        <v>43891</v>
      </c>
      <c r="AE3626" t="str">
        <f>"SH20000891"</f>
        <v>SH20000891</v>
      </c>
      <c r="AF3626" t="str">
        <f>"משלוחים ללקוח"</f>
        <v>משלוחים ללקוח</v>
      </c>
      <c r="AG3626" s="1">
        <v>44021</v>
      </c>
      <c r="AM3626" t="str">
        <f>"10"</f>
        <v>10</v>
      </c>
      <c r="AN3626" t="str">
        <f>"500000"</f>
        <v>500000</v>
      </c>
      <c r="AO3626" t="str">
        <f>"הכנסות  מלקוחות"</f>
        <v>הכנסות  מלקוחות</v>
      </c>
      <c r="AQ3626" t="str">
        <f>"034"</f>
        <v>034</v>
      </c>
      <c r="AR3626">
        <v>0</v>
      </c>
      <c r="AS3626">
        <v>0</v>
      </c>
      <c r="AT3626">
        <v>3.4470000000000001</v>
      </c>
      <c r="AX3626" t="str">
        <f>"E000306197"</f>
        <v>E000306197</v>
      </c>
      <c r="BD3626" t="str">
        <f>"ערן שלו"</f>
        <v>ערן שלו</v>
      </c>
    </row>
    <row r="3627" spans="1:56" x14ac:dyDescent="0.3">
      <c r="A3627" s="1">
        <v>44032</v>
      </c>
      <c r="B3627" t="str">
        <f>"SI206000689"</f>
        <v>SI206000689</v>
      </c>
      <c r="C3627" t="str">
        <f>"PR20000115"</f>
        <v>PR20000115</v>
      </c>
      <c r="D3627" t="str">
        <f>"PR20000115"</f>
        <v>PR20000115</v>
      </c>
      <c r="E3627" t="str">
        <f>"Y"</f>
        <v>Y</v>
      </c>
      <c r="F3627" t="str">
        <f>"חשבוניות מרכזות"</f>
        <v>חשבוניות מרכזות</v>
      </c>
      <c r="G3627" t="str">
        <f>"700065"</f>
        <v>700065</v>
      </c>
      <c r="H3627" t="str">
        <f>"אלתא מערכות בע""מ"</f>
        <v>אלתא מערכות בע"מ</v>
      </c>
      <c r="I3627" t="str">
        <f>"10"</f>
        <v>10</v>
      </c>
      <c r="J3627" t="str">
        <f>"OP-AR01652"</f>
        <v>OP-AR01652</v>
      </c>
      <c r="K3627" t="str">
        <f>"1041G324-001 W32-PWR 220VGENERATOR TO PEDEST PS2"</f>
        <v>1041G324-001 W32-PWR 220VGENERATOR TO PEDEST PS2</v>
      </c>
      <c r="L3627">
        <v>1</v>
      </c>
      <c r="M3627" t="str">
        <f>"יח"</f>
        <v>יח</v>
      </c>
      <c r="N3627">
        <v>1</v>
      </c>
      <c r="O3627" t="str">
        <f>"יח"</f>
        <v>יח</v>
      </c>
      <c r="P3627" s="2">
        <v>1218.08</v>
      </c>
      <c r="Q3627" t="str">
        <f>"$"</f>
        <v>$</v>
      </c>
      <c r="R3627" t="str">
        <f>"הזמנה"</f>
        <v>הזמנה</v>
      </c>
      <c r="S3627">
        <v>0</v>
      </c>
      <c r="T3627" s="2">
        <v>1218.08</v>
      </c>
      <c r="U3627">
        <v>0</v>
      </c>
      <c r="V3627" s="2">
        <v>1218.08</v>
      </c>
      <c r="W3627" t="str">
        <f>"$"</f>
        <v>$</v>
      </c>
      <c r="X3627">
        <v>0</v>
      </c>
      <c r="Y3627">
        <v>0</v>
      </c>
      <c r="Z3627">
        <v>0</v>
      </c>
      <c r="AA3627" t="str">
        <f>"Y"</f>
        <v>Y</v>
      </c>
      <c r="AB3627" t="str">
        <f>"SO20000094"</f>
        <v>SO20000094</v>
      </c>
      <c r="AC3627">
        <v>20</v>
      </c>
      <c r="AD3627" s="1">
        <v>43891</v>
      </c>
      <c r="AE3627" t="str">
        <f>"SH20000891"</f>
        <v>SH20000891</v>
      </c>
      <c r="AF3627" t="str">
        <f>"משלוחים ללקוח"</f>
        <v>משלוחים ללקוח</v>
      </c>
      <c r="AG3627" s="1">
        <v>44021</v>
      </c>
      <c r="AM3627" t="str">
        <f>"10"</f>
        <v>10</v>
      </c>
      <c r="AN3627" t="str">
        <f>"500000"</f>
        <v>500000</v>
      </c>
      <c r="AO3627" t="str">
        <f>"הכנסות  מלקוחות"</f>
        <v>הכנסות  מלקוחות</v>
      </c>
      <c r="AQ3627" t="str">
        <f>"034"</f>
        <v>034</v>
      </c>
      <c r="AR3627">
        <v>0</v>
      </c>
      <c r="AS3627">
        <v>0</v>
      </c>
      <c r="AT3627">
        <v>3.4470000000000001</v>
      </c>
      <c r="AX3627" t="str">
        <f>"E000306197"</f>
        <v>E000306197</v>
      </c>
      <c r="BD3627" t="str">
        <f>"ערן שלו"</f>
        <v>ערן שלו</v>
      </c>
    </row>
    <row r="3628" spans="1:56" x14ac:dyDescent="0.3">
      <c r="A3628" s="1">
        <v>44032</v>
      </c>
      <c r="B3628" t="str">
        <f>"SI206000688"</f>
        <v>SI206000688</v>
      </c>
      <c r="C3628" t="str">
        <f>"PR20000115"</f>
        <v>PR20000115</v>
      </c>
      <c r="D3628" t="str">
        <f>"PR20000115"</f>
        <v>PR20000115</v>
      </c>
      <c r="E3628" t="str">
        <f>"Y"</f>
        <v>Y</v>
      </c>
      <c r="F3628" t="str">
        <f>"חשבוניות מרכזות"</f>
        <v>חשבוניות מרכזות</v>
      </c>
      <c r="G3628" t="str">
        <f>"700065"</f>
        <v>700065</v>
      </c>
      <c r="H3628" t="str">
        <f>"אלתא מערכות בע""מ"</f>
        <v>אלתא מערכות בע"מ</v>
      </c>
      <c r="I3628" t="str">
        <f>"10"</f>
        <v>10</v>
      </c>
      <c r="J3628" t="str">
        <f>"OP-AR01654"</f>
        <v>OP-AR01654</v>
      </c>
      <c r="K3628" t="str">
        <f>"1041G352-001 W352 - SHELTER AND CU RACK TO ANT"</f>
        <v>1041G352-001 W352 - SHELTER AND CU RACK TO ANT</v>
      </c>
      <c r="L3628">
        <v>1</v>
      </c>
      <c r="M3628" t="str">
        <f>"יח"</f>
        <v>יח</v>
      </c>
      <c r="N3628">
        <v>1</v>
      </c>
      <c r="O3628" t="str">
        <f>"יח"</f>
        <v>יח</v>
      </c>
      <c r="P3628" s="2">
        <v>3183.15</v>
      </c>
      <c r="Q3628" t="str">
        <f>"$"</f>
        <v>$</v>
      </c>
      <c r="R3628" t="str">
        <f>"הזמנה"</f>
        <v>הזמנה</v>
      </c>
      <c r="S3628">
        <v>0</v>
      </c>
      <c r="T3628" s="2">
        <v>3183.15</v>
      </c>
      <c r="U3628">
        <v>0</v>
      </c>
      <c r="V3628" s="2">
        <v>3183.15</v>
      </c>
      <c r="W3628" t="str">
        <f>"$"</f>
        <v>$</v>
      </c>
      <c r="X3628">
        <v>0</v>
      </c>
      <c r="Y3628">
        <v>0</v>
      </c>
      <c r="Z3628">
        <v>0</v>
      </c>
      <c r="AA3628" t="str">
        <f>"Y"</f>
        <v>Y</v>
      </c>
      <c r="AB3628" t="str">
        <f>"SO20000094"</f>
        <v>SO20000094</v>
      </c>
      <c r="AC3628">
        <v>2</v>
      </c>
      <c r="AD3628" s="1">
        <v>43891</v>
      </c>
      <c r="AE3628" t="str">
        <f>"SH20000887"</f>
        <v>SH20000887</v>
      </c>
      <c r="AF3628" t="str">
        <f>"משלוחים ללקוח"</f>
        <v>משלוחים ללקוח</v>
      </c>
      <c r="AG3628" s="1">
        <v>44021</v>
      </c>
      <c r="AM3628" t="str">
        <f>"10"</f>
        <v>10</v>
      </c>
      <c r="AN3628" t="str">
        <f>"500000"</f>
        <v>500000</v>
      </c>
      <c r="AO3628" t="str">
        <f>"הכנסות  מלקוחות"</f>
        <v>הכנסות  מלקוחות</v>
      </c>
      <c r="AQ3628" t="str">
        <f>"034"</f>
        <v>034</v>
      </c>
      <c r="AR3628">
        <v>0</v>
      </c>
      <c r="AS3628">
        <v>0</v>
      </c>
      <c r="AT3628">
        <v>3.4470000000000001</v>
      </c>
      <c r="AX3628" t="str">
        <f>"E000306197"</f>
        <v>E000306197</v>
      </c>
      <c r="BD3628" t="str">
        <f>"ערן שלו"</f>
        <v>ערן שלו</v>
      </c>
    </row>
    <row r="3629" spans="1:56" x14ac:dyDescent="0.3">
      <c r="A3629" s="1">
        <v>44032</v>
      </c>
      <c r="B3629" t="str">
        <f>"SI206000688"</f>
        <v>SI206000688</v>
      </c>
      <c r="C3629" t="str">
        <f>"PR20000115"</f>
        <v>PR20000115</v>
      </c>
      <c r="D3629" t="str">
        <f>"PR20000115"</f>
        <v>PR20000115</v>
      </c>
      <c r="E3629" t="str">
        <f>"Y"</f>
        <v>Y</v>
      </c>
      <c r="F3629" t="str">
        <f>"חשבוניות מרכזות"</f>
        <v>חשבוניות מרכזות</v>
      </c>
      <c r="G3629" t="str">
        <f>"700065"</f>
        <v>700065</v>
      </c>
      <c r="H3629" t="str">
        <f>"אלתא מערכות בע""מ"</f>
        <v>אלתא מערכות בע"מ</v>
      </c>
      <c r="I3629" t="str">
        <f>"10"</f>
        <v>10</v>
      </c>
      <c r="J3629" t="str">
        <f>"OP-AR01654"</f>
        <v>OP-AR01654</v>
      </c>
      <c r="K3629" t="str">
        <f>"1041G352-001 W352 - SHELTER AND CU RACK TO ANT"</f>
        <v>1041G352-001 W352 - SHELTER AND CU RACK TO ANT</v>
      </c>
      <c r="L3629">
        <v>2</v>
      </c>
      <c r="M3629" t="str">
        <f>"יח"</f>
        <v>יח</v>
      </c>
      <c r="N3629">
        <v>2</v>
      </c>
      <c r="O3629" t="str">
        <f>"יח"</f>
        <v>יח</v>
      </c>
      <c r="P3629" s="2">
        <v>3183.15</v>
      </c>
      <c r="Q3629" t="str">
        <f>"$"</f>
        <v>$</v>
      </c>
      <c r="R3629" t="str">
        <f>"הזמנה"</f>
        <v>הזמנה</v>
      </c>
      <c r="S3629">
        <v>0</v>
      </c>
      <c r="T3629" s="2">
        <v>6366.3</v>
      </c>
      <c r="U3629">
        <v>0</v>
      </c>
      <c r="V3629" s="2">
        <v>6366.3</v>
      </c>
      <c r="W3629" t="str">
        <f>"$"</f>
        <v>$</v>
      </c>
      <c r="X3629">
        <v>0</v>
      </c>
      <c r="Y3629">
        <v>0</v>
      </c>
      <c r="Z3629">
        <v>0</v>
      </c>
      <c r="AA3629" t="str">
        <f>"Y"</f>
        <v>Y</v>
      </c>
      <c r="AB3629" t="str">
        <f>"SO20000094"</f>
        <v>SO20000094</v>
      </c>
      <c r="AC3629">
        <v>3</v>
      </c>
      <c r="AD3629" s="1">
        <v>43891</v>
      </c>
      <c r="AE3629" t="str">
        <f>"SH20000887"</f>
        <v>SH20000887</v>
      </c>
      <c r="AF3629" t="str">
        <f>"משלוחים ללקוח"</f>
        <v>משלוחים ללקוח</v>
      </c>
      <c r="AG3629" s="1">
        <v>44021</v>
      </c>
      <c r="AM3629" t="str">
        <f>"10"</f>
        <v>10</v>
      </c>
      <c r="AN3629" t="str">
        <f>"500000"</f>
        <v>500000</v>
      </c>
      <c r="AO3629" t="str">
        <f>"הכנסות  מלקוחות"</f>
        <v>הכנסות  מלקוחות</v>
      </c>
      <c r="AQ3629" t="str">
        <f>"034"</f>
        <v>034</v>
      </c>
      <c r="AR3629">
        <v>0</v>
      </c>
      <c r="AS3629">
        <v>0</v>
      </c>
      <c r="AT3629">
        <v>3.4470000000000001</v>
      </c>
      <c r="AX3629" t="str">
        <f>"E000306197"</f>
        <v>E000306197</v>
      </c>
      <c r="BD3629" t="str">
        <f>"ערן שלו"</f>
        <v>ערן שלו</v>
      </c>
    </row>
    <row r="3630" spans="1:56" x14ac:dyDescent="0.3">
      <c r="A3630" s="1">
        <v>44032</v>
      </c>
      <c r="B3630" t="str">
        <f>"SI206000688"</f>
        <v>SI206000688</v>
      </c>
      <c r="C3630" t="str">
        <f>"PR20000115"</f>
        <v>PR20000115</v>
      </c>
      <c r="D3630" t="str">
        <f>"PR20000115"</f>
        <v>PR20000115</v>
      </c>
      <c r="E3630" t="str">
        <f>"Y"</f>
        <v>Y</v>
      </c>
      <c r="F3630" t="str">
        <f>"חשבוניות מרכזות"</f>
        <v>חשבוניות מרכזות</v>
      </c>
      <c r="G3630" t="str">
        <f>"700065"</f>
        <v>700065</v>
      </c>
      <c r="H3630" t="str">
        <f>"אלתא מערכות בע""מ"</f>
        <v>אלתא מערכות בע"מ</v>
      </c>
      <c r="I3630" t="str">
        <f>"10"</f>
        <v>10</v>
      </c>
      <c r="J3630" t="str">
        <f>"OP-AR01653"</f>
        <v>OP-AR01653</v>
      </c>
      <c r="K3630" t="str">
        <f>"1041G339-001 W339 - CU RACK TO PEDESTAL SPARE"</f>
        <v>1041G339-001 W339 - CU RACK TO PEDESTAL SPARE</v>
      </c>
      <c r="L3630">
        <v>2</v>
      </c>
      <c r="M3630" t="str">
        <f>"יח"</f>
        <v>יח</v>
      </c>
      <c r="N3630">
        <v>2</v>
      </c>
      <c r="O3630" t="str">
        <f>"יח"</f>
        <v>יח</v>
      </c>
      <c r="P3630">
        <v>967.33</v>
      </c>
      <c r="Q3630" t="str">
        <f>"$"</f>
        <v>$</v>
      </c>
      <c r="R3630" t="str">
        <f>"הזמנה"</f>
        <v>הזמנה</v>
      </c>
      <c r="S3630">
        <v>0</v>
      </c>
      <c r="T3630" s="2">
        <v>1934.66</v>
      </c>
      <c r="U3630">
        <v>0</v>
      </c>
      <c r="V3630" s="2">
        <v>1934.66</v>
      </c>
      <c r="W3630" t="str">
        <f>"$"</f>
        <v>$</v>
      </c>
      <c r="X3630">
        <v>0</v>
      </c>
      <c r="Y3630">
        <v>0</v>
      </c>
      <c r="Z3630">
        <v>0</v>
      </c>
      <c r="AA3630" t="str">
        <f>"Y"</f>
        <v>Y</v>
      </c>
      <c r="AB3630" t="str">
        <f>"SO20000094"</f>
        <v>SO20000094</v>
      </c>
      <c r="AC3630">
        <v>22</v>
      </c>
      <c r="AD3630" s="1">
        <v>43891</v>
      </c>
      <c r="AE3630" t="str">
        <f>"SH20000887"</f>
        <v>SH20000887</v>
      </c>
      <c r="AF3630" t="str">
        <f>"משלוחים ללקוח"</f>
        <v>משלוחים ללקוח</v>
      </c>
      <c r="AG3630" s="1">
        <v>44021</v>
      </c>
      <c r="AM3630" t="str">
        <f>"10"</f>
        <v>10</v>
      </c>
      <c r="AN3630" t="str">
        <f>"500000"</f>
        <v>500000</v>
      </c>
      <c r="AO3630" t="str">
        <f>"הכנסות  מלקוחות"</f>
        <v>הכנסות  מלקוחות</v>
      </c>
      <c r="AQ3630" t="str">
        <f>"034"</f>
        <v>034</v>
      </c>
      <c r="AR3630">
        <v>0</v>
      </c>
      <c r="AS3630">
        <v>0</v>
      </c>
      <c r="AT3630">
        <v>3.4470000000000001</v>
      </c>
      <c r="AX3630" t="str">
        <f>"E000306197"</f>
        <v>E000306197</v>
      </c>
      <c r="BD3630" t="str">
        <f>"ערן שלו"</f>
        <v>ערן שלו</v>
      </c>
    </row>
    <row r="3631" spans="1:56" x14ac:dyDescent="0.3">
      <c r="A3631" s="1">
        <v>44032</v>
      </c>
      <c r="B3631" t="str">
        <f>"SI206000688"</f>
        <v>SI206000688</v>
      </c>
      <c r="C3631" t="str">
        <f>"PR20000115"</f>
        <v>PR20000115</v>
      </c>
      <c r="D3631" t="str">
        <f>"PR20000115"</f>
        <v>PR20000115</v>
      </c>
      <c r="E3631" t="str">
        <f>"Y"</f>
        <v>Y</v>
      </c>
      <c r="F3631" t="str">
        <f>"חשבוניות מרכזות"</f>
        <v>חשבוניות מרכזות</v>
      </c>
      <c r="G3631" t="str">
        <f>"700065"</f>
        <v>700065</v>
      </c>
      <c r="H3631" t="str">
        <f>"אלתא מערכות בע""מ"</f>
        <v>אלתא מערכות בע"מ</v>
      </c>
      <c r="I3631" t="str">
        <f>"10"</f>
        <v>10</v>
      </c>
      <c r="J3631" t="str">
        <f>"OP-AR01653"</f>
        <v>OP-AR01653</v>
      </c>
      <c r="K3631" t="str">
        <f>"1041G339-001 W339 - CU RACK TO PEDESTAL SPARE"</f>
        <v>1041G339-001 W339 - CU RACK TO PEDESTAL SPARE</v>
      </c>
      <c r="L3631">
        <v>1</v>
      </c>
      <c r="M3631" t="str">
        <f>"יח"</f>
        <v>יח</v>
      </c>
      <c r="N3631">
        <v>1</v>
      </c>
      <c r="O3631" t="str">
        <f>"יח"</f>
        <v>יח</v>
      </c>
      <c r="P3631">
        <v>967.33</v>
      </c>
      <c r="Q3631" t="str">
        <f>"$"</f>
        <v>$</v>
      </c>
      <c r="R3631" t="str">
        <f>"הזמנה"</f>
        <v>הזמנה</v>
      </c>
      <c r="S3631">
        <v>0</v>
      </c>
      <c r="T3631">
        <v>967.33</v>
      </c>
      <c r="U3631">
        <v>0</v>
      </c>
      <c r="V3631">
        <v>967.33</v>
      </c>
      <c r="W3631" t="str">
        <f>"$"</f>
        <v>$</v>
      </c>
      <c r="X3631">
        <v>0</v>
      </c>
      <c r="Y3631">
        <v>0</v>
      </c>
      <c r="Z3631">
        <v>0</v>
      </c>
      <c r="AA3631" t="str">
        <f>"Y"</f>
        <v>Y</v>
      </c>
      <c r="AB3631" t="str">
        <f>"SO20000094"</f>
        <v>SO20000094</v>
      </c>
      <c r="AC3631">
        <v>23</v>
      </c>
      <c r="AD3631" s="1">
        <v>43891</v>
      </c>
      <c r="AE3631" t="str">
        <f>"SH20000887"</f>
        <v>SH20000887</v>
      </c>
      <c r="AF3631" t="str">
        <f>"משלוחים ללקוח"</f>
        <v>משלוחים ללקוח</v>
      </c>
      <c r="AG3631" s="1">
        <v>44021</v>
      </c>
      <c r="AM3631" t="str">
        <f>"10"</f>
        <v>10</v>
      </c>
      <c r="AN3631" t="str">
        <f>"500000"</f>
        <v>500000</v>
      </c>
      <c r="AO3631" t="str">
        <f>"הכנסות  מלקוחות"</f>
        <v>הכנסות  מלקוחות</v>
      </c>
      <c r="AQ3631" t="str">
        <f>"034"</f>
        <v>034</v>
      </c>
      <c r="AR3631">
        <v>0</v>
      </c>
      <c r="AS3631">
        <v>0</v>
      </c>
      <c r="AT3631">
        <v>3.4470000000000001</v>
      </c>
      <c r="AX3631" t="str">
        <f>"E000306197"</f>
        <v>E000306197</v>
      </c>
      <c r="BD3631" t="str">
        <f>"ערן שלו"</f>
        <v>ערן שלו</v>
      </c>
    </row>
    <row r="3632" spans="1:56" x14ac:dyDescent="0.3">
      <c r="A3632" s="1">
        <v>44032</v>
      </c>
      <c r="B3632" t="str">
        <f>"SI206000687"</f>
        <v>SI206000687</v>
      </c>
      <c r="C3632" t="str">
        <f>"PR20000245"</f>
        <v>PR20000245</v>
      </c>
      <c r="D3632" t="str">
        <f>"PR20000245"</f>
        <v>PR20000245</v>
      </c>
      <c r="E3632" t="str">
        <f>"Y"</f>
        <v>Y</v>
      </c>
      <c r="F3632" t="str">
        <f>"חשבוניות מרכזות"</f>
        <v>חשבוניות מרכזות</v>
      </c>
      <c r="G3632" t="str">
        <f>"700065"</f>
        <v>700065</v>
      </c>
      <c r="H3632" t="str">
        <f>"אלתא מערכות בע""מ"</f>
        <v>אלתא מערכות בע"מ</v>
      </c>
      <c r="I3632" t="str">
        <f>"10"</f>
        <v>10</v>
      </c>
      <c r="J3632" t="str">
        <f>"OP-AR01723"</f>
        <v>OP-AR01723</v>
      </c>
      <c r="K3632" t="str">
        <f>"4020F406-001 CABLE ASSY W6"</f>
        <v>4020F406-001 CABLE ASSY W6</v>
      </c>
      <c r="L3632">
        <v>2</v>
      </c>
      <c r="M3632" t="str">
        <f>"יח"</f>
        <v>יח</v>
      </c>
      <c r="N3632">
        <v>2</v>
      </c>
      <c r="O3632" t="str">
        <f>"יח"</f>
        <v>יח</v>
      </c>
      <c r="P3632">
        <v>39.24</v>
      </c>
      <c r="Q3632" t="str">
        <f>"$"</f>
        <v>$</v>
      </c>
      <c r="R3632" t="str">
        <f>"הזמנה"</f>
        <v>הזמנה</v>
      </c>
      <c r="S3632">
        <v>0</v>
      </c>
      <c r="T3632">
        <v>78.48</v>
      </c>
      <c r="U3632">
        <v>0</v>
      </c>
      <c r="V3632">
        <v>78.48</v>
      </c>
      <c r="W3632" t="str">
        <f>"$"</f>
        <v>$</v>
      </c>
      <c r="X3632">
        <v>0</v>
      </c>
      <c r="Y3632">
        <v>0</v>
      </c>
      <c r="Z3632">
        <v>0</v>
      </c>
      <c r="AA3632" t="str">
        <f>"Y"</f>
        <v>Y</v>
      </c>
      <c r="AB3632" t="str">
        <f>"SO20000174"</f>
        <v>SO20000174</v>
      </c>
      <c r="AC3632">
        <v>1</v>
      </c>
      <c r="AD3632" s="1">
        <v>43954</v>
      </c>
      <c r="AE3632" t="str">
        <f>"SH20000884"</f>
        <v>SH20000884</v>
      </c>
      <c r="AF3632" t="str">
        <f>"משלוחים ללקוח"</f>
        <v>משלוחים ללקוח</v>
      </c>
      <c r="AG3632" s="1">
        <v>44020</v>
      </c>
      <c r="AM3632" t="str">
        <f>"10"</f>
        <v>10</v>
      </c>
      <c r="AN3632" t="str">
        <f>"500000"</f>
        <v>500000</v>
      </c>
      <c r="AO3632" t="str">
        <f>"הכנסות  מלקוחות"</f>
        <v>הכנסות  מלקוחות</v>
      </c>
      <c r="AQ3632" t="str">
        <f>"034"</f>
        <v>034</v>
      </c>
      <c r="AR3632">
        <v>0</v>
      </c>
      <c r="AS3632">
        <v>0</v>
      </c>
      <c r="AT3632">
        <v>3.4470000000000001</v>
      </c>
      <c r="AX3632" t="str">
        <f>"E000309897"</f>
        <v>E000309897</v>
      </c>
      <c r="BD3632" t="str">
        <f>"ערן שלו"</f>
        <v>ערן שלו</v>
      </c>
    </row>
    <row r="3633" spans="1:56" x14ac:dyDescent="0.3">
      <c r="A3633" s="1">
        <v>44032</v>
      </c>
      <c r="B3633" t="str">
        <f>"SI206000687"</f>
        <v>SI206000687</v>
      </c>
      <c r="C3633" t="str">
        <f>"PR20000245"</f>
        <v>PR20000245</v>
      </c>
      <c r="D3633" t="str">
        <f>"PR20000245"</f>
        <v>PR20000245</v>
      </c>
      <c r="E3633" t="str">
        <f>"Y"</f>
        <v>Y</v>
      </c>
      <c r="F3633" t="str">
        <f>"חשבוניות מרכזות"</f>
        <v>חשבוניות מרכזות</v>
      </c>
      <c r="G3633" t="str">
        <f>"700065"</f>
        <v>700065</v>
      </c>
      <c r="H3633" t="str">
        <f>"אלתא מערכות בע""מ"</f>
        <v>אלתא מערכות בע"מ</v>
      </c>
      <c r="I3633" t="str">
        <f>"10"</f>
        <v>10</v>
      </c>
      <c r="J3633" t="str">
        <f>"OP-AR01724"</f>
        <v>OP-AR01724</v>
      </c>
      <c r="K3633" t="str">
        <f>"4020F404-001 CABLE ASSY W4"</f>
        <v>4020F404-001 CABLE ASSY W4</v>
      </c>
      <c r="L3633">
        <v>8</v>
      </c>
      <c r="M3633" t="str">
        <f>"יח"</f>
        <v>יח</v>
      </c>
      <c r="N3633">
        <v>8</v>
      </c>
      <c r="O3633" t="str">
        <f>"יח"</f>
        <v>יח</v>
      </c>
      <c r="P3633">
        <v>253.18</v>
      </c>
      <c r="Q3633" t="str">
        <f>"$"</f>
        <v>$</v>
      </c>
      <c r="R3633" t="str">
        <f>"הזמנה"</f>
        <v>הזמנה</v>
      </c>
      <c r="S3633">
        <v>0</v>
      </c>
      <c r="T3633" s="2">
        <v>2025.44</v>
      </c>
      <c r="U3633">
        <v>0</v>
      </c>
      <c r="V3633" s="2">
        <v>2025.44</v>
      </c>
      <c r="W3633" t="str">
        <f>"$"</f>
        <v>$</v>
      </c>
      <c r="X3633">
        <v>0</v>
      </c>
      <c r="Y3633">
        <v>0</v>
      </c>
      <c r="Z3633">
        <v>0</v>
      </c>
      <c r="AA3633" t="str">
        <f>"Y"</f>
        <v>Y</v>
      </c>
      <c r="AB3633" t="str">
        <f>"SO20000174"</f>
        <v>SO20000174</v>
      </c>
      <c r="AC3633">
        <v>2</v>
      </c>
      <c r="AD3633" s="1">
        <v>43954</v>
      </c>
      <c r="AE3633" t="str">
        <f>"SH20000884"</f>
        <v>SH20000884</v>
      </c>
      <c r="AF3633" t="str">
        <f>"משלוחים ללקוח"</f>
        <v>משלוחים ללקוח</v>
      </c>
      <c r="AG3633" s="1">
        <v>44020</v>
      </c>
      <c r="AM3633" t="str">
        <f>"10"</f>
        <v>10</v>
      </c>
      <c r="AN3633" t="str">
        <f>"500000"</f>
        <v>500000</v>
      </c>
      <c r="AO3633" t="str">
        <f>"הכנסות  מלקוחות"</f>
        <v>הכנסות  מלקוחות</v>
      </c>
      <c r="AQ3633" t="str">
        <f>"034"</f>
        <v>034</v>
      </c>
      <c r="AR3633">
        <v>0</v>
      </c>
      <c r="AS3633">
        <v>0</v>
      </c>
      <c r="AT3633">
        <v>3.4470000000000001</v>
      </c>
      <c r="AX3633" t="str">
        <f>"E000309897"</f>
        <v>E000309897</v>
      </c>
      <c r="BD3633" t="str">
        <f>"ערן שלו"</f>
        <v>ערן שלו</v>
      </c>
    </row>
    <row r="3634" spans="1:56" x14ac:dyDescent="0.3">
      <c r="A3634" s="1">
        <v>44032</v>
      </c>
      <c r="B3634" t="str">
        <f>"SI206000687"</f>
        <v>SI206000687</v>
      </c>
      <c r="C3634" t="str">
        <f>"PR20000245"</f>
        <v>PR20000245</v>
      </c>
      <c r="D3634" t="str">
        <f>"PR20000245"</f>
        <v>PR20000245</v>
      </c>
      <c r="E3634" t="str">
        <f>"Y"</f>
        <v>Y</v>
      </c>
      <c r="F3634" t="str">
        <f>"חשבוניות מרכזות"</f>
        <v>חשבוניות מרכזות</v>
      </c>
      <c r="G3634" t="str">
        <f>"700065"</f>
        <v>700065</v>
      </c>
      <c r="H3634" t="str">
        <f>"אלתא מערכות בע""מ"</f>
        <v>אלתא מערכות בע"מ</v>
      </c>
      <c r="I3634" t="str">
        <f>"10"</f>
        <v>10</v>
      </c>
      <c r="J3634" t="str">
        <f>"OP-AR01728"</f>
        <v>OP-AR01728</v>
      </c>
      <c r="K3634" t="str">
        <f>"4020F408-001 CABLE ASSY W8"</f>
        <v>4020F408-001 CABLE ASSY W8</v>
      </c>
      <c r="L3634">
        <v>2</v>
      </c>
      <c r="M3634" t="str">
        <f>"יח"</f>
        <v>יח</v>
      </c>
      <c r="N3634">
        <v>2</v>
      </c>
      <c r="O3634" t="str">
        <f>"יח"</f>
        <v>יח</v>
      </c>
      <c r="P3634">
        <v>131.69</v>
      </c>
      <c r="Q3634" t="str">
        <f>"$"</f>
        <v>$</v>
      </c>
      <c r="R3634" t="str">
        <f>"הזמנה"</f>
        <v>הזמנה</v>
      </c>
      <c r="S3634">
        <v>0</v>
      </c>
      <c r="T3634">
        <v>263.38</v>
      </c>
      <c r="U3634">
        <v>0</v>
      </c>
      <c r="V3634">
        <v>263.38</v>
      </c>
      <c r="W3634" t="str">
        <f>"$"</f>
        <v>$</v>
      </c>
      <c r="X3634">
        <v>0</v>
      </c>
      <c r="Y3634">
        <v>0</v>
      </c>
      <c r="Z3634">
        <v>0</v>
      </c>
      <c r="AA3634" t="str">
        <f>"Y"</f>
        <v>Y</v>
      </c>
      <c r="AB3634" t="str">
        <f>"SO20000174"</f>
        <v>SO20000174</v>
      </c>
      <c r="AC3634">
        <v>6</v>
      </c>
      <c r="AD3634" s="1">
        <v>43954</v>
      </c>
      <c r="AE3634" t="str">
        <f>"SH20000884"</f>
        <v>SH20000884</v>
      </c>
      <c r="AF3634" t="str">
        <f>"משלוחים ללקוח"</f>
        <v>משלוחים ללקוח</v>
      </c>
      <c r="AG3634" s="1">
        <v>44020</v>
      </c>
      <c r="AM3634" t="str">
        <f>"10"</f>
        <v>10</v>
      </c>
      <c r="AN3634" t="str">
        <f>"500000"</f>
        <v>500000</v>
      </c>
      <c r="AO3634" t="str">
        <f>"הכנסות  מלקוחות"</f>
        <v>הכנסות  מלקוחות</v>
      </c>
      <c r="AQ3634" t="str">
        <f>"034"</f>
        <v>034</v>
      </c>
      <c r="AR3634">
        <v>0</v>
      </c>
      <c r="AS3634">
        <v>0</v>
      </c>
      <c r="AT3634">
        <v>3.4470000000000001</v>
      </c>
      <c r="AX3634" t="str">
        <f>"E000309897"</f>
        <v>E000309897</v>
      </c>
      <c r="BD3634" t="str">
        <f>"ערן שלו"</f>
        <v>ערן שלו</v>
      </c>
    </row>
    <row r="3635" spans="1:56" x14ac:dyDescent="0.3">
      <c r="A3635" s="1">
        <v>44032</v>
      </c>
      <c r="B3635" t="str">
        <f>"SI206000686"</f>
        <v>SI206000686</v>
      </c>
      <c r="C3635" t="str">
        <f>"PR20000120"</f>
        <v>PR20000120</v>
      </c>
      <c r="E3635" t="str">
        <f>"Y"</f>
        <v>Y</v>
      </c>
      <c r="F3635" t="str">
        <f>"חשבוניות מרכזות"</f>
        <v>חשבוניות מרכזות</v>
      </c>
      <c r="G3635" t="str">
        <f>"700065"</f>
        <v>700065</v>
      </c>
      <c r="H3635" t="str">
        <f>"אלתא מערכות בע""מ"</f>
        <v>אלתא מערכות בע"מ</v>
      </c>
      <c r="I3635" t="str">
        <f>"10"</f>
        <v>10</v>
      </c>
      <c r="J3635" t="str">
        <f>"OP-AR01664"</f>
        <v>OP-AR01664</v>
      </c>
      <c r="K3635" t="str">
        <f>"6649E012-001 SYSTEM BUNDLE TO RSU - COMMUNICATIO"</f>
        <v>6649E012-001 SYSTEM BUNDLE TO RSU - COMMUNICATIO</v>
      </c>
      <c r="L3635">
        <v>1</v>
      </c>
      <c r="M3635" t="str">
        <f>"יח"</f>
        <v>יח</v>
      </c>
      <c r="N3635">
        <v>1</v>
      </c>
      <c r="O3635" t="str">
        <f>"יח"</f>
        <v>יח</v>
      </c>
      <c r="P3635">
        <v>490.17</v>
      </c>
      <c r="Q3635" t="str">
        <f>"$"</f>
        <v>$</v>
      </c>
      <c r="R3635" t="str">
        <f>"הזמנה"</f>
        <v>הזמנה</v>
      </c>
      <c r="S3635">
        <v>0</v>
      </c>
      <c r="T3635">
        <v>490.17</v>
      </c>
      <c r="U3635">
        <v>0</v>
      </c>
      <c r="V3635">
        <v>490.17</v>
      </c>
      <c r="W3635" t="str">
        <f>"$"</f>
        <v>$</v>
      </c>
      <c r="X3635">
        <v>0</v>
      </c>
      <c r="Y3635">
        <v>0</v>
      </c>
      <c r="Z3635">
        <v>0</v>
      </c>
      <c r="AA3635" t="str">
        <f>"Y"</f>
        <v>Y</v>
      </c>
      <c r="AC3635">
        <v>0</v>
      </c>
      <c r="AM3635" t="str">
        <f>"10"</f>
        <v>10</v>
      </c>
      <c r="AN3635" t="str">
        <f>"500000"</f>
        <v>500000</v>
      </c>
      <c r="AO3635" t="str">
        <f>"הכנסות  מלקוחות"</f>
        <v>הכנסות  מלקוחות</v>
      </c>
      <c r="AQ3635" t="str">
        <f>"034"</f>
        <v>034</v>
      </c>
      <c r="AR3635">
        <v>0</v>
      </c>
      <c r="AS3635">
        <v>0</v>
      </c>
      <c r="AT3635">
        <v>3.4470000000000001</v>
      </c>
      <c r="BB3635" t="str">
        <f>"Y"</f>
        <v>Y</v>
      </c>
      <c r="BD3635" t="str">
        <f>"ערן שלו"</f>
        <v>ערן שלו</v>
      </c>
    </row>
    <row r="3636" spans="1:56" x14ac:dyDescent="0.3">
      <c r="A3636" s="1">
        <v>44032</v>
      </c>
      <c r="B3636" t="str">
        <f>"SI206000686"</f>
        <v>SI206000686</v>
      </c>
      <c r="C3636" t="str">
        <f>"PR20000120"</f>
        <v>PR20000120</v>
      </c>
      <c r="E3636" t="str">
        <f>"Y"</f>
        <v>Y</v>
      </c>
      <c r="F3636" t="str">
        <f>"חשבוניות מרכזות"</f>
        <v>חשבוניות מרכזות</v>
      </c>
      <c r="G3636" t="str">
        <f>"700065"</f>
        <v>700065</v>
      </c>
      <c r="H3636" t="str">
        <f>"אלתא מערכות בע""מ"</f>
        <v>אלתא מערכות בע"מ</v>
      </c>
      <c r="I3636" t="str">
        <f>"10"</f>
        <v>10</v>
      </c>
      <c r="J3636" t="str">
        <f>"OP-AR01667"</f>
        <v>OP-AR01667</v>
      </c>
      <c r="K3636" t="str">
        <f>"6660J719-003 W719"</f>
        <v>6660J719-003 W719</v>
      </c>
      <c r="L3636">
        <v>1</v>
      </c>
      <c r="M3636" t="str">
        <f>"יח"</f>
        <v>יח</v>
      </c>
      <c r="N3636">
        <v>1</v>
      </c>
      <c r="O3636" t="str">
        <f>"יח"</f>
        <v>יח</v>
      </c>
      <c r="P3636">
        <v>558.62</v>
      </c>
      <c r="Q3636" t="str">
        <f>"$"</f>
        <v>$</v>
      </c>
      <c r="R3636" t="str">
        <f>"הזמנה"</f>
        <v>הזמנה</v>
      </c>
      <c r="S3636">
        <v>0</v>
      </c>
      <c r="T3636">
        <v>558.62</v>
      </c>
      <c r="U3636">
        <v>0</v>
      </c>
      <c r="V3636">
        <v>558.62</v>
      </c>
      <c r="W3636" t="str">
        <f>"$"</f>
        <v>$</v>
      </c>
      <c r="X3636">
        <v>0</v>
      </c>
      <c r="Y3636">
        <v>0</v>
      </c>
      <c r="Z3636">
        <v>0</v>
      </c>
      <c r="AA3636" t="str">
        <f>"Y"</f>
        <v>Y</v>
      </c>
      <c r="AC3636">
        <v>0</v>
      </c>
      <c r="AM3636" t="str">
        <f>"10"</f>
        <v>10</v>
      </c>
      <c r="AN3636" t="str">
        <f>"500000"</f>
        <v>500000</v>
      </c>
      <c r="AO3636" t="str">
        <f>"הכנסות  מלקוחות"</f>
        <v>הכנסות  מלקוחות</v>
      </c>
      <c r="AQ3636" t="str">
        <f>"034"</f>
        <v>034</v>
      </c>
      <c r="AR3636">
        <v>0</v>
      </c>
      <c r="AS3636">
        <v>0</v>
      </c>
      <c r="AT3636">
        <v>3.4470000000000001</v>
      </c>
      <c r="BB3636" t="str">
        <f>"Y"</f>
        <v>Y</v>
      </c>
      <c r="BD3636" t="str">
        <f>"ערן שלו"</f>
        <v>ערן שלו</v>
      </c>
    </row>
    <row r="3637" spans="1:56" x14ac:dyDescent="0.3">
      <c r="A3637" s="1">
        <v>44032</v>
      </c>
      <c r="B3637" t="str">
        <f>"SI206000686"</f>
        <v>SI206000686</v>
      </c>
      <c r="C3637" t="str">
        <f>"PR20000120"</f>
        <v>PR20000120</v>
      </c>
      <c r="E3637" t="str">
        <f>"Y"</f>
        <v>Y</v>
      </c>
      <c r="F3637" t="str">
        <f>"חשבוניות מרכזות"</f>
        <v>חשבוניות מרכזות</v>
      </c>
      <c r="G3637" t="str">
        <f>"700065"</f>
        <v>700065</v>
      </c>
      <c r="H3637" t="str">
        <f>"אלתא מערכות בע""מ"</f>
        <v>אלתא מערכות בע"מ</v>
      </c>
      <c r="I3637" t="str">
        <f>"10"</f>
        <v>10</v>
      </c>
      <c r="J3637" t="str">
        <f>"OP-AR01668"</f>
        <v>OP-AR01668</v>
      </c>
      <c r="K3637" t="str">
        <f>"6660J891-001 W891"</f>
        <v>6660J891-001 W891</v>
      </c>
      <c r="L3637">
        <v>2</v>
      </c>
      <c r="M3637" t="str">
        <f>"יח"</f>
        <v>יח</v>
      </c>
      <c r="N3637">
        <v>2</v>
      </c>
      <c r="O3637" t="str">
        <f>"יח"</f>
        <v>יח</v>
      </c>
      <c r="P3637">
        <v>508.38</v>
      </c>
      <c r="Q3637" t="str">
        <f>"$"</f>
        <v>$</v>
      </c>
      <c r="R3637" t="str">
        <f>"הזמנה"</f>
        <v>הזמנה</v>
      </c>
      <c r="S3637">
        <v>0</v>
      </c>
      <c r="T3637" s="2">
        <v>1016.76</v>
      </c>
      <c r="U3637">
        <v>0</v>
      </c>
      <c r="V3637" s="2">
        <v>1016.76</v>
      </c>
      <c r="W3637" t="str">
        <f>"$"</f>
        <v>$</v>
      </c>
      <c r="X3637">
        <v>0</v>
      </c>
      <c r="Y3637">
        <v>0</v>
      </c>
      <c r="Z3637">
        <v>0</v>
      </c>
      <c r="AA3637" t="str">
        <f>"Y"</f>
        <v>Y</v>
      </c>
      <c r="AC3637">
        <v>0</v>
      </c>
      <c r="AM3637" t="str">
        <f>"10"</f>
        <v>10</v>
      </c>
      <c r="AN3637" t="str">
        <f>"500000"</f>
        <v>500000</v>
      </c>
      <c r="AO3637" t="str">
        <f>"הכנסות  מלקוחות"</f>
        <v>הכנסות  מלקוחות</v>
      </c>
      <c r="AQ3637" t="str">
        <f>"034"</f>
        <v>034</v>
      </c>
      <c r="AR3637">
        <v>0</v>
      </c>
      <c r="AS3637">
        <v>0</v>
      </c>
      <c r="AT3637">
        <v>3.4470000000000001</v>
      </c>
      <c r="BB3637" t="str">
        <f>"Y"</f>
        <v>Y</v>
      </c>
      <c r="BD3637" t="str">
        <f>"ערן שלו"</f>
        <v>ערן שלו</v>
      </c>
    </row>
    <row r="3638" spans="1:56" x14ac:dyDescent="0.3">
      <c r="A3638" s="1">
        <v>44032</v>
      </c>
      <c r="B3638" t="str">
        <f>"SI206000686"</f>
        <v>SI206000686</v>
      </c>
      <c r="C3638" t="str">
        <f>"PR20000120"</f>
        <v>PR20000120</v>
      </c>
      <c r="E3638" t="str">
        <f>"Y"</f>
        <v>Y</v>
      </c>
      <c r="F3638" t="str">
        <f>"חשבוניות מרכזות"</f>
        <v>חשבוניות מרכזות</v>
      </c>
      <c r="G3638" t="str">
        <f>"700065"</f>
        <v>700065</v>
      </c>
      <c r="H3638" t="str">
        <f>"אלתא מערכות בע""מ"</f>
        <v>אלתא מערכות בע"מ</v>
      </c>
      <c r="I3638" t="str">
        <f>"10"</f>
        <v>10</v>
      </c>
      <c r="J3638" t="str">
        <f>"OP-AR01679"</f>
        <v>OP-AR01679</v>
      </c>
      <c r="K3638" t="str">
        <f>"6649E632-001 ANT DOMO N TYPE -TBDM- N TYPE"</f>
        <v>6649E632-001 ANT DOMO N TYPE -TBDM- N TYPE</v>
      </c>
      <c r="L3638">
        <v>1</v>
      </c>
      <c r="M3638" t="str">
        <f>"יח"</f>
        <v>יח</v>
      </c>
      <c r="N3638">
        <v>1</v>
      </c>
      <c r="O3638" t="str">
        <f>"יח"</f>
        <v>יח</v>
      </c>
      <c r="P3638">
        <v>307.08</v>
      </c>
      <c r="Q3638" t="str">
        <f>"$"</f>
        <v>$</v>
      </c>
      <c r="R3638" t="str">
        <f>"הזמנה"</f>
        <v>הזמנה</v>
      </c>
      <c r="S3638">
        <v>0</v>
      </c>
      <c r="T3638">
        <v>307.08</v>
      </c>
      <c r="U3638">
        <v>0</v>
      </c>
      <c r="V3638">
        <v>307.08</v>
      </c>
      <c r="W3638" t="str">
        <f>"$"</f>
        <v>$</v>
      </c>
      <c r="X3638">
        <v>0</v>
      </c>
      <c r="Y3638">
        <v>0</v>
      </c>
      <c r="Z3638">
        <v>0</v>
      </c>
      <c r="AA3638" t="str">
        <f>"Y"</f>
        <v>Y</v>
      </c>
      <c r="AC3638">
        <v>0</v>
      </c>
      <c r="AM3638" t="str">
        <f>"10"</f>
        <v>10</v>
      </c>
      <c r="AN3638" t="str">
        <f>"500000"</f>
        <v>500000</v>
      </c>
      <c r="AO3638" t="str">
        <f>"הכנסות  מלקוחות"</f>
        <v>הכנסות  מלקוחות</v>
      </c>
      <c r="AQ3638" t="str">
        <f>"034"</f>
        <v>034</v>
      </c>
      <c r="AR3638">
        <v>0</v>
      </c>
      <c r="AS3638">
        <v>0</v>
      </c>
      <c r="AT3638">
        <v>3.4470000000000001</v>
      </c>
      <c r="BB3638" t="str">
        <f>"Y"</f>
        <v>Y</v>
      </c>
      <c r="BD3638" t="str">
        <f>"ערן שלו"</f>
        <v>ערן שלו</v>
      </c>
    </row>
    <row r="3639" spans="1:56" x14ac:dyDescent="0.3">
      <c r="A3639" s="1">
        <v>44032</v>
      </c>
      <c r="B3639" t="str">
        <f>"SI206000686"</f>
        <v>SI206000686</v>
      </c>
      <c r="C3639" t="str">
        <f>"PR20000120"</f>
        <v>PR20000120</v>
      </c>
      <c r="E3639" t="str">
        <f>"Y"</f>
        <v>Y</v>
      </c>
      <c r="F3639" t="str">
        <f>"חשבוניות מרכזות"</f>
        <v>חשבוניות מרכזות</v>
      </c>
      <c r="G3639" t="str">
        <f>"700065"</f>
        <v>700065</v>
      </c>
      <c r="H3639" t="str">
        <f>"אלתא מערכות בע""מ"</f>
        <v>אלתא מערכות בע"מ</v>
      </c>
      <c r="I3639" t="str">
        <f>"10"</f>
        <v>10</v>
      </c>
      <c r="J3639" t="str">
        <f>"OP-AR01681"</f>
        <v>OP-AR01681</v>
      </c>
      <c r="K3639" t="str">
        <f>"6649J011-001 W7001"</f>
        <v>6649J011-001 W7001</v>
      </c>
      <c r="L3639">
        <v>1</v>
      </c>
      <c r="M3639" t="str">
        <f>"יח"</f>
        <v>יח</v>
      </c>
      <c r="N3639">
        <v>1</v>
      </c>
      <c r="O3639" t="str">
        <f>"יח"</f>
        <v>יח</v>
      </c>
      <c r="P3639" s="2">
        <v>1349.28</v>
      </c>
      <c r="Q3639" t="str">
        <f>"$"</f>
        <v>$</v>
      </c>
      <c r="R3639" t="str">
        <f>"הזמנה"</f>
        <v>הזמנה</v>
      </c>
      <c r="S3639">
        <v>0</v>
      </c>
      <c r="T3639" s="2">
        <v>1349.28</v>
      </c>
      <c r="U3639">
        <v>0</v>
      </c>
      <c r="V3639" s="2">
        <v>1349.28</v>
      </c>
      <c r="W3639" t="str">
        <f>"$"</f>
        <v>$</v>
      </c>
      <c r="X3639">
        <v>0</v>
      </c>
      <c r="Y3639">
        <v>0</v>
      </c>
      <c r="Z3639">
        <v>0</v>
      </c>
      <c r="AA3639" t="str">
        <f>"Y"</f>
        <v>Y</v>
      </c>
      <c r="AC3639">
        <v>0</v>
      </c>
      <c r="AM3639" t="str">
        <f>"10"</f>
        <v>10</v>
      </c>
      <c r="AN3639" t="str">
        <f>"500000"</f>
        <v>500000</v>
      </c>
      <c r="AO3639" t="str">
        <f>"הכנסות  מלקוחות"</f>
        <v>הכנסות  מלקוחות</v>
      </c>
      <c r="AQ3639" t="str">
        <f>"034"</f>
        <v>034</v>
      </c>
      <c r="AR3639">
        <v>0</v>
      </c>
      <c r="AS3639">
        <v>0</v>
      </c>
      <c r="AT3639">
        <v>3.4470000000000001</v>
      </c>
      <c r="BB3639" t="str">
        <f>"Y"</f>
        <v>Y</v>
      </c>
      <c r="BD3639" t="str">
        <f>"ערן שלו"</f>
        <v>ערן שלו</v>
      </c>
    </row>
    <row r="3640" spans="1:56" x14ac:dyDescent="0.3">
      <c r="A3640" s="1">
        <v>44032</v>
      </c>
      <c r="B3640" t="str">
        <f>"SI206000686"</f>
        <v>SI206000686</v>
      </c>
      <c r="C3640" t="str">
        <f>"PR20000120"</f>
        <v>PR20000120</v>
      </c>
      <c r="E3640" t="str">
        <f>"Y"</f>
        <v>Y</v>
      </c>
      <c r="F3640" t="str">
        <f>"חשבוניות מרכזות"</f>
        <v>חשבוניות מרכזות</v>
      </c>
      <c r="G3640" t="str">
        <f>"700065"</f>
        <v>700065</v>
      </c>
      <c r="H3640" t="str">
        <f>"אלתא מערכות בע""מ"</f>
        <v>אלתא מערכות בע"מ</v>
      </c>
      <c r="I3640" t="str">
        <f>"10"</f>
        <v>10</v>
      </c>
      <c r="J3640" t="str">
        <f>"OP-AR01685"</f>
        <v>OP-AR01685</v>
      </c>
      <c r="K3640" t="str">
        <f>"6660J731-001 W731"</f>
        <v>6660J731-001 W731</v>
      </c>
      <c r="L3640">
        <v>1</v>
      </c>
      <c r="M3640" t="str">
        <f>"יח"</f>
        <v>יח</v>
      </c>
      <c r="N3640">
        <v>1</v>
      </c>
      <c r="O3640" t="str">
        <f>"יח"</f>
        <v>יח</v>
      </c>
      <c r="P3640">
        <v>402.48</v>
      </c>
      <c r="Q3640" t="str">
        <f>"$"</f>
        <v>$</v>
      </c>
      <c r="R3640" t="str">
        <f>"הזמנה"</f>
        <v>הזמנה</v>
      </c>
      <c r="S3640">
        <v>0</v>
      </c>
      <c r="T3640">
        <v>402.48</v>
      </c>
      <c r="U3640">
        <v>0</v>
      </c>
      <c r="V3640">
        <v>402.48</v>
      </c>
      <c r="W3640" t="str">
        <f>"$"</f>
        <v>$</v>
      </c>
      <c r="X3640">
        <v>0</v>
      </c>
      <c r="Y3640">
        <v>0</v>
      </c>
      <c r="Z3640">
        <v>0</v>
      </c>
      <c r="AA3640" t="str">
        <f>"Y"</f>
        <v>Y</v>
      </c>
      <c r="AC3640">
        <v>0</v>
      </c>
      <c r="AM3640" t="str">
        <f>"10"</f>
        <v>10</v>
      </c>
      <c r="AN3640" t="str">
        <f>"500000"</f>
        <v>500000</v>
      </c>
      <c r="AO3640" t="str">
        <f>"הכנסות  מלקוחות"</f>
        <v>הכנסות  מלקוחות</v>
      </c>
      <c r="AQ3640" t="str">
        <f>"034"</f>
        <v>034</v>
      </c>
      <c r="AR3640">
        <v>0</v>
      </c>
      <c r="AS3640">
        <v>0</v>
      </c>
      <c r="AT3640">
        <v>3.4470000000000001</v>
      </c>
      <c r="BB3640" t="str">
        <f>"Y"</f>
        <v>Y</v>
      </c>
      <c r="BD3640" t="str">
        <f>"ערן שלו"</f>
        <v>ערן שלו</v>
      </c>
    </row>
    <row r="3641" spans="1:56" x14ac:dyDescent="0.3">
      <c r="A3641" s="1">
        <v>44032</v>
      </c>
      <c r="B3641" t="str">
        <f>"SI206000685"</f>
        <v>SI206000685</v>
      </c>
      <c r="C3641" t="str">
        <f>"PR18000543"</f>
        <v>PR18000543</v>
      </c>
      <c r="D3641" t="str">
        <f>"PR18000543"</f>
        <v>PR18000543</v>
      </c>
      <c r="E3641" t="str">
        <f>"Y"</f>
        <v>Y</v>
      </c>
      <c r="F3641" t="str">
        <f>"חשבוניות מרכזות"</f>
        <v>חשבוניות מרכזות</v>
      </c>
      <c r="G3641" t="str">
        <f>"700065"</f>
        <v>700065</v>
      </c>
      <c r="H3641" t="str">
        <f>"אלתא מערכות בע""מ"</f>
        <v>אלתא מערכות בע"מ</v>
      </c>
      <c r="I3641" t="str">
        <f>"10"</f>
        <v>10</v>
      </c>
      <c r="J3641" t="str">
        <f>"OP-AR01083"</f>
        <v>OP-AR01083</v>
      </c>
      <c r="K3641" t="str">
        <f>"1036C960-001 HVJB_N"</f>
        <v>1036C960-001 HVJB_N</v>
      </c>
      <c r="L3641">
        <v>2</v>
      </c>
      <c r="M3641" t="str">
        <f>"יח"</f>
        <v>יח</v>
      </c>
      <c r="N3641">
        <v>2</v>
      </c>
      <c r="O3641" t="str">
        <f>"יח"</f>
        <v>יח</v>
      </c>
      <c r="P3641" s="2">
        <v>6500</v>
      </c>
      <c r="Q3641" t="str">
        <f>"$"</f>
        <v>$</v>
      </c>
      <c r="R3641" t="str">
        <f>"הזמנה"</f>
        <v>הזמנה</v>
      </c>
      <c r="S3641">
        <v>0</v>
      </c>
      <c r="T3641" s="2">
        <v>13000</v>
      </c>
      <c r="U3641">
        <v>0</v>
      </c>
      <c r="V3641" s="2">
        <v>13000</v>
      </c>
      <c r="W3641" t="str">
        <f>"$"</f>
        <v>$</v>
      </c>
      <c r="X3641">
        <v>0</v>
      </c>
      <c r="Y3641">
        <v>0</v>
      </c>
      <c r="Z3641">
        <v>0</v>
      </c>
      <c r="AA3641" t="str">
        <f>"Y"</f>
        <v>Y</v>
      </c>
      <c r="AB3641" t="str">
        <f>"SO18000429"</f>
        <v>SO18000429</v>
      </c>
      <c r="AC3641">
        <v>10</v>
      </c>
      <c r="AD3641" s="1">
        <v>43311</v>
      </c>
      <c r="AE3641" t="str">
        <f>"SH20000883"</f>
        <v>SH20000883</v>
      </c>
      <c r="AF3641" t="str">
        <f>"משלוחים ללקוח"</f>
        <v>משלוחים ללקוח</v>
      </c>
      <c r="AG3641" s="1">
        <v>44020</v>
      </c>
      <c r="AM3641" t="str">
        <f>"10"</f>
        <v>10</v>
      </c>
      <c r="AN3641" t="str">
        <f>"500000"</f>
        <v>500000</v>
      </c>
      <c r="AO3641" t="str">
        <f>"הכנסות  מלקוחות"</f>
        <v>הכנסות  מלקוחות</v>
      </c>
      <c r="AQ3641" t="str">
        <f>"007"</f>
        <v>007</v>
      </c>
      <c r="AR3641">
        <v>0</v>
      </c>
      <c r="AS3641">
        <v>0</v>
      </c>
      <c r="AT3641">
        <v>3.4470000000000001</v>
      </c>
      <c r="AX3641" t="str">
        <f>"E000266439"</f>
        <v>E000266439</v>
      </c>
      <c r="BD3641" t="str">
        <f>"רוני דידי"</f>
        <v>רוני דידי</v>
      </c>
    </row>
    <row r="3642" spans="1:56" x14ac:dyDescent="0.3">
      <c r="A3642" s="1">
        <v>44032</v>
      </c>
      <c r="B3642" t="str">
        <f>"SI206000684"</f>
        <v>SI206000684</v>
      </c>
      <c r="C3642" t="str">
        <f>"PR19000731"</f>
        <v>PR19000731</v>
      </c>
      <c r="E3642" t="str">
        <f>"Y"</f>
        <v>Y</v>
      </c>
      <c r="F3642" t="str">
        <f>"חשבוניות מרכזות"</f>
        <v>חשבוניות מרכזות</v>
      </c>
      <c r="G3642" t="str">
        <f>"700065"</f>
        <v>700065</v>
      </c>
      <c r="H3642" t="str">
        <f>"אלתא מערכות בע""מ"</f>
        <v>אלתא מערכות בע"מ</v>
      </c>
      <c r="I3642" t="str">
        <f>"10"</f>
        <v>10</v>
      </c>
      <c r="J3642" t="str">
        <f>"OP-AR01581"</f>
        <v>OP-AR01581</v>
      </c>
      <c r="K3642" t="str">
        <f>"9004W741-001 HARNESS WS101 SYSTEM POWER IN"</f>
        <v>9004W741-001 HARNESS WS101 SYSTEM POWER IN</v>
      </c>
      <c r="L3642">
        <v>2</v>
      </c>
      <c r="M3642" t="str">
        <f>"יח"</f>
        <v>יח</v>
      </c>
      <c r="N3642">
        <v>2</v>
      </c>
      <c r="O3642" t="str">
        <f>"יח"</f>
        <v>יח</v>
      </c>
      <c r="P3642">
        <v>903.94</v>
      </c>
      <c r="Q3642" t="str">
        <f>"$"</f>
        <v>$</v>
      </c>
      <c r="R3642" t="str">
        <f>"הזמנה"</f>
        <v>הזמנה</v>
      </c>
      <c r="S3642">
        <v>0</v>
      </c>
      <c r="T3642" s="2">
        <v>1807.88</v>
      </c>
      <c r="U3642">
        <v>0</v>
      </c>
      <c r="V3642" s="2">
        <v>1807.88</v>
      </c>
      <c r="W3642" t="str">
        <f>"$"</f>
        <v>$</v>
      </c>
      <c r="X3642">
        <v>0</v>
      </c>
      <c r="Y3642">
        <v>0</v>
      </c>
      <c r="Z3642">
        <v>0</v>
      </c>
      <c r="AA3642" t="str">
        <f>"Y"</f>
        <v>Y</v>
      </c>
      <c r="AB3642" t="str">
        <f>"SO19000524"</f>
        <v>SO19000524</v>
      </c>
      <c r="AC3642">
        <v>22</v>
      </c>
      <c r="AD3642" s="1">
        <v>43809</v>
      </c>
      <c r="AE3642" t="str">
        <f>"SH20000882"</f>
        <v>SH20000882</v>
      </c>
      <c r="AF3642" t="str">
        <f>"משלוחים ללקוח"</f>
        <v>משלוחים ללקוח</v>
      </c>
      <c r="AG3642" s="1">
        <v>44020</v>
      </c>
      <c r="AM3642" t="str">
        <f>"10"</f>
        <v>10</v>
      </c>
      <c r="AN3642" t="str">
        <f>"500000"</f>
        <v>500000</v>
      </c>
      <c r="AO3642" t="str">
        <f>"הכנסות  מלקוחות"</f>
        <v>הכנסות  מלקוחות</v>
      </c>
      <c r="AQ3642" t="str">
        <f>"034"</f>
        <v>034</v>
      </c>
      <c r="AR3642">
        <v>0</v>
      </c>
      <c r="AS3642">
        <v>0</v>
      </c>
      <c r="AT3642">
        <v>3.4470000000000001</v>
      </c>
      <c r="AX3642" t="str">
        <f>"E000300228"</f>
        <v>E000300228</v>
      </c>
      <c r="BD3642" t="str">
        <f>"ערן שלו"</f>
        <v>ערן שלו</v>
      </c>
    </row>
    <row r="3643" spans="1:56" x14ac:dyDescent="0.3">
      <c r="A3643" s="1">
        <v>44032</v>
      </c>
      <c r="B3643" t="str">
        <f>"SI206000684"</f>
        <v>SI206000684</v>
      </c>
      <c r="C3643" t="str">
        <f>"PR19000731"</f>
        <v>PR19000731</v>
      </c>
      <c r="E3643" t="str">
        <f>"Y"</f>
        <v>Y</v>
      </c>
      <c r="F3643" t="str">
        <f>"חשבוניות מרכזות"</f>
        <v>חשבוניות מרכזות</v>
      </c>
      <c r="G3643" t="str">
        <f>"700065"</f>
        <v>700065</v>
      </c>
      <c r="H3643" t="str">
        <f>"אלתא מערכות בע""מ"</f>
        <v>אלתא מערכות בע"מ</v>
      </c>
      <c r="I3643" t="str">
        <f>"10"</f>
        <v>10</v>
      </c>
      <c r="J3643" t="str">
        <f>"OP-AR01581"</f>
        <v>OP-AR01581</v>
      </c>
      <c r="K3643" t="str">
        <f>"9004W741-001 HARNESS WS101 SYSTEM POWER IN"</f>
        <v>9004W741-001 HARNESS WS101 SYSTEM POWER IN</v>
      </c>
      <c r="L3643">
        <v>1</v>
      </c>
      <c r="M3643" t="str">
        <f>"יח"</f>
        <v>יח</v>
      </c>
      <c r="N3643">
        <v>1</v>
      </c>
      <c r="O3643" t="str">
        <f>"יח"</f>
        <v>יח</v>
      </c>
      <c r="P3643">
        <v>903.94</v>
      </c>
      <c r="Q3643" t="str">
        <f>"$"</f>
        <v>$</v>
      </c>
      <c r="R3643" t="str">
        <f>"הזמנה"</f>
        <v>הזמנה</v>
      </c>
      <c r="S3643">
        <v>0</v>
      </c>
      <c r="T3643">
        <v>903.94</v>
      </c>
      <c r="U3643">
        <v>0</v>
      </c>
      <c r="V3643">
        <v>903.94</v>
      </c>
      <c r="W3643" t="str">
        <f>"$"</f>
        <v>$</v>
      </c>
      <c r="X3643">
        <v>0</v>
      </c>
      <c r="Y3643">
        <v>0</v>
      </c>
      <c r="Z3643">
        <v>0</v>
      </c>
      <c r="AA3643" t="str">
        <f>"Y"</f>
        <v>Y</v>
      </c>
      <c r="AB3643" t="str">
        <f>"SO19000524"</f>
        <v>SO19000524</v>
      </c>
      <c r="AC3643">
        <v>23</v>
      </c>
      <c r="AD3643" s="1">
        <v>43809</v>
      </c>
      <c r="AE3643" t="str">
        <f>"SH20000882"</f>
        <v>SH20000882</v>
      </c>
      <c r="AF3643" t="str">
        <f>"משלוחים ללקוח"</f>
        <v>משלוחים ללקוח</v>
      </c>
      <c r="AG3643" s="1">
        <v>44020</v>
      </c>
      <c r="AM3643" t="str">
        <f>"10"</f>
        <v>10</v>
      </c>
      <c r="AN3643" t="str">
        <f>"500000"</f>
        <v>500000</v>
      </c>
      <c r="AO3643" t="str">
        <f>"הכנסות  מלקוחות"</f>
        <v>הכנסות  מלקוחות</v>
      </c>
      <c r="AQ3643" t="str">
        <f>"034"</f>
        <v>034</v>
      </c>
      <c r="AR3643">
        <v>0</v>
      </c>
      <c r="AS3643">
        <v>0</v>
      </c>
      <c r="AT3643">
        <v>3.4470000000000001</v>
      </c>
      <c r="AX3643" t="str">
        <f>"E000300228"</f>
        <v>E000300228</v>
      </c>
      <c r="BD3643" t="str">
        <f>"ערן שלו"</f>
        <v>ערן שלו</v>
      </c>
    </row>
    <row r="3644" spans="1:56" x14ac:dyDescent="0.3">
      <c r="A3644" s="1">
        <v>44032</v>
      </c>
      <c r="B3644" t="str">
        <f>"SI206000684"</f>
        <v>SI206000684</v>
      </c>
      <c r="C3644" t="str">
        <f>"PR19000731"</f>
        <v>PR19000731</v>
      </c>
      <c r="E3644" t="str">
        <f>"Y"</f>
        <v>Y</v>
      </c>
      <c r="F3644" t="str">
        <f>"חשבוניות מרכזות"</f>
        <v>חשבוניות מרכזות</v>
      </c>
      <c r="G3644" t="str">
        <f>"700065"</f>
        <v>700065</v>
      </c>
      <c r="H3644" t="str">
        <f>"אלתא מערכות בע""מ"</f>
        <v>אלתא מערכות בע"מ</v>
      </c>
      <c r="I3644" t="str">
        <f>"10"</f>
        <v>10</v>
      </c>
      <c r="J3644" t="str">
        <f>"OP-AR01582"</f>
        <v>OP-AR01582</v>
      </c>
      <c r="K3644" t="str">
        <f>"9004W742-001 HARNESS WS102 RP-P2"</f>
        <v>9004W742-001 HARNESS WS102 RP-P2</v>
      </c>
      <c r="L3644">
        <v>2</v>
      </c>
      <c r="M3644" t="str">
        <f>"יח"</f>
        <v>יח</v>
      </c>
      <c r="N3644">
        <v>2</v>
      </c>
      <c r="O3644" t="str">
        <f>"יח"</f>
        <v>יח</v>
      </c>
      <c r="P3644" s="2">
        <v>2851.63</v>
      </c>
      <c r="Q3644" t="str">
        <f>"$"</f>
        <v>$</v>
      </c>
      <c r="R3644" t="str">
        <f>"הזמנה"</f>
        <v>הזמנה</v>
      </c>
      <c r="S3644">
        <v>0</v>
      </c>
      <c r="T3644" s="2">
        <v>5703.26</v>
      </c>
      <c r="U3644">
        <v>0</v>
      </c>
      <c r="V3644" s="2">
        <v>5703.26</v>
      </c>
      <c r="W3644" t="str">
        <f>"$"</f>
        <v>$</v>
      </c>
      <c r="X3644">
        <v>0</v>
      </c>
      <c r="Y3644">
        <v>0</v>
      </c>
      <c r="Z3644">
        <v>0</v>
      </c>
      <c r="AA3644" t="str">
        <f>"Y"</f>
        <v>Y</v>
      </c>
      <c r="AB3644" t="str">
        <f>"SO19000524"</f>
        <v>SO19000524</v>
      </c>
      <c r="AC3644">
        <v>26</v>
      </c>
      <c r="AD3644" s="1">
        <v>43809</v>
      </c>
      <c r="AE3644" t="str">
        <f>"SH20000882"</f>
        <v>SH20000882</v>
      </c>
      <c r="AF3644" t="str">
        <f>"משלוחים ללקוח"</f>
        <v>משלוחים ללקוח</v>
      </c>
      <c r="AG3644" s="1">
        <v>44020</v>
      </c>
      <c r="AM3644" t="str">
        <f>"10"</f>
        <v>10</v>
      </c>
      <c r="AN3644" t="str">
        <f>"500000"</f>
        <v>500000</v>
      </c>
      <c r="AO3644" t="str">
        <f>"הכנסות  מלקוחות"</f>
        <v>הכנסות  מלקוחות</v>
      </c>
      <c r="AQ3644" t="str">
        <f>"034"</f>
        <v>034</v>
      </c>
      <c r="AR3644">
        <v>0</v>
      </c>
      <c r="AS3644">
        <v>0</v>
      </c>
      <c r="AT3644">
        <v>3.4470000000000001</v>
      </c>
      <c r="AX3644" t="str">
        <f>"E000300228"</f>
        <v>E000300228</v>
      </c>
      <c r="BD3644" t="str">
        <f>"ערן שלו"</f>
        <v>ערן שלו</v>
      </c>
    </row>
    <row r="3645" spans="1:56" x14ac:dyDescent="0.3">
      <c r="A3645" s="1">
        <v>44032</v>
      </c>
      <c r="B3645" t="str">
        <f>"SI206000684"</f>
        <v>SI206000684</v>
      </c>
      <c r="C3645" t="str">
        <f>"PR19000731"</f>
        <v>PR19000731</v>
      </c>
      <c r="E3645" t="str">
        <f>"Y"</f>
        <v>Y</v>
      </c>
      <c r="F3645" t="str">
        <f>"חשבוניות מרכזות"</f>
        <v>חשבוניות מרכזות</v>
      </c>
      <c r="G3645" t="str">
        <f>"700065"</f>
        <v>700065</v>
      </c>
      <c r="H3645" t="str">
        <f>"אלתא מערכות בע""מ"</f>
        <v>אלתא מערכות בע"מ</v>
      </c>
      <c r="I3645" t="str">
        <f>"10"</f>
        <v>10</v>
      </c>
      <c r="J3645" t="str">
        <f>"OP-AR01582"</f>
        <v>OP-AR01582</v>
      </c>
      <c r="K3645" t="str">
        <f>"9004W742-001 HARNESS WS102 RP-P2"</f>
        <v>9004W742-001 HARNESS WS102 RP-P2</v>
      </c>
      <c r="L3645">
        <v>1</v>
      </c>
      <c r="M3645" t="str">
        <f>"יח"</f>
        <v>יח</v>
      </c>
      <c r="N3645">
        <v>1</v>
      </c>
      <c r="O3645" t="str">
        <f>"יח"</f>
        <v>יח</v>
      </c>
      <c r="P3645" s="2">
        <v>2851.63</v>
      </c>
      <c r="Q3645" t="str">
        <f>"$"</f>
        <v>$</v>
      </c>
      <c r="R3645" t="str">
        <f>"הזמנה"</f>
        <v>הזמנה</v>
      </c>
      <c r="S3645">
        <v>0</v>
      </c>
      <c r="T3645" s="2">
        <v>2851.63</v>
      </c>
      <c r="U3645">
        <v>0</v>
      </c>
      <c r="V3645" s="2">
        <v>2851.63</v>
      </c>
      <c r="W3645" t="str">
        <f>"$"</f>
        <v>$</v>
      </c>
      <c r="X3645">
        <v>0</v>
      </c>
      <c r="Y3645">
        <v>0</v>
      </c>
      <c r="Z3645">
        <v>0</v>
      </c>
      <c r="AA3645" t="str">
        <f>"Y"</f>
        <v>Y</v>
      </c>
      <c r="AB3645" t="str">
        <f>"SO19000524"</f>
        <v>SO19000524</v>
      </c>
      <c r="AC3645">
        <v>27</v>
      </c>
      <c r="AD3645" s="1">
        <v>43809</v>
      </c>
      <c r="AE3645" t="str">
        <f>"SH20000882"</f>
        <v>SH20000882</v>
      </c>
      <c r="AF3645" t="str">
        <f>"משלוחים ללקוח"</f>
        <v>משלוחים ללקוח</v>
      </c>
      <c r="AG3645" s="1">
        <v>44020</v>
      </c>
      <c r="AM3645" t="str">
        <f>"10"</f>
        <v>10</v>
      </c>
      <c r="AN3645" t="str">
        <f>"500000"</f>
        <v>500000</v>
      </c>
      <c r="AO3645" t="str">
        <f>"הכנסות  מלקוחות"</f>
        <v>הכנסות  מלקוחות</v>
      </c>
      <c r="AQ3645" t="str">
        <f>"034"</f>
        <v>034</v>
      </c>
      <c r="AR3645">
        <v>0</v>
      </c>
      <c r="AS3645">
        <v>0</v>
      </c>
      <c r="AT3645">
        <v>3.4470000000000001</v>
      </c>
      <c r="AX3645" t="str">
        <f>"E000300228"</f>
        <v>E000300228</v>
      </c>
      <c r="BD3645" t="str">
        <f>"ערן שלו"</f>
        <v>ערן שלו</v>
      </c>
    </row>
    <row r="3646" spans="1:56" x14ac:dyDescent="0.3">
      <c r="A3646" s="1">
        <v>44032</v>
      </c>
      <c r="B3646" t="str">
        <f>"SI206000684"</f>
        <v>SI206000684</v>
      </c>
      <c r="C3646" t="str">
        <f>"PR19000731"</f>
        <v>PR19000731</v>
      </c>
      <c r="E3646" t="str">
        <f>"Y"</f>
        <v>Y</v>
      </c>
      <c r="F3646" t="str">
        <f>"חשבוניות מרכזות"</f>
        <v>חשבוניות מרכזות</v>
      </c>
      <c r="G3646" t="str">
        <f>"700065"</f>
        <v>700065</v>
      </c>
      <c r="H3646" t="str">
        <f>"אלתא מערכות בע""מ"</f>
        <v>אלתא מערכות בע"מ</v>
      </c>
      <c r="I3646" t="str">
        <f>"10"</f>
        <v>10</v>
      </c>
      <c r="J3646" t="str">
        <f>"OP-AR01585"</f>
        <v>OP-AR01585</v>
      </c>
      <c r="K3646" t="str">
        <f>"9004W745-001 HARNESS WS105 RP VIDEO SIGNALS"</f>
        <v>9004W745-001 HARNESS WS105 RP VIDEO SIGNALS</v>
      </c>
      <c r="L3646">
        <v>7</v>
      </c>
      <c r="M3646" t="str">
        <f>"יח"</f>
        <v>יח</v>
      </c>
      <c r="N3646">
        <v>7</v>
      </c>
      <c r="O3646" t="str">
        <f>"יח"</f>
        <v>יח</v>
      </c>
      <c r="P3646">
        <v>838.3</v>
      </c>
      <c r="Q3646" t="str">
        <f>"$"</f>
        <v>$</v>
      </c>
      <c r="R3646" t="str">
        <f>"הזמנה"</f>
        <v>הזמנה</v>
      </c>
      <c r="S3646">
        <v>0</v>
      </c>
      <c r="T3646" s="2">
        <v>5868.1</v>
      </c>
      <c r="U3646">
        <v>0</v>
      </c>
      <c r="V3646" s="2">
        <v>5868.1</v>
      </c>
      <c r="W3646" t="str">
        <f>"$"</f>
        <v>$</v>
      </c>
      <c r="X3646">
        <v>0</v>
      </c>
      <c r="Y3646">
        <v>0</v>
      </c>
      <c r="Z3646">
        <v>0</v>
      </c>
      <c r="AA3646" t="str">
        <f>"Y"</f>
        <v>Y</v>
      </c>
      <c r="AB3646" t="str">
        <f>"SO19000524"</f>
        <v>SO19000524</v>
      </c>
      <c r="AC3646">
        <v>35</v>
      </c>
      <c r="AD3646" s="1">
        <v>43809</v>
      </c>
      <c r="AE3646" t="str">
        <f>"SH20000882"</f>
        <v>SH20000882</v>
      </c>
      <c r="AF3646" t="str">
        <f>"משלוחים ללקוח"</f>
        <v>משלוחים ללקוח</v>
      </c>
      <c r="AG3646" s="1">
        <v>44020</v>
      </c>
      <c r="AM3646" t="str">
        <f>"10"</f>
        <v>10</v>
      </c>
      <c r="AN3646" t="str">
        <f>"500000"</f>
        <v>500000</v>
      </c>
      <c r="AO3646" t="str">
        <f>"הכנסות  מלקוחות"</f>
        <v>הכנסות  מלקוחות</v>
      </c>
      <c r="AQ3646" t="str">
        <f>"034"</f>
        <v>034</v>
      </c>
      <c r="AR3646">
        <v>0</v>
      </c>
      <c r="AS3646">
        <v>0</v>
      </c>
      <c r="AT3646">
        <v>3.4470000000000001</v>
      </c>
      <c r="AX3646" t="str">
        <f>"E000300228"</f>
        <v>E000300228</v>
      </c>
      <c r="BD3646" t="str">
        <f>"ערן שלו"</f>
        <v>ערן שלו</v>
      </c>
    </row>
    <row r="3647" spans="1:56" x14ac:dyDescent="0.3">
      <c r="A3647" s="1">
        <v>44032</v>
      </c>
      <c r="B3647" t="str">
        <f>"SI206000684"</f>
        <v>SI206000684</v>
      </c>
      <c r="C3647" t="str">
        <f>"PR19000731"</f>
        <v>PR19000731</v>
      </c>
      <c r="E3647" t="str">
        <f>"Y"</f>
        <v>Y</v>
      </c>
      <c r="F3647" t="str">
        <f>"חשבוניות מרכזות"</f>
        <v>חשבוניות מרכזות</v>
      </c>
      <c r="G3647" t="str">
        <f>"700065"</f>
        <v>700065</v>
      </c>
      <c r="H3647" t="str">
        <f>"אלתא מערכות בע""מ"</f>
        <v>אלתא מערכות בע"מ</v>
      </c>
      <c r="I3647" t="str">
        <f>"10"</f>
        <v>10</v>
      </c>
      <c r="J3647" t="str">
        <f>"OP-AR01588"</f>
        <v>OP-AR01588</v>
      </c>
      <c r="K3647" t="str">
        <f>"9004W749-001 HARNESS WS109 TMS INNER CONNECTIONS"</f>
        <v>9004W749-001 HARNESS WS109 TMS INNER CONNECTIONS</v>
      </c>
      <c r="L3647">
        <v>3</v>
      </c>
      <c r="M3647" t="str">
        <f>"יח"</f>
        <v>יח</v>
      </c>
      <c r="N3647">
        <v>3</v>
      </c>
      <c r="O3647" t="str">
        <f>"יח"</f>
        <v>יח</v>
      </c>
      <c r="P3647" s="2">
        <v>1602.3</v>
      </c>
      <c r="Q3647" t="str">
        <f>"$"</f>
        <v>$</v>
      </c>
      <c r="R3647" t="str">
        <f>"הזמנה"</f>
        <v>הזמנה</v>
      </c>
      <c r="S3647">
        <v>0</v>
      </c>
      <c r="T3647" s="2">
        <v>4806.8999999999996</v>
      </c>
      <c r="U3647">
        <v>0</v>
      </c>
      <c r="V3647" s="2">
        <v>4806.8999999999996</v>
      </c>
      <c r="W3647" t="str">
        <f>"$"</f>
        <v>$</v>
      </c>
      <c r="X3647">
        <v>0</v>
      </c>
      <c r="Y3647">
        <v>0</v>
      </c>
      <c r="Z3647">
        <v>0</v>
      </c>
      <c r="AA3647" t="str">
        <f>"Y"</f>
        <v>Y</v>
      </c>
      <c r="AB3647" t="str">
        <f>"SO19000524"</f>
        <v>SO19000524</v>
      </c>
      <c r="AC3647">
        <v>42</v>
      </c>
      <c r="AD3647" s="1">
        <v>43809</v>
      </c>
      <c r="AE3647" t="str">
        <f>"SH20000882"</f>
        <v>SH20000882</v>
      </c>
      <c r="AF3647" t="str">
        <f>"משלוחים ללקוח"</f>
        <v>משלוחים ללקוח</v>
      </c>
      <c r="AG3647" s="1">
        <v>44020</v>
      </c>
      <c r="AM3647" t="str">
        <f>"10"</f>
        <v>10</v>
      </c>
      <c r="AN3647" t="str">
        <f>"500000"</f>
        <v>500000</v>
      </c>
      <c r="AO3647" t="str">
        <f>"הכנסות  מלקוחות"</f>
        <v>הכנסות  מלקוחות</v>
      </c>
      <c r="AQ3647" t="str">
        <f>"034"</f>
        <v>034</v>
      </c>
      <c r="AR3647">
        <v>0</v>
      </c>
      <c r="AS3647">
        <v>0</v>
      </c>
      <c r="AT3647">
        <v>3.4470000000000001</v>
      </c>
      <c r="AX3647" t="str">
        <f>"E000300228"</f>
        <v>E000300228</v>
      </c>
      <c r="BD3647" t="str">
        <f>"ערן שלו"</f>
        <v>ערן שלו</v>
      </c>
    </row>
    <row r="3648" spans="1:56" x14ac:dyDescent="0.3">
      <c r="A3648" s="1">
        <v>44032</v>
      </c>
      <c r="B3648" t="str">
        <f>"SI206000684"</f>
        <v>SI206000684</v>
      </c>
      <c r="C3648" t="str">
        <f>"PR19000731"</f>
        <v>PR19000731</v>
      </c>
      <c r="E3648" t="str">
        <f>"Y"</f>
        <v>Y</v>
      </c>
      <c r="F3648" t="str">
        <f>"חשבוניות מרכזות"</f>
        <v>חשבוניות מרכזות</v>
      </c>
      <c r="G3648" t="str">
        <f>"700065"</f>
        <v>700065</v>
      </c>
      <c r="H3648" t="str">
        <f>"אלתא מערכות בע""מ"</f>
        <v>אלתא מערכות בע"מ</v>
      </c>
      <c r="I3648" t="str">
        <f>"10"</f>
        <v>10</v>
      </c>
      <c r="J3648" t="str">
        <f>"OP-AR01590"</f>
        <v>OP-AR01590</v>
      </c>
      <c r="K3648" t="str">
        <f>"9004W751-001 HARNESS WS191 TMS TO RBP"</f>
        <v>9004W751-001 HARNESS WS191 TMS TO RBP</v>
      </c>
      <c r="L3648">
        <v>2</v>
      </c>
      <c r="M3648" t="str">
        <f>"יח"</f>
        <v>יח</v>
      </c>
      <c r="N3648">
        <v>2</v>
      </c>
      <c r="O3648" t="str">
        <f>"יח"</f>
        <v>יח</v>
      </c>
      <c r="P3648">
        <v>959.52</v>
      </c>
      <c r="Q3648" t="str">
        <f>"$"</f>
        <v>$</v>
      </c>
      <c r="R3648" t="str">
        <f>"הזמנה"</f>
        <v>הזמנה</v>
      </c>
      <c r="S3648">
        <v>0</v>
      </c>
      <c r="T3648" s="2">
        <v>1919.04</v>
      </c>
      <c r="U3648">
        <v>0</v>
      </c>
      <c r="V3648" s="2">
        <v>1919.04</v>
      </c>
      <c r="W3648" t="str">
        <f>"$"</f>
        <v>$</v>
      </c>
      <c r="X3648">
        <v>0</v>
      </c>
      <c r="Y3648">
        <v>0</v>
      </c>
      <c r="Z3648">
        <v>0</v>
      </c>
      <c r="AA3648" t="str">
        <f>"Y"</f>
        <v>Y</v>
      </c>
      <c r="AB3648" t="str">
        <f>"SO19000524"</f>
        <v>SO19000524</v>
      </c>
      <c r="AC3648">
        <v>47</v>
      </c>
      <c r="AD3648" s="1">
        <v>43809</v>
      </c>
      <c r="AE3648" t="str">
        <f>"SH20000882"</f>
        <v>SH20000882</v>
      </c>
      <c r="AF3648" t="str">
        <f>"משלוחים ללקוח"</f>
        <v>משלוחים ללקוח</v>
      </c>
      <c r="AG3648" s="1">
        <v>44020</v>
      </c>
      <c r="AM3648" t="str">
        <f>"10"</f>
        <v>10</v>
      </c>
      <c r="AN3648" t="str">
        <f>"500000"</f>
        <v>500000</v>
      </c>
      <c r="AO3648" t="str">
        <f>"הכנסות  מלקוחות"</f>
        <v>הכנסות  מלקוחות</v>
      </c>
      <c r="AQ3648" t="str">
        <f>"034"</f>
        <v>034</v>
      </c>
      <c r="AR3648">
        <v>0</v>
      </c>
      <c r="AS3648">
        <v>0</v>
      </c>
      <c r="AT3648">
        <v>3.4470000000000001</v>
      </c>
      <c r="AX3648" t="str">
        <f>"E000300228"</f>
        <v>E000300228</v>
      </c>
      <c r="BD3648" t="str">
        <f>"ערן שלו"</f>
        <v>ערן שלו</v>
      </c>
    </row>
    <row r="3649" spans="1:56" x14ac:dyDescent="0.3">
      <c r="A3649" s="1">
        <v>44032</v>
      </c>
      <c r="B3649" t="str">
        <f>"SI206000684"</f>
        <v>SI206000684</v>
      </c>
      <c r="C3649" t="str">
        <f>"PR19000731"</f>
        <v>PR19000731</v>
      </c>
      <c r="E3649" t="str">
        <f>"Y"</f>
        <v>Y</v>
      </c>
      <c r="F3649" t="str">
        <f>"חשבוניות מרכזות"</f>
        <v>חשבוניות מרכזות</v>
      </c>
      <c r="G3649" t="str">
        <f>"700065"</f>
        <v>700065</v>
      </c>
      <c r="H3649" t="str">
        <f>"אלתא מערכות בע""מ"</f>
        <v>אלתא מערכות בע"מ</v>
      </c>
      <c r="I3649" t="str">
        <f>"10"</f>
        <v>10</v>
      </c>
      <c r="J3649" t="str">
        <f>"OP-AR01590"</f>
        <v>OP-AR01590</v>
      </c>
      <c r="K3649" t="str">
        <f>"9004W751-001 HARNESS WS191 TMS TO RBP"</f>
        <v>9004W751-001 HARNESS WS191 TMS TO RBP</v>
      </c>
      <c r="L3649">
        <v>7</v>
      </c>
      <c r="M3649" t="str">
        <f>"יח"</f>
        <v>יח</v>
      </c>
      <c r="N3649">
        <v>7</v>
      </c>
      <c r="O3649" t="str">
        <f>"יח"</f>
        <v>יח</v>
      </c>
      <c r="P3649">
        <v>959.52</v>
      </c>
      <c r="Q3649" t="str">
        <f>"$"</f>
        <v>$</v>
      </c>
      <c r="R3649" t="str">
        <f>"הזמנה"</f>
        <v>הזמנה</v>
      </c>
      <c r="S3649">
        <v>0</v>
      </c>
      <c r="T3649" s="2">
        <v>6716.64</v>
      </c>
      <c r="U3649">
        <v>0</v>
      </c>
      <c r="V3649" s="2">
        <v>6716.64</v>
      </c>
      <c r="W3649" t="str">
        <f>"$"</f>
        <v>$</v>
      </c>
      <c r="X3649">
        <v>0</v>
      </c>
      <c r="Y3649">
        <v>0</v>
      </c>
      <c r="Z3649">
        <v>0</v>
      </c>
      <c r="AA3649" t="str">
        <f>"Y"</f>
        <v>Y</v>
      </c>
      <c r="AB3649" t="str">
        <f>"SO19000524"</f>
        <v>SO19000524</v>
      </c>
      <c r="AC3649">
        <v>48</v>
      </c>
      <c r="AD3649" s="1">
        <v>43809</v>
      </c>
      <c r="AE3649" t="str">
        <f>"SH20000882"</f>
        <v>SH20000882</v>
      </c>
      <c r="AF3649" t="str">
        <f>"משלוחים ללקוח"</f>
        <v>משלוחים ללקוח</v>
      </c>
      <c r="AG3649" s="1">
        <v>44020</v>
      </c>
      <c r="AM3649" t="str">
        <f>"10"</f>
        <v>10</v>
      </c>
      <c r="AN3649" t="str">
        <f>"500000"</f>
        <v>500000</v>
      </c>
      <c r="AO3649" t="str">
        <f>"הכנסות  מלקוחות"</f>
        <v>הכנסות  מלקוחות</v>
      </c>
      <c r="AQ3649" t="str">
        <f>"034"</f>
        <v>034</v>
      </c>
      <c r="AR3649">
        <v>0</v>
      </c>
      <c r="AS3649">
        <v>0</v>
      </c>
      <c r="AT3649">
        <v>3.4470000000000001</v>
      </c>
      <c r="AX3649" t="str">
        <f>"E000300228"</f>
        <v>E000300228</v>
      </c>
      <c r="BD3649" t="str">
        <f>"ערן שלו"</f>
        <v>ערן שלו</v>
      </c>
    </row>
    <row r="3650" spans="1:56" x14ac:dyDescent="0.3">
      <c r="A3650" s="1">
        <v>44032</v>
      </c>
      <c r="B3650" t="str">
        <f>"SI206000683"</f>
        <v>SI206000683</v>
      </c>
      <c r="C3650" t="str">
        <f>"PR20000115"</f>
        <v>PR20000115</v>
      </c>
      <c r="D3650" t="str">
        <f>"PR20000115"</f>
        <v>PR20000115</v>
      </c>
      <c r="E3650" t="str">
        <f>"Y"</f>
        <v>Y</v>
      </c>
      <c r="F3650" t="str">
        <f>"חשבוניות מרכזות"</f>
        <v>חשבוניות מרכזות</v>
      </c>
      <c r="G3650" t="str">
        <f>"700065"</f>
        <v>700065</v>
      </c>
      <c r="H3650" t="str">
        <f>"אלתא מערכות בע""מ"</f>
        <v>אלתא מערכות בע"מ</v>
      </c>
      <c r="I3650" t="str">
        <f>"10"</f>
        <v>10</v>
      </c>
      <c r="J3650" t="str">
        <f>"OP-AR01657"</f>
        <v>OP-AR01657</v>
      </c>
      <c r="K3650" t="str">
        <f>"1041G363-001 W363- SHELTER TO PEDESTAL SPARE"</f>
        <v>1041G363-001 W363- SHELTER TO PEDESTAL SPARE</v>
      </c>
      <c r="L3650">
        <v>3</v>
      </c>
      <c r="M3650" t="str">
        <f>"יח"</f>
        <v>יח</v>
      </c>
      <c r="N3650">
        <v>3</v>
      </c>
      <c r="O3650" t="str">
        <f>"יח"</f>
        <v>יח</v>
      </c>
      <c r="P3650">
        <v>856.66</v>
      </c>
      <c r="Q3650" t="str">
        <f>"$"</f>
        <v>$</v>
      </c>
      <c r="R3650" t="str">
        <f>"הזמנה"</f>
        <v>הזמנה</v>
      </c>
      <c r="S3650">
        <v>0</v>
      </c>
      <c r="T3650" s="2">
        <v>2569.98</v>
      </c>
      <c r="U3650">
        <v>0</v>
      </c>
      <c r="V3650" s="2">
        <v>2569.98</v>
      </c>
      <c r="W3650" t="str">
        <f>"$"</f>
        <v>$</v>
      </c>
      <c r="X3650">
        <v>0</v>
      </c>
      <c r="Y3650">
        <v>0</v>
      </c>
      <c r="Z3650">
        <v>0</v>
      </c>
      <c r="AA3650" t="str">
        <f>"Y"</f>
        <v>Y</v>
      </c>
      <c r="AB3650" t="str">
        <f>"SO20000094"</f>
        <v>SO20000094</v>
      </c>
      <c r="AC3650">
        <v>1</v>
      </c>
      <c r="AD3650" s="1">
        <v>43891</v>
      </c>
      <c r="AE3650" t="str">
        <f>"SH20000888"</f>
        <v>SH20000888</v>
      </c>
      <c r="AF3650" t="str">
        <f>"משלוחים ללקוח"</f>
        <v>משלוחים ללקוח</v>
      </c>
      <c r="AG3650" s="1">
        <v>44021</v>
      </c>
      <c r="AM3650" t="str">
        <f>"10"</f>
        <v>10</v>
      </c>
      <c r="AN3650" t="str">
        <f>"500000"</f>
        <v>500000</v>
      </c>
      <c r="AO3650" t="str">
        <f>"הכנסות  מלקוחות"</f>
        <v>הכנסות  מלקוחות</v>
      </c>
      <c r="AQ3650" t="str">
        <f>"034"</f>
        <v>034</v>
      </c>
      <c r="AR3650">
        <v>0</v>
      </c>
      <c r="AS3650">
        <v>0</v>
      </c>
      <c r="AT3650">
        <v>3.4470000000000001</v>
      </c>
      <c r="AX3650" t="str">
        <f>"E000306197"</f>
        <v>E000306197</v>
      </c>
      <c r="BD3650" t="str">
        <f>"ערן שלו"</f>
        <v>ערן שלו</v>
      </c>
    </row>
    <row r="3651" spans="1:56" x14ac:dyDescent="0.3">
      <c r="A3651" s="1">
        <v>44026</v>
      </c>
      <c r="B3651" t="str">
        <f>"SI206000671"</f>
        <v>SI206000671</v>
      </c>
      <c r="C3651" t="str">
        <f>"PR20000029"</f>
        <v>PR20000029</v>
      </c>
      <c r="D3651" t="str">
        <f>"PR20000029"</f>
        <v>PR20000029</v>
      </c>
      <c r="E3651" t="str">
        <f>"Y"</f>
        <v>Y</v>
      </c>
      <c r="F3651" t="str">
        <f>"חשבוניות מרכזות"</f>
        <v>חשבוניות מרכזות</v>
      </c>
      <c r="G3651" t="str">
        <f>"700065"</f>
        <v>700065</v>
      </c>
      <c r="H3651" t="str">
        <f>"אלתא מערכות בע""מ"</f>
        <v>אלתא מערכות בע"מ</v>
      </c>
      <c r="I3651" t="str">
        <f>"10"</f>
        <v>10</v>
      </c>
      <c r="J3651" t="str">
        <f>"OP-AR01604"</f>
        <v>OP-AR01604</v>
      </c>
      <c r="K3651" t="str">
        <f>"נגדיים עבור 1034E631-002"</f>
        <v>נגדיים עבור 1034E631-002</v>
      </c>
      <c r="L3651">
        <v>1</v>
      </c>
      <c r="M3651" t="str">
        <f>"יח"</f>
        <v>יח</v>
      </c>
      <c r="N3651">
        <v>1</v>
      </c>
      <c r="O3651" t="str">
        <f>"יח"</f>
        <v>יח</v>
      </c>
      <c r="P3651">
        <v>250</v>
      </c>
      <c r="Q3651" t="str">
        <f>"$"</f>
        <v>$</v>
      </c>
      <c r="R3651" t="str">
        <f>"הזמנה"</f>
        <v>הזמנה</v>
      </c>
      <c r="S3651">
        <v>0</v>
      </c>
      <c r="T3651">
        <v>250</v>
      </c>
      <c r="U3651">
        <v>0</v>
      </c>
      <c r="V3651">
        <v>250</v>
      </c>
      <c r="W3651" t="str">
        <f>"$"</f>
        <v>$</v>
      </c>
      <c r="X3651">
        <v>0</v>
      </c>
      <c r="Y3651">
        <v>0</v>
      </c>
      <c r="Z3651">
        <v>0</v>
      </c>
      <c r="AA3651" t="str">
        <f>"Y"</f>
        <v>Y</v>
      </c>
      <c r="AB3651" t="str">
        <f>"SO20000029"</f>
        <v>SO20000029</v>
      </c>
      <c r="AC3651">
        <v>2</v>
      </c>
      <c r="AD3651" s="1">
        <v>43852</v>
      </c>
      <c r="AM3651" t="str">
        <f>"10"</f>
        <v>10</v>
      </c>
      <c r="AN3651" t="str">
        <f>"500000"</f>
        <v>500000</v>
      </c>
      <c r="AO3651" t="str">
        <f>"הכנסות  מלקוחות"</f>
        <v>הכנסות  מלקוחות</v>
      </c>
      <c r="AQ3651" t="str">
        <f>"034"</f>
        <v>034</v>
      </c>
      <c r="AR3651">
        <v>0</v>
      </c>
      <c r="AS3651">
        <v>0</v>
      </c>
      <c r="AT3651">
        <v>3.4420000000000002</v>
      </c>
      <c r="AX3651" t="str">
        <f>"E000303577"</f>
        <v>E000303577</v>
      </c>
      <c r="BD3651" t="str">
        <f>"ערן שלו"</f>
        <v>ערן שלו</v>
      </c>
    </row>
    <row r="3652" spans="1:56" x14ac:dyDescent="0.3">
      <c r="A3652" s="1">
        <v>44026</v>
      </c>
      <c r="B3652" t="str">
        <f>"SI206000670"</f>
        <v>SI206000670</v>
      </c>
      <c r="C3652" t="str">
        <f>"PR20000120"</f>
        <v>PR20000120</v>
      </c>
      <c r="D3652" t="str">
        <f>"PR20000120"</f>
        <v>PR20000120</v>
      </c>
      <c r="E3652" t="str">
        <f>"Y"</f>
        <v>Y</v>
      </c>
      <c r="F3652" t="str">
        <f>"חשבוניות מרכזות"</f>
        <v>חשבוניות מרכזות</v>
      </c>
      <c r="G3652" t="str">
        <f>"700065"</f>
        <v>700065</v>
      </c>
      <c r="H3652" t="str">
        <f>"אלתא מערכות בע""מ"</f>
        <v>אלתא מערכות בע"מ</v>
      </c>
      <c r="I3652" t="str">
        <f>"10"</f>
        <v>10</v>
      </c>
      <c r="J3652" t="str">
        <f>"OP-AR01688"</f>
        <v>OP-AR01688</v>
      </c>
      <c r="K3652" t="str">
        <f>"NRE FOR E000306153"</f>
        <v>NRE FOR E000306153</v>
      </c>
      <c r="L3652">
        <v>1</v>
      </c>
      <c r="M3652" t="str">
        <f>"יח"</f>
        <v>יח</v>
      </c>
      <c r="N3652">
        <v>1</v>
      </c>
      <c r="O3652" t="str">
        <f>"יח"</f>
        <v>יח</v>
      </c>
      <c r="P3652" s="2">
        <v>1700</v>
      </c>
      <c r="Q3652" t="str">
        <f>"$"</f>
        <v>$</v>
      </c>
      <c r="R3652" t="str">
        <f>"הזמנה"</f>
        <v>הזמנה</v>
      </c>
      <c r="S3652">
        <v>0</v>
      </c>
      <c r="T3652" s="2">
        <v>1700</v>
      </c>
      <c r="U3652">
        <v>0</v>
      </c>
      <c r="V3652" s="2">
        <v>1700</v>
      </c>
      <c r="W3652" t="str">
        <f>"$"</f>
        <v>$</v>
      </c>
      <c r="X3652">
        <v>0</v>
      </c>
      <c r="Y3652">
        <v>0</v>
      </c>
      <c r="Z3652">
        <v>0</v>
      </c>
      <c r="AA3652" t="str">
        <f>"Y"</f>
        <v>Y</v>
      </c>
      <c r="AB3652" t="str">
        <f>"SO20000103"</f>
        <v>SO20000103</v>
      </c>
      <c r="AC3652">
        <v>24</v>
      </c>
      <c r="AD3652" s="1">
        <v>43899</v>
      </c>
      <c r="AM3652" t="str">
        <f>"10"</f>
        <v>10</v>
      </c>
      <c r="AN3652" t="str">
        <f>"500000"</f>
        <v>500000</v>
      </c>
      <c r="AO3652" t="str">
        <f>"הכנסות  מלקוחות"</f>
        <v>הכנסות  מלקוחות</v>
      </c>
      <c r="AQ3652" t="str">
        <f>"034"</f>
        <v>034</v>
      </c>
      <c r="AR3652">
        <v>0</v>
      </c>
      <c r="AS3652">
        <v>0</v>
      </c>
      <c r="AT3652">
        <v>3.4420000000000002</v>
      </c>
      <c r="AX3652" t="str">
        <f>"E000306153"</f>
        <v>E000306153</v>
      </c>
      <c r="BD3652" t="str">
        <f>"ערן שלו"</f>
        <v>ערן שלו</v>
      </c>
    </row>
    <row r="3653" spans="1:56" x14ac:dyDescent="0.3">
      <c r="A3653" s="1">
        <v>44020</v>
      </c>
      <c r="B3653" t="str">
        <f>"SI206000665"</f>
        <v>SI206000665</v>
      </c>
      <c r="C3653" t="str">
        <f>"PR19000724"</f>
        <v>PR19000724</v>
      </c>
      <c r="E3653" t="str">
        <f>"Y"</f>
        <v>Y</v>
      </c>
      <c r="F3653" t="str">
        <f>"חשבוניות מרכזות"</f>
        <v>חשבוניות מרכזות</v>
      </c>
      <c r="G3653" t="str">
        <f>"700065"</f>
        <v>700065</v>
      </c>
      <c r="H3653" t="str">
        <f>"אלתא מערכות בע""מ"</f>
        <v>אלתא מערכות בע"מ</v>
      </c>
      <c r="I3653" t="str">
        <f>"10"</f>
        <v>10</v>
      </c>
      <c r="J3653" t="str">
        <f>"000"</f>
        <v>000</v>
      </c>
      <c r="K3653" t="str">
        <f>"MQQ עבור 6 קונקטורים"</f>
        <v>MQQ עבור 6 קונקטורים</v>
      </c>
      <c r="L3653">
        <v>-1</v>
      </c>
      <c r="M3653" t="str">
        <f>"יח"</f>
        <v>יח</v>
      </c>
      <c r="N3653">
        <v>-1</v>
      </c>
      <c r="O3653" t="str">
        <f>"יח"</f>
        <v>יח</v>
      </c>
      <c r="P3653" s="2">
        <v>4509.43</v>
      </c>
      <c r="Q3653" t="str">
        <f>"$"</f>
        <v>$</v>
      </c>
      <c r="R3653" t="str">
        <f>"הזמנה"</f>
        <v>הזמנה</v>
      </c>
      <c r="S3653">
        <v>0</v>
      </c>
      <c r="T3653" s="2">
        <v>-4509.43</v>
      </c>
      <c r="U3653">
        <v>0</v>
      </c>
      <c r="V3653" s="2">
        <v>-4509.43</v>
      </c>
      <c r="W3653" t="str">
        <f>"$"</f>
        <v>$</v>
      </c>
      <c r="X3653">
        <v>0</v>
      </c>
      <c r="Y3653">
        <v>0</v>
      </c>
      <c r="Z3653">
        <v>0</v>
      </c>
      <c r="AA3653" t="str">
        <f>"Y"</f>
        <v>Y</v>
      </c>
      <c r="AC3653">
        <v>0</v>
      </c>
      <c r="AM3653" t="str">
        <f>"10"</f>
        <v>10</v>
      </c>
      <c r="AN3653" t="str">
        <f>"500000"</f>
        <v>500000</v>
      </c>
      <c r="AO3653" t="str">
        <f>"הכנסות  מלקוחות"</f>
        <v>הכנסות  מלקוחות</v>
      </c>
      <c r="AQ3653" t="str">
        <f>"034"</f>
        <v>034</v>
      </c>
      <c r="AR3653">
        <v>0</v>
      </c>
      <c r="AS3653">
        <v>0</v>
      </c>
      <c r="AT3653">
        <v>3.5019999999999998</v>
      </c>
      <c r="BB3653" t="str">
        <f>"Y"</f>
        <v>Y</v>
      </c>
      <c r="BD3653" t="str">
        <f>"ערן שלו"</f>
        <v>ערן שלו</v>
      </c>
    </row>
    <row r="3654" spans="1:56" x14ac:dyDescent="0.3">
      <c r="A3654" s="1">
        <v>44020</v>
      </c>
      <c r="B3654" t="str">
        <f>"SI206000665"</f>
        <v>SI206000665</v>
      </c>
      <c r="C3654" t="str">
        <f>"PR19000724"</f>
        <v>PR19000724</v>
      </c>
      <c r="E3654" t="str">
        <f>"Y"</f>
        <v>Y</v>
      </c>
      <c r="F3654" t="str">
        <f>"חשבוניות מרכזות"</f>
        <v>חשבוניות מרכזות</v>
      </c>
      <c r="G3654" t="str">
        <f>"700065"</f>
        <v>700065</v>
      </c>
      <c r="H3654" t="str">
        <f>"אלתא מערכות בע""מ"</f>
        <v>אלתא מערכות בע"מ</v>
      </c>
      <c r="I3654" t="str">
        <f>"10"</f>
        <v>10</v>
      </c>
      <c r="J3654" t="str">
        <f>"000"</f>
        <v>000</v>
      </c>
      <c r="K3654" t="str">
        <f>"MQQ עבור 6 קונקטורים"</f>
        <v>MQQ עבור 6 קונקטורים</v>
      </c>
      <c r="L3654">
        <v>-1</v>
      </c>
      <c r="M3654" t="str">
        <f>"יח"</f>
        <v>יח</v>
      </c>
      <c r="N3654">
        <v>-1</v>
      </c>
      <c r="O3654" t="str">
        <f>"יח"</f>
        <v>יח</v>
      </c>
      <c r="P3654" s="2">
        <v>4509.55</v>
      </c>
      <c r="Q3654" t="str">
        <f>"$"</f>
        <v>$</v>
      </c>
      <c r="R3654" t="str">
        <f>"הזמנה"</f>
        <v>הזמנה</v>
      </c>
      <c r="S3654">
        <v>0</v>
      </c>
      <c r="T3654" s="2">
        <v>-4509.55</v>
      </c>
      <c r="U3654">
        <v>0</v>
      </c>
      <c r="V3654" s="2">
        <v>-4509.55</v>
      </c>
      <c r="W3654" t="str">
        <f>"$"</f>
        <v>$</v>
      </c>
      <c r="X3654">
        <v>0</v>
      </c>
      <c r="Y3654">
        <v>0</v>
      </c>
      <c r="Z3654">
        <v>0</v>
      </c>
      <c r="AA3654" t="str">
        <f>"Y"</f>
        <v>Y</v>
      </c>
      <c r="AC3654">
        <v>0</v>
      </c>
      <c r="AM3654" t="str">
        <f>"10"</f>
        <v>10</v>
      </c>
      <c r="AN3654" t="str">
        <f>"500000"</f>
        <v>500000</v>
      </c>
      <c r="AO3654" t="str">
        <f>"הכנסות  מלקוחות"</f>
        <v>הכנסות  מלקוחות</v>
      </c>
      <c r="AQ3654" t="str">
        <f>"034"</f>
        <v>034</v>
      </c>
      <c r="AR3654">
        <v>0</v>
      </c>
      <c r="AS3654">
        <v>0</v>
      </c>
      <c r="AT3654">
        <v>3.5019999999999998</v>
      </c>
      <c r="BB3654" t="str">
        <f>"Y"</f>
        <v>Y</v>
      </c>
      <c r="BD3654" t="str">
        <f>"ערן שלו"</f>
        <v>ערן שלו</v>
      </c>
    </row>
    <row r="3655" spans="1:56" x14ac:dyDescent="0.3">
      <c r="A3655" s="1">
        <v>44020</v>
      </c>
      <c r="B3655" t="str">
        <f>"SI206000665"</f>
        <v>SI206000665</v>
      </c>
      <c r="C3655" t="str">
        <f>"PR19000724"</f>
        <v>PR19000724</v>
      </c>
      <c r="E3655" t="str">
        <f>"Y"</f>
        <v>Y</v>
      </c>
      <c r="F3655" t="str">
        <f>"חשבוניות מרכזות"</f>
        <v>חשבוניות מרכזות</v>
      </c>
      <c r="G3655" t="str">
        <f>"700065"</f>
        <v>700065</v>
      </c>
      <c r="H3655" t="str">
        <f>"אלתא מערכות בע""מ"</f>
        <v>אלתא מערכות בע"מ</v>
      </c>
      <c r="I3655" t="str">
        <f>"10"</f>
        <v>10</v>
      </c>
      <c r="J3655" t="str">
        <f>"CB1100205"</f>
        <v>CB1100205</v>
      </c>
      <c r="K3655" t="str">
        <f>"כבל הזנה 20 H07RNF 5X35מ', 5X125A IP67 , נעל כבל"</f>
        <v>כבל הזנה 20 H07RNF 5X35מ', 5X125A IP67 , נעל כבל</v>
      </c>
      <c r="L3655">
        <v>-1</v>
      </c>
      <c r="M3655" t="str">
        <f>"יח"</f>
        <v>יח</v>
      </c>
      <c r="N3655">
        <v>-1</v>
      </c>
      <c r="O3655" t="str">
        <f>"יח"</f>
        <v>יח</v>
      </c>
      <c r="P3655" s="2">
        <v>1229.9000000000001</v>
      </c>
      <c r="Q3655" t="str">
        <f>"$"</f>
        <v>$</v>
      </c>
      <c r="R3655" t="str">
        <f>"הזמנה"</f>
        <v>הזמנה</v>
      </c>
      <c r="S3655">
        <v>0</v>
      </c>
      <c r="T3655" s="2">
        <v>-1229.9000000000001</v>
      </c>
      <c r="U3655">
        <v>0</v>
      </c>
      <c r="V3655" s="2">
        <v>-1229.9000000000001</v>
      </c>
      <c r="W3655" t="str">
        <f>"$"</f>
        <v>$</v>
      </c>
      <c r="X3655">
        <v>0</v>
      </c>
      <c r="Y3655">
        <v>0</v>
      </c>
      <c r="Z3655">
        <v>0</v>
      </c>
      <c r="AA3655" t="str">
        <f>"Y"</f>
        <v>Y</v>
      </c>
      <c r="AC3655">
        <v>0</v>
      </c>
      <c r="AM3655" t="str">
        <f>"10"</f>
        <v>10</v>
      </c>
      <c r="AN3655" t="str">
        <f>"500000"</f>
        <v>500000</v>
      </c>
      <c r="AO3655" t="str">
        <f>"הכנסות  מלקוחות"</f>
        <v>הכנסות  מלקוחות</v>
      </c>
      <c r="AQ3655" t="str">
        <f>"034"</f>
        <v>034</v>
      </c>
      <c r="AR3655">
        <v>0</v>
      </c>
      <c r="AS3655">
        <v>0</v>
      </c>
      <c r="AT3655">
        <v>3.5019999999999998</v>
      </c>
      <c r="BB3655" t="str">
        <f>"Y"</f>
        <v>Y</v>
      </c>
      <c r="BD3655" t="str">
        <f>"ערן שלו"</f>
        <v>ערן שלו</v>
      </c>
    </row>
    <row r="3656" spans="1:56" x14ac:dyDescent="0.3">
      <c r="A3656" s="1">
        <v>44020</v>
      </c>
      <c r="B3656" t="str">
        <f>"SI206000665"</f>
        <v>SI206000665</v>
      </c>
      <c r="C3656" t="str">
        <f>"PR19000724"</f>
        <v>PR19000724</v>
      </c>
      <c r="E3656" t="str">
        <f>"Y"</f>
        <v>Y</v>
      </c>
      <c r="F3656" t="str">
        <f>"חשבוניות מרכזות"</f>
        <v>חשבוניות מרכזות</v>
      </c>
      <c r="G3656" t="str">
        <f>"700065"</f>
        <v>700065</v>
      </c>
      <c r="H3656" t="str">
        <f>"אלתא מערכות בע""מ"</f>
        <v>אלתא מערכות בע"מ</v>
      </c>
      <c r="I3656" t="str">
        <f>"10"</f>
        <v>10</v>
      </c>
      <c r="J3656" t="str">
        <f>"OP-AR22723"</f>
        <v>OP-AR22723</v>
      </c>
      <c r="K3656" t="str">
        <f>"CB1100206"</f>
        <v>CB1100206</v>
      </c>
      <c r="L3656">
        <v>-1</v>
      </c>
      <c r="M3656" t="str">
        <f>"יח"</f>
        <v>יח</v>
      </c>
      <c r="N3656">
        <v>-1</v>
      </c>
      <c r="O3656" t="str">
        <f>"יח"</f>
        <v>יח</v>
      </c>
      <c r="P3656" s="2">
        <v>3189.9</v>
      </c>
      <c r="Q3656" t="str">
        <f>"$"</f>
        <v>$</v>
      </c>
      <c r="R3656" t="str">
        <f>"הזמנה"</f>
        <v>הזמנה</v>
      </c>
      <c r="S3656">
        <v>0</v>
      </c>
      <c r="T3656" s="2">
        <v>-3189.9</v>
      </c>
      <c r="U3656">
        <v>0</v>
      </c>
      <c r="V3656" s="2">
        <v>-3189.9</v>
      </c>
      <c r="W3656" t="str">
        <f>"$"</f>
        <v>$</v>
      </c>
      <c r="X3656">
        <v>0</v>
      </c>
      <c r="Y3656">
        <v>0</v>
      </c>
      <c r="Z3656">
        <v>0</v>
      </c>
      <c r="AA3656" t="str">
        <f>"Y"</f>
        <v>Y</v>
      </c>
      <c r="AC3656">
        <v>0</v>
      </c>
      <c r="AM3656" t="str">
        <f>"10"</f>
        <v>10</v>
      </c>
      <c r="AN3656" t="str">
        <f>"500000"</f>
        <v>500000</v>
      </c>
      <c r="AO3656" t="str">
        <f>"הכנסות  מלקוחות"</f>
        <v>הכנסות  מלקוחות</v>
      </c>
      <c r="AQ3656" t="str">
        <f>"034"</f>
        <v>034</v>
      </c>
      <c r="AR3656">
        <v>0</v>
      </c>
      <c r="AS3656">
        <v>0</v>
      </c>
      <c r="AT3656">
        <v>3.5019999999999998</v>
      </c>
      <c r="BB3656" t="str">
        <f>"Y"</f>
        <v>Y</v>
      </c>
      <c r="BD3656" t="str">
        <f>"ערן שלו"</f>
        <v>ערן שלו</v>
      </c>
    </row>
    <row r="3657" spans="1:56" x14ac:dyDescent="0.3">
      <c r="A3657" s="1">
        <v>44020</v>
      </c>
      <c r="B3657" t="str">
        <f>"SI206000665"</f>
        <v>SI206000665</v>
      </c>
      <c r="C3657" t="str">
        <f>"PR19000724"</f>
        <v>PR19000724</v>
      </c>
      <c r="E3657" t="str">
        <f>"Y"</f>
        <v>Y</v>
      </c>
      <c r="F3657" t="str">
        <f>"חשבוניות מרכזות"</f>
        <v>חשבוניות מרכזות</v>
      </c>
      <c r="G3657" t="str">
        <f>"700065"</f>
        <v>700065</v>
      </c>
      <c r="H3657" t="str">
        <f>"אלתא מערכות בע""מ"</f>
        <v>אלתא מערכות בע"מ</v>
      </c>
      <c r="I3657" t="str">
        <f>"10"</f>
        <v>10</v>
      </c>
      <c r="J3657" t="str">
        <f>"CB1100207"</f>
        <v>CB1100207</v>
      </c>
      <c r="K3657" t="str">
        <f>"כבל 50 H07RNF 1X95 -320מ', 2 מחברי ITS4106A5C36"</f>
        <v>כבל 50 H07RNF 1X95 -320מ', 2 מחברי ITS4106A5C36</v>
      </c>
      <c r="L3657">
        <v>-1</v>
      </c>
      <c r="M3657" t="str">
        <f>"יח"</f>
        <v>יח</v>
      </c>
      <c r="N3657">
        <v>-1</v>
      </c>
      <c r="O3657" t="str">
        <f>"יח"</f>
        <v>יח</v>
      </c>
      <c r="P3657" s="2">
        <v>3483.9</v>
      </c>
      <c r="Q3657" t="str">
        <f>"$"</f>
        <v>$</v>
      </c>
      <c r="R3657" t="str">
        <f>"הזמנה"</f>
        <v>הזמנה</v>
      </c>
      <c r="S3657">
        <v>0</v>
      </c>
      <c r="T3657" s="2">
        <v>-3483.9</v>
      </c>
      <c r="U3657">
        <v>0</v>
      </c>
      <c r="V3657" s="2">
        <v>-3483.9</v>
      </c>
      <c r="W3657" t="str">
        <f>"$"</f>
        <v>$</v>
      </c>
      <c r="X3657">
        <v>0</v>
      </c>
      <c r="Y3657">
        <v>0</v>
      </c>
      <c r="Z3657">
        <v>0</v>
      </c>
      <c r="AA3657" t="str">
        <f>"Y"</f>
        <v>Y</v>
      </c>
      <c r="AC3657">
        <v>0</v>
      </c>
      <c r="AM3657" t="str">
        <f>"10"</f>
        <v>10</v>
      </c>
      <c r="AN3657" t="str">
        <f>"500000"</f>
        <v>500000</v>
      </c>
      <c r="AO3657" t="str">
        <f>"הכנסות  מלקוחות"</f>
        <v>הכנסות  מלקוחות</v>
      </c>
      <c r="AQ3657" t="str">
        <f>"034"</f>
        <v>034</v>
      </c>
      <c r="AR3657">
        <v>0</v>
      </c>
      <c r="AS3657">
        <v>0</v>
      </c>
      <c r="AT3657">
        <v>3.5019999999999998</v>
      </c>
      <c r="BB3657" t="str">
        <f>"Y"</f>
        <v>Y</v>
      </c>
      <c r="BD3657" t="str">
        <f>"ערן שלו"</f>
        <v>ערן שלו</v>
      </c>
    </row>
    <row r="3658" spans="1:56" x14ac:dyDescent="0.3">
      <c r="A3658" s="1">
        <v>44020</v>
      </c>
      <c r="B3658" t="str">
        <f>"SI206000665"</f>
        <v>SI206000665</v>
      </c>
      <c r="C3658" t="str">
        <f>"PR19000724"</f>
        <v>PR19000724</v>
      </c>
      <c r="E3658" t="str">
        <f>"Y"</f>
        <v>Y</v>
      </c>
      <c r="F3658" t="str">
        <f>"חשבוניות מרכזות"</f>
        <v>חשבוניות מרכזות</v>
      </c>
      <c r="G3658" t="str">
        <f>"700065"</f>
        <v>700065</v>
      </c>
      <c r="H3658" t="str">
        <f>"אלתא מערכות בע""מ"</f>
        <v>אלתא מערכות בע"מ</v>
      </c>
      <c r="I3658" t="str">
        <f>"10"</f>
        <v>10</v>
      </c>
      <c r="J3658" t="str">
        <f>"PA1100511"</f>
        <v>PA1100511</v>
      </c>
      <c r="K3658" t="str">
        <f>"ITS4106A5C36-01PL1M144B1KG12TMCR מחבר"</f>
        <v>ITS4106A5C36-01PL1M144B1KG12TMCR מחבר</v>
      </c>
      <c r="L3658">
        <v>-3</v>
      </c>
      <c r="M3658" t="str">
        <f>"יח"</f>
        <v>יח</v>
      </c>
      <c r="N3658">
        <v>-3</v>
      </c>
      <c r="O3658" t="str">
        <f>"יח"</f>
        <v>יח</v>
      </c>
      <c r="P3658">
        <v>0</v>
      </c>
      <c r="Q3658" t="str">
        <f>"$"</f>
        <v>$</v>
      </c>
      <c r="R3658" t="str">
        <f>"הזמנה"</f>
        <v>הזמנה</v>
      </c>
      <c r="S3658">
        <v>0</v>
      </c>
      <c r="T3658">
        <v>0</v>
      </c>
      <c r="U3658">
        <v>0</v>
      </c>
      <c r="V3658">
        <v>0</v>
      </c>
      <c r="W3658" t="str">
        <f>"$"</f>
        <v>$</v>
      </c>
      <c r="X3658">
        <v>0</v>
      </c>
      <c r="Y3658">
        <v>0</v>
      </c>
      <c r="Z3658">
        <v>0</v>
      </c>
      <c r="AA3658" t="str">
        <f>"Y"</f>
        <v>Y</v>
      </c>
      <c r="AC3658">
        <v>0</v>
      </c>
      <c r="AM3658" t="str">
        <f>"10"</f>
        <v>10</v>
      </c>
      <c r="AN3658" t="str">
        <f>"500000"</f>
        <v>500000</v>
      </c>
      <c r="AO3658" t="str">
        <f>"הכנסות  מלקוחות"</f>
        <v>הכנסות  מלקוחות</v>
      </c>
      <c r="AQ3658" t="str">
        <f>"034"</f>
        <v>034</v>
      </c>
      <c r="AR3658">
        <v>0</v>
      </c>
      <c r="AS3658">
        <v>0</v>
      </c>
      <c r="AT3658">
        <v>3.5019999999999998</v>
      </c>
      <c r="BB3658" t="str">
        <f>"Y"</f>
        <v>Y</v>
      </c>
      <c r="BD3658" t="str">
        <f>"ערן שלו"</f>
        <v>ערן שלו</v>
      </c>
    </row>
    <row r="3659" spans="1:56" x14ac:dyDescent="0.3">
      <c r="A3659" s="1">
        <v>44020</v>
      </c>
      <c r="B3659" t="str">
        <f>"SI206000665"</f>
        <v>SI206000665</v>
      </c>
      <c r="C3659" t="str">
        <f>"PR19000724"</f>
        <v>PR19000724</v>
      </c>
      <c r="E3659" t="str">
        <f>"Y"</f>
        <v>Y</v>
      </c>
      <c r="F3659" t="str">
        <f>"חשבוניות מרכזות"</f>
        <v>חשבוניות מרכזות</v>
      </c>
      <c r="G3659" t="str">
        <f>"700065"</f>
        <v>700065</v>
      </c>
      <c r="H3659" t="str">
        <f>"אלתא מערכות בע""מ"</f>
        <v>אלתא מערכות בע"מ</v>
      </c>
      <c r="I3659" t="str">
        <f>"10"</f>
        <v>10</v>
      </c>
      <c r="J3659" t="str">
        <f>"PA1100512"</f>
        <v>PA1100512</v>
      </c>
      <c r="K3659" t="str">
        <f>"ITS4106A5C36-01SL1M144B1KG12TMCR מחבר"</f>
        <v>ITS4106A5C36-01SL1M144B1KG12TMCR מחבר</v>
      </c>
      <c r="L3659">
        <v>-3</v>
      </c>
      <c r="M3659" t="str">
        <f>"יח"</f>
        <v>יח</v>
      </c>
      <c r="N3659">
        <v>-3</v>
      </c>
      <c r="O3659" t="str">
        <f>"יח"</f>
        <v>יח</v>
      </c>
      <c r="P3659">
        <v>0</v>
      </c>
      <c r="Q3659" t="str">
        <f>"$"</f>
        <v>$</v>
      </c>
      <c r="R3659" t="str">
        <f>"הזמנה"</f>
        <v>הזמנה</v>
      </c>
      <c r="S3659">
        <v>0</v>
      </c>
      <c r="T3659">
        <v>0</v>
      </c>
      <c r="U3659">
        <v>0</v>
      </c>
      <c r="V3659">
        <v>0</v>
      </c>
      <c r="W3659" t="str">
        <f>"$"</f>
        <v>$</v>
      </c>
      <c r="X3659">
        <v>0</v>
      </c>
      <c r="Y3659">
        <v>0</v>
      </c>
      <c r="Z3659">
        <v>0</v>
      </c>
      <c r="AA3659" t="str">
        <f>"Y"</f>
        <v>Y</v>
      </c>
      <c r="AC3659">
        <v>0</v>
      </c>
      <c r="AM3659" t="str">
        <f>"10"</f>
        <v>10</v>
      </c>
      <c r="AN3659" t="str">
        <f>"500000"</f>
        <v>500000</v>
      </c>
      <c r="AO3659" t="str">
        <f>"הכנסות  מלקוחות"</f>
        <v>הכנסות  מלקוחות</v>
      </c>
      <c r="AQ3659" t="str">
        <f>"034"</f>
        <v>034</v>
      </c>
      <c r="AR3659">
        <v>0</v>
      </c>
      <c r="AS3659">
        <v>0</v>
      </c>
      <c r="AT3659">
        <v>3.5019999999999998</v>
      </c>
      <c r="BB3659" t="str">
        <f>"Y"</f>
        <v>Y</v>
      </c>
      <c r="BD3659" t="str">
        <f>"ערן שלו"</f>
        <v>ערן שלו</v>
      </c>
    </row>
    <row r="3660" spans="1:56" x14ac:dyDescent="0.3">
      <c r="A3660" s="1">
        <v>44020</v>
      </c>
      <c r="B3660" t="str">
        <f>"SI206000665"</f>
        <v>SI206000665</v>
      </c>
      <c r="C3660" t="str">
        <f>"PR19000724"</f>
        <v>PR19000724</v>
      </c>
      <c r="E3660" t="str">
        <f>"Y"</f>
        <v>Y</v>
      </c>
      <c r="F3660" t="str">
        <f>"חשבוניות מרכזות"</f>
        <v>חשבוניות מרכזות</v>
      </c>
      <c r="G3660" t="str">
        <f>"700065"</f>
        <v>700065</v>
      </c>
      <c r="H3660" t="str">
        <f>"אלתא מערכות בע""מ"</f>
        <v>אלתא מערכות בע"מ</v>
      </c>
      <c r="I3660" t="str">
        <f>"10"</f>
        <v>10</v>
      </c>
      <c r="J3660" t="str">
        <f>"PA1100513"</f>
        <v>PA1100513</v>
      </c>
      <c r="K3660" t="str">
        <f>"ITS4106A5C36-01PM144B1KG12TMCB מחבר"</f>
        <v>ITS4106A5C36-01PM144B1KG12TMCB מחבר</v>
      </c>
      <c r="L3660">
        <v>-3</v>
      </c>
      <c r="M3660" t="str">
        <f>"יח"</f>
        <v>יח</v>
      </c>
      <c r="N3660">
        <v>-3</v>
      </c>
      <c r="O3660" t="str">
        <f>"יח"</f>
        <v>יח</v>
      </c>
      <c r="P3660">
        <v>0</v>
      </c>
      <c r="Q3660" t="str">
        <f>"$"</f>
        <v>$</v>
      </c>
      <c r="R3660" t="str">
        <f>"הזמנה"</f>
        <v>הזמנה</v>
      </c>
      <c r="S3660">
        <v>0</v>
      </c>
      <c r="T3660">
        <v>0</v>
      </c>
      <c r="U3660">
        <v>0</v>
      </c>
      <c r="V3660">
        <v>0</v>
      </c>
      <c r="W3660" t="str">
        <f>"$"</f>
        <v>$</v>
      </c>
      <c r="X3660">
        <v>0</v>
      </c>
      <c r="Y3660">
        <v>0</v>
      </c>
      <c r="Z3660">
        <v>0</v>
      </c>
      <c r="AA3660" t="str">
        <f>"Y"</f>
        <v>Y</v>
      </c>
      <c r="AC3660">
        <v>0</v>
      </c>
      <c r="AM3660" t="str">
        <f>"10"</f>
        <v>10</v>
      </c>
      <c r="AN3660" t="str">
        <f>"500000"</f>
        <v>500000</v>
      </c>
      <c r="AO3660" t="str">
        <f>"הכנסות  מלקוחות"</f>
        <v>הכנסות  מלקוחות</v>
      </c>
      <c r="AQ3660" t="str">
        <f>"034"</f>
        <v>034</v>
      </c>
      <c r="AR3660">
        <v>0</v>
      </c>
      <c r="AS3660">
        <v>0</v>
      </c>
      <c r="AT3660">
        <v>3.5019999999999998</v>
      </c>
      <c r="BB3660" t="str">
        <f>"Y"</f>
        <v>Y</v>
      </c>
      <c r="BD3660" t="str">
        <f>"ערן שלו"</f>
        <v>ערן שלו</v>
      </c>
    </row>
    <row r="3661" spans="1:56" x14ac:dyDescent="0.3">
      <c r="A3661" s="1">
        <v>44020</v>
      </c>
      <c r="B3661" t="str">
        <f>"SI206000665"</f>
        <v>SI206000665</v>
      </c>
      <c r="C3661" t="str">
        <f>"PR19000724"</f>
        <v>PR19000724</v>
      </c>
      <c r="E3661" t="str">
        <f>"Y"</f>
        <v>Y</v>
      </c>
      <c r="F3661" t="str">
        <f>"חשבוניות מרכזות"</f>
        <v>חשבוניות מרכזות</v>
      </c>
      <c r="G3661" t="str">
        <f>"700065"</f>
        <v>700065</v>
      </c>
      <c r="H3661" t="str">
        <f>"אלתא מערכות בע""מ"</f>
        <v>אלתא מערכות בע"מ</v>
      </c>
      <c r="I3661" t="str">
        <f>"10"</f>
        <v>10</v>
      </c>
      <c r="J3661" t="str">
        <f>"PA1100514"</f>
        <v>PA1100514</v>
      </c>
      <c r="K3661" t="str">
        <f>"ITS4106A5C36-01SM144B1KG12TMCB מחבר"</f>
        <v>ITS4106A5C36-01SM144B1KG12TMCB מחבר</v>
      </c>
      <c r="L3661">
        <v>-3</v>
      </c>
      <c r="M3661" t="str">
        <f>"יח"</f>
        <v>יח</v>
      </c>
      <c r="N3661">
        <v>-3</v>
      </c>
      <c r="O3661" t="str">
        <f>"יח"</f>
        <v>יח</v>
      </c>
      <c r="P3661">
        <v>0</v>
      </c>
      <c r="Q3661" t="str">
        <f>"$"</f>
        <v>$</v>
      </c>
      <c r="R3661" t="str">
        <f>"הזמנה"</f>
        <v>הזמנה</v>
      </c>
      <c r="S3661">
        <v>0</v>
      </c>
      <c r="T3661">
        <v>0</v>
      </c>
      <c r="U3661">
        <v>0</v>
      </c>
      <c r="V3661">
        <v>0</v>
      </c>
      <c r="W3661" t="str">
        <f>"$"</f>
        <v>$</v>
      </c>
      <c r="X3661">
        <v>0</v>
      </c>
      <c r="Y3661">
        <v>0</v>
      </c>
      <c r="Z3661">
        <v>0</v>
      </c>
      <c r="AA3661" t="str">
        <f>"Y"</f>
        <v>Y</v>
      </c>
      <c r="AC3661">
        <v>0</v>
      </c>
      <c r="AM3661" t="str">
        <f>"10"</f>
        <v>10</v>
      </c>
      <c r="AN3661" t="str">
        <f>"500000"</f>
        <v>500000</v>
      </c>
      <c r="AO3661" t="str">
        <f>"הכנסות  מלקוחות"</f>
        <v>הכנסות  מלקוחות</v>
      </c>
      <c r="AQ3661" t="str">
        <f>"034"</f>
        <v>034</v>
      </c>
      <c r="AR3661">
        <v>0</v>
      </c>
      <c r="AS3661">
        <v>0</v>
      </c>
      <c r="AT3661">
        <v>3.5019999999999998</v>
      </c>
      <c r="BB3661" t="str">
        <f>"Y"</f>
        <v>Y</v>
      </c>
      <c r="BD3661" t="str">
        <f>"ערן שלו"</f>
        <v>ערן שלו</v>
      </c>
    </row>
    <row r="3662" spans="1:56" x14ac:dyDescent="0.3">
      <c r="A3662" s="1">
        <v>44020</v>
      </c>
      <c r="B3662" t="str">
        <f>"SI206000664"</f>
        <v>SI206000664</v>
      </c>
      <c r="C3662" t="str">
        <f>"PR19000724"</f>
        <v>PR19000724</v>
      </c>
      <c r="E3662" t="str">
        <f>"Y"</f>
        <v>Y</v>
      </c>
      <c r="F3662" t="str">
        <f>"חשבוניות מרכזות"</f>
        <v>חשבוניות מרכזות</v>
      </c>
      <c r="G3662" t="str">
        <f>"700065"</f>
        <v>700065</v>
      </c>
      <c r="H3662" t="str">
        <f>"אלתא מערכות בע""מ"</f>
        <v>אלתא מערכות בע"מ</v>
      </c>
      <c r="I3662" t="str">
        <f>"10"</f>
        <v>10</v>
      </c>
      <c r="J3662" t="str">
        <f>"000"</f>
        <v>000</v>
      </c>
      <c r="K3662" t="str">
        <f>"MQQ עבור 6 קונקטורים"</f>
        <v>MQQ עבור 6 קונקטורים</v>
      </c>
      <c r="L3662">
        <v>1</v>
      </c>
      <c r="M3662" t="str">
        <f>"יח"</f>
        <v>יח</v>
      </c>
      <c r="N3662">
        <v>1</v>
      </c>
      <c r="O3662" t="str">
        <f>"יח"</f>
        <v>יח</v>
      </c>
      <c r="P3662" s="2">
        <v>4509.43</v>
      </c>
      <c r="Q3662" t="str">
        <f>"$"</f>
        <v>$</v>
      </c>
      <c r="R3662" t="str">
        <f>"הזמנה"</f>
        <v>הזמנה</v>
      </c>
      <c r="S3662">
        <v>0</v>
      </c>
      <c r="T3662" s="2">
        <v>4509.43</v>
      </c>
      <c r="U3662">
        <v>0</v>
      </c>
      <c r="V3662" s="2">
        <v>4509.43</v>
      </c>
      <c r="W3662" t="str">
        <f>"$"</f>
        <v>$</v>
      </c>
      <c r="X3662">
        <v>0</v>
      </c>
      <c r="Y3662">
        <v>0</v>
      </c>
      <c r="Z3662">
        <v>0</v>
      </c>
      <c r="AA3662" t="str">
        <f>"Y"</f>
        <v>Y</v>
      </c>
      <c r="AC3662">
        <v>0</v>
      </c>
      <c r="AM3662" t="str">
        <f>"10"</f>
        <v>10</v>
      </c>
      <c r="AN3662" t="str">
        <f>"500000"</f>
        <v>500000</v>
      </c>
      <c r="AO3662" t="str">
        <f>"הכנסות  מלקוחות"</f>
        <v>הכנסות  מלקוחות</v>
      </c>
      <c r="AQ3662" t="str">
        <f>"034"</f>
        <v>034</v>
      </c>
      <c r="AR3662">
        <v>0</v>
      </c>
      <c r="AS3662">
        <v>0</v>
      </c>
      <c r="AT3662">
        <v>3.5019999999999998</v>
      </c>
      <c r="BB3662" t="str">
        <f>"Y"</f>
        <v>Y</v>
      </c>
      <c r="BD3662" t="str">
        <f>"ערן שלו"</f>
        <v>ערן שלו</v>
      </c>
    </row>
    <row r="3663" spans="1:56" x14ac:dyDescent="0.3">
      <c r="A3663" s="1">
        <v>44020</v>
      </c>
      <c r="B3663" t="str">
        <f>"SI206000664"</f>
        <v>SI206000664</v>
      </c>
      <c r="C3663" t="str">
        <f>"PR19000724"</f>
        <v>PR19000724</v>
      </c>
      <c r="E3663" t="str">
        <f>"Y"</f>
        <v>Y</v>
      </c>
      <c r="F3663" t="str">
        <f>"חשבוניות מרכזות"</f>
        <v>חשבוניות מרכזות</v>
      </c>
      <c r="G3663" t="str">
        <f>"700065"</f>
        <v>700065</v>
      </c>
      <c r="H3663" t="str">
        <f>"אלתא מערכות בע""מ"</f>
        <v>אלתא מערכות בע"מ</v>
      </c>
      <c r="I3663" t="str">
        <f>"10"</f>
        <v>10</v>
      </c>
      <c r="J3663" t="str">
        <f>"000"</f>
        <v>000</v>
      </c>
      <c r="K3663" t="str">
        <f>"MQQ עבור 6 קונקטורים"</f>
        <v>MQQ עבור 6 קונקטורים</v>
      </c>
      <c r="L3663">
        <v>1</v>
      </c>
      <c r="M3663" t="str">
        <f>"יח"</f>
        <v>יח</v>
      </c>
      <c r="N3663">
        <v>1</v>
      </c>
      <c r="O3663" t="str">
        <f>"יח"</f>
        <v>יח</v>
      </c>
      <c r="P3663" s="2">
        <v>4509.55</v>
      </c>
      <c r="Q3663" t="str">
        <f>"$"</f>
        <v>$</v>
      </c>
      <c r="R3663" t="str">
        <f>"הזמנה"</f>
        <v>הזמנה</v>
      </c>
      <c r="S3663">
        <v>0</v>
      </c>
      <c r="T3663" s="2">
        <v>4509.55</v>
      </c>
      <c r="U3663">
        <v>0</v>
      </c>
      <c r="V3663" s="2">
        <v>4509.55</v>
      </c>
      <c r="W3663" t="str">
        <f>"$"</f>
        <v>$</v>
      </c>
      <c r="X3663">
        <v>0</v>
      </c>
      <c r="Y3663">
        <v>0</v>
      </c>
      <c r="Z3663">
        <v>0</v>
      </c>
      <c r="AA3663" t="str">
        <f>"Y"</f>
        <v>Y</v>
      </c>
      <c r="AC3663">
        <v>0</v>
      </c>
      <c r="AM3663" t="str">
        <f>"10"</f>
        <v>10</v>
      </c>
      <c r="AN3663" t="str">
        <f>"500000"</f>
        <v>500000</v>
      </c>
      <c r="AO3663" t="str">
        <f>"הכנסות  מלקוחות"</f>
        <v>הכנסות  מלקוחות</v>
      </c>
      <c r="AQ3663" t="str">
        <f>"034"</f>
        <v>034</v>
      </c>
      <c r="AR3663">
        <v>0</v>
      </c>
      <c r="AS3663">
        <v>0</v>
      </c>
      <c r="AT3663">
        <v>3.5019999999999998</v>
      </c>
      <c r="BB3663" t="str">
        <f>"Y"</f>
        <v>Y</v>
      </c>
      <c r="BD3663" t="str">
        <f>"ערן שלו"</f>
        <v>ערן שלו</v>
      </c>
    </row>
    <row r="3664" spans="1:56" x14ac:dyDescent="0.3">
      <c r="A3664" s="1">
        <v>44020</v>
      </c>
      <c r="B3664" t="str">
        <f>"SI206000664"</f>
        <v>SI206000664</v>
      </c>
      <c r="C3664" t="str">
        <f>"PR19000724"</f>
        <v>PR19000724</v>
      </c>
      <c r="E3664" t="str">
        <f>"Y"</f>
        <v>Y</v>
      </c>
      <c r="F3664" t="str">
        <f>"חשבוניות מרכזות"</f>
        <v>חשבוניות מרכזות</v>
      </c>
      <c r="G3664" t="str">
        <f>"700065"</f>
        <v>700065</v>
      </c>
      <c r="H3664" t="str">
        <f>"אלתא מערכות בע""מ"</f>
        <v>אלתא מערכות בע"מ</v>
      </c>
      <c r="I3664" t="str">
        <f>"10"</f>
        <v>10</v>
      </c>
      <c r="J3664" t="str">
        <f>"CB1100205"</f>
        <v>CB1100205</v>
      </c>
      <c r="K3664" t="str">
        <f>"כבל הזנה 20 H07RNF 5X35מ', 5X125A IP67 , נעל כבל"</f>
        <v>כבל הזנה 20 H07RNF 5X35מ', 5X125A IP67 , נעל כבל</v>
      </c>
      <c r="L3664">
        <v>1</v>
      </c>
      <c r="M3664" t="str">
        <f>"יח"</f>
        <v>יח</v>
      </c>
      <c r="N3664">
        <v>1</v>
      </c>
      <c r="O3664" t="str">
        <f>"יח"</f>
        <v>יח</v>
      </c>
      <c r="P3664" s="2">
        <v>1229.9000000000001</v>
      </c>
      <c r="Q3664" t="str">
        <f>"$"</f>
        <v>$</v>
      </c>
      <c r="R3664" t="str">
        <f>"הזמנה"</f>
        <v>הזמנה</v>
      </c>
      <c r="S3664">
        <v>0</v>
      </c>
      <c r="T3664" s="2">
        <v>1229.9000000000001</v>
      </c>
      <c r="U3664">
        <v>0</v>
      </c>
      <c r="V3664" s="2">
        <v>1229.9000000000001</v>
      </c>
      <c r="W3664" t="str">
        <f>"$"</f>
        <v>$</v>
      </c>
      <c r="X3664">
        <v>0</v>
      </c>
      <c r="Y3664">
        <v>0</v>
      </c>
      <c r="Z3664">
        <v>0</v>
      </c>
      <c r="AA3664" t="str">
        <f>"Y"</f>
        <v>Y</v>
      </c>
      <c r="AC3664">
        <v>0</v>
      </c>
      <c r="AM3664" t="str">
        <f>"10"</f>
        <v>10</v>
      </c>
      <c r="AN3664" t="str">
        <f>"500000"</f>
        <v>500000</v>
      </c>
      <c r="AO3664" t="str">
        <f>"הכנסות  מלקוחות"</f>
        <v>הכנסות  מלקוחות</v>
      </c>
      <c r="AQ3664" t="str">
        <f>"034"</f>
        <v>034</v>
      </c>
      <c r="AR3664">
        <v>0</v>
      </c>
      <c r="AS3664">
        <v>0</v>
      </c>
      <c r="AT3664">
        <v>3.5019999999999998</v>
      </c>
      <c r="BB3664" t="str">
        <f>"Y"</f>
        <v>Y</v>
      </c>
      <c r="BD3664" t="str">
        <f>"ערן שלו"</f>
        <v>ערן שלו</v>
      </c>
    </row>
    <row r="3665" spans="1:56" x14ac:dyDescent="0.3">
      <c r="A3665" s="1">
        <v>44020</v>
      </c>
      <c r="B3665" t="str">
        <f>"SI206000664"</f>
        <v>SI206000664</v>
      </c>
      <c r="C3665" t="str">
        <f>"PR19000724"</f>
        <v>PR19000724</v>
      </c>
      <c r="E3665" t="str">
        <f>"Y"</f>
        <v>Y</v>
      </c>
      <c r="F3665" t="str">
        <f>"חשבוניות מרכזות"</f>
        <v>חשבוניות מרכזות</v>
      </c>
      <c r="G3665" t="str">
        <f>"700065"</f>
        <v>700065</v>
      </c>
      <c r="H3665" t="str">
        <f>"אלתא מערכות בע""מ"</f>
        <v>אלתא מערכות בע"מ</v>
      </c>
      <c r="I3665" t="str">
        <f>"10"</f>
        <v>10</v>
      </c>
      <c r="J3665" t="str">
        <f>"OP-AR22723"</f>
        <v>OP-AR22723</v>
      </c>
      <c r="K3665" t="str">
        <f>"CB1100206"</f>
        <v>CB1100206</v>
      </c>
      <c r="L3665">
        <v>1</v>
      </c>
      <c r="M3665" t="str">
        <f>"יח"</f>
        <v>יח</v>
      </c>
      <c r="N3665">
        <v>1</v>
      </c>
      <c r="O3665" t="str">
        <f>"יח"</f>
        <v>יח</v>
      </c>
      <c r="P3665" s="2">
        <v>3189.9</v>
      </c>
      <c r="Q3665" t="str">
        <f>"$"</f>
        <v>$</v>
      </c>
      <c r="R3665" t="str">
        <f>"הזמנה"</f>
        <v>הזמנה</v>
      </c>
      <c r="S3665">
        <v>0</v>
      </c>
      <c r="T3665" s="2">
        <v>3189.9</v>
      </c>
      <c r="U3665">
        <v>0</v>
      </c>
      <c r="V3665" s="2">
        <v>3189.9</v>
      </c>
      <c r="W3665" t="str">
        <f>"$"</f>
        <v>$</v>
      </c>
      <c r="X3665">
        <v>0</v>
      </c>
      <c r="Y3665">
        <v>0</v>
      </c>
      <c r="Z3665">
        <v>0</v>
      </c>
      <c r="AA3665" t="str">
        <f>"Y"</f>
        <v>Y</v>
      </c>
      <c r="AC3665">
        <v>0</v>
      </c>
      <c r="AM3665" t="str">
        <f>"10"</f>
        <v>10</v>
      </c>
      <c r="AN3665" t="str">
        <f>"500000"</f>
        <v>500000</v>
      </c>
      <c r="AO3665" t="str">
        <f>"הכנסות  מלקוחות"</f>
        <v>הכנסות  מלקוחות</v>
      </c>
      <c r="AQ3665" t="str">
        <f>"034"</f>
        <v>034</v>
      </c>
      <c r="AR3665">
        <v>0</v>
      </c>
      <c r="AS3665">
        <v>0</v>
      </c>
      <c r="AT3665">
        <v>3.5019999999999998</v>
      </c>
      <c r="BB3665" t="str">
        <f>"Y"</f>
        <v>Y</v>
      </c>
      <c r="BD3665" t="str">
        <f>"ערן שלו"</f>
        <v>ערן שלו</v>
      </c>
    </row>
    <row r="3666" spans="1:56" x14ac:dyDescent="0.3">
      <c r="A3666" s="1">
        <v>44020</v>
      </c>
      <c r="B3666" t="str">
        <f>"SI206000664"</f>
        <v>SI206000664</v>
      </c>
      <c r="C3666" t="str">
        <f>"PR19000724"</f>
        <v>PR19000724</v>
      </c>
      <c r="E3666" t="str">
        <f>"Y"</f>
        <v>Y</v>
      </c>
      <c r="F3666" t="str">
        <f>"חשבוניות מרכזות"</f>
        <v>חשבוניות מרכזות</v>
      </c>
      <c r="G3666" t="str">
        <f>"700065"</f>
        <v>700065</v>
      </c>
      <c r="H3666" t="str">
        <f>"אלתא מערכות בע""מ"</f>
        <v>אלתא מערכות בע"מ</v>
      </c>
      <c r="I3666" t="str">
        <f>"10"</f>
        <v>10</v>
      </c>
      <c r="J3666" t="str">
        <f>"CB1100207"</f>
        <v>CB1100207</v>
      </c>
      <c r="K3666" t="str">
        <f>"כבל 50 H07RNF 1X95 -320מ', 2 מחברי ITS4106A5C36"</f>
        <v>כבל 50 H07RNF 1X95 -320מ', 2 מחברי ITS4106A5C36</v>
      </c>
      <c r="L3666">
        <v>1</v>
      </c>
      <c r="M3666" t="str">
        <f>"יח"</f>
        <v>יח</v>
      </c>
      <c r="N3666">
        <v>1</v>
      </c>
      <c r="O3666" t="str">
        <f>"יח"</f>
        <v>יח</v>
      </c>
      <c r="P3666" s="2">
        <v>3483.9</v>
      </c>
      <c r="Q3666" t="str">
        <f>"$"</f>
        <v>$</v>
      </c>
      <c r="R3666" t="str">
        <f>"הזמנה"</f>
        <v>הזמנה</v>
      </c>
      <c r="S3666">
        <v>0</v>
      </c>
      <c r="T3666" s="2">
        <v>3483.9</v>
      </c>
      <c r="U3666">
        <v>0</v>
      </c>
      <c r="V3666" s="2">
        <v>3483.9</v>
      </c>
      <c r="W3666" t="str">
        <f>"$"</f>
        <v>$</v>
      </c>
      <c r="X3666">
        <v>0</v>
      </c>
      <c r="Y3666">
        <v>0</v>
      </c>
      <c r="Z3666">
        <v>0</v>
      </c>
      <c r="AA3666" t="str">
        <f>"Y"</f>
        <v>Y</v>
      </c>
      <c r="AC3666">
        <v>0</v>
      </c>
      <c r="AM3666" t="str">
        <f>"10"</f>
        <v>10</v>
      </c>
      <c r="AN3666" t="str">
        <f>"500000"</f>
        <v>500000</v>
      </c>
      <c r="AO3666" t="str">
        <f>"הכנסות  מלקוחות"</f>
        <v>הכנסות  מלקוחות</v>
      </c>
      <c r="AQ3666" t="str">
        <f>"034"</f>
        <v>034</v>
      </c>
      <c r="AR3666">
        <v>0</v>
      </c>
      <c r="AS3666">
        <v>0</v>
      </c>
      <c r="AT3666">
        <v>3.5019999999999998</v>
      </c>
      <c r="BB3666" t="str">
        <f>"Y"</f>
        <v>Y</v>
      </c>
      <c r="BD3666" t="str">
        <f>"ערן שלו"</f>
        <v>ערן שלו</v>
      </c>
    </row>
    <row r="3667" spans="1:56" x14ac:dyDescent="0.3">
      <c r="A3667" s="1">
        <v>44020</v>
      </c>
      <c r="B3667" t="str">
        <f>"SI206000664"</f>
        <v>SI206000664</v>
      </c>
      <c r="C3667" t="str">
        <f>"PR19000724"</f>
        <v>PR19000724</v>
      </c>
      <c r="E3667" t="str">
        <f>"Y"</f>
        <v>Y</v>
      </c>
      <c r="F3667" t="str">
        <f>"חשבוניות מרכזות"</f>
        <v>חשבוניות מרכזות</v>
      </c>
      <c r="G3667" t="str">
        <f>"700065"</f>
        <v>700065</v>
      </c>
      <c r="H3667" t="str">
        <f>"אלתא מערכות בע""מ"</f>
        <v>אלתא מערכות בע"מ</v>
      </c>
      <c r="I3667" t="str">
        <f>"10"</f>
        <v>10</v>
      </c>
      <c r="J3667" t="str">
        <f>"PA1100511"</f>
        <v>PA1100511</v>
      </c>
      <c r="K3667" t="str">
        <f>"ITS4106A5C36-01PL1M144B1KG12TMCR מחבר"</f>
        <v>ITS4106A5C36-01PL1M144B1KG12TMCR מחבר</v>
      </c>
      <c r="L3667">
        <v>3</v>
      </c>
      <c r="M3667" t="str">
        <f>"יח"</f>
        <v>יח</v>
      </c>
      <c r="N3667">
        <v>3</v>
      </c>
      <c r="O3667" t="str">
        <f>"יח"</f>
        <v>יח</v>
      </c>
      <c r="P3667">
        <v>0</v>
      </c>
      <c r="Q3667" t="str">
        <f>"$"</f>
        <v>$</v>
      </c>
      <c r="R3667" t="str">
        <f>"הזמנה"</f>
        <v>הזמנה</v>
      </c>
      <c r="S3667">
        <v>0</v>
      </c>
      <c r="T3667">
        <v>0</v>
      </c>
      <c r="U3667">
        <v>0</v>
      </c>
      <c r="V3667">
        <v>0</v>
      </c>
      <c r="W3667" t="str">
        <f>"$"</f>
        <v>$</v>
      </c>
      <c r="X3667">
        <v>0</v>
      </c>
      <c r="Y3667">
        <v>0</v>
      </c>
      <c r="Z3667">
        <v>0</v>
      </c>
      <c r="AA3667" t="str">
        <f>"Y"</f>
        <v>Y</v>
      </c>
      <c r="AC3667">
        <v>0</v>
      </c>
      <c r="AM3667" t="str">
        <f>"10"</f>
        <v>10</v>
      </c>
      <c r="AN3667" t="str">
        <f>"500000"</f>
        <v>500000</v>
      </c>
      <c r="AO3667" t="str">
        <f>"הכנסות  מלקוחות"</f>
        <v>הכנסות  מלקוחות</v>
      </c>
      <c r="AQ3667" t="str">
        <f>"034"</f>
        <v>034</v>
      </c>
      <c r="AR3667">
        <v>0</v>
      </c>
      <c r="AS3667">
        <v>0</v>
      </c>
      <c r="AT3667">
        <v>3.5019999999999998</v>
      </c>
      <c r="BB3667" t="str">
        <f>"Y"</f>
        <v>Y</v>
      </c>
      <c r="BD3667" t="str">
        <f>"ערן שלו"</f>
        <v>ערן שלו</v>
      </c>
    </row>
    <row r="3668" spans="1:56" x14ac:dyDescent="0.3">
      <c r="A3668" s="1">
        <v>44020</v>
      </c>
      <c r="B3668" t="str">
        <f>"SI206000664"</f>
        <v>SI206000664</v>
      </c>
      <c r="C3668" t="str">
        <f>"PR19000724"</f>
        <v>PR19000724</v>
      </c>
      <c r="E3668" t="str">
        <f>"Y"</f>
        <v>Y</v>
      </c>
      <c r="F3668" t="str">
        <f>"חשבוניות מרכזות"</f>
        <v>חשבוניות מרכזות</v>
      </c>
      <c r="G3668" t="str">
        <f>"700065"</f>
        <v>700065</v>
      </c>
      <c r="H3668" t="str">
        <f>"אלתא מערכות בע""מ"</f>
        <v>אלתא מערכות בע"מ</v>
      </c>
      <c r="I3668" t="str">
        <f>"10"</f>
        <v>10</v>
      </c>
      <c r="J3668" t="str">
        <f>"PA1100512"</f>
        <v>PA1100512</v>
      </c>
      <c r="K3668" t="str">
        <f>"ITS4106A5C36-01SL1M144B1KG12TMCR מחבר"</f>
        <v>ITS4106A5C36-01SL1M144B1KG12TMCR מחבר</v>
      </c>
      <c r="L3668">
        <v>3</v>
      </c>
      <c r="M3668" t="str">
        <f>"יח"</f>
        <v>יח</v>
      </c>
      <c r="N3668">
        <v>3</v>
      </c>
      <c r="O3668" t="str">
        <f>"יח"</f>
        <v>יח</v>
      </c>
      <c r="P3668">
        <v>0</v>
      </c>
      <c r="Q3668" t="str">
        <f>"$"</f>
        <v>$</v>
      </c>
      <c r="R3668" t="str">
        <f>"הזמנה"</f>
        <v>הזמנה</v>
      </c>
      <c r="S3668">
        <v>0</v>
      </c>
      <c r="T3668">
        <v>0</v>
      </c>
      <c r="U3668">
        <v>0</v>
      </c>
      <c r="V3668">
        <v>0</v>
      </c>
      <c r="W3668" t="str">
        <f>"$"</f>
        <v>$</v>
      </c>
      <c r="X3668">
        <v>0</v>
      </c>
      <c r="Y3668">
        <v>0</v>
      </c>
      <c r="Z3668">
        <v>0</v>
      </c>
      <c r="AA3668" t="str">
        <f>"Y"</f>
        <v>Y</v>
      </c>
      <c r="AC3668">
        <v>0</v>
      </c>
      <c r="AM3668" t="str">
        <f>"10"</f>
        <v>10</v>
      </c>
      <c r="AN3668" t="str">
        <f>"500000"</f>
        <v>500000</v>
      </c>
      <c r="AO3668" t="str">
        <f>"הכנסות  מלקוחות"</f>
        <v>הכנסות  מלקוחות</v>
      </c>
      <c r="AQ3668" t="str">
        <f>"034"</f>
        <v>034</v>
      </c>
      <c r="AR3668">
        <v>0</v>
      </c>
      <c r="AS3668">
        <v>0</v>
      </c>
      <c r="AT3668">
        <v>3.5019999999999998</v>
      </c>
      <c r="BB3668" t="str">
        <f>"Y"</f>
        <v>Y</v>
      </c>
      <c r="BD3668" t="str">
        <f>"ערן שלו"</f>
        <v>ערן שלו</v>
      </c>
    </row>
    <row r="3669" spans="1:56" x14ac:dyDescent="0.3">
      <c r="A3669" s="1">
        <v>44020</v>
      </c>
      <c r="B3669" t="str">
        <f>"SI206000664"</f>
        <v>SI206000664</v>
      </c>
      <c r="C3669" t="str">
        <f>"PR19000724"</f>
        <v>PR19000724</v>
      </c>
      <c r="E3669" t="str">
        <f>"Y"</f>
        <v>Y</v>
      </c>
      <c r="F3669" t="str">
        <f>"חשבוניות מרכזות"</f>
        <v>חשבוניות מרכזות</v>
      </c>
      <c r="G3669" t="str">
        <f>"700065"</f>
        <v>700065</v>
      </c>
      <c r="H3669" t="str">
        <f>"אלתא מערכות בע""מ"</f>
        <v>אלתא מערכות בע"מ</v>
      </c>
      <c r="I3669" t="str">
        <f>"10"</f>
        <v>10</v>
      </c>
      <c r="J3669" t="str">
        <f>"PA1100513"</f>
        <v>PA1100513</v>
      </c>
      <c r="K3669" t="str">
        <f>"ITS4106A5C36-01PM144B1KG12TMCB מחבר"</f>
        <v>ITS4106A5C36-01PM144B1KG12TMCB מחבר</v>
      </c>
      <c r="L3669">
        <v>3</v>
      </c>
      <c r="M3669" t="str">
        <f>"יח"</f>
        <v>יח</v>
      </c>
      <c r="N3669">
        <v>3</v>
      </c>
      <c r="O3669" t="str">
        <f>"יח"</f>
        <v>יח</v>
      </c>
      <c r="P3669">
        <v>0</v>
      </c>
      <c r="Q3669" t="str">
        <f>"$"</f>
        <v>$</v>
      </c>
      <c r="R3669" t="str">
        <f>"הזמנה"</f>
        <v>הזמנה</v>
      </c>
      <c r="S3669">
        <v>0</v>
      </c>
      <c r="T3669">
        <v>0</v>
      </c>
      <c r="U3669">
        <v>0</v>
      </c>
      <c r="V3669">
        <v>0</v>
      </c>
      <c r="W3669" t="str">
        <f>"$"</f>
        <v>$</v>
      </c>
      <c r="X3669">
        <v>0</v>
      </c>
      <c r="Y3669">
        <v>0</v>
      </c>
      <c r="Z3669">
        <v>0</v>
      </c>
      <c r="AA3669" t="str">
        <f>"Y"</f>
        <v>Y</v>
      </c>
      <c r="AC3669">
        <v>0</v>
      </c>
      <c r="AM3669" t="str">
        <f>"10"</f>
        <v>10</v>
      </c>
      <c r="AN3669" t="str">
        <f>"500000"</f>
        <v>500000</v>
      </c>
      <c r="AO3669" t="str">
        <f>"הכנסות  מלקוחות"</f>
        <v>הכנסות  מלקוחות</v>
      </c>
      <c r="AQ3669" t="str">
        <f>"034"</f>
        <v>034</v>
      </c>
      <c r="AR3669">
        <v>0</v>
      </c>
      <c r="AS3669">
        <v>0</v>
      </c>
      <c r="AT3669">
        <v>3.5019999999999998</v>
      </c>
      <c r="BB3669" t="str">
        <f>"Y"</f>
        <v>Y</v>
      </c>
      <c r="BD3669" t="str">
        <f>"ערן שלו"</f>
        <v>ערן שלו</v>
      </c>
    </row>
    <row r="3670" spans="1:56" x14ac:dyDescent="0.3">
      <c r="A3670" s="1">
        <v>44020</v>
      </c>
      <c r="B3670" t="str">
        <f>"SI206000664"</f>
        <v>SI206000664</v>
      </c>
      <c r="C3670" t="str">
        <f>"PR19000724"</f>
        <v>PR19000724</v>
      </c>
      <c r="E3670" t="str">
        <f>"Y"</f>
        <v>Y</v>
      </c>
      <c r="F3670" t="str">
        <f>"חשבוניות מרכזות"</f>
        <v>חשבוניות מרכזות</v>
      </c>
      <c r="G3670" t="str">
        <f>"700065"</f>
        <v>700065</v>
      </c>
      <c r="H3670" t="str">
        <f>"אלתא מערכות בע""מ"</f>
        <v>אלתא מערכות בע"מ</v>
      </c>
      <c r="I3670" t="str">
        <f>"10"</f>
        <v>10</v>
      </c>
      <c r="J3670" t="str">
        <f>"PA1100514"</f>
        <v>PA1100514</v>
      </c>
      <c r="K3670" t="str">
        <f>"ITS4106A5C36-01SM144B1KG12TMCB מחבר"</f>
        <v>ITS4106A5C36-01SM144B1KG12TMCB מחבר</v>
      </c>
      <c r="L3670">
        <v>3</v>
      </c>
      <c r="M3670" t="str">
        <f>"יח"</f>
        <v>יח</v>
      </c>
      <c r="N3670">
        <v>3</v>
      </c>
      <c r="O3670" t="str">
        <f>"יח"</f>
        <v>יח</v>
      </c>
      <c r="P3670">
        <v>0</v>
      </c>
      <c r="Q3670" t="str">
        <f>"$"</f>
        <v>$</v>
      </c>
      <c r="R3670" t="str">
        <f>"הזמנה"</f>
        <v>הזמנה</v>
      </c>
      <c r="S3670">
        <v>0</v>
      </c>
      <c r="T3670">
        <v>0</v>
      </c>
      <c r="U3670">
        <v>0</v>
      </c>
      <c r="V3670">
        <v>0</v>
      </c>
      <c r="W3670" t="str">
        <f>"$"</f>
        <v>$</v>
      </c>
      <c r="X3670">
        <v>0</v>
      </c>
      <c r="Y3670">
        <v>0</v>
      </c>
      <c r="Z3670">
        <v>0</v>
      </c>
      <c r="AA3670" t="str">
        <f>"Y"</f>
        <v>Y</v>
      </c>
      <c r="AC3670">
        <v>0</v>
      </c>
      <c r="AM3670" t="str">
        <f>"10"</f>
        <v>10</v>
      </c>
      <c r="AN3670" t="str">
        <f>"500000"</f>
        <v>500000</v>
      </c>
      <c r="AO3670" t="str">
        <f>"הכנסות  מלקוחות"</f>
        <v>הכנסות  מלקוחות</v>
      </c>
      <c r="AQ3670" t="str">
        <f>"034"</f>
        <v>034</v>
      </c>
      <c r="AR3670">
        <v>0</v>
      </c>
      <c r="AS3670">
        <v>0</v>
      </c>
      <c r="AT3670">
        <v>3.5019999999999998</v>
      </c>
      <c r="BB3670" t="str">
        <f>"Y"</f>
        <v>Y</v>
      </c>
      <c r="BD3670" t="str">
        <f>"ערן שלו"</f>
        <v>ערן שלו</v>
      </c>
    </row>
    <row r="3671" spans="1:56" x14ac:dyDescent="0.3">
      <c r="A3671" s="1">
        <v>44017</v>
      </c>
      <c r="B3671" t="str">
        <f>"CR207000020"</f>
        <v>CR207000020</v>
      </c>
      <c r="E3671" t="str">
        <f>"Y"</f>
        <v>Y</v>
      </c>
      <c r="F3671" t="str">
        <f>"חשבוניות זיכוי"</f>
        <v>חשבוניות זיכוי</v>
      </c>
      <c r="G3671" t="str">
        <f>"700065"</f>
        <v>700065</v>
      </c>
      <c r="H3671" t="str">
        <f>"אלתא מערכות בע""מ"</f>
        <v>אלתא מערכות בע"מ</v>
      </c>
      <c r="I3671" t="str">
        <f>"10"</f>
        <v>10</v>
      </c>
      <c r="J3671" t="str">
        <f>"000"</f>
        <v>000</v>
      </c>
      <c r="K3671" t="str">
        <f>"חיוב בגין פיגור אספקה 206000050"</f>
        <v>חיוב בגין פיגור אספקה 206000050</v>
      </c>
      <c r="L3671">
        <v>-1</v>
      </c>
      <c r="M3671" t="str">
        <f>"יח"</f>
        <v>יח</v>
      </c>
      <c r="N3671">
        <v>-1</v>
      </c>
      <c r="O3671" t="str">
        <f>"יח"</f>
        <v>יח</v>
      </c>
      <c r="P3671">
        <v>900.19</v>
      </c>
      <c r="Q3671" t="str">
        <f>"$"</f>
        <v>$</v>
      </c>
      <c r="R3671" t="str">
        <f>"הזמנה"</f>
        <v>הזמנה</v>
      </c>
      <c r="S3671">
        <v>0</v>
      </c>
      <c r="T3671">
        <v>-900.19</v>
      </c>
      <c r="U3671">
        <v>0</v>
      </c>
      <c r="V3671">
        <v>-900.19</v>
      </c>
      <c r="W3671" t="str">
        <f>"$"</f>
        <v>$</v>
      </c>
      <c r="X3671">
        <v>0</v>
      </c>
      <c r="Y3671">
        <v>0</v>
      </c>
      <c r="Z3671">
        <v>0</v>
      </c>
      <c r="AA3671" t="str">
        <f>"Y"</f>
        <v>Y</v>
      </c>
      <c r="AC3671">
        <v>0</v>
      </c>
      <c r="AM3671" t="str">
        <f>"10"</f>
        <v>10</v>
      </c>
      <c r="AN3671" t="str">
        <f>"500000"</f>
        <v>500000</v>
      </c>
      <c r="AO3671" t="str">
        <f>"הכנסות  מלקוחות"</f>
        <v>הכנסות  מלקוחות</v>
      </c>
      <c r="AQ3671" t="str">
        <f>"034"</f>
        <v>034</v>
      </c>
      <c r="AR3671">
        <v>0</v>
      </c>
      <c r="AS3671">
        <v>0</v>
      </c>
      <c r="AT3671">
        <v>3.4519899999999999</v>
      </c>
      <c r="BB3671" t="str">
        <f>"Y"</f>
        <v>Y</v>
      </c>
      <c r="BD3671" t="str">
        <f>"ערן שלו"</f>
        <v>ערן שלו</v>
      </c>
    </row>
    <row r="3672" spans="1:56" x14ac:dyDescent="0.3">
      <c r="A3672" s="1">
        <v>44017</v>
      </c>
      <c r="B3672" t="str">
        <f>"CR207000019"</f>
        <v>CR207000019</v>
      </c>
      <c r="E3672" t="str">
        <f>"Y"</f>
        <v>Y</v>
      </c>
      <c r="F3672" t="str">
        <f>"חשבוניות זיכוי"</f>
        <v>חשבוניות זיכוי</v>
      </c>
      <c r="G3672" t="str">
        <f>"700065"</f>
        <v>700065</v>
      </c>
      <c r="H3672" t="str">
        <f>"אלתא מערכות בע""מ"</f>
        <v>אלתא מערכות בע"מ</v>
      </c>
      <c r="I3672" t="str">
        <f>"10"</f>
        <v>10</v>
      </c>
      <c r="J3672" t="str">
        <f>"000"</f>
        <v>000</v>
      </c>
      <c r="K3672" t="str">
        <f>"חיוב בגין פיגור באספקה 206000049"</f>
        <v>חיוב בגין פיגור באספקה 206000049</v>
      </c>
      <c r="L3672">
        <v>-1</v>
      </c>
      <c r="M3672" t="str">
        <f>"יח"</f>
        <v>יח</v>
      </c>
      <c r="N3672">
        <v>-1</v>
      </c>
      <c r="O3672" t="str">
        <f>"יח"</f>
        <v>יח</v>
      </c>
      <c r="P3672">
        <v>642.16</v>
      </c>
      <c r="Q3672" t="str">
        <f>"$"</f>
        <v>$</v>
      </c>
      <c r="R3672" t="str">
        <f>"הזמנה"</f>
        <v>הזמנה</v>
      </c>
      <c r="S3672">
        <v>0</v>
      </c>
      <c r="T3672">
        <v>-642.16</v>
      </c>
      <c r="U3672">
        <v>0</v>
      </c>
      <c r="V3672">
        <v>-642.16</v>
      </c>
      <c r="W3672" t="str">
        <f>"$"</f>
        <v>$</v>
      </c>
      <c r="X3672">
        <v>0</v>
      </c>
      <c r="Y3672">
        <v>0</v>
      </c>
      <c r="Z3672">
        <v>0</v>
      </c>
      <c r="AA3672" t="str">
        <f>"Y"</f>
        <v>Y</v>
      </c>
      <c r="AC3672">
        <v>0</v>
      </c>
      <c r="AM3672" t="str">
        <f>"10"</f>
        <v>10</v>
      </c>
      <c r="AN3672" t="str">
        <f>"500000"</f>
        <v>500000</v>
      </c>
      <c r="AO3672" t="str">
        <f>"הכנסות  מלקוחות"</f>
        <v>הכנסות  מלקוחות</v>
      </c>
      <c r="AQ3672" t="str">
        <f>"034"</f>
        <v>034</v>
      </c>
      <c r="AR3672">
        <v>0</v>
      </c>
      <c r="AS3672">
        <v>0</v>
      </c>
      <c r="AT3672">
        <v>3.452</v>
      </c>
      <c r="BB3672" t="str">
        <f>"Y"</f>
        <v>Y</v>
      </c>
      <c r="BD3672" t="str">
        <f>"ערן שלו"</f>
        <v>ערן שלו</v>
      </c>
    </row>
    <row r="3673" spans="1:56" x14ac:dyDescent="0.3">
      <c r="A3673" s="1">
        <v>44017</v>
      </c>
      <c r="B3673" t="str">
        <f>"CR207000016"</f>
        <v>CR207000016</v>
      </c>
      <c r="E3673" t="str">
        <f>"Y"</f>
        <v>Y</v>
      </c>
      <c r="F3673" t="str">
        <f>"חשבוניות זיכוי"</f>
        <v>חשבוניות זיכוי</v>
      </c>
      <c r="G3673" t="str">
        <f>"700065"</f>
        <v>700065</v>
      </c>
      <c r="H3673" t="str">
        <f>"אלתא מערכות בע""מ"</f>
        <v>אלתא מערכות בע"מ</v>
      </c>
      <c r="I3673" t="str">
        <f>"10"</f>
        <v>10</v>
      </c>
      <c r="J3673" t="str">
        <f>"000"</f>
        <v>000</v>
      </c>
      <c r="K3673" t="str">
        <f>"חיוב בגין פיגור אספקה 206000050"</f>
        <v>חיוב בגין פיגור אספקה 206000050</v>
      </c>
      <c r="L3673">
        <v>1</v>
      </c>
      <c r="M3673" t="str">
        <f>"יח"</f>
        <v>יח</v>
      </c>
      <c r="N3673">
        <v>1</v>
      </c>
      <c r="O3673" t="str">
        <f>"יח"</f>
        <v>יח</v>
      </c>
      <c r="P3673">
        <v>900.19</v>
      </c>
      <c r="Q3673" t="str">
        <f>"$"</f>
        <v>$</v>
      </c>
      <c r="R3673" t="str">
        <f>"הזמנה"</f>
        <v>הזמנה</v>
      </c>
      <c r="S3673">
        <v>0</v>
      </c>
      <c r="T3673">
        <v>900.19</v>
      </c>
      <c r="U3673">
        <v>0</v>
      </c>
      <c r="V3673">
        <v>900.19</v>
      </c>
      <c r="W3673" t="str">
        <f>"$"</f>
        <v>$</v>
      </c>
      <c r="X3673">
        <v>0</v>
      </c>
      <c r="Y3673">
        <v>0</v>
      </c>
      <c r="Z3673">
        <v>0</v>
      </c>
      <c r="AA3673" t="str">
        <f>"Y"</f>
        <v>Y</v>
      </c>
      <c r="AC3673">
        <v>0</v>
      </c>
      <c r="AM3673" t="str">
        <f>"10"</f>
        <v>10</v>
      </c>
      <c r="AN3673" t="str">
        <f>"500000"</f>
        <v>500000</v>
      </c>
      <c r="AO3673" t="str">
        <f>"הכנסות  מלקוחות"</f>
        <v>הכנסות  מלקוחות</v>
      </c>
      <c r="AQ3673" t="str">
        <f>"034"</f>
        <v>034</v>
      </c>
      <c r="AR3673">
        <v>0</v>
      </c>
      <c r="AS3673">
        <v>0</v>
      </c>
      <c r="AT3673">
        <v>3.4519899999999999</v>
      </c>
      <c r="BB3673" t="str">
        <f>"Y"</f>
        <v>Y</v>
      </c>
      <c r="BD3673" t="str">
        <f>"ערן שלו"</f>
        <v>ערן שלו</v>
      </c>
    </row>
    <row r="3674" spans="1:56" x14ac:dyDescent="0.3">
      <c r="A3674" s="1">
        <v>44017</v>
      </c>
      <c r="B3674" t="str">
        <f>"CR207000015"</f>
        <v>CR207000015</v>
      </c>
      <c r="E3674" t="str">
        <f>"Y"</f>
        <v>Y</v>
      </c>
      <c r="F3674" t="str">
        <f>"חשבוניות זיכוי"</f>
        <v>חשבוניות זיכוי</v>
      </c>
      <c r="G3674" t="str">
        <f>"700065"</f>
        <v>700065</v>
      </c>
      <c r="H3674" t="str">
        <f>"אלתא מערכות בע""מ"</f>
        <v>אלתא מערכות בע"מ</v>
      </c>
      <c r="I3674" t="str">
        <f>"10"</f>
        <v>10</v>
      </c>
      <c r="J3674" t="str">
        <f>"000"</f>
        <v>000</v>
      </c>
      <c r="K3674" t="str">
        <f>"חיוב בגין פיגור באספקה 206000049"</f>
        <v>חיוב בגין פיגור באספקה 206000049</v>
      </c>
      <c r="L3674">
        <v>1</v>
      </c>
      <c r="M3674" t="str">
        <f>"יח"</f>
        <v>יח</v>
      </c>
      <c r="N3674">
        <v>1</v>
      </c>
      <c r="O3674" t="str">
        <f>"יח"</f>
        <v>יח</v>
      </c>
      <c r="P3674">
        <v>642.16</v>
      </c>
      <c r="Q3674" t="str">
        <f>"$"</f>
        <v>$</v>
      </c>
      <c r="R3674" t="str">
        <f>"הזמנה"</f>
        <v>הזמנה</v>
      </c>
      <c r="S3674">
        <v>0</v>
      </c>
      <c r="T3674">
        <v>642.16</v>
      </c>
      <c r="U3674">
        <v>0</v>
      </c>
      <c r="V3674">
        <v>642.16</v>
      </c>
      <c r="W3674" t="str">
        <f>"$"</f>
        <v>$</v>
      </c>
      <c r="X3674">
        <v>0</v>
      </c>
      <c r="Y3674">
        <v>0</v>
      </c>
      <c r="Z3674">
        <v>0</v>
      </c>
      <c r="AA3674" t="str">
        <f>"Y"</f>
        <v>Y</v>
      </c>
      <c r="AC3674">
        <v>0</v>
      </c>
      <c r="AM3674" t="str">
        <f>"10"</f>
        <v>10</v>
      </c>
      <c r="AN3674" t="str">
        <f>"500000"</f>
        <v>500000</v>
      </c>
      <c r="AO3674" t="str">
        <f>"הכנסות  מלקוחות"</f>
        <v>הכנסות  מלקוחות</v>
      </c>
      <c r="AQ3674" t="str">
        <f>"034"</f>
        <v>034</v>
      </c>
      <c r="AR3674">
        <v>0</v>
      </c>
      <c r="AS3674">
        <v>0</v>
      </c>
      <c r="AT3674">
        <v>3.452</v>
      </c>
      <c r="BB3674" t="str">
        <f>"Y"</f>
        <v>Y</v>
      </c>
      <c r="BD3674" t="str">
        <f>"ערן שלו"</f>
        <v>ערן שלו</v>
      </c>
    </row>
    <row r="3675" spans="1:56" x14ac:dyDescent="0.3">
      <c r="A3675" s="1">
        <v>44017</v>
      </c>
      <c r="B3675" t="str">
        <f>"CR207000014"</f>
        <v>CR207000014</v>
      </c>
      <c r="C3675" t="str">
        <f>"PR18000453"</f>
        <v>PR18000453</v>
      </c>
      <c r="D3675" t="str">
        <f>"PR18000453"</f>
        <v>PR18000453</v>
      </c>
      <c r="E3675" t="str">
        <f>"Y"</f>
        <v>Y</v>
      </c>
      <c r="F3675" t="str">
        <f>"חשבוניות זיכוי"</f>
        <v>חשבוניות זיכוי</v>
      </c>
      <c r="G3675" t="str">
        <f>"700065"</f>
        <v>700065</v>
      </c>
      <c r="H3675" t="str">
        <f>"אלתא מערכות בע""מ"</f>
        <v>אלתא מערכות בע"מ</v>
      </c>
      <c r="I3675" t="str">
        <f>"10"</f>
        <v>10</v>
      </c>
      <c r="J3675" t="str">
        <f>"999"</f>
        <v>999</v>
      </c>
      <c r="K3675" t="str">
        <f>"קנס בגין פיגור באספקה שורה 8 הזמנה 262645"</f>
        <v>קנס בגין פיגור באספקה שורה 8 הזמנה 262645</v>
      </c>
      <c r="L3675">
        <v>1</v>
      </c>
      <c r="M3675" t="str">
        <f>"חל"</f>
        <v>חל</v>
      </c>
      <c r="N3675">
        <v>1</v>
      </c>
      <c r="O3675" t="str">
        <f>"חל"</f>
        <v>חל</v>
      </c>
      <c r="P3675">
        <v>73.11</v>
      </c>
      <c r="Q3675" t="str">
        <f>"$"</f>
        <v>$</v>
      </c>
      <c r="R3675" t="str">
        <f>"ידני"</f>
        <v>ידני</v>
      </c>
      <c r="S3675">
        <v>0</v>
      </c>
      <c r="T3675">
        <v>73.11</v>
      </c>
      <c r="U3675">
        <v>0</v>
      </c>
      <c r="V3675">
        <v>73.11</v>
      </c>
      <c r="W3675" t="str">
        <f>"$"</f>
        <v>$</v>
      </c>
      <c r="X3675">
        <v>0</v>
      </c>
      <c r="Y3675">
        <v>0</v>
      </c>
      <c r="Z3675">
        <v>0</v>
      </c>
      <c r="AA3675" t="str">
        <f>"Y"</f>
        <v>Y</v>
      </c>
      <c r="AB3675" t="str">
        <f>"SO18000351"</f>
        <v>SO18000351</v>
      </c>
      <c r="AC3675">
        <v>5</v>
      </c>
      <c r="AD3675" s="1">
        <v>43264</v>
      </c>
      <c r="AM3675" t="str">
        <f>"10"</f>
        <v>10</v>
      </c>
      <c r="AN3675" t="str">
        <f>"500000"</f>
        <v>500000</v>
      </c>
      <c r="AO3675" t="str">
        <f>"הכנסות  מלקוחות"</f>
        <v>הכנסות  מלקוחות</v>
      </c>
      <c r="AQ3675" t="str">
        <f>"017"</f>
        <v>017</v>
      </c>
      <c r="AR3675">
        <v>0</v>
      </c>
      <c r="AS3675">
        <v>0</v>
      </c>
      <c r="AT3675">
        <v>3.6209820000000001</v>
      </c>
      <c r="AX3675" t="str">
        <f>"E000262645"</f>
        <v>E000262645</v>
      </c>
      <c r="BD3675" t="str">
        <f>"שחר דאהמן"</f>
        <v>שחר דאהמן</v>
      </c>
    </row>
    <row r="3676" spans="1:56" x14ac:dyDescent="0.3">
      <c r="A3676" s="1">
        <v>44014</v>
      </c>
      <c r="B3676" t="str">
        <f>"SI206000639"</f>
        <v>SI206000639</v>
      </c>
      <c r="C3676" t="str">
        <f>"PR19000109"</f>
        <v>PR19000109</v>
      </c>
      <c r="E3676" t="str">
        <f>"Y"</f>
        <v>Y</v>
      </c>
      <c r="F3676" t="str">
        <f>"חשבוניות מרכזות"</f>
        <v>חשבוניות מרכזות</v>
      </c>
      <c r="G3676" t="str">
        <f>"700065"</f>
        <v>700065</v>
      </c>
      <c r="H3676" t="str">
        <f>"אלתא מערכות בע""מ"</f>
        <v>אלתא מערכות בע"מ</v>
      </c>
      <c r="I3676" t="str">
        <f>"05"</f>
        <v>05</v>
      </c>
      <c r="J3676" t="str">
        <f>"999"</f>
        <v>999</v>
      </c>
      <c r="K3676" t="str">
        <f>"TECHNICAL MANUALS P71A"</f>
        <v>TECHNICAL MANUALS P71A</v>
      </c>
      <c r="L3676">
        <v>1</v>
      </c>
      <c r="M3676" t="str">
        <f>"חל"</f>
        <v>חל</v>
      </c>
      <c r="N3676">
        <v>1</v>
      </c>
      <c r="O3676" t="str">
        <f>"חל"</f>
        <v>חל</v>
      </c>
      <c r="P3676">
        <v>500</v>
      </c>
      <c r="Q3676" t="str">
        <f>"$"</f>
        <v>$</v>
      </c>
      <c r="R3676" t="str">
        <f>"הזמנה"</f>
        <v>הזמנה</v>
      </c>
      <c r="S3676">
        <v>0</v>
      </c>
      <c r="T3676">
        <v>500</v>
      </c>
      <c r="U3676">
        <v>0</v>
      </c>
      <c r="V3676">
        <v>500</v>
      </c>
      <c r="W3676" t="str">
        <f>"$"</f>
        <v>$</v>
      </c>
      <c r="X3676">
        <v>0</v>
      </c>
      <c r="Y3676">
        <v>0</v>
      </c>
      <c r="Z3676">
        <v>0</v>
      </c>
      <c r="AA3676" t="str">
        <f>"Y"</f>
        <v>Y</v>
      </c>
      <c r="AB3676" t="str">
        <f>"SO19000156"</f>
        <v>SO19000156</v>
      </c>
      <c r="AC3676">
        <v>29</v>
      </c>
      <c r="AD3676" s="1">
        <v>43562</v>
      </c>
      <c r="AE3676" t="str">
        <f>"SH20000254"</f>
        <v>SH20000254</v>
      </c>
      <c r="AF3676" t="str">
        <f>"משלוחים ללקוח"</f>
        <v>משלוחים ללקוח</v>
      </c>
      <c r="AG3676" s="1">
        <v>43884</v>
      </c>
      <c r="AM3676" t="str">
        <f>"10"</f>
        <v>10</v>
      </c>
      <c r="AN3676" t="str">
        <f>"500000"</f>
        <v>500000</v>
      </c>
      <c r="AO3676" t="str">
        <f>"הכנסות  מלקוחות"</f>
        <v>הכנסות  מלקוחות</v>
      </c>
      <c r="AQ3676" t="str">
        <f>"034"</f>
        <v>034</v>
      </c>
      <c r="AR3676">
        <v>0</v>
      </c>
      <c r="AS3676">
        <v>0</v>
      </c>
      <c r="AT3676">
        <v>3.4540000000000002</v>
      </c>
      <c r="AX3676" t="str">
        <f>"E000270896"</f>
        <v>E000270896</v>
      </c>
      <c r="BD3676" t="str">
        <f>"ערן שלו"</f>
        <v>ערן שלו</v>
      </c>
    </row>
    <row r="3677" spans="1:56" x14ac:dyDescent="0.3">
      <c r="A3677" s="1">
        <v>44012</v>
      </c>
      <c r="B3677" t="str">
        <f>"SI206000636"</f>
        <v>SI206000636</v>
      </c>
      <c r="C3677" t="str">
        <f>"PR20000120"</f>
        <v>PR20000120</v>
      </c>
      <c r="D3677" t="str">
        <f>"PR20000120"</f>
        <v>PR20000120</v>
      </c>
      <c r="E3677" t="str">
        <f>"Y"</f>
        <v>Y</v>
      </c>
      <c r="F3677" t="str">
        <f>"חשבוניות מרכזות"</f>
        <v>חשבוניות מרכזות</v>
      </c>
      <c r="G3677" t="str">
        <f>"700065"</f>
        <v>700065</v>
      </c>
      <c r="H3677" t="str">
        <f>"אלתא מערכות בע""מ"</f>
        <v>אלתא מערכות בע"מ</v>
      </c>
      <c r="I3677" t="str">
        <f>"10"</f>
        <v>10</v>
      </c>
      <c r="J3677" t="str">
        <f>"OP-AR01666"</f>
        <v>OP-AR01666</v>
      </c>
      <c r="K3677" t="str">
        <f>"6649E017-001 SYSTEM BUNDLE TO RSU - LLC/CNT"</f>
        <v>6649E017-001 SYSTEM BUNDLE TO RSU - LLC/CNT</v>
      </c>
      <c r="L3677">
        <v>1</v>
      </c>
      <c r="M3677" t="str">
        <f>"יח"</f>
        <v>יח</v>
      </c>
      <c r="N3677">
        <v>1</v>
      </c>
      <c r="O3677" t="str">
        <f>"יח"</f>
        <v>יח</v>
      </c>
      <c r="P3677">
        <v>681.95</v>
      </c>
      <c r="Q3677" t="str">
        <f>"$"</f>
        <v>$</v>
      </c>
      <c r="R3677" t="str">
        <f>"הזמנה"</f>
        <v>הזמנה</v>
      </c>
      <c r="S3677">
        <v>0</v>
      </c>
      <c r="T3677">
        <v>681.95</v>
      </c>
      <c r="U3677">
        <v>0</v>
      </c>
      <c r="V3677">
        <v>681.95</v>
      </c>
      <c r="W3677" t="str">
        <f>"$"</f>
        <v>$</v>
      </c>
      <c r="X3677">
        <v>0</v>
      </c>
      <c r="Y3677">
        <v>0</v>
      </c>
      <c r="Z3677">
        <v>0</v>
      </c>
      <c r="AA3677" t="str">
        <f>"Y"</f>
        <v>Y</v>
      </c>
      <c r="AB3677" t="str">
        <f>"SO20000103"</f>
        <v>SO20000103</v>
      </c>
      <c r="AC3677">
        <v>10</v>
      </c>
      <c r="AD3677" s="1">
        <v>43899</v>
      </c>
      <c r="AE3677" t="str">
        <f>"SH20000851"</f>
        <v>SH20000851</v>
      </c>
      <c r="AF3677" t="str">
        <f>"משלוחים ללקוח"</f>
        <v>משלוחים ללקוח</v>
      </c>
      <c r="AG3677" s="1">
        <v>44011</v>
      </c>
      <c r="AM3677" t="str">
        <f>"10"</f>
        <v>10</v>
      </c>
      <c r="AN3677" t="str">
        <f>"500000"</f>
        <v>500000</v>
      </c>
      <c r="AO3677" t="str">
        <f>"הכנסות  מלקוחות"</f>
        <v>הכנסות  מלקוחות</v>
      </c>
      <c r="AQ3677" t="str">
        <f>"034"</f>
        <v>034</v>
      </c>
      <c r="AR3677">
        <v>0</v>
      </c>
      <c r="AS3677">
        <v>0</v>
      </c>
      <c r="AT3677">
        <v>3.4359999999999999</v>
      </c>
      <c r="AX3677" t="str">
        <f>"E000306153"</f>
        <v>E000306153</v>
      </c>
      <c r="BD3677" t="str">
        <f>"ערן שלו"</f>
        <v>ערן שלו</v>
      </c>
    </row>
    <row r="3678" spans="1:56" x14ac:dyDescent="0.3">
      <c r="A3678" s="1">
        <v>44012</v>
      </c>
      <c r="B3678" t="str">
        <f>"SI206000636"</f>
        <v>SI206000636</v>
      </c>
      <c r="C3678" t="str">
        <f>"PR20000120"</f>
        <v>PR20000120</v>
      </c>
      <c r="D3678" t="str">
        <f>"PR20000120"</f>
        <v>PR20000120</v>
      </c>
      <c r="E3678" t="str">
        <f>"Y"</f>
        <v>Y</v>
      </c>
      <c r="F3678" t="str">
        <f>"חשבוניות מרכזות"</f>
        <v>חשבוניות מרכזות</v>
      </c>
      <c r="G3678" t="str">
        <f>"700065"</f>
        <v>700065</v>
      </c>
      <c r="H3678" t="str">
        <f>"אלתא מערכות בע""מ"</f>
        <v>אלתא מערכות בע"מ</v>
      </c>
      <c r="I3678" t="str">
        <f>"10"</f>
        <v>10</v>
      </c>
      <c r="J3678" t="str">
        <f>"OP-AR01673"</f>
        <v>OP-AR01673</v>
      </c>
      <c r="K3678" t="str">
        <f>"6649E321-001 W1291"</f>
        <v>6649E321-001 W1291</v>
      </c>
      <c r="L3678">
        <v>2</v>
      </c>
      <c r="M3678" t="str">
        <f>"יח"</f>
        <v>יח</v>
      </c>
      <c r="N3678">
        <v>2</v>
      </c>
      <c r="O3678" t="str">
        <f>"יח"</f>
        <v>יח</v>
      </c>
      <c r="P3678">
        <v>392.9</v>
      </c>
      <c r="Q3678" t="str">
        <f>"$"</f>
        <v>$</v>
      </c>
      <c r="R3678" t="str">
        <f>"הזמנה"</f>
        <v>הזמנה</v>
      </c>
      <c r="S3678">
        <v>0</v>
      </c>
      <c r="T3678">
        <v>785.8</v>
      </c>
      <c r="U3678">
        <v>0</v>
      </c>
      <c r="V3678">
        <v>785.8</v>
      </c>
      <c r="W3678" t="str">
        <f>"$"</f>
        <v>$</v>
      </c>
      <c r="X3678">
        <v>0</v>
      </c>
      <c r="Y3678">
        <v>0</v>
      </c>
      <c r="Z3678">
        <v>0</v>
      </c>
      <c r="AA3678" t="str">
        <f>"Y"</f>
        <v>Y</v>
      </c>
      <c r="AB3678" t="str">
        <f>"SO20000103"</f>
        <v>SO20000103</v>
      </c>
      <c r="AC3678">
        <v>14</v>
      </c>
      <c r="AD3678" s="1">
        <v>43899</v>
      </c>
      <c r="AE3678" t="str">
        <f>"SH20000851"</f>
        <v>SH20000851</v>
      </c>
      <c r="AF3678" t="str">
        <f>"משלוחים ללקוח"</f>
        <v>משלוחים ללקוח</v>
      </c>
      <c r="AG3678" s="1">
        <v>44011</v>
      </c>
      <c r="AM3678" t="str">
        <f>"10"</f>
        <v>10</v>
      </c>
      <c r="AN3678" t="str">
        <f>"500000"</f>
        <v>500000</v>
      </c>
      <c r="AO3678" t="str">
        <f>"הכנסות  מלקוחות"</f>
        <v>הכנסות  מלקוחות</v>
      </c>
      <c r="AQ3678" t="str">
        <f>"034"</f>
        <v>034</v>
      </c>
      <c r="AR3678">
        <v>0</v>
      </c>
      <c r="AS3678">
        <v>0</v>
      </c>
      <c r="AT3678">
        <v>3.4359999999999999</v>
      </c>
      <c r="AX3678" t="str">
        <f>"E000306153"</f>
        <v>E000306153</v>
      </c>
      <c r="BD3678" t="str">
        <f>"ערן שלו"</f>
        <v>ערן שלו</v>
      </c>
    </row>
    <row r="3679" spans="1:56" x14ac:dyDescent="0.3">
      <c r="A3679" s="1">
        <v>44012</v>
      </c>
      <c r="B3679" t="str">
        <f>"SI206000636"</f>
        <v>SI206000636</v>
      </c>
      <c r="C3679" t="str">
        <f>"PR20000120"</f>
        <v>PR20000120</v>
      </c>
      <c r="D3679" t="str">
        <f>"PR20000120"</f>
        <v>PR20000120</v>
      </c>
      <c r="E3679" t="str">
        <f>"Y"</f>
        <v>Y</v>
      </c>
      <c r="F3679" t="str">
        <f>"חשבוניות מרכזות"</f>
        <v>חשבוניות מרכזות</v>
      </c>
      <c r="G3679" t="str">
        <f>"700065"</f>
        <v>700065</v>
      </c>
      <c r="H3679" t="str">
        <f>"אלתא מערכות בע""מ"</f>
        <v>אלתא מערכות בע"מ</v>
      </c>
      <c r="I3679" t="str">
        <f>"10"</f>
        <v>10</v>
      </c>
      <c r="J3679" t="str">
        <f>"OP-AR01684"</f>
        <v>OP-AR01684</v>
      </c>
      <c r="K3679" t="str">
        <f>"6660J831-001 W831"</f>
        <v>6660J831-001 W831</v>
      </c>
      <c r="L3679">
        <v>1</v>
      </c>
      <c r="M3679" t="str">
        <f>"יח"</f>
        <v>יח</v>
      </c>
      <c r="N3679">
        <v>1</v>
      </c>
      <c r="O3679" t="str">
        <f>"יח"</f>
        <v>יח</v>
      </c>
      <c r="P3679">
        <v>382.17</v>
      </c>
      <c r="Q3679" t="str">
        <f>"$"</f>
        <v>$</v>
      </c>
      <c r="R3679" t="str">
        <f>"הזמנה"</f>
        <v>הזמנה</v>
      </c>
      <c r="S3679">
        <v>0</v>
      </c>
      <c r="T3679">
        <v>382.17</v>
      </c>
      <c r="U3679">
        <v>0</v>
      </c>
      <c r="V3679">
        <v>382.17</v>
      </c>
      <c r="W3679" t="str">
        <f>"$"</f>
        <v>$</v>
      </c>
      <c r="X3679">
        <v>0</v>
      </c>
      <c r="Y3679">
        <v>0</v>
      </c>
      <c r="Z3679">
        <v>0</v>
      </c>
      <c r="AA3679" t="str">
        <f>"Y"</f>
        <v>Y</v>
      </c>
      <c r="AB3679" t="str">
        <f>"SO20000103"</f>
        <v>SO20000103</v>
      </c>
      <c r="AC3679">
        <v>21</v>
      </c>
      <c r="AD3679" s="1">
        <v>43899</v>
      </c>
      <c r="AE3679" t="str">
        <f>"SH20000851"</f>
        <v>SH20000851</v>
      </c>
      <c r="AF3679" t="str">
        <f>"משלוחים ללקוח"</f>
        <v>משלוחים ללקוח</v>
      </c>
      <c r="AG3679" s="1">
        <v>44011</v>
      </c>
      <c r="AM3679" t="str">
        <f>"10"</f>
        <v>10</v>
      </c>
      <c r="AN3679" t="str">
        <f>"500000"</f>
        <v>500000</v>
      </c>
      <c r="AO3679" t="str">
        <f>"הכנסות  מלקוחות"</f>
        <v>הכנסות  מלקוחות</v>
      </c>
      <c r="AQ3679" t="str">
        <f>"034"</f>
        <v>034</v>
      </c>
      <c r="AR3679">
        <v>0</v>
      </c>
      <c r="AS3679">
        <v>0</v>
      </c>
      <c r="AT3679">
        <v>3.4359999999999999</v>
      </c>
      <c r="AX3679" t="str">
        <f>"E000306153"</f>
        <v>E000306153</v>
      </c>
      <c r="BD3679" t="str">
        <f>"ערן שלו"</f>
        <v>ערן שלו</v>
      </c>
    </row>
    <row r="3680" spans="1:56" x14ac:dyDescent="0.3">
      <c r="A3680" s="1">
        <v>44012</v>
      </c>
      <c r="B3680" t="str">
        <f>"SI206000636"</f>
        <v>SI206000636</v>
      </c>
      <c r="C3680" t="str">
        <f>"PR20000120"</f>
        <v>PR20000120</v>
      </c>
      <c r="D3680" t="str">
        <f>"PR20000120"</f>
        <v>PR20000120</v>
      </c>
      <c r="E3680" t="str">
        <f>"Y"</f>
        <v>Y</v>
      </c>
      <c r="F3680" t="str">
        <f>"חשבוניות מרכזות"</f>
        <v>חשבוניות מרכזות</v>
      </c>
      <c r="G3680" t="str">
        <f>"700065"</f>
        <v>700065</v>
      </c>
      <c r="H3680" t="str">
        <f>"אלתא מערכות בע""מ"</f>
        <v>אלתא מערכות בע"מ</v>
      </c>
      <c r="I3680" t="str">
        <f>"10"</f>
        <v>10</v>
      </c>
      <c r="J3680" t="str">
        <f>"OP-AR01686"</f>
        <v>OP-AR01686</v>
      </c>
      <c r="K3680" t="str">
        <f>"6649J331-001 W7002"</f>
        <v>6649J331-001 W7002</v>
      </c>
      <c r="L3680">
        <v>1</v>
      </c>
      <c r="M3680" t="str">
        <f>"יח"</f>
        <v>יח</v>
      </c>
      <c r="N3680">
        <v>1</v>
      </c>
      <c r="O3680" t="str">
        <f>"יח"</f>
        <v>יח</v>
      </c>
      <c r="P3680">
        <v>783.11</v>
      </c>
      <c r="Q3680" t="str">
        <f>"$"</f>
        <v>$</v>
      </c>
      <c r="R3680" t="str">
        <f>"הזמנה"</f>
        <v>הזמנה</v>
      </c>
      <c r="S3680">
        <v>0</v>
      </c>
      <c r="T3680">
        <v>783.11</v>
      </c>
      <c r="U3680">
        <v>0</v>
      </c>
      <c r="V3680">
        <v>783.11</v>
      </c>
      <c r="W3680" t="str">
        <f>"$"</f>
        <v>$</v>
      </c>
      <c r="X3680">
        <v>0</v>
      </c>
      <c r="Y3680">
        <v>0</v>
      </c>
      <c r="Z3680">
        <v>0</v>
      </c>
      <c r="AA3680" t="str">
        <f>"Y"</f>
        <v>Y</v>
      </c>
      <c r="AB3680" t="str">
        <f>"SO20000103"</f>
        <v>SO20000103</v>
      </c>
      <c r="AC3680">
        <v>23</v>
      </c>
      <c r="AD3680" s="1">
        <v>43899</v>
      </c>
      <c r="AE3680" t="str">
        <f>"SH20000851"</f>
        <v>SH20000851</v>
      </c>
      <c r="AF3680" t="str">
        <f>"משלוחים ללקוח"</f>
        <v>משלוחים ללקוח</v>
      </c>
      <c r="AG3680" s="1">
        <v>44011</v>
      </c>
      <c r="AM3680" t="str">
        <f>"10"</f>
        <v>10</v>
      </c>
      <c r="AN3680" t="str">
        <f>"500000"</f>
        <v>500000</v>
      </c>
      <c r="AO3680" t="str">
        <f>"הכנסות  מלקוחות"</f>
        <v>הכנסות  מלקוחות</v>
      </c>
      <c r="AQ3680" t="str">
        <f>"034"</f>
        <v>034</v>
      </c>
      <c r="AR3680">
        <v>0</v>
      </c>
      <c r="AS3680">
        <v>0</v>
      </c>
      <c r="AT3680">
        <v>3.4359999999999999</v>
      </c>
      <c r="AX3680" t="str">
        <f>"E000306153"</f>
        <v>E000306153</v>
      </c>
      <c r="BD3680" t="str">
        <f>"ערן שלו"</f>
        <v>ערן שלו</v>
      </c>
    </row>
    <row r="3681" spans="1:56" x14ac:dyDescent="0.3">
      <c r="A3681" s="1">
        <v>44012</v>
      </c>
      <c r="B3681" t="str">
        <f>"SI206000634"</f>
        <v>SI206000634</v>
      </c>
      <c r="C3681" t="str">
        <f>"PR20000120"</f>
        <v>PR20000120</v>
      </c>
      <c r="E3681" t="str">
        <f>"Y"</f>
        <v>Y</v>
      </c>
      <c r="F3681" t="str">
        <f>"חשבוניות מרכזות"</f>
        <v>חשבוניות מרכזות</v>
      </c>
      <c r="G3681" t="str">
        <f>"700065"</f>
        <v>700065</v>
      </c>
      <c r="H3681" t="str">
        <f>"אלתא מערכות בע""מ"</f>
        <v>אלתא מערכות בע"מ</v>
      </c>
      <c r="I3681" t="str">
        <f>"10"</f>
        <v>10</v>
      </c>
      <c r="J3681" t="str">
        <f>"OP-AR01666"</f>
        <v>OP-AR01666</v>
      </c>
      <c r="K3681" t="str">
        <f>"6649E017-001 SYSTEM BUNDLE TO RSU - LLC/CNT"</f>
        <v>6649E017-001 SYSTEM BUNDLE TO RSU - LLC/CNT</v>
      </c>
      <c r="L3681">
        <v>-1</v>
      </c>
      <c r="M3681" t="str">
        <f>"יח"</f>
        <v>יח</v>
      </c>
      <c r="N3681">
        <v>-1</v>
      </c>
      <c r="O3681" t="str">
        <f>"יח"</f>
        <v>יח</v>
      </c>
      <c r="P3681">
        <v>681.95</v>
      </c>
      <c r="Q3681" t="str">
        <f>"$"</f>
        <v>$</v>
      </c>
      <c r="R3681" t="str">
        <f>"הזמנה"</f>
        <v>הזמנה</v>
      </c>
      <c r="S3681">
        <v>0</v>
      </c>
      <c r="T3681">
        <v>-681.95</v>
      </c>
      <c r="U3681">
        <v>0</v>
      </c>
      <c r="V3681">
        <v>-681.95</v>
      </c>
      <c r="W3681" t="str">
        <f>"$"</f>
        <v>$</v>
      </c>
      <c r="X3681">
        <v>0</v>
      </c>
      <c r="Y3681">
        <v>0</v>
      </c>
      <c r="Z3681">
        <v>0</v>
      </c>
      <c r="AA3681" t="str">
        <f>"Y"</f>
        <v>Y</v>
      </c>
      <c r="AC3681">
        <v>0</v>
      </c>
      <c r="AM3681" t="str">
        <f>"10"</f>
        <v>10</v>
      </c>
      <c r="AN3681" t="str">
        <f>"500000"</f>
        <v>500000</v>
      </c>
      <c r="AO3681" t="str">
        <f>"הכנסות  מלקוחות"</f>
        <v>הכנסות  מלקוחות</v>
      </c>
      <c r="AQ3681" t="str">
        <f>"034"</f>
        <v>034</v>
      </c>
      <c r="AR3681">
        <v>0</v>
      </c>
      <c r="AS3681">
        <v>0</v>
      </c>
      <c r="AT3681">
        <v>3.4359999999999999</v>
      </c>
      <c r="BB3681" t="str">
        <f>"Y"</f>
        <v>Y</v>
      </c>
      <c r="BD3681" t="str">
        <f>"ערן שלו"</f>
        <v>ערן שלו</v>
      </c>
    </row>
    <row r="3682" spans="1:56" x14ac:dyDescent="0.3">
      <c r="A3682" s="1">
        <v>44012</v>
      </c>
      <c r="B3682" t="str">
        <f>"SI206000634"</f>
        <v>SI206000634</v>
      </c>
      <c r="C3682" t="str">
        <f>"PR20000120"</f>
        <v>PR20000120</v>
      </c>
      <c r="E3682" t="str">
        <f>"Y"</f>
        <v>Y</v>
      </c>
      <c r="F3682" t="str">
        <f>"חשבוניות מרכזות"</f>
        <v>חשבוניות מרכזות</v>
      </c>
      <c r="G3682" t="str">
        <f>"700065"</f>
        <v>700065</v>
      </c>
      <c r="H3682" t="str">
        <f>"אלתא מערכות בע""מ"</f>
        <v>אלתא מערכות בע"מ</v>
      </c>
      <c r="I3682" t="str">
        <f>"10"</f>
        <v>10</v>
      </c>
      <c r="J3682" t="str">
        <f>"OP-AR01673"</f>
        <v>OP-AR01673</v>
      </c>
      <c r="K3682" t="str">
        <f>"6649E321-001 W1291"</f>
        <v>6649E321-001 W1291</v>
      </c>
      <c r="L3682">
        <v>-2</v>
      </c>
      <c r="M3682" t="str">
        <f>"יח"</f>
        <v>יח</v>
      </c>
      <c r="N3682">
        <v>-2</v>
      </c>
      <c r="O3682" t="str">
        <f>"יח"</f>
        <v>יח</v>
      </c>
      <c r="P3682">
        <v>392.9</v>
      </c>
      <c r="Q3682" t="str">
        <f>"$"</f>
        <v>$</v>
      </c>
      <c r="R3682" t="str">
        <f>"הזמנה"</f>
        <v>הזמנה</v>
      </c>
      <c r="S3682">
        <v>0</v>
      </c>
      <c r="T3682">
        <v>-785.8</v>
      </c>
      <c r="U3682">
        <v>0</v>
      </c>
      <c r="V3682">
        <v>-785.8</v>
      </c>
      <c r="W3682" t="str">
        <f>"$"</f>
        <v>$</v>
      </c>
      <c r="X3682">
        <v>0</v>
      </c>
      <c r="Y3682">
        <v>0</v>
      </c>
      <c r="Z3682">
        <v>0</v>
      </c>
      <c r="AA3682" t="str">
        <f>"Y"</f>
        <v>Y</v>
      </c>
      <c r="AC3682">
        <v>0</v>
      </c>
      <c r="AM3682" t="str">
        <f>"10"</f>
        <v>10</v>
      </c>
      <c r="AN3682" t="str">
        <f>"500000"</f>
        <v>500000</v>
      </c>
      <c r="AO3682" t="str">
        <f>"הכנסות  מלקוחות"</f>
        <v>הכנסות  מלקוחות</v>
      </c>
      <c r="AQ3682" t="str">
        <f>"034"</f>
        <v>034</v>
      </c>
      <c r="AR3682">
        <v>0</v>
      </c>
      <c r="AS3682">
        <v>0</v>
      </c>
      <c r="AT3682">
        <v>3.4359999999999999</v>
      </c>
      <c r="BB3682" t="str">
        <f>"Y"</f>
        <v>Y</v>
      </c>
      <c r="BD3682" t="str">
        <f>"ערן שלו"</f>
        <v>ערן שלו</v>
      </c>
    </row>
    <row r="3683" spans="1:56" x14ac:dyDescent="0.3">
      <c r="A3683" s="1">
        <v>44012</v>
      </c>
      <c r="B3683" t="str">
        <f>"SI206000634"</f>
        <v>SI206000634</v>
      </c>
      <c r="C3683" t="str">
        <f>"PR20000120"</f>
        <v>PR20000120</v>
      </c>
      <c r="E3683" t="str">
        <f>"Y"</f>
        <v>Y</v>
      </c>
      <c r="F3683" t="str">
        <f>"חשבוניות מרכזות"</f>
        <v>חשבוניות מרכזות</v>
      </c>
      <c r="G3683" t="str">
        <f>"700065"</f>
        <v>700065</v>
      </c>
      <c r="H3683" t="str">
        <f>"אלתא מערכות בע""מ"</f>
        <v>אלתא מערכות בע"מ</v>
      </c>
      <c r="I3683" t="str">
        <f>"10"</f>
        <v>10</v>
      </c>
      <c r="J3683" t="str">
        <f>"OP-AR01683"</f>
        <v>OP-AR01683</v>
      </c>
      <c r="K3683" t="str">
        <f>"6660J713-001 W713"</f>
        <v>6660J713-001 W713</v>
      </c>
      <c r="L3683">
        <v>-1</v>
      </c>
      <c r="M3683" t="str">
        <f>"יח"</f>
        <v>יח</v>
      </c>
      <c r="N3683">
        <v>-1</v>
      </c>
      <c r="O3683" t="str">
        <f>"יח"</f>
        <v>יח</v>
      </c>
      <c r="P3683">
        <v>437.12</v>
      </c>
      <c r="Q3683" t="str">
        <f>"$"</f>
        <v>$</v>
      </c>
      <c r="R3683" t="str">
        <f>"הזמנה"</f>
        <v>הזמנה</v>
      </c>
      <c r="S3683">
        <v>0</v>
      </c>
      <c r="T3683">
        <v>-437.12</v>
      </c>
      <c r="U3683">
        <v>0</v>
      </c>
      <c r="V3683">
        <v>-437.12</v>
      </c>
      <c r="W3683" t="str">
        <f>"$"</f>
        <v>$</v>
      </c>
      <c r="X3683">
        <v>0</v>
      </c>
      <c r="Y3683">
        <v>0</v>
      </c>
      <c r="Z3683">
        <v>0</v>
      </c>
      <c r="AA3683" t="str">
        <f>"Y"</f>
        <v>Y</v>
      </c>
      <c r="AC3683">
        <v>0</v>
      </c>
      <c r="AM3683" t="str">
        <f>"10"</f>
        <v>10</v>
      </c>
      <c r="AN3683" t="str">
        <f>"500000"</f>
        <v>500000</v>
      </c>
      <c r="AO3683" t="str">
        <f>"הכנסות  מלקוחות"</f>
        <v>הכנסות  מלקוחות</v>
      </c>
      <c r="AQ3683" t="str">
        <f>"034"</f>
        <v>034</v>
      </c>
      <c r="AR3683">
        <v>0</v>
      </c>
      <c r="AS3683">
        <v>0</v>
      </c>
      <c r="AT3683">
        <v>3.4359999999999999</v>
      </c>
      <c r="BB3683" t="str">
        <f>"Y"</f>
        <v>Y</v>
      </c>
      <c r="BD3683" t="str">
        <f>"ערן שלו"</f>
        <v>ערן שלו</v>
      </c>
    </row>
    <row r="3684" spans="1:56" x14ac:dyDescent="0.3">
      <c r="A3684" s="1">
        <v>44012</v>
      </c>
      <c r="B3684" t="str">
        <f>"SI206000634"</f>
        <v>SI206000634</v>
      </c>
      <c r="C3684" t="str">
        <f>"PR20000120"</f>
        <v>PR20000120</v>
      </c>
      <c r="E3684" t="str">
        <f>"Y"</f>
        <v>Y</v>
      </c>
      <c r="F3684" t="str">
        <f>"חשבוניות מרכזות"</f>
        <v>חשבוניות מרכזות</v>
      </c>
      <c r="G3684" t="str">
        <f>"700065"</f>
        <v>700065</v>
      </c>
      <c r="H3684" t="str">
        <f>"אלתא מערכות בע""מ"</f>
        <v>אלתא מערכות בע"מ</v>
      </c>
      <c r="I3684" t="str">
        <f>"10"</f>
        <v>10</v>
      </c>
      <c r="J3684" t="str">
        <f>"OP-AR01684"</f>
        <v>OP-AR01684</v>
      </c>
      <c r="K3684" t="str">
        <f>"6660J831-001 W831"</f>
        <v>6660J831-001 W831</v>
      </c>
      <c r="L3684">
        <v>-1</v>
      </c>
      <c r="M3684" t="str">
        <f>"יח"</f>
        <v>יח</v>
      </c>
      <c r="N3684">
        <v>-1</v>
      </c>
      <c r="O3684" t="str">
        <f>"יח"</f>
        <v>יח</v>
      </c>
      <c r="P3684">
        <v>382.17</v>
      </c>
      <c r="Q3684" t="str">
        <f>"$"</f>
        <v>$</v>
      </c>
      <c r="R3684" t="str">
        <f>"הזמנה"</f>
        <v>הזמנה</v>
      </c>
      <c r="S3684">
        <v>0</v>
      </c>
      <c r="T3684">
        <v>-382.17</v>
      </c>
      <c r="U3684">
        <v>0</v>
      </c>
      <c r="V3684">
        <v>-382.17</v>
      </c>
      <c r="W3684" t="str">
        <f>"$"</f>
        <v>$</v>
      </c>
      <c r="X3684">
        <v>0</v>
      </c>
      <c r="Y3684">
        <v>0</v>
      </c>
      <c r="Z3684">
        <v>0</v>
      </c>
      <c r="AA3684" t="str">
        <f>"Y"</f>
        <v>Y</v>
      </c>
      <c r="AC3684">
        <v>0</v>
      </c>
      <c r="AM3684" t="str">
        <f>"10"</f>
        <v>10</v>
      </c>
      <c r="AN3684" t="str">
        <f>"500000"</f>
        <v>500000</v>
      </c>
      <c r="AO3684" t="str">
        <f>"הכנסות  מלקוחות"</f>
        <v>הכנסות  מלקוחות</v>
      </c>
      <c r="AQ3684" t="str">
        <f>"034"</f>
        <v>034</v>
      </c>
      <c r="AR3684">
        <v>0</v>
      </c>
      <c r="AS3684">
        <v>0</v>
      </c>
      <c r="AT3684">
        <v>3.4359999999999999</v>
      </c>
      <c r="BB3684" t="str">
        <f>"Y"</f>
        <v>Y</v>
      </c>
      <c r="BD3684" t="str">
        <f>"ערן שלו"</f>
        <v>ערן שלו</v>
      </c>
    </row>
    <row r="3685" spans="1:56" x14ac:dyDescent="0.3">
      <c r="A3685" s="1">
        <v>44012</v>
      </c>
      <c r="B3685" t="str">
        <f>"SI206000634"</f>
        <v>SI206000634</v>
      </c>
      <c r="C3685" t="str">
        <f>"PR20000120"</f>
        <v>PR20000120</v>
      </c>
      <c r="E3685" t="str">
        <f>"Y"</f>
        <v>Y</v>
      </c>
      <c r="F3685" t="str">
        <f>"חשבוניות מרכזות"</f>
        <v>חשבוניות מרכזות</v>
      </c>
      <c r="G3685" t="str">
        <f>"700065"</f>
        <v>700065</v>
      </c>
      <c r="H3685" t="str">
        <f>"אלתא מערכות בע""מ"</f>
        <v>אלתא מערכות בע"מ</v>
      </c>
      <c r="I3685" t="str">
        <f>"10"</f>
        <v>10</v>
      </c>
      <c r="J3685" t="str">
        <f>"OP-AR01686"</f>
        <v>OP-AR01686</v>
      </c>
      <c r="K3685" t="str">
        <f>"6649J331-001 W7002"</f>
        <v>6649J331-001 W7002</v>
      </c>
      <c r="L3685">
        <v>-1</v>
      </c>
      <c r="M3685" t="str">
        <f>"יח"</f>
        <v>יח</v>
      </c>
      <c r="N3685">
        <v>-1</v>
      </c>
      <c r="O3685" t="str">
        <f>"יח"</f>
        <v>יח</v>
      </c>
      <c r="P3685">
        <v>783.11</v>
      </c>
      <c r="Q3685" t="str">
        <f>"$"</f>
        <v>$</v>
      </c>
      <c r="R3685" t="str">
        <f>"הזמנה"</f>
        <v>הזמנה</v>
      </c>
      <c r="S3685">
        <v>0</v>
      </c>
      <c r="T3685">
        <v>-783.11</v>
      </c>
      <c r="U3685">
        <v>0</v>
      </c>
      <c r="V3685">
        <v>-783.11</v>
      </c>
      <c r="W3685" t="str">
        <f>"$"</f>
        <v>$</v>
      </c>
      <c r="X3685">
        <v>0</v>
      </c>
      <c r="Y3685">
        <v>0</v>
      </c>
      <c r="Z3685">
        <v>0</v>
      </c>
      <c r="AA3685" t="str">
        <f>"Y"</f>
        <v>Y</v>
      </c>
      <c r="AC3685">
        <v>0</v>
      </c>
      <c r="AM3685" t="str">
        <f>"10"</f>
        <v>10</v>
      </c>
      <c r="AN3685" t="str">
        <f>"500000"</f>
        <v>500000</v>
      </c>
      <c r="AO3685" t="str">
        <f>"הכנסות  מלקוחות"</f>
        <v>הכנסות  מלקוחות</v>
      </c>
      <c r="AQ3685" t="str">
        <f>"034"</f>
        <v>034</v>
      </c>
      <c r="AR3685">
        <v>0</v>
      </c>
      <c r="AS3685">
        <v>0</v>
      </c>
      <c r="AT3685">
        <v>3.4359999999999999</v>
      </c>
      <c r="BB3685" t="str">
        <f>"Y"</f>
        <v>Y</v>
      </c>
      <c r="BD3685" t="str">
        <f>"ערן שלו"</f>
        <v>ערן שלו</v>
      </c>
    </row>
    <row r="3686" spans="1:56" x14ac:dyDescent="0.3">
      <c r="A3686" s="1">
        <v>44012</v>
      </c>
      <c r="B3686" t="str">
        <f>"SI206000633"</f>
        <v>SI206000633</v>
      </c>
      <c r="C3686" t="str">
        <f>"PR20000120"</f>
        <v>PR20000120</v>
      </c>
      <c r="E3686" t="str">
        <f>"Y"</f>
        <v>Y</v>
      </c>
      <c r="F3686" t="str">
        <f>"חשבוניות מרכזות"</f>
        <v>חשבוניות מרכזות</v>
      </c>
      <c r="G3686" t="str">
        <f>"700065"</f>
        <v>700065</v>
      </c>
      <c r="H3686" t="str">
        <f>"אלתא מערכות בע""מ"</f>
        <v>אלתא מערכות בע"מ</v>
      </c>
      <c r="I3686" t="str">
        <f>"10"</f>
        <v>10</v>
      </c>
      <c r="J3686" t="str">
        <f>"OP-AR01666"</f>
        <v>OP-AR01666</v>
      </c>
      <c r="K3686" t="str">
        <f>"6649E017-001 SYSTEM BUNDLE TO RSU - LLC/CNT"</f>
        <v>6649E017-001 SYSTEM BUNDLE TO RSU - LLC/CNT</v>
      </c>
      <c r="L3686">
        <v>1</v>
      </c>
      <c r="M3686" t="str">
        <f>"יח"</f>
        <v>יח</v>
      </c>
      <c r="N3686">
        <v>1</v>
      </c>
      <c r="O3686" t="str">
        <f>"יח"</f>
        <v>יח</v>
      </c>
      <c r="P3686">
        <v>681.95</v>
      </c>
      <c r="Q3686" t="str">
        <f>"$"</f>
        <v>$</v>
      </c>
      <c r="R3686" t="str">
        <f>"הזמנה"</f>
        <v>הזמנה</v>
      </c>
      <c r="S3686">
        <v>0</v>
      </c>
      <c r="T3686">
        <v>681.95</v>
      </c>
      <c r="U3686">
        <v>0</v>
      </c>
      <c r="V3686">
        <v>681.95</v>
      </c>
      <c r="W3686" t="str">
        <f>"$"</f>
        <v>$</v>
      </c>
      <c r="X3686">
        <v>0</v>
      </c>
      <c r="Y3686">
        <v>0</v>
      </c>
      <c r="Z3686">
        <v>0</v>
      </c>
      <c r="AA3686" t="str">
        <f>"Y"</f>
        <v>Y</v>
      </c>
      <c r="AC3686">
        <v>0</v>
      </c>
      <c r="AM3686" t="str">
        <f>"10"</f>
        <v>10</v>
      </c>
      <c r="AN3686" t="str">
        <f>"500000"</f>
        <v>500000</v>
      </c>
      <c r="AO3686" t="str">
        <f>"הכנסות  מלקוחות"</f>
        <v>הכנסות  מלקוחות</v>
      </c>
      <c r="AQ3686" t="str">
        <f>"034"</f>
        <v>034</v>
      </c>
      <c r="AR3686">
        <v>0</v>
      </c>
      <c r="AS3686">
        <v>0</v>
      </c>
      <c r="AT3686">
        <v>3.4359999999999999</v>
      </c>
      <c r="BB3686" t="str">
        <f>"Y"</f>
        <v>Y</v>
      </c>
      <c r="BD3686" t="str">
        <f>"ערן שלו"</f>
        <v>ערן שלו</v>
      </c>
    </row>
    <row r="3687" spans="1:56" x14ac:dyDescent="0.3">
      <c r="A3687" s="1">
        <v>44012</v>
      </c>
      <c r="B3687" t="str">
        <f>"SI206000633"</f>
        <v>SI206000633</v>
      </c>
      <c r="C3687" t="str">
        <f>"PR20000120"</f>
        <v>PR20000120</v>
      </c>
      <c r="E3687" t="str">
        <f>"Y"</f>
        <v>Y</v>
      </c>
      <c r="F3687" t="str">
        <f>"חשבוניות מרכזות"</f>
        <v>חשבוניות מרכזות</v>
      </c>
      <c r="G3687" t="str">
        <f>"700065"</f>
        <v>700065</v>
      </c>
      <c r="H3687" t="str">
        <f>"אלתא מערכות בע""מ"</f>
        <v>אלתא מערכות בע"מ</v>
      </c>
      <c r="I3687" t="str">
        <f>"10"</f>
        <v>10</v>
      </c>
      <c r="J3687" t="str">
        <f>"OP-AR01673"</f>
        <v>OP-AR01673</v>
      </c>
      <c r="K3687" t="str">
        <f>"6649E321-001 W1291"</f>
        <v>6649E321-001 W1291</v>
      </c>
      <c r="L3687">
        <v>2</v>
      </c>
      <c r="M3687" t="str">
        <f>"יח"</f>
        <v>יח</v>
      </c>
      <c r="N3687">
        <v>2</v>
      </c>
      <c r="O3687" t="str">
        <f>"יח"</f>
        <v>יח</v>
      </c>
      <c r="P3687">
        <v>392.9</v>
      </c>
      <c r="Q3687" t="str">
        <f>"$"</f>
        <v>$</v>
      </c>
      <c r="R3687" t="str">
        <f>"הזמנה"</f>
        <v>הזמנה</v>
      </c>
      <c r="S3687">
        <v>0</v>
      </c>
      <c r="T3687">
        <v>785.8</v>
      </c>
      <c r="U3687">
        <v>0</v>
      </c>
      <c r="V3687">
        <v>785.8</v>
      </c>
      <c r="W3687" t="str">
        <f>"$"</f>
        <v>$</v>
      </c>
      <c r="X3687">
        <v>0</v>
      </c>
      <c r="Y3687">
        <v>0</v>
      </c>
      <c r="Z3687">
        <v>0</v>
      </c>
      <c r="AA3687" t="str">
        <f>"Y"</f>
        <v>Y</v>
      </c>
      <c r="AC3687">
        <v>0</v>
      </c>
      <c r="AM3687" t="str">
        <f>"10"</f>
        <v>10</v>
      </c>
      <c r="AN3687" t="str">
        <f>"500000"</f>
        <v>500000</v>
      </c>
      <c r="AO3687" t="str">
        <f>"הכנסות  מלקוחות"</f>
        <v>הכנסות  מלקוחות</v>
      </c>
      <c r="AQ3687" t="str">
        <f>"034"</f>
        <v>034</v>
      </c>
      <c r="AR3687">
        <v>0</v>
      </c>
      <c r="AS3687">
        <v>0</v>
      </c>
      <c r="AT3687">
        <v>3.4359999999999999</v>
      </c>
      <c r="BB3687" t="str">
        <f>"Y"</f>
        <v>Y</v>
      </c>
      <c r="BD3687" t="str">
        <f>"ערן שלו"</f>
        <v>ערן שלו</v>
      </c>
    </row>
    <row r="3688" spans="1:56" x14ac:dyDescent="0.3">
      <c r="A3688" s="1">
        <v>44012</v>
      </c>
      <c r="B3688" t="str">
        <f>"SI206000633"</f>
        <v>SI206000633</v>
      </c>
      <c r="C3688" t="str">
        <f>"PR20000120"</f>
        <v>PR20000120</v>
      </c>
      <c r="E3688" t="str">
        <f>"Y"</f>
        <v>Y</v>
      </c>
      <c r="F3688" t="str">
        <f>"חשבוניות מרכזות"</f>
        <v>חשבוניות מרכזות</v>
      </c>
      <c r="G3688" t="str">
        <f>"700065"</f>
        <v>700065</v>
      </c>
      <c r="H3688" t="str">
        <f>"אלתא מערכות בע""מ"</f>
        <v>אלתא מערכות בע"מ</v>
      </c>
      <c r="I3688" t="str">
        <f>"10"</f>
        <v>10</v>
      </c>
      <c r="J3688" t="str">
        <f>"OP-AR01683"</f>
        <v>OP-AR01683</v>
      </c>
      <c r="K3688" t="str">
        <f>"6660J713-001 W713"</f>
        <v>6660J713-001 W713</v>
      </c>
      <c r="L3688">
        <v>1</v>
      </c>
      <c r="M3688" t="str">
        <f>"יח"</f>
        <v>יח</v>
      </c>
      <c r="N3688">
        <v>1</v>
      </c>
      <c r="O3688" t="str">
        <f>"יח"</f>
        <v>יח</v>
      </c>
      <c r="P3688">
        <v>437.12</v>
      </c>
      <c r="Q3688" t="str">
        <f>"$"</f>
        <v>$</v>
      </c>
      <c r="R3688" t="str">
        <f>"הזמנה"</f>
        <v>הזמנה</v>
      </c>
      <c r="S3688">
        <v>0</v>
      </c>
      <c r="T3688">
        <v>437.12</v>
      </c>
      <c r="U3688">
        <v>0</v>
      </c>
      <c r="V3688">
        <v>437.12</v>
      </c>
      <c r="W3688" t="str">
        <f>"$"</f>
        <v>$</v>
      </c>
      <c r="X3688">
        <v>0</v>
      </c>
      <c r="Y3688">
        <v>0</v>
      </c>
      <c r="Z3688">
        <v>0</v>
      </c>
      <c r="AA3688" t="str">
        <f>"Y"</f>
        <v>Y</v>
      </c>
      <c r="AC3688">
        <v>0</v>
      </c>
      <c r="AM3688" t="str">
        <f>"10"</f>
        <v>10</v>
      </c>
      <c r="AN3688" t="str">
        <f>"500000"</f>
        <v>500000</v>
      </c>
      <c r="AO3688" t="str">
        <f>"הכנסות  מלקוחות"</f>
        <v>הכנסות  מלקוחות</v>
      </c>
      <c r="AQ3688" t="str">
        <f>"034"</f>
        <v>034</v>
      </c>
      <c r="AR3688">
        <v>0</v>
      </c>
      <c r="AS3688">
        <v>0</v>
      </c>
      <c r="AT3688">
        <v>3.4359999999999999</v>
      </c>
      <c r="BB3688" t="str">
        <f>"Y"</f>
        <v>Y</v>
      </c>
      <c r="BD3688" t="str">
        <f>"ערן שלו"</f>
        <v>ערן שלו</v>
      </c>
    </row>
    <row r="3689" spans="1:56" x14ac:dyDescent="0.3">
      <c r="A3689" s="1">
        <v>44012</v>
      </c>
      <c r="B3689" t="str">
        <f>"SI206000633"</f>
        <v>SI206000633</v>
      </c>
      <c r="C3689" t="str">
        <f>"PR20000120"</f>
        <v>PR20000120</v>
      </c>
      <c r="E3689" t="str">
        <f>"Y"</f>
        <v>Y</v>
      </c>
      <c r="F3689" t="str">
        <f>"חשבוניות מרכזות"</f>
        <v>חשבוניות מרכזות</v>
      </c>
      <c r="G3689" t="str">
        <f>"700065"</f>
        <v>700065</v>
      </c>
      <c r="H3689" t="str">
        <f>"אלתא מערכות בע""מ"</f>
        <v>אלתא מערכות בע"מ</v>
      </c>
      <c r="I3689" t="str">
        <f>"10"</f>
        <v>10</v>
      </c>
      <c r="J3689" t="str">
        <f>"OP-AR01684"</f>
        <v>OP-AR01684</v>
      </c>
      <c r="K3689" t="str">
        <f>"6660J831-001 W831"</f>
        <v>6660J831-001 W831</v>
      </c>
      <c r="L3689">
        <v>1</v>
      </c>
      <c r="M3689" t="str">
        <f>"יח"</f>
        <v>יח</v>
      </c>
      <c r="N3689">
        <v>1</v>
      </c>
      <c r="O3689" t="str">
        <f>"יח"</f>
        <v>יח</v>
      </c>
      <c r="P3689">
        <v>382.17</v>
      </c>
      <c r="Q3689" t="str">
        <f>"$"</f>
        <v>$</v>
      </c>
      <c r="R3689" t="str">
        <f>"הזמנה"</f>
        <v>הזמנה</v>
      </c>
      <c r="S3689">
        <v>0</v>
      </c>
      <c r="T3689">
        <v>382.17</v>
      </c>
      <c r="U3689">
        <v>0</v>
      </c>
      <c r="V3689">
        <v>382.17</v>
      </c>
      <c r="W3689" t="str">
        <f>"$"</f>
        <v>$</v>
      </c>
      <c r="X3689">
        <v>0</v>
      </c>
      <c r="Y3689">
        <v>0</v>
      </c>
      <c r="Z3689">
        <v>0</v>
      </c>
      <c r="AA3689" t="str">
        <f>"Y"</f>
        <v>Y</v>
      </c>
      <c r="AC3689">
        <v>0</v>
      </c>
      <c r="AM3689" t="str">
        <f>"10"</f>
        <v>10</v>
      </c>
      <c r="AN3689" t="str">
        <f>"500000"</f>
        <v>500000</v>
      </c>
      <c r="AO3689" t="str">
        <f>"הכנסות  מלקוחות"</f>
        <v>הכנסות  מלקוחות</v>
      </c>
      <c r="AQ3689" t="str">
        <f>"034"</f>
        <v>034</v>
      </c>
      <c r="AR3689">
        <v>0</v>
      </c>
      <c r="AS3689">
        <v>0</v>
      </c>
      <c r="AT3689">
        <v>3.4359999999999999</v>
      </c>
      <c r="BB3689" t="str">
        <f>"Y"</f>
        <v>Y</v>
      </c>
      <c r="BD3689" t="str">
        <f>"ערן שלו"</f>
        <v>ערן שלו</v>
      </c>
    </row>
    <row r="3690" spans="1:56" x14ac:dyDescent="0.3">
      <c r="A3690" s="1">
        <v>44012</v>
      </c>
      <c r="B3690" t="str">
        <f>"SI206000633"</f>
        <v>SI206000633</v>
      </c>
      <c r="C3690" t="str">
        <f>"PR20000120"</f>
        <v>PR20000120</v>
      </c>
      <c r="E3690" t="str">
        <f>"Y"</f>
        <v>Y</v>
      </c>
      <c r="F3690" t="str">
        <f>"חשבוניות מרכזות"</f>
        <v>חשבוניות מרכזות</v>
      </c>
      <c r="G3690" t="str">
        <f>"700065"</f>
        <v>700065</v>
      </c>
      <c r="H3690" t="str">
        <f>"אלתא מערכות בע""מ"</f>
        <v>אלתא מערכות בע"מ</v>
      </c>
      <c r="I3690" t="str">
        <f>"10"</f>
        <v>10</v>
      </c>
      <c r="J3690" t="str">
        <f>"OP-AR01686"</f>
        <v>OP-AR01686</v>
      </c>
      <c r="K3690" t="str">
        <f>"6649J331-001 W7002"</f>
        <v>6649J331-001 W7002</v>
      </c>
      <c r="L3690">
        <v>1</v>
      </c>
      <c r="M3690" t="str">
        <f>"יח"</f>
        <v>יח</v>
      </c>
      <c r="N3690">
        <v>1</v>
      </c>
      <c r="O3690" t="str">
        <f>"יח"</f>
        <v>יח</v>
      </c>
      <c r="P3690">
        <v>783.11</v>
      </c>
      <c r="Q3690" t="str">
        <f>"$"</f>
        <v>$</v>
      </c>
      <c r="R3690" t="str">
        <f>"הזמנה"</f>
        <v>הזמנה</v>
      </c>
      <c r="S3690">
        <v>0</v>
      </c>
      <c r="T3690">
        <v>783.11</v>
      </c>
      <c r="U3690">
        <v>0</v>
      </c>
      <c r="V3690">
        <v>783.11</v>
      </c>
      <c r="W3690" t="str">
        <f>"$"</f>
        <v>$</v>
      </c>
      <c r="X3690">
        <v>0</v>
      </c>
      <c r="Y3690">
        <v>0</v>
      </c>
      <c r="Z3690">
        <v>0</v>
      </c>
      <c r="AA3690" t="str">
        <f>"Y"</f>
        <v>Y</v>
      </c>
      <c r="AC3690">
        <v>0</v>
      </c>
      <c r="AM3690" t="str">
        <f>"10"</f>
        <v>10</v>
      </c>
      <c r="AN3690" t="str">
        <f>"500000"</f>
        <v>500000</v>
      </c>
      <c r="AO3690" t="str">
        <f>"הכנסות  מלקוחות"</f>
        <v>הכנסות  מלקוחות</v>
      </c>
      <c r="AQ3690" t="str">
        <f>"034"</f>
        <v>034</v>
      </c>
      <c r="AR3690">
        <v>0</v>
      </c>
      <c r="AS3690">
        <v>0</v>
      </c>
      <c r="AT3690">
        <v>3.4359999999999999</v>
      </c>
      <c r="BB3690" t="str">
        <f>"Y"</f>
        <v>Y</v>
      </c>
      <c r="BD3690" t="str">
        <f>"ערן שלו"</f>
        <v>ערן שלו</v>
      </c>
    </row>
    <row r="3691" spans="1:56" x14ac:dyDescent="0.3">
      <c r="A3691" s="1">
        <v>44012</v>
      </c>
      <c r="B3691" t="str">
        <f>"SI206000632"</f>
        <v>SI206000632</v>
      </c>
      <c r="C3691" t="str">
        <f>"PR20000120"</f>
        <v>PR20000120</v>
      </c>
      <c r="D3691" t="str">
        <f>"PR20000120"</f>
        <v>PR20000120</v>
      </c>
      <c r="E3691" t="str">
        <f>"Y"</f>
        <v>Y</v>
      </c>
      <c r="F3691" t="str">
        <f>"חשבוניות מרכזות"</f>
        <v>חשבוניות מרכזות</v>
      </c>
      <c r="G3691" t="str">
        <f>"700065"</f>
        <v>700065</v>
      </c>
      <c r="H3691" t="str">
        <f>"אלתא מערכות בע""מ"</f>
        <v>אלתא מערכות בע"מ</v>
      </c>
      <c r="I3691" t="str">
        <f>"10"</f>
        <v>10</v>
      </c>
      <c r="J3691" t="str">
        <f>"OP-AR01675"</f>
        <v>OP-AR01675</v>
      </c>
      <c r="K3691" t="str">
        <f>"6649E301-001 W1091"</f>
        <v>6649E301-001 W1091</v>
      </c>
      <c r="L3691">
        <v>1</v>
      </c>
      <c r="M3691" t="str">
        <f>"יח"</f>
        <v>יח</v>
      </c>
      <c r="N3691">
        <v>1</v>
      </c>
      <c r="O3691" t="str">
        <f>"יח"</f>
        <v>יח</v>
      </c>
      <c r="P3691">
        <v>455.92</v>
      </c>
      <c r="Q3691" t="str">
        <f>"$"</f>
        <v>$</v>
      </c>
      <c r="R3691" t="str">
        <f>"הזמנה"</f>
        <v>הזמנה</v>
      </c>
      <c r="S3691">
        <v>0</v>
      </c>
      <c r="T3691">
        <v>455.92</v>
      </c>
      <c r="U3691">
        <v>0</v>
      </c>
      <c r="V3691">
        <v>455.92</v>
      </c>
      <c r="W3691" t="str">
        <f>"$"</f>
        <v>$</v>
      </c>
      <c r="X3691">
        <v>0</v>
      </c>
      <c r="Y3691">
        <v>0</v>
      </c>
      <c r="Z3691">
        <v>0</v>
      </c>
      <c r="AA3691" t="str">
        <f>"Y"</f>
        <v>Y</v>
      </c>
      <c r="AB3691" t="str">
        <f>"SO20000103"</f>
        <v>SO20000103</v>
      </c>
      <c r="AC3691">
        <v>16</v>
      </c>
      <c r="AD3691" s="1">
        <v>43899</v>
      </c>
      <c r="AE3691" t="str">
        <f>"SH20000853"</f>
        <v>SH20000853</v>
      </c>
      <c r="AF3691" t="str">
        <f>"משלוחים ללקוח"</f>
        <v>משלוחים ללקוח</v>
      </c>
      <c r="AG3691" s="1">
        <v>44011</v>
      </c>
      <c r="AM3691" t="str">
        <f>"10"</f>
        <v>10</v>
      </c>
      <c r="AN3691" t="str">
        <f>"500000"</f>
        <v>500000</v>
      </c>
      <c r="AO3691" t="str">
        <f>"הכנסות  מלקוחות"</f>
        <v>הכנסות  מלקוחות</v>
      </c>
      <c r="AQ3691" t="str">
        <f>"034"</f>
        <v>034</v>
      </c>
      <c r="AR3691">
        <v>0</v>
      </c>
      <c r="AS3691">
        <v>0</v>
      </c>
      <c r="AT3691">
        <v>3.4359999999999999</v>
      </c>
      <c r="AX3691" t="str">
        <f>"E000306153"</f>
        <v>E000306153</v>
      </c>
      <c r="BD3691" t="str">
        <f>"ערן שלו"</f>
        <v>ערן שלו</v>
      </c>
    </row>
    <row r="3692" spans="1:56" x14ac:dyDescent="0.3">
      <c r="A3692" s="1">
        <v>44012</v>
      </c>
      <c r="B3692" t="str">
        <f>"SI206000627"</f>
        <v>SI206000627</v>
      </c>
      <c r="C3692" t="str">
        <f>"PR19000528"</f>
        <v>PR19000528</v>
      </c>
      <c r="E3692" t="str">
        <f>"Y"</f>
        <v>Y</v>
      </c>
      <c r="F3692" t="str">
        <f>"חשבוניות מרכזות"</f>
        <v>חשבוניות מרכזות</v>
      </c>
      <c r="G3692" t="str">
        <f>"700065"</f>
        <v>700065</v>
      </c>
      <c r="H3692" t="str">
        <f>"אלתא מערכות בע""מ"</f>
        <v>אלתא מערכות בע"מ</v>
      </c>
      <c r="I3692" t="str">
        <f>"10"</f>
        <v>10</v>
      </c>
      <c r="J3692" t="str">
        <f>"OP-AR09105-1"</f>
        <v>OP-AR09105-1</v>
      </c>
      <c r="K3692" t="str">
        <f>"לוח ARMY מק""ט לקוח 1036V310-001"</f>
        <v>לוח ARMY מק"ט לקוח 1036V310-001</v>
      </c>
      <c r="L3692">
        <v>1</v>
      </c>
      <c r="M3692" t="str">
        <f>"יח"</f>
        <v>יח</v>
      </c>
      <c r="N3692">
        <v>1</v>
      </c>
      <c r="O3692" t="str">
        <f>"יח"</f>
        <v>יח</v>
      </c>
      <c r="P3692" s="2">
        <v>39948</v>
      </c>
      <c r="Q3692" t="str">
        <f>"$"</f>
        <v>$</v>
      </c>
      <c r="R3692" t="str">
        <f>"הזמנה"</f>
        <v>הזמנה</v>
      </c>
      <c r="S3692">
        <v>0</v>
      </c>
      <c r="T3692" s="2">
        <v>39948</v>
      </c>
      <c r="U3692">
        <v>0</v>
      </c>
      <c r="V3692" s="2">
        <v>39948</v>
      </c>
      <c r="W3692" t="str">
        <f>"$"</f>
        <v>$</v>
      </c>
      <c r="X3692">
        <v>0</v>
      </c>
      <c r="Y3692">
        <v>0</v>
      </c>
      <c r="Z3692">
        <v>0</v>
      </c>
      <c r="AA3692" t="str">
        <f>"Y"</f>
        <v>Y</v>
      </c>
      <c r="AB3692" t="str">
        <f>"SO19000397"</f>
        <v>SO19000397</v>
      </c>
      <c r="AC3692">
        <v>7</v>
      </c>
      <c r="AD3692" s="1">
        <v>43716</v>
      </c>
      <c r="AE3692" t="str">
        <f>"SH20000841"</f>
        <v>SH20000841</v>
      </c>
      <c r="AF3692" t="str">
        <f>"משלוחים ללקוח"</f>
        <v>משלוחים ללקוח</v>
      </c>
      <c r="AG3692" s="1">
        <v>44007</v>
      </c>
      <c r="AM3692" t="str">
        <f>"10"</f>
        <v>10</v>
      </c>
      <c r="AN3692" t="str">
        <f>"500000"</f>
        <v>500000</v>
      </c>
      <c r="AO3692" t="str">
        <f>"הכנסות  מלקוחות"</f>
        <v>הכנסות  מלקוחות</v>
      </c>
      <c r="AQ3692" t="str">
        <f>"034"</f>
        <v>034</v>
      </c>
      <c r="AR3692">
        <v>0</v>
      </c>
      <c r="AS3692">
        <v>0</v>
      </c>
      <c r="AT3692">
        <v>3.4359999999999999</v>
      </c>
      <c r="AX3692" t="str">
        <f>"E000294050"</f>
        <v>E000294050</v>
      </c>
      <c r="BD3692" t="str">
        <f>"ערן שלו"</f>
        <v>ערן שלו</v>
      </c>
    </row>
    <row r="3693" spans="1:56" x14ac:dyDescent="0.3">
      <c r="A3693" s="1">
        <v>44012</v>
      </c>
      <c r="B3693" t="str">
        <f>"SI206000626"</f>
        <v>SI206000626</v>
      </c>
      <c r="C3693" t="str">
        <f>"PR19000750"</f>
        <v>PR19000750</v>
      </c>
      <c r="D3693" t="str">
        <f>"PR19000750"</f>
        <v>PR19000750</v>
      </c>
      <c r="E3693" t="str">
        <f>"Y"</f>
        <v>Y</v>
      </c>
      <c r="F3693" t="str">
        <f>"חשבוניות מרכזות"</f>
        <v>חשבוניות מרכזות</v>
      </c>
      <c r="G3693" t="str">
        <f>"700065"</f>
        <v>700065</v>
      </c>
      <c r="H3693" t="str">
        <f>"אלתא מערכות בע""מ"</f>
        <v>אלתא מערכות בע"מ</v>
      </c>
      <c r="I3693" t="str">
        <f>"10"</f>
        <v>10</v>
      </c>
      <c r="J3693" t="str">
        <f>"OP-KT00098"</f>
        <v>OP-KT00098</v>
      </c>
      <c r="K3693" t="str">
        <f>"1037C839-001 - PDB SPARES I LEVEL (IAC)"</f>
        <v>1037C839-001 - PDB SPARES I LEVEL (IAC)</v>
      </c>
      <c r="L3693">
        <v>1</v>
      </c>
      <c r="M3693" t="str">
        <f>"יח"</f>
        <v>יח</v>
      </c>
      <c r="N3693">
        <v>1</v>
      </c>
      <c r="O3693" t="str">
        <f>"יח"</f>
        <v>יח</v>
      </c>
      <c r="P3693" s="2">
        <v>15344</v>
      </c>
      <c r="Q3693" t="str">
        <f>"$"</f>
        <v>$</v>
      </c>
      <c r="R3693" t="str">
        <f>"הזמנה"</f>
        <v>הזמנה</v>
      </c>
      <c r="S3693">
        <v>0</v>
      </c>
      <c r="T3693" s="2">
        <v>15344</v>
      </c>
      <c r="U3693">
        <v>0</v>
      </c>
      <c r="V3693" s="2">
        <v>15344</v>
      </c>
      <c r="W3693" t="str">
        <f>"$"</f>
        <v>$</v>
      </c>
      <c r="X3693">
        <v>0</v>
      </c>
      <c r="Y3693">
        <v>0</v>
      </c>
      <c r="Z3693">
        <v>0</v>
      </c>
      <c r="AA3693" t="str">
        <f>"Y"</f>
        <v>Y</v>
      </c>
      <c r="AB3693" t="str">
        <f>"SO19000535"</f>
        <v>SO19000535</v>
      </c>
      <c r="AC3693">
        <v>5</v>
      </c>
      <c r="AD3693" s="1">
        <v>43823</v>
      </c>
      <c r="AE3693" t="str">
        <f>"SH20000839"</f>
        <v>SH20000839</v>
      </c>
      <c r="AF3693" t="str">
        <f>"משלוחים ללקוח"</f>
        <v>משלוחים ללקוח</v>
      </c>
      <c r="AG3693" s="1">
        <v>44007</v>
      </c>
      <c r="AM3693" t="str">
        <f>"10"</f>
        <v>10</v>
      </c>
      <c r="AN3693" t="str">
        <f>"500000"</f>
        <v>500000</v>
      </c>
      <c r="AO3693" t="str">
        <f>"הכנסות  מלקוחות"</f>
        <v>הכנסות  מלקוחות</v>
      </c>
      <c r="AQ3693" t="str">
        <f>"034"</f>
        <v>034</v>
      </c>
      <c r="AR3693">
        <v>0</v>
      </c>
      <c r="AS3693">
        <v>0</v>
      </c>
      <c r="AT3693">
        <v>3.4359999999999999</v>
      </c>
      <c r="AX3693" t="str">
        <f>"E000303378"</f>
        <v>E000303378</v>
      </c>
      <c r="BD3693" t="str">
        <f>"ערן שלו"</f>
        <v>ערן שלו</v>
      </c>
    </row>
    <row r="3694" spans="1:56" x14ac:dyDescent="0.3">
      <c r="A3694" s="1">
        <v>44012</v>
      </c>
      <c r="B3694" t="str">
        <f>"SI206000625"</f>
        <v>SI206000625</v>
      </c>
      <c r="C3694" t="str">
        <f>"PR19000731"</f>
        <v>PR19000731</v>
      </c>
      <c r="E3694" t="str">
        <f>"Y"</f>
        <v>Y</v>
      </c>
      <c r="F3694" t="str">
        <f>"חשבוניות מרכזות"</f>
        <v>חשבוניות מרכזות</v>
      </c>
      <c r="G3694" t="str">
        <f>"700065"</f>
        <v>700065</v>
      </c>
      <c r="H3694" t="str">
        <f>"אלתא מערכות בע""מ"</f>
        <v>אלתא מערכות בע"מ</v>
      </c>
      <c r="I3694" t="str">
        <f>"10"</f>
        <v>10</v>
      </c>
      <c r="J3694" t="str">
        <f>"OP-AR01586"</f>
        <v>OP-AR01586</v>
      </c>
      <c r="K3694" t="str">
        <f>"9004W746-001 WS106 SHORT PLUG EMP"</f>
        <v>9004W746-001 WS106 SHORT PLUG EMP</v>
      </c>
      <c r="L3694">
        <v>6</v>
      </c>
      <c r="M3694" t="str">
        <f>"יח"</f>
        <v>יח</v>
      </c>
      <c r="N3694">
        <v>6</v>
      </c>
      <c r="O3694" t="str">
        <f>"יח"</f>
        <v>יח</v>
      </c>
      <c r="P3694">
        <v>98.13</v>
      </c>
      <c r="Q3694" t="str">
        <f>"$"</f>
        <v>$</v>
      </c>
      <c r="R3694" t="str">
        <f>"הזמנה"</f>
        <v>הזמנה</v>
      </c>
      <c r="S3694">
        <v>0</v>
      </c>
      <c r="T3694">
        <v>588.78</v>
      </c>
      <c r="U3694">
        <v>0</v>
      </c>
      <c r="V3694">
        <v>588.78</v>
      </c>
      <c r="W3694" t="str">
        <f>"$"</f>
        <v>$</v>
      </c>
      <c r="X3694">
        <v>0</v>
      </c>
      <c r="Y3694">
        <v>0</v>
      </c>
      <c r="Z3694">
        <v>0</v>
      </c>
      <c r="AA3694" t="str">
        <f>"Y"</f>
        <v>Y</v>
      </c>
      <c r="AB3694" t="str">
        <f>"SO19000524"</f>
        <v>SO19000524</v>
      </c>
      <c r="AC3694">
        <v>38</v>
      </c>
      <c r="AD3694" s="1">
        <v>43809</v>
      </c>
      <c r="AE3694" t="str">
        <f>"SH20000812"</f>
        <v>SH20000812</v>
      </c>
      <c r="AF3694" t="str">
        <f>"משלוחים ללקוח"</f>
        <v>משלוחים ללקוח</v>
      </c>
      <c r="AG3694" s="1">
        <v>44004</v>
      </c>
      <c r="AM3694" t="str">
        <f>"10"</f>
        <v>10</v>
      </c>
      <c r="AN3694" t="str">
        <f>"500000"</f>
        <v>500000</v>
      </c>
      <c r="AO3694" t="str">
        <f>"הכנסות  מלקוחות"</f>
        <v>הכנסות  מלקוחות</v>
      </c>
      <c r="AQ3694" t="str">
        <f>"034"</f>
        <v>034</v>
      </c>
      <c r="AR3694">
        <v>0</v>
      </c>
      <c r="AS3694">
        <v>0</v>
      </c>
      <c r="AT3694">
        <v>3.4359999999999999</v>
      </c>
      <c r="AX3694" t="str">
        <f>"E000300228"</f>
        <v>E000300228</v>
      </c>
      <c r="BD3694" t="str">
        <f>"ערן שלו"</f>
        <v>ערן שלו</v>
      </c>
    </row>
    <row r="3695" spans="1:56" x14ac:dyDescent="0.3">
      <c r="A3695" s="1">
        <v>44012</v>
      </c>
      <c r="B3695" t="str">
        <f>"SI206000625"</f>
        <v>SI206000625</v>
      </c>
      <c r="C3695" t="str">
        <f>"PR19000731"</f>
        <v>PR19000731</v>
      </c>
      <c r="E3695" t="str">
        <f>"Y"</f>
        <v>Y</v>
      </c>
      <c r="F3695" t="str">
        <f>"חשבוניות מרכזות"</f>
        <v>חשבוניות מרכזות</v>
      </c>
      <c r="G3695" t="str">
        <f>"700065"</f>
        <v>700065</v>
      </c>
      <c r="H3695" t="str">
        <f>"אלתא מערכות בע""מ"</f>
        <v>אלתא מערכות בע"מ</v>
      </c>
      <c r="I3695" t="str">
        <f>"10"</f>
        <v>10</v>
      </c>
      <c r="J3695" t="str">
        <f>"OP-AR01583"</f>
        <v>OP-AR01583</v>
      </c>
      <c r="K3695" t="str">
        <f>"9004W743-001 HARNESS WS103 RP-P3"</f>
        <v>9004W743-001 HARNESS WS103 RP-P3</v>
      </c>
      <c r="L3695">
        <v>10</v>
      </c>
      <c r="M3695" t="str">
        <f>"יח"</f>
        <v>יח</v>
      </c>
      <c r="N3695">
        <v>10</v>
      </c>
      <c r="O3695" t="str">
        <f>"יח"</f>
        <v>יח</v>
      </c>
      <c r="P3695" s="2">
        <v>1343.47</v>
      </c>
      <c r="Q3695" t="str">
        <f>"$"</f>
        <v>$</v>
      </c>
      <c r="R3695" t="str">
        <f>"הזמנה"</f>
        <v>הזמנה</v>
      </c>
      <c r="S3695">
        <v>0</v>
      </c>
      <c r="T3695" s="2">
        <v>13434.7</v>
      </c>
      <c r="U3695">
        <v>0</v>
      </c>
      <c r="V3695" s="2">
        <v>13434.7</v>
      </c>
      <c r="W3695" t="str">
        <f>"$"</f>
        <v>$</v>
      </c>
      <c r="X3695">
        <v>0</v>
      </c>
      <c r="Y3695">
        <v>0</v>
      </c>
      <c r="Z3695">
        <v>0</v>
      </c>
      <c r="AA3695" t="str">
        <f>"Y"</f>
        <v>Y</v>
      </c>
      <c r="AB3695" t="str">
        <f>"SO19000524"</f>
        <v>SO19000524</v>
      </c>
      <c r="AC3695">
        <v>30</v>
      </c>
      <c r="AD3695" s="1">
        <v>43809</v>
      </c>
      <c r="AE3695" t="str">
        <f>"SH20000812"</f>
        <v>SH20000812</v>
      </c>
      <c r="AF3695" t="str">
        <f>"משלוחים ללקוח"</f>
        <v>משלוחים ללקוח</v>
      </c>
      <c r="AG3695" s="1">
        <v>44004</v>
      </c>
      <c r="AM3695" t="str">
        <f>"10"</f>
        <v>10</v>
      </c>
      <c r="AN3695" t="str">
        <f>"500000"</f>
        <v>500000</v>
      </c>
      <c r="AO3695" t="str">
        <f>"הכנסות  מלקוחות"</f>
        <v>הכנסות  מלקוחות</v>
      </c>
      <c r="AQ3695" t="str">
        <f>"034"</f>
        <v>034</v>
      </c>
      <c r="AR3695">
        <v>0</v>
      </c>
      <c r="AS3695">
        <v>0</v>
      </c>
      <c r="AT3695">
        <v>3.4359999999999999</v>
      </c>
      <c r="AX3695" t="str">
        <f>"E000300228"</f>
        <v>E000300228</v>
      </c>
      <c r="BD3695" t="str">
        <f>"ערן שלו"</f>
        <v>ערן שלו</v>
      </c>
    </row>
    <row r="3696" spans="1:56" x14ac:dyDescent="0.3">
      <c r="A3696" s="1">
        <v>44012</v>
      </c>
      <c r="B3696" t="str">
        <f>"SI206000624"</f>
        <v>SI206000624</v>
      </c>
      <c r="C3696" t="str">
        <f>"PR19000750"</f>
        <v>PR19000750</v>
      </c>
      <c r="D3696" t="str">
        <f>"PR19000750"</f>
        <v>PR19000750</v>
      </c>
      <c r="E3696" t="str">
        <f>"Y"</f>
        <v>Y</v>
      </c>
      <c r="F3696" t="str">
        <f>"חשבוניות מרכזות"</f>
        <v>חשבוניות מרכזות</v>
      </c>
      <c r="G3696" t="str">
        <f>"700065"</f>
        <v>700065</v>
      </c>
      <c r="H3696" t="str">
        <f>"אלתא מערכות בע""מ"</f>
        <v>אלתא מערכות בע"מ</v>
      </c>
      <c r="I3696" t="str">
        <f>"10"</f>
        <v>10</v>
      </c>
      <c r="J3696" t="str">
        <f>"OP-KT00096"</f>
        <v>OP-KT00096</v>
      </c>
      <c r="K3696" t="str">
        <f>"PDB SPARES O LEVEL"</f>
        <v>PDB SPARES O LEVEL</v>
      </c>
      <c r="L3696">
        <v>1</v>
      </c>
      <c r="M3696" t="str">
        <f>"יח"</f>
        <v>יח</v>
      </c>
      <c r="N3696">
        <v>1</v>
      </c>
      <c r="O3696" t="str">
        <f>"יח"</f>
        <v>יח</v>
      </c>
      <c r="P3696" s="2">
        <v>6574</v>
      </c>
      <c r="Q3696" t="str">
        <f>"$"</f>
        <v>$</v>
      </c>
      <c r="R3696" t="str">
        <f>"הזמנה"</f>
        <v>הזמנה</v>
      </c>
      <c r="S3696">
        <v>0</v>
      </c>
      <c r="T3696" s="2">
        <v>6574</v>
      </c>
      <c r="U3696">
        <v>0</v>
      </c>
      <c r="V3696" s="2">
        <v>6574</v>
      </c>
      <c r="W3696" t="str">
        <f>"$"</f>
        <v>$</v>
      </c>
      <c r="X3696">
        <v>0</v>
      </c>
      <c r="Y3696">
        <v>0</v>
      </c>
      <c r="Z3696">
        <v>0</v>
      </c>
      <c r="AA3696" t="str">
        <f>"Y"</f>
        <v>Y</v>
      </c>
      <c r="AB3696" t="str">
        <f>"SO19000535"</f>
        <v>SO19000535</v>
      </c>
      <c r="AC3696">
        <v>8</v>
      </c>
      <c r="AD3696" s="1">
        <v>43823</v>
      </c>
      <c r="AE3696" t="str">
        <f>"SH20000807"</f>
        <v>SH20000807</v>
      </c>
      <c r="AF3696" t="str">
        <f>"משלוחים ללקוח"</f>
        <v>משלוחים ללקוח</v>
      </c>
      <c r="AG3696" s="1">
        <v>44003</v>
      </c>
      <c r="AM3696" t="str">
        <f>"10"</f>
        <v>10</v>
      </c>
      <c r="AN3696" t="str">
        <f>"500000"</f>
        <v>500000</v>
      </c>
      <c r="AO3696" t="str">
        <f>"הכנסות  מלקוחות"</f>
        <v>הכנסות  מלקוחות</v>
      </c>
      <c r="AQ3696" t="str">
        <f>"034"</f>
        <v>034</v>
      </c>
      <c r="AR3696">
        <v>0</v>
      </c>
      <c r="AS3696">
        <v>0</v>
      </c>
      <c r="AT3696">
        <v>3.4359999999999999</v>
      </c>
      <c r="AX3696" t="str">
        <f>"E000303378"</f>
        <v>E000303378</v>
      </c>
      <c r="BD3696" t="str">
        <f>"ערן שלו"</f>
        <v>ערן שלו</v>
      </c>
    </row>
    <row r="3697" spans="1:56" x14ac:dyDescent="0.3">
      <c r="A3697" s="1">
        <v>44012</v>
      </c>
      <c r="B3697" t="str">
        <f>"CR207000017"</f>
        <v>CR207000017</v>
      </c>
      <c r="C3697" t="str">
        <f>"PR19000252"</f>
        <v>PR19000252</v>
      </c>
      <c r="E3697" t="str">
        <f>"Y"</f>
        <v>Y</v>
      </c>
      <c r="F3697" t="str">
        <f>"חשבוניות זיכוי"</f>
        <v>חשבוניות זיכוי</v>
      </c>
      <c r="G3697" t="str">
        <f>"700065"</f>
        <v>700065</v>
      </c>
      <c r="H3697" t="str">
        <f>"אלתא מערכות בע""מ"</f>
        <v>אלתא מערכות בע"מ</v>
      </c>
      <c r="I3697" t="str">
        <f>"10"</f>
        <v>10</v>
      </c>
      <c r="J3697" t="str">
        <f>"000"</f>
        <v>000</v>
      </c>
      <c r="K3697" t="str">
        <f>"חיוב 5112098795 בגין פיגור באספקה"</f>
        <v>חיוב 5112098795 בגין פיגור באספקה</v>
      </c>
      <c r="L3697">
        <v>-1</v>
      </c>
      <c r="M3697" t="str">
        <f>"יח"</f>
        <v>יח</v>
      </c>
      <c r="N3697">
        <v>-1</v>
      </c>
      <c r="O3697" t="str">
        <f>"יח"</f>
        <v>יח</v>
      </c>
      <c r="P3697" s="2">
        <v>1123.78</v>
      </c>
      <c r="Q3697" t="str">
        <f>"$"</f>
        <v>$</v>
      </c>
      <c r="R3697" t="str">
        <f>"הזמנה"</f>
        <v>הזמנה</v>
      </c>
      <c r="S3697">
        <v>0</v>
      </c>
      <c r="T3697" s="2">
        <v>-1123.78</v>
      </c>
      <c r="U3697">
        <v>0</v>
      </c>
      <c r="V3697" s="2">
        <v>-1123.78</v>
      </c>
      <c r="W3697" t="str">
        <f>"$"</f>
        <v>$</v>
      </c>
      <c r="X3697">
        <v>0</v>
      </c>
      <c r="Y3697">
        <v>0</v>
      </c>
      <c r="Z3697">
        <v>0</v>
      </c>
      <c r="AA3697" t="str">
        <f>"Y"</f>
        <v>Y</v>
      </c>
      <c r="AC3697">
        <v>0</v>
      </c>
      <c r="AM3697" t="str">
        <f>"10"</f>
        <v>10</v>
      </c>
      <c r="AN3697" t="str">
        <f>"500000"</f>
        <v>500000</v>
      </c>
      <c r="AO3697" t="str">
        <f>"הכנסות  מלקוחות"</f>
        <v>הכנסות  מלקוחות</v>
      </c>
      <c r="AP3697" t="str">
        <f>"Y"</f>
        <v>Y</v>
      </c>
      <c r="AQ3697" t="str">
        <f>"034"</f>
        <v>034</v>
      </c>
      <c r="AR3697">
        <v>0</v>
      </c>
      <c r="AS3697">
        <v>0</v>
      </c>
      <c r="AT3697">
        <v>3.4750000000000001</v>
      </c>
      <c r="BB3697" t="str">
        <f>"Y"</f>
        <v>Y</v>
      </c>
      <c r="BD3697" t="str">
        <f>"ערן שלו"</f>
        <v>ערן שלו</v>
      </c>
    </row>
    <row r="3698" spans="1:56" x14ac:dyDescent="0.3">
      <c r="A3698" s="1">
        <v>44006</v>
      </c>
      <c r="B3698" t="str">
        <f>"SI206000609"</f>
        <v>SI206000609</v>
      </c>
      <c r="C3698" t="str">
        <f>"PR19000109"</f>
        <v>PR19000109</v>
      </c>
      <c r="E3698" t="str">
        <f>"Y"</f>
        <v>Y</v>
      </c>
      <c r="F3698" t="str">
        <f>"חשבוניות מרכזות"</f>
        <v>חשבוניות מרכזות</v>
      </c>
      <c r="G3698" t="str">
        <f>"700065"</f>
        <v>700065</v>
      </c>
      <c r="H3698" t="str">
        <f>"אלתא מערכות בע""מ"</f>
        <v>אלתא מערכות בע"מ</v>
      </c>
      <c r="I3698" t="str">
        <f>"11"</f>
        <v>11</v>
      </c>
      <c r="J3698" t="str">
        <f>"OP-KT00091"</f>
        <v>OP-KT00091</v>
      </c>
      <c r="K3698" t="str">
        <f>"P15 EPS CABLE KIT"</f>
        <v>P15 EPS CABLE KIT</v>
      </c>
      <c r="L3698">
        <v>1</v>
      </c>
      <c r="M3698" t="str">
        <f>"יח"</f>
        <v>יח</v>
      </c>
      <c r="N3698">
        <v>1</v>
      </c>
      <c r="O3698" t="str">
        <f>"יח"</f>
        <v>יח</v>
      </c>
      <c r="P3698" s="2">
        <v>27600</v>
      </c>
      <c r="Q3698" t="str">
        <f>"$"</f>
        <v>$</v>
      </c>
      <c r="R3698" t="str">
        <f>"הזמנה"</f>
        <v>הזמנה</v>
      </c>
      <c r="S3698">
        <v>0</v>
      </c>
      <c r="T3698" s="2">
        <v>27600</v>
      </c>
      <c r="U3698">
        <v>0</v>
      </c>
      <c r="V3698" s="2">
        <v>27600</v>
      </c>
      <c r="W3698" t="str">
        <f>"$"</f>
        <v>$</v>
      </c>
      <c r="X3698">
        <v>0</v>
      </c>
      <c r="Y3698">
        <v>0</v>
      </c>
      <c r="Z3698">
        <v>0</v>
      </c>
      <c r="AA3698" t="str">
        <f>"Y"</f>
        <v>Y</v>
      </c>
      <c r="AB3698" t="str">
        <f>"SO19000156"</f>
        <v>SO19000156</v>
      </c>
      <c r="AC3698">
        <v>28</v>
      </c>
      <c r="AD3698" s="1">
        <v>43562</v>
      </c>
      <c r="AE3698" t="str">
        <f>"SH20000782"</f>
        <v>SH20000782</v>
      </c>
      <c r="AF3698" t="str">
        <f>"משלוחים ללקוח"</f>
        <v>משלוחים ללקוח</v>
      </c>
      <c r="AG3698" s="1">
        <v>43998</v>
      </c>
      <c r="AM3698" t="str">
        <f>"10"</f>
        <v>10</v>
      </c>
      <c r="AN3698" t="str">
        <f>"500000"</f>
        <v>500000</v>
      </c>
      <c r="AO3698" t="str">
        <f>"הכנסות  מלקוחות"</f>
        <v>הכנסות  מלקוחות</v>
      </c>
      <c r="AQ3698" t="str">
        <f>"034"</f>
        <v>034</v>
      </c>
      <c r="AR3698">
        <v>0</v>
      </c>
      <c r="AS3698">
        <v>0</v>
      </c>
      <c r="AT3698">
        <v>3.4340000000000002</v>
      </c>
      <c r="AX3698" t="str">
        <f>"E000270896"</f>
        <v>E000270896</v>
      </c>
      <c r="BD3698" t="str">
        <f>"ערן שלו"</f>
        <v>ערן שלו</v>
      </c>
    </row>
    <row r="3699" spans="1:56" x14ac:dyDescent="0.3">
      <c r="A3699" s="1">
        <v>44006</v>
      </c>
      <c r="B3699" t="str">
        <f>"SI206000608"</f>
        <v>SI206000608</v>
      </c>
      <c r="C3699" t="str">
        <f>"PR19000400"</f>
        <v>PR19000400</v>
      </c>
      <c r="D3699" t="str">
        <f>"PR19000400"</f>
        <v>PR19000400</v>
      </c>
      <c r="E3699" t="str">
        <f>"Y"</f>
        <v>Y</v>
      </c>
      <c r="F3699" t="str">
        <f>"חשבוניות מרכזות"</f>
        <v>חשבוניות מרכזות</v>
      </c>
      <c r="G3699" t="str">
        <f>"700065"</f>
        <v>700065</v>
      </c>
      <c r="H3699" t="str">
        <f>"אלתא מערכות בע""מ"</f>
        <v>אלתא מערכות בע"מ</v>
      </c>
      <c r="I3699" t="str">
        <f>"10"</f>
        <v>10</v>
      </c>
      <c r="J3699" t="str">
        <f>"CB1500011"</f>
        <v>CB1500011</v>
      </c>
      <c r="K3699" t="str">
        <f>"כבל תקן ימי XTCuZ1-K 4x10"</f>
        <v>כבל תקן ימי XTCuZ1-K 4x10</v>
      </c>
      <c r="L3699" s="3">
        <v>1200</v>
      </c>
      <c r="M3699" t="str">
        <f>"מטר"</f>
        <v>מטר</v>
      </c>
      <c r="N3699" s="3">
        <v>1200</v>
      </c>
      <c r="O3699" t="str">
        <f>"מטר"</f>
        <v>מטר</v>
      </c>
      <c r="P3699">
        <v>9.8000000000000007</v>
      </c>
      <c r="Q3699" t="str">
        <f>"$"</f>
        <v>$</v>
      </c>
      <c r="R3699" t="str">
        <f>"הזמנה"</f>
        <v>הזמנה</v>
      </c>
      <c r="S3699">
        <v>0</v>
      </c>
      <c r="T3699" s="2">
        <v>11760</v>
      </c>
      <c r="U3699">
        <v>0</v>
      </c>
      <c r="V3699" s="2">
        <v>11760</v>
      </c>
      <c r="W3699" t="str">
        <f>"$"</f>
        <v>$</v>
      </c>
      <c r="X3699">
        <v>0</v>
      </c>
      <c r="Y3699">
        <v>0</v>
      </c>
      <c r="Z3699">
        <v>0</v>
      </c>
      <c r="AA3699" t="str">
        <f>"Y"</f>
        <v>Y</v>
      </c>
      <c r="AB3699" t="str">
        <f>"SO20000168"</f>
        <v>SO20000168</v>
      </c>
      <c r="AC3699">
        <v>1</v>
      </c>
      <c r="AD3699" s="1">
        <v>43948</v>
      </c>
      <c r="AE3699" t="str">
        <f>"SH20000821"</f>
        <v>SH20000821</v>
      </c>
      <c r="AF3699" t="str">
        <f>"משלוחים ללקוח"</f>
        <v>משלוחים ללקוח</v>
      </c>
      <c r="AG3699" s="1">
        <v>44004</v>
      </c>
      <c r="AM3699" t="str">
        <f>"10"</f>
        <v>10</v>
      </c>
      <c r="AN3699" t="str">
        <f>"500000"</f>
        <v>500000</v>
      </c>
      <c r="AO3699" t="str">
        <f>"הכנסות  מלקוחות"</f>
        <v>הכנסות  מלקוחות</v>
      </c>
      <c r="AQ3699" t="str">
        <f>"034"</f>
        <v>034</v>
      </c>
      <c r="AR3699">
        <v>0</v>
      </c>
      <c r="AS3699">
        <v>0</v>
      </c>
      <c r="AT3699">
        <v>3.4340000000000002</v>
      </c>
      <c r="AX3699" t="str">
        <f>"E000310582"</f>
        <v>E000310582</v>
      </c>
      <c r="BD3699" t="str">
        <f>"ערן שלו"</f>
        <v>ערן שלו</v>
      </c>
    </row>
    <row r="3700" spans="1:56" x14ac:dyDescent="0.3">
      <c r="A3700" s="1">
        <v>44006</v>
      </c>
      <c r="B3700" t="str">
        <f>"SI206000608"</f>
        <v>SI206000608</v>
      </c>
      <c r="C3700" t="str">
        <f>"PR19000400"</f>
        <v>PR19000400</v>
      </c>
      <c r="D3700" t="str">
        <f>"PR19000400"</f>
        <v>PR19000400</v>
      </c>
      <c r="E3700" t="str">
        <f>"Y"</f>
        <v>Y</v>
      </c>
      <c r="F3700" t="str">
        <f>"חשבוניות מרכזות"</f>
        <v>חשבוניות מרכזות</v>
      </c>
      <c r="G3700" t="str">
        <f>"700065"</f>
        <v>700065</v>
      </c>
      <c r="H3700" t="str">
        <f>"אלתא מערכות בע""מ"</f>
        <v>אלתא מערכות בע"מ</v>
      </c>
      <c r="I3700" t="str">
        <f>"10"</f>
        <v>10</v>
      </c>
      <c r="J3700" t="str">
        <f>"CB1500011"</f>
        <v>CB1500011</v>
      </c>
      <c r="K3700" t="str">
        <f>"כבל תקן ימי XTCuZ1-K 4x10"</f>
        <v>כבל תקן ימי XTCuZ1-K 4x10</v>
      </c>
      <c r="L3700" s="3">
        <v>1200</v>
      </c>
      <c r="M3700" t="str">
        <f>"מטר"</f>
        <v>מטר</v>
      </c>
      <c r="N3700" s="3">
        <v>1200</v>
      </c>
      <c r="O3700" t="str">
        <f>"מטר"</f>
        <v>מטר</v>
      </c>
      <c r="P3700">
        <v>9.8000000000000007</v>
      </c>
      <c r="Q3700" t="str">
        <f>"$"</f>
        <v>$</v>
      </c>
      <c r="R3700" t="str">
        <f>"הזמנה"</f>
        <v>הזמנה</v>
      </c>
      <c r="S3700">
        <v>0</v>
      </c>
      <c r="T3700" s="2">
        <v>11760</v>
      </c>
      <c r="U3700">
        <v>0</v>
      </c>
      <c r="V3700" s="2">
        <v>11760</v>
      </c>
      <c r="W3700" t="str">
        <f>"$"</f>
        <v>$</v>
      </c>
      <c r="X3700">
        <v>0</v>
      </c>
      <c r="Y3700">
        <v>0</v>
      </c>
      <c r="Z3700">
        <v>0</v>
      </c>
      <c r="AA3700" t="str">
        <f>"Y"</f>
        <v>Y</v>
      </c>
      <c r="AB3700" t="str">
        <f>"SO20000168"</f>
        <v>SO20000168</v>
      </c>
      <c r="AC3700">
        <v>2</v>
      </c>
      <c r="AD3700" s="1">
        <v>43948</v>
      </c>
      <c r="AE3700" t="str">
        <f>"SH20000821"</f>
        <v>SH20000821</v>
      </c>
      <c r="AF3700" t="str">
        <f>"משלוחים ללקוח"</f>
        <v>משלוחים ללקוח</v>
      </c>
      <c r="AG3700" s="1">
        <v>44004</v>
      </c>
      <c r="AM3700" t="str">
        <f>"10"</f>
        <v>10</v>
      </c>
      <c r="AN3700" t="str">
        <f>"500000"</f>
        <v>500000</v>
      </c>
      <c r="AO3700" t="str">
        <f>"הכנסות  מלקוחות"</f>
        <v>הכנסות  מלקוחות</v>
      </c>
      <c r="AQ3700" t="str">
        <f>"034"</f>
        <v>034</v>
      </c>
      <c r="AR3700">
        <v>0</v>
      </c>
      <c r="AS3700">
        <v>0</v>
      </c>
      <c r="AT3700">
        <v>3.4340000000000002</v>
      </c>
      <c r="AX3700" t="str">
        <f>"E000310582"</f>
        <v>E000310582</v>
      </c>
      <c r="BD3700" t="str">
        <f>"ערן שלו"</f>
        <v>ערן שלו</v>
      </c>
    </row>
    <row r="3701" spans="1:56" x14ac:dyDescent="0.3">
      <c r="A3701" s="1">
        <v>44006</v>
      </c>
      <c r="B3701" t="str">
        <f>"SI206000608"</f>
        <v>SI206000608</v>
      </c>
      <c r="C3701" t="str">
        <f>"PR19000400"</f>
        <v>PR19000400</v>
      </c>
      <c r="D3701" t="str">
        <f>"PR19000400"</f>
        <v>PR19000400</v>
      </c>
      <c r="E3701" t="str">
        <f>"Y"</f>
        <v>Y</v>
      </c>
      <c r="F3701" t="str">
        <f>"חשבוניות מרכזות"</f>
        <v>חשבוניות מרכזות</v>
      </c>
      <c r="G3701" t="str">
        <f>"700065"</f>
        <v>700065</v>
      </c>
      <c r="H3701" t="str">
        <f>"אלתא מערכות בע""מ"</f>
        <v>אלתא מערכות בע"מ</v>
      </c>
      <c r="I3701" t="str">
        <f>"10"</f>
        <v>10</v>
      </c>
      <c r="J3701" t="str">
        <f>"CB1500011"</f>
        <v>CB1500011</v>
      </c>
      <c r="K3701" t="str">
        <f>"כבל תקן ימי XTCuZ1-K 4x10"</f>
        <v>כבל תקן ימי XTCuZ1-K 4x10</v>
      </c>
      <c r="L3701" s="3">
        <v>1250</v>
      </c>
      <c r="M3701" t="str">
        <f>"מטר"</f>
        <v>מטר</v>
      </c>
      <c r="N3701" s="3">
        <v>1250</v>
      </c>
      <c r="O3701" t="str">
        <f>"מטר"</f>
        <v>מטר</v>
      </c>
      <c r="P3701">
        <v>9.8000000000000007</v>
      </c>
      <c r="Q3701" t="str">
        <f>"$"</f>
        <v>$</v>
      </c>
      <c r="R3701" t="str">
        <f>"הזמנה"</f>
        <v>הזמנה</v>
      </c>
      <c r="S3701">
        <v>0</v>
      </c>
      <c r="T3701" s="2">
        <v>12250</v>
      </c>
      <c r="U3701">
        <v>0</v>
      </c>
      <c r="V3701" s="2">
        <v>12250</v>
      </c>
      <c r="W3701" t="str">
        <f>"$"</f>
        <v>$</v>
      </c>
      <c r="X3701">
        <v>0</v>
      </c>
      <c r="Y3701">
        <v>0</v>
      </c>
      <c r="Z3701">
        <v>0</v>
      </c>
      <c r="AA3701" t="str">
        <f>"Y"</f>
        <v>Y</v>
      </c>
      <c r="AB3701" t="str">
        <f>"SO20000168"</f>
        <v>SO20000168</v>
      </c>
      <c r="AC3701">
        <v>3</v>
      </c>
      <c r="AD3701" s="1">
        <v>43948</v>
      </c>
      <c r="AE3701" t="str">
        <f>"SH20000821"</f>
        <v>SH20000821</v>
      </c>
      <c r="AF3701" t="str">
        <f>"משלוחים ללקוח"</f>
        <v>משלוחים ללקוח</v>
      </c>
      <c r="AG3701" s="1">
        <v>44004</v>
      </c>
      <c r="AM3701" t="str">
        <f>"10"</f>
        <v>10</v>
      </c>
      <c r="AN3701" t="str">
        <f>"500000"</f>
        <v>500000</v>
      </c>
      <c r="AO3701" t="str">
        <f>"הכנסות  מלקוחות"</f>
        <v>הכנסות  מלקוחות</v>
      </c>
      <c r="AQ3701" t="str">
        <f>"034"</f>
        <v>034</v>
      </c>
      <c r="AR3701">
        <v>0</v>
      </c>
      <c r="AS3701">
        <v>0</v>
      </c>
      <c r="AT3701">
        <v>3.4340000000000002</v>
      </c>
      <c r="AX3701" t="str">
        <f>"E000310582"</f>
        <v>E000310582</v>
      </c>
      <c r="BD3701" t="str">
        <f>"ערן שלו"</f>
        <v>ערן שלו</v>
      </c>
    </row>
    <row r="3702" spans="1:56" x14ac:dyDescent="0.3">
      <c r="A3702" s="1">
        <v>44006</v>
      </c>
      <c r="B3702" t="str">
        <f>"SI206000608"</f>
        <v>SI206000608</v>
      </c>
      <c r="C3702" t="str">
        <f>"PR19000400"</f>
        <v>PR19000400</v>
      </c>
      <c r="D3702" t="str">
        <f>"PR19000400"</f>
        <v>PR19000400</v>
      </c>
      <c r="E3702" t="str">
        <f>"Y"</f>
        <v>Y</v>
      </c>
      <c r="F3702" t="str">
        <f>"חשבוניות מרכזות"</f>
        <v>חשבוניות מרכזות</v>
      </c>
      <c r="G3702" t="str">
        <f>"700065"</f>
        <v>700065</v>
      </c>
      <c r="H3702" t="str">
        <f>"אלתא מערכות בע""מ"</f>
        <v>אלתא מערכות בע"מ</v>
      </c>
      <c r="I3702" t="str">
        <f>"10"</f>
        <v>10</v>
      </c>
      <c r="J3702" t="str">
        <f>"CB1500009"</f>
        <v>CB1500009</v>
      </c>
      <c r="K3702" t="str">
        <f>"כבל תקן ימי XTCuZ1-K 4x16"</f>
        <v>כבל תקן ימי XTCuZ1-K 4x16</v>
      </c>
      <c r="L3702">
        <v>100</v>
      </c>
      <c r="M3702" t="str">
        <f>"מטר"</f>
        <v>מטר</v>
      </c>
      <c r="N3702">
        <v>100</v>
      </c>
      <c r="O3702" t="str">
        <f>"מטר"</f>
        <v>מטר</v>
      </c>
      <c r="P3702">
        <v>13.5</v>
      </c>
      <c r="Q3702" t="str">
        <f>"$"</f>
        <v>$</v>
      </c>
      <c r="R3702" t="str">
        <f>"הזמנה"</f>
        <v>הזמנה</v>
      </c>
      <c r="S3702">
        <v>0</v>
      </c>
      <c r="T3702" s="2">
        <v>1350</v>
      </c>
      <c r="U3702">
        <v>0</v>
      </c>
      <c r="V3702" s="2">
        <v>1350</v>
      </c>
      <c r="W3702" t="str">
        <f>"$"</f>
        <v>$</v>
      </c>
      <c r="X3702">
        <v>0</v>
      </c>
      <c r="Y3702">
        <v>0</v>
      </c>
      <c r="Z3702">
        <v>0</v>
      </c>
      <c r="AA3702" t="str">
        <f>"Y"</f>
        <v>Y</v>
      </c>
      <c r="AB3702" t="str">
        <f>"SO20000168"</f>
        <v>SO20000168</v>
      </c>
      <c r="AC3702">
        <v>4</v>
      </c>
      <c r="AD3702" s="1">
        <v>43948</v>
      </c>
      <c r="AE3702" t="str">
        <f>"SH20000821"</f>
        <v>SH20000821</v>
      </c>
      <c r="AF3702" t="str">
        <f>"משלוחים ללקוח"</f>
        <v>משלוחים ללקוח</v>
      </c>
      <c r="AG3702" s="1">
        <v>44004</v>
      </c>
      <c r="AM3702" t="str">
        <f>"10"</f>
        <v>10</v>
      </c>
      <c r="AN3702" t="str">
        <f>"500000"</f>
        <v>500000</v>
      </c>
      <c r="AO3702" t="str">
        <f>"הכנסות  מלקוחות"</f>
        <v>הכנסות  מלקוחות</v>
      </c>
      <c r="AQ3702" t="str">
        <f>"034"</f>
        <v>034</v>
      </c>
      <c r="AR3702">
        <v>0</v>
      </c>
      <c r="AS3702">
        <v>0</v>
      </c>
      <c r="AT3702">
        <v>3.4340000000000002</v>
      </c>
      <c r="AX3702" t="str">
        <f>"E000310582"</f>
        <v>E000310582</v>
      </c>
      <c r="BD3702" t="str">
        <f>"ערן שלו"</f>
        <v>ערן שלו</v>
      </c>
    </row>
    <row r="3703" spans="1:56" x14ac:dyDescent="0.3">
      <c r="A3703" s="1">
        <v>44006</v>
      </c>
      <c r="B3703" t="str">
        <f>"SI206000608"</f>
        <v>SI206000608</v>
      </c>
      <c r="C3703" t="str">
        <f>"PR19000400"</f>
        <v>PR19000400</v>
      </c>
      <c r="D3703" t="str">
        <f>"PR19000400"</f>
        <v>PR19000400</v>
      </c>
      <c r="E3703" t="str">
        <f>"Y"</f>
        <v>Y</v>
      </c>
      <c r="F3703" t="str">
        <f>"חשבוניות מרכזות"</f>
        <v>חשבוניות מרכזות</v>
      </c>
      <c r="G3703" t="str">
        <f>"700065"</f>
        <v>700065</v>
      </c>
      <c r="H3703" t="str">
        <f>"אלתא מערכות בע""מ"</f>
        <v>אלתא מערכות בע"מ</v>
      </c>
      <c r="I3703" t="str">
        <f>"10"</f>
        <v>10</v>
      </c>
      <c r="J3703" t="str">
        <f>"CB1500009"</f>
        <v>CB1500009</v>
      </c>
      <c r="K3703" t="str">
        <f>"כבל תקן ימי XTCuZ1-K 4x16"</f>
        <v>כבל תקן ימי XTCuZ1-K 4x16</v>
      </c>
      <c r="L3703">
        <v>100</v>
      </c>
      <c r="M3703" t="str">
        <f>"מטר"</f>
        <v>מטר</v>
      </c>
      <c r="N3703">
        <v>100</v>
      </c>
      <c r="O3703" t="str">
        <f>"מטר"</f>
        <v>מטר</v>
      </c>
      <c r="P3703">
        <v>13.5</v>
      </c>
      <c r="Q3703" t="str">
        <f>"$"</f>
        <v>$</v>
      </c>
      <c r="R3703" t="str">
        <f>"הזמנה"</f>
        <v>הזמנה</v>
      </c>
      <c r="S3703">
        <v>0</v>
      </c>
      <c r="T3703" s="2">
        <v>1350</v>
      </c>
      <c r="U3703">
        <v>0</v>
      </c>
      <c r="V3703" s="2">
        <v>1350</v>
      </c>
      <c r="W3703" t="str">
        <f>"$"</f>
        <v>$</v>
      </c>
      <c r="X3703">
        <v>0</v>
      </c>
      <c r="Y3703">
        <v>0</v>
      </c>
      <c r="Z3703">
        <v>0</v>
      </c>
      <c r="AA3703" t="str">
        <f>"Y"</f>
        <v>Y</v>
      </c>
      <c r="AB3703" t="str">
        <f>"SO20000168"</f>
        <v>SO20000168</v>
      </c>
      <c r="AC3703">
        <v>5</v>
      </c>
      <c r="AD3703" s="1">
        <v>43948</v>
      </c>
      <c r="AE3703" t="str">
        <f>"SH20000821"</f>
        <v>SH20000821</v>
      </c>
      <c r="AF3703" t="str">
        <f>"משלוחים ללקוח"</f>
        <v>משלוחים ללקוח</v>
      </c>
      <c r="AG3703" s="1">
        <v>44004</v>
      </c>
      <c r="AM3703" t="str">
        <f>"10"</f>
        <v>10</v>
      </c>
      <c r="AN3703" t="str">
        <f>"500000"</f>
        <v>500000</v>
      </c>
      <c r="AO3703" t="str">
        <f>"הכנסות  מלקוחות"</f>
        <v>הכנסות  מלקוחות</v>
      </c>
      <c r="AQ3703" t="str">
        <f>"034"</f>
        <v>034</v>
      </c>
      <c r="AR3703">
        <v>0</v>
      </c>
      <c r="AS3703">
        <v>0</v>
      </c>
      <c r="AT3703">
        <v>3.4340000000000002</v>
      </c>
      <c r="AX3703" t="str">
        <f>"E000310582"</f>
        <v>E000310582</v>
      </c>
      <c r="BD3703" t="str">
        <f>"ערן שלו"</f>
        <v>ערן שלו</v>
      </c>
    </row>
    <row r="3704" spans="1:56" x14ac:dyDescent="0.3">
      <c r="A3704" s="1">
        <v>44006</v>
      </c>
      <c r="B3704" t="str">
        <f>"SI206000608"</f>
        <v>SI206000608</v>
      </c>
      <c r="C3704" t="str">
        <f>"PR19000400"</f>
        <v>PR19000400</v>
      </c>
      <c r="D3704" t="str">
        <f>"PR19000400"</f>
        <v>PR19000400</v>
      </c>
      <c r="E3704" t="str">
        <f>"Y"</f>
        <v>Y</v>
      </c>
      <c r="F3704" t="str">
        <f>"חשבוניות מרכזות"</f>
        <v>חשבוניות מרכזות</v>
      </c>
      <c r="G3704" t="str">
        <f>"700065"</f>
        <v>700065</v>
      </c>
      <c r="H3704" t="str">
        <f>"אלתא מערכות בע""מ"</f>
        <v>אלתא מערכות בע"מ</v>
      </c>
      <c r="I3704" t="str">
        <f>"10"</f>
        <v>10</v>
      </c>
      <c r="J3704" t="str">
        <f>"CB1500009"</f>
        <v>CB1500009</v>
      </c>
      <c r="K3704" t="str">
        <f>"כבל תקן ימי XTCuZ1-K 4x16"</f>
        <v>כבל תקן ימי XTCuZ1-K 4x16</v>
      </c>
      <c r="L3704">
        <v>100</v>
      </c>
      <c r="M3704" t="str">
        <f>"מטר"</f>
        <v>מטר</v>
      </c>
      <c r="N3704">
        <v>100</v>
      </c>
      <c r="O3704" t="str">
        <f>"מטר"</f>
        <v>מטר</v>
      </c>
      <c r="P3704">
        <v>13.5</v>
      </c>
      <c r="Q3704" t="str">
        <f>"$"</f>
        <v>$</v>
      </c>
      <c r="R3704" t="str">
        <f>"הזמנה"</f>
        <v>הזמנה</v>
      </c>
      <c r="S3704">
        <v>0</v>
      </c>
      <c r="T3704" s="2">
        <v>1350</v>
      </c>
      <c r="U3704">
        <v>0</v>
      </c>
      <c r="V3704" s="2">
        <v>1350</v>
      </c>
      <c r="W3704" t="str">
        <f>"$"</f>
        <v>$</v>
      </c>
      <c r="X3704">
        <v>0</v>
      </c>
      <c r="Y3704">
        <v>0</v>
      </c>
      <c r="Z3704">
        <v>0</v>
      </c>
      <c r="AA3704" t="str">
        <f>"Y"</f>
        <v>Y</v>
      </c>
      <c r="AB3704" t="str">
        <f>"SO20000168"</f>
        <v>SO20000168</v>
      </c>
      <c r="AC3704">
        <v>6</v>
      </c>
      <c r="AD3704" s="1">
        <v>43948</v>
      </c>
      <c r="AE3704" t="str">
        <f>"SH20000821"</f>
        <v>SH20000821</v>
      </c>
      <c r="AF3704" t="str">
        <f>"משלוחים ללקוח"</f>
        <v>משלוחים ללקוח</v>
      </c>
      <c r="AG3704" s="1">
        <v>44004</v>
      </c>
      <c r="AM3704" t="str">
        <f>"10"</f>
        <v>10</v>
      </c>
      <c r="AN3704" t="str">
        <f>"500000"</f>
        <v>500000</v>
      </c>
      <c r="AO3704" t="str">
        <f>"הכנסות  מלקוחות"</f>
        <v>הכנסות  מלקוחות</v>
      </c>
      <c r="AQ3704" t="str">
        <f>"034"</f>
        <v>034</v>
      </c>
      <c r="AR3704">
        <v>0</v>
      </c>
      <c r="AS3704">
        <v>0</v>
      </c>
      <c r="AT3704">
        <v>3.4340000000000002</v>
      </c>
      <c r="AX3704" t="str">
        <f>"E000310582"</f>
        <v>E000310582</v>
      </c>
      <c r="BD3704" t="str">
        <f>"ערן שלו"</f>
        <v>ערן שלו</v>
      </c>
    </row>
    <row r="3705" spans="1:56" x14ac:dyDescent="0.3">
      <c r="A3705" s="1">
        <v>44006</v>
      </c>
      <c r="B3705" t="str">
        <f>"SI206000608"</f>
        <v>SI206000608</v>
      </c>
      <c r="C3705" t="str">
        <f>"PR19000400"</f>
        <v>PR19000400</v>
      </c>
      <c r="D3705" t="str">
        <f>"PR19000400"</f>
        <v>PR19000400</v>
      </c>
      <c r="E3705" t="str">
        <f>"Y"</f>
        <v>Y</v>
      </c>
      <c r="F3705" t="str">
        <f>"חשבוניות מרכזות"</f>
        <v>חשבוניות מרכזות</v>
      </c>
      <c r="G3705" t="str">
        <f>"700065"</f>
        <v>700065</v>
      </c>
      <c r="H3705" t="str">
        <f>"אלתא מערכות בע""מ"</f>
        <v>אלתא מערכות בע"מ</v>
      </c>
      <c r="I3705" t="str">
        <f>"10"</f>
        <v>10</v>
      </c>
      <c r="J3705" t="str">
        <f>"CB1500010"</f>
        <v>CB1500010</v>
      </c>
      <c r="K3705" t="str">
        <f>"כבל תקן ימי XTCuZ1-K 4x50"</f>
        <v>כבל תקן ימי XTCuZ1-K 4x50</v>
      </c>
      <c r="L3705">
        <v>40</v>
      </c>
      <c r="M3705" t="str">
        <f>"מטר"</f>
        <v>מטר</v>
      </c>
      <c r="N3705">
        <v>40</v>
      </c>
      <c r="O3705" t="str">
        <f>"מטר"</f>
        <v>מטר</v>
      </c>
      <c r="P3705">
        <v>38.5</v>
      </c>
      <c r="Q3705" t="str">
        <f>"$"</f>
        <v>$</v>
      </c>
      <c r="R3705" t="str">
        <f>"הזמנה"</f>
        <v>הזמנה</v>
      </c>
      <c r="S3705">
        <v>0</v>
      </c>
      <c r="T3705" s="2">
        <v>1540</v>
      </c>
      <c r="U3705">
        <v>0</v>
      </c>
      <c r="V3705" s="2">
        <v>1540</v>
      </c>
      <c r="W3705" t="str">
        <f>"$"</f>
        <v>$</v>
      </c>
      <c r="X3705">
        <v>0</v>
      </c>
      <c r="Y3705">
        <v>0</v>
      </c>
      <c r="Z3705">
        <v>0</v>
      </c>
      <c r="AA3705" t="str">
        <f>"Y"</f>
        <v>Y</v>
      </c>
      <c r="AB3705" t="str">
        <f>"SO20000168"</f>
        <v>SO20000168</v>
      </c>
      <c r="AC3705">
        <v>7</v>
      </c>
      <c r="AD3705" s="1">
        <v>43948</v>
      </c>
      <c r="AE3705" t="str">
        <f>"SH20000821"</f>
        <v>SH20000821</v>
      </c>
      <c r="AF3705" t="str">
        <f>"משלוחים ללקוח"</f>
        <v>משלוחים ללקוח</v>
      </c>
      <c r="AG3705" s="1">
        <v>44004</v>
      </c>
      <c r="AM3705" t="str">
        <f>"10"</f>
        <v>10</v>
      </c>
      <c r="AN3705" t="str">
        <f>"500000"</f>
        <v>500000</v>
      </c>
      <c r="AO3705" t="str">
        <f>"הכנסות  מלקוחות"</f>
        <v>הכנסות  מלקוחות</v>
      </c>
      <c r="AQ3705" t="str">
        <f>"034"</f>
        <v>034</v>
      </c>
      <c r="AR3705">
        <v>0</v>
      </c>
      <c r="AS3705">
        <v>0</v>
      </c>
      <c r="AT3705">
        <v>3.4340000000000002</v>
      </c>
      <c r="AX3705" t="str">
        <f>"E000310582"</f>
        <v>E000310582</v>
      </c>
      <c r="BD3705" t="str">
        <f>"ערן שלו"</f>
        <v>ערן שלו</v>
      </c>
    </row>
    <row r="3706" spans="1:56" x14ac:dyDescent="0.3">
      <c r="A3706" s="1">
        <v>44006</v>
      </c>
      <c r="B3706" t="str">
        <f>"SI206000608"</f>
        <v>SI206000608</v>
      </c>
      <c r="C3706" t="str">
        <f>"PR19000400"</f>
        <v>PR19000400</v>
      </c>
      <c r="D3706" t="str">
        <f>"PR19000400"</f>
        <v>PR19000400</v>
      </c>
      <c r="E3706" t="str">
        <f>"Y"</f>
        <v>Y</v>
      </c>
      <c r="F3706" t="str">
        <f>"חשבוניות מרכזות"</f>
        <v>חשבוניות מרכזות</v>
      </c>
      <c r="G3706" t="str">
        <f>"700065"</f>
        <v>700065</v>
      </c>
      <c r="H3706" t="str">
        <f>"אלתא מערכות בע""מ"</f>
        <v>אלתא מערכות בע"מ</v>
      </c>
      <c r="I3706" t="str">
        <f>"10"</f>
        <v>10</v>
      </c>
      <c r="J3706" t="str">
        <f>"CB1500010"</f>
        <v>CB1500010</v>
      </c>
      <c r="K3706" t="str">
        <f>"כבל תקן ימי XTCuZ1-K 4x50"</f>
        <v>כבל תקן ימי XTCuZ1-K 4x50</v>
      </c>
      <c r="L3706">
        <v>25</v>
      </c>
      <c r="M3706" t="str">
        <f>"מטר"</f>
        <v>מטר</v>
      </c>
      <c r="N3706">
        <v>25</v>
      </c>
      <c r="O3706" t="str">
        <f>"מטר"</f>
        <v>מטר</v>
      </c>
      <c r="P3706">
        <v>38.5</v>
      </c>
      <c r="Q3706" t="str">
        <f>"$"</f>
        <v>$</v>
      </c>
      <c r="R3706" t="str">
        <f>"הזמנה"</f>
        <v>הזמנה</v>
      </c>
      <c r="S3706">
        <v>0</v>
      </c>
      <c r="T3706">
        <v>962.5</v>
      </c>
      <c r="U3706">
        <v>0</v>
      </c>
      <c r="V3706">
        <v>962.5</v>
      </c>
      <c r="W3706" t="str">
        <f>"$"</f>
        <v>$</v>
      </c>
      <c r="X3706">
        <v>0</v>
      </c>
      <c r="Y3706">
        <v>0</v>
      </c>
      <c r="Z3706">
        <v>0</v>
      </c>
      <c r="AA3706" t="str">
        <f>"Y"</f>
        <v>Y</v>
      </c>
      <c r="AB3706" t="str">
        <f>"SO20000168"</f>
        <v>SO20000168</v>
      </c>
      <c r="AC3706">
        <v>8</v>
      </c>
      <c r="AD3706" s="1">
        <v>43948</v>
      </c>
      <c r="AE3706" t="str">
        <f>"SH20000821"</f>
        <v>SH20000821</v>
      </c>
      <c r="AF3706" t="str">
        <f>"משלוחים ללקוח"</f>
        <v>משלוחים ללקוח</v>
      </c>
      <c r="AG3706" s="1">
        <v>44004</v>
      </c>
      <c r="AM3706" t="str">
        <f>"10"</f>
        <v>10</v>
      </c>
      <c r="AN3706" t="str">
        <f>"500000"</f>
        <v>500000</v>
      </c>
      <c r="AO3706" t="str">
        <f>"הכנסות  מלקוחות"</f>
        <v>הכנסות  מלקוחות</v>
      </c>
      <c r="AQ3706" t="str">
        <f>"034"</f>
        <v>034</v>
      </c>
      <c r="AR3706">
        <v>0</v>
      </c>
      <c r="AS3706">
        <v>0</v>
      </c>
      <c r="AT3706">
        <v>3.4340000000000002</v>
      </c>
      <c r="AX3706" t="str">
        <f>"E000310582"</f>
        <v>E000310582</v>
      </c>
      <c r="BD3706" t="str">
        <f>"ערן שלו"</f>
        <v>ערן שלו</v>
      </c>
    </row>
    <row r="3707" spans="1:56" x14ac:dyDescent="0.3">
      <c r="A3707" s="1">
        <v>44006</v>
      </c>
      <c r="B3707" t="str">
        <f>"SI206000608"</f>
        <v>SI206000608</v>
      </c>
      <c r="C3707" t="str">
        <f>"PR19000400"</f>
        <v>PR19000400</v>
      </c>
      <c r="D3707" t="str">
        <f>"PR19000400"</f>
        <v>PR19000400</v>
      </c>
      <c r="E3707" t="str">
        <f>"Y"</f>
        <v>Y</v>
      </c>
      <c r="F3707" t="str">
        <f>"חשבוניות מרכזות"</f>
        <v>חשבוניות מרכזות</v>
      </c>
      <c r="G3707" t="str">
        <f>"700065"</f>
        <v>700065</v>
      </c>
      <c r="H3707" t="str">
        <f>"אלתא מערכות בע""מ"</f>
        <v>אלתא מערכות בע"מ</v>
      </c>
      <c r="I3707" t="str">
        <f>"10"</f>
        <v>10</v>
      </c>
      <c r="J3707" t="str">
        <f>"CB1500010"</f>
        <v>CB1500010</v>
      </c>
      <c r="K3707" t="str">
        <f>"כבל תקן ימי XTCuZ1-K 4x50"</f>
        <v>כבל תקן ימי XTCuZ1-K 4x50</v>
      </c>
      <c r="L3707">
        <v>40</v>
      </c>
      <c r="M3707" t="str">
        <f>"מטר"</f>
        <v>מטר</v>
      </c>
      <c r="N3707">
        <v>40</v>
      </c>
      <c r="O3707" t="str">
        <f>"מטר"</f>
        <v>מטר</v>
      </c>
      <c r="P3707">
        <v>38.5</v>
      </c>
      <c r="Q3707" t="str">
        <f>"$"</f>
        <v>$</v>
      </c>
      <c r="R3707" t="str">
        <f>"הזמנה"</f>
        <v>הזמנה</v>
      </c>
      <c r="S3707">
        <v>0</v>
      </c>
      <c r="T3707" s="2">
        <v>1540</v>
      </c>
      <c r="U3707">
        <v>0</v>
      </c>
      <c r="V3707" s="2">
        <v>1540</v>
      </c>
      <c r="W3707" t="str">
        <f>"$"</f>
        <v>$</v>
      </c>
      <c r="X3707">
        <v>0</v>
      </c>
      <c r="Y3707">
        <v>0</v>
      </c>
      <c r="Z3707">
        <v>0</v>
      </c>
      <c r="AA3707" t="str">
        <f>"Y"</f>
        <v>Y</v>
      </c>
      <c r="AB3707" t="str">
        <f>"SO20000168"</f>
        <v>SO20000168</v>
      </c>
      <c r="AC3707">
        <v>9</v>
      </c>
      <c r="AD3707" s="1">
        <v>43948</v>
      </c>
      <c r="AE3707" t="str">
        <f>"SH20000821"</f>
        <v>SH20000821</v>
      </c>
      <c r="AF3707" t="str">
        <f>"משלוחים ללקוח"</f>
        <v>משלוחים ללקוח</v>
      </c>
      <c r="AG3707" s="1">
        <v>44004</v>
      </c>
      <c r="AM3707" t="str">
        <f>"10"</f>
        <v>10</v>
      </c>
      <c r="AN3707" t="str">
        <f>"500000"</f>
        <v>500000</v>
      </c>
      <c r="AO3707" t="str">
        <f>"הכנסות  מלקוחות"</f>
        <v>הכנסות  מלקוחות</v>
      </c>
      <c r="AQ3707" t="str">
        <f>"034"</f>
        <v>034</v>
      </c>
      <c r="AR3707">
        <v>0</v>
      </c>
      <c r="AS3707">
        <v>0</v>
      </c>
      <c r="AT3707">
        <v>3.4340000000000002</v>
      </c>
      <c r="AX3707" t="str">
        <f>"E000310582"</f>
        <v>E000310582</v>
      </c>
      <c r="BD3707" t="str">
        <f>"ערן שלו"</f>
        <v>ערן שלו</v>
      </c>
    </row>
    <row r="3708" spans="1:56" x14ac:dyDescent="0.3">
      <c r="A3708" s="1">
        <v>44006</v>
      </c>
      <c r="B3708" t="str">
        <f>"SI206000607"</f>
        <v>SI206000607</v>
      </c>
      <c r="C3708" t="str">
        <f>"PR19000454"</f>
        <v>PR19000454</v>
      </c>
      <c r="D3708" t="str">
        <f>"PR19000454"</f>
        <v>PR19000454</v>
      </c>
      <c r="E3708" t="str">
        <f>"Y"</f>
        <v>Y</v>
      </c>
      <c r="F3708" t="str">
        <f>"חשבוניות מרכזות"</f>
        <v>חשבוניות מרכזות</v>
      </c>
      <c r="G3708" t="str">
        <f>"700065"</f>
        <v>700065</v>
      </c>
      <c r="H3708" t="str">
        <f>"אלתא מערכות בע""מ"</f>
        <v>אלתא מערכות בע"מ</v>
      </c>
      <c r="I3708" t="str">
        <f>"10"</f>
        <v>10</v>
      </c>
      <c r="J3708" t="str">
        <f>"OP-AR01297"</f>
        <v>OP-AR01297</v>
      </c>
      <c r="K3708" t="str">
        <f>"שדרוג יחידה LB PDB"</f>
        <v>שדרוג יחידה LB PDB</v>
      </c>
      <c r="L3708">
        <v>1</v>
      </c>
      <c r="M3708" t="str">
        <f>"יח"</f>
        <v>יח</v>
      </c>
      <c r="N3708">
        <v>1</v>
      </c>
      <c r="O3708" t="str">
        <f>"יח"</f>
        <v>יח</v>
      </c>
      <c r="P3708" s="2">
        <v>2549</v>
      </c>
      <c r="Q3708" t="str">
        <f>"$"</f>
        <v>$</v>
      </c>
      <c r="R3708" t="str">
        <f>"הזמנה"</f>
        <v>הזמנה</v>
      </c>
      <c r="S3708">
        <v>0</v>
      </c>
      <c r="T3708" s="2">
        <v>2549</v>
      </c>
      <c r="U3708">
        <v>0</v>
      </c>
      <c r="V3708" s="2">
        <v>2549</v>
      </c>
      <c r="W3708" t="str">
        <f>"$"</f>
        <v>$</v>
      </c>
      <c r="X3708">
        <v>0</v>
      </c>
      <c r="Y3708">
        <v>0</v>
      </c>
      <c r="Z3708">
        <v>0</v>
      </c>
      <c r="AA3708" t="str">
        <f>"Y"</f>
        <v>Y</v>
      </c>
      <c r="AB3708" t="str">
        <f>"SO20000255"</f>
        <v>SO20000255</v>
      </c>
      <c r="AC3708">
        <v>1</v>
      </c>
      <c r="AD3708" s="1">
        <v>43998</v>
      </c>
      <c r="AE3708" t="str">
        <f>"SH20000791"</f>
        <v>SH20000791</v>
      </c>
      <c r="AF3708" t="str">
        <f>"משלוחים ללקוח"</f>
        <v>משלוחים ללקוח</v>
      </c>
      <c r="AG3708" s="1">
        <v>43999</v>
      </c>
      <c r="AM3708" t="str">
        <f>"10"</f>
        <v>10</v>
      </c>
      <c r="AN3708" t="str">
        <f>"500000"</f>
        <v>500000</v>
      </c>
      <c r="AO3708" t="str">
        <f>"הכנסות  מלקוחות"</f>
        <v>הכנסות  מלקוחות</v>
      </c>
      <c r="AQ3708" t="str">
        <f>"034"</f>
        <v>034</v>
      </c>
      <c r="AR3708">
        <v>0</v>
      </c>
      <c r="AS3708">
        <v>0</v>
      </c>
      <c r="AT3708">
        <v>3.4340000000000002</v>
      </c>
      <c r="AX3708" t="str">
        <f>"E000313284"</f>
        <v>E000313284</v>
      </c>
      <c r="BD3708" t="str">
        <f>"ערן שלו"</f>
        <v>ערן שלו</v>
      </c>
    </row>
    <row r="3709" spans="1:56" x14ac:dyDescent="0.3">
      <c r="A3709" s="1">
        <v>44006</v>
      </c>
      <c r="B3709" t="str">
        <f>"SI206000606"</f>
        <v>SI206000606</v>
      </c>
      <c r="C3709" t="str">
        <f>"PR19000529"</f>
        <v>PR19000529</v>
      </c>
      <c r="E3709" t="str">
        <f>"Y"</f>
        <v>Y</v>
      </c>
      <c r="F3709" t="str">
        <f>"חשבוניות מרכזות"</f>
        <v>חשבוניות מרכזות</v>
      </c>
      <c r="G3709" t="str">
        <f>"700065"</f>
        <v>700065</v>
      </c>
      <c r="H3709" t="str">
        <f>"אלתא מערכות בע""מ"</f>
        <v>אלתא מערכות בע"מ</v>
      </c>
      <c r="I3709" t="str">
        <f>"10"</f>
        <v>10</v>
      </c>
      <c r="J3709" t="str">
        <f>"OP-AR01025"</f>
        <v>OP-AR01025</v>
      </c>
      <c r="K3709" t="str">
        <f>"BATTERY BOX 1039V520-001"</f>
        <v>BATTERY BOX 1039V520-001</v>
      </c>
      <c r="L3709">
        <v>2</v>
      </c>
      <c r="M3709" t="str">
        <f>"יח"</f>
        <v>יח</v>
      </c>
      <c r="N3709">
        <v>2</v>
      </c>
      <c r="O3709" t="str">
        <f>"יח"</f>
        <v>יח</v>
      </c>
      <c r="P3709" s="2">
        <v>5750</v>
      </c>
      <c r="Q3709" t="str">
        <f>"$"</f>
        <v>$</v>
      </c>
      <c r="R3709" t="str">
        <f>"הזמנה"</f>
        <v>הזמנה</v>
      </c>
      <c r="S3709">
        <v>0</v>
      </c>
      <c r="T3709" s="2">
        <v>11500</v>
      </c>
      <c r="U3709">
        <v>0</v>
      </c>
      <c r="V3709" s="2">
        <v>11500</v>
      </c>
      <c r="W3709" t="str">
        <f>"$"</f>
        <v>$</v>
      </c>
      <c r="X3709">
        <v>0</v>
      </c>
      <c r="Y3709">
        <v>0</v>
      </c>
      <c r="Z3709">
        <v>0</v>
      </c>
      <c r="AA3709" t="str">
        <f>"Y"</f>
        <v>Y</v>
      </c>
      <c r="AB3709" t="str">
        <f>"SO19000397"</f>
        <v>SO19000397</v>
      </c>
      <c r="AC3709">
        <v>4</v>
      </c>
      <c r="AD3709" s="1">
        <v>43716</v>
      </c>
      <c r="AE3709" t="str">
        <f>"SH20000805"</f>
        <v>SH20000805</v>
      </c>
      <c r="AF3709" t="str">
        <f>"משלוחים ללקוח"</f>
        <v>משלוחים ללקוח</v>
      </c>
      <c r="AG3709" s="1">
        <v>44003</v>
      </c>
      <c r="AM3709" t="str">
        <f>"10"</f>
        <v>10</v>
      </c>
      <c r="AN3709" t="str">
        <f>"500000"</f>
        <v>500000</v>
      </c>
      <c r="AO3709" t="str">
        <f>"הכנסות  מלקוחות"</f>
        <v>הכנסות  מלקוחות</v>
      </c>
      <c r="AQ3709" t="str">
        <f>"034"</f>
        <v>034</v>
      </c>
      <c r="AR3709">
        <v>0</v>
      </c>
      <c r="AS3709">
        <v>0</v>
      </c>
      <c r="AT3709">
        <v>3.4340000000000002</v>
      </c>
      <c r="AX3709" t="str">
        <f>"E000294050"</f>
        <v>E000294050</v>
      </c>
      <c r="BD3709" t="str">
        <f>"ערן שלו"</f>
        <v>ערן שלו</v>
      </c>
    </row>
    <row r="3710" spans="1:56" x14ac:dyDescent="0.3">
      <c r="A3710" s="1">
        <v>44006</v>
      </c>
      <c r="B3710" t="str">
        <f>"SI206000605"</f>
        <v>SI206000605</v>
      </c>
      <c r="C3710" t="str">
        <f>"PR20000109"</f>
        <v>PR20000109</v>
      </c>
      <c r="D3710" t="str">
        <f>"PR20000109"</f>
        <v>PR20000109</v>
      </c>
      <c r="E3710" t="str">
        <f>"Y"</f>
        <v>Y</v>
      </c>
      <c r="F3710" t="str">
        <f>"חשבוניות מרכזות"</f>
        <v>חשבוניות מרכזות</v>
      </c>
      <c r="G3710" t="str">
        <f>"700065"</f>
        <v>700065</v>
      </c>
      <c r="H3710" t="str">
        <f>"אלתא מערכות בע""מ"</f>
        <v>אלתא מערכות בע"מ</v>
      </c>
      <c r="I3710" t="str">
        <f>"10"</f>
        <v>10</v>
      </c>
      <c r="J3710" t="str">
        <f>"OP-AR00066"</f>
        <v>OP-AR00066</v>
      </c>
      <c r="K3710" t="str">
        <f>"1036H631-001 - QG SGP SERVER RACK"</f>
        <v>1036H631-001 - QG SGP SERVER RACK</v>
      </c>
      <c r="L3710">
        <v>2</v>
      </c>
      <c r="M3710" t="str">
        <f>"יח"</f>
        <v>יח</v>
      </c>
      <c r="N3710">
        <v>2</v>
      </c>
      <c r="O3710" t="str">
        <f>"יח"</f>
        <v>יח</v>
      </c>
      <c r="P3710" s="2">
        <v>7950</v>
      </c>
      <c r="Q3710" t="str">
        <f>"$"</f>
        <v>$</v>
      </c>
      <c r="R3710" t="str">
        <f>"הזמנה"</f>
        <v>הזמנה</v>
      </c>
      <c r="S3710">
        <v>0</v>
      </c>
      <c r="T3710" s="2">
        <v>15900</v>
      </c>
      <c r="U3710">
        <v>0</v>
      </c>
      <c r="V3710" s="2">
        <v>15900</v>
      </c>
      <c r="W3710" t="str">
        <f>"$"</f>
        <v>$</v>
      </c>
      <c r="X3710">
        <v>0</v>
      </c>
      <c r="Y3710">
        <v>0</v>
      </c>
      <c r="Z3710">
        <v>0</v>
      </c>
      <c r="AA3710" t="str">
        <f>"Y"</f>
        <v>Y</v>
      </c>
      <c r="AB3710" t="str">
        <f>"SO20000076"</f>
        <v>SO20000076</v>
      </c>
      <c r="AC3710">
        <v>2</v>
      </c>
      <c r="AD3710" s="1">
        <v>43879</v>
      </c>
      <c r="AE3710" t="str">
        <f>"SH20000792"</f>
        <v>SH20000792</v>
      </c>
      <c r="AF3710" t="str">
        <f>"משלוחים ללקוח"</f>
        <v>משלוחים ללקוח</v>
      </c>
      <c r="AG3710" s="1">
        <v>43999</v>
      </c>
      <c r="AM3710" t="str">
        <f>"10"</f>
        <v>10</v>
      </c>
      <c r="AN3710" t="str">
        <f>"500000"</f>
        <v>500000</v>
      </c>
      <c r="AO3710" t="str">
        <f>"הכנסות  מלקוחות"</f>
        <v>הכנסות  מלקוחות</v>
      </c>
      <c r="AQ3710" t="str">
        <f>"034"</f>
        <v>034</v>
      </c>
      <c r="AR3710">
        <v>0</v>
      </c>
      <c r="AS3710">
        <v>0</v>
      </c>
      <c r="AT3710">
        <v>3.4340000000000002</v>
      </c>
      <c r="AX3710" t="str">
        <f>"E000306236"</f>
        <v>E000306236</v>
      </c>
      <c r="BD3710" t="str">
        <f>"ערן שלו"</f>
        <v>ערן שלו</v>
      </c>
    </row>
    <row r="3711" spans="1:56" x14ac:dyDescent="0.3">
      <c r="A3711" s="1">
        <v>44005</v>
      </c>
      <c r="B3711" t="str">
        <f>"SI206000598"</f>
        <v>SI206000598</v>
      </c>
      <c r="E3711" t="str">
        <f>"Y"</f>
        <v>Y</v>
      </c>
      <c r="F3711" t="str">
        <f>"חשבוניות מרכזות"</f>
        <v>חשבוניות מרכזות</v>
      </c>
      <c r="G3711" t="str">
        <f>"700065"</f>
        <v>700065</v>
      </c>
      <c r="H3711" t="str">
        <f>"אלתא מערכות בע""מ"</f>
        <v>אלתא מערכות בע"מ</v>
      </c>
      <c r="I3711" t="str">
        <f>"10"</f>
        <v>10</v>
      </c>
      <c r="J3711" t="str">
        <f>"OP-AR01691"</f>
        <v>OP-AR01691</v>
      </c>
      <c r="K3711" t="str">
        <f>"עבור נגדיים הזמנה E000306880"</f>
        <v>עבור נגדיים הזמנה E000306880</v>
      </c>
      <c r="L3711">
        <v>1</v>
      </c>
      <c r="M3711" t="str">
        <f>"יח"</f>
        <v>יח</v>
      </c>
      <c r="N3711">
        <v>1</v>
      </c>
      <c r="O3711" t="str">
        <f>"יח"</f>
        <v>יח</v>
      </c>
      <c r="P3711">
        <v>150</v>
      </c>
      <c r="Q3711" t="str">
        <f>"$"</f>
        <v>$</v>
      </c>
      <c r="R3711" t="str">
        <f>"הזמנה"</f>
        <v>הזמנה</v>
      </c>
      <c r="S3711">
        <v>0</v>
      </c>
      <c r="T3711">
        <v>150</v>
      </c>
      <c r="U3711">
        <v>0</v>
      </c>
      <c r="V3711">
        <v>150</v>
      </c>
      <c r="W3711" t="str">
        <f>"$"</f>
        <v>$</v>
      </c>
      <c r="X3711">
        <v>0</v>
      </c>
      <c r="Y3711">
        <v>0</v>
      </c>
      <c r="Z3711">
        <v>0</v>
      </c>
      <c r="AA3711" t="str">
        <f>"Y"</f>
        <v>Y</v>
      </c>
      <c r="AB3711" t="str">
        <f>"SO20000099"</f>
        <v>SO20000099</v>
      </c>
      <c r="AC3711">
        <v>1</v>
      </c>
      <c r="AD3711" s="1">
        <v>43894</v>
      </c>
      <c r="AM3711" t="str">
        <f>"10"</f>
        <v>10</v>
      </c>
      <c r="AN3711" t="str">
        <f>"500000"</f>
        <v>500000</v>
      </c>
      <c r="AO3711" t="str">
        <f>"הכנסות  מלקוחות"</f>
        <v>הכנסות  מלקוחות</v>
      </c>
      <c r="AQ3711" t="str">
        <f>"034"</f>
        <v>034</v>
      </c>
      <c r="AR3711">
        <v>0</v>
      </c>
      <c r="AS3711">
        <v>0</v>
      </c>
      <c r="AT3711">
        <v>3.4460000000000002</v>
      </c>
      <c r="AX3711" t="str">
        <f>"E000306880"</f>
        <v>E000306880</v>
      </c>
      <c r="BD3711" t="str">
        <f>"ערן שלו"</f>
        <v>ערן שלו</v>
      </c>
    </row>
    <row r="3712" spans="1:56" x14ac:dyDescent="0.3">
      <c r="A3712" s="1">
        <v>44004</v>
      </c>
      <c r="B3712" t="str">
        <f>"SI206000593"</f>
        <v>SI206000593</v>
      </c>
      <c r="C3712" t="str">
        <f>"PR20000055"</f>
        <v>PR20000055</v>
      </c>
      <c r="E3712" t="str">
        <f>"Y"</f>
        <v>Y</v>
      </c>
      <c r="F3712" t="str">
        <f>"חשבוניות מרכזות"</f>
        <v>חשבוניות מרכזות</v>
      </c>
      <c r="G3712" t="str">
        <f>"700065"</f>
        <v>700065</v>
      </c>
      <c r="H3712" t="str">
        <f>"אלתא מערכות בע""מ"</f>
        <v>אלתא מערכות בע"מ</v>
      </c>
      <c r="I3712" t="str">
        <f>"10"</f>
        <v>10</v>
      </c>
      <c r="J3712" t="str">
        <f>"OP-AR01614"</f>
        <v>OP-AR01614</v>
      </c>
      <c r="K3712" t="str">
        <f>"9008G215-001 MPC TEST CABLE"</f>
        <v>9008G215-001 MPC TEST CABLE</v>
      </c>
      <c r="L3712">
        <v>1</v>
      </c>
      <c r="M3712" t="str">
        <f>"יח"</f>
        <v>יח</v>
      </c>
      <c r="N3712">
        <v>1</v>
      </c>
      <c r="O3712" t="str">
        <f>"יח"</f>
        <v>יח</v>
      </c>
      <c r="P3712">
        <v>441.39</v>
      </c>
      <c r="Q3712" t="str">
        <f>"$"</f>
        <v>$</v>
      </c>
      <c r="R3712" t="str">
        <f>"הזמנה"</f>
        <v>הזמנה</v>
      </c>
      <c r="S3712">
        <v>0</v>
      </c>
      <c r="T3712">
        <v>441.39</v>
      </c>
      <c r="U3712">
        <v>0</v>
      </c>
      <c r="V3712">
        <v>441.39</v>
      </c>
      <c r="W3712" t="str">
        <f>"$"</f>
        <v>$</v>
      </c>
      <c r="X3712">
        <v>0</v>
      </c>
      <c r="Y3712">
        <v>0</v>
      </c>
      <c r="Z3712">
        <v>0</v>
      </c>
      <c r="AA3712" t="str">
        <f>"Y"</f>
        <v>Y</v>
      </c>
      <c r="AB3712" t="str">
        <f>"SO20000047"</f>
        <v>SO20000047</v>
      </c>
      <c r="AC3712">
        <v>3</v>
      </c>
      <c r="AD3712" s="1">
        <v>43864</v>
      </c>
      <c r="AE3712" t="str">
        <f>"SH20000784"</f>
        <v>SH20000784</v>
      </c>
      <c r="AF3712" t="str">
        <f>"משלוחים ללקוח"</f>
        <v>משלוחים ללקוח</v>
      </c>
      <c r="AG3712" s="1">
        <v>43999</v>
      </c>
      <c r="AM3712" t="str">
        <f>"10"</f>
        <v>10</v>
      </c>
      <c r="AN3712" t="str">
        <f>"500000"</f>
        <v>500000</v>
      </c>
      <c r="AO3712" t="str">
        <f>"הכנסות  מלקוחות"</f>
        <v>הכנסות  מלקוחות</v>
      </c>
      <c r="AQ3712" t="str">
        <f>"034"</f>
        <v>034</v>
      </c>
      <c r="AR3712">
        <v>0</v>
      </c>
      <c r="AS3712">
        <v>0</v>
      </c>
      <c r="AT3712">
        <v>3.4470000000000001</v>
      </c>
      <c r="AX3712" t="str">
        <f>"E000304282"</f>
        <v>E000304282</v>
      </c>
      <c r="BD3712" t="str">
        <f>"ערן שלו"</f>
        <v>ערן שלו</v>
      </c>
    </row>
    <row r="3713" spans="1:56" x14ac:dyDescent="0.3">
      <c r="A3713" s="1">
        <v>44004</v>
      </c>
      <c r="B3713" t="str">
        <f>"SI206000592"</f>
        <v>SI206000592</v>
      </c>
      <c r="C3713" t="str">
        <f>"PR20000110"</f>
        <v>PR20000110</v>
      </c>
      <c r="E3713" t="str">
        <f>"Y"</f>
        <v>Y</v>
      </c>
      <c r="F3713" t="str">
        <f>"חשבוניות מרכזות"</f>
        <v>חשבוניות מרכזות</v>
      </c>
      <c r="G3713" t="str">
        <f>"700065"</f>
        <v>700065</v>
      </c>
      <c r="H3713" t="str">
        <f>"אלתא מערכות בע""מ"</f>
        <v>אלתא מערכות בע"מ</v>
      </c>
      <c r="I3713" t="str">
        <f>"10"</f>
        <v>10</v>
      </c>
      <c r="J3713" t="str">
        <f>"OP-AR01648"</f>
        <v>OP-AR01648</v>
      </c>
      <c r="K3713" t="str">
        <f>"1023B299-001 WA299 CONTROL-GU9 TO PS9"</f>
        <v>1023B299-001 WA299 CONTROL-GU9 TO PS9</v>
      </c>
      <c r="L3713">
        <v>1</v>
      </c>
      <c r="M3713" t="str">
        <f>"יח"</f>
        <v>יח</v>
      </c>
      <c r="N3713">
        <v>1</v>
      </c>
      <c r="O3713" t="str">
        <f>"יח"</f>
        <v>יח</v>
      </c>
      <c r="P3713">
        <v>444.32</v>
      </c>
      <c r="Q3713" t="str">
        <f>"$"</f>
        <v>$</v>
      </c>
      <c r="R3713" t="str">
        <f>"הזמנה"</f>
        <v>הזמנה</v>
      </c>
      <c r="S3713">
        <v>0</v>
      </c>
      <c r="T3713">
        <v>444.32</v>
      </c>
      <c r="U3713">
        <v>0</v>
      </c>
      <c r="V3713">
        <v>444.32</v>
      </c>
      <c r="W3713" t="str">
        <f>"$"</f>
        <v>$</v>
      </c>
      <c r="X3713">
        <v>0</v>
      </c>
      <c r="Y3713">
        <v>0</v>
      </c>
      <c r="Z3713">
        <v>0</v>
      </c>
      <c r="AA3713" t="str">
        <f>"Y"</f>
        <v>Y</v>
      </c>
      <c r="AB3713" t="str">
        <f>"SO20000088"</f>
        <v>SO20000088</v>
      </c>
      <c r="AC3713">
        <v>2</v>
      </c>
      <c r="AD3713" s="1">
        <v>43888</v>
      </c>
      <c r="AE3713" t="str">
        <f>"SH20000786"</f>
        <v>SH20000786</v>
      </c>
      <c r="AF3713" t="str">
        <f>"משלוחים ללקוח"</f>
        <v>משלוחים ללקוח</v>
      </c>
      <c r="AG3713" s="1">
        <v>43999</v>
      </c>
      <c r="AM3713" t="str">
        <f>"10"</f>
        <v>10</v>
      </c>
      <c r="AN3713" t="str">
        <f>"500000"</f>
        <v>500000</v>
      </c>
      <c r="AO3713" t="str">
        <f>"הכנסות  מלקוחות"</f>
        <v>הכנסות  מלקוחות</v>
      </c>
      <c r="AQ3713" t="str">
        <f>"034"</f>
        <v>034</v>
      </c>
      <c r="AR3713">
        <v>0</v>
      </c>
      <c r="AS3713">
        <v>0</v>
      </c>
      <c r="AT3713">
        <v>3.4470000000000001</v>
      </c>
      <c r="AX3713" t="str">
        <f>"E000306881"</f>
        <v>E000306881</v>
      </c>
      <c r="BD3713" t="str">
        <f>"ערן שלו"</f>
        <v>ערן שלו</v>
      </c>
    </row>
    <row r="3714" spans="1:56" x14ac:dyDescent="0.3">
      <c r="A3714" s="1">
        <v>44004</v>
      </c>
      <c r="B3714" t="str">
        <f>"SI206000591"</f>
        <v>SI206000591</v>
      </c>
      <c r="C3714" t="str">
        <f>"PR20000120"</f>
        <v>PR20000120</v>
      </c>
      <c r="D3714" t="str">
        <f>"PR20000120"</f>
        <v>PR20000120</v>
      </c>
      <c r="E3714" t="str">
        <f>"Y"</f>
        <v>Y</v>
      </c>
      <c r="F3714" t="str">
        <f>"חשבוניות מרכזות"</f>
        <v>חשבוניות מרכזות</v>
      </c>
      <c r="G3714" t="str">
        <f>"700065"</f>
        <v>700065</v>
      </c>
      <c r="H3714" t="str">
        <f>"אלתא מערכות בע""מ"</f>
        <v>אלתא מערכות בע"מ</v>
      </c>
      <c r="I3714" t="str">
        <f>"10"</f>
        <v>10</v>
      </c>
      <c r="J3714" t="str">
        <f>"OP-AR01676"</f>
        <v>OP-AR01676</v>
      </c>
      <c r="K3714" t="str">
        <f>"6649E611-001 ANT GPS TBDM"</f>
        <v>6649E611-001 ANT GPS TBDM</v>
      </c>
      <c r="L3714">
        <v>1</v>
      </c>
      <c r="M3714" t="str">
        <f>"יח"</f>
        <v>יח</v>
      </c>
      <c r="N3714">
        <v>1</v>
      </c>
      <c r="O3714" t="str">
        <f>"יח"</f>
        <v>יח</v>
      </c>
      <c r="P3714">
        <v>275.55</v>
      </c>
      <c r="Q3714" t="str">
        <f>"$"</f>
        <v>$</v>
      </c>
      <c r="R3714" t="str">
        <f>"הזמנה"</f>
        <v>הזמנה</v>
      </c>
      <c r="S3714">
        <v>0</v>
      </c>
      <c r="T3714">
        <v>275.55</v>
      </c>
      <c r="U3714">
        <v>0</v>
      </c>
      <c r="V3714">
        <v>275.55</v>
      </c>
      <c r="W3714" t="str">
        <f>"$"</f>
        <v>$</v>
      </c>
      <c r="X3714">
        <v>0</v>
      </c>
      <c r="Y3714">
        <v>0</v>
      </c>
      <c r="Z3714">
        <v>0</v>
      </c>
      <c r="AA3714" t="str">
        <f>"Y"</f>
        <v>Y</v>
      </c>
      <c r="AB3714" t="str">
        <f>"SO20000103"</f>
        <v>SO20000103</v>
      </c>
      <c r="AC3714">
        <v>4</v>
      </c>
      <c r="AD3714" s="1">
        <v>43899</v>
      </c>
      <c r="AE3714" t="str">
        <f>"SH20000785"</f>
        <v>SH20000785</v>
      </c>
      <c r="AF3714" t="str">
        <f>"משלוחים ללקוח"</f>
        <v>משלוחים ללקוח</v>
      </c>
      <c r="AG3714" s="1">
        <v>43999</v>
      </c>
      <c r="AM3714" t="str">
        <f>"10"</f>
        <v>10</v>
      </c>
      <c r="AN3714" t="str">
        <f>"500000"</f>
        <v>500000</v>
      </c>
      <c r="AO3714" t="str">
        <f>"הכנסות  מלקוחות"</f>
        <v>הכנסות  מלקוחות</v>
      </c>
      <c r="AQ3714" t="str">
        <f>"034"</f>
        <v>034</v>
      </c>
      <c r="AR3714">
        <v>0</v>
      </c>
      <c r="AS3714">
        <v>0</v>
      </c>
      <c r="AT3714">
        <v>3.4470000000000001</v>
      </c>
      <c r="AX3714" t="str">
        <f>"E000306153"</f>
        <v>E000306153</v>
      </c>
      <c r="BD3714" t="str">
        <f>"ערן שלו"</f>
        <v>ערן שלו</v>
      </c>
    </row>
    <row r="3715" spans="1:56" x14ac:dyDescent="0.3">
      <c r="A3715" s="1">
        <v>44004</v>
      </c>
      <c r="B3715" t="str">
        <f>"SI206000591"</f>
        <v>SI206000591</v>
      </c>
      <c r="C3715" t="str">
        <f>"PR20000120"</f>
        <v>PR20000120</v>
      </c>
      <c r="D3715" t="str">
        <f>"PR20000120"</f>
        <v>PR20000120</v>
      </c>
      <c r="E3715" t="str">
        <f>"Y"</f>
        <v>Y</v>
      </c>
      <c r="F3715" t="str">
        <f>"חשבוניות מרכזות"</f>
        <v>חשבוניות מרכזות</v>
      </c>
      <c r="G3715" t="str">
        <f>"700065"</f>
        <v>700065</v>
      </c>
      <c r="H3715" t="str">
        <f>"אלתא מערכות בע""מ"</f>
        <v>אלתא מערכות בע"מ</v>
      </c>
      <c r="I3715" t="str">
        <f>"10"</f>
        <v>10</v>
      </c>
      <c r="J3715" t="str">
        <f>"OP-AR01680"</f>
        <v>OP-AR01680</v>
      </c>
      <c r="K3715" t="str">
        <f>"6660E231-001 W231"</f>
        <v>6660E231-001 W231</v>
      </c>
      <c r="L3715">
        <v>1</v>
      </c>
      <c r="M3715" t="str">
        <f>"יח"</f>
        <v>יח</v>
      </c>
      <c r="N3715">
        <v>1</v>
      </c>
      <c r="O3715" t="str">
        <f>"יח"</f>
        <v>יח</v>
      </c>
      <c r="P3715">
        <v>162.36000000000001</v>
      </c>
      <c r="Q3715" t="str">
        <f>"$"</f>
        <v>$</v>
      </c>
      <c r="R3715" t="str">
        <f>"הזמנה"</f>
        <v>הזמנה</v>
      </c>
      <c r="S3715">
        <v>0</v>
      </c>
      <c r="T3715">
        <v>162.36000000000001</v>
      </c>
      <c r="U3715">
        <v>0</v>
      </c>
      <c r="V3715">
        <v>162.36000000000001</v>
      </c>
      <c r="W3715" t="str">
        <f>"$"</f>
        <v>$</v>
      </c>
      <c r="X3715">
        <v>0</v>
      </c>
      <c r="Y3715">
        <v>0</v>
      </c>
      <c r="Z3715">
        <v>0</v>
      </c>
      <c r="AA3715" t="str">
        <f>"Y"</f>
        <v>Y</v>
      </c>
      <c r="AB3715" t="str">
        <f>"SO20000103"</f>
        <v>SO20000103</v>
      </c>
      <c r="AC3715">
        <v>7</v>
      </c>
      <c r="AD3715" s="1">
        <v>43899</v>
      </c>
      <c r="AE3715" t="str">
        <f>"SH20000785"</f>
        <v>SH20000785</v>
      </c>
      <c r="AF3715" t="str">
        <f>"משלוחים ללקוח"</f>
        <v>משלוחים ללקוח</v>
      </c>
      <c r="AG3715" s="1">
        <v>43999</v>
      </c>
      <c r="AM3715" t="str">
        <f>"10"</f>
        <v>10</v>
      </c>
      <c r="AN3715" t="str">
        <f>"500000"</f>
        <v>500000</v>
      </c>
      <c r="AO3715" t="str">
        <f>"הכנסות  מלקוחות"</f>
        <v>הכנסות  מלקוחות</v>
      </c>
      <c r="AQ3715" t="str">
        <f>"034"</f>
        <v>034</v>
      </c>
      <c r="AR3715">
        <v>0</v>
      </c>
      <c r="AS3715">
        <v>0</v>
      </c>
      <c r="AT3715">
        <v>3.4470000000000001</v>
      </c>
      <c r="AX3715" t="str">
        <f>"E000306153"</f>
        <v>E000306153</v>
      </c>
      <c r="BD3715" t="str">
        <f>"ערן שלו"</f>
        <v>ערן שלו</v>
      </c>
    </row>
    <row r="3716" spans="1:56" x14ac:dyDescent="0.3">
      <c r="A3716" s="1">
        <v>44004</v>
      </c>
      <c r="B3716" t="str">
        <f>"SI206000591"</f>
        <v>SI206000591</v>
      </c>
      <c r="C3716" t="str">
        <f>"PR20000120"</f>
        <v>PR20000120</v>
      </c>
      <c r="D3716" t="str">
        <f>"PR20000120"</f>
        <v>PR20000120</v>
      </c>
      <c r="E3716" t="str">
        <f>"Y"</f>
        <v>Y</v>
      </c>
      <c r="F3716" t="str">
        <f>"חשבוניות מרכזות"</f>
        <v>חשבוניות מרכזות</v>
      </c>
      <c r="G3716" t="str">
        <f>"700065"</f>
        <v>700065</v>
      </c>
      <c r="H3716" t="str">
        <f>"אלתא מערכות בע""מ"</f>
        <v>אלתא מערכות בע"מ</v>
      </c>
      <c r="I3716" t="str">
        <f>"10"</f>
        <v>10</v>
      </c>
      <c r="J3716" t="str">
        <f>"OP-AR01674"</f>
        <v>OP-AR01674</v>
      </c>
      <c r="K3716" t="str">
        <f>"6649E322-001 W1292"</f>
        <v>6649E322-001 W1292</v>
      </c>
      <c r="L3716">
        <v>1</v>
      </c>
      <c r="M3716" t="str">
        <f>"יח"</f>
        <v>יח</v>
      </c>
      <c r="N3716">
        <v>1</v>
      </c>
      <c r="O3716" t="str">
        <f>"יח"</f>
        <v>יח</v>
      </c>
      <c r="P3716">
        <v>579.83000000000004</v>
      </c>
      <c r="Q3716" t="str">
        <f>"$"</f>
        <v>$</v>
      </c>
      <c r="R3716" t="str">
        <f>"הזמנה"</f>
        <v>הזמנה</v>
      </c>
      <c r="S3716">
        <v>0</v>
      </c>
      <c r="T3716">
        <v>579.83000000000004</v>
      </c>
      <c r="U3716">
        <v>0</v>
      </c>
      <c r="V3716">
        <v>579.83000000000004</v>
      </c>
      <c r="W3716" t="str">
        <f>"$"</f>
        <v>$</v>
      </c>
      <c r="X3716">
        <v>0</v>
      </c>
      <c r="Y3716">
        <v>0</v>
      </c>
      <c r="Z3716">
        <v>0</v>
      </c>
      <c r="AA3716" t="str">
        <f>"Y"</f>
        <v>Y</v>
      </c>
      <c r="AB3716" t="str">
        <f>"SO20000103"</f>
        <v>SO20000103</v>
      </c>
      <c r="AC3716">
        <v>15</v>
      </c>
      <c r="AD3716" s="1">
        <v>43899</v>
      </c>
      <c r="AE3716" t="str">
        <f>"SH20000785"</f>
        <v>SH20000785</v>
      </c>
      <c r="AF3716" t="str">
        <f>"משלוחים ללקוח"</f>
        <v>משלוחים ללקוח</v>
      </c>
      <c r="AG3716" s="1">
        <v>43999</v>
      </c>
      <c r="AM3716" t="str">
        <f>"10"</f>
        <v>10</v>
      </c>
      <c r="AN3716" t="str">
        <f>"500000"</f>
        <v>500000</v>
      </c>
      <c r="AO3716" t="str">
        <f>"הכנסות  מלקוחות"</f>
        <v>הכנסות  מלקוחות</v>
      </c>
      <c r="AQ3716" t="str">
        <f>"034"</f>
        <v>034</v>
      </c>
      <c r="AR3716">
        <v>0</v>
      </c>
      <c r="AS3716">
        <v>0</v>
      </c>
      <c r="AT3716">
        <v>3.4470000000000001</v>
      </c>
      <c r="AX3716" t="str">
        <f>"E000306153"</f>
        <v>E000306153</v>
      </c>
      <c r="BD3716" t="str">
        <f>"ערן שלו"</f>
        <v>ערן שלו</v>
      </c>
    </row>
    <row r="3717" spans="1:56" x14ac:dyDescent="0.3">
      <c r="A3717" s="1">
        <v>44004</v>
      </c>
      <c r="B3717" t="str">
        <f>"SI206000591"</f>
        <v>SI206000591</v>
      </c>
      <c r="C3717" t="str">
        <f>"PR20000120"</f>
        <v>PR20000120</v>
      </c>
      <c r="D3717" t="str">
        <f>"PR20000120"</f>
        <v>PR20000120</v>
      </c>
      <c r="E3717" t="str">
        <f>"Y"</f>
        <v>Y</v>
      </c>
      <c r="F3717" t="str">
        <f>"חשבוניות מרכזות"</f>
        <v>חשבוניות מרכזות</v>
      </c>
      <c r="G3717" t="str">
        <f>"700065"</f>
        <v>700065</v>
      </c>
      <c r="H3717" t="str">
        <f>"אלתא מערכות בע""מ"</f>
        <v>אלתא מערכות בע"מ</v>
      </c>
      <c r="I3717" t="str">
        <f>"10"</f>
        <v>10</v>
      </c>
      <c r="J3717" t="str">
        <f>"OP-AR01682"</f>
        <v>OP-AR01682</v>
      </c>
      <c r="K3717" t="str">
        <f>"6649J231-001 W7611"</f>
        <v>6649J231-001 W7611</v>
      </c>
      <c r="L3717">
        <v>1</v>
      </c>
      <c r="M3717" t="str">
        <f>"יח"</f>
        <v>יח</v>
      </c>
      <c r="N3717">
        <v>1</v>
      </c>
      <c r="O3717" t="str">
        <f>"יח"</f>
        <v>יח</v>
      </c>
      <c r="P3717">
        <v>346.59</v>
      </c>
      <c r="Q3717" t="str">
        <f>"$"</f>
        <v>$</v>
      </c>
      <c r="R3717" t="str">
        <f>"הזמנה"</f>
        <v>הזמנה</v>
      </c>
      <c r="S3717">
        <v>0</v>
      </c>
      <c r="T3717">
        <v>346.59</v>
      </c>
      <c r="U3717">
        <v>0</v>
      </c>
      <c r="V3717">
        <v>346.59</v>
      </c>
      <c r="W3717" t="str">
        <f>"$"</f>
        <v>$</v>
      </c>
      <c r="X3717">
        <v>0</v>
      </c>
      <c r="Y3717">
        <v>0</v>
      </c>
      <c r="Z3717">
        <v>0</v>
      </c>
      <c r="AA3717" t="str">
        <f>"Y"</f>
        <v>Y</v>
      </c>
      <c r="AB3717" t="str">
        <f>"SO20000103"</f>
        <v>SO20000103</v>
      </c>
      <c r="AC3717">
        <v>19</v>
      </c>
      <c r="AD3717" s="1">
        <v>43899</v>
      </c>
      <c r="AE3717" t="str">
        <f>"SH20000785"</f>
        <v>SH20000785</v>
      </c>
      <c r="AF3717" t="str">
        <f>"משלוחים ללקוח"</f>
        <v>משלוחים ללקוח</v>
      </c>
      <c r="AG3717" s="1">
        <v>43999</v>
      </c>
      <c r="AM3717" t="str">
        <f>"10"</f>
        <v>10</v>
      </c>
      <c r="AN3717" t="str">
        <f>"500000"</f>
        <v>500000</v>
      </c>
      <c r="AO3717" t="str">
        <f>"הכנסות  מלקוחות"</f>
        <v>הכנסות  מלקוחות</v>
      </c>
      <c r="AQ3717" t="str">
        <f>"034"</f>
        <v>034</v>
      </c>
      <c r="AR3717">
        <v>0</v>
      </c>
      <c r="AS3717">
        <v>0</v>
      </c>
      <c r="AT3717">
        <v>3.4470000000000001</v>
      </c>
      <c r="AX3717" t="str">
        <f>"E000306153"</f>
        <v>E000306153</v>
      </c>
      <c r="BD3717" t="str">
        <f>"ערן שלו"</f>
        <v>ערן שלו</v>
      </c>
    </row>
    <row r="3718" spans="1:56" x14ac:dyDescent="0.3">
      <c r="A3718" s="1">
        <v>44004</v>
      </c>
      <c r="B3718" t="str">
        <f>"SI206000591"</f>
        <v>SI206000591</v>
      </c>
      <c r="C3718" t="str">
        <f>"PR20000120"</f>
        <v>PR20000120</v>
      </c>
      <c r="D3718" t="str">
        <f>"PR20000120"</f>
        <v>PR20000120</v>
      </c>
      <c r="E3718" t="str">
        <f>"Y"</f>
        <v>Y</v>
      </c>
      <c r="F3718" t="str">
        <f>"חשבוניות מרכזות"</f>
        <v>חשבוניות מרכזות</v>
      </c>
      <c r="G3718" t="str">
        <f>"700065"</f>
        <v>700065</v>
      </c>
      <c r="H3718" t="str">
        <f>"אלתא מערכות בע""מ"</f>
        <v>אלתא מערכות בע"מ</v>
      </c>
      <c r="I3718" t="str">
        <f>"10"</f>
        <v>10</v>
      </c>
      <c r="J3718" t="str">
        <f>"OP-AR01683"</f>
        <v>OP-AR01683</v>
      </c>
      <c r="K3718" t="str">
        <f>"6660J713-001 W713"</f>
        <v>6660J713-001 W713</v>
      </c>
      <c r="L3718">
        <v>1</v>
      </c>
      <c r="M3718" t="str">
        <f>"יח"</f>
        <v>יח</v>
      </c>
      <c r="N3718">
        <v>1</v>
      </c>
      <c r="O3718" t="str">
        <f>"יח"</f>
        <v>יח</v>
      </c>
      <c r="P3718">
        <v>437.12</v>
      </c>
      <c r="Q3718" t="str">
        <f>"$"</f>
        <v>$</v>
      </c>
      <c r="R3718" t="str">
        <f>"הזמנה"</f>
        <v>הזמנה</v>
      </c>
      <c r="S3718">
        <v>0</v>
      </c>
      <c r="T3718">
        <v>437.12</v>
      </c>
      <c r="U3718">
        <v>0</v>
      </c>
      <c r="V3718">
        <v>437.12</v>
      </c>
      <c r="W3718" t="str">
        <f>"$"</f>
        <v>$</v>
      </c>
      <c r="X3718">
        <v>0</v>
      </c>
      <c r="Y3718">
        <v>0</v>
      </c>
      <c r="Z3718">
        <v>0</v>
      </c>
      <c r="AA3718" t="str">
        <f>"Y"</f>
        <v>Y</v>
      </c>
      <c r="AB3718" t="str">
        <f>"SO20000103"</f>
        <v>SO20000103</v>
      </c>
      <c r="AC3718">
        <v>20</v>
      </c>
      <c r="AD3718" s="1">
        <v>43899</v>
      </c>
      <c r="AE3718" t="str">
        <f>"SH20000785"</f>
        <v>SH20000785</v>
      </c>
      <c r="AF3718" t="str">
        <f>"משלוחים ללקוח"</f>
        <v>משלוחים ללקוח</v>
      </c>
      <c r="AG3718" s="1">
        <v>43999</v>
      </c>
      <c r="AM3718" t="str">
        <f>"10"</f>
        <v>10</v>
      </c>
      <c r="AN3718" t="str">
        <f>"500000"</f>
        <v>500000</v>
      </c>
      <c r="AO3718" t="str">
        <f>"הכנסות  מלקוחות"</f>
        <v>הכנסות  מלקוחות</v>
      </c>
      <c r="AQ3718" t="str">
        <f>"034"</f>
        <v>034</v>
      </c>
      <c r="AR3718">
        <v>0</v>
      </c>
      <c r="AS3718">
        <v>0</v>
      </c>
      <c r="AT3718">
        <v>3.4470000000000001</v>
      </c>
      <c r="AX3718" t="str">
        <f>"E000306153"</f>
        <v>E000306153</v>
      </c>
      <c r="BD3718" t="str">
        <f>"ערן שלו"</f>
        <v>ערן שלו</v>
      </c>
    </row>
    <row r="3719" spans="1:56" x14ac:dyDescent="0.3">
      <c r="A3719" s="1">
        <v>44004</v>
      </c>
      <c r="B3719" t="str">
        <f>"SI206000591"</f>
        <v>SI206000591</v>
      </c>
      <c r="C3719" t="str">
        <f>"PR20000120"</f>
        <v>PR20000120</v>
      </c>
      <c r="D3719" t="str">
        <f>"PR20000120"</f>
        <v>PR20000120</v>
      </c>
      <c r="E3719" t="str">
        <f>"Y"</f>
        <v>Y</v>
      </c>
      <c r="F3719" t="str">
        <f>"חשבוניות מרכזות"</f>
        <v>חשבוניות מרכזות</v>
      </c>
      <c r="G3719" t="str">
        <f>"700065"</f>
        <v>700065</v>
      </c>
      <c r="H3719" t="str">
        <f>"אלתא מערכות בע""מ"</f>
        <v>אלתא מערכות בע"מ</v>
      </c>
      <c r="I3719" t="str">
        <f>"10"</f>
        <v>10</v>
      </c>
      <c r="J3719" t="str">
        <f>"OP-AR01678"</f>
        <v>OP-AR01678</v>
      </c>
      <c r="K3719" t="str">
        <f>"6649E631-001 ANT DOMO N TYPE -TBDM- N TYPE"</f>
        <v>6649E631-001 ANT DOMO N TYPE -TBDM- N TYPE</v>
      </c>
      <c r="L3719">
        <v>1</v>
      </c>
      <c r="M3719" t="str">
        <f>"יח"</f>
        <v>יח</v>
      </c>
      <c r="N3719">
        <v>1</v>
      </c>
      <c r="O3719" t="str">
        <f>"יח"</f>
        <v>יח</v>
      </c>
      <c r="P3719">
        <v>299.57</v>
      </c>
      <c r="Q3719" t="str">
        <f>"$"</f>
        <v>$</v>
      </c>
      <c r="R3719" t="str">
        <f>"הזמנה"</f>
        <v>הזמנה</v>
      </c>
      <c r="S3719">
        <v>0</v>
      </c>
      <c r="T3719">
        <v>299.57</v>
      </c>
      <c r="U3719">
        <v>0</v>
      </c>
      <c r="V3719">
        <v>299.57</v>
      </c>
      <c r="W3719" t="str">
        <f>"$"</f>
        <v>$</v>
      </c>
      <c r="X3719">
        <v>0</v>
      </c>
      <c r="Y3719">
        <v>0</v>
      </c>
      <c r="Z3719">
        <v>0</v>
      </c>
      <c r="AA3719" t="str">
        <f>"Y"</f>
        <v>Y</v>
      </c>
      <c r="AB3719" t="str">
        <f>"SO20000103"</f>
        <v>SO20000103</v>
      </c>
      <c r="AC3719">
        <v>6</v>
      </c>
      <c r="AD3719" s="1">
        <v>43899</v>
      </c>
      <c r="AE3719" t="str">
        <f>"SH20000785"</f>
        <v>SH20000785</v>
      </c>
      <c r="AF3719" t="str">
        <f>"משלוחים ללקוח"</f>
        <v>משלוחים ללקוח</v>
      </c>
      <c r="AG3719" s="1">
        <v>43999</v>
      </c>
      <c r="AM3719" t="str">
        <f>"10"</f>
        <v>10</v>
      </c>
      <c r="AN3719" t="str">
        <f>"500000"</f>
        <v>500000</v>
      </c>
      <c r="AO3719" t="str">
        <f>"הכנסות  מלקוחות"</f>
        <v>הכנסות  מלקוחות</v>
      </c>
      <c r="AQ3719" t="str">
        <f>"034"</f>
        <v>034</v>
      </c>
      <c r="AR3719">
        <v>0</v>
      </c>
      <c r="AS3719">
        <v>0</v>
      </c>
      <c r="AT3719">
        <v>3.4470000000000001</v>
      </c>
      <c r="AX3719" t="str">
        <f>"E000306153"</f>
        <v>E000306153</v>
      </c>
      <c r="BD3719" t="str">
        <f>"ערן שלו"</f>
        <v>ערן שלו</v>
      </c>
    </row>
    <row r="3720" spans="1:56" x14ac:dyDescent="0.3">
      <c r="A3720" s="1">
        <v>44004</v>
      </c>
      <c r="B3720" t="str">
        <f>"SI206000591"</f>
        <v>SI206000591</v>
      </c>
      <c r="C3720" t="str">
        <f>"PR20000120"</f>
        <v>PR20000120</v>
      </c>
      <c r="D3720" t="str">
        <f>"PR20000120"</f>
        <v>PR20000120</v>
      </c>
      <c r="E3720" t="str">
        <f>"Y"</f>
        <v>Y</v>
      </c>
      <c r="F3720" t="str">
        <f>"חשבוניות מרכזות"</f>
        <v>חשבוניות מרכזות</v>
      </c>
      <c r="G3720" t="str">
        <f>"700065"</f>
        <v>700065</v>
      </c>
      <c r="H3720" t="str">
        <f>"אלתא מערכות בע""מ"</f>
        <v>אלתא מערכות בע"מ</v>
      </c>
      <c r="I3720" t="str">
        <f>"10"</f>
        <v>10</v>
      </c>
      <c r="J3720" t="str">
        <f>"OP-AR01677"</f>
        <v>OP-AR01677</v>
      </c>
      <c r="K3720" t="str">
        <f>"6649E612-001 ANT DGPS TBDM"</f>
        <v>6649E612-001 ANT DGPS TBDM</v>
      </c>
      <c r="L3720">
        <v>1</v>
      </c>
      <c r="M3720" t="str">
        <f>"יח"</f>
        <v>יח</v>
      </c>
      <c r="N3720">
        <v>1</v>
      </c>
      <c r="O3720" t="str">
        <f>"יח"</f>
        <v>יח</v>
      </c>
      <c r="P3720">
        <v>266.10000000000002</v>
      </c>
      <c r="Q3720" t="str">
        <f>"$"</f>
        <v>$</v>
      </c>
      <c r="R3720" t="str">
        <f>"הזמנה"</f>
        <v>הזמנה</v>
      </c>
      <c r="S3720">
        <v>0</v>
      </c>
      <c r="T3720">
        <v>266.10000000000002</v>
      </c>
      <c r="U3720">
        <v>0</v>
      </c>
      <c r="V3720">
        <v>266.10000000000002</v>
      </c>
      <c r="W3720" t="str">
        <f>"$"</f>
        <v>$</v>
      </c>
      <c r="X3720">
        <v>0</v>
      </c>
      <c r="Y3720">
        <v>0</v>
      </c>
      <c r="Z3720">
        <v>0</v>
      </c>
      <c r="AA3720" t="str">
        <f>"Y"</f>
        <v>Y</v>
      </c>
      <c r="AB3720" t="str">
        <f>"SO20000103"</f>
        <v>SO20000103</v>
      </c>
      <c r="AC3720">
        <v>5</v>
      </c>
      <c r="AD3720" s="1">
        <v>43899</v>
      </c>
      <c r="AE3720" t="str">
        <f>"SH20000785"</f>
        <v>SH20000785</v>
      </c>
      <c r="AF3720" t="str">
        <f>"משלוחים ללקוח"</f>
        <v>משלוחים ללקוח</v>
      </c>
      <c r="AG3720" s="1">
        <v>43999</v>
      </c>
      <c r="AM3720" t="str">
        <f>"10"</f>
        <v>10</v>
      </c>
      <c r="AN3720" t="str">
        <f>"500000"</f>
        <v>500000</v>
      </c>
      <c r="AO3720" t="str">
        <f>"הכנסות  מלקוחות"</f>
        <v>הכנסות  מלקוחות</v>
      </c>
      <c r="AQ3720" t="str">
        <f>"034"</f>
        <v>034</v>
      </c>
      <c r="AR3720">
        <v>0</v>
      </c>
      <c r="AS3720">
        <v>0</v>
      </c>
      <c r="AT3720">
        <v>3.4470000000000001</v>
      </c>
      <c r="AX3720" t="str">
        <f>"E000306153"</f>
        <v>E000306153</v>
      </c>
      <c r="BD3720" t="str">
        <f>"ערן שלו"</f>
        <v>ערן שלו</v>
      </c>
    </row>
    <row r="3721" spans="1:56" x14ac:dyDescent="0.3">
      <c r="A3721" s="1">
        <v>44004</v>
      </c>
      <c r="B3721" t="str">
        <f>"SI206000590"</f>
        <v>SI206000590</v>
      </c>
      <c r="C3721" t="str">
        <f>"PR19000731"</f>
        <v>PR19000731</v>
      </c>
      <c r="E3721" t="str">
        <f>"Y"</f>
        <v>Y</v>
      </c>
      <c r="F3721" t="str">
        <f>"חשבוניות מרכזות"</f>
        <v>חשבוניות מרכזות</v>
      </c>
      <c r="G3721" t="str">
        <f>"700065"</f>
        <v>700065</v>
      </c>
      <c r="H3721" t="str">
        <f>"אלתא מערכות בע""מ"</f>
        <v>אלתא מערכות בע"מ</v>
      </c>
      <c r="I3721" t="str">
        <f>"10"</f>
        <v>10</v>
      </c>
      <c r="J3721" t="str">
        <f>"OP-AR01584"</f>
        <v>OP-AR01584</v>
      </c>
      <c r="K3721" t="str">
        <f>"9004W744-001 HARNESS WS104 RP TO TX"</f>
        <v>9004W744-001 HARNESS WS104 RP TO TX</v>
      </c>
      <c r="L3721">
        <v>1</v>
      </c>
      <c r="M3721" t="str">
        <f>"יח"</f>
        <v>יח</v>
      </c>
      <c r="N3721">
        <v>1</v>
      </c>
      <c r="O3721" t="str">
        <f>"יח"</f>
        <v>יח</v>
      </c>
      <c r="P3721">
        <v>438.4</v>
      </c>
      <c r="Q3721" t="str">
        <f>"$"</f>
        <v>$</v>
      </c>
      <c r="R3721" t="str">
        <f>"הזמנה"</f>
        <v>הזמנה</v>
      </c>
      <c r="S3721">
        <v>0</v>
      </c>
      <c r="T3721">
        <v>438.4</v>
      </c>
      <c r="U3721">
        <v>0</v>
      </c>
      <c r="V3721">
        <v>438.4</v>
      </c>
      <c r="W3721" t="str">
        <f>"$"</f>
        <v>$</v>
      </c>
      <c r="X3721">
        <v>0</v>
      </c>
      <c r="Y3721">
        <v>0</v>
      </c>
      <c r="Z3721">
        <v>0</v>
      </c>
      <c r="AA3721" t="str">
        <f>"Y"</f>
        <v>Y</v>
      </c>
      <c r="AB3721" t="str">
        <f>"SO19000524"</f>
        <v>SO19000524</v>
      </c>
      <c r="AC3721">
        <v>32</v>
      </c>
      <c r="AD3721" s="1">
        <v>43809</v>
      </c>
      <c r="AE3721" t="str">
        <f>"SH20000789"</f>
        <v>SH20000789</v>
      </c>
      <c r="AF3721" t="str">
        <f>"משלוחים ללקוח"</f>
        <v>משלוחים ללקוח</v>
      </c>
      <c r="AG3721" s="1">
        <v>43999</v>
      </c>
      <c r="AM3721" t="str">
        <f>"10"</f>
        <v>10</v>
      </c>
      <c r="AN3721" t="str">
        <f>"500000"</f>
        <v>500000</v>
      </c>
      <c r="AO3721" t="str">
        <f>"הכנסות  מלקוחות"</f>
        <v>הכנסות  מלקוחות</v>
      </c>
      <c r="AQ3721" t="str">
        <f>"034"</f>
        <v>034</v>
      </c>
      <c r="AR3721">
        <v>0</v>
      </c>
      <c r="AS3721">
        <v>0</v>
      </c>
      <c r="AT3721">
        <v>3.4470000000000001</v>
      </c>
      <c r="AX3721" t="str">
        <f>"E000300228"</f>
        <v>E000300228</v>
      </c>
      <c r="BD3721" t="str">
        <f>"ערן שלו"</f>
        <v>ערן שלו</v>
      </c>
    </row>
    <row r="3722" spans="1:56" x14ac:dyDescent="0.3">
      <c r="A3722" s="1">
        <v>44004</v>
      </c>
      <c r="B3722" t="str">
        <f>"SI206000590"</f>
        <v>SI206000590</v>
      </c>
      <c r="C3722" t="str">
        <f>"PR19000731"</f>
        <v>PR19000731</v>
      </c>
      <c r="E3722" t="str">
        <f>"Y"</f>
        <v>Y</v>
      </c>
      <c r="F3722" t="str">
        <f>"חשבוניות מרכזות"</f>
        <v>חשבוניות מרכזות</v>
      </c>
      <c r="G3722" t="str">
        <f>"700065"</f>
        <v>700065</v>
      </c>
      <c r="H3722" t="str">
        <f>"אלתא מערכות בע""מ"</f>
        <v>אלתא מערכות בע"מ</v>
      </c>
      <c r="I3722" t="str">
        <f>"10"</f>
        <v>10</v>
      </c>
      <c r="J3722" t="str">
        <f>"OP-AR01585"</f>
        <v>OP-AR01585</v>
      </c>
      <c r="K3722" t="str">
        <f>"9004W745-001 HARNESS WS105 RP VIDEO SIGNALS"</f>
        <v>9004W745-001 HARNESS WS105 RP VIDEO SIGNALS</v>
      </c>
      <c r="L3722">
        <v>2</v>
      </c>
      <c r="M3722" t="str">
        <f>"יח"</f>
        <v>יח</v>
      </c>
      <c r="N3722">
        <v>2</v>
      </c>
      <c r="O3722" t="str">
        <f>"יח"</f>
        <v>יח</v>
      </c>
      <c r="P3722">
        <v>838.3</v>
      </c>
      <c r="Q3722" t="str">
        <f>"$"</f>
        <v>$</v>
      </c>
      <c r="R3722" t="str">
        <f>"הזמנה"</f>
        <v>הזמנה</v>
      </c>
      <c r="S3722">
        <v>0</v>
      </c>
      <c r="T3722" s="2">
        <v>1676.6</v>
      </c>
      <c r="U3722">
        <v>0</v>
      </c>
      <c r="V3722" s="2">
        <v>1676.6</v>
      </c>
      <c r="W3722" t="str">
        <f>"$"</f>
        <v>$</v>
      </c>
      <c r="X3722">
        <v>0</v>
      </c>
      <c r="Y3722">
        <v>0</v>
      </c>
      <c r="Z3722">
        <v>0</v>
      </c>
      <c r="AA3722" t="str">
        <f>"Y"</f>
        <v>Y</v>
      </c>
      <c r="AB3722" t="str">
        <f>"SO19000524"</f>
        <v>SO19000524</v>
      </c>
      <c r="AC3722">
        <v>35</v>
      </c>
      <c r="AD3722" s="1">
        <v>43809</v>
      </c>
      <c r="AE3722" t="str">
        <f>"SH20000789"</f>
        <v>SH20000789</v>
      </c>
      <c r="AF3722" t="str">
        <f>"משלוחים ללקוח"</f>
        <v>משלוחים ללקוח</v>
      </c>
      <c r="AG3722" s="1">
        <v>43999</v>
      </c>
      <c r="AM3722" t="str">
        <f>"10"</f>
        <v>10</v>
      </c>
      <c r="AN3722" t="str">
        <f>"500000"</f>
        <v>500000</v>
      </c>
      <c r="AO3722" t="str">
        <f>"הכנסות  מלקוחות"</f>
        <v>הכנסות  מלקוחות</v>
      </c>
      <c r="AQ3722" t="str">
        <f>"034"</f>
        <v>034</v>
      </c>
      <c r="AR3722">
        <v>0</v>
      </c>
      <c r="AS3722">
        <v>0</v>
      </c>
      <c r="AT3722">
        <v>3.4470000000000001</v>
      </c>
      <c r="AX3722" t="str">
        <f>"E000300228"</f>
        <v>E000300228</v>
      </c>
      <c r="BD3722" t="str">
        <f>"ערן שלו"</f>
        <v>ערן שלו</v>
      </c>
    </row>
    <row r="3723" spans="1:56" x14ac:dyDescent="0.3">
      <c r="A3723" s="1">
        <v>44004</v>
      </c>
      <c r="B3723" t="str">
        <f>"SI206000589"</f>
        <v>SI206000589</v>
      </c>
      <c r="C3723" t="str">
        <f>"PR19000731"</f>
        <v>PR19000731</v>
      </c>
      <c r="E3723" t="str">
        <f>"Y"</f>
        <v>Y</v>
      </c>
      <c r="F3723" t="str">
        <f>"חשבוניות מרכזות"</f>
        <v>חשבוניות מרכזות</v>
      </c>
      <c r="G3723" t="str">
        <f>"700065"</f>
        <v>700065</v>
      </c>
      <c r="H3723" t="str">
        <f>"אלתא מערכות בע""מ"</f>
        <v>אלתא מערכות בע"מ</v>
      </c>
      <c r="I3723" t="str">
        <f>"10"</f>
        <v>10</v>
      </c>
      <c r="J3723" t="str">
        <f>"OP-AR01585"</f>
        <v>OP-AR01585</v>
      </c>
      <c r="K3723" t="str">
        <f>"9004W745-001 HARNESS WS105 RP VIDEO SIGNALS"</f>
        <v>9004W745-001 HARNESS WS105 RP VIDEO SIGNALS</v>
      </c>
      <c r="L3723">
        <v>1</v>
      </c>
      <c r="M3723" t="str">
        <f>"יח"</f>
        <v>יח</v>
      </c>
      <c r="N3723">
        <v>1</v>
      </c>
      <c r="O3723" t="str">
        <f>"יח"</f>
        <v>יח</v>
      </c>
      <c r="P3723">
        <v>838.3</v>
      </c>
      <c r="Q3723" t="str">
        <f>"$"</f>
        <v>$</v>
      </c>
      <c r="R3723" t="str">
        <f>"הזמנה"</f>
        <v>הזמנה</v>
      </c>
      <c r="S3723">
        <v>0</v>
      </c>
      <c r="T3723">
        <v>838.3</v>
      </c>
      <c r="U3723">
        <v>0</v>
      </c>
      <c r="V3723">
        <v>838.3</v>
      </c>
      <c r="W3723" t="str">
        <f>"$"</f>
        <v>$</v>
      </c>
      <c r="X3723">
        <v>0</v>
      </c>
      <c r="Y3723">
        <v>0</v>
      </c>
      <c r="Z3723">
        <v>0</v>
      </c>
      <c r="AA3723" t="str">
        <f>"Y"</f>
        <v>Y</v>
      </c>
      <c r="AB3723" t="str">
        <f>"SO19000524"</f>
        <v>SO19000524</v>
      </c>
      <c r="AC3723">
        <v>35</v>
      </c>
      <c r="AD3723" s="1">
        <v>43809</v>
      </c>
      <c r="AE3723" t="str">
        <f>"SH20000790"</f>
        <v>SH20000790</v>
      </c>
      <c r="AF3723" t="str">
        <f>"משלוחים ללקוח"</f>
        <v>משלוחים ללקוח</v>
      </c>
      <c r="AG3723" s="1">
        <v>43999</v>
      </c>
      <c r="AM3723" t="str">
        <f>"10"</f>
        <v>10</v>
      </c>
      <c r="AN3723" t="str">
        <f>"500000"</f>
        <v>500000</v>
      </c>
      <c r="AO3723" t="str">
        <f>"הכנסות  מלקוחות"</f>
        <v>הכנסות  מלקוחות</v>
      </c>
      <c r="AQ3723" t="str">
        <f>"034"</f>
        <v>034</v>
      </c>
      <c r="AR3723">
        <v>0</v>
      </c>
      <c r="AS3723">
        <v>0</v>
      </c>
      <c r="AT3723">
        <v>3.4470000000000001</v>
      </c>
      <c r="AX3723" t="str">
        <f>"E000300228"</f>
        <v>E000300228</v>
      </c>
      <c r="BD3723" t="str">
        <f>"ערן שלו"</f>
        <v>ערן שלו</v>
      </c>
    </row>
    <row r="3724" spans="1:56" x14ac:dyDescent="0.3">
      <c r="A3724" s="1">
        <v>44004</v>
      </c>
      <c r="B3724" t="str">
        <f>"SI206000589"</f>
        <v>SI206000589</v>
      </c>
      <c r="C3724" t="str">
        <f>"PR19000731"</f>
        <v>PR19000731</v>
      </c>
      <c r="E3724" t="str">
        <f>"Y"</f>
        <v>Y</v>
      </c>
      <c r="F3724" t="str">
        <f>"חשבוניות מרכזות"</f>
        <v>חשבוניות מרכזות</v>
      </c>
      <c r="G3724" t="str">
        <f>"700065"</f>
        <v>700065</v>
      </c>
      <c r="H3724" t="str">
        <f>"אלתא מערכות בע""מ"</f>
        <v>אלתא מערכות בע"מ</v>
      </c>
      <c r="I3724" t="str">
        <f>"10"</f>
        <v>10</v>
      </c>
      <c r="J3724" t="str">
        <f>"OP-AR01587"</f>
        <v>OP-AR01587</v>
      </c>
      <c r="K3724" t="str">
        <f>"9004W747-001 HARNESS WS107 ANT MOT DRV"</f>
        <v>9004W747-001 HARNESS WS107 ANT MOT DRV</v>
      </c>
      <c r="L3724">
        <v>1</v>
      </c>
      <c r="M3724" t="str">
        <f>"יח"</f>
        <v>יח</v>
      </c>
      <c r="N3724">
        <v>1</v>
      </c>
      <c r="O3724" t="str">
        <f>"יח"</f>
        <v>יח</v>
      </c>
      <c r="P3724">
        <v>658.16</v>
      </c>
      <c r="Q3724" t="str">
        <f>"$"</f>
        <v>$</v>
      </c>
      <c r="R3724" t="str">
        <f>"הזמנה"</f>
        <v>הזמנה</v>
      </c>
      <c r="S3724">
        <v>0</v>
      </c>
      <c r="T3724">
        <v>658.16</v>
      </c>
      <c r="U3724">
        <v>0</v>
      </c>
      <c r="V3724">
        <v>658.16</v>
      </c>
      <c r="W3724" t="str">
        <f>"$"</f>
        <v>$</v>
      </c>
      <c r="X3724">
        <v>0</v>
      </c>
      <c r="Y3724">
        <v>0</v>
      </c>
      <c r="Z3724">
        <v>0</v>
      </c>
      <c r="AA3724" t="str">
        <f>"Y"</f>
        <v>Y</v>
      </c>
      <c r="AB3724" t="str">
        <f>"SO19000524"</f>
        <v>SO19000524</v>
      </c>
      <c r="AC3724">
        <v>41</v>
      </c>
      <c r="AD3724" s="1">
        <v>43809</v>
      </c>
      <c r="AE3724" t="str">
        <f>"SH20000790"</f>
        <v>SH20000790</v>
      </c>
      <c r="AF3724" t="str">
        <f>"משלוחים ללקוח"</f>
        <v>משלוחים ללקוח</v>
      </c>
      <c r="AG3724" s="1">
        <v>43999</v>
      </c>
      <c r="AM3724" t="str">
        <f>"10"</f>
        <v>10</v>
      </c>
      <c r="AN3724" t="str">
        <f>"500000"</f>
        <v>500000</v>
      </c>
      <c r="AO3724" t="str">
        <f>"הכנסות  מלקוחות"</f>
        <v>הכנסות  מלקוחות</v>
      </c>
      <c r="AQ3724" t="str">
        <f>"034"</f>
        <v>034</v>
      </c>
      <c r="AR3724">
        <v>0</v>
      </c>
      <c r="AS3724">
        <v>0</v>
      </c>
      <c r="AT3724">
        <v>3.4470000000000001</v>
      </c>
      <c r="AX3724" t="str">
        <f>"E000300228"</f>
        <v>E000300228</v>
      </c>
      <c r="BD3724" t="str">
        <f>"ערן שלו"</f>
        <v>ערן שלו</v>
      </c>
    </row>
    <row r="3725" spans="1:56" x14ac:dyDescent="0.3">
      <c r="A3725" s="1">
        <v>44004</v>
      </c>
      <c r="B3725" t="str">
        <f>"SI206000588"</f>
        <v>SI206000588</v>
      </c>
      <c r="C3725" t="str">
        <f>"PR20000122"</f>
        <v>PR20000122</v>
      </c>
      <c r="E3725" t="str">
        <f>"Y"</f>
        <v>Y</v>
      </c>
      <c r="F3725" t="str">
        <f>"חשבוניות מרכזות"</f>
        <v>חשבוניות מרכזות</v>
      </c>
      <c r="G3725" t="str">
        <f>"700065"</f>
        <v>700065</v>
      </c>
      <c r="H3725" t="str">
        <f>"אלתא מערכות בע""מ"</f>
        <v>אלתא מערכות בע"מ</v>
      </c>
      <c r="I3725" t="str">
        <f>"10"</f>
        <v>10</v>
      </c>
      <c r="J3725" t="str">
        <f>"OP-AR01690"</f>
        <v>OP-AR01690</v>
      </c>
      <c r="K3725" t="str">
        <f>"1032F971-001 HARNESS WB971 LAB RSU NG P7 DEBUG"</f>
        <v>1032F971-001 HARNESS WB971 LAB RSU NG P7 DEBUG</v>
      </c>
      <c r="L3725">
        <v>3</v>
      </c>
      <c r="M3725" t="str">
        <f>"יח"</f>
        <v>יח</v>
      </c>
      <c r="N3725">
        <v>3</v>
      </c>
      <c r="O3725" t="str">
        <f>"יח"</f>
        <v>יח</v>
      </c>
      <c r="P3725">
        <v>470.94</v>
      </c>
      <c r="Q3725" t="str">
        <f>"$"</f>
        <v>$</v>
      </c>
      <c r="R3725" t="str">
        <f>"הזמנה"</f>
        <v>הזמנה</v>
      </c>
      <c r="S3725">
        <v>0</v>
      </c>
      <c r="T3725" s="2">
        <v>1412.82</v>
      </c>
      <c r="U3725">
        <v>0</v>
      </c>
      <c r="V3725" s="2">
        <v>1412.82</v>
      </c>
      <c r="W3725" t="str">
        <f>"$"</f>
        <v>$</v>
      </c>
      <c r="X3725">
        <v>0</v>
      </c>
      <c r="Y3725">
        <v>0</v>
      </c>
      <c r="Z3725">
        <v>0</v>
      </c>
      <c r="AA3725" t="str">
        <f>"Y"</f>
        <v>Y</v>
      </c>
      <c r="AB3725" t="str">
        <f>"SO20000099"</f>
        <v>SO20000099</v>
      </c>
      <c r="AC3725">
        <v>2</v>
      </c>
      <c r="AD3725" s="1">
        <v>43894</v>
      </c>
      <c r="AE3725" t="str">
        <f>"SH20000787"</f>
        <v>SH20000787</v>
      </c>
      <c r="AF3725" t="str">
        <f>"משלוחים ללקוח"</f>
        <v>משלוחים ללקוח</v>
      </c>
      <c r="AG3725" s="1">
        <v>43999</v>
      </c>
      <c r="AM3725" t="str">
        <f>"10"</f>
        <v>10</v>
      </c>
      <c r="AN3725" t="str">
        <f>"500000"</f>
        <v>500000</v>
      </c>
      <c r="AO3725" t="str">
        <f>"הכנסות  מלקוחות"</f>
        <v>הכנסות  מלקוחות</v>
      </c>
      <c r="AQ3725" t="str">
        <f>"034"</f>
        <v>034</v>
      </c>
      <c r="AR3725">
        <v>0</v>
      </c>
      <c r="AS3725">
        <v>0</v>
      </c>
      <c r="AT3725">
        <v>3.4470000000000001</v>
      </c>
      <c r="AX3725" t="str">
        <f>"E000306880"</f>
        <v>E000306880</v>
      </c>
      <c r="BD3725" t="str">
        <f>"ערן שלו"</f>
        <v>ערן שלו</v>
      </c>
    </row>
    <row r="3726" spans="1:56" x14ac:dyDescent="0.3">
      <c r="A3726" s="1">
        <v>44004</v>
      </c>
      <c r="B3726" t="str">
        <f>"SI206000587"</f>
        <v>SI206000587</v>
      </c>
      <c r="C3726" t="str">
        <f>"PR19000609"</f>
        <v>PR19000609</v>
      </c>
      <c r="E3726" t="str">
        <f>"Y"</f>
        <v>Y</v>
      </c>
      <c r="F3726" t="str">
        <f>"חשבוניות מרכזות"</f>
        <v>חשבוניות מרכזות</v>
      </c>
      <c r="G3726" t="str">
        <f>"700065"</f>
        <v>700065</v>
      </c>
      <c r="H3726" t="str">
        <f>"אלתא מערכות בע""מ"</f>
        <v>אלתא מערכות בע"מ</v>
      </c>
      <c r="I3726" t="str">
        <f>"10"</f>
        <v>10</v>
      </c>
      <c r="J3726" t="str">
        <f>"OP-AR01088"</f>
        <v>OP-AR01088</v>
      </c>
      <c r="K3726" t="str">
        <f>"1038H185-001 SRASR POWER DISTRIUTION UNIT"</f>
        <v>1038H185-001 SRASR POWER DISTRIUTION UNIT</v>
      </c>
      <c r="L3726">
        <v>1</v>
      </c>
      <c r="M3726" t="str">
        <f>"יח"</f>
        <v>יח</v>
      </c>
      <c r="N3726">
        <v>1</v>
      </c>
      <c r="O3726" t="str">
        <f>"יח"</f>
        <v>יח</v>
      </c>
      <c r="P3726" s="2">
        <v>12950</v>
      </c>
      <c r="Q3726" t="str">
        <f>"$"</f>
        <v>$</v>
      </c>
      <c r="R3726" t="str">
        <f>"הזמנה"</f>
        <v>הזמנה</v>
      </c>
      <c r="S3726">
        <v>0</v>
      </c>
      <c r="T3726" s="2">
        <v>12950</v>
      </c>
      <c r="U3726">
        <v>0</v>
      </c>
      <c r="V3726" s="2">
        <v>12950</v>
      </c>
      <c r="W3726" t="str">
        <f>"$"</f>
        <v>$</v>
      </c>
      <c r="X3726">
        <v>0</v>
      </c>
      <c r="Y3726">
        <v>0</v>
      </c>
      <c r="Z3726">
        <v>0</v>
      </c>
      <c r="AA3726" t="str">
        <f>"Y"</f>
        <v>Y</v>
      </c>
      <c r="AB3726" t="str">
        <f>"SO19000424"</f>
        <v>SO19000424</v>
      </c>
      <c r="AC3726">
        <v>1</v>
      </c>
      <c r="AD3726" s="1">
        <v>43731</v>
      </c>
      <c r="AE3726" t="str">
        <f>"SH20000772"</f>
        <v>SH20000772</v>
      </c>
      <c r="AF3726" t="str">
        <f>"משלוחים ללקוח"</f>
        <v>משלוחים ללקוח</v>
      </c>
      <c r="AG3726" s="1">
        <v>43999</v>
      </c>
      <c r="AM3726" t="str">
        <f>"10"</f>
        <v>10</v>
      </c>
      <c r="AN3726" t="str">
        <f>"500000"</f>
        <v>500000</v>
      </c>
      <c r="AO3726" t="str">
        <f>"הכנסות  מלקוחות"</f>
        <v>הכנסות  מלקוחות</v>
      </c>
      <c r="AQ3726" t="str">
        <f>"034"</f>
        <v>034</v>
      </c>
      <c r="AR3726">
        <v>0</v>
      </c>
      <c r="AS3726">
        <v>0</v>
      </c>
      <c r="AT3726">
        <v>3.4470000000000001</v>
      </c>
      <c r="AX3726" t="str">
        <f>"E000296067"</f>
        <v>E000296067</v>
      </c>
      <c r="BD3726" t="str">
        <f>"ערן שלו"</f>
        <v>ערן שלו</v>
      </c>
    </row>
    <row r="3727" spans="1:56" x14ac:dyDescent="0.3">
      <c r="A3727" s="1">
        <v>44004</v>
      </c>
      <c r="B3727" t="str">
        <f>"SI206000587"</f>
        <v>SI206000587</v>
      </c>
      <c r="C3727" t="str">
        <f>"PR19000609"</f>
        <v>PR19000609</v>
      </c>
      <c r="E3727" t="str">
        <f>"Y"</f>
        <v>Y</v>
      </c>
      <c r="F3727" t="str">
        <f>"חשבוניות מרכזות"</f>
        <v>חשבוניות מרכזות</v>
      </c>
      <c r="G3727" t="str">
        <f>"700065"</f>
        <v>700065</v>
      </c>
      <c r="H3727" t="str">
        <f>"אלתא מערכות בע""מ"</f>
        <v>אלתא מערכות בע"מ</v>
      </c>
      <c r="I3727" t="str">
        <f>"10"</f>
        <v>10</v>
      </c>
      <c r="J3727" t="str">
        <f>"OP-AR01088"</f>
        <v>OP-AR01088</v>
      </c>
      <c r="K3727" t="str">
        <f>"1038H185-001 SRASR POWER DISTRIUTION UNIT"</f>
        <v>1038H185-001 SRASR POWER DISTRIUTION UNIT</v>
      </c>
      <c r="L3727">
        <v>1</v>
      </c>
      <c r="M3727" t="str">
        <f>"יח"</f>
        <v>יח</v>
      </c>
      <c r="N3727">
        <v>1</v>
      </c>
      <c r="O3727" t="str">
        <f>"יח"</f>
        <v>יח</v>
      </c>
      <c r="P3727" s="2">
        <v>12950</v>
      </c>
      <c r="Q3727" t="str">
        <f>"$"</f>
        <v>$</v>
      </c>
      <c r="R3727" t="str">
        <f>"הזמנה"</f>
        <v>הזמנה</v>
      </c>
      <c r="S3727">
        <v>0</v>
      </c>
      <c r="T3727" s="2">
        <v>12950</v>
      </c>
      <c r="U3727">
        <v>0</v>
      </c>
      <c r="V3727" s="2">
        <v>12950</v>
      </c>
      <c r="W3727" t="str">
        <f>"$"</f>
        <v>$</v>
      </c>
      <c r="X3727">
        <v>0</v>
      </c>
      <c r="Y3727">
        <v>0</v>
      </c>
      <c r="Z3727">
        <v>0</v>
      </c>
      <c r="AA3727" t="str">
        <f>"Y"</f>
        <v>Y</v>
      </c>
      <c r="AB3727" t="str">
        <f>"SO19000424"</f>
        <v>SO19000424</v>
      </c>
      <c r="AC3727">
        <v>2</v>
      </c>
      <c r="AD3727" s="1">
        <v>43731</v>
      </c>
      <c r="AE3727" t="str">
        <f>"SH20000772"</f>
        <v>SH20000772</v>
      </c>
      <c r="AF3727" t="str">
        <f>"משלוחים ללקוח"</f>
        <v>משלוחים ללקוח</v>
      </c>
      <c r="AG3727" s="1">
        <v>43999</v>
      </c>
      <c r="AM3727" t="str">
        <f>"10"</f>
        <v>10</v>
      </c>
      <c r="AN3727" t="str">
        <f>"500000"</f>
        <v>500000</v>
      </c>
      <c r="AO3727" t="str">
        <f>"הכנסות  מלקוחות"</f>
        <v>הכנסות  מלקוחות</v>
      </c>
      <c r="AQ3727" t="str">
        <f>"034"</f>
        <v>034</v>
      </c>
      <c r="AR3727">
        <v>0</v>
      </c>
      <c r="AS3727">
        <v>0</v>
      </c>
      <c r="AT3727">
        <v>3.4470000000000001</v>
      </c>
      <c r="AX3727" t="str">
        <f>"E000296067"</f>
        <v>E000296067</v>
      </c>
      <c r="BD3727" t="str">
        <f>"ערן שלו"</f>
        <v>ערן שלו</v>
      </c>
    </row>
    <row r="3728" spans="1:56" x14ac:dyDescent="0.3">
      <c r="A3728" s="1">
        <v>43991</v>
      </c>
      <c r="B3728" t="str">
        <f>"SI206000571"</f>
        <v>SI206000571</v>
      </c>
      <c r="C3728" t="str">
        <f>"PR19000750"</f>
        <v>PR19000750</v>
      </c>
      <c r="E3728" t="str">
        <f>"Y"</f>
        <v>Y</v>
      </c>
      <c r="F3728" t="str">
        <f>"חשבוניות מרכזות"</f>
        <v>חשבוניות מרכזות</v>
      </c>
      <c r="G3728" t="str">
        <f>"700065"</f>
        <v>700065</v>
      </c>
      <c r="H3728" t="str">
        <f>"אלתא מערכות בע""מ"</f>
        <v>אלתא מערכות בע"מ</v>
      </c>
      <c r="I3728" t="str">
        <f>"11"</f>
        <v>11</v>
      </c>
      <c r="J3728" t="str">
        <f>"OP-KT00102"</f>
        <v>OP-KT00102</v>
      </c>
      <c r="K3728" t="str">
        <f>"קיט ברגים 1037C504-001 PDB6/7"</f>
        <v>קיט ברגים 1037C504-001 PDB6/7</v>
      </c>
      <c r="L3728">
        <v>2</v>
      </c>
      <c r="M3728" t="str">
        <f>"יח"</f>
        <v>יח</v>
      </c>
      <c r="N3728">
        <v>2</v>
      </c>
      <c r="O3728" t="str">
        <f>"יח"</f>
        <v>יח</v>
      </c>
      <c r="P3728">
        <v>0.01</v>
      </c>
      <c r="Q3728" t="str">
        <f>"$"</f>
        <v>$</v>
      </c>
      <c r="R3728" t="str">
        <f>"הזמנה"</f>
        <v>הזמנה</v>
      </c>
      <c r="S3728">
        <v>0</v>
      </c>
      <c r="T3728">
        <v>0.02</v>
      </c>
      <c r="U3728">
        <v>0</v>
      </c>
      <c r="V3728">
        <v>0.02</v>
      </c>
      <c r="W3728" t="str">
        <f>"$"</f>
        <v>$</v>
      </c>
      <c r="X3728">
        <v>0</v>
      </c>
      <c r="Y3728">
        <v>0</v>
      </c>
      <c r="Z3728">
        <v>0</v>
      </c>
      <c r="AA3728" t="str">
        <f>"Y"</f>
        <v>Y</v>
      </c>
      <c r="AB3728" t="str">
        <f>"SO19000156"</f>
        <v>SO19000156</v>
      </c>
      <c r="AC3728">
        <v>49</v>
      </c>
      <c r="AD3728" s="1">
        <v>43562</v>
      </c>
      <c r="AE3728" t="str">
        <f>"SH20000706"</f>
        <v>SH20000706</v>
      </c>
      <c r="AF3728" t="str">
        <f>"משלוחים ללקוח"</f>
        <v>משלוחים ללקוח</v>
      </c>
      <c r="AG3728" s="1">
        <v>43985</v>
      </c>
      <c r="AM3728" t="str">
        <f>"10"</f>
        <v>10</v>
      </c>
      <c r="AN3728" t="str">
        <f>"500000"</f>
        <v>500000</v>
      </c>
      <c r="AO3728" t="str">
        <f>"הכנסות  מלקוחות"</f>
        <v>הכנסות  מלקוחות</v>
      </c>
      <c r="AQ3728" t="str">
        <f>"034"</f>
        <v>034</v>
      </c>
      <c r="AR3728">
        <v>0</v>
      </c>
      <c r="AS3728">
        <v>0</v>
      </c>
      <c r="AT3728">
        <v>3.4620000000000002</v>
      </c>
      <c r="AX3728" t="str">
        <f>"E000270896"</f>
        <v>E000270896</v>
      </c>
      <c r="BD3728" t="str">
        <f>"ערן שלו"</f>
        <v>ערן שלו</v>
      </c>
    </row>
    <row r="3729" spans="1:56" x14ac:dyDescent="0.3">
      <c r="A3729" s="1">
        <v>43991</v>
      </c>
      <c r="B3729" t="str">
        <f>"SI206000571"</f>
        <v>SI206000571</v>
      </c>
      <c r="C3729" t="str">
        <f>"PR19000750"</f>
        <v>PR19000750</v>
      </c>
      <c r="E3729" t="str">
        <f>"Y"</f>
        <v>Y</v>
      </c>
      <c r="F3729" t="str">
        <f>"חשבוניות מרכזות"</f>
        <v>חשבוניות מרכזות</v>
      </c>
      <c r="G3729" t="str">
        <f>"700065"</f>
        <v>700065</v>
      </c>
      <c r="H3729" t="str">
        <f>"אלתא מערכות בע""מ"</f>
        <v>אלתא מערכות בע"מ</v>
      </c>
      <c r="I3729" t="str">
        <f>"11"</f>
        <v>11</v>
      </c>
      <c r="J3729" t="str">
        <f>"OP-KT00103"</f>
        <v>OP-KT00103</v>
      </c>
      <c r="K3729" t="str">
        <f>"קיט ברגים 1037C514-001 PDB9"</f>
        <v>קיט ברגים 1037C514-001 PDB9</v>
      </c>
      <c r="L3729">
        <v>1</v>
      </c>
      <c r="M3729" t="str">
        <f>"יח"</f>
        <v>יח</v>
      </c>
      <c r="N3729">
        <v>1</v>
      </c>
      <c r="O3729" t="str">
        <f>"יח"</f>
        <v>יח</v>
      </c>
      <c r="P3729">
        <v>0.01</v>
      </c>
      <c r="Q3729" t="str">
        <f>"$"</f>
        <v>$</v>
      </c>
      <c r="R3729" t="str">
        <f>"הזמנה"</f>
        <v>הזמנה</v>
      </c>
      <c r="S3729">
        <v>0</v>
      </c>
      <c r="T3729">
        <v>0.01</v>
      </c>
      <c r="U3729">
        <v>0</v>
      </c>
      <c r="V3729">
        <v>0.01</v>
      </c>
      <c r="W3729" t="str">
        <f>"$"</f>
        <v>$</v>
      </c>
      <c r="X3729">
        <v>0</v>
      </c>
      <c r="Y3729">
        <v>0</v>
      </c>
      <c r="Z3729">
        <v>0</v>
      </c>
      <c r="AA3729" t="str">
        <f>"Y"</f>
        <v>Y</v>
      </c>
      <c r="AB3729" t="str">
        <f>"SO19000156"</f>
        <v>SO19000156</v>
      </c>
      <c r="AC3729">
        <v>50</v>
      </c>
      <c r="AD3729" s="1">
        <v>43562</v>
      </c>
      <c r="AE3729" t="str">
        <f>"SH20000706"</f>
        <v>SH20000706</v>
      </c>
      <c r="AF3729" t="str">
        <f>"משלוחים ללקוח"</f>
        <v>משלוחים ללקוח</v>
      </c>
      <c r="AG3729" s="1">
        <v>43985</v>
      </c>
      <c r="AM3729" t="str">
        <f>"10"</f>
        <v>10</v>
      </c>
      <c r="AN3729" t="str">
        <f>"500000"</f>
        <v>500000</v>
      </c>
      <c r="AO3729" t="str">
        <f>"הכנסות  מלקוחות"</f>
        <v>הכנסות  מלקוחות</v>
      </c>
      <c r="AQ3729" t="str">
        <f>"034"</f>
        <v>034</v>
      </c>
      <c r="AR3729">
        <v>0</v>
      </c>
      <c r="AS3729">
        <v>0</v>
      </c>
      <c r="AT3729">
        <v>3.4620000000000002</v>
      </c>
      <c r="AX3729" t="str">
        <f>"E000270896"</f>
        <v>E000270896</v>
      </c>
      <c r="BD3729" t="str">
        <f>"ערן שלו"</f>
        <v>ערן שלו</v>
      </c>
    </row>
    <row r="3730" spans="1:56" x14ac:dyDescent="0.3">
      <c r="A3730" s="1">
        <v>43991</v>
      </c>
      <c r="B3730" t="str">
        <f>"SI206000571"</f>
        <v>SI206000571</v>
      </c>
      <c r="C3730" t="str">
        <f>"PR19000750"</f>
        <v>PR19000750</v>
      </c>
      <c r="E3730" t="str">
        <f>"Y"</f>
        <v>Y</v>
      </c>
      <c r="F3730" t="str">
        <f>"חשבוניות מרכזות"</f>
        <v>חשבוניות מרכזות</v>
      </c>
      <c r="G3730" t="str">
        <f>"700065"</f>
        <v>700065</v>
      </c>
      <c r="H3730" t="str">
        <f>"אלתא מערכות בע""מ"</f>
        <v>אלתא מערכות בע"מ</v>
      </c>
      <c r="I3730" t="str">
        <f>"11"</f>
        <v>11</v>
      </c>
      <c r="J3730" t="str">
        <f>"OP-KT00105"</f>
        <v>OP-KT00105</v>
      </c>
      <c r="K3730" t="str">
        <f>"קיט ברגים 1037C544-001 Transformer 01/02"</f>
        <v>קיט ברגים 1037C544-001 Transformer 01/02</v>
      </c>
      <c r="L3730">
        <v>2</v>
      </c>
      <c r="M3730" t="str">
        <f>"יח"</f>
        <v>יח</v>
      </c>
      <c r="N3730">
        <v>2</v>
      </c>
      <c r="O3730" t="str">
        <f>"יח"</f>
        <v>יח</v>
      </c>
      <c r="P3730">
        <v>0.01</v>
      </c>
      <c r="Q3730" t="str">
        <f>"$"</f>
        <v>$</v>
      </c>
      <c r="R3730" t="str">
        <f>"הזמנה"</f>
        <v>הזמנה</v>
      </c>
      <c r="S3730">
        <v>0</v>
      </c>
      <c r="T3730">
        <v>0.02</v>
      </c>
      <c r="U3730">
        <v>0</v>
      </c>
      <c r="V3730">
        <v>0.02</v>
      </c>
      <c r="W3730" t="str">
        <f>"$"</f>
        <v>$</v>
      </c>
      <c r="X3730">
        <v>0</v>
      </c>
      <c r="Y3730">
        <v>0</v>
      </c>
      <c r="Z3730">
        <v>0</v>
      </c>
      <c r="AA3730" t="str">
        <f>"Y"</f>
        <v>Y</v>
      </c>
      <c r="AB3730" t="str">
        <f>"SO19000156"</f>
        <v>SO19000156</v>
      </c>
      <c r="AC3730">
        <v>51</v>
      </c>
      <c r="AD3730" s="1">
        <v>43562</v>
      </c>
      <c r="AE3730" t="str">
        <f>"SH20000706"</f>
        <v>SH20000706</v>
      </c>
      <c r="AF3730" t="str">
        <f>"משלוחים ללקוח"</f>
        <v>משלוחים ללקוח</v>
      </c>
      <c r="AG3730" s="1">
        <v>43985</v>
      </c>
      <c r="AM3730" t="str">
        <f>"10"</f>
        <v>10</v>
      </c>
      <c r="AN3730" t="str">
        <f>"500000"</f>
        <v>500000</v>
      </c>
      <c r="AO3730" t="str">
        <f>"הכנסות  מלקוחות"</f>
        <v>הכנסות  מלקוחות</v>
      </c>
      <c r="AQ3730" t="str">
        <f>"034"</f>
        <v>034</v>
      </c>
      <c r="AR3730">
        <v>0</v>
      </c>
      <c r="AS3730">
        <v>0</v>
      </c>
      <c r="AT3730">
        <v>3.4620000000000002</v>
      </c>
      <c r="AX3730" t="str">
        <f>"E000270896"</f>
        <v>E000270896</v>
      </c>
      <c r="BD3730" t="str">
        <f>"ערן שלו"</f>
        <v>ערן שלו</v>
      </c>
    </row>
    <row r="3731" spans="1:56" x14ac:dyDescent="0.3">
      <c r="A3731" s="1">
        <v>43991</v>
      </c>
      <c r="B3731" t="str">
        <f>"SI206000571"</f>
        <v>SI206000571</v>
      </c>
      <c r="C3731" t="str">
        <f>"PR19000750"</f>
        <v>PR19000750</v>
      </c>
      <c r="E3731" t="str">
        <f>"Y"</f>
        <v>Y</v>
      </c>
      <c r="F3731" t="str">
        <f>"חשבוניות מרכזות"</f>
        <v>חשבוניות מרכזות</v>
      </c>
      <c r="G3731" t="str">
        <f>"700065"</f>
        <v>700065</v>
      </c>
      <c r="H3731" t="str">
        <f>"אלתא מערכות בע""מ"</f>
        <v>אלתא מערכות בע"מ</v>
      </c>
      <c r="I3731" t="str">
        <f>"11"</f>
        <v>11</v>
      </c>
      <c r="J3731" t="str">
        <f>"OP-KT00106"</f>
        <v>OP-KT00106</v>
      </c>
      <c r="K3731" t="str">
        <f>"קיט ברגים 1037C554-001 Transformer 03"</f>
        <v>קיט ברגים 1037C554-001 Transformer 03</v>
      </c>
      <c r="L3731">
        <v>1</v>
      </c>
      <c r="M3731" t="str">
        <f>"יח"</f>
        <v>יח</v>
      </c>
      <c r="N3731">
        <v>1</v>
      </c>
      <c r="O3731" t="str">
        <f>"יח"</f>
        <v>יח</v>
      </c>
      <c r="P3731">
        <v>0.01</v>
      </c>
      <c r="Q3731" t="str">
        <f>"$"</f>
        <v>$</v>
      </c>
      <c r="R3731" t="str">
        <f>"הזמנה"</f>
        <v>הזמנה</v>
      </c>
      <c r="S3731">
        <v>0</v>
      </c>
      <c r="T3731">
        <v>0.01</v>
      </c>
      <c r="U3731">
        <v>0</v>
      </c>
      <c r="V3731">
        <v>0.01</v>
      </c>
      <c r="W3731" t="str">
        <f>"$"</f>
        <v>$</v>
      </c>
      <c r="X3731">
        <v>0</v>
      </c>
      <c r="Y3731">
        <v>0</v>
      </c>
      <c r="Z3731">
        <v>0</v>
      </c>
      <c r="AA3731" t="str">
        <f>"Y"</f>
        <v>Y</v>
      </c>
      <c r="AB3731" t="str">
        <f>"SO19000156"</f>
        <v>SO19000156</v>
      </c>
      <c r="AC3731">
        <v>52</v>
      </c>
      <c r="AD3731" s="1">
        <v>43562</v>
      </c>
      <c r="AE3731" t="str">
        <f>"SH20000706"</f>
        <v>SH20000706</v>
      </c>
      <c r="AF3731" t="str">
        <f>"משלוחים ללקוח"</f>
        <v>משלוחים ללקוח</v>
      </c>
      <c r="AG3731" s="1">
        <v>43985</v>
      </c>
      <c r="AM3731" t="str">
        <f>"10"</f>
        <v>10</v>
      </c>
      <c r="AN3731" t="str">
        <f>"500000"</f>
        <v>500000</v>
      </c>
      <c r="AO3731" t="str">
        <f>"הכנסות  מלקוחות"</f>
        <v>הכנסות  מלקוחות</v>
      </c>
      <c r="AQ3731" t="str">
        <f>"034"</f>
        <v>034</v>
      </c>
      <c r="AR3731">
        <v>0</v>
      </c>
      <c r="AS3731">
        <v>0</v>
      </c>
      <c r="AT3731">
        <v>3.4620000000000002</v>
      </c>
      <c r="AX3731" t="str">
        <f>"E000270896"</f>
        <v>E000270896</v>
      </c>
      <c r="BD3731" t="str">
        <f>"ערן שלו"</f>
        <v>ערן שלו</v>
      </c>
    </row>
    <row r="3732" spans="1:56" x14ac:dyDescent="0.3">
      <c r="A3732" s="1">
        <v>43989</v>
      </c>
      <c r="B3732" t="str">
        <f>"SI206000563"</f>
        <v>SI206000563</v>
      </c>
      <c r="C3732" t="str">
        <f>"PR19000750"</f>
        <v>PR19000750</v>
      </c>
      <c r="E3732" t="str">
        <f>"Y"</f>
        <v>Y</v>
      </c>
      <c r="F3732" t="str">
        <f>"חשבוניות מרכזות"</f>
        <v>חשבוניות מרכזות</v>
      </c>
      <c r="G3732" t="str">
        <f>"700065"</f>
        <v>700065</v>
      </c>
      <c r="H3732" t="str">
        <f>"אלתא מערכות בע""מ"</f>
        <v>אלתא מערכות בע"מ</v>
      </c>
      <c r="I3732" t="str">
        <f>"11"</f>
        <v>11</v>
      </c>
      <c r="J3732" t="str">
        <f>"OP-KT00102"</f>
        <v>OP-KT00102</v>
      </c>
      <c r="K3732" t="str">
        <f>"קיט ברגים 1037C504-001 PDB6/7"</f>
        <v>קיט ברגים 1037C504-001 PDB6/7</v>
      </c>
      <c r="L3732">
        <v>-2</v>
      </c>
      <c r="M3732" t="str">
        <f>"יח"</f>
        <v>יח</v>
      </c>
      <c r="N3732">
        <v>-2</v>
      </c>
      <c r="O3732" t="str">
        <f>"יח"</f>
        <v>יח</v>
      </c>
      <c r="P3732">
        <v>0.1</v>
      </c>
      <c r="Q3732" t="str">
        <f>"$"</f>
        <v>$</v>
      </c>
      <c r="R3732" t="str">
        <f>"הזמנה"</f>
        <v>הזמנה</v>
      </c>
      <c r="S3732">
        <v>0</v>
      </c>
      <c r="T3732">
        <v>-0.2</v>
      </c>
      <c r="U3732">
        <v>0</v>
      </c>
      <c r="V3732">
        <v>-0.2</v>
      </c>
      <c r="W3732" t="str">
        <f>"$"</f>
        <v>$</v>
      </c>
      <c r="X3732">
        <v>0</v>
      </c>
      <c r="Y3732">
        <v>0</v>
      </c>
      <c r="Z3732">
        <v>0</v>
      </c>
      <c r="AA3732" t="str">
        <f>"Y"</f>
        <v>Y</v>
      </c>
      <c r="AC3732">
        <v>0</v>
      </c>
      <c r="AM3732" t="str">
        <f>"10"</f>
        <v>10</v>
      </c>
      <c r="AN3732" t="str">
        <f>"500000"</f>
        <v>500000</v>
      </c>
      <c r="AO3732" t="str">
        <f>"הכנסות  מלקוחות"</f>
        <v>הכנסות  מלקוחות</v>
      </c>
      <c r="AQ3732" t="str">
        <f>"034"</f>
        <v>034</v>
      </c>
      <c r="AR3732">
        <v>0</v>
      </c>
      <c r="AS3732">
        <v>0</v>
      </c>
      <c r="AT3732">
        <v>3.4550000000000001</v>
      </c>
      <c r="BB3732" t="str">
        <f>"Y"</f>
        <v>Y</v>
      </c>
      <c r="BD3732" t="str">
        <f>"ערן שלו"</f>
        <v>ערן שלו</v>
      </c>
    </row>
    <row r="3733" spans="1:56" x14ac:dyDescent="0.3">
      <c r="A3733" s="1">
        <v>43989</v>
      </c>
      <c r="B3733" t="str">
        <f>"SI206000563"</f>
        <v>SI206000563</v>
      </c>
      <c r="C3733" t="str">
        <f>"PR19000750"</f>
        <v>PR19000750</v>
      </c>
      <c r="E3733" t="str">
        <f>"Y"</f>
        <v>Y</v>
      </c>
      <c r="F3733" t="str">
        <f>"חשבוניות מרכזות"</f>
        <v>חשבוניות מרכזות</v>
      </c>
      <c r="G3733" t="str">
        <f>"700065"</f>
        <v>700065</v>
      </c>
      <c r="H3733" t="str">
        <f>"אלתא מערכות בע""מ"</f>
        <v>אלתא מערכות בע"מ</v>
      </c>
      <c r="I3733" t="str">
        <f>"11"</f>
        <v>11</v>
      </c>
      <c r="J3733" t="str">
        <f>"OP-KT00103"</f>
        <v>OP-KT00103</v>
      </c>
      <c r="K3733" t="str">
        <f>"קיט ברגים 1037C514-001 PDB9"</f>
        <v>קיט ברגים 1037C514-001 PDB9</v>
      </c>
      <c r="L3733">
        <v>-1</v>
      </c>
      <c r="M3733" t="str">
        <f>"יח"</f>
        <v>יח</v>
      </c>
      <c r="N3733">
        <v>-1</v>
      </c>
      <c r="O3733" t="str">
        <f>"יח"</f>
        <v>יח</v>
      </c>
      <c r="P3733">
        <v>0.1</v>
      </c>
      <c r="Q3733" t="str">
        <f>"$"</f>
        <v>$</v>
      </c>
      <c r="R3733" t="str">
        <f>"הזמנה"</f>
        <v>הזמנה</v>
      </c>
      <c r="S3733">
        <v>0</v>
      </c>
      <c r="T3733">
        <v>-0.1</v>
      </c>
      <c r="U3733">
        <v>0</v>
      </c>
      <c r="V3733">
        <v>-0.1</v>
      </c>
      <c r="W3733" t="str">
        <f>"$"</f>
        <v>$</v>
      </c>
      <c r="X3733">
        <v>0</v>
      </c>
      <c r="Y3733">
        <v>0</v>
      </c>
      <c r="Z3733">
        <v>0</v>
      </c>
      <c r="AA3733" t="str">
        <f>"Y"</f>
        <v>Y</v>
      </c>
      <c r="AC3733">
        <v>0</v>
      </c>
      <c r="AM3733" t="str">
        <f>"10"</f>
        <v>10</v>
      </c>
      <c r="AN3733" t="str">
        <f>"500000"</f>
        <v>500000</v>
      </c>
      <c r="AO3733" t="str">
        <f>"הכנסות  מלקוחות"</f>
        <v>הכנסות  מלקוחות</v>
      </c>
      <c r="AQ3733" t="str">
        <f>"034"</f>
        <v>034</v>
      </c>
      <c r="AR3733">
        <v>0</v>
      </c>
      <c r="AS3733">
        <v>0</v>
      </c>
      <c r="AT3733">
        <v>3.4550000000000001</v>
      </c>
      <c r="BB3733" t="str">
        <f>"Y"</f>
        <v>Y</v>
      </c>
      <c r="BD3733" t="str">
        <f>"ערן שלו"</f>
        <v>ערן שלו</v>
      </c>
    </row>
    <row r="3734" spans="1:56" x14ac:dyDescent="0.3">
      <c r="A3734" s="1">
        <v>43989</v>
      </c>
      <c r="B3734" t="str">
        <f>"SI206000563"</f>
        <v>SI206000563</v>
      </c>
      <c r="C3734" t="str">
        <f>"PR19000750"</f>
        <v>PR19000750</v>
      </c>
      <c r="E3734" t="str">
        <f>"Y"</f>
        <v>Y</v>
      </c>
      <c r="F3734" t="str">
        <f>"חשבוניות מרכזות"</f>
        <v>חשבוניות מרכזות</v>
      </c>
      <c r="G3734" t="str">
        <f>"700065"</f>
        <v>700065</v>
      </c>
      <c r="H3734" t="str">
        <f>"אלתא מערכות בע""מ"</f>
        <v>אלתא מערכות בע"מ</v>
      </c>
      <c r="I3734" t="str">
        <f>"11"</f>
        <v>11</v>
      </c>
      <c r="J3734" t="str">
        <f>"OP-KT00105"</f>
        <v>OP-KT00105</v>
      </c>
      <c r="K3734" t="str">
        <f>"קיט ברגים 1037C544-001 Transformer 01/02"</f>
        <v>קיט ברגים 1037C544-001 Transformer 01/02</v>
      </c>
      <c r="L3734">
        <v>-2</v>
      </c>
      <c r="M3734" t="str">
        <f>"יח"</f>
        <v>יח</v>
      </c>
      <c r="N3734">
        <v>-2</v>
      </c>
      <c r="O3734" t="str">
        <f>"יח"</f>
        <v>יח</v>
      </c>
      <c r="P3734">
        <v>0.1</v>
      </c>
      <c r="Q3734" t="str">
        <f>"$"</f>
        <v>$</v>
      </c>
      <c r="R3734" t="str">
        <f>"הזמנה"</f>
        <v>הזמנה</v>
      </c>
      <c r="S3734">
        <v>0</v>
      </c>
      <c r="T3734">
        <v>-0.2</v>
      </c>
      <c r="U3734">
        <v>0</v>
      </c>
      <c r="V3734">
        <v>-0.2</v>
      </c>
      <c r="W3734" t="str">
        <f>"$"</f>
        <v>$</v>
      </c>
      <c r="X3734">
        <v>0</v>
      </c>
      <c r="Y3734">
        <v>0</v>
      </c>
      <c r="Z3734">
        <v>0</v>
      </c>
      <c r="AA3734" t="str">
        <f>"Y"</f>
        <v>Y</v>
      </c>
      <c r="AC3734">
        <v>0</v>
      </c>
      <c r="AM3734" t="str">
        <f>"10"</f>
        <v>10</v>
      </c>
      <c r="AN3734" t="str">
        <f>"500000"</f>
        <v>500000</v>
      </c>
      <c r="AO3734" t="str">
        <f>"הכנסות  מלקוחות"</f>
        <v>הכנסות  מלקוחות</v>
      </c>
      <c r="AQ3734" t="str">
        <f>"034"</f>
        <v>034</v>
      </c>
      <c r="AR3734">
        <v>0</v>
      </c>
      <c r="AS3734">
        <v>0</v>
      </c>
      <c r="AT3734">
        <v>3.4550000000000001</v>
      </c>
      <c r="BB3734" t="str">
        <f>"Y"</f>
        <v>Y</v>
      </c>
      <c r="BD3734" t="str">
        <f>"ערן שלו"</f>
        <v>ערן שלו</v>
      </c>
    </row>
    <row r="3735" spans="1:56" x14ac:dyDescent="0.3">
      <c r="A3735" s="1">
        <v>43989</v>
      </c>
      <c r="B3735" t="str">
        <f>"SI206000563"</f>
        <v>SI206000563</v>
      </c>
      <c r="C3735" t="str">
        <f>"PR19000750"</f>
        <v>PR19000750</v>
      </c>
      <c r="E3735" t="str">
        <f>"Y"</f>
        <v>Y</v>
      </c>
      <c r="F3735" t="str">
        <f>"חשבוניות מרכזות"</f>
        <v>חשבוניות מרכזות</v>
      </c>
      <c r="G3735" t="str">
        <f>"700065"</f>
        <v>700065</v>
      </c>
      <c r="H3735" t="str">
        <f>"אלתא מערכות בע""מ"</f>
        <v>אלתא מערכות בע"מ</v>
      </c>
      <c r="I3735" t="str">
        <f>"11"</f>
        <v>11</v>
      </c>
      <c r="J3735" t="str">
        <f>"OP-KT00106"</f>
        <v>OP-KT00106</v>
      </c>
      <c r="K3735" t="str">
        <f>"קיט ברגים 1037C554-001 Transformer 03"</f>
        <v>קיט ברגים 1037C554-001 Transformer 03</v>
      </c>
      <c r="L3735">
        <v>-1</v>
      </c>
      <c r="M3735" t="str">
        <f>"יח"</f>
        <v>יח</v>
      </c>
      <c r="N3735">
        <v>-1</v>
      </c>
      <c r="O3735" t="str">
        <f>"יח"</f>
        <v>יח</v>
      </c>
      <c r="P3735">
        <v>0.1</v>
      </c>
      <c r="Q3735" t="str">
        <f>"$"</f>
        <v>$</v>
      </c>
      <c r="R3735" t="str">
        <f>"הזמנה"</f>
        <v>הזמנה</v>
      </c>
      <c r="S3735">
        <v>0</v>
      </c>
      <c r="T3735">
        <v>-0.1</v>
      </c>
      <c r="U3735">
        <v>0</v>
      </c>
      <c r="V3735">
        <v>-0.1</v>
      </c>
      <c r="W3735" t="str">
        <f>"$"</f>
        <v>$</v>
      </c>
      <c r="X3735">
        <v>0</v>
      </c>
      <c r="Y3735">
        <v>0</v>
      </c>
      <c r="Z3735">
        <v>0</v>
      </c>
      <c r="AA3735" t="str">
        <f>"Y"</f>
        <v>Y</v>
      </c>
      <c r="AC3735">
        <v>0</v>
      </c>
      <c r="AM3735" t="str">
        <f>"10"</f>
        <v>10</v>
      </c>
      <c r="AN3735" t="str">
        <f>"500000"</f>
        <v>500000</v>
      </c>
      <c r="AO3735" t="str">
        <f>"הכנסות  מלקוחות"</f>
        <v>הכנסות  מלקוחות</v>
      </c>
      <c r="AQ3735" t="str">
        <f>"034"</f>
        <v>034</v>
      </c>
      <c r="AR3735">
        <v>0</v>
      </c>
      <c r="AS3735">
        <v>0</v>
      </c>
      <c r="AT3735">
        <v>3.4550000000000001</v>
      </c>
      <c r="BB3735" t="str">
        <f>"Y"</f>
        <v>Y</v>
      </c>
      <c r="BD3735" t="str">
        <f>"ערן שלו"</f>
        <v>ערן שלו</v>
      </c>
    </row>
    <row r="3736" spans="1:56" x14ac:dyDescent="0.3">
      <c r="A3736" s="1">
        <v>43989</v>
      </c>
      <c r="B3736" t="str">
        <f>"SI206000549"</f>
        <v>SI206000549</v>
      </c>
      <c r="C3736" t="str">
        <f>"PR19000731"</f>
        <v>PR19000731</v>
      </c>
      <c r="E3736" t="str">
        <f>"Y"</f>
        <v>Y</v>
      </c>
      <c r="F3736" t="str">
        <f>"חשבוניות מרכזות"</f>
        <v>חשבוניות מרכזות</v>
      </c>
      <c r="G3736" t="str">
        <f>"700065"</f>
        <v>700065</v>
      </c>
      <c r="H3736" t="str">
        <f>"אלתא מערכות בע""מ"</f>
        <v>אלתא מערכות בע"מ</v>
      </c>
      <c r="I3736" t="str">
        <f>"10"</f>
        <v>10</v>
      </c>
      <c r="J3736" t="str">
        <f>"OP-AR01581"</f>
        <v>OP-AR01581</v>
      </c>
      <c r="K3736" t="str">
        <f>"9004W741-001 HARNESS WS101 SYSTEM POWER IN"</f>
        <v>9004W741-001 HARNESS WS101 SYSTEM POWER IN</v>
      </c>
      <c r="L3736">
        <v>1</v>
      </c>
      <c r="M3736" t="str">
        <f>"יח"</f>
        <v>יח</v>
      </c>
      <c r="N3736">
        <v>1</v>
      </c>
      <c r="O3736" t="str">
        <f>"יח"</f>
        <v>יח</v>
      </c>
      <c r="P3736">
        <v>903.94</v>
      </c>
      <c r="Q3736" t="str">
        <f>"$"</f>
        <v>$</v>
      </c>
      <c r="R3736" t="str">
        <f>"הזמנה"</f>
        <v>הזמנה</v>
      </c>
      <c r="S3736">
        <v>0</v>
      </c>
      <c r="T3736">
        <v>903.94</v>
      </c>
      <c r="U3736">
        <v>0</v>
      </c>
      <c r="V3736">
        <v>903.94</v>
      </c>
      <c r="W3736" t="str">
        <f>"$"</f>
        <v>$</v>
      </c>
      <c r="X3736">
        <v>0</v>
      </c>
      <c r="Y3736">
        <v>0</v>
      </c>
      <c r="Z3736">
        <v>0</v>
      </c>
      <c r="AA3736" t="str">
        <f>"Y"</f>
        <v>Y</v>
      </c>
      <c r="AB3736" t="str">
        <f>"SO19000524"</f>
        <v>SO19000524</v>
      </c>
      <c r="AC3736">
        <v>22</v>
      </c>
      <c r="AD3736" s="1">
        <v>43809</v>
      </c>
      <c r="AE3736" t="str">
        <f>"SH20000713"</f>
        <v>SH20000713</v>
      </c>
      <c r="AF3736" t="str">
        <f>"משלוחים ללקוח"</f>
        <v>משלוחים ללקוח</v>
      </c>
      <c r="AG3736" s="1">
        <v>43985</v>
      </c>
      <c r="AM3736" t="str">
        <f>"10"</f>
        <v>10</v>
      </c>
      <c r="AN3736" t="str">
        <f>"500000"</f>
        <v>500000</v>
      </c>
      <c r="AO3736" t="str">
        <f>"הכנסות  מלקוחות"</f>
        <v>הכנסות  מלקוחות</v>
      </c>
      <c r="AQ3736" t="str">
        <f>"034"</f>
        <v>034</v>
      </c>
      <c r="AR3736">
        <v>0</v>
      </c>
      <c r="AS3736">
        <v>0</v>
      </c>
      <c r="AT3736">
        <v>3.4550000000000001</v>
      </c>
      <c r="AX3736" t="str">
        <f>"E000300228"</f>
        <v>E000300228</v>
      </c>
      <c r="BD3736" t="str">
        <f>"ערן שלו"</f>
        <v>ערן שלו</v>
      </c>
    </row>
    <row r="3737" spans="1:56" x14ac:dyDescent="0.3">
      <c r="A3737" s="1">
        <v>43989</v>
      </c>
      <c r="B3737" t="str">
        <f>"SI206000549"</f>
        <v>SI206000549</v>
      </c>
      <c r="C3737" t="str">
        <f>"PR19000731"</f>
        <v>PR19000731</v>
      </c>
      <c r="E3737" t="str">
        <f>"Y"</f>
        <v>Y</v>
      </c>
      <c r="F3737" t="str">
        <f>"חשבוניות מרכזות"</f>
        <v>חשבוניות מרכזות</v>
      </c>
      <c r="G3737" t="str">
        <f>"700065"</f>
        <v>700065</v>
      </c>
      <c r="H3737" t="str">
        <f>"אלתא מערכות בע""מ"</f>
        <v>אלתא מערכות בע"מ</v>
      </c>
      <c r="I3737" t="str">
        <f>"10"</f>
        <v>10</v>
      </c>
      <c r="J3737" t="str">
        <f>"OP-AR01582"</f>
        <v>OP-AR01582</v>
      </c>
      <c r="K3737" t="str">
        <f>"9004W742-001 HARNESS WS102 RP-P2"</f>
        <v>9004W742-001 HARNESS WS102 RP-P2</v>
      </c>
      <c r="L3737">
        <v>1</v>
      </c>
      <c r="M3737" t="str">
        <f>"יח"</f>
        <v>יח</v>
      </c>
      <c r="N3737">
        <v>1</v>
      </c>
      <c r="O3737" t="str">
        <f>"יח"</f>
        <v>יח</v>
      </c>
      <c r="P3737" s="2">
        <v>2851.63</v>
      </c>
      <c r="Q3737" t="str">
        <f>"$"</f>
        <v>$</v>
      </c>
      <c r="R3737" t="str">
        <f>"הזמנה"</f>
        <v>הזמנה</v>
      </c>
      <c r="S3737">
        <v>0</v>
      </c>
      <c r="T3737" s="2">
        <v>2851.63</v>
      </c>
      <c r="U3737">
        <v>0</v>
      </c>
      <c r="V3737" s="2">
        <v>2851.63</v>
      </c>
      <c r="W3737" t="str">
        <f>"$"</f>
        <v>$</v>
      </c>
      <c r="X3737">
        <v>0</v>
      </c>
      <c r="Y3737">
        <v>0</v>
      </c>
      <c r="Z3737">
        <v>0</v>
      </c>
      <c r="AA3737" t="str">
        <f>"Y"</f>
        <v>Y</v>
      </c>
      <c r="AB3737" t="str">
        <f>"SO19000524"</f>
        <v>SO19000524</v>
      </c>
      <c r="AC3737">
        <v>26</v>
      </c>
      <c r="AD3737" s="1">
        <v>43809</v>
      </c>
      <c r="AE3737" t="str">
        <f>"SH20000713"</f>
        <v>SH20000713</v>
      </c>
      <c r="AF3737" t="str">
        <f>"משלוחים ללקוח"</f>
        <v>משלוחים ללקוח</v>
      </c>
      <c r="AG3737" s="1">
        <v>43985</v>
      </c>
      <c r="AM3737" t="str">
        <f>"10"</f>
        <v>10</v>
      </c>
      <c r="AN3737" t="str">
        <f>"500000"</f>
        <v>500000</v>
      </c>
      <c r="AO3737" t="str">
        <f>"הכנסות  מלקוחות"</f>
        <v>הכנסות  מלקוחות</v>
      </c>
      <c r="AQ3737" t="str">
        <f>"034"</f>
        <v>034</v>
      </c>
      <c r="AR3737">
        <v>0</v>
      </c>
      <c r="AS3737">
        <v>0</v>
      </c>
      <c r="AT3737">
        <v>3.4550000000000001</v>
      </c>
      <c r="AX3737" t="str">
        <f>"E000300228"</f>
        <v>E000300228</v>
      </c>
      <c r="BD3737" t="str">
        <f>"ערן שלו"</f>
        <v>ערן שלו</v>
      </c>
    </row>
    <row r="3738" spans="1:56" x14ac:dyDescent="0.3">
      <c r="A3738" s="1">
        <v>43989</v>
      </c>
      <c r="B3738" t="str">
        <f>"SI206000549"</f>
        <v>SI206000549</v>
      </c>
      <c r="C3738" t="str">
        <f>"PR19000731"</f>
        <v>PR19000731</v>
      </c>
      <c r="E3738" t="str">
        <f>"Y"</f>
        <v>Y</v>
      </c>
      <c r="F3738" t="str">
        <f>"חשבוניות מרכזות"</f>
        <v>חשבוניות מרכזות</v>
      </c>
      <c r="G3738" t="str">
        <f>"700065"</f>
        <v>700065</v>
      </c>
      <c r="H3738" t="str">
        <f>"אלתא מערכות בע""מ"</f>
        <v>אלתא מערכות בע"מ</v>
      </c>
      <c r="I3738" t="str">
        <f>"10"</f>
        <v>10</v>
      </c>
      <c r="J3738" t="str">
        <f>"OP-AR01583"</f>
        <v>OP-AR01583</v>
      </c>
      <c r="K3738" t="str">
        <f>"9004W743-001 HARNESS WS103 RP-P3"</f>
        <v>9004W743-001 HARNESS WS103 RP-P3</v>
      </c>
      <c r="L3738">
        <v>1</v>
      </c>
      <c r="M3738" t="str">
        <f>"יח"</f>
        <v>יח</v>
      </c>
      <c r="N3738">
        <v>1</v>
      </c>
      <c r="O3738" t="str">
        <f>"יח"</f>
        <v>יח</v>
      </c>
      <c r="P3738" s="2">
        <v>1343.47</v>
      </c>
      <c r="Q3738" t="str">
        <f>"$"</f>
        <v>$</v>
      </c>
      <c r="R3738" t="str">
        <f>"הזמנה"</f>
        <v>הזמנה</v>
      </c>
      <c r="S3738">
        <v>0</v>
      </c>
      <c r="T3738" s="2">
        <v>1343.47</v>
      </c>
      <c r="U3738">
        <v>0</v>
      </c>
      <c r="V3738" s="2">
        <v>1343.47</v>
      </c>
      <c r="W3738" t="str">
        <f>"$"</f>
        <v>$</v>
      </c>
      <c r="X3738">
        <v>0</v>
      </c>
      <c r="Y3738">
        <v>0</v>
      </c>
      <c r="Z3738">
        <v>0</v>
      </c>
      <c r="AA3738" t="str">
        <f>"Y"</f>
        <v>Y</v>
      </c>
      <c r="AB3738" t="str">
        <f>"SO19000524"</f>
        <v>SO19000524</v>
      </c>
      <c r="AC3738">
        <v>30</v>
      </c>
      <c r="AD3738" s="1">
        <v>43809</v>
      </c>
      <c r="AE3738" t="str">
        <f>"SH20000713"</f>
        <v>SH20000713</v>
      </c>
      <c r="AF3738" t="str">
        <f>"משלוחים ללקוח"</f>
        <v>משלוחים ללקוח</v>
      </c>
      <c r="AG3738" s="1">
        <v>43985</v>
      </c>
      <c r="AM3738" t="str">
        <f>"10"</f>
        <v>10</v>
      </c>
      <c r="AN3738" t="str">
        <f>"500000"</f>
        <v>500000</v>
      </c>
      <c r="AO3738" t="str">
        <f>"הכנסות  מלקוחות"</f>
        <v>הכנסות  מלקוחות</v>
      </c>
      <c r="AQ3738" t="str">
        <f>"034"</f>
        <v>034</v>
      </c>
      <c r="AR3738">
        <v>0</v>
      </c>
      <c r="AS3738">
        <v>0</v>
      </c>
      <c r="AT3738">
        <v>3.4550000000000001</v>
      </c>
      <c r="AX3738" t="str">
        <f>"E000300228"</f>
        <v>E000300228</v>
      </c>
      <c r="BD3738" t="str">
        <f>"ערן שלו"</f>
        <v>ערן שלו</v>
      </c>
    </row>
    <row r="3739" spans="1:56" x14ac:dyDescent="0.3">
      <c r="A3739" s="1">
        <v>43989</v>
      </c>
      <c r="B3739" t="str">
        <f>"SI206000549"</f>
        <v>SI206000549</v>
      </c>
      <c r="C3739" t="str">
        <f>"PR19000731"</f>
        <v>PR19000731</v>
      </c>
      <c r="E3739" t="str">
        <f>"Y"</f>
        <v>Y</v>
      </c>
      <c r="F3739" t="str">
        <f>"חשבוניות מרכזות"</f>
        <v>חשבוניות מרכזות</v>
      </c>
      <c r="G3739" t="str">
        <f>"700065"</f>
        <v>700065</v>
      </c>
      <c r="H3739" t="str">
        <f>"אלתא מערכות בע""מ"</f>
        <v>אלתא מערכות בע"מ</v>
      </c>
      <c r="I3739" t="str">
        <f>"10"</f>
        <v>10</v>
      </c>
      <c r="J3739" t="str">
        <f>"OP-AR01586"</f>
        <v>OP-AR01586</v>
      </c>
      <c r="K3739" t="str">
        <f>"9004W746-001 WS106 SHORT PLUG EMP"</f>
        <v>9004W746-001 WS106 SHORT PLUG EMP</v>
      </c>
      <c r="L3739">
        <v>3</v>
      </c>
      <c r="M3739" t="str">
        <f>"יח"</f>
        <v>יח</v>
      </c>
      <c r="N3739">
        <v>3</v>
      </c>
      <c r="O3739" t="str">
        <f>"יח"</f>
        <v>יח</v>
      </c>
      <c r="P3739">
        <v>98.13</v>
      </c>
      <c r="Q3739" t="str">
        <f>"$"</f>
        <v>$</v>
      </c>
      <c r="R3739" t="str">
        <f>"הזמנה"</f>
        <v>הזמנה</v>
      </c>
      <c r="S3739">
        <v>0</v>
      </c>
      <c r="T3739">
        <v>294.39</v>
      </c>
      <c r="U3739">
        <v>0</v>
      </c>
      <c r="V3739">
        <v>294.39</v>
      </c>
      <c r="W3739" t="str">
        <f>"$"</f>
        <v>$</v>
      </c>
      <c r="X3739">
        <v>0</v>
      </c>
      <c r="Y3739">
        <v>0</v>
      </c>
      <c r="Z3739">
        <v>0</v>
      </c>
      <c r="AA3739" t="str">
        <f>"Y"</f>
        <v>Y</v>
      </c>
      <c r="AB3739" t="str">
        <f>"SO19000524"</f>
        <v>SO19000524</v>
      </c>
      <c r="AC3739">
        <v>37</v>
      </c>
      <c r="AD3739" s="1">
        <v>43809</v>
      </c>
      <c r="AE3739" t="str">
        <f>"SH20000713"</f>
        <v>SH20000713</v>
      </c>
      <c r="AF3739" t="str">
        <f>"משלוחים ללקוח"</f>
        <v>משלוחים ללקוח</v>
      </c>
      <c r="AG3739" s="1">
        <v>43985</v>
      </c>
      <c r="AM3739" t="str">
        <f>"10"</f>
        <v>10</v>
      </c>
      <c r="AN3739" t="str">
        <f>"500000"</f>
        <v>500000</v>
      </c>
      <c r="AO3739" t="str">
        <f>"הכנסות  מלקוחות"</f>
        <v>הכנסות  מלקוחות</v>
      </c>
      <c r="AQ3739" t="str">
        <f>"034"</f>
        <v>034</v>
      </c>
      <c r="AR3739">
        <v>0</v>
      </c>
      <c r="AS3739">
        <v>0</v>
      </c>
      <c r="AT3739">
        <v>3.4550000000000001</v>
      </c>
      <c r="AX3739" t="str">
        <f>"E000300228"</f>
        <v>E000300228</v>
      </c>
      <c r="BD3739" t="str">
        <f>"ערן שלו"</f>
        <v>ערן שלו</v>
      </c>
    </row>
    <row r="3740" spans="1:56" x14ac:dyDescent="0.3">
      <c r="A3740" s="1">
        <v>43989</v>
      </c>
      <c r="B3740" t="str">
        <f>"SI206000549"</f>
        <v>SI206000549</v>
      </c>
      <c r="C3740" t="str">
        <f>"PR19000731"</f>
        <v>PR19000731</v>
      </c>
      <c r="E3740" t="str">
        <f>"Y"</f>
        <v>Y</v>
      </c>
      <c r="F3740" t="str">
        <f>"חשבוניות מרכזות"</f>
        <v>חשבוניות מרכזות</v>
      </c>
      <c r="G3740" t="str">
        <f>"700065"</f>
        <v>700065</v>
      </c>
      <c r="H3740" t="str">
        <f>"אלתא מערכות בע""מ"</f>
        <v>אלתא מערכות בע"מ</v>
      </c>
      <c r="I3740" t="str">
        <f>"10"</f>
        <v>10</v>
      </c>
      <c r="J3740" t="str">
        <f>"OP-AR01588"</f>
        <v>OP-AR01588</v>
      </c>
      <c r="K3740" t="str">
        <f>"9004W749-001 HARNESS WS109 TMS INNER CONNECTIONS"</f>
        <v>9004W749-001 HARNESS WS109 TMS INNER CONNECTIONS</v>
      </c>
      <c r="L3740">
        <v>1</v>
      </c>
      <c r="M3740" t="str">
        <f>"יח"</f>
        <v>יח</v>
      </c>
      <c r="N3740">
        <v>1</v>
      </c>
      <c r="O3740" t="str">
        <f>"יח"</f>
        <v>יח</v>
      </c>
      <c r="P3740" s="2">
        <v>1602.3</v>
      </c>
      <c r="Q3740" t="str">
        <f>"$"</f>
        <v>$</v>
      </c>
      <c r="R3740" t="str">
        <f>"הזמנה"</f>
        <v>הזמנה</v>
      </c>
      <c r="S3740">
        <v>0</v>
      </c>
      <c r="T3740" s="2">
        <v>1602.3</v>
      </c>
      <c r="U3740">
        <v>0</v>
      </c>
      <c r="V3740" s="2">
        <v>1602.3</v>
      </c>
      <c r="W3740" t="str">
        <f>"$"</f>
        <v>$</v>
      </c>
      <c r="X3740">
        <v>0</v>
      </c>
      <c r="Y3740">
        <v>0</v>
      </c>
      <c r="Z3740">
        <v>0</v>
      </c>
      <c r="AA3740" t="str">
        <f>"Y"</f>
        <v>Y</v>
      </c>
      <c r="AB3740" t="str">
        <f>"SO19000524"</f>
        <v>SO19000524</v>
      </c>
      <c r="AC3740">
        <v>42</v>
      </c>
      <c r="AD3740" s="1">
        <v>43809</v>
      </c>
      <c r="AE3740" t="str">
        <f>"SH20000713"</f>
        <v>SH20000713</v>
      </c>
      <c r="AF3740" t="str">
        <f>"משלוחים ללקוח"</f>
        <v>משלוחים ללקוח</v>
      </c>
      <c r="AG3740" s="1">
        <v>43985</v>
      </c>
      <c r="AM3740" t="str">
        <f>"10"</f>
        <v>10</v>
      </c>
      <c r="AN3740" t="str">
        <f>"500000"</f>
        <v>500000</v>
      </c>
      <c r="AO3740" t="str">
        <f>"הכנסות  מלקוחות"</f>
        <v>הכנסות  מלקוחות</v>
      </c>
      <c r="AQ3740" t="str">
        <f>"034"</f>
        <v>034</v>
      </c>
      <c r="AR3740">
        <v>0</v>
      </c>
      <c r="AS3740">
        <v>0</v>
      </c>
      <c r="AT3740">
        <v>3.4550000000000001</v>
      </c>
      <c r="AX3740" t="str">
        <f>"E000300228"</f>
        <v>E000300228</v>
      </c>
      <c r="BD3740" t="str">
        <f>"ערן שלו"</f>
        <v>ערן שלו</v>
      </c>
    </row>
    <row r="3741" spans="1:56" x14ac:dyDescent="0.3">
      <c r="A3741" s="1">
        <v>43989</v>
      </c>
      <c r="B3741" t="str">
        <f>"SI206000549"</f>
        <v>SI206000549</v>
      </c>
      <c r="C3741" t="str">
        <f>"PR19000731"</f>
        <v>PR19000731</v>
      </c>
      <c r="E3741" t="str">
        <f>"Y"</f>
        <v>Y</v>
      </c>
      <c r="F3741" t="str">
        <f>"חשבוניות מרכזות"</f>
        <v>חשבוניות מרכזות</v>
      </c>
      <c r="G3741" t="str">
        <f>"700065"</f>
        <v>700065</v>
      </c>
      <c r="H3741" t="str">
        <f>"אלתא מערכות בע""מ"</f>
        <v>אלתא מערכות בע"מ</v>
      </c>
      <c r="I3741" t="str">
        <f>"10"</f>
        <v>10</v>
      </c>
      <c r="J3741" t="str">
        <f>"OP-AR01590"</f>
        <v>OP-AR01590</v>
      </c>
      <c r="K3741" t="str">
        <f>"9004W751-001 HARNESS WS191 TMS TO RBP"</f>
        <v>9004W751-001 HARNESS WS191 TMS TO RBP</v>
      </c>
      <c r="L3741">
        <v>1</v>
      </c>
      <c r="M3741" t="str">
        <f>"יח"</f>
        <v>יח</v>
      </c>
      <c r="N3741">
        <v>1</v>
      </c>
      <c r="O3741" t="str">
        <f>"יח"</f>
        <v>יח</v>
      </c>
      <c r="P3741">
        <v>959.52</v>
      </c>
      <c r="Q3741" t="str">
        <f>"$"</f>
        <v>$</v>
      </c>
      <c r="R3741" t="str">
        <f>"הזמנה"</f>
        <v>הזמנה</v>
      </c>
      <c r="S3741">
        <v>0</v>
      </c>
      <c r="T3741">
        <v>959.52</v>
      </c>
      <c r="U3741">
        <v>0</v>
      </c>
      <c r="V3741">
        <v>959.52</v>
      </c>
      <c r="W3741" t="str">
        <f>"$"</f>
        <v>$</v>
      </c>
      <c r="X3741">
        <v>0</v>
      </c>
      <c r="Y3741">
        <v>0</v>
      </c>
      <c r="Z3741">
        <v>0</v>
      </c>
      <c r="AA3741" t="str">
        <f>"Y"</f>
        <v>Y</v>
      </c>
      <c r="AB3741" t="str">
        <f>"SO19000524"</f>
        <v>SO19000524</v>
      </c>
      <c r="AC3741">
        <v>47</v>
      </c>
      <c r="AD3741" s="1">
        <v>43809</v>
      </c>
      <c r="AE3741" t="str">
        <f>"SH20000713"</f>
        <v>SH20000713</v>
      </c>
      <c r="AF3741" t="str">
        <f>"משלוחים ללקוח"</f>
        <v>משלוחים ללקוח</v>
      </c>
      <c r="AG3741" s="1">
        <v>43985</v>
      </c>
      <c r="AM3741" t="str">
        <f>"10"</f>
        <v>10</v>
      </c>
      <c r="AN3741" t="str">
        <f>"500000"</f>
        <v>500000</v>
      </c>
      <c r="AO3741" t="str">
        <f>"הכנסות  מלקוחות"</f>
        <v>הכנסות  מלקוחות</v>
      </c>
      <c r="AQ3741" t="str">
        <f>"034"</f>
        <v>034</v>
      </c>
      <c r="AR3741">
        <v>0</v>
      </c>
      <c r="AS3741">
        <v>0</v>
      </c>
      <c r="AT3741">
        <v>3.4550000000000001</v>
      </c>
      <c r="AX3741" t="str">
        <f>"E000300228"</f>
        <v>E000300228</v>
      </c>
      <c r="BD3741" t="str">
        <f>"ערן שלו"</f>
        <v>ערן שלו</v>
      </c>
    </row>
    <row r="3742" spans="1:56" x14ac:dyDescent="0.3">
      <c r="A3742" s="1">
        <v>43989</v>
      </c>
      <c r="B3742" t="str">
        <f>"SI206000549"</f>
        <v>SI206000549</v>
      </c>
      <c r="C3742" t="str">
        <f>"PR19000731"</f>
        <v>PR19000731</v>
      </c>
      <c r="E3742" t="str">
        <f>"Y"</f>
        <v>Y</v>
      </c>
      <c r="F3742" t="str">
        <f>"חשבוניות מרכזות"</f>
        <v>חשבוניות מרכזות</v>
      </c>
      <c r="G3742" t="str">
        <f>"700065"</f>
        <v>700065</v>
      </c>
      <c r="H3742" t="str">
        <f>"אלתא מערכות בע""מ"</f>
        <v>אלתא מערכות בע"מ</v>
      </c>
      <c r="I3742" t="str">
        <f>"10"</f>
        <v>10</v>
      </c>
      <c r="J3742" t="str">
        <f>"OP-AR01591"</f>
        <v>OP-AR01591</v>
      </c>
      <c r="K3742" t="str">
        <f>"9004W754-001 HARNESS WS194 RCP PWR IN"</f>
        <v>9004W754-001 HARNESS WS194 RCP PWR IN</v>
      </c>
      <c r="L3742">
        <v>11</v>
      </c>
      <c r="M3742" t="str">
        <f>"יח"</f>
        <v>יח</v>
      </c>
      <c r="N3742">
        <v>11</v>
      </c>
      <c r="O3742" t="str">
        <f>"יח"</f>
        <v>יח</v>
      </c>
      <c r="P3742">
        <v>134.51</v>
      </c>
      <c r="Q3742" t="str">
        <f>"$"</f>
        <v>$</v>
      </c>
      <c r="R3742" t="str">
        <f>"הזמנה"</f>
        <v>הזמנה</v>
      </c>
      <c r="S3742">
        <v>0</v>
      </c>
      <c r="T3742" s="2">
        <v>1479.61</v>
      </c>
      <c r="U3742">
        <v>0</v>
      </c>
      <c r="V3742" s="2">
        <v>1479.61</v>
      </c>
      <c r="W3742" t="str">
        <f>"$"</f>
        <v>$</v>
      </c>
      <c r="X3742">
        <v>0</v>
      </c>
      <c r="Y3742">
        <v>0</v>
      </c>
      <c r="Z3742">
        <v>0</v>
      </c>
      <c r="AA3742" t="str">
        <f>"Y"</f>
        <v>Y</v>
      </c>
      <c r="AB3742" t="str">
        <f>"SO19000524"</f>
        <v>SO19000524</v>
      </c>
      <c r="AC3742">
        <v>51</v>
      </c>
      <c r="AD3742" s="1">
        <v>43809</v>
      </c>
      <c r="AE3742" t="str">
        <f>"SH20000713"</f>
        <v>SH20000713</v>
      </c>
      <c r="AF3742" t="str">
        <f>"משלוחים ללקוח"</f>
        <v>משלוחים ללקוח</v>
      </c>
      <c r="AG3742" s="1">
        <v>43985</v>
      </c>
      <c r="AM3742" t="str">
        <f>"10"</f>
        <v>10</v>
      </c>
      <c r="AN3742" t="str">
        <f>"500000"</f>
        <v>500000</v>
      </c>
      <c r="AO3742" t="str">
        <f>"הכנסות  מלקוחות"</f>
        <v>הכנסות  מלקוחות</v>
      </c>
      <c r="AQ3742" t="str">
        <f>"034"</f>
        <v>034</v>
      </c>
      <c r="AR3742">
        <v>0</v>
      </c>
      <c r="AS3742">
        <v>0</v>
      </c>
      <c r="AT3742">
        <v>3.4550000000000001</v>
      </c>
      <c r="AX3742" t="str">
        <f>"E000300228"</f>
        <v>E000300228</v>
      </c>
      <c r="BD3742" t="str">
        <f>"ערן שלו"</f>
        <v>ערן שלו</v>
      </c>
    </row>
    <row r="3743" spans="1:56" x14ac:dyDescent="0.3">
      <c r="A3743" s="1">
        <v>43989</v>
      </c>
      <c r="B3743" t="str">
        <f>"SI206000549"</f>
        <v>SI206000549</v>
      </c>
      <c r="C3743" t="str">
        <f>"PR19000731"</f>
        <v>PR19000731</v>
      </c>
      <c r="E3743" t="str">
        <f>"Y"</f>
        <v>Y</v>
      </c>
      <c r="F3743" t="str">
        <f>"חשבוניות מרכזות"</f>
        <v>חשבוניות מרכזות</v>
      </c>
      <c r="G3743" t="str">
        <f>"700065"</f>
        <v>700065</v>
      </c>
      <c r="H3743" t="str">
        <f>"אלתא מערכות בע""מ"</f>
        <v>אלתא מערכות בע"מ</v>
      </c>
      <c r="I3743" t="str">
        <f>"10"</f>
        <v>10</v>
      </c>
      <c r="J3743" t="str">
        <f>"OP-AR01585"</f>
        <v>OP-AR01585</v>
      </c>
      <c r="K3743" t="str">
        <f>"9004W745-001 HARNESS WS105 RP VIDEO SIGNALS"</f>
        <v>9004W745-001 HARNESS WS105 RP VIDEO SIGNALS</v>
      </c>
      <c r="L3743">
        <v>1</v>
      </c>
      <c r="M3743" t="str">
        <f>"יח"</f>
        <v>יח</v>
      </c>
      <c r="N3743">
        <v>1</v>
      </c>
      <c r="O3743" t="str">
        <f>"יח"</f>
        <v>יח</v>
      </c>
      <c r="P3743">
        <v>838.3</v>
      </c>
      <c r="Q3743" t="str">
        <f>"$"</f>
        <v>$</v>
      </c>
      <c r="R3743" t="str">
        <f>"הזמנה"</f>
        <v>הזמנה</v>
      </c>
      <c r="S3743">
        <v>0</v>
      </c>
      <c r="T3743">
        <v>838.3</v>
      </c>
      <c r="U3743">
        <v>0</v>
      </c>
      <c r="V3743">
        <v>838.3</v>
      </c>
      <c r="W3743" t="str">
        <f>"$"</f>
        <v>$</v>
      </c>
      <c r="X3743">
        <v>0</v>
      </c>
      <c r="Y3743">
        <v>0</v>
      </c>
      <c r="Z3743">
        <v>0</v>
      </c>
      <c r="AA3743" t="str">
        <f>"Y"</f>
        <v>Y</v>
      </c>
      <c r="AB3743" t="str">
        <f>"SO19000524"</f>
        <v>SO19000524</v>
      </c>
      <c r="AC3743">
        <v>35</v>
      </c>
      <c r="AD3743" s="1">
        <v>43809</v>
      </c>
      <c r="AE3743" t="str">
        <f>"SH20000713"</f>
        <v>SH20000713</v>
      </c>
      <c r="AF3743" t="str">
        <f>"משלוחים ללקוח"</f>
        <v>משלוחים ללקוח</v>
      </c>
      <c r="AG3743" s="1">
        <v>43985</v>
      </c>
      <c r="AM3743" t="str">
        <f>"10"</f>
        <v>10</v>
      </c>
      <c r="AN3743" t="str">
        <f>"500000"</f>
        <v>500000</v>
      </c>
      <c r="AO3743" t="str">
        <f>"הכנסות  מלקוחות"</f>
        <v>הכנסות  מלקוחות</v>
      </c>
      <c r="AQ3743" t="str">
        <f>"034"</f>
        <v>034</v>
      </c>
      <c r="AR3743">
        <v>0</v>
      </c>
      <c r="AS3743">
        <v>0</v>
      </c>
      <c r="AT3743">
        <v>3.4550000000000001</v>
      </c>
      <c r="AX3743" t="str">
        <f>"E000300228"</f>
        <v>E000300228</v>
      </c>
      <c r="BD3743" t="str">
        <f>"ערן שלו"</f>
        <v>ערן שלו</v>
      </c>
    </row>
    <row r="3744" spans="1:56" x14ac:dyDescent="0.3">
      <c r="A3744" s="1">
        <v>43989</v>
      </c>
      <c r="B3744" t="str">
        <f>"SI206000548"</f>
        <v>SI206000548</v>
      </c>
      <c r="C3744" t="str">
        <f>"PR20000122"</f>
        <v>PR20000122</v>
      </c>
      <c r="E3744" t="str">
        <f>"Y"</f>
        <v>Y</v>
      </c>
      <c r="F3744" t="str">
        <f>"חשבוניות מרכזות"</f>
        <v>חשבוניות מרכזות</v>
      </c>
      <c r="G3744" t="str">
        <f>"700065"</f>
        <v>700065</v>
      </c>
      <c r="H3744" t="str">
        <f>"אלתא מערכות בע""מ"</f>
        <v>אלתא מערכות בע"מ</v>
      </c>
      <c r="I3744" t="str">
        <f>"10"</f>
        <v>10</v>
      </c>
      <c r="J3744" t="str">
        <f>"OP-AR01690"</f>
        <v>OP-AR01690</v>
      </c>
      <c r="K3744" t="str">
        <f>"1032F971-001 HARNESS WB971 LAB RSU NG P7 DEBUG"</f>
        <v>1032F971-001 HARNESS WB971 LAB RSU NG P7 DEBUG</v>
      </c>
      <c r="L3744">
        <v>2</v>
      </c>
      <c r="M3744" t="str">
        <f>"יח"</f>
        <v>יח</v>
      </c>
      <c r="N3744">
        <v>2</v>
      </c>
      <c r="O3744" t="str">
        <f>"יח"</f>
        <v>יח</v>
      </c>
      <c r="P3744">
        <v>470.94</v>
      </c>
      <c r="Q3744" t="str">
        <f>"$"</f>
        <v>$</v>
      </c>
      <c r="R3744" t="str">
        <f>"הזמנה"</f>
        <v>הזמנה</v>
      </c>
      <c r="S3744">
        <v>0</v>
      </c>
      <c r="T3744">
        <v>941.88</v>
      </c>
      <c r="U3744">
        <v>0</v>
      </c>
      <c r="V3744">
        <v>941.88</v>
      </c>
      <c r="W3744" t="str">
        <f>"$"</f>
        <v>$</v>
      </c>
      <c r="X3744">
        <v>0</v>
      </c>
      <c r="Y3744">
        <v>0</v>
      </c>
      <c r="Z3744">
        <v>0</v>
      </c>
      <c r="AA3744" t="str">
        <f>"Y"</f>
        <v>Y</v>
      </c>
      <c r="AB3744" t="str">
        <f>"SO20000099"</f>
        <v>SO20000099</v>
      </c>
      <c r="AC3744">
        <v>2</v>
      </c>
      <c r="AD3744" s="1">
        <v>43894</v>
      </c>
      <c r="AE3744" t="str">
        <f>"SH20000714"</f>
        <v>SH20000714</v>
      </c>
      <c r="AF3744" t="str">
        <f>"משלוחים ללקוח"</f>
        <v>משלוחים ללקוח</v>
      </c>
      <c r="AG3744" s="1">
        <v>43985</v>
      </c>
      <c r="AM3744" t="str">
        <f>"10"</f>
        <v>10</v>
      </c>
      <c r="AN3744" t="str">
        <f>"500000"</f>
        <v>500000</v>
      </c>
      <c r="AO3744" t="str">
        <f>"הכנסות  מלקוחות"</f>
        <v>הכנסות  מלקוחות</v>
      </c>
      <c r="AQ3744" t="str">
        <f>"034"</f>
        <v>034</v>
      </c>
      <c r="AR3744">
        <v>0</v>
      </c>
      <c r="AS3744">
        <v>0</v>
      </c>
      <c r="AT3744">
        <v>3.4550000000000001</v>
      </c>
      <c r="AX3744" t="str">
        <f>"E000306880"</f>
        <v>E000306880</v>
      </c>
      <c r="BD3744" t="str">
        <f>"ערן שלו"</f>
        <v>ערן שלו</v>
      </c>
    </row>
    <row r="3745" spans="1:56" x14ac:dyDescent="0.3">
      <c r="A3745" s="1">
        <v>43989</v>
      </c>
      <c r="B3745" t="str">
        <f>"SI206000547"</f>
        <v>SI206000547</v>
      </c>
      <c r="C3745" t="str">
        <f>"PR20000057"</f>
        <v>PR20000057</v>
      </c>
      <c r="E3745" t="str">
        <f>"Y"</f>
        <v>Y</v>
      </c>
      <c r="F3745" t="str">
        <f>"חשבוניות מרכזות"</f>
        <v>חשבוניות מרכזות</v>
      </c>
      <c r="G3745" t="str">
        <f>"700065"</f>
        <v>700065</v>
      </c>
      <c r="H3745" t="str">
        <f>"אלתא מערכות בע""מ"</f>
        <v>אלתא מערכות בע"מ</v>
      </c>
      <c r="I3745" t="str">
        <f>"10"</f>
        <v>10</v>
      </c>
      <c r="J3745" t="str">
        <f>"OP-AR01609"</f>
        <v>OP-AR01609</v>
      </c>
      <c r="K3745" t="str">
        <f>"1041G135-001 HARNESS W135-ANTENNA LIMIT SWITCHES"</f>
        <v>1041G135-001 HARNESS W135-ANTENNA LIMIT SWITCHES</v>
      </c>
      <c r="L3745">
        <v>4</v>
      </c>
      <c r="M3745" t="str">
        <f>"יח"</f>
        <v>יח</v>
      </c>
      <c r="N3745">
        <v>4</v>
      </c>
      <c r="O3745" t="str">
        <f>"יח"</f>
        <v>יח</v>
      </c>
      <c r="P3745" s="2">
        <v>1506.55</v>
      </c>
      <c r="Q3745" t="str">
        <f>"$"</f>
        <v>$</v>
      </c>
      <c r="R3745" t="str">
        <f>"הזמנה"</f>
        <v>הזמנה</v>
      </c>
      <c r="S3745">
        <v>0</v>
      </c>
      <c r="T3745" s="2">
        <v>6026.2</v>
      </c>
      <c r="U3745">
        <v>0</v>
      </c>
      <c r="V3745" s="2">
        <v>6026.2</v>
      </c>
      <c r="W3745" t="str">
        <f>"$"</f>
        <v>$</v>
      </c>
      <c r="X3745">
        <v>0</v>
      </c>
      <c r="Y3745">
        <v>0</v>
      </c>
      <c r="Z3745">
        <v>0</v>
      </c>
      <c r="AA3745" t="str">
        <f>"Y"</f>
        <v>Y</v>
      </c>
      <c r="AB3745" t="str">
        <f>"SO20000048"</f>
        <v>SO20000048</v>
      </c>
      <c r="AC3745">
        <v>1</v>
      </c>
      <c r="AD3745" s="1">
        <v>43864</v>
      </c>
      <c r="AE3745" t="str">
        <f>"SH20000715"</f>
        <v>SH20000715</v>
      </c>
      <c r="AF3745" t="str">
        <f>"משלוחים ללקוח"</f>
        <v>משלוחים ללקוח</v>
      </c>
      <c r="AG3745" s="1">
        <v>43985</v>
      </c>
      <c r="AM3745" t="str">
        <f>"10"</f>
        <v>10</v>
      </c>
      <c r="AN3745" t="str">
        <f>"500000"</f>
        <v>500000</v>
      </c>
      <c r="AO3745" t="str">
        <f>"הכנסות  מלקוחות"</f>
        <v>הכנסות  מלקוחות</v>
      </c>
      <c r="AQ3745" t="str">
        <f>"034"</f>
        <v>034</v>
      </c>
      <c r="AR3745">
        <v>0</v>
      </c>
      <c r="AS3745">
        <v>0</v>
      </c>
      <c r="AT3745">
        <v>3.4550000000000001</v>
      </c>
      <c r="AX3745" t="str">
        <f>"E000304543"</f>
        <v>E000304543</v>
      </c>
      <c r="BD3745" t="str">
        <f>"ערן שלו"</f>
        <v>ערן שלו</v>
      </c>
    </row>
    <row r="3746" spans="1:56" x14ac:dyDescent="0.3">
      <c r="A3746" s="1">
        <v>43989</v>
      </c>
      <c r="B3746" t="str">
        <f>"SI206000546"</f>
        <v>SI206000546</v>
      </c>
      <c r="C3746" t="str">
        <f>"PR20000120"</f>
        <v>PR20000120</v>
      </c>
      <c r="D3746" t="str">
        <f>"PR20000120"</f>
        <v>PR20000120</v>
      </c>
      <c r="E3746" t="str">
        <f>"Y"</f>
        <v>Y</v>
      </c>
      <c r="F3746" t="str">
        <f>"חשבוניות מרכזות"</f>
        <v>חשבוניות מרכזות</v>
      </c>
      <c r="G3746" t="str">
        <f>"700065"</f>
        <v>700065</v>
      </c>
      <c r="H3746" t="str">
        <f>"אלתא מערכות בע""מ"</f>
        <v>אלתא מערכות בע"מ</v>
      </c>
      <c r="I3746" t="str">
        <f>"10"</f>
        <v>10</v>
      </c>
      <c r="J3746" t="str">
        <f>"OP-AR01669"</f>
        <v>OP-AR01669</v>
      </c>
      <c r="K3746" t="str">
        <f>"6660E121-001 W121"</f>
        <v>6660E121-001 W121</v>
      </c>
      <c r="L3746">
        <v>4</v>
      </c>
      <c r="M3746" t="str">
        <f>"יח"</f>
        <v>יח</v>
      </c>
      <c r="N3746">
        <v>4</v>
      </c>
      <c r="O3746" t="str">
        <f>"יח"</f>
        <v>יח</v>
      </c>
      <c r="P3746">
        <v>132.59</v>
      </c>
      <c r="Q3746" t="str">
        <f>"$"</f>
        <v>$</v>
      </c>
      <c r="R3746" t="str">
        <f>"הזמנה"</f>
        <v>הזמנה</v>
      </c>
      <c r="S3746">
        <v>0</v>
      </c>
      <c r="T3746">
        <v>530.36</v>
      </c>
      <c r="U3746">
        <v>0</v>
      </c>
      <c r="V3746">
        <v>530.36</v>
      </c>
      <c r="W3746" t="str">
        <f>"$"</f>
        <v>$</v>
      </c>
      <c r="X3746">
        <v>0</v>
      </c>
      <c r="Y3746">
        <v>0</v>
      </c>
      <c r="Z3746">
        <v>0</v>
      </c>
      <c r="AA3746" t="str">
        <f>"Y"</f>
        <v>Y</v>
      </c>
      <c r="AB3746" t="str">
        <f>"SO20000103"</f>
        <v>SO20000103</v>
      </c>
      <c r="AC3746">
        <v>1</v>
      </c>
      <c r="AD3746" s="1">
        <v>43899</v>
      </c>
      <c r="AE3746" t="str">
        <f>"SH20000716"</f>
        <v>SH20000716</v>
      </c>
      <c r="AF3746" t="str">
        <f>"משלוחים ללקוח"</f>
        <v>משלוחים ללקוח</v>
      </c>
      <c r="AG3746" s="1">
        <v>43985</v>
      </c>
      <c r="AM3746" t="str">
        <f>"10"</f>
        <v>10</v>
      </c>
      <c r="AN3746" t="str">
        <f>"500000"</f>
        <v>500000</v>
      </c>
      <c r="AO3746" t="str">
        <f>"הכנסות  מלקוחות"</f>
        <v>הכנסות  מלקוחות</v>
      </c>
      <c r="AQ3746" t="str">
        <f>"034"</f>
        <v>034</v>
      </c>
      <c r="AR3746">
        <v>0</v>
      </c>
      <c r="AS3746">
        <v>0</v>
      </c>
      <c r="AT3746">
        <v>3.4550000000000001</v>
      </c>
      <c r="AX3746" t="str">
        <f>"E000306153"</f>
        <v>E000306153</v>
      </c>
      <c r="BD3746" t="str">
        <f>"ערן שלו"</f>
        <v>ערן שלו</v>
      </c>
    </row>
    <row r="3747" spans="1:56" x14ac:dyDescent="0.3">
      <c r="A3747" s="1">
        <v>43989</v>
      </c>
      <c r="B3747" t="str">
        <f>"SI206000545"</f>
        <v>SI206000545</v>
      </c>
      <c r="C3747" t="str">
        <f>"PR20000120"</f>
        <v>PR20000120</v>
      </c>
      <c r="D3747" t="str">
        <f>"PR20000120"</f>
        <v>PR20000120</v>
      </c>
      <c r="E3747" t="str">
        <f>"Y"</f>
        <v>Y</v>
      </c>
      <c r="F3747" t="str">
        <f>"חשבוניות מרכזות"</f>
        <v>חשבוניות מרכזות</v>
      </c>
      <c r="G3747" t="str">
        <f>"700065"</f>
        <v>700065</v>
      </c>
      <c r="H3747" t="str">
        <f>"אלתא מערכות בע""מ"</f>
        <v>אלתא מערכות בע"מ</v>
      </c>
      <c r="I3747" t="str">
        <f>"10"</f>
        <v>10</v>
      </c>
      <c r="J3747" t="str">
        <f>"OP-AR01671"</f>
        <v>OP-AR01671</v>
      </c>
      <c r="K3747" t="str">
        <f>"6660E101-001 W101"</f>
        <v>6660E101-001 W101</v>
      </c>
      <c r="L3747">
        <v>1</v>
      </c>
      <c r="M3747" t="str">
        <f>"יח"</f>
        <v>יח</v>
      </c>
      <c r="N3747">
        <v>1</v>
      </c>
      <c r="O3747" t="str">
        <f>"יח"</f>
        <v>יח</v>
      </c>
      <c r="P3747">
        <v>202.17</v>
      </c>
      <c r="Q3747" t="str">
        <f>"$"</f>
        <v>$</v>
      </c>
      <c r="R3747" t="str">
        <f>"הזמנה"</f>
        <v>הזמנה</v>
      </c>
      <c r="S3747">
        <v>0</v>
      </c>
      <c r="T3747">
        <v>202.17</v>
      </c>
      <c r="U3747">
        <v>0</v>
      </c>
      <c r="V3747">
        <v>202.17</v>
      </c>
      <c r="W3747" t="str">
        <f>"$"</f>
        <v>$</v>
      </c>
      <c r="X3747">
        <v>0</v>
      </c>
      <c r="Y3747">
        <v>0</v>
      </c>
      <c r="Z3747">
        <v>0</v>
      </c>
      <c r="AA3747" t="str">
        <f>"Y"</f>
        <v>Y</v>
      </c>
      <c r="AB3747" t="str">
        <f>"SO20000103"</f>
        <v>SO20000103</v>
      </c>
      <c r="AC3747">
        <v>2</v>
      </c>
      <c r="AD3747" s="1">
        <v>43899</v>
      </c>
      <c r="AE3747" t="str">
        <f>"SH20000717"</f>
        <v>SH20000717</v>
      </c>
      <c r="AF3747" t="str">
        <f>"משלוחים ללקוח"</f>
        <v>משלוחים ללקוח</v>
      </c>
      <c r="AG3747" s="1">
        <v>43985</v>
      </c>
      <c r="AM3747" t="str">
        <f>"10"</f>
        <v>10</v>
      </c>
      <c r="AN3747" t="str">
        <f>"500000"</f>
        <v>500000</v>
      </c>
      <c r="AO3747" t="str">
        <f>"הכנסות  מלקוחות"</f>
        <v>הכנסות  מלקוחות</v>
      </c>
      <c r="AQ3747" t="str">
        <f>"034"</f>
        <v>034</v>
      </c>
      <c r="AR3747">
        <v>0</v>
      </c>
      <c r="AS3747">
        <v>0</v>
      </c>
      <c r="AT3747">
        <v>3.4550000000000001</v>
      </c>
      <c r="AX3747" t="str">
        <f>"E000306153"</f>
        <v>E000306153</v>
      </c>
      <c r="BD3747" t="str">
        <f>"ערן שלו"</f>
        <v>ערן שלו</v>
      </c>
    </row>
    <row r="3748" spans="1:56" x14ac:dyDescent="0.3">
      <c r="A3748" s="1">
        <v>43989</v>
      </c>
      <c r="B3748" t="str">
        <f>"SI206000545"</f>
        <v>SI206000545</v>
      </c>
      <c r="C3748" t="str">
        <f>"PR20000120"</f>
        <v>PR20000120</v>
      </c>
      <c r="D3748" t="str">
        <f>"PR20000120"</f>
        <v>PR20000120</v>
      </c>
      <c r="E3748" t="str">
        <f>"Y"</f>
        <v>Y</v>
      </c>
      <c r="F3748" t="str">
        <f>"חשבוניות מרכזות"</f>
        <v>חשבוניות מרכזות</v>
      </c>
      <c r="G3748" t="str">
        <f>"700065"</f>
        <v>700065</v>
      </c>
      <c r="H3748" t="str">
        <f>"אלתא מערכות בע""מ"</f>
        <v>אלתא מערכות בע"מ</v>
      </c>
      <c r="I3748" t="str">
        <f>"10"</f>
        <v>10</v>
      </c>
      <c r="J3748" t="str">
        <f>"OP-AR01672"</f>
        <v>OP-AR01672</v>
      </c>
      <c r="K3748" t="str">
        <f>"6660E102-001 W102"</f>
        <v>6660E102-001 W102</v>
      </c>
      <c r="L3748">
        <v>1</v>
      </c>
      <c r="M3748" t="str">
        <f>"יח"</f>
        <v>יח</v>
      </c>
      <c r="N3748">
        <v>1</v>
      </c>
      <c r="O3748" t="str">
        <f>"יח"</f>
        <v>יח</v>
      </c>
      <c r="P3748">
        <v>162.78</v>
      </c>
      <c r="Q3748" t="str">
        <f>"$"</f>
        <v>$</v>
      </c>
      <c r="R3748" t="str">
        <f>"הזמנה"</f>
        <v>הזמנה</v>
      </c>
      <c r="S3748">
        <v>0</v>
      </c>
      <c r="T3748">
        <v>162.78</v>
      </c>
      <c r="U3748">
        <v>0</v>
      </c>
      <c r="V3748">
        <v>162.78</v>
      </c>
      <c r="W3748" t="str">
        <f>"$"</f>
        <v>$</v>
      </c>
      <c r="X3748">
        <v>0</v>
      </c>
      <c r="Y3748">
        <v>0</v>
      </c>
      <c r="Z3748">
        <v>0</v>
      </c>
      <c r="AA3748" t="str">
        <f>"Y"</f>
        <v>Y</v>
      </c>
      <c r="AB3748" t="str">
        <f>"SO20000103"</f>
        <v>SO20000103</v>
      </c>
      <c r="AC3748">
        <v>3</v>
      </c>
      <c r="AD3748" s="1">
        <v>43899</v>
      </c>
      <c r="AE3748" t="str">
        <f>"SH20000717"</f>
        <v>SH20000717</v>
      </c>
      <c r="AF3748" t="str">
        <f>"משלוחים ללקוח"</f>
        <v>משלוחים ללקוח</v>
      </c>
      <c r="AG3748" s="1">
        <v>43985</v>
      </c>
      <c r="AM3748" t="str">
        <f>"10"</f>
        <v>10</v>
      </c>
      <c r="AN3748" t="str">
        <f>"500000"</f>
        <v>500000</v>
      </c>
      <c r="AO3748" t="str">
        <f>"הכנסות  מלקוחות"</f>
        <v>הכנסות  מלקוחות</v>
      </c>
      <c r="AQ3748" t="str">
        <f>"034"</f>
        <v>034</v>
      </c>
      <c r="AR3748">
        <v>0</v>
      </c>
      <c r="AS3748">
        <v>0</v>
      </c>
      <c r="AT3748">
        <v>3.4550000000000001</v>
      </c>
      <c r="AX3748" t="str">
        <f>"E000306153"</f>
        <v>E000306153</v>
      </c>
      <c r="BD3748" t="str">
        <f>"ערן שלו"</f>
        <v>ערן שלו</v>
      </c>
    </row>
    <row r="3749" spans="1:56" x14ac:dyDescent="0.3">
      <c r="A3749" s="1">
        <v>43989</v>
      </c>
      <c r="B3749" t="str">
        <f>"SI206000544"</f>
        <v>SI206000544</v>
      </c>
      <c r="C3749" t="str">
        <f>"PR20000067"</f>
        <v>PR20000067</v>
      </c>
      <c r="E3749" t="str">
        <f>"Y"</f>
        <v>Y</v>
      </c>
      <c r="F3749" t="str">
        <f>"חשבוניות מרכזות"</f>
        <v>חשבוניות מרכזות</v>
      </c>
      <c r="G3749" t="str">
        <f>"700065"</f>
        <v>700065</v>
      </c>
      <c r="H3749" t="str">
        <f>"אלתא מערכות בע""מ"</f>
        <v>אלתא מערכות בע"מ</v>
      </c>
      <c r="I3749" t="str">
        <f>"10"</f>
        <v>10</v>
      </c>
      <c r="J3749" t="str">
        <f>"cust00896"</f>
        <v>cust00896</v>
      </c>
      <c r="K3749" t="str">
        <f>"MEDIA EPC 230V  P33173000 אלתא"</f>
        <v>MEDIA EPC 230V  P33173000 אלתא</v>
      </c>
      <c r="L3749">
        <v>1</v>
      </c>
      <c r="M3749" t="str">
        <f>"יח"</f>
        <v>יח</v>
      </c>
      <c r="N3749">
        <v>1</v>
      </c>
      <c r="O3749" t="str">
        <f>"יח"</f>
        <v>יח</v>
      </c>
      <c r="P3749">
        <v>150</v>
      </c>
      <c r="Q3749" t="str">
        <f>"$"</f>
        <v>$</v>
      </c>
      <c r="R3749" t="str">
        <f>"הזמנה"</f>
        <v>הזמנה</v>
      </c>
      <c r="S3749">
        <v>0</v>
      </c>
      <c r="T3749">
        <v>150</v>
      </c>
      <c r="U3749">
        <v>0</v>
      </c>
      <c r="V3749">
        <v>150</v>
      </c>
      <c r="W3749" t="str">
        <f>"$"</f>
        <v>$</v>
      </c>
      <c r="X3749">
        <v>0</v>
      </c>
      <c r="Y3749">
        <v>0</v>
      </c>
      <c r="Z3749">
        <v>0</v>
      </c>
      <c r="AA3749" t="str">
        <f>"Y"</f>
        <v>Y</v>
      </c>
      <c r="AC3749">
        <v>0</v>
      </c>
      <c r="AM3749" t="str">
        <f>"10"</f>
        <v>10</v>
      </c>
      <c r="AN3749" t="str">
        <f>"500000"</f>
        <v>500000</v>
      </c>
      <c r="AO3749" t="str">
        <f>"הכנסות  מלקוחות"</f>
        <v>הכנסות  מלקוחות</v>
      </c>
      <c r="AQ3749" t="str">
        <f>"034"</f>
        <v>034</v>
      </c>
      <c r="AR3749">
        <v>0</v>
      </c>
      <c r="AS3749">
        <v>0</v>
      </c>
      <c r="AT3749">
        <v>3.4550000000000001</v>
      </c>
      <c r="BB3749" t="str">
        <f>"Y"</f>
        <v>Y</v>
      </c>
      <c r="BD3749" t="str">
        <f>"ערן שלו"</f>
        <v>ערן שלו</v>
      </c>
    </row>
    <row r="3750" spans="1:56" x14ac:dyDescent="0.3">
      <c r="A3750" s="1">
        <v>43989</v>
      </c>
      <c r="B3750" t="str">
        <f>"SI206000543"</f>
        <v>SI206000543</v>
      </c>
      <c r="C3750" t="str">
        <f>"PR19000750"</f>
        <v>PR19000750</v>
      </c>
      <c r="D3750" t="str">
        <f>"PR19000750"</f>
        <v>PR19000750</v>
      </c>
      <c r="E3750" t="str">
        <f>"Y"</f>
        <v>Y</v>
      </c>
      <c r="F3750" t="str">
        <f>"חשבוניות מרכזות"</f>
        <v>חשבוניות מרכזות</v>
      </c>
      <c r="G3750" t="str">
        <f>"700065"</f>
        <v>700065</v>
      </c>
      <c r="H3750" t="str">
        <f>"אלתא מערכות בע""מ"</f>
        <v>אלתא מערכות בע"מ</v>
      </c>
      <c r="I3750" t="str">
        <f>"10"</f>
        <v>10</v>
      </c>
      <c r="J3750" t="str">
        <f>"OP-KT00097"</f>
        <v>OP-KT00097</v>
      </c>
      <c r="K3750" t="str">
        <f>"1037C840-001 - PDB SPARES O LEVEL (IAC)"</f>
        <v>1037C840-001 - PDB SPARES O LEVEL (IAC)</v>
      </c>
      <c r="L3750">
        <v>1</v>
      </c>
      <c r="M3750" t="str">
        <f>"יח"</f>
        <v>יח</v>
      </c>
      <c r="N3750">
        <v>1</v>
      </c>
      <c r="O3750" t="str">
        <f>"יח"</f>
        <v>יח</v>
      </c>
      <c r="P3750" s="2">
        <v>6698</v>
      </c>
      <c r="Q3750" t="str">
        <f>"$"</f>
        <v>$</v>
      </c>
      <c r="R3750" t="str">
        <f>"הזמנה"</f>
        <v>הזמנה</v>
      </c>
      <c r="S3750">
        <v>0</v>
      </c>
      <c r="T3750" s="2">
        <v>6698</v>
      </c>
      <c r="U3750">
        <v>0</v>
      </c>
      <c r="V3750" s="2">
        <v>6698</v>
      </c>
      <c r="W3750" t="str">
        <f>"$"</f>
        <v>$</v>
      </c>
      <c r="X3750">
        <v>0</v>
      </c>
      <c r="Y3750">
        <v>0</v>
      </c>
      <c r="Z3750">
        <v>0</v>
      </c>
      <c r="AA3750" t="str">
        <f>"Y"</f>
        <v>Y</v>
      </c>
      <c r="AB3750" t="str">
        <f>"SO19000535"</f>
        <v>SO19000535</v>
      </c>
      <c r="AC3750">
        <v>4</v>
      </c>
      <c r="AD3750" s="1">
        <v>43823</v>
      </c>
      <c r="AE3750" t="str">
        <f>"SH20000711"</f>
        <v>SH20000711</v>
      </c>
      <c r="AF3750" t="str">
        <f>"משלוחים ללקוח"</f>
        <v>משלוחים ללקוח</v>
      </c>
      <c r="AG3750" s="1">
        <v>43985</v>
      </c>
      <c r="AM3750" t="str">
        <f>"10"</f>
        <v>10</v>
      </c>
      <c r="AN3750" t="str">
        <f>"500000"</f>
        <v>500000</v>
      </c>
      <c r="AO3750" t="str">
        <f>"הכנסות  מלקוחות"</f>
        <v>הכנסות  מלקוחות</v>
      </c>
      <c r="AQ3750" t="str">
        <f>"034"</f>
        <v>034</v>
      </c>
      <c r="AR3750">
        <v>0</v>
      </c>
      <c r="AS3750">
        <v>0</v>
      </c>
      <c r="AT3750">
        <v>3.4550000000000001</v>
      </c>
      <c r="AX3750" t="str">
        <f>"E000303378"</f>
        <v>E000303378</v>
      </c>
      <c r="BD3750" t="str">
        <f>"ערן שלו"</f>
        <v>ערן שלו</v>
      </c>
    </row>
    <row r="3751" spans="1:56" x14ac:dyDescent="0.3">
      <c r="A3751" s="1">
        <v>43989</v>
      </c>
      <c r="B3751" t="str">
        <f>"SI206000543"</f>
        <v>SI206000543</v>
      </c>
      <c r="C3751" t="str">
        <f>"PR19000750"</f>
        <v>PR19000750</v>
      </c>
      <c r="D3751" t="str">
        <f>"PR19000750"</f>
        <v>PR19000750</v>
      </c>
      <c r="E3751" t="str">
        <f>"Y"</f>
        <v>Y</v>
      </c>
      <c r="F3751" t="str">
        <f>"חשבוניות מרכזות"</f>
        <v>חשבוניות מרכזות</v>
      </c>
      <c r="G3751" t="str">
        <f>"700065"</f>
        <v>700065</v>
      </c>
      <c r="H3751" t="str">
        <f>"אלתא מערכות בע""מ"</f>
        <v>אלתא מערכות בע"מ</v>
      </c>
      <c r="I3751" t="str">
        <f>"10"</f>
        <v>10</v>
      </c>
      <c r="J3751" t="str">
        <f>"OP-KT00096"</f>
        <v>OP-KT00096</v>
      </c>
      <c r="K3751" t="str">
        <f>"PDB SPARES O LEVEL"</f>
        <v>PDB SPARES O LEVEL</v>
      </c>
      <c r="L3751">
        <v>2</v>
      </c>
      <c r="M3751" t="str">
        <f>"יח"</f>
        <v>יח</v>
      </c>
      <c r="N3751">
        <v>2</v>
      </c>
      <c r="O3751" t="str">
        <f>"יח"</f>
        <v>יח</v>
      </c>
      <c r="P3751" s="2">
        <v>6574</v>
      </c>
      <c r="Q3751" t="str">
        <f>"$"</f>
        <v>$</v>
      </c>
      <c r="R3751" t="str">
        <f>"הזמנה"</f>
        <v>הזמנה</v>
      </c>
      <c r="S3751">
        <v>0</v>
      </c>
      <c r="T3751" s="2">
        <v>13148</v>
      </c>
      <c r="U3751">
        <v>0</v>
      </c>
      <c r="V3751" s="2">
        <v>13148</v>
      </c>
      <c r="W3751" t="str">
        <f>"$"</f>
        <v>$</v>
      </c>
      <c r="X3751">
        <v>0</v>
      </c>
      <c r="Y3751">
        <v>0</v>
      </c>
      <c r="Z3751">
        <v>0</v>
      </c>
      <c r="AA3751" t="str">
        <f>"Y"</f>
        <v>Y</v>
      </c>
      <c r="AB3751" t="str">
        <f>"SO19000535"</f>
        <v>SO19000535</v>
      </c>
      <c r="AC3751">
        <v>11</v>
      </c>
      <c r="AD3751" s="1">
        <v>43823</v>
      </c>
      <c r="AE3751" t="str">
        <f>"SH20000711"</f>
        <v>SH20000711</v>
      </c>
      <c r="AF3751" t="str">
        <f>"משלוחים ללקוח"</f>
        <v>משלוחים ללקוח</v>
      </c>
      <c r="AG3751" s="1">
        <v>43985</v>
      </c>
      <c r="AM3751" t="str">
        <f>"10"</f>
        <v>10</v>
      </c>
      <c r="AN3751" t="str">
        <f>"500000"</f>
        <v>500000</v>
      </c>
      <c r="AO3751" t="str">
        <f>"הכנסות  מלקוחות"</f>
        <v>הכנסות  מלקוחות</v>
      </c>
      <c r="AQ3751" t="str">
        <f>"034"</f>
        <v>034</v>
      </c>
      <c r="AR3751">
        <v>0</v>
      </c>
      <c r="AS3751">
        <v>0</v>
      </c>
      <c r="AT3751">
        <v>3.4550000000000001</v>
      </c>
      <c r="AX3751" t="str">
        <f>"E000303378"</f>
        <v>E000303378</v>
      </c>
      <c r="BD3751" t="str">
        <f>"ערן שלו"</f>
        <v>ערן שלו</v>
      </c>
    </row>
    <row r="3752" spans="1:56" x14ac:dyDescent="0.3">
      <c r="A3752" s="1">
        <v>43989</v>
      </c>
      <c r="B3752" t="str">
        <f>"SI206000542"</f>
        <v>SI206000542</v>
      </c>
      <c r="C3752" t="str">
        <f>"PR19000750"</f>
        <v>PR19000750</v>
      </c>
      <c r="E3752" t="str">
        <f>"Y"</f>
        <v>Y</v>
      </c>
      <c r="F3752" t="str">
        <f>"חשבוניות מרכזות"</f>
        <v>חשבוניות מרכזות</v>
      </c>
      <c r="G3752" t="str">
        <f>"700065"</f>
        <v>700065</v>
      </c>
      <c r="H3752" t="str">
        <f>"אלתא מערכות בע""מ"</f>
        <v>אלתא מערכות בע"מ</v>
      </c>
      <c r="I3752" t="str">
        <f>"11"</f>
        <v>11</v>
      </c>
      <c r="J3752" t="str">
        <f>"OP-KT00102"</f>
        <v>OP-KT00102</v>
      </c>
      <c r="K3752" t="str">
        <f>"קיט ברגים 1037C504-001 PDB6/7"</f>
        <v>קיט ברגים 1037C504-001 PDB6/7</v>
      </c>
      <c r="L3752">
        <v>2</v>
      </c>
      <c r="M3752" t="str">
        <f>"יח"</f>
        <v>יח</v>
      </c>
      <c r="N3752">
        <v>2</v>
      </c>
      <c r="O3752" t="str">
        <f>"יח"</f>
        <v>יח</v>
      </c>
      <c r="P3752">
        <v>0.1</v>
      </c>
      <c r="Q3752" t="str">
        <f>"$"</f>
        <v>$</v>
      </c>
      <c r="R3752" t="str">
        <f>"הזמנה"</f>
        <v>הזמנה</v>
      </c>
      <c r="S3752">
        <v>0</v>
      </c>
      <c r="T3752">
        <v>0.2</v>
      </c>
      <c r="U3752">
        <v>0</v>
      </c>
      <c r="V3752">
        <v>0.2</v>
      </c>
      <c r="W3752" t="str">
        <f>"$"</f>
        <v>$</v>
      </c>
      <c r="X3752">
        <v>0</v>
      </c>
      <c r="Y3752">
        <v>0</v>
      </c>
      <c r="Z3752">
        <v>0</v>
      </c>
      <c r="AA3752" t="str">
        <f>"Y"</f>
        <v>Y</v>
      </c>
      <c r="AC3752">
        <v>0</v>
      </c>
      <c r="AM3752" t="str">
        <f>"10"</f>
        <v>10</v>
      </c>
      <c r="AN3752" t="str">
        <f>"500000"</f>
        <v>500000</v>
      </c>
      <c r="AO3752" t="str">
        <f>"הכנסות  מלקוחות"</f>
        <v>הכנסות  מלקוחות</v>
      </c>
      <c r="AQ3752" t="str">
        <f>"034"</f>
        <v>034</v>
      </c>
      <c r="AR3752">
        <v>0</v>
      </c>
      <c r="AS3752">
        <v>0</v>
      </c>
      <c r="AT3752">
        <v>3.4550000000000001</v>
      </c>
      <c r="BB3752" t="str">
        <f>"Y"</f>
        <v>Y</v>
      </c>
      <c r="BD3752" t="str">
        <f>"ערן שלו"</f>
        <v>ערן שלו</v>
      </c>
    </row>
    <row r="3753" spans="1:56" x14ac:dyDescent="0.3">
      <c r="A3753" s="1">
        <v>43989</v>
      </c>
      <c r="B3753" t="str">
        <f>"SI206000542"</f>
        <v>SI206000542</v>
      </c>
      <c r="C3753" t="str">
        <f>"PR19000750"</f>
        <v>PR19000750</v>
      </c>
      <c r="E3753" t="str">
        <f>"Y"</f>
        <v>Y</v>
      </c>
      <c r="F3753" t="str">
        <f>"חשבוניות מרכזות"</f>
        <v>חשבוניות מרכזות</v>
      </c>
      <c r="G3753" t="str">
        <f>"700065"</f>
        <v>700065</v>
      </c>
      <c r="H3753" t="str">
        <f>"אלתא מערכות בע""מ"</f>
        <v>אלתא מערכות בע"מ</v>
      </c>
      <c r="I3753" t="str">
        <f>"11"</f>
        <v>11</v>
      </c>
      <c r="J3753" t="str">
        <f>"OP-KT00103"</f>
        <v>OP-KT00103</v>
      </c>
      <c r="K3753" t="str">
        <f>"קיט ברגים 1037C514-001 PDB9"</f>
        <v>קיט ברגים 1037C514-001 PDB9</v>
      </c>
      <c r="L3753">
        <v>1</v>
      </c>
      <c r="M3753" t="str">
        <f>"יח"</f>
        <v>יח</v>
      </c>
      <c r="N3753">
        <v>1</v>
      </c>
      <c r="O3753" t="str">
        <f>"יח"</f>
        <v>יח</v>
      </c>
      <c r="P3753">
        <v>0.1</v>
      </c>
      <c r="Q3753" t="str">
        <f>"$"</f>
        <v>$</v>
      </c>
      <c r="R3753" t="str">
        <f>"הזמנה"</f>
        <v>הזמנה</v>
      </c>
      <c r="S3753">
        <v>0</v>
      </c>
      <c r="T3753">
        <v>0.1</v>
      </c>
      <c r="U3753">
        <v>0</v>
      </c>
      <c r="V3753">
        <v>0.1</v>
      </c>
      <c r="W3753" t="str">
        <f>"$"</f>
        <v>$</v>
      </c>
      <c r="X3753">
        <v>0</v>
      </c>
      <c r="Y3753">
        <v>0</v>
      </c>
      <c r="Z3753">
        <v>0</v>
      </c>
      <c r="AA3753" t="str">
        <f>"Y"</f>
        <v>Y</v>
      </c>
      <c r="AC3753">
        <v>0</v>
      </c>
      <c r="AM3753" t="str">
        <f>"10"</f>
        <v>10</v>
      </c>
      <c r="AN3753" t="str">
        <f>"500000"</f>
        <v>500000</v>
      </c>
      <c r="AO3753" t="str">
        <f>"הכנסות  מלקוחות"</f>
        <v>הכנסות  מלקוחות</v>
      </c>
      <c r="AQ3753" t="str">
        <f>"034"</f>
        <v>034</v>
      </c>
      <c r="AR3753">
        <v>0</v>
      </c>
      <c r="AS3753">
        <v>0</v>
      </c>
      <c r="AT3753">
        <v>3.4550000000000001</v>
      </c>
      <c r="BB3753" t="str">
        <f>"Y"</f>
        <v>Y</v>
      </c>
      <c r="BD3753" t="str">
        <f>"ערן שלו"</f>
        <v>ערן שלו</v>
      </c>
    </row>
    <row r="3754" spans="1:56" x14ac:dyDescent="0.3">
      <c r="A3754" s="1">
        <v>43989</v>
      </c>
      <c r="B3754" t="str">
        <f>"SI206000542"</f>
        <v>SI206000542</v>
      </c>
      <c r="C3754" t="str">
        <f>"PR19000750"</f>
        <v>PR19000750</v>
      </c>
      <c r="E3754" t="str">
        <f>"Y"</f>
        <v>Y</v>
      </c>
      <c r="F3754" t="str">
        <f>"חשבוניות מרכזות"</f>
        <v>חשבוניות מרכזות</v>
      </c>
      <c r="G3754" t="str">
        <f>"700065"</f>
        <v>700065</v>
      </c>
      <c r="H3754" t="str">
        <f>"אלתא מערכות בע""מ"</f>
        <v>אלתא מערכות בע"מ</v>
      </c>
      <c r="I3754" t="str">
        <f>"11"</f>
        <v>11</v>
      </c>
      <c r="J3754" t="str">
        <f>"OP-KT00105"</f>
        <v>OP-KT00105</v>
      </c>
      <c r="K3754" t="str">
        <f>"קיט ברגים 1037C544-001 Transformer 01/02"</f>
        <v>קיט ברגים 1037C544-001 Transformer 01/02</v>
      </c>
      <c r="L3754">
        <v>2</v>
      </c>
      <c r="M3754" t="str">
        <f>"יח"</f>
        <v>יח</v>
      </c>
      <c r="N3754">
        <v>2</v>
      </c>
      <c r="O3754" t="str">
        <f>"יח"</f>
        <v>יח</v>
      </c>
      <c r="P3754">
        <v>0.1</v>
      </c>
      <c r="Q3754" t="str">
        <f>"$"</f>
        <v>$</v>
      </c>
      <c r="R3754" t="str">
        <f>"הזמנה"</f>
        <v>הזמנה</v>
      </c>
      <c r="S3754">
        <v>0</v>
      </c>
      <c r="T3754">
        <v>0.2</v>
      </c>
      <c r="U3754">
        <v>0</v>
      </c>
      <c r="V3754">
        <v>0.2</v>
      </c>
      <c r="W3754" t="str">
        <f>"$"</f>
        <v>$</v>
      </c>
      <c r="X3754">
        <v>0</v>
      </c>
      <c r="Y3754">
        <v>0</v>
      </c>
      <c r="Z3754">
        <v>0</v>
      </c>
      <c r="AA3754" t="str">
        <f>"Y"</f>
        <v>Y</v>
      </c>
      <c r="AC3754">
        <v>0</v>
      </c>
      <c r="AM3754" t="str">
        <f>"10"</f>
        <v>10</v>
      </c>
      <c r="AN3754" t="str">
        <f>"500000"</f>
        <v>500000</v>
      </c>
      <c r="AO3754" t="str">
        <f>"הכנסות  מלקוחות"</f>
        <v>הכנסות  מלקוחות</v>
      </c>
      <c r="AQ3754" t="str">
        <f>"034"</f>
        <v>034</v>
      </c>
      <c r="AR3754">
        <v>0</v>
      </c>
      <c r="AS3754">
        <v>0</v>
      </c>
      <c r="AT3754">
        <v>3.4550000000000001</v>
      </c>
      <c r="BB3754" t="str">
        <f>"Y"</f>
        <v>Y</v>
      </c>
      <c r="BD3754" t="str">
        <f>"ערן שלו"</f>
        <v>ערן שלו</v>
      </c>
    </row>
    <row r="3755" spans="1:56" x14ac:dyDescent="0.3">
      <c r="A3755" s="1">
        <v>43989</v>
      </c>
      <c r="B3755" t="str">
        <f>"SI206000542"</f>
        <v>SI206000542</v>
      </c>
      <c r="C3755" t="str">
        <f>"PR19000750"</f>
        <v>PR19000750</v>
      </c>
      <c r="E3755" t="str">
        <f>"Y"</f>
        <v>Y</v>
      </c>
      <c r="F3755" t="str">
        <f>"חשבוניות מרכזות"</f>
        <v>חשבוניות מרכזות</v>
      </c>
      <c r="G3755" t="str">
        <f>"700065"</f>
        <v>700065</v>
      </c>
      <c r="H3755" t="str">
        <f>"אלתא מערכות בע""מ"</f>
        <v>אלתא מערכות בע"מ</v>
      </c>
      <c r="I3755" t="str">
        <f>"11"</f>
        <v>11</v>
      </c>
      <c r="J3755" t="str">
        <f>"OP-KT00106"</f>
        <v>OP-KT00106</v>
      </c>
      <c r="K3755" t="str">
        <f>"קיט ברגים 1037C554-001 Transformer 03"</f>
        <v>קיט ברגים 1037C554-001 Transformer 03</v>
      </c>
      <c r="L3755">
        <v>1</v>
      </c>
      <c r="M3755" t="str">
        <f>"יח"</f>
        <v>יח</v>
      </c>
      <c r="N3755">
        <v>1</v>
      </c>
      <c r="O3755" t="str">
        <f>"יח"</f>
        <v>יח</v>
      </c>
      <c r="P3755">
        <v>0.1</v>
      </c>
      <c r="Q3755" t="str">
        <f>"$"</f>
        <v>$</v>
      </c>
      <c r="R3755" t="str">
        <f>"הזמנה"</f>
        <v>הזמנה</v>
      </c>
      <c r="S3755">
        <v>0</v>
      </c>
      <c r="T3755">
        <v>0.1</v>
      </c>
      <c r="U3755">
        <v>0</v>
      </c>
      <c r="V3755">
        <v>0.1</v>
      </c>
      <c r="W3755" t="str">
        <f>"$"</f>
        <v>$</v>
      </c>
      <c r="X3755">
        <v>0</v>
      </c>
      <c r="Y3755">
        <v>0</v>
      </c>
      <c r="Z3755">
        <v>0</v>
      </c>
      <c r="AA3755" t="str">
        <f>"Y"</f>
        <v>Y</v>
      </c>
      <c r="AC3755">
        <v>0</v>
      </c>
      <c r="AM3755" t="str">
        <f>"10"</f>
        <v>10</v>
      </c>
      <c r="AN3755" t="str">
        <f>"500000"</f>
        <v>500000</v>
      </c>
      <c r="AO3755" t="str">
        <f>"הכנסות  מלקוחות"</f>
        <v>הכנסות  מלקוחות</v>
      </c>
      <c r="AQ3755" t="str">
        <f>"034"</f>
        <v>034</v>
      </c>
      <c r="AR3755">
        <v>0</v>
      </c>
      <c r="AS3755">
        <v>0</v>
      </c>
      <c r="AT3755">
        <v>3.4550000000000001</v>
      </c>
      <c r="BB3755" t="str">
        <f>"Y"</f>
        <v>Y</v>
      </c>
      <c r="BD3755" t="str">
        <f>"ערן שלו"</f>
        <v>ערן שלו</v>
      </c>
    </row>
    <row r="3756" spans="1:56" x14ac:dyDescent="0.3">
      <c r="A3756" s="1">
        <v>43985</v>
      </c>
      <c r="B3756" t="str">
        <f>"SI206000529"</f>
        <v>SI206000529</v>
      </c>
      <c r="C3756" t="str">
        <f>"PR19000753"</f>
        <v>PR19000753</v>
      </c>
      <c r="D3756" t="str">
        <f>"PR19000753"</f>
        <v>PR19000753</v>
      </c>
      <c r="E3756" t="str">
        <f>"Y"</f>
        <v>Y</v>
      </c>
      <c r="F3756" t="str">
        <f>"חשבוניות מרכזות"</f>
        <v>חשבוניות מרכזות</v>
      </c>
      <c r="G3756" t="str">
        <f>"700065"</f>
        <v>700065</v>
      </c>
      <c r="H3756" t="str">
        <f>"אלתא מערכות בע""מ"</f>
        <v>אלתא מערכות בע"מ</v>
      </c>
      <c r="I3756" t="str">
        <f>"10"</f>
        <v>10</v>
      </c>
      <c r="J3756" t="str">
        <f>"999"</f>
        <v>999</v>
      </c>
      <c r="K3756" t="str">
        <f>"ביצוע אנליזה דינאמית שנאי 200KVA"</f>
        <v>ביצוע אנליזה דינאמית שנאי 200KVA</v>
      </c>
      <c r="L3756">
        <v>1</v>
      </c>
      <c r="M3756" t="str">
        <f>"חל"</f>
        <v>חל</v>
      </c>
      <c r="N3756">
        <v>1</v>
      </c>
      <c r="O3756" t="str">
        <f>"חל"</f>
        <v>חל</v>
      </c>
      <c r="P3756" s="2">
        <v>16000</v>
      </c>
      <c r="Q3756" t="str">
        <f>"$"</f>
        <v>$</v>
      </c>
      <c r="R3756" t="str">
        <f>"הזמנה"</f>
        <v>הזמנה</v>
      </c>
      <c r="S3756">
        <v>0</v>
      </c>
      <c r="T3756" s="2">
        <v>16000</v>
      </c>
      <c r="U3756">
        <v>0</v>
      </c>
      <c r="V3756" s="2">
        <v>16000</v>
      </c>
      <c r="W3756" t="str">
        <f>"$"</f>
        <v>$</v>
      </c>
      <c r="X3756">
        <v>0</v>
      </c>
      <c r="Y3756">
        <v>0</v>
      </c>
      <c r="Z3756">
        <v>0</v>
      </c>
      <c r="AA3756" t="str">
        <f>"Y"</f>
        <v>Y</v>
      </c>
      <c r="AB3756" t="str">
        <f>"SO19000458"</f>
        <v>SO19000458</v>
      </c>
      <c r="AC3756">
        <v>6</v>
      </c>
      <c r="AD3756" s="1">
        <v>43767</v>
      </c>
      <c r="AM3756" t="str">
        <f>"10"</f>
        <v>10</v>
      </c>
      <c r="AN3756" t="str">
        <f>"500000"</f>
        <v>500000</v>
      </c>
      <c r="AO3756" t="str">
        <f>"הכנסות  מלקוחות"</f>
        <v>הכנסות  מלקוחות</v>
      </c>
      <c r="AQ3756" t="str">
        <f>"034"</f>
        <v>034</v>
      </c>
      <c r="AR3756">
        <v>0</v>
      </c>
      <c r="AS3756">
        <v>0</v>
      </c>
      <c r="AT3756">
        <v>3.484</v>
      </c>
      <c r="AX3756" t="str">
        <f>"E000297273"</f>
        <v>E000297273</v>
      </c>
      <c r="BD3756" t="str">
        <f>"ערן שלו"</f>
        <v>ערן שלו</v>
      </c>
    </row>
    <row r="3757" spans="1:56" x14ac:dyDescent="0.3">
      <c r="A3757" s="1">
        <v>43985</v>
      </c>
      <c r="B3757" t="str">
        <f>"SI206000528"</f>
        <v>SI206000528</v>
      </c>
      <c r="C3757" t="str">
        <f>"PR19000753"</f>
        <v>PR19000753</v>
      </c>
      <c r="E3757" t="str">
        <f>"Y"</f>
        <v>Y</v>
      </c>
      <c r="F3757" t="str">
        <f>"חשבוניות מרכזות"</f>
        <v>חשבוניות מרכזות</v>
      </c>
      <c r="G3757" t="str">
        <f>"700065"</f>
        <v>700065</v>
      </c>
      <c r="H3757" t="str">
        <f>"אלתא מערכות בע""מ"</f>
        <v>אלתא מערכות בע"מ</v>
      </c>
      <c r="I3757" t="str">
        <f>"10"</f>
        <v>10</v>
      </c>
      <c r="J3757" t="str">
        <f>"999"</f>
        <v>999</v>
      </c>
      <c r="K3757" t="str">
        <f>"ביצוע אנליזה דינאמית שנאי 200KVA"</f>
        <v>ביצוע אנליזה דינאמית שנאי 200KVA</v>
      </c>
      <c r="L3757">
        <v>-1</v>
      </c>
      <c r="M3757" t="str">
        <f>"חל"</f>
        <v>חל</v>
      </c>
      <c r="N3757">
        <v>-1</v>
      </c>
      <c r="O3757" t="str">
        <f>"חל"</f>
        <v>חל</v>
      </c>
      <c r="P3757" s="2">
        <v>16000</v>
      </c>
      <c r="Q3757" t="str">
        <f>"$"</f>
        <v>$</v>
      </c>
      <c r="R3757" t="str">
        <f>"הזמנה"</f>
        <v>הזמנה</v>
      </c>
      <c r="S3757">
        <v>0</v>
      </c>
      <c r="T3757" s="2">
        <v>-16000</v>
      </c>
      <c r="U3757">
        <v>0</v>
      </c>
      <c r="V3757" s="2">
        <v>-16000</v>
      </c>
      <c r="W3757" t="str">
        <f>"$"</f>
        <v>$</v>
      </c>
      <c r="X3757">
        <v>0</v>
      </c>
      <c r="Y3757">
        <v>0</v>
      </c>
      <c r="Z3757">
        <v>0</v>
      </c>
      <c r="AA3757" t="str">
        <f>"Y"</f>
        <v>Y</v>
      </c>
      <c r="AC3757">
        <v>0</v>
      </c>
      <c r="AM3757" t="str">
        <f>"10"</f>
        <v>10</v>
      </c>
      <c r="AN3757" t="str">
        <f>"500000"</f>
        <v>500000</v>
      </c>
      <c r="AO3757" t="str">
        <f>"הכנסות  מלקוחות"</f>
        <v>הכנסות  מלקוחות</v>
      </c>
      <c r="AQ3757" t="str">
        <f>"034"</f>
        <v>034</v>
      </c>
      <c r="AR3757">
        <v>0</v>
      </c>
      <c r="AS3757">
        <v>0</v>
      </c>
      <c r="AT3757">
        <v>3.5089999999999999</v>
      </c>
      <c r="BB3757" t="str">
        <f>"Y"</f>
        <v>Y</v>
      </c>
      <c r="BD3757" t="str">
        <f>"ערן שלו"</f>
        <v>ערן שלו</v>
      </c>
    </row>
    <row r="3758" spans="1:56" x14ac:dyDescent="0.3">
      <c r="A3758" s="1">
        <v>43985</v>
      </c>
      <c r="B3758" t="str">
        <f>"SI206000527"</f>
        <v>SI206000527</v>
      </c>
      <c r="C3758" t="str">
        <f>"PR19000753"</f>
        <v>PR19000753</v>
      </c>
      <c r="E3758" t="str">
        <f>"Y"</f>
        <v>Y</v>
      </c>
      <c r="F3758" t="str">
        <f>"חשבוניות מרכזות"</f>
        <v>חשבוניות מרכזות</v>
      </c>
      <c r="G3758" t="str">
        <f>"700065"</f>
        <v>700065</v>
      </c>
      <c r="H3758" t="str">
        <f>"אלתא מערכות בע""מ"</f>
        <v>אלתא מערכות בע"מ</v>
      </c>
      <c r="I3758" t="str">
        <f>"10"</f>
        <v>10</v>
      </c>
      <c r="J3758" t="str">
        <f>"999"</f>
        <v>999</v>
      </c>
      <c r="K3758" t="str">
        <f>"ביצוע אנליזה דינאמית שנאי 200KVA"</f>
        <v>ביצוע אנליזה דינאמית שנאי 200KVA</v>
      </c>
      <c r="L3758">
        <v>1</v>
      </c>
      <c r="M3758" t="str">
        <f>"חל"</f>
        <v>חל</v>
      </c>
      <c r="N3758">
        <v>1</v>
      </c>
      <c r="O3758" t="str">
        <f>"חל"</f>
        <v>חל</v>
      </c>
      <c r="P3758" s="2">
        <v>16000</v>
      </c>
      <c r="Q3758" t="str">
        <f>"$"</f>
        <v>$</v>
      </c>
      <c r="R3758" t="str">
        <f>"הזמנה"</f>
        <v>הזמנה</v>
      </c>
      <c r="S3758">
        <v>0</v>
      </c>
      <c r="T3758" s="2">
        <v>16000</v>
      </c>
      <c r="U3758">
        <v>0</v>
      </c>
      <c r="V3758" s="2">
        <v>16000</v>
      </c>
      <c r="W3758" t="str">
        <f>"$"</f>
        <v>$</v>
      </c>
      <c r="X3758">
        <v>0</v>
      </c>
      <c r="Y3758">
        <v>0</v>
      </c>
      <c r="Z3758">
        <v>0</v>
      </c>
      <c r="AA3758" t="str">
        <f>"Y"</f>
        <v>Y</v>
      </c>
      <c r="AC3758">
        <v>0</v>
      </c>
      <c r="AM3758" t="str">
        <f>"10"</f>
        <v>10</v>
      </c>
      <c r="AN3758" t="str">
        <f>"500000"</f>
        <v>500000</v>
      </c>
      <c r="AO3758" t="str">
        <f>"הכנסות  מלקוחות"</f>
        <v>הכנסות  מלקוחות</v>
      </c>
      <c r="AQ3758" t="str">
        <f>"034"</f>
        <v>034</v>
      </c>
      <c r="AR3758">
        <v>0</v>
      </c>
      <c r="AS3758">
        <v>0</v>
      </c>
      <c r="AT3758">
        <v>3.5089999999999999</v>
      </c>
      <c r="BB3758" t="str">
        <f>"Y"</f>
        <v>Y</v>
      </c>
      <c r="BD3758" t="str">
        <f>"ערן שלו"</f>
        <v>ערן שלו</v>
      </c>
    </row>
    <row r="3759" spans="1:56" x14ac:dyDescent="0.3">
      <c r="A3759" s="1">
        <v>43984</v>
      </c>
      <c r="B3759" t="str">
        <f>"SI206000524"</f>
        <v>SI206000524</v>
      </c>
      <c r="C3759" t="str">
        <f>"PR20000025"</f>
        <v>PR20000025</v>
      </c>
      <c r="D3759" t="str">
        <f>"PR20000025"</f>
        <v>PR20000025</v>
      </c>
      <c r="E3759" t="str">
        <f>"Y"</f>
        <v>Y</v>
      </c>
      <c r="F3759" t="str">
        <f>"חשבוניות מרכזות"</f>
        <v>חשבוניות מרכזות</v>
      </c>
      <c r="G3759" t="str">
        <f>"700065"</f>
        <v>700065</v>
      </c>
      <c r="H3759" t="str">
        <f>"אלתא מערכות בע""מ"</f>
        <v>אלתא מערכות בע"מ</v>
      </c>
      <c r="I3759" t="str">
        <f>"10"</f>
        <v>10</v>
      </c>
      <c r="J3759" t="str">
        <f>"OP-AR01602"</f>
        <v>OP-AR01602</v>
      </c>
      <c r="K3759" t="str">
        <f>"1030W535-001 HARNESS W535 PEDESTAL LIMIT SWITCH"</f>
        <v>1030W535-001 HARNESS W535 PEDESTAL LIMIT SWITCH</v>
      </c>
      <c r="L3759">
        <v>1</v>
      </c>
      <c r="M3759" t="str">
        <f>"יח"</f>
        <v>יח</v>
      </c>
      <c r="N3759">
        <v>1</v>
      </c>
      <c r="O3759" t="str">
        <f>"יח"</f>
        <v>יח</v>
      </c>
      <c r="P3759">
        <v>727.8</v>
      </c>
      <c r="Q3759" t="str">
        <f>"$"</f>
        <v>$</v>
      </c>
      <c r="R3759" t="str">
        <f>"הזמנה"</f>
        <v>הזמנה</v>
      </c>
      <c r="S3759">
        <v>0</v>
      </c>
      <c r="T3759">
        <v>727.8</v>
      </c>
      <c r="U3759">
        <v>0</v>
      </c>
      <c r="V3759">
        <v>727.8</v>
      </c>
      <c r="W3759" t="str">
        <f>"$"</f>
        <v>$</v>
      </c>
      <c r="X3759">
        <v>0</v>
      </c>
      <c r="Y3759">
        <v>0</v>
      </c>
      <c r="Z3759">
        <v>0</v>
      </c>
      <c r="AA3759" t="str">
        <f>"Y"</f>
        <v>Y</v>
      </c>
      <c r="AB3759" t="str">
        <f>"SO20000020"</f>
        <v>SO20000020</v>
      </c>
      <c r="AC3759">
        <v>1</v>
      </c>
      <c r="AD3759" s="1">
        <v>43844</v>
      </c>
      <c r="AE3759" t="str">
        <f>"SH20000683"</f>
        <v>SH20000683</v>
      </c>
      <c r="AF3759" t="str">
        <f>"משלוחים ללקוח"</f>
        <v>משלוחים ללקוח</v>
      </c>
      <c r="AG3759" s="1">
        <v>43982</v>
      </c>
      <c r="AM3759" t="str">
        <f>"10"</f>
        <v>10</v>
      </c>
      <c r="AN3759" t="str">
        <f>"500000"</f>
        <v>500000</v>
      </c>
      <c r="AO3759" t="str">
        <f>"הכנסות  מלקוחות"</f>
        <v>הכנסות  מלקוחות</v>
      </c>
      <c r="AQ3759" t="str">
        <f>"034"</f>
        <v>034</v>
      </c>
      <c r="AR3759">
        <v>0</v>
      </c>
      <c r="AS3759">
        <v>0</v>
      </c>
      <c r="AT3759">
        <v>3.5089999999999999</v>
      </c>
      <c r="AX3759" t="str">
        <f>"E000302974"</f>
        <v>E000302974</v>
      </c>
      <c r="BD3759" t="str">
        <f>"ערן שלו"</f>
        <v>ערן שלו</v>
      </c>
    </row>
    <row r="3760" spans="1:56" x14ac:dyDescent="0.3">
      <c r="A3760" s="1">
        <v>43984</v>
      </c>
      <c r="B3760" t="str">
        <f>"SI206000519"</f>
        <v>SI206000519</v>
      </c>
      <c r="C3760" t="str">
        <f>"PR14002143"</f>
        <v>PR14002143</v>
      </c>
      <c r="D3760" t="str">
        <f>"PR14002143"</f>
        <v>PR14002143</v>
      </c>
      <c r="E3760" t="str">
        <f>"Y"</f>
        <v>Y</v>
      </c>
      <c r="F3760" t="str">
        <f>"חשבוניות מרכזות"</f>
        <v>חשבוניות מרכזות</v>
      </c>
      <c r="G3760" t="str">
        <f>"700065"</f>
        <v>700065</v>
      </c>
      <c r="H3760" t="str">
        <f>"אלתא מערכות בע""מ"</f>
        <v>אלתא מערכות בע"מ</v>
      </c>
      <c r="I3760" t="str">
        <f>"10"</f>
        <v>10</v>
      </c>
      <c r="J3760" t="str">
        <f>"OP-AR00225"</f>
        <v>OP-AR00225</v>
      </c>
      <c r="K3760" t="str">
        <f>"יצוע אנליזות תרמיות וחוזק PDB"</f>
        <v>יצוע אנליזות תרמיות וחוזק PDB</v>
      </c>
      <c r="L3760">
        <v>1</v>
      </c>
      <c r="M3760" t="str">
        <f>"יח"</f>
        <v>יח</v>
      </c>
      <c r="N3760">
        <v>1</v>
      </c>
      <c r="O3760" t="str">
        <f>"יח"</f>
        <v>יח</v>
      </c>
      <c r="P3760" s="2">
        <v>16950</v>
      </c>
      <c r="Q3760" t="str">
        <f>"$"</f>
        <v>$</v>
      </c>
      <c r="R3760" t="str">
        <f>"הזמנה"</f>
        <v>הזמנה</v>
      </c>
      <c r="S3760">
        <v>0</v>
      </c>
      <c r="T3760" s="2">
        <v>16950</v>
      </c>
      <c r="U3760">
        <v>0</v>
      </c>
      <c r="V3760" s="2">
        <v>16950</v>
      </c>
      <c r="W3760" t="str">
        <f>"$"</f>
        <v>$</v>
      </c>
      <c r="X3760">
        <v>0</v>
      </c>
      <c r="Y3760">
        <v>0</v>
      </c>
      <c r="Z3760">
        <v>0</v>
      </c>
      <c r="AA3760" t="str">
        <f>"Y"</f>
        <v>Y</v>
      </c>
      <c r="AB3760" t="str">
        <f>"SO150003791"</f>
        <v>SO150003791</v>
      </c>
      <c r="AC3760">
        <v>2</v>
      </c>
      <c r="AD3760" s="1">
        <v>42303</v>
      </c>
      <c r="AM3760" t="str">
        <f>"10"</f>
        <v>10</v>
      </c>
      <c r="AN3760" t="str">
        <f>"500000"</f>
        <v>500000</v>
      </c>
      <c r="AO3760" t="str">
        <f>"הכנסות  מלקוחות"</f>
        <v>הכנסות  מלקוחות</v>
      </c>
      <c r="AQ3760" t="str">
        <f>"007"</f>
        <v>007</v>
      </c>
      <c r="AR3760">
        <v>0</v>
      </c>
      <c r="AS3760">
        <v>0</v>
      </c>
      <c r="AT3760">
        <v>3.5089999999999999</v>
      </c>
      <c r="AX3760" t="str">
        <f>"E000205151"</f>
        <v>E000205151</v>
      </c>
      <c r="BD3760" t="str">
        <f>"רוני דידי"</f>
        <v>רוני דידי</v>
      </c>
    </row>
    <row r="3761" spans="1:56" x14ac:dyDescent="0.3">
      <c r="A3761" s="1">
        <v>43984</v>
      </c>
      <c r="B3761" t="str">
        <f>"SI206000518"</f>
        <v>SI206000518</v>
      </c>
      <c r="E3761" t="str">
        <f>"Y"</f>
        <v>Y</v>
      </c>
      <c r="F3761" t="str">
        <f>"חשבוניות מרכזות"</f>
        <v>חשבוניות מרכזות</v>
      </c>
      <c r="G3761" t="str">
        <f>"700065"</f>
        <v>700065</v>
      </c>
      <c r="H3761" t="str">
        <f>"אלתא מערכות בע""מ"</f>
        <v>אלתא מערכות בע"מ</v>
      </c>
      <c r="I3761" t="str">
        <f>"10"</f>
        <v>10</v>
      </c>
      <c r="J3761" t="str">
        <f>"OP-AR00081"</f>
        <v>OP-AR00081</v>
      </c>
      <c r="K3761" t="str">
        <f>"NRE ליחידות PDB/PDU"</f>
        <v>NRE ליחידות PDB/PDU</v>
      </c>
      <c r="L3761">
        <v>1</v>
      </c>
      <c r="M3761" t="str">
        <f>"חל"</f>
        <v>חל</v>
      </c>
      <c r="N3761">
        <v>1</v>
      </c>
      <c r="O3761" t="str">
        <f>"חל"</f>
        <v>חל</v>
      </c>
      <c r="P3761" s="2">
        <v>30464</v>
      </c>
      <c r="Q3761" t="str">
        <f>"$"</f>
        <v>$</v>
      </c>
      <c r="R3761" t="str">
        <f>"הזמנה"</f>
        <v>הזמנה</v>
      </c>
      <c r="S3761">
        <v>0</v>
      </c>
      <c r="T3761" s="2">
        <v>30464</v>
      </c>
      <c r="U3761">
        <v>0</v>
      </c>
      <c r="V3761" s="2">
        <v>30464</v>
      </c>
      <c r="W3761" t="str">
        <f>"$"</f>
        <v>$</v>
      </c>
      <c r="X3761">
        <v>0</v>
      </c>
      <c r="Y3761">
        <v>0</v>
      </c>
      <c r="Z3761">
        <v>0</v>
      </c>
      <c r="AA3761" t="str">
        <f>"Y"</f>
        <v>Y</v>
      </c>
      <c r="AB3761" t="str">
        <f>"SO140002474"</f>
        <v>SO140002474</v>
      </c>
      <c r="AC3761">
        <v>3</v>
      </c>
      <c r="AD3761" s="1">
        <v>41939</v>
      </c>
      <c r="AM3761" t="str">
        <f>"10"</f>
        <v>10</v>
      </c>
      <c r="AN3761" t="str">
        <f>"500000"</f>
        <v>500000</v>
      </c>
      <c r="AO3761" t="str">
        <f>"הכנסות  מלקוחות"</f>
        <v>הכנסות  מלקוחות</v>
      </c>
      <c r="AQ3761" t="str">
        <f>"007"</f>
        <v>007</v>
      </c>
      <c r="AR3761">
        <v>0</v>
      </c>
      <c r="AS3761">
        <v>0</v>
      </c>
      <c r="AT3761">
        <v>3.5089999999999999</v>
      </c>
      <c r="AX3761" t="str">
        <f>"E000182402"</f>
        <v>E000182402</v>
      </c>
      <c r="BD3761" t="str">
        <f>"רוני דידי"</f>
        <v>רוני דידי</v>
      </c>
    </row>
    <row r="3762" spans="1:56" x14ac:dyDescent="0.3">
      <c r="A3762" s="1">
        <v>43983</v>
      </c>
      <c r="B3762" t="str">
        <f>"SI206000702"</f>
        <v>SI206000702</v>
      </c>
      <c r="C3762" t="str">
        <f>"PR19000398"</f>
        <v>PR19000398</v>
      </c>
      <c r="E3762" t="str">
        <f>"Y"</f>
        <v>Y</v>
      </c>
      <c r="F3762" t="str">
        <f>"חשבוניות מרכזות"</f>
        <v>חשבוניות מרכזות</v>
      </c>
      <c r="G3762" t="str">
        <f>"700065"</f>
        <v>700065</v>
      </c>
      <c r="H3762" t="str">
        <f>"אלתא מערכות בע""מ"</f>
        <v>אלתא מערכות בע"מ</v>
      </c>
      <c r="I3762" t="str">
        <f>"10"</f>
        <v>10</v>
      </c>
      <c r="J3762" t="str">
        <f>"000"</f>
        <v>000</v>
      </c>
      <c r="K3762" t="str">
        <f>"NRE ליחידת PDU"</f>
        <v>NRE ליחידת PDU</v>
      </c>
      <c r="L3762">
        <v>-1</v>
      </c>
      <c r="M3762" t="str">
        <f>"יח"</f>
        <v>יח</v>
      </c>
      <c r="N3762">
        <v>-1</v>
      </c>
      <c r="O3762" t="str">
        <f>"יח"</f>
        <v>יח</v>
      </c>
      <c r="P3762" s="2">
        <v>7892.5</v>
      </c>
      <c r="Q3762" t="str">
        <f>"$"</f>
        <v>$</v>
      </c>
      <c r="R3762" t="str">
        <f>"הזמנה"</f>
        <v>הזמנה</v>
      </c>
      <c r="S3762">
        <v>0</v>
      </c>
      <c r="T3762" s="2">
        <v>-7892.5</v>
      </c>
      <c r="U3762">
        <v>0</v>
      </c>
      <c r="V3762" s="2">
        <v>-7892.5</v>
      </c>
      <c r="W3762" t="str">
        <f>"$"</f>
        <v>$</v>
      </c>
      <c r="X3762">
        <v>0</v>
      </c>
      <c r="Y3762">
        <v>0</v>
      </c>
      <c r="Z3762">
        <v>0</v>
      </c>
      <c r="AA3762" t="str">
        <f>"Y"</f>
        <v>Y</v>
      </c>
      <c r="AC3762">
        <v>0</v>
      </c>
      <c r="AM3762" t="str">
        <f>"10"</f>
        <v>10</v>
      </c>
      <c r="AN3762" t="str">
        <f>"500000"</f>
        <v>500000</v>
      </c>
      <c r="AO3762" t="str">
        <f>"הכנסות  מלקוחות"</f>
        <v>הכנסות  מלקוחות</v>
      </c>
      <c r="AQ3762" t="str">
        <f>"034"</f>
        <v>034</v>
      </c>
      <c r="AR3762">
        <v>0</v>
      </c>
      <c r="AS3762">
        <v>0</v>
      </c>
      <c r="AT3762">
        <v>3.5009999999999999</v>
      </c>
      <c r="BB3762" t="str">
        <f>"Y"</f>
        <v>Y</v>
      </c>
      <c r="BD3762" t="str">
        <f>"ערן שלו"</f>
        <v>ערן שלו</v>
      </c>
    </row>
    <row r="3763" spans="1:56" x14ac:dyDescent="0.3">
      <c r="A3763" s="1">
        <v>43983</v>
      </c>
      <c r="B3763" t="str">
        <f>"SI206000676"</f>
        <v>SI206000676</v>
      </c>
      <c r="E3763" t="str">
        <f>"Y"</f>
        <v>Y</v>
      </c>
      <c r="F3763" t="str">
        <f>"חשבוניות מרכזות"</f>
        <v>חשבוניות מרכזות</v>
      </c>
      <c r="G3763" t="str">
        <f>"700065"</f>
        <v>700065</v>
      </c>
      <c r="H3763" t="str">
        <f>"אלתא מערכות בע""מ"</f>
        <v>אלתא מערכות בע"מ</v>
      </c>
      <c r="I3763" t="str">
        <f>"10"</f>
        <v>10</v>
      </c>
      <c r="J3763" t="str">
        <f>"000"</f>
        <v>000</v>
      </c>
      <c r="K3763" t="str">
        <f>"שינוי במערכת כוח ועדכון תכן - הריבון"</f>
        <v>שינוי במערכת כוח ועדכון תכן - הריבון</v>
      </c>
      <c r="L3763">
        <v>1</v>
      </c>
      <c r="M3763" t="str">
        <f>"יח"</f>
        <v>יח</v>
      </c>
      <c r="N3763">
        <v>1</v>
      </c>
      <c r="O3763" t="str">
        <f>"יח"</f>
        <v>יח</v>
      </c>
      <c r="P3763" s="2">
        <v>2547.5</v>
      </c>
      <c r="Q3763" t="str">
        <f>"$"</f>
        <v>$</v>
      </c>
      <c r="R3763" t="str">
        <f>"הזמנה"</f>
        <v>הזמנה</v>
      </c>
      <c r="S3763">
        <v>0</v>
      </c>
      <c r="T3763" s="2">
        <v>2547.5</v>
      </c>
      <c r="U3763">
        <v>0</v>
      </c>
      <c r="V3763" s="2">
        <v>2547.5</v>
      </c>
      <c r="W3763" t="str">
        <f>"$"</f>
        <v>$</v>
      </c>
      <c r="X3763">
        <v>0</v>
      </c>
      <c r="Y3763">
        <v>0</v>
      </c>
      <c r="Z3763">
        <v>0</v>
      </c>
      <c r="AA3763" t="str">
        <f>"Y"</f>
        <v>Y</v>
      </c>
      <c r="AB3763" t="str">
        <f>"SO20000077"</f>
        <v>SO20000077</v>
      </c>
      <c r="AC3763">
        <v>1</v>
      </c>
      <c r="AD3763" s="1">
        <v>43879</v>
      </c>
      <c r="AM3763" t="str">
        <f>"10"</f>
        <v>10</v>
      </c>
      <c r="AN3763" t="str">
        <f>"500000"</f>
        <v>500000</v>
      </c>
      <c r="AO3763" t="str">
        <f>"הכנסות  מלקוחות"</f>
        <v>הכנסות  מלקוחות</v>
      </c>
      <c r="AQ3763" t="str">
        <f>"034"</f>
        <v>034</v>
      </c>
      <c r="AR3763">
        <v>0</v>
      </c>
      <c r="AS3763">
        <v>0</v>
      </c>
      <c r="AT3763">
        <v>3.5019999999999998</v>
      </c>
      <c r="AX3763" t="str">
        <f>"E000305686"</f>
        <v>E000305686</v>
      </c>
      <c r="BD3763" t="str">
        <f>"ערן שלו"</f>
        <v>ערן שלו</v>
      </c>
    </row>
    <row r="3764" spans="1:56" x14ac:dyDescent="0.3">
      <c r="A3764" s="1">
        <v>43983</v>
      </c>
      <c r="B3764" t="str">
        <f>"SI206000676"</f>
        <v>SI206000676</v>
      </c>
      <c r="E3764" t="str">
        <f>"Y"</f>
        <v>Y</v>
      </c>
      <c r="F3764" t="str">
        <f>"חשבוניות מרכזות"</f>
        <v>חשבוניות מרכזות</v>
      </c>
      <c r="G3764" t="str">
        <f>"700065"</f>
        <v>700065</v>
      </c>
      <c r="H3764" t="str">
        <f>"אלתא מערכות בע""מ"</f>
        <v>אלתא מערכות בע"מ</v>
      </c>
      <c r="I3764" t="str">
        <f>"10"</f>
        <v>10</v>
      </c>
      <c r="J3764" t="str">
        <f>"000"</f>
        <v>000</v>
      </c>
      <c r="K3764" t="str">
        <f>"שינוי במערכת כח ועדכון תכן - יאיר האופק"</f>
        <v>שינוי במערכת כח ועדכון תכן - יאיר האופק</v>
      </c>
      <c r="L3764">
        <v>1</v>
      </c>
      <c r="M3764" t="str">
        <f>"יח"</f>
        <v>יח</v>
      </c>
      <c r="N3764">
        <v>1</v>
      </c>
      <c r="O3764" t="str">
        <f>"יח"</f>
        <v>יח</v>
      </c>
      <c r="P3764" s="2">
        <v>2547.5</v>
      </c>
      <c r="Q3764" t="str">
        <f>"$"</f>
        <v>$</v>
      </c>
      <c r="R3764" t="str">
        <f>"הזמנה"</f>
        <v>הזמנה</v>
      </c>
      <c r="S3764">
        <v>0</v>
      </c>
      <c r="T3764" s="2">
        <v>2547.5</v>
      </c>
      <c r="U3764">
        <v>0</v>
      </c>
      <c r="V3764" s="2">
        <v>2547.5</v>
      </c>
      <c r="W3764" t="str">
        <f>"$"</f>
        <v>$</v>
      </c>
      <c r="X3764">
        <v>0</v>
      </c>
      <c r="Y3764">
        <v>0</v>
      </c>
      <c r="Z3764">
        <v>0</v>
      </c>
      <c r="AA3764" t="str">
        <f>"Y"</f>
        <v>Y</v>
      </c>
      <c r="AB3764" t="str">
        <f>"SO20000077"</f>
        <v>SO20000077</v>
      </c>
      <c r="AC3764">
        <v>2</v>
      </c>
      <c r="AD3764" s="1">
        <v>43879</v>
      </c>
      <c r="AM3764" t="str">
        <f>"10"</f>
        <v>10</v>
      </c>
      <c r="AN3764" t="str">
        <f>"500000"</f>
        <v>500000</v>
      </c>
      <c r="AO3764" t="str">
        <f>"הכנסות  מלקוחות"</f>
        <v>הכנסות  מלקוחות</v>
      </c>
      <c r="AQ3764" t="str">
        <f>"034"</f>
        <v>034</v>
      </c>
      <c r="AR3764">
        <v>0</v>
      </c>
      <c r="AS3764">
        <v>0</v>
      </c>
      <c r="AT3764">
        <v>3.5019999999999998</v>
      </c>
      <c r="AX3764" t="str">
        <f>"E000305686"</f>
        <v>E000305686</v>
      </c>
      <c r="BD3764" t="str">
        <f>"ערן שלו"</f>
        <v>ערן שלו</v>
      </c>
    </row>
    <row r="3765" spans="1:56" x14ac:dyDescent="0.3">
      <c r="A3765" s="1">
        <v>43983</v>
      </c>
      <c r="B3765" t="str">
        <f>"SI206000675"</f>
        <v>SI206000675</v>
      </c>
      <c r="E3765" t="str">
        <f>"Y"</f>
        <v>Y</v>
      </c>
      <c r="F3765" t="str">
        <f>"חשבוניות מרכזות"</f>
        <v>חשבוניות מרכזות</v>
      </c>
      <c r="G3765" t="str">
        <f>"700065"</f>
        <v>700065</v>
      </c>
      <c r="H3765" t="str">
        <f>"אלתא מערכות בע""מ"</f>
        <v>אלתא מערכות בע"מ</v>
      </c>
      <c r="I3765" t="str">
        <f>"10"</f>
        <v>10</v>
      </c>
      <c r="J3765" t="str">
        <f>"000"</f>
        <v>000</v>
      </c>
      <c r="K3765" t="str">
        <f>"שינוי במערכת כוח ועדכון תכן - הריבון"</f>
        <v>שינוי במערכת כוח ועדכון תכן - הריבון</v>
      </c>
      <c r="L3765">
        <v>-1</v>
      </c>
      <c r="M3765" t="str">
        <f>"יח"</f>
        <v>יח</v>
      </c>
      <c r="N3765">
        <v>-1</v>
      </c>
      <c r="O3765" t="str">
        <f>"יח"</f>
        <v>יח</v>
      </c>
      <c r="P3765" s="2">
        <v>2980.58</v>
      </c>
      <c r="Q3765" t="str">
        <f>"$"</f>
        <v>$</v>
      </c>
      <c r="R3765" t="str">
        <f>"הזמנה"</f>
        <v>הזמנה</v>
      </c>
      <c r="S3765">
        <v>0</v>
      </c>
      <c r="T3765" s="2">
        <v>-2980.58</v>
      </c>
      <c r="U3765">
        <v>0</v>
      </c>
      <c r="V3765" s="2">
        <v>-2980.58</v>
      </c>
      <c r="W3765" t="str">
        <f>"$"</f>
        <v>$</v>
      </c>
      <c r="X3765">
        <v>0</v>
      </c>
      <c r="Y3765">
        <v>0</v>
      </c>
      <c r="Z3765">
        <v>0</v>
      </c>
      <c r="AA3765" t="str">
        <f>"Y"</f>
        <v>Y</v>
      </c>
      <c r="AC3765">
        <v>0</v>
      </c>
      <c r="AM3765" t="str">
        <f>"10"</f>
        <v>10</v>
      </c>
      <c r="AN3765" t="str">
        <f>"500000"</f>
        <v>500000</v>
      </c>
      <c r="AO3765" t="str">
        <f>"הכנסות  מלקוחות"</f>
        <v>הכנסות  מלקוחות</v>
      </c>
      <c r="AQ3765" t="str">
        <f>"034"</f>
        <v>034</v>
      </c>
      <c r="AR3765">
        <v>0</v>
      </c>
      <c r="AS3765">
        <v>0</v>
      </c>
      <c r="AT3765">
        <v>3.4289999999999998</v>
      </c>
      <c r="BB3765" t="str">
        <f>"Y"</f>
        <v>Y</v>
      </c>
      <c r="BD3765" t="str">
        <f>"ערן שלו"</f>
        <v>ערן שלו</v>
      </c>
    </row>
    <row r="3766" spans="1:56" x14ac:dyDescent="0.3">
      <c r="A3766" s="1">
        <v>43983</v>
      </c>
      <c r="B3766" t="str">
        <f>"SI206000675"</f>
        <v>SI206000675</v>
      </c>
      <c r="E3766" t="str">
        <f>"Y"</f>
        <v>Y</v>
      </c>
      <c r="F3766" t="str">
        <f>"חשבוניות מרכזות"</f>
        <v>חשבוניות מרכזות</v>
      </c>
      <c r="G3766" t="str">
        <f>"700065"</f>
        <v>700065</v>
      </c>
      <c r="H3766" t="str">
        <f>"אלתא מערכות בע""מ"</f>
        <v>אלתא מערכות בע"מ</v>
      </c>
      <c r="I3766" t="str">
        <f>"10"</f>
        <v>10</v>
      </c>
      <c r="J3766" t="str">
        <f>"000"</f>
        <v>000</v>
      </c>
      <c r="K3766" t="str">
        <f>"שינוי במערכת כח ועדכון תכן - יאיר האופק"</f>
        <v>שינוי במערכת כח ועדכון תכן - יאיר האופק</v>
      </c>
      <c r="L3766">
        <v>-1</v>
      </c>
      <c r="M3766" t="str">
        <f>"יח"</f>
        <v>יח</v>
      </c>
      <c r="N3766">
        <v>-1</v>
      </c>
      <c r="O3766" t="str">
        <f>"יח"</f>
        <v>יח</v>
      </c>
      <c r="P3766" s="2">
        <v>2980.58</v>
      </c>
      <c r="Q3766" t="str">
        <f>"$"</f>
        <v>$</v>
      </c>
      <c r="R3766" t="str">
        <f>"הזמנה"</f>
        <v>הזמנה</v>
      </c>
      <c r="S3766">
        <v>0</v>
      </c>
      <c r="T3766" s="2">
        <v>-2980.58</v>
      </c>
      <c r="U3766">
        <v>0</v>
      </c>
      <c r="V3766" s="2">
        <v>-2980.58</v>
      </c>
      <c r="W3766" t="str">
        <f>"$"</f>
        <v>$</v>
      </c>
      <c r="X3766">
        <v>0</v>
      </c>
      <c r="Y3766">
        <v>0</v>
      </c>
      <c r="Z3766">
        <v>0</v>
      </c>
      <c r="AA3766" t="str">
        <f>"Y"</f>
        <v>Y</v>
      </c>
      <c r="AC3766">
        <v>0</v>
      </c>
      <c r="AM3766" t="str">
        <f>"10"</f>
        <v>10</v>
      </c>
      <c r="AN3766" t="str">
        <f>"500000"</f>
        <v>500000</v>
      </c>
      <c r="AO3766" t="str">
        <f>"הכנסות  מלקוחות"</f>
        <v>הכנסות  מלקוחות</v>
      </c>
      <c r="AQ3766" t="str">
        <f>"034"</f>
        <v>034</v>
      </c>
      <c r="AR3766">
        <v>0</v>
      </c>
      <c r="AS3766">
        <v>0</v>
      </c>
      <c r="AT3766">
        <v>3.4289999999999998</v>
      </c>
      <c r="BB3766" t="str">
        <f>"Y"</f>
        <v>Y</v>
      </c>
      <c r="BD3766" t="str">
        <f>"ערן שלו"</f>
        <v>ערן שלו</v>
      </c>
    </row>
    <row r="3767" spans="1:56" x14ac:dyDescent="0.3">
      <c r="A3767" s="1">
        <v>43983</v>
      </c>
      <c r="B3767" t="str">
        <f>"SI206000666"</f>
        <v>SI206000666</v>
      </c>
      <c r="C3767" t="str">
        <f>"PR19000724"</f>
        <v>PR19000724</v>
      </c>
      <c r="D3767" t="str">
        <f>"PR19000724"</f>
        <v>PR19000724</v>
      </c>
      <c r="E3767" t="str">
        <f>"Y"</f>
        <v>Y</v>
      </c>
      <c r="F3767" t="str">
        <f>"חשבוניות מרכזות"</f>
        <v>חשבוניות מרכזות</v>
      </c>
      <c r="G3767" t="str">
        <f>"700065"</f>
        <v>700065</v>
      </c>
      <c r="H3767" t="str">
        <f>"אלתא מערכות בע""מ"</f>
        <v>אלתא מערכות בע"מ</v>
      </c>
      <c r="I3767" t="str">
        <f>"10"</f>
        <v>10</v>
      </c>
      <c r="J3767" t="str">
        <f>"000"</f>
        <v>000</v>
      </c>
      <c r="K3767" t="str">
        <f>"MQQ עבור 6 קונקטורים"</f>
        <v>MQQ עבור 6 קונקטורים</v>
      </c>
      <c r="L3767">
        <v>1</v>
      </c>
      <c r="M3767" t="str">
        <f>"יח"</f>
        <v>יח</v>
      </c>
      <c r="N3767">
        <v>1</v>
      </c>
      <c r="O3767" t="str">
        <f>"יח"</f>
        <v>יח</v>
      </c>
      <c r="P3767" s="2">
        <v>4509.43</v>
      </c>
      <c r="Q3767" t="str">
        <f>"$"</f>
        <v>$</v>
      </c>
      <c r="R3767" t="str">
        <f>"הזמנה"</f>
        <v>הזמנה</v>
      </c>
      <c r="S3767">
        <v>0</v>
      </c>
      <c r="T3767" s="2">
        <v>4509.43</v>
      </c>
      <c r="U3767">
        <v>0</v>
      </c>
      <c r="V3767" s="2">
        <v>4509.43</v>
      </c>
      <c r="W3767" t="str">
        <f>"$"</f>
        <v>$</v>
      </c>
      <c r="X3767">
        <v>0</v>
      </c>
      <c r="Y3767">
        <v>0</v>
      </c>
      <c r="Z3767">
        <v>0</v>
      </c>
      <c r="AA3767" t="str">
        <f>"Y"</f>
        <v>Y</v>
      </c>
      <c r="AB3767" t="str">
        <f>"SO19000517"</f>
        <v>SO19000517</v>
      </c>
      <c r="AC3767">
        <v>1</v>
      </c>
      <c r="AD3767" s="1">
        <v>43808</v>
      </c>
      <c r="AE3767" t="str">
        <f>"SH20000456"</f>
        <v>SH20000456</v>
      </c>
      <c r="AF3767" t="str">
        <f>"משלוחים ללקוח"</f>
        <v>משלוחים ללקוח</v>
      </c>
      <c r="AG3767" s="1">
        <v>43926</v>
      </c>
      <c r="AM3767" t="str">
        <f>"10"</f>
        <v>10</v>
      </c>
      <c r="AN3767" t="str">
        <f>"500000"</f>
        <v>500000</v>
      </c>
      <c r="AO3767" t="str">
        <f>"הכנסות  מלקוחות"</f>
        <v>הכנסות  מלקוחות</v>
      </c>
      <c r="AQ3767" t="str">
        <f>"034"</f>
        <v>034</v>
      </c>
      <c r="AR3767">
        <v>0</v>
      </c>
      <c r="AS3767">
        <v>0</v>
      </c>
      <c r="AT3767">
        <v>3.5019999999999998</v>
      </c>
      <c r="AX3767" t="str">
        <f>"E000300290"</f>
        <v>E000300290</v>
      </c>
      <c r="BD3767" t="str">
        <f>"ערן שלו"</f>
        <v>ערן שלו</v>
      </c>
    </row>
    <row r="3768" spans="1:56" x14ac:dyDescent="0.3">
      <c r="A3768" s="1">
        <v>43983</v>
      </c>
      <c r="B3768" t="str">
        <f>"SI206000666"</f>
        <v>SI206000666</v>
      </c>
      <c r="C3768" t="str">
        <f>"PR19000724"</f>
        <v>PR19000724</v>
      </c>
      <c r="D3768" t="str">
        <f>"PR19000724"</f>
        <v>PR19000724</v>
      </c>
      <c r="E3768" t="str">
        <f>"Y"</f>
        <v>Y</v>
      </c>
      <c r="F3768" t="str">
        <f>"חשבוניות מרכזות"</f>
        <v>חשבוניות מרכזות</v>
      </c>
      <c r="G3768" t="str">
        <f>"700065"</f>
        <v>700065</v>
      </c>
      <c r="H3768" t="str">
        <f>"אלתא מערכות בע""מ"</f>
        <v>אלתא מערכות בע"מ</v>
      </c>
      <c r="I3768" t="str">
        <f>"10"</f>
        <v>10</v>
      </c>
      <c r="J3768" t="str">
        <f>"000"</f>
        <v>000</v>
      </c>
      <c r="K3768" t="str">
        <f>"MQQ עבור 6 קונקטורים"</f>
        <v>MQQ עבור 6 קונקטורים</v>
      </c>
      <c r="L3768">
        <v>1</v>
      </c>
      <c r="M3768" t="str">
        <f>"יח"</f>
        <v>יח</v>
      </c>
      <c r="N3768">
        <v>1</v>
      </c>
      <c r="O3768" t="str">
        <f>"יח"</f>
        <v>יח</v>
      </c>
      <c r="P3768" s="2">
        <v>4509.55</v>
      </c>
      <c r="Q3768" t="str">
        <f>"$"</f>
        <v>$</v>
      </c>
      <c r="R3768" t="str">
        <f>"הזמנה"</f>
        <v>הזמנה</v>
      </c>
      <c r="S3768">
        <v>0</v>
      </c>
      <c r="T3768" s="2">
        <v>4509.55</v>
      </c>
      <c r="U3768">
        <v>0</v>
      </c>
      <c r="V3768" s="2">
        <v>4509.55</v>
      </c>
      <c r="W3768" t="str">
        <f>"$"</f>
        <v>$</v>
      </c>
      <c r="X3768">
        <v>0</v>
      </c>
      <c r="Y3768">
        <v>0</v>
      </c>
      <c r="Z3768">
        <v>0</v>
      </c>
      <c r="AA3768" t="str">
        <f>"Y"</f>
        <v>Y</v>
      </c>
      <c r="AB3768" t="str">
        <f>"SO19000517"</f>
        <v>SO19000517</v>
      </c>
      <c r="AC3768">
        <v>2</v>
      </c>
      <c r="AD3768" s="1">
        <v>43808</v>
      </c>
      <c r="AE3768" t="str">
        <f>"SH20000456"</f>
        <v>SH20000456</v>
      </c>
      <c r="AF3768" t="str">
        <f>"משלוחים ללקוח"</f>
        <v>משלוחים ללקוח</v>
      </c>
      <c r="AG3768" s="1">
        <v>43926</v>
      </c>
      <c r="AM3768" t="str">
        <f>"10"</f>
        <v>10</v>
      </c>
      <c r="AN3768" t="str">
        <f>"500000"</f>
        <v>500000</v>
      </c>
      <c r="AO3768" t="str">
        <f>"הכנסות  מלקוחות"</f>
        <v>הכנסות  מלקוחות</v>
      </c>
      <c r="AQ3768" t="str">
        <f>"034"</f>
        <v>034</v>
      </c>
      <c r="AR3768">
        <v>0</v>
      </c>
      <c r="AS3768">
        <v>0</v>
      </c>
      <c r="AT3768">
        <v>3.5019999999999998</v>
      </c>
      <c r="AX3768" t="str">
        <f>"E000300290"</f>
        <v>E000300290</v>
      </c>
      <c r="BD3768" t="str">
        <f>"ערן שלו"</f>
        <v>ערן שלו</v>
      </c>
    </row>
    <row r="3769" spans="1:56" x14ac:dyDescent="0.3">
      <c r="A3769" s="1">
        <v>43983</v>
      </c>
      <c r="B3769" t="str">
        <f>"SI206000666"</f>
        <v>SI206000666</v>
      </c>
      <c r="C3769" t="str">
        <f>"PR19000724"</f>
        <v>PR19000724</v>
      </c>
      <c r="D3769" t="str">
        <f>"PR19000724"</f>
        <v>PR19000724</v>
      </c>
      <c r="E3769" t="str">
        <f>"Y"</f>
        <v>Y</v>
      </c>
      <c r="F3769" t="str">
        <f>"חשבוניות מרכזות"</f>
        <v>חשבוניות מרכזות</v>
      </c>
      <c r="G3769" t="str">
        <f>"700065"</f>
        <v>700065</v>
      </c>
      <c r="H3769" t="str">
        <f>"אלתא מערכות בע""מ"</f>
        <v>אלתא מערכות בע"מ</v>
      </c>
      <c r="I3769" t="str">
        <f>"10"</f>
        <v>10</v>
      </c>
      <c r="J3769" t="str">
        <f>"CB1100205"</f>
        <v>CB1100205</v>
      </c>
      <c r="K3769" t="str">
        <f>"כבל הזנה 20 H07RNF 5X35מ', 5X125A IP67 , נעל כבל"</f>
        <v>כבל הזנה 20 H07RNF 5X35מ', 5X125A IP67 , נעל כבל</v>
      </c>
      <c r="L3769">
        <v>1</v>
      </c>
      <c r="M3769" t="str">
        <f>"יח"</f>
        <v>יח</v>
      </c>
      <c r="N3769">
        <v>1</v>
      </c>
      <c r="O3769" t="str">
        <f>"יח"</f>
        <v>יח</v>
      </c>
      <c r="P3769" s="2">
        <v>1229.9000000000001</v>
      </c>
      <c r="Q3769" t="str">
        <f>"$"</f>
        <v>$</v>
      </c>
      <c r="R3769" t="str">
        <f>"הזמנה"</f>
        <v>הזמנה</v>
      </c>
      <c r="S3769">
        <v>0</v>
      </c>
      <c r="T3769" s="2">
        <v>1229.9000000000001</v>
      </c>
      <c r="U3769">
        <v>0</v>
      </c>
      <c r="V3769" s="2">
        <v>1229.9000000000001</v>
      </c>
      <c r="W3769" t="str">
        <f>"$"</f>
        <v>$</v>
      </c>
      <c r="X3769">
        <v>0</v>
      </c>
      <c r="Y3769">
        <v>0</v>
      </c>
      <c r="Z3769">
        <v>0</v>
      </c>
      <c r="AA3769" t="str">
        <f>"Y"</f>
        <v>Y</v>
      </c>
      <c r="AB3769" t="str">
        <f>"SO19000517"</f>
        <v>SO19000517</v>
      </c>
      <c r="AC3769">
        <v>3</v>
      </c>
      <c r="AD3769" s="1">
        <v>43808</v>
      </c>
      <c r="AE3769" t="str">
        <f>"SH20000456"</f>
        <v>SH20000456</v>
      </c>
      <c r="AF3769" t="str">
        <f>"משלוחים ללקוח"</f>
        <v>משלוחים ללקוח</v>
      </c>
      <c r="AG3769" s="1">
        <v>43926</v>
      </c>
      <c r="AM3769" t="str">
        <f>"10"</f>
        <v>10</v>
      </c>
      <c r="AN3769" t="str">
        <f>"500000"</f>
        <v>500000</v>
      </c>
      <c r="AO3769" t="str">
        <f>"הכנסות  מלקוחות"</f>
        <v>הכנסות  מלקוחות</v>
      </c>
      <c r="AQ3769" t="str">
        <f>"034"</f>
        <v>034</v>
      </c>
      <c r="AR3769">
        <v>0</v>
      </c>
      <c r="AS3769">
        <v>0</v>
      </c>
      <c r="AT3769">
        <v>3.5019999999999998</v>
      </c>
      <c r="AX3769" t="str">
        <f>"E000300290"</f>
        <v>E000300290</v>
      </c>
      <c r="BD3769" t="str">
        <f>"ערן שלו"</f>
        <v>ערן שלו</v>
      </c>
    </row>
    <row r="3770" spans="1:56" x14ac:dyDescent="0.3">
      <c r="A3770" s="1">
        <v>43983</v>
      </c>
      <c r="B3770" t="str">
        <f>"SI206000666"</f>
        <v>SI206000666</v>
      </c>
      <c r="C3770" t="str">
        <f>"PR19000724"</f>
        <v>PR19000724</v>
      </c>
      <c r="D3770" t="str">
        <f>"PR19000724"</f>
        <v>PR19000724</v>
      </c>
      <c r="E3770" t="str">
        <f>"Y"</f>
        <v>Y</v>
      </c>
      <c r="F3770" t="str">
        <f>"חשבוניות מרכזות"</f>
        <v>חשבוניות מרכזות</v>
      </c>
      <c r="G3770" t="str">
        <f>"700065"</f>
        <v>700065</v>
      </c>
      <c r="H3770" t="str">
        <f>"אלתא מערכות בע""מ"</f>
        <v>אלתא מערכות בע"מ</v>
      </c>
      <c r="I3770" t="str">
        <f>"10"</f>
        <v>10</v>
      </c>
      <c r="J3770" t="str">
        <f>"OP-AR22723"</f>
        <v>OP-AR22723</v>
      </c>
      <c r="K3770" t="str">
        <f>"CB1100206"</f>
        <v>CB1100206</v>
      </c>
      <c r="L3770">
        <v>1</v>
      </c>
      <c r="M3770" t="str">
        <f>"יח"</f>
        <v>יח</v>
      </c>
      <c r="N3770">
        <v>1</v>
      </c>
      <c r="O3770" t="str">
        <f>"יח"</f>
        <v>יח</v>
      </c>
      <c r="P3770" s="2">
        <v>3189.9</v>
      </c>
      <c r="Q3770" t="str">
        <f>"$"</f>
        <v>$</v>
      </c>
      <c r="R3770" t="str">
        <f>"הזמנה"</f>
        <v>הזמנה</v>
      </c>
      <c r="S3770">
        <v>0</v>
      </c>
      <c r="T3770" s="2">
        <v>3189.9</v>
      </c>
      <c r="U3770">
        <v>0</v>
      </c>
      <c r="V3770" s="2">
        <v>3189.9</v>
      </c>
      <c r="W3770" t="str">
        <f>"$"</f>
        <v>$</v>
      </c>
      <c r="X3770">
        <v>0</v>
      </c>
      <c r="Y3770">
        <v>0</v>
      </c>
      <c r="Z3770">
        <v>0</v>
      </c>
      <c r="AA3770" t="str">
        <f>"Y"</f>
        <v>Y</v>
      </c>
      <c r="AB3770" t="str">
        <f>"SO19000517"</f>
        <v>SO19000517</v>
      </c>
      <c r="AC3770">
        <v>4</v>
      </c>
      <c r="AD3770" s="1">
        <v>43808</v>
      </c>
      <c r="AE3770" t="str">
        <f>"SH20000456"</f>
        <v>SH20000456</v>
      </c>
      <c r="AF3770" t="str">
        <f>"משלוחים ללקוח"</f>
        <v>משלוחים ללקוח</v>
      </c>
      <c r="AG3770" s="1">
        <v>43926</v>
      </c>
      <c r="AM3770" t="str">
        <f>"10"</f>
        <v>10</v>
      </c>
      <c r="AN3770" t="str">
        <f>"500000"</f>
        <v>500000</v>
      </c>
      <c r="AO3770" t="str">
        <f>"הכנסות  מלקוחות"</f>
        <v>הכנסות  מלקוחות</v>
      </c>
      <c r="AQ3770" t="str">
        <f>"034"</f>
        <v>034</v>
      </c>
      <c r="AR3770">
        <v>0</v>
      </c>
      <c r="AS3770">
        <v>0</v>
      </c>
      <c r="AT3770">
        <v>3.5019999999999998</v>
      </c>
      <c r="AX3770" t="str">
        <f>"E000300290"</f>
        <v>E000300290</v>
      </c>
      <c r="BD3770" t="str">
        <f>"ערן שלו"</f>
        <v>ערן שלו</v>
      </c>
    </row>
    <row r="3771" spans="1:56" x14ac:dyDescent="0.3">
      <c r="A3771" s="1">
        <v>43983</v>
      </c>
      <c r="B3771" t="str">
        <f>"SI206000666"</f>
        <v>SI206000666</v>
      </c>
      <c r="C3771" t="str">
        <f>"PR19000724"</f>
        <v>PR19000724</v>
      </c>
      <c r="D3771" t="str">
        <f>"PR19000724"</f>
        <v>PR19000724</v>
      </c>
      <c r="E3771" t="str">
        <f>"Y"</f>
        <v>Y</v>
      </c>
      <c r="F3771" t="str">
        <f>"חשבוניות מרכזות"</f>
        <v>חשבוניות מרכזות</v>
      </c>
      <c r="G3771" t="str">
        <f>"700065"</f>
        <v>700065</v>
      </c>
      <c r="H3771" t="str">
        <f>"אלתא מערכות בע""מ"</f>
        <v>אלתא מערכות בע"מ</v>
      </c>
      <c r="I3771" t="str">
        <f>"10"</f>
        <v>10</v>
      </c>
      <c r="J3771" t="str">
        <f>"CB1100207"</f>
        <v>CB1100207</v>
      </c>
      <c r="K3771" t="str">
        <f>"כבל 50 H07RNF 1X95 -320מ', 2 מחברי ITS4106A5C36"</f>
        <v>כבל 50 H07RNF 1X95 -320מ', 2 מחברי ITS4106A5C36</v>
      </c>
      <c r="L3771">
        <v>1</v>
      </c>
      <c r="M3771" t="str">
        <f>"יח"</f>
        <v>יח</v>
      </c>
      <c r="N3771">
        <v>1</v>
      </c>
      <c r="O3771" t="str">
        <f>"יח"</f>
        <v>יח</v>
      </c>
      <c r="P3771" s="2">
        <v>3483.9</v>
      </c>
      <c r="Q3771" t="str">
        <f>"$"</f>
        <v>$</v>
      </c>
      <c r="R3771" t="str">
        <f>"הזמנה"</f>
        <v>הזמנה</v>
      </c>
      <c r="S3771">
        <v>0</v>
      </c>
      <c r="T3771" s="2">
        <v>3483.9</v>
      </c>
      <c r="U3771">
        <v>0</v>
      </c>
      <c r="V3771" s="2">
        <v>3483.9</v>
      </c>
      <c r="W3771" t="str">
        <f>"$"</f>
        <v>$</v>
      </c>
      <c r="X3771">
        <v>0</v>
      </c>
      <c r="Y3771">
        <v>0</v>
      </c>
      <c r="Z3771">
        <v>0</v>
      </c>
      <c r="AA3771" t="str">
        <f>"Y"</f>
        <v>Y</v>
      </c>
      <c r="AB3771" t="str">
        <f>"SO19000517"</f>
        <v>SO19000517</v>
      </c>
      <c r="AC3771">
        <v>5</v>
      </c>
      <c r="AD3771" s="1">
        <v>43808</v>
      </c>
      <c r="AE3771" t="str">
        <f>"SH20000456"</f>
        <v>SH20000456</v>
      </c>
      <c r="AF3771" t="str">
        <f>"משלוחים ללקוח"</f>
        <v>משלוחים ללקוח</v>
      </c>
      <c r="AG3771" s="1">
        <v>43926</v>
      </c>
      <c r="AM3771" t="str">
        <f>"10"</f>
        <v>10</v>
      </c>
      <c r="AN3771" t="str">
        <f>"500000"</f>
        <v>500000</v>
      </c>
      <c r="AO3771" t="str">
        <f>"הכנסות  מלקוחות"</f>
        <v>הכנסות  מלקוחות</v>
      </c>
      <c r="AQ3771" t="str">
        <f>"034"</f>
        <v>034</v>
      </c>
      <c r="AR3771">
        <v>0</v>
      </c>
      <c r="AS3771">
        <v>0</v>
      </c>
      <c r="AT3771">
        <v>3.5019999999999998</v>
      </c>
      <c r="AX3771" t="str">
        <f>"E000300290"</f>
        <v>E000300290</v>
      </c>
      <c r="BD3771" t="str">
        <f>"ערן שלו"</f>
        <v>ערן שלו</v>
      </c>
    </row>
    <row r="3772" spans="1:56" x14ac:dyDescent="0.3">
      <c r="A3772" s="1">
        <v>43983</v>
      </c>
      <c r="B3772" t="str">
        <f>"SI206000666"</f>
        <v>SI206000666</v>
      </c>
      <c r="C3772" t="str">
        <f>"PR19000724"</f>
        <v>PR19000724</v>
      </c>
      <c r="D3772" t="str">
        <f>"PR19000724"</f>
        <v>PR19000724</v>
      </c>
      <c r="E3772" t="str">
        <f>"Y"</f>
        <v>Y</v>
      </c>
      <c r="F3772" t="str">
        <f>"חשבוניות מרכזות"</f>
        <v>חשבוניות מרכזות</v>
      </c>
      <c r="G3772" t="str">
        <f>"700065"</f>
        <v>700065</v>
      </c>
      <c r="H3772" t="str">
        <f>"אלתא מערכות בע""מ"</f>
        <v>אלתא מערכות בע"מ</v>
      </c>
      <c r="I3772" t="str">
        <f>"10"</f>
        <v>10</v>
      </c>
      <c r="J3772" t="str">
        <f>"PA1100511"</f>
        <v>PA1100511</v>
      </c>
      <c r="K3772" t="str">
        <f>"ITS4106A5C36-01PL1M144B1KG12TMCR מחבר"</f>
        <v>ITS4106A5C36-01PL1M144B1KG12TMCR מחבר</v>
      </c>
      <c r="L3772">
        <v>3</v>
      </c>
      <c r="M3772" t="str">
        <f>"יח"</f>
        <v>יח</v>
      </c>
      <c r="N3772">
        <v>3</v>
      </c>
      <c r="O3772" t="str">
        <f>"יח"</f>
        <v>יח</v>
      </c>
      <c r="P3772">
        <v>0</v>
      </c>
      <c r="Q3772" t="str">
        <f>"$"</f>
        <v>$</v>
      </c>
      <c r="R3772" t="str">
        <f>"הזמנה"</f>
        <v>הזמנה</v>
      </c>
      <c r="S3772">
        <v>0</v>
      </c>
      <c r="T3772">
        <v>0</v>
      </c>
      <c r="U3772">
        <v>0</v>
      </c>
      <c r="V3772">
        <v>0</v>
      </c>
      <c r="W3772" t="str">
        <f>"$"</f>
        <v>$</v>
      </c>
      <c r="X3772">
        <v>0</v>
      </c>
      <c r="Y3772">
        <v>0</v>
      </c>
      <c r="Z3772">
        <v>0</v>
      </c>
      <c r="AA3772" t="str">
        <f>"Y"</f>
        <v>Y</v>
      </c>
      <c r="AB3772" t="str">
        <f>"SO19000517"</f>
        <v>SO19000517</v>
      </c>
      <c r="AC3772">
        <v>6</v>
      </c>
      <c r="AD3772" s="1">
        <v>43808</v>
      </c>
      <c r="AE3772" t="str">
        <f>"SH20000456"</f>
        <v>SH20000456</v>
      </c>
      <c r="AF3772" t="str">
        <f>"משלוחים ללקוח"</f>
        <v>משלוחים ללקוח</v>
      </c>
      <c r="AG3772" s="1">
        <v>43926</v>
      </c>
      <c r="AM3772" t="str">
        <f>"10"</f>
        <v>10</v>
      </c>
      <c r="AN3772" t="str">
        <f>"500000"</f>
        <v>500000</v>
      </c>
      <c r="AO3772" t="str">
        <f>"הכנסות  מלקוחות"</f>
        <v>הכנסות  מלקוחות</v>
      </c>
      <c r="AQ3772" t="str">
        <f>"034"</f>
        <v>034</v>
      </c>
      <c r="AR3772">
        <v>0</v>
      </c>
      <c r="AS3772">
        <v>0</v>
      </c>
      <c r="AT3772">
        <v>3.5019999999999998</v>
      </c>
      <c r="AX3772" t="str">
        <f>"E000300290"</f>
        <v>E000300290</v>
      </c>
      <c r="BD3772" t="str">
        <f>"ערן שלו"</f>
        <v>ערן שלו</v>
      </c>
    </row>
    <row r="3773" spans="1:56" x14ac:dyDescent="0.3">
      <c r="A3773" s="1">
        <v>43983</v>
      </c>
      <c r="B3773" t="str">
        <f>"SI206000666"</f>
        <v>SI206000666</v>
      </c>
      <c r="C3773" t="str">
        <f>"PR19000724"</f>
        <v>PR19000724</v>
      </c>
      <c r="D3773" t="str">
        <f>"PR19000724"</f>
        <v>PR19000724</v>
      </c>
      <c r="E3773" t="str">
        <f>"Y"</f>
        <v>Y</v>
      </c>
      <c r="F3773" t="str">
        <f>"חשבוניות מרכזות"</f>
        <v>חשבוניות מרכזות</v>
      </c>
      <c r="G3773" t="str">
        <f>"700065"</f>
        <v>700065</v>
      </c>
      <c r="H3773" t="str">
        <f>"אלתא מערכות בע""מ"</f>
        <v>אלתא מערכות בע"מ</v>
      </c>
      <c r="I3773" t="str">
        <f>"10"</f>
        <v>10</v>
      </c>
      <c r="J3773" t="str">
        <f>"PA1100512"</f>
        <v>PA1100512</v>
      </c>
      <c r="K3773" t="str">
        <f>"ITS4106A5C36-01SL1M144B1KG12TMCR מחבר"</f>
        <v>ITS4106A5C36-01SL1M144B1KG12TMCR מחבר</v>
      </c>
      <c r="L3773">
        <v>3</v>
      </c>
      <c r="M3773" t="str">
        <f>"יח"</f>
        <v>יח</v>
      </c>
      <c r="N3773">
        <v>3</v>
      </c>
      <c r="O3773" t="str">
        <f>"יח"</f>
        <v>יח</v>
      </c>
      <c r="P3773">
        <v>0</v>
      </c>
      <c r="Q3773" t="str">
        <f>"$"</f>
        <v>$</v>
      </c>
      <c r="R3773" t="str">
        <f>"הזמנה"</f>
        <v>הזמנה</v>
      </c>
      <c r="S3773">
        <v>0</v>
      </c>
      <c r="T3773">
        <v>0</v>
      </c>
      <c r="U3773">
        <v>0</v>
      </c>
      <c r="V3773">
        <v>0</v>
      </c>
      <c r="W3773" t="str">
        <f>"$"</f>
        <v>$</v>
      </c>
      <c r="X3773">
        <v>0</v>
      </c>
      <c r="Y3773">
        <v>0</v>
      </c>
      <c r="Z3773">
        <v>0</v>
      </c>
      <c r="AA3773" t="str">
        <f>"Y"</f>
        <v>Y</v>
      </c>
      <c r="AB3773" t="str">
        <f>"SO19000517"</f>
        <v>SO19000517</v>
      </c>
      <c r="AC3773">
        <v>7</v>
      </c>
      <c r="AD3773" s="1">
        <v>43808</v>
      </c>
      <c r="AE3773" t="str">
        <f>"SH20000456"</f>
        <v>SH20000456</v>
      </c>
      <c r="AF3773" t="str">
        <f>"משלוחים ללקוח"</f>
        <v>משלוחים ללקוח</v>
      </c>
      <c r="AG3773" s="1">
        <v>43926</v>
      </c>
      <c r="AM3773" t="str">
        <f>"10"</f>
        <v>10</v>
      </c>
      <c r="AN3773" t="str">
        <f>"500000"</f>
        <v>500000</v>
      </c>
      <c r="AO3773" t="str">
        <f>"הכנסות  מלקוחות"</f>
        <v>הכנסות  מלקוחות</v>
      </c>
      <c r="AQ3773" t="str">
        <f>"034"</f>
        <v>034</v>
      </c>
      <c r="AR3773">
        <v>0</v>
      </c>
      <c r="AS3773">
        <v>0</v>
      </c>
      <c r="AT3773">
        <v>3.5019999999999998</v>
      </c>
      <c r="AX3773" t="str">
        <f>"E000300290"</f>
        <v>E000300290</v>
      </c>
      <c r="BD3773" t="str">
        <f>"ערן שלו"</f>
        <v>ערן שלו</v>
      </c>
    </row>
    <row r="3774" spans="1:56" x14ac:dyDescent="0.3">
      <c r="A3774" s="1">
        <v>43983</v>
      </c>
      <c r="B3774" t="str">
        <f>"SI206000666"</f>
        <v>SI206000666</v>
      </c>
      <c r="C3774" t="str">
        <f>"PR19000724"</f>
        <v>PR19000724</v>
      </c>
      <c r="D3774" t="str">
        <f>"PR19000724"</f>
        <v>PR19000724</v>
      </c>
      <c r="E3774" t="str">
        <f>"Y"</f>
        <v>Y</v>
      </c>
      <c r="F3774" t="str">
        <f>"חשבוניות מרכזות"</f>
        <v>חשבוניות מרכזות</v>
      </c>
      <c r="G3774" t="str">
        <f>"700065"</f>
        <v>700065</v>
      </c>
      <c r="H3774" t="str">
        <f>"אלתא מערכות בע""מ"</f>
        <v>אלתא מערכות בע"מ</v>
      </c>
      <c r="I3774" t="str">
        <f>"10"</f>
        <v>10</v>
      </c>
      <c r="J3774" t="str">
        <f>"PA1100513"</f>
        <v>PA1100513</v>
      </c>
      <c r="K3774" t="str">
        <f>"ITS4106A5C36-01PM144B1KG12TMCB מחבר"</f>
        <v>ITS4106A5C36-01PM144B1KG12TMCB מחבר</v>
      </c>
      <c r="L3774">
        <v>3</v>
      </c>
      <c r="M3774" t="str">
        <f>"יח"</f>
        <v>יח</v>
      </c>
      <c r="N3774">
        <v>3</v>
      </c>
      <c r="O3774" t="str">
        <f>"יח"</f>
        <v>יח</v>
      </c>
      <c r="P3774">
        <v>0</v>
      </c>
      <c r="Q3774" t="str">
        <f>"$"</f>
        <v>$</v>
      </c>
      <c r="R3774" t="str">
        <f>"הזמנה"</f>
        <v>הזמנה</v>
      </c>
      <c r="S3774">
        <v>0</v>
      </c>
      <c r="T3774">
        <v>0</v>
      </c>
      <c r="U3774">
        <v>0</v>
      </c>
      <c r="V3774">
        <v>0</v>
      </c>
      <c r="W3774" t="str">
        <f>"$"</f>
        <v>$</v>
      </c>
      <c r="X3774">
        <v>0</v>
      </c>
      <c r="Y3774">
        <v>0</v>
      </c>
      <c r="Z3774">
        <v>0</v>
      </c>
      <c r="AA3774" t="str">
        <f>"Y"</f>
        <v>Y</v>
      </c>
      <c r="AB3774" t="str">
        <f>"SO19000517"</f>
        <v>SO19000517</v>
      </c>
      <c r="AC3774">
        <v>8</v>
      </c>
      <c r="AD3774" s="1">
        <v>43808</v>
      </c>
      <c r="AE3774" t="str">
        <f>"SH20000456"</f>
        <v>SH20000456</v>
      </c>
      <c r="AF3774" t="str">
        <f>"משלוחים ללקוח"</f>
        <v>משלוחים ללקוח</v>
      </c>
      <c r="AG3774" s="1">
        <v>43926</v>
      </c>
      <c r="AM3774" t="str">
        <f>"10"</f>
        <v>10</v>
      </c>
      <c r="AN3774" t="str">
        <f>"500000"</f>
        <v>500000</v>
      </c>
      <c r="AO3774" t="str">
        <f>"הכנסות  מלקוחות"</f>
        <v>הכנסות  מלקוחות</v>
      </c>
      <c r="AQ3774" t="str">
        <f>"034"</f>
        <v>034</v>
      </c>
      <c r="AR3774">
        <v>0</v>
      </c>
      <c r="AS3774">
        <v>0</v>
      </c>
      <c r="AT3774">
        <v>3.5019999999999998</v>
      </c>
      <c r="AX3774" t="str">
        <f>"E000300290"</f>
        <v>E000300290</v>
      </c>
      <c r="BD3774" t="str">
        <f>"ערן שלו"</f>
        <v>ערן שלו</v>
      </c>
    </row>
    <row r="3775" spans="1:56" x14ac:dyDescent="0.3">
      <c r="A3775" s="1">
        <v>43983</v>
      </c>
      <c r="B3775" t="str">
        <f>"SI206000666"</f>
        <v>SI206000666</v>
      </c>
      <c r="C3775" t="str">
        <f>"PR19000724"</f>
        <v>PR19000724</v>
      </c>
      <c r="D3775" t="str">
        <f>"PR19000724"</f>
        <v>PR19000724</v>
      </c>
      <c r="E3775" t="str">
        <f>"Y"</f>
        <v>Y</v>
      </c>
      <c r="F3775" t="str">
        <f>"חשבוניות מרכזות"</f>
        <v>חשבוניות מרכזות</v>
      </c>
      <c r="G3775" t="str">
        <f>"700065"</f>
        <v>700065</v>
      </c>
      <c r="H3775" t="str">
        <f>"אלתא מערכות בע""מ"</f>
        <v>אלתא מערכות בע"מ</v>
      </c>
      <c r="I3775" t="str">
        <f>"10"</f>
        <v>10</v>
      </c>
      <c r="J3775" t="str">
        <f>"PA1100514"</f>
        <v>PA1100514</v>
      </c>
      <c r="K3775" t="str">
        <f>"ITS4106A5C36-01SM144B1KG12TMCB מחבר"</f>
        <v>ITS4106A5C36-01SM144B1KG12TMCB מחבר</v>
      </c>
      <c r="L3775">
        <v>3</v>
      </c>
      <c r="M3775" t="str">
        <f>"יח"</f>
        <v>יח</v>
      </c>
      <c r="N3775">
        <v>3</v>
      </c>
      <c r="O3775" t="str">
        <f>"יח"</f>
        <v>יח</v>
      </c>
      <c r="P3775">
        <v>0</v>
      </c>
      <c r="Q3775" t="str">
        <f>"$"</f>
        <v>$</v>
      </c>
      <c r="R3775" t="str">
        <f>"הזמנה"</f>
        <v>הזמנה</v>
      </c>
      <c r="S3775">
        <v>0</v>
      </c>
      <c r="T3775">
        <v>0</v>
      </c>
      <c r="U3775">
        <v>0</v>
      </c>
      <c r="V3775">
        <v>0</v>
      </c>
      <c r="W3775" t="str">
        <f>"$"</f>
        <v>$</v>
      </c>
      <c r="X3775">
        <v>0</v>
      </c>
      <c r="Y3775">
        <v>0</v>
      </c>
      <c r="Z3775">
        <v>0</v>
      </c>
      <c r="AA3775" t="str">
        <f>"Y"</f>
        <v>Y</v>
      </c>
      <c r="AB3775" t="str">
        <f>"SO19000517"</f>
        <v>SO19000517</v>
      </c>
      <c r="AC3775">
        <v>9</v>
      </c>
      <c r="AD3775" s="1">
        <v>43808</v>
      </c>
      <c r="AE3775" t="str">
        <f>"SH20000456"</f>
        <v>SH20000456</v>
      </c>
      <c r="AF3775" t="str">
        <f>"משלוחים ללקוח"</f>
        <v>משלוחים ללקוח</v>
      </c>
      <c r="AG3775" s="1">
        <v>43926</v>
      </c>
      <c r="AM3775" t="str">
        <f>"10"</f>
        <v>10</v>
      </c>
      <c r="AN3775" t="str">
        <f>"500000"</f>
        <v>500000</v>
      </c>
      <c r="AO3775" t="str">
        <f>"הכנסות  מלקוחות"</f>
        <v>הכנסות  מלקוחות</v>
      </c>
      <c r="AQ3775" t="str">
        <f>"034"</f>
        <v>034</v>
      </c>
      <c r="AR3775">
        <v>0</v>
      </c>
      <c r="AS3775">
        <v>0</v>
      </c>
      <c r="AT3775">
        <v>3.5019999999999998</v>
      </c>
      <c r="AX3775" t="str">
        <f>"E000300290"</f>
        <v>E000300290</v>
      </c>
      <c r="BD3775" t="str">
        <f>"ערן שלו"</f>
        <v>ערן שלו</v>
      </c>
    </row>
    <row r="3776" spans="1:56" x14ac:dyDescent="0.3">
      <c r="A3776" s="1">
        <v>43983</v>
      </c>
      <c r="B3776" t="str">
        <f>"SI206000663"</f>
        <v>SI206000663</v>
      </c>
      <c r="C3776" t="str">
        <f>"PR19000724"</f>
        <v>PR19000724</v>
      </c>
      <c r="E3776" t="str">
        <f>"Y"</f>
        <v>Y</v>
      </c>
      <c r="F3776" t="str">
        <f>"חשבוניות מרכזות"</f>
        <v>חשבוניות מרכזות</v>
      </c>
      <c r="G3776" t="str">
        <f>"700065"</f>
        <v>700065</v>
      </c>
      <c r="H3776" t="str">
        <f>"אלתא מערכות בע""מ"</f>
        <v>אלתא מערכות בע"מ</v>
      </c>
      <c r="I3776" t="str">
        <f>"10"</f>
        <v>10</v>
      </c>
      <c r="J3776" t="str">
        <f>"000"</f>
        <v>000</v>
      </c>
      <c r="K3776" t="str">
        <f>"MQQ עבור 6 קונקטורים"</f>
        <v>MQQ עבור 6 קונקטורים</v>
      </c>
      <c r="L3776">
        <v>-1</v>
      </c>
      <c r="M3776" t="str">
        <f>"יח"</f>
        <v>יח</v>
      </c>
      <c r="N3776">
        <v>-1</v>
      </c>
      <c r="O3776" t="str">
        <f>"יח"</f>
        <v>יח</v>
      </c>
      <c r="P3776" s="2">
        <v>4509.43</v>
      </c>
      <c r="Q3776" t="str">
        <f>"$"</f>
        <v>$</v>
      </c>
      <c r="R3776" t="str">
        <f>"ידני"</f>
        <v>ידני</v>
      </c>
      <c r="S3776">
        <v>0</v>
      </c>
      <c r="T3776" s="2">
        <v>-4509.43</v>
      </c>
      <c r="U3776">
        <v>2</v>
      </c>
      <c r="V3776" s="2">
        <v>-4419.24</v>
      </c>
      <c r="W3776" t="str">
        <f>"$"</f>
        <v>$</v>
      </c>
      <c r="X3776">
        <v>0</v>
      </c>
      <c r="Y3776">
        <v>0</v>
      </c>
      <c r="Z3776">
        <v>0</v>
      </c>
      <c r="AA3776" t="str">
        <f>"Y"</f>
        <v>Y</v>
      </c>
      <c r="AC3776">
        <v>0</v>
      </c>
      <c r="AM3776" t="str">
        <f>"10"</f>
        <v>10</v>
      </c>
      <c r="AN3776" t="str">
        <f>"500000"</f>
        <v>500000</v>
      </c>
      <c r="AO3776" t="str">
        <f>"הכנסות  מלקוחות"</f>
        <v>הכנסות  מלקוחות</v>
      </c>
      <c r="AQ3776" t="str">
        <f>"034"</f>
        <v>034</v>
      </c>
      <c r="AR3776">
        <v>0</v>
      </c>
      <c r="AS3776">
        <v>0</v>
      </c>
      <c r="AT3776">
        <v>3.5790000000000002</v>
      </c>
      <c r="BB3776" t="str">
        <f>"Y"</f>
        <v>Y</v>
      </c>
      <c r="BD3776" t="str">
        <f>"ערן שלו"</f>
        <v>ערן שלו</v>
      </c>
    </row>
    <row r="3777" spans="1:56" x14ac:dyDescent="0.3">
      <c r="A3777" s="1">
        <v>43983</v>
      </c>
      <c r="B3777" t="str">
        <f>"SI206000663"</f>
        <v>SI206000663</v>
      </c>
      <c r="C3777" t="str">
        <f>"PR19000724"</f>
        <v>PR19000724</v>
      </c>
      <c r="E3777" t="str">
        <f>"Y"</f>
        <v>Y</v>
      </c>
      <c r="F3777" t="str">
        <f>"חשבוניות מרכזות"</f>
        <v>חשבוניות מרכזות</v>
      </c>
      <c r="G3777" t="str">
        <f>"700065"</f>
        <v>700065</v>
      </c>
      <c r="H3777" t="str">
        <f>"אלתא מערכות בע""מ"</f>
        <v>אלתא מערכות בע"מ</v>
      </c>
      <c r="I3777" t="str">
        <f>"10"</f>
        <v>10</v>
      </c>
      <c r="J3777" t="str">
        <f>"000"</f>
        <v>000</v>
      </c>
      <c r="K3777" t="str">
        <f>"MQQ עבור 6 קונקטורים"</f>
        <v>MQQ עבור 6 קונקטורים</v>
      </c>
      <c r="L3777">
        <v>-1</v>
      </c>
      <c r="M3777" t="str">
        <f>"יח"</f>
        <v>יח</v>
      </c>
      <c r="N3777">
        <v>-1</v>
      </c>
      <c r="O3777" t="str">
        <f>"יח"</f>
        <v>יח</v>
      </c>
      <c r="P3777" s="2">
        <v>4509.55</v>
      </c>
      <c r="Q3777" t="str">
        <f>"$"</f>
        <v>$</v>
      </c>
      <c r="R3777" t="str">
        <f>"הזמנה"</f>
        <v>הזמנה</v>
      </c>
      <c r="S3777">
        <v>0</v>
      </c>
      <c r="T3777" s="2">
        <v>-4509.55</v>
      </c>
      <c r="U3777">
        <v>2</v>
      </c>
      <c r="V3777" s="2">
        <v>-4419.3599999999997</v>
      </c>
      <c r="W3777" t="str">
        <f>"$"</f>
        <v>$</v>
      </c>
      <c r="X3777">
        <v>0</v>
      </c>
      <c r="Y3777">
        <v>0</v>
      </c>
      <c r="Z3777">
        <v>0</v>
      </c>
      <c r="AA3777" t="str">
        <f>"Y"</f>
        <v>Y</v>
      </c>
      <c r="AC3777">
        <v>0</v>
      </c>
      <c r="AM3777" t="str">
        <f>"10"</f>
        <v>10</v>
      </c>
      <c r="AN3777" t="str">
        <f>"500000"</f>
        <v>500000</v>
      </c>
      <c r="AO3777" t="str">
        <f>"הכנסות  מלקוחות"</f>
        <v>הכנסות  מלקוחות</v>
      </c>
      <c r="AQ3777" t="str">
        <f>"034"</f>
        <v>034</v>
      </c>
      <c r="AR3777">
        <v>0</v>
      </c>
      <c r="AS3777">
        <v>0</v>
      </c>
      <c r="AT3777">
        <v>3.5790000000000002</v>
      </c>
      <c r="BB3777" t="str">
        <f>"Y"</f>
        <v>Y</v>
      </c>
      <c r="BD3777" t="str">
        <f>"ערן שלו"</f>
        <v>ערן שלו</v>
      </c>
    </row>
    <row r="3778" spans="1:56" x14ac:dyDescent="0.3">
      <c r="A3778" s="1">
        <v>43983</v>
      </c>
      <c r="B3778" t="str">
        <f>"SI206000663"</f>
        <v>SI206000663</v>
      </c>
      <c r="C3778" t="str">
        <f>"PR19000724"</f>
        <v>PR19000724</v>
      </c>
      <c r="E3778" t="str">
        <f>"Y"</f>
        <v>Y</v>
      </c>
      <c r="F3778" t="str">
        <f>"חשבוניות מרכזות"</f>
        <v>חשבוניות מרכזות</v>
      </c>
      <c r="G3778" t="str">
        <f>"700065"</f>
        <v>700065</v>
      </c>
      <c r="H3778" t="str">
        <f>"אלתא מערכות בע""מ"</f>
        <v>אלתא מערכות בע"מ</v>
      </c>
      <c r="I3778" t="str">
        <f>"10"</f>
        <v>10</v>
      </c>
      <c r="J3778" t="str">
        <f>"CB1100205"</f>
        <v>CB1100205</v>
      </c>
      <c r="K3778" t="str">
        <f>"כבל הזנה 20 H07RNF 5X35מ', 5X125A IP67 , נעל כבל"</f>
        <v>כבל הזנה 20 H07RNF 5X35מ', 5X125A IP67 , נעל כבל</v>
      </c>
      <c r="L3778">
        <v>-1</v>
      </c>
      <c r="M3778" t="str">
        <f>"יח"</f>
        <v>יח</v>
      </c>
      <c r="N3778">
        <v>-1</v>
      </c>
      <c r="O3778" t="str">
        <f>"יח"</f>
        <v>יח</v>
      </c>
      <c r="P3778" s="2">
        <v>1229.9000000000001</v>
      </c>
      <c r="Q3778" t="str">
        <f>"$"</f>
        <v>$</v>
      </c>
      <c r="R3778" t="str">
        <f>"הזמנה"</f>
        <v>הזמנה</v>
      </c>
      <c r="S3778">
        <v>0</v>
      </c>
      <c r="T3778" s="2">
        <v>-1229.9000000000001</v>
      </c>
      <c r="U3778">
        <v>2</v>
      </c>
      <c r="V3778" s="2">
        <v>-1205.3</v>
      </c>
      <c r="W3778" t="str">
        <f>"$"</f>
        <v>$</v>
      </c>
      <c r="X3778">
        <v>0</v>
      </c>
      <c r="Y3778">
        <v>0</v>
      </c>
      <c r="Z3778">
        <v>0</v>
      </c>
      <c r="AA3778" t="str">
        <f>"Y"</f>
        <v>Y</v>
      </c>
      <c r="AC3778">
        <v>0</v>
      </c>
      <c r="AM3778" t="str">
        <f>"10"</f>
        <v>10</v>
      </c>
      <c r="AN3778" t="str">
        <f>"500000"</f>
        <v>500000</v>
      </c>
      <c r="AO3778" t="str">
        <f>"הכנסות  מלקוחות"</f>
        <v>הכנסות  מלקוחות</v>
      </c>
      <c r="AQ3778" t="str">
        <f>"034"</f>
        <v>034</v>
      </c>
      <c r="AR3778">
        <v>0</v>
      </c>
      <c r="AS3778">
        <v>0</v>
      </c>
      <c r="AT3778">
        <v>3.5790000000000002</v>
      </c>
      <c r="BB3778" t="str">
        <f>"Y"</f>
        <v>Y</v>
      </c>
      <c r="BD3778" t="str">
        <f>"ערן שלו"</f>
        <v>ערן שלו</v>
      </c>
    </row>
    <row r="3779" spans="1:56" x14ac:dyDescent="0.3">
      <c r="A3779" s="1">
        <v>43983</v>
      </c>
      <c r="B3779" t="str">
        <f>"SI206000663"</f>
        <v>SI206000663</v>
      </c>
      <c r="C3779" t="str">
        <f>"PR19000724"</f>
        <v>PR19000724</v>
      </c>
      <c r="E3779" t="str">
        <f>"Y"</f>
        <v>Y</v>
      </c>
      <c r="F3779" t="str">
        <f>"חשבוניות מרכזות"</f>
        <v>חשבוניות מרכזות</v>
      </c>
      <c r="G3779" t="str">
        <f>"700065"</f>
        <v>700065</v>
      </c>
      <c r="H3779" t="str">
        <f>"אלתא מערכות בע""מ"</f>
        <v>אלתא מערכות בע"מ</v>
      </c>
      <c r="I3779" t="str">
        <f>"10"</f>
        <v>10</v>
      </c>
      <c r="J3779" t="str">
        <f>"OP-AR22723"</f>
        <v>OP-AR22723</v>
      </c>
      <c r="K3779" t="str">
        <f>"CB1100206"</f>
        <v>CB1100206</v>
      </c>
      <c r="L3779">
        <v>-1</v>
      </c>
      <c r="M3779" t="str">
        <f>"יח"</f>
        <v>יח</v>
      </c>
      <c r="N3779">
        <v>-1</v>
      </c>
      <c r="O3779" t="str">
        <f>"יח"</f>
        <v>יח</v>
      </c>
      <c r="P3779" s="2">
        <v>3189.9</v>
      </c>
      <c r="Q3779" t="str">
        <f>"$"</f>
        <v>$</v>
      </c>
      <c r="R3779" t="str">
        <f>"הזמנה"</f>
        <v>הזמנה</v>
      </c>
      <c r="S3779">
        <v>0</v>
      </c>
      <c r="T3779" s="2">
        <v>-3189.9</v>
      </c>
      <c r="U3779">
        <v>2</v>
      </c>
      <c r="V3779" s="2">
        <v>-3126.1</v>
      </c>
      <c r="W3779" t="str">
        <f>"$"</f>
        <v>$</v>
      </c>
      <c r="X3779">
        <v>0</v>
      </c>
      <c r="Y3779">
        <v>0</v>
      </c>
      <c r="Z3779">
        <v>0</v>
      </c>
      <c r="AA3779" t="str">
        <f>"Y"</f>
        <v>Y</v>
      </c>
      <c r="AC3779">
        <v>0</v>
      </c>
      <c r="AM3779" t="str">
        <f>"10"</f>
        <v>10</v>
      </c>
      <c r="AN3779" t="str">
        <f>"500000"</f>
        <v>500000</v>
      </c>
      <c r="AO3779" t="str">
        <f>"הכנסות  מלקוחות"</f>
        <v>הכנסות  מלקוחות</v>
      </c>
      <c r="AQ3779" t="str">
        <f>"034"</f>
        <v>034</v>
      </c>
      <c r="AR3779">
        <v>0</v>
      </c>
      <c r="AS3779">
        <v>0</v>
      </c>
      <c r="AT3779">
        <v>3.5790000000000002</v>
      </c>
      <c r="BB3779" t="str">
        <f>"Y"</f>
        <v>Y</v>
      </c>
      <c r="BD3779" t="str">
        <f>"ערן שלו"</f>
        <v>ערן שלו</v>
      </c>
    </row>
    <row r="3780" spans="1:56" x14ac:dyDescent="0.3">
      <c r="A3780" s="1">
        <v>43983</v>
      </c>
      <c r="B3780" t="str">
        <f>"SI206000663"</f>
        <v>SI206000663</v>
      </c>
      <c r="C3780" t="str">
        <f>"PR19000724"</f>
        <v>PR19000724</v>
      </c>
      <c r="E3780" t="str">
        <f>"Y"</f>
        <v>Y</v>
      </c>
      <c r="F3780" t="str">
        <f>"חשבוניות מרכזות"</f>
        <v>חשבוניות מרכזות</v>
      </c>
      <c r="G3780" t="str">
        <f>"700065"</f>
        <v>700065</v>
      </c>
      <c r="H3780" t="str">
        <f>"אלתא מערכות בע""מ"</f>
        <v>אלתא מערכות בע"מ</v>
      </c>
      <c r="I3780" t="str">
        <f>"10"</f>
        <v>10</v>
      </c>
      <c r="J3780" t="str">
        <f>"CB1100207"</f>
        <v>CB1100207</v>
      </c>
      <c r="K3780" t="str">
        <f>"כבל 50 H07RNF 1X95 -320מ', 2 מחברי ITS4106A5C36"</f>
        <v>כבל 50 H07RNF 1X95 -320מ', 2 מחברי ITS4106A5C36</v>
      </c>
      <c r="L3780">
        <v>-1</v>
      </c>
      <c r="M3780" t="str">
        <f>"יח"</f>
        <v>יח</v>
      </c>
      <c r="N3780">
        <v>-1</v>
      </c>
      <c r="O3780" t="str">
        <f>"יח"</f>
        <v>יח</v>
      </c>
      <c r="P3780" s="2">
        <v>3483.9</v>
      </c>
      <c r="Q3780" t="str">
        <f>"$"</f>
        <v>$</v>
      </c>
      <c r="R3780" t="str">
        <f>"הזמנה"</f>
        <v>הזמנה</v>
      </c>
      <c r="S3780">
        <v>0</v>
      </c>
      <c r="T3780" s="2">
        <v>-3483.9</v>
      </c>
      <c r="U3780">
        <v>2</v>
      </c>
      <c r="V3780" s="2">
        <v>-3414.22</v>
      </c>
      <c r="W3780" t="str">
        <f>"$"</f>
        <v>$</v>
      </c>
      <c r="X3780">
        <v>0</v>
      </c>
      <c r="Y3780">
        <v>0</v>
      </c>
      <c r="Z3780">
        <v>0</v>
      </c>
      <c r="AA3780" t="str">
        <f>"Y"</f>
        <v>Y</v>
      </c>
      <c r="AC3780">
        <v>0</v>
      </c>
      <c r="AM3780" t="str">
        <f>"10"</f>
        <v>10</v>
      </c>
      <c r="AN3780" t="str">
        <f>"500000"</f>
        <v>500000</v>
      </c>
      <c r="AO3780" t="str">
        <f>"הכנסות  מלקוחות"</f>
        <v>הכנסות  מלקוחות</v>
      </c>
      <c r="AQ3780" t="str">
        <f>"034"</f>
        <v>034</v>
      </c>
      <c r="AR3780">
        <v>0</v>
      </c>
      <c r="AS3780">
        <v>0</v>
      </c>
      <c r="AT3780">
        <v>3.5790000000000002</v>
      </c>
      <c r="BB3780" t="str">
        <f>"Y"</f>
        <v>Y</v>
      </c>
      <c r="BD3780" t="str">
        <f>"ערן שלו"</f>
        <v>ערן שלו</v>
      </c>
    </row>
    <row r="3781" spans="1:56" x14ac:dyDescent="0.3">
      <c r="A3781" s="1">
        <v>43983</v>
      </c>
      <c r="B3781" t="str">
        <f>"SI206000663"</f>
        <v>SI206000663</v>
      </c>
      <c r="C3781" t="str">
        <f>"PR19000724"</f>
        <v>PR19000724</v>
      </c>
      <c r="E3781" t="str">
        <f>"Y"</f>
        <v>Y</v>
      </c>
      <c r="F3781" t="str">
        <f>"חשבוניות מרכזות"</f>
        <v>חשבוניות מרכזות</v>
      </c>
      <c r="G3781" t="str">
        <f>"700065"</f>
        <v>700065</v>
      </c>
      <c r="H3781" t="str">
        <f>"אלתא מערכות בע""מ"</f>
        <v>אלתא מערכות בע"מ</v>
      </c>
      <c r="I3781" t="str">
        <f>"10"</f>
        <v>10</v>
      </c>
      <c r="J3781" t="str">
        <f>"PA1100511"</f>
        <v>PA1100511</v>
      </c>
      <c r="K3781" t="str">
        <f>"ITS4106A5C36-01PL1M144B1KG12TMCR מחבר"</f>
        <v>ITS4106A5C36-01PL1M144B1KG12TMCR מחבר</v>
      </c>
      <c r="L3781">
        <v>-3</v>
      </c>
      <c r="M3781" t="str">
        <f>"יח"</f>
        <v>יח</v>
      </c>
      <c r="N3781">
        <v>-3</v>
      </c>
      <c r="O3781" t="str">
        <f>"יח"</f>
        <v>יח</v>
      </c>
      <c r="P3781">
        <v>0</v>
      </c>
      <c r="Q3781" t="str">
        <f>"$"</f>
        <v>$</v>
      </c>
      <c r="R3781" t="str">
        <f>"הזמנה"</f>
        <v>הזמנה</v>
      </c>
      <c r="S3781">
        <v>0</v>
      </c>
      <c r="T3781">
        <v>0</v>
      </c>
      <c r="U3781">
        <v>2</v>
      </c>
      <c r="V3781">
        <v>0</v>
      </c>
      <c r="W3781" t="str">
        <f>"$"</f>
        <v>$</v>
      </c>
      <c r="X3781">
        <v>0</v>
      </c>
      <c r="Y3781">
        <v>0</v>
      </c>
      <c r="Z3781">
        <v>0</v>
      </c>
      <c r="AA3781" t="str">
        <f>"Y"</f>
        <v>Y</v>
      </c>
      <c r="AC3781">
        <v>0</v>
      </c>
      <c r="AM3781" t="str">
        <f>"10"</f>
        <v>10</v>
      </c>
      <c r="AN3781" t="str">
        <f>"500000"</f>
        <v>500000</v>
      </c>
      <c r="AO3781" t="str">
        <f>"הכנסות  מלקוחות"</f>
        <v>הכנסות  מלקוחות</v>
      </c>
      <c r="AQ3781" t="str">
        <f>"034"</f>
        <v>034</v>
      </c>
      <c r="AR3781">
        <v>0</v>
      </c>
      <c r="AS3781">
        <v>0</v>
      </c>
      <c r="AT3781">
        <v>3.5790000000000002</v>
      </c>
      <c r="BB3781" t="str">
        <f>"Y"</f>
        <v>Y</v>
      </c>
      <c r="BD3781" t="str">
        <f>"ערן שלו"</f>
        <v>ערן שלו</v>
      </c>
    </row>
    <row r="3782" spans="1:56" x14ac:dyDescent="0.3">
      <c r="A3782" s="1">
        <v>43983</v>
      </c>
      <c r="B3782" t="str">
        <f>"SI206000663"</f>
        <v>SI206000663</v>
      </c>
      <c r="C3782" t="str">
        <f>"PR19000724"</f>
        <v>PR19000724</v>
      </c>
      <c r="E3782" t="str">
        <f>"Y"</f>
        <v>Y</v>
      </c>
      <c r="F3782" t="str">
        <f>"חשבוניות מרכזות"</f>
        <v>חשבוניות מרכזות</v>
      </c>
      <c r="G3782" t="str">
        <f>"700065"</f>
        <v>700065</v>
      </c>
      <c r="H3782" t="str">
        <f>"אלתא מערכות בע""מ"</f>
        <v>אלתא מערכות בע"מ</v>
      </c>
      <c r="I3782" t="str">
        <f>"10"</f>
        <v>10</v>
      </c>
      <c r="J3782" t="str">
        <f>"PA1100512"</f>
        <v>PA1100512</v>
      </c>
      <c r="K3782" t="str">
        <f>"ITS4106A5C36-01SL1M144B1KG12TMCR מחבר"</f>
        <v>ITS4106A5C36-01SL1M144B1KG12TMCR מחבר</v>
      </c>
      <c r="L3782">
        <v>-3</v>
      </c>
      <c r="M3782" t="str">
        <f>"יח"</f>
        <v>יח</v>
      </c>
      <c r="N3782">
        <v>-3</v>
      </c>
      <c r="O3782" t="str">
        <f>"יח"</f>
        <v>יח</v>
      </c>
      <c r="P3782">
        <v>0</v>
      </c>
      <c r="Q3782" t="str">
        <f>"$"</f>
        <v>$</v>
      </c>
      <c r="R3782" t="str">
        <f>"הזמנה"</f>
        <v>הזמנה</v>
      </c>
      <c r="S3782">
        <v>0</v>
      </c>
      <c r="T3782">
        <v>0</v>
      </c>
      <c r="U3782">
        <v>2</v>
      </c>
      <c r="V3782">
        <v>0</v>
      </c>
      <c r="W3782" t="str">
        <f>"$"</f>
        <v>$</v>
      </c>
      <c r="X3782">
        <v>0</v>
      </c>
      <c r="Y3782">
        <v>0</v>
      </c>
      <c r="Z3782">
        <v>0</v>
      </c>
      <c r="AA3782" t="str">
        <f>"Y"</f>
        <v>Y</v>
      </c>
      <c r="AC3782">
        <v>0</v>
      </c>
      <c r="AM3782" t="str">
        <f>"10"</f>
        <v>10</v>
      </c>
      <c r="AN3782" t="str">
        <f>"500000"</f>
        <v>500000</v>
      </c>
      <c r="AO3782" t="str">
        <f>"הכנסות  מלקוחות"</f>
        <v>הכנסות  מלקוחות</v>
      </c>
      <c r="AQ3782" t="str">
        <f>"034"</f>
        <v>034</v>
      </c>
      <c r="AR3782">
        <v>0</v>
      </c>
      <c r="AS3782">
        <v>0</v>
      </c>
      <c r="AT3782">
        <v>3.5790000000000002</v>
      </c>
      <c r="BB3782" t="str">
        <f>"Y"</f>
        <v>Y</v>
      </c>
      <c r="BD3782" t="str">
        <f>"ערן שלו"</f>
        <v>ערן שלו</v>
      </c>
    </row>
    <row r="3783" spans="1:56" x14ac:dyDescent="0.3">
      <c r="A3783" s="1">
        <v>43983</v>
      </c>
      <c r="B3783" t="str">
        <f>"SI206000663"</f>
        <v>SI206000663</v>
      </c>
      <c r="C3783" t="str">
        <f>"PR19000724"</f>
        <v>PR19000724</v>
      </c>
      <c r="E3783" t="str">
        <f>"Y"</f>
        <v>Y</v>
      </c>
      <c r="F3783" t="str">
        <f>"חשבוניות מרכזות"</f>
        <v>חשבוניות מרכזות</v>
      </c>
      <c r="G3783" t="str">
        <f>"700065"</f>
        <v>700065</v>
      </c>
      <c r="H3783" t="str">
        <f>"אלתא מערכות בע""מ"</f>
        <v>אלתא מערכות בע"מ</v>
      </c>
      <c r="I3783" t="str">
        <f>"10"</f>
        <v>10</v>
      </c>
      <c r="J3783" t="str">
        <f>"PA1100513"</f>
        <v>PA1100513</v>
      </c>
      <c r="K3783" t="str">
        <f>"ITS4106A5C36-01PM144B1KG12TMCB מחבר"</f>
        <v>ITS4106A5C36-01PM144B1KG12TMCB מחבר</v>
      </c>
      <c r="L3783">
        <v>-3</v>
      </c>
      <c r="M3783" t="str">
        <f>"יח"</f>
        <v>יח</v>
      </c>
      <c r="N3783">
        <v>-3</v>
      </c>
      <c r="O3783" t="str">
        <f>"יח"</f>
        <v>יח</v>
      </c>
      <c r="P3783">
        <v>0</v>
      </c>
      <c r="Q3783" t="str">
        <f>"$"</f>
        <v>$</v>
      </c>
      <c r="R3783" t="str">
        <f>"הזמנה"</f>
        <v>הזמנה</v>
      </c>
      <c r="S3783">
        <v>0</v>
      </c>
      <c r="T3783">
        <v>0</v>
      </c>
      <c r="U3783">
        <v>2</v>
      </c>
      <c r="V3783">
        <v>0</v>
      </c>
      <c r="W3783" t="str">
        <f>"$"</f>
        <v>$</v>
      </c>
      <c r="X3783">
        <v>0</v>
      </c>
      <c r="Y3783">
        <v>0</v>
      </c>
      <c r="Z3783">
        <v>0</v>
      </c>
      <c r="AA3783" t="str">
        <f>"Y"</f>
        <v>Y</v>
      </c>
      <c r="AC3783">
        <v>0</v>
      </c>
      <c r="AM3783" t="str">
        <f>"10"</f>
        <v>10</v>
      </c>
      <c r="AN3783" t="str">
        <f>"500000"</f>
        <v>500000</v>
      </c>
      <c r="AO3783" t="str">
        <f>"הכנסות  מלקוחות"</f>
        <v>הכנסות  מלקוחות</v>
      </c>
      <c r="AQ3783" t="str">
        <f>"034"</f>
        <v>034</v>
      </c>
      <c r="AR3783">
        <v>0</v>
      </c>
      <c r="AS3783">
        <v>0</v>
      </c>
      <c r="AT3783">
        <v>3.5790000000000002</v>
      </c>
      <c r="BB3783" t="str">
        <f>"Y"</f>
        <v>Y</v>
      </c>
      <c r="BD3783" t="str">
        <f>"ערן שלו"</f>
        <v>ערן שלו</v>
      </c>
    </row>
    <row r="3784" spans="1:56" x14ac:dyDescent="0.3">
      <c r="A3784" s="1">
        <v>43983</v>
      </c>
      <c r="B3784" t="str">
        <f>"SI206000663"</f>
        <v>SI206000663</v>
      </c>
      <c r="C3784" t="str">
        <f>"PR19000724"</f>
        <v>PR19000724</v>
      </c>
      <c r="E3784" t="str">
        <f>"Y"</f>
        <v>Y</v>
      </c>
      <c r="F3784" t="str">
        <f>"חשבוניות מרכזות"</f>
        <v>חשבוניות מרכזות</v>
      </c>
      <c r="G3784" t="str">
        <f>"700065"</f>
        <v>700065</v>
      </c>
      <c r="H3784" t="str">
        <f>"אלתא מערכות בע""מ"</f>
        <v>אלתא מערכות בע"מ</v>
      </c>
      <c r="I3784" t="str">
        <f>"10"</f>
        <v>10</v>
      </c>
      <c r="J3784" t="str">
        <f>"PA1100514"</f>
        <v>PA1100514</v>
      </c>
      <c r="K3784" t="str">
        <f>"ITS4106A5C36-01SM144B1KG12TMCB מחבר"</f>
        <v>ITS4106A5C36-01SM144B1KG12TMCB מחבר</v>
      </c>
      <c r="L3784">
        <v>-3</v>
      </c>
      <c r="M3784" t="str">
        <f>"יח"</f>
        <v>יח</v>
      </c>
      <c r="N3784">
        <v>-3</v>
      </c>
      <c r="O3784" t="str">
        <f>"יח"</f>
        <v>יח</v>
      </c>
      <c r="P3784">
        <v>0</v>
      </c>
      <c r="Q3784" t="str">
        <f>"$"</f>
        <v>$</v>
      </c>
      <c r="R3784" t="str">
        <f>"הזמנה"</f>
        <v>הזמנה</v>
      </c>
      <c r="S3784">
        <v>0</v>
      </c>
      <c r="T3784">
        <v>0</v>
      </c>
      <c r="U3784">
        <v>2</v>
      </c>
      <c r="V3784">
        <v>0</v>
      </c>
      <c r="W3784" t="str">
        <f>"$"</f>
        <v>$</v>
      </c>
      <c r="X3784">
        <v>0</v>
      </c>
      <c r="Y3784">
        <v>0</v>
      </c>
      <c r="Z3784">
        <v>0</v>
      </c>
      <c r="AA3784" t="str">
        <f>"Y"</f>
        <v>Y</v>
      </c>
      <c r="AC3784">
        <v>0</v>
      </c>
      <c r="AM3784" t="str">
        <f>"10"</f>
        <v>10</v>
      </c>
      <c r="AN3784" t="str">
        <f>"500000"</f>
        <v>500000</v>
      </c>
      <c r="AO3784" t="str">
        <f>"הכנסות  מלקוחות"</f>
        <v>הכנסות  מלקוחות</v>
      </c>
      <c r="AQ3784" t="str">
        <f>"034"</f>
        <v>034</v>
      </c>
      <c r="AR3784">
        <v>0</v>
      </c>
      <c r="AS3784">
        <v>0</v>
      </c>
      <c r="AT3784">
        <v>3.5790000000000002</v>
      </c>
      <c r="BB3784" t="str">
        <f>"Y"</f>
        <v>Y</v>
      </c>
      <c r="BD3784" t="str">
        <f>"ערן שלו"</f>
        <v>ערן שלו</v>
      </c>
    </row>
    <row r="3785" spans="1:56" x14ac:dyDescent="0.3">
      <c r="A3785" s="1">
        <v>43983</v>
      </c>
      <c r="B3785" t="str">
        <f>"SI206000635"</f>
        <v>SI206000635</v>
      </c>
      <c r="C3785" t="str">
        <f>"PR19000109"</f>
        <v>PR19000109</v>
      </c>
      <c r="E3785" t="str">
        <f>"Y"</f>
        <v>Y</v>
      </c>
      <c r="F3785" t="str">
        <f>"חשבוניות מרכזות"</f>
        <v>חשבוניות מרכזות</v>
      </c>
      <c r="G3785" t="str">
        <f>"700065"</f>
        <v>700065</v>
      </c>
      <c r="H3785" t="str">
        <f>"אלתא מערכות בע""מ"</f>
        <v>אלתא מערכות בע"מ</v>
      </c>
      <c r="I3785" t="str">
        <f>"05"</f>
        <v>05</v>
      </c>
      <c r="J3785" t="str">
        <f>"OP-PD02884"</f>
        <v>OP-PD02884</v>
      </c>
      <c r="K3785" t="str">
        <f>"MAIN EPS PLC CONTROL PANEL - P15B"</f>
        <v>MAIN EPS PLC CONTROL PANEL - P15B</v>
      </c>
      <c r="L3785">
        <v>-1</v>
      </c>
      <c r="M3785" t="str">
        <f>"יח"</f>
        <v>יח</v>
      </c>
      <c r="N3785">
        <v>-1</v>
      </c>
      <c r="O3785" t="str">
        <f>"יח"</f>
        <v>יח</v>
      </c>
      <c r="P3785" s="2">
        <v>25400</v>
      </c>
      <c r="Q3785" t="str">
        <f>"$"</f>
        <v>$</v>
      </c>
      <c r="R3785" t="str">
        <f>"הזמנה"</f>
        <v>הזמנה</v>
      </c>
      <c r="S3785">
        <v>0</v>
      </c>
      <c r="T3785" s="2">
        <v>-25400</v>
      </c>
      <c r="U3785">
        <v>0</v>
      </c>
      <c r="V3785" s="2">
        <v>-25400</v>
      </c>
      <c r="W3785" t="str">
        <f>"$"</f>
        <v>$</v>
      </c>
      <c r="X3785">
        <v>0</v>
      </c>
      <c r="Y3785">
        <v>0</v>
      </c>
      <c r="Z3785">
        <v>0</v>
      </c>
      <c r="AA3785" t="str">
        <f>"Y"</f>
        <v>Y</v>
      </c>
      <c r="AC3785">
        <v>0</v>
      </c>
      <c r="AM3785" t="str">
        <f>"10"</f>
        <v>10</v>
      </c>
      <c r="AN3785" t="str">
        <f>"500000"</f>
        <v>500000</v>
      </c>
      <c r="AO3785" t="str">
        <f>"הכנסות  מלקוחות"</f>
        <v>הכנסות  מלקוחות</v>
      </c>
      <c r="AQ3785" t="str">
        <f>"034"</f>
        <v>034</v>
      </c>
      <c r="AR3785">
        <v>0</v>
      </c>
      <c r="AS3785">
        <v>0</v>
      </c>
      <c r="AT3785">
        <v>3.508</v>
      </c>
      <c r="BB3785" t="str">
        <f>"Y"</f>
        <v>Y</v>
      </c>
      <c r="BD3785" t="str">
        <f>"ערן שלו"</f>
        <v>ערן שלו</v>
      </c>
    </row>
    <row r="3786" spans="1:56" x14ac:dyDescent="0.3">
      <c r="A3786" s="1">
        <v>43983</v>
      </c>
      <c r="B3786" t="str">
        <f>"SI206000635"</f>
        <v>SI206000635</v>
      </c>
      <c r="C3786" t="str">
        <f>"PR19000109"</f>
        <v>PR19000109</v>
      </c>
      <c r="E3786" t="str">
        <f>"Y"</f>
        <v>Y</v>
      </c>
      <c r="F3786" t="str">
        <f>"חשבוניות מרכזות"</f>
        <v>חשבוניות מרכזות</v>
      </c>
      <c r="G3786" t="str">
        <f>"700065"</f>
        <v>700065</v>
      </c>
      <c r="H3786" t="str">
        <f>"אלתא מערכות בע""מ"</f>
        <v>אלתא מערכות בע"מ</v>
      </c>
      <c r="I3786" t="str">
        <f>"05"</f>
        <v>05</v>
      </c>
      <c r="J3786" t="str">
        <f>"999"</f>
        <v>999</v>
      </c>
      <c r="K3786" t="str">
        <f>"TECHNICAL MANUALS P71A"</f>
        <v>TECHNICAL MANUALS P71A</v>
      </c>
      <c r="L3786">
        <v>-1</v>
      </c>
      <c r="M3786" t="str">
        <f>"חל"</f>
        <v>חל</v>
      </c>
      <c r="N3786">
        <v>-1</v>
      </c>
      <c r="O3786" t="str">
        <f>"חל"</f>
        <v>חל</v>
      </c>
      <c r="P3786">
        <v>500</v>
      </c>
      <c r="Q3786" t="str">
        <f>"$"</f>
        <v>$</v>
      </c>
      <c r="R3786" t="str">
        <f>"הזמנה"</f>
        <v>הזמנה</v>
      </c>
      <c r="S3786">
        <v>0</v>
      </c>
      <c r="T3786">
        <v>-500</v>
      </c>
      <c r="U3786">
        <v>0</v>
      </c>
      <c r="V3786">
        <v>-500</v>
      </c>
      <c r="W3786" t="str">
        <f>"$"</f>
        <v>$</v>
      </c>
      <c r="X3786">
        <v>0</v>
      </c>
      <c r="Y3786">
        <v>0</v>
      </c>
      <c r="Z3786">
        <v>0</v>
      </c>
      <c r="AA3786" t="str">
        <f>"Y"</f>
        <v>Y</v>
      </c>
      <c r="AC3786">
        <v>0</v>
      </c>
      <c r="AM3786" t="str">
        <f>"10"</f>
        <v>10</v>
      </c>
      <c r="AN3786" t="str">
        <f>"500000"</f>
        <v>500000</v>
      </c>
      <c r="AO3786" t="str">
        <f>"הכנסות  מלקוחות"</f>
        <v>הכנסות  מלקוחות</v>
      </c>
      <c r="AQ3786" t="str">
        <f>"034"</f>
        <v>034</v>
      </c>
      <c r="AR3786">
        <v>0</v>
      </c>
      <c r="AS3786">
        <v>0</v>
      </c>
      <c r="AT3786">
        <v>3.508</v>
      </c>
      <c r="BB3786" t="str">
        <f>"Y"</f>
        <v>Y</v>
      </c>
      <c r="BD3786" t="str">
        <f>"ערן שלו"</f>
        <v>ערן שלו</v>
      </c>
    </row>
    <row r="3787" spans="1:56" x14ac:dyDescent="0.3">
      <c r="A3787" s="1">
        <v>43978</v>
      </c>
      <c r="B3787" t="str">
        <f>"SI206000494"</f>
        <v>SI206000494</v>
      </c>
      <c r="C3787" t="str">
        <f>"PR19000109"</f>
        <v>PR19000109</v>
      </c>
      <c r="D3787" t="str">
        <f>"PR19000109"</f>
        <v>PR19000109</v>
      </c>
      <c r="E3787" t="str">
        <f>"Y"</f>
        <v>Y</v>
      </c>
      <c r="F3787" t="str">
        <f>"חשבוניות מרכזות"</f>
        <v>חשבוניות מרכזות</v>
      </c>
      <c r="G3787" t="str">
        <f>"700065"</f>
        <v>700065</v>
      </c>
      <c r="H3787" t="str">
        <f>"אלתא מערכות בע""מ"</f>
        <v>אלתא מערכות בע"מ</v>
      </c>
      <c r="I3787" t="str">
        <f>"10"</f>
        <v>10</v>
      </c>
      <c r="J3787" t="str">
        <f>"000"</f>
        <v>000</v>
      </c>
      <c r="K3787" t="str">
        <f>"דוח ניסוי"</f>
        <v>דוח ניסוי</v>
      </c>
      <c r="L3787">
        <v>1</v>
      </c>
      <c r="M3787" t="str">
        <f>"יח"</f>
        <v>יח</v>
      </c>
      <c r="N3787">
        <v>1</v>
      </c>
      <c r="O3787" t="str">
        <f>"יח"</f>
        <v>יח</v>
      </c>
      <c r="P3787" s="2">
        <v>3200</v>
      </c>
      <c r="Q3787" t="str">
        <f>"$"</f>
        <v>$</v>
      </c>
      <c r="R3787" t="str">
        <f>"הזמנה"</f>
        <v>הזמנה</v>
      </c>
      <c r="S3787">
        <v>0</v>
      </c>
      <c r="T3787" s="2">
        <v>3200</v>
      </c>
      <c r="U3787">
        <v>0</v>
      </c>
      <c r="V3787" s="2">
        <v>3200</v>
      </c>
      <c r="W3787" t="str">
        <f>"$"</f>
        <v>$</v>
      </c>
      <c r="X3787">
        <v>0</v>
      </c>
      <c r="Y3787">
        <v>0</v>
      </c>
      <c r="Z3787">
        <v>0</v>
      </c>
      <c r="AA3787" t="str">
        <f>"Y"</f>
        <v>Y</v>
      </c>
      <c r="AB3787" t="str">
        <f>"SO20000058"</f>
        <v>SO20000058</v>
      </c>
      <c r="AC3787">
        <v>4</v>
      </c>
      <c r="AD3787" s="1">
        <v>43866</v>
      </c>
      <c r="AE3787" t="str">
        <f>"SH20000603"</f>
        <v>SH20000603</v>
      </c>
      <c r="AF3787" t="str">
        <f>"משלוחים ללקוח"</f>
        <v>משלוחים ללקוח</v>
      </c>
      <c r="AG3787" s="1">
        <v>43969</v>
      </c>
      <c r="AM3787" t="str">
        <f>"10"</f>
        <v>10</v>
      </c>
      <c r="AN3787" t="str">
        <f>"500000"</f>
        <v>500000</v>
      </c>
      <c r="AO3787" t="str">
        <f>"הכנסות  מלקוחות"</f>
        <v>הכנסות  מלקוחות</v>
      </c>
      <c r="AQ3787" t="str">
        <f>"034"</f>
        <v>034</v>
      </c>
      <c r="AR3787">
        <v>0</v>
      </c>
      <c r="AS3787">
        <v>0</v>
      </c>
      <c r="AT3787">
        <v>3.5150000000000001</v>
      </c>
      <c r="AX3787" t="str">
        <f>"E000304265"</f>
        <v>E000304265</v>
      </c>
      <c r="BD3787" t="str">
        <f>"ערן שלו"</f>
        <v>ערן שלו</v>
      </c>
    </row>
    <row r="3788" spans="1:56" x14ac:dyDescent="0.3">
      <c r="A3788" s="1">
        <v>43978</v>
      </c>
      <c r="B3788" t="str">
        <f>"SI206000485"</f>
        <v>SI206000485</v>
      </c>
      <c r="C3788" t="str">
        <f>"PR19000609"</f>
        <v>PR19000609</v>
      </c>
      <c r="E3788" t="str">
        <f>"Y"</f>
        <v>Y</v>
      </c>
      <c r="F3788" t="str">
        <f>"חשבוניות מרכזות"</f>
        <v>חשבוניות מרכזות</v>
      </c>
      <c r="G3788" t="str">
        <f>"700065"</f>
        <v>700065</v>
      </c>
      <c r="H3788" t="str">
        <f>"אלתא מערכות בע""מ"</f>
        <v>אלתא מערכות בע"מ</v>
      </c>
      <c r="I3788" t="str">
        <f>"10"</f>
        <v>10</v>
      </c>
      <c r="J3788" t="str">
        <f>"OP-AR01088"</f>
        <v>OP-AR01088</v>
      </c>
      <c r="K3788" t="str">
        <f>"1038H185-001 SRASR POWER DISTRIUTION UNIT"</f>
        <v>1038H185-001 SRASR POWER DISTRIUTION UNIT</v>
      </c>
      <c r="L3788">
        <v>1</v>
      </c>
      <c r="M3788" t="str">
        <f>"יח"</f>
        <v>יח</v>
      </c>
      <c r="N3788">
        <v>1</v>
      </c>
      <c r="O3788" t="str">
        <f>"יח"</f>
        <v>יח</v>
      </c>
      <c r="P3788" s="2">
        <v>12950</v>
      </c>
      <c r="Q3788" t="str">
        <f>"$"</f>
        <v>$</v>
      </c>
      <c r="R3788" t="str">
        <f>"הזמנה"</f>
        <v>הזמנה</v>
      </c>
      <c r="S3788">
        <v>0</v>
      </c>
      <c r="T3788" s="2">
        <v>12950</v>
      </c>
      <c r="U3788">
        <v>0</v>
      </c>
      <c r="V3788" s="2">
        <v>12950</v>
      </c>
      <c r="W3788" t="str">
        <f>"$"</f>
        <v>$</v>
      </c>
      <c r="X3788">
        <v>0</v>
      </c>
      <c r="Y3788">
        <v>0</v>
      </c>
      <c r="Z3788">
        <v>0</v>
      </c>
      <c r="AA3788" t="str">
        <f>"Y"</f>
        <v>Y</v>
      </c>
      <c r="AB3788" t="str">
        <f>"SO19000424"</f>
        <v>SO19000424</v>
      </c>
      <c r="AC3788">
        <v>2</v>
      </c>
      <c r="AD3788" s="1">
        <v>43731</v>
      </c>
      <c r="AE3788" t="str">
        <f>"SH20000663"</f>
        <v>SH20000663</v>
      </c>
      <c r="AF3788" t="str">
        <f>"משלוחים ללקוח"</f>
        <v>משלוחים ללקוח</v>
      </c>
      <c r="AG3788" s="1">
        <v>43976</v>
      </c>
      <c r="AM3788" t="str">
        <f>"10"</f>
        <v>10</v>
      </c>
      <c r="AN3788" t="str">
        <f>"500000"</f>
        <v>500000</v>
      </c>
      <c r="AO3788" t="str">
        <f>"הכנסות  מלקוחות"</f>
        <v>הכנסות  מלקוחות</v>
      </c>
      <c r="AQ3788" t="str">
        <f>"034"</f>
        <v>034</v>
      </c>
      <c r="AR3788">
        <v>0</v>
      </c>
      <c r="AS3788">
        <v>0</v>
      </c>
      <c r="AT3788">
        <v>3.5150000000000001</v>
      </c>
      <c r="AX3788" t="str">
        <f>"E000296067"</f>
        <v>E000296067</v>
      </c>
      <c r="BD3788" t="str">
        <f>"ערן שלו"</f>
        <v>ערן שלו</v>
      </c>
    </row>
    <row r="3789" spans="1:56" x14ac:dyDescent="0.3">
      <c r="A3789" s="1">
        <v>43978</v>
      </c>
      <c r="B3789" t="str">
        <f>"SI206000484"</f>
        <v>SI206000484</v>
      </c>
      <c r="C3789" t="str">
        <f>"PR19000529"</f>
        <v>PR19000529</v>
      </c>
      <c r="E3789" t="str">
        <f>"Y"</f>
        <v>Y</v>
      </c>
      <c r="F3789" t="str">
        <f>"חשבוניות מרכזות"</f>
        <v>חשבוניות מרכזות</v>
      </c>
      <c r="G3789" t="str">
        <f>"700065"</f>
        <v>700065</v>
      </c>
      <c r="H3789" t="str">
        <f>"אלתא מערכות בע""מ"</f>
        <v>אלתא מערכות בע"מ</v>
      </c>
      <c r="I3789" t="str">
        <f>"10"</f>
        <v>10</v>
      </c>
      <c r="J3789" t="str">
        <f>"PS9900081"</f>
        <v>PS9900081</v>
      </c>
      <c r="K3789" t="str">
        <f>"מטען מצברים 1039V517-001 ירוק"</f>
        <v>מטען מצברים 1039V517-001 ירוק</v>
      </c>
      <c r="L3789">
        <v>4</v>
      </c>
      <c r="M3789" t="str">
        <f>"יח"</f>
        <v>יח</v>
      </c>
      <c r="N3789">
        <v>4</v>
      </c>
      <c r="O3789" t="str">
        <f>"יח"</f>
        <v>יח</v>
      </c>
      <c r="P3789" s="2">
        <v>5500</v>
      </c>
      <c r="Q3789" t="str">
        <f>"$"</f>
        <v>$</v>
      </c>
      <c r="R3789" t="str">
        <f>"הזמנה"</f>
        <v>הזמנה</v>
      </c>
      <c r="S3789">
        <v>0</v>
      </c>
      <c r="T3789" s="2">
        <v>22000</v>
      </c>
      <c r="U3789">
        <v>0</v>
      </c>
      <c r="V3789" s="2">
        <v>22000</v>
      </c>
      <c r="W3789" t="str">
        <f>"$"</f>
        <v>$</v>
      </c>
      <c r="X3789">
        <v>0</v>
      </c>
      <c r="Y3789">
        <v>0</v>
      </c>
      <c r="Z3789">
        <v>0</v>
      </c>
      <c r="AA3789" t="str">
        <f>"Y"</f>
        <v>Y</v>
      </c>
      <c r="AB3789" t="str">
        <f>"SO19000397"</f>
        <v>SO19000397</v>
      </c>
      <c r="AC3789">
        <v>2</v>
      </c>
      <c r="AD3789" s="1">
        <v>43716</v>
      </c>
      <c r="AE3789" t="str">
        <f>"SH20000665"</f>
        <v>SH20000665</v>
      </c>
      <c r="AF3789" t="str">
        <f>"משלוחים ללקוח"</f>
        <v>משלוחים ללקוח</v>
      </c>
      <c r="AG3789" s="1">
        <v>43976</v>
      </c>
      <c r="AM3789" t="str">
        <f>"10"</f>
        <v>10</v>
      </c>
      <c r="AN3789" t="str">
        <f>"500000"</f>
        <v>500000</v>
      </c>
      <c r="AO3789" t="str">
        <f>"הכנסות  מלקוחות"</f>
        <v>הכנסות  מלקוחות</v>
      </c>
      <c r="AQ3789" t="str">
        <f>"034"</f>
        <v>034</v>
      </c>
      <c r="AR3789">
        <v>0</v>
      </c>
      <c r="AS3789">
        <v>0</v>
      </c>
      <c r="AT3789">
        <v>3.5150000000000001</v>
      </c>
      <c r="AX3789" t="str">
        <f>"E000294050"</f>
        <v>E000294050</v>
      </c>
      <c r="BD3789" t="str">
        <f>"ערן שלו"</f>
        <v>ערן שלו</v>
      </c>
    </row>
    <row r="3790" spans="1:56" x14ac:dyDescent="0.3">
      <c r="A3790" s="1">
        <v>43978</v>
      </c>
      <c r="B3790" t="str">
        <f>"SI206000484"</f>
        <v>SI206000484</v>
      </c>
      <c r="C3790" t="str">
        <f>"PR19000529"</f>
        <v>PR19000529</v>
      </c>
      <c r="E3790" t="str">
        <f>"Y"</f>
        <v>Y</v>
      </c>
      <c r="F3790" t="str">
        <f>"חשבוניות מרכזות"</f>
        <v>חשבוניות מרכזות</v>
      </c>
      <c r="G3790" t="str">
        <f>"700065"</f>
        <v>700065</v>
      </c>
      <c r="H3790" t="str">
        <f>"אלתא מערכות בע""מ"</f>
        <v>אלתא מערכות בע"מ</v>
      </c>
      <c r="I3790" t="str">
        <f>"10"</f>
        <v>10</v>
      </c>
      <c r="J3790" t="str">
        <f>"PS9900081"</f>
        <v>PS9900081</v>
      </c>
      <c r="K3790" t="str">
        <f>"מטען מצברים 1039V517-001 ירוק"</f>
        <v>מטען מצברים 1039V517-001 ירוק</v>
      </c>
      <c r="L3790">
        <v>2</v>
      </c>
      <c r="M3790" t="str">
        <f>"יח"</f>
        <v>יח</v>
      </c>
      <c r="N3790">
        <v>2</v>
      </c>
      <c r="O3790" t="str">
        <f>"יח"</f>
        <v>יח</v>
      </c>
      <c r="P3790" s="2">
        <v>5500</v>
      </c>
      <c r="Q3790" t="str">
        <f>"$"</f>
        <v>$</v>
      </c>
      <c r="R3790" t="str">
        <f>"הזמנה"</f>
        <v>הזמנה</v>
      </c>
      <c r="S3790">
        <v>0</v>
      </c>
      <c r="T3790" s="2">
        <v>11000</v>
      </c>
      <c r="U3790">
        <v>0</v>
      </c>
      <c r="V3790" s="2">
        <v>11000</v>
      </c>
      <c r="W3790" t="str">
        <f>"$"</f>
        <v>$</v>
      </c>
      <c r="X3790">
        <v>0</v>
      </c>
      <c r="Y3790">
        <v>0</v>
      </c>
      <c r="Z3790">
        <v>0</v>
      </c>
      <c r="AA3790" t="str">
        <f>"Y"</f>
        <v>Y</v>
      </c>
      <c r="AB3790" t="str">
        <f>"SO19000397"</f>
        <v>SO19000397</v>
      </c>
      <c r="AC3790">
        <v>16</v>
      </c>
      <c r="AD3790" s="1">
        <v>43716</v>
      </c>
      <c r="AE3790" t="str">
        <f>"SH20000665"</f>
        <v>SH20000665</v>
      </c>
      <c r="AF3790" t="str">
        <f>"משלוחים ללקוח"</f>
        <v>משלוחים ללקוח</v>
      </c>
      <c r="AG3790" s="1">
        <v>43976</v>
      </c>
      <c r="AM3790" t="str">
        <f>"10"</f>
        <v>10</v>
      </c>
      <c r="AN3790" t="str">
        <f>"500000"</f>
        <v>500000</v>
      </c>
      <c r="AO3790" t="str">
        <f>"הכנסות  מלקוחות"</f>
        <v>הכנסות  מלקוחות</v>
      </c>
      <c r="AQ3790" t="str">
        <f>"034"</f>
        <v>034</v>
      </c>
      <c r="AR3790">
        <v>0</v>
      </c>
      <c r="AS3790">
        <v>0</v>
      </c>
      <c r="AT3790">
        <v>3.5150000000000001</v>
      </c>
      <c r="AX3790" t="str">
        <f>"E000294050"</f>
        <v>E000294050</v>
      </c>
      <c r="BD3790" t="str">
        <f>"ערן שלו"</f>
        <v>ערן שלו</v>
      </c>
    </row>
    <row r="3791" spans="1:56" x14ac:dyDescent="0.3">
      <c r="A3791" s="1">
        <v>43962</v>
      </c>
      <c r="B3791" t="str">
        <f>"SI206000451"</f>
        <v>SI206000451</v>
      </c>
      <c r="C3791" t="str">
        <f>"PR20000196"</f>
        <v>PR20000196</v>
      </c>
      <c r="D3791" t="str">
        <f>"PR20000196"</f>
        <v>PR20000196</v>
      </c>
      <c r="E3791" t="str">
        <f>"Y"</f>
        <v>Y</v>
      </c>
      <c r="F3791" t="str">
        <f>"חשבוניות מרכזות"</f>
        <v>חשבוניות מרכזות</v>
      </c>
      <c r="G3791" t="str">
        <f>"700065"</f>
        <v>700065</v>
      </c>
      <c r="H3791" t="str">
        <f>"אלתא מערכות בע""מ"</f>
        <v>אלתא מערכות בע"מ</v>
      </c>
      <c r="I3791" t="str">
        <f>"10"</f>
        <v>10</v>
      </c>
      <c r="J3791" t="str">
        <f>"OP-PR00071"</f>
        <v>OP-PR00071</v>
      </c>
      <c r="K3791" t="str">
        <f>"תיקון HVJB"</f>
        <v>תיקון HVJB</v>
      </c>
      <c r="L3791">
        <v>1</v>
      </c>
      <c r="M3791" t="str">
        <f>"יח"</f>
        <v>יח</v>
      </c>
      <c r="N3791">
        <v>1</v>
      </c>
      <c r="O3791" t="str">
        <f>"יח"</f>
        <v>יח</v>
      </c>
      <c r="P3791">
        <v>600</v>
      </c>
      <c r="Q3791" t="str">
        <f>"$"</f>
        <v>$</v>
      </c>
      <c r="R3791" t="str">
        <f>"הזמנה"</f>
        <v>הזמנה</v>
      </c>
      <c r="S3791">
        <v>0</v>
      </c>
      <c r="T3791">
        <v>600</v>
      </c>
      <c r="U3791">
        <v>0</v>
      </c>
      <c r="V3791">
        <v>600</v>
      </c>
      <c r="W3791" t="str">
        <f>"$"</f>
        <v>$</v>
      </c>
      <c r="X3791">
        <v>0</v>
      </c>
      <c r="Y3791">
        <v>0</v>
      </c>
      <c r="Z3791">
        <v>0</v>
      </c>
      <c r="AA3791" t="str">
        <f>"Y"</f>
        <v>Y</v>
      </c>
      <c r="AB3791" t="str">
        <f>"SO20000122"</f>
        <v>SO20000122</v>
      </c>
      <c r="AC3791">
        <v>1</v>
      </c>
      <c r="AD3791" s="1">
        <v>43919</v>
      </c>
      <c r="AE3791" t="str">
        <f>"SH20000566"</f>
        <v>SH20000566</v>
      </c>
      <c r="AF3791" t="str">
        <f>"משלוחים ללקוח"</f>
        <v>משלוחים ללקוח</v>
      </c>
      <c r="AG3791" s="1">
        <v>43957</v>
      </c>
      <c r="AM3791" t="str">
        <f>"10"</f>
        <v>10</v>
      </c>
      <c r="AN3791" t="str">
        <f>"500000"</f>
        <v>500000</v>
      </c>
      <c r="AO3791" t="str">
        <f>"הכנסות  מלקוחות"</f>
        <v>הכנסות  מלקוחות</v>
      </c>
      <c r="AQ3791" t="str">
        <f>"034"</f>
        <v>034</v>
      </c>
      <c r="AR3791">
        <v>0</v>
      </c>
      <c r="AS3791">
        <v>0</v>
      </c>
      <c r="AT3791">
        <v>3.516</v>
      </c>
      <c r="AX3791" t="str">
        <f>"E000308920"</f>
        <v>E000308920</v>
      </c>
      <c r="BD3791" t="str">
        <f>"ערן שלו"</f>
        <v>ערן שלו</v>
      </c>
    </row>
    <row r="3792" spans="1:56" x14ac:dyDescent="0.3">
      <c r="A3792" s="1">
        <v>43962</v>
      </c>
      <c r="B3792" t="str">
        <f>"SI206000451"</f>
        <v>SI206000451</v>
      </c>
      <c r="C3792" t="str">
        <f>"PR20000196"</f>
        <v>PR20000196</v>
      </c>
      <c r="D3792" t="str">
        <f>"PR20000196"</f>
        <v>PR20000196</v>
      </c>
      <c r="E3792" t="str">
        <f>"Y"</f>
        <v>Y</v>
      </c>
      <c r="F3792" t="str">
        <f>"חשבוניות מרכזות"</f>
        <v>חשבוניות מרכזות</v>
      </c>
      <c r="G3792" t="str">
        <f>"700065"</f>
        <v>700065</v>
      </c>
      <c r="H3792" t="str">
        <f>"אלתא מערכות בע""מ"</f>
        <v>אלתא מערכות בע"מ</v>
      </c>
      <c r="I3792" t="str">
        <f>"10"</f>
        <v>10</v>
      </c>
      <c r="J3792" t="str">
        <f>"OP-PR00071"</f>
        <v>OP-PR00071</v>
      </c>
      <c r="K3792" t="str">
        <f>"תיקון HVJB"</f>
        <v>תיקון HVJB</v>
      </c>
      <c r="L3792">
        <v>1</v>
      </c>
      <c r="M3792" t="str">
        <f>"יח"</f>
        <v>יח</v>
      </c>
      <c r="N3792">
        <v>1</v>
      </c>
      <c r="O3792" t="str">
        <f>"יח"</f>
        <v>יח</v>
      </c>
      <c r="P3792">
        <v>600</v>
      </c>
      <c r="Q3792" t="str">
        <f>"$"</f>
        <v>$</v>
      </c>
      <c r="R3792" t="str">
        <f>"הזמנה"</f>
        <v>הזמנה</v>
      </c>
      <c r="S3792">
        <v>0</v>
      </c>
      <c r="T3792">
        <v>600</v>
      </c>
      <c r="U3792">
        <v>0</v>
      </c>
      <c r="V3792">
        <v>600</v>
      </c>
      <c r="W3792" t="str">
        <f>"$"</f>
        <v>$</v>
      </c>
      <c r="X3792">
        <v>0</v>
      </c>
      <c r="Y3792">
        <v>0</v>
      </c>
      <c r="Z3792">
        <v>0</v>
      </c>
      <c r="AA3792" t="str">
        <f>"Y"</f>
        <v>Y</v>
      </c>
      <c r="AB3792" t="str">
        <f>"SO20000122"</f>
        <v>SO20000122</v>
      </c>
      <c r="AC3792">
        <v>2</v>
      </c>
      <c r="AD3792" s="1">
        <v>43919</v>
      </c>
      <c r="AE3792" t="str">
        <f>"SH20000566"</f>
        <v>SH20000566</v>
      </c>
      <c r="AF3792" t="str">
        <f>"משלוחים ללקוח"</f>
        <v>משלוחים ללקוח</v>
      </c>
      <c r="AG3792" s="1">
        <v>43957</v>
      </c>
      <c r="AM3792" t="str">
        <f>"10"</f>
        <v>10</v>
      </c>
      <c r="AN3792" t="str">
        <f>"500000"</f>
        <v>500000</v>
      </c>
      <c r="AO3792" t="str">
        <f>"הכנסות  מלקוחות"</f>
        <v>הכנסות  מלקוחות</v>
      </c>
      <c r="AQ3792" t="str">
        <f>"034"</f>
        <v>034</v>
      </c>
      <c r="AR3792">
        <v>0</v>
      </c>
      <c r="AS3792">
        <v>0</v>
      </c>
      <c r="AT3792">
        <v>3.516</v>
      </c>
      <c r="AX3792" t="str">
        <f>"E000308920"</f>
        <v>E000308920</v>
      </c>
      <c r="BD3792" t="str">
        <f>"ערן שלו"</f>
        <v>ערן שלו</v>
      </c>
    </row>
    <row r="3793" spans="1:56" x14ac:dyDescent="0.3">
      <c r="A3793" s="1">
        <v>43962</v>
      </c>
      <c r="B3793" t="str">
        <f>"SI206000451"</f>
        <v>SI206000451</v>
      </c>
      <c r="C3793" t="str">
        <f>"PR20000196"</f>
        <v>PR20000196</v>
      </c>
      <c r="D3793" t="str">
        <f>"PR20000196"</f>
        <v>PR20000196</v>
      </c>
      <c r="E3793" t="str">
        <f>"Y"</f>
        <v>Y</v>
      </c>
      <c r="F3793" t="str">
        <f>"חשבוניות מרכזות"</f>
        <v>חשבוניות מרכזות</v>
      </c>
      <c r="G3793" t="str">
        <f>"700065"</f>
        <v>700065</v>
      </c>
      <c r="H3793" t="str">
        <f>"אלתא מערכות בע""מ"</f>
        <v>אלתא מערכות בע"מ</v>
      </c>
      <c r="I3793" t="str">
        <f>"10"</f>
        <v>10</v>
      </c>
      <c r="J3793" t="str">
        <f>"OP-PR00071"</f>
        <v>OP-PR00071</v>
      </c>
      <c r="K3793" t="str">
        <f>"תיקון HVJB"</f>
        <v>תיקון HVJB</v>
      </c>
      <c r="L3793">
        <v>1</v>
      </c>
      <c r="M3793" t="str">
        <f>"יח"</f>
        <v>יח</v>
      </c>
      <c r="N3793">
        <v>1</v>
      </c>
      <c r="O3793" t="str">
        <f>"יח"</f>
        <v>יח</v>
      </c>
      <c r="P3793">
        <v>600</v>
      </c>
      <c r="Q3793" t="str">
        <f>"$"</f>
        <v>$</v>
      </c>
      <c r="R3793" t="str">
        <f>"הזמנה"</f>
        <v>הזמנה</v>
      </c>
      <c r="S3793">
        <v>0</v>
      </c>
      <c r="T3793">
        <v>600</v>
      </c>
      <c r="U3793">
        <v>0</v>
      </c>
      <c r="V3793">
        <v>600</v>
      </c>
      <c r="W3793" t="str">
        <f>"$"</f>
        <v>$</v>
      </c>
      <c r="X3793">
        <v>0</v>
      </c>
      <c r="Y3793">
        <v>0</v>
      </c>
      <c r="Z3793">
        <v>0</v>
      </c>
      <c r="AA3793" t="str">
        <f>"Y"</f>
        <v>Y</v>
      </c>
      <c r="AB3793" t="str">
        <f>"SO20000122"</f>
        <v>SO20000122</v>
      </c>
      <c r="AC3793">
        <v>3</v>
      </c>
      <c r="AD3793" s="1">
        <v>43919</v>
      </c>
      <c r="AE3793" t="str">
        <f>"SH20000566"</f>
        <v>SH20000566</v>
      </c>
      <c r="AF3793" t="str">
        <f>"משלוחים ללקוח"</f>
        <v>משלוחים ללקוח</v>
      </c>
      <c r="AG3793" s="1">
        <v>43957</v>
      </c>
      <c r="AM3793" t="str">
        <f>"10"</f>
        <v>10</v>
      </c>
      <c r="AN3793" t="str">
        <f>"500000"</f>
        <v>500000</v>
      </c>
      <c r="AO3793" t="str">
        <f>"הכנסות  מלקוחות"</f>
        <v>הכנסות  מלקוחות</v>
      </c>
      <c r="AQ3793" t="str">
        <f>"034"</f>
        <v>034</v>
      </c>
      <c r="AR3793">
        <v>0</v>
      </c>
      <c r="AS3793">
        <v>0</v>
      </c>
      <c r="AT3793">
        <v>3.516</v>
      </c>
      <c r="AX3793" t="str">
        <f>"E000308920"</f>
        <v>E000308920</v>
      </c>
      <c r="BD3793" t="str">
        <f>"ערן שלו"</f>
        <v>ערן שלו</v>
      </c>
    </row>
    <row r="3794" spans="1:56" x14ac:dyDescent="0.3">
      <c r="A3794" s="1">
        <v>43962</v>
      </c>
      <c r="B3794" t="str">
        <f>"SI206000450"</f>
        <v>SI206000450</v>
      </c>
      <c r="C3794" t="str">
        <f>"PR19000750"</f>
        <v>PR19000750</v>
      </c>
      <c r="D3794" t="str">
        <f>"PR19000750"</f>
        <v>PR19000750</v>
      </c>
      <c r="E3794" t="str">
        <f>"Y"</f>
        <v>Y</v>
      </c>
      <c r="F3794" t="str">
        <f>"חשבוניות מרכזות"</f>
        <v>חשבוניות מרכזות</v>
      </c>
      <c r="G3794" t="str">
        <f>"700065"</f>
        <v>700065</v>
      </c>
      <c r="H3794" t="str">
        <f>"אלתא מערכות בע""מ"</f>
        <v>אלתא מערכות בע"מ</v>
      </c>
      <c r="I3794" t="str">
        <f>"10"</f>
        <v>10</v>
      </c>
      <c r="J3794" t="str">
        <f>"ZV0280064"</f>
        <v>ZV0280064</v>
      </c>
      <c r="K3794" t="str">
        <f>"DRILLING JIG FOR PDB  12/13"</f>
        <v>DRILLING JIG FOR PDB  12/13</v>
      </c>
      <c r="L3794">
        <v>1</v>
      </c>
      <c r="M3794" t="str">
        <f>"יח"</f>
        <v>יח</v>
      </c>
      <c r="N3794">
        <v>1</v>
      </c>
      <c r="O3794" t="str">
        <f>"יח"</f>
        <v>יח</v>
      </c>
      <c r="P3794" s="2">
        <v>2464</v>
      </c>
      <c r="Q3794" t="str">
        <f>"$"</f>
        <v>$</v>
      </c>
      <c r="R3794" t="str">
        <f>"הזמנה"</f>
        <v>הזמנה</v>
      </c>
      <c r="S3794">
        <v>0</v>
      </c>
      <c r="T3794" s="2">
        <v>2464</v>
      </c>
      <c r="U3794">
        <v>0</v>
      </c>
      <c r="V3794" s="2">
        <v>2464</v>
      </c>
      <c r="W3794" t="str">
        <f>"$"</f>
        <v>$</v>
      </c>
      <c r="X3794">
        <v>0</v>
      </c>
      <c r="Y3794">
        <v>0</v>
      </c>
      <c r="Z3794">
        <v>0</v>
      </c>
      <c r="AA3794" t="str">
        <f>"Y"</f>
        <v>Y</v>
      </c>
      <c r="AB3794" t="str">
        <f>"SO19000535"</f>
        <v>SO19000535</v>
      </c>
      <c r="AC3794">
        <v>2</v>
      </c>
      <c r="AD3794" s="1">
        <v>43823</v>
      </c>
      <c r="AE3794" t="str">
        <f>"SH20000564"</f>
        <v>SH20000564</v>
      </c>
      <c r="AF3794" t="str">
        <f>"משלוחים ללקוח"</f>
        <v>משלוחים ללקוח</v>
      </c>
      <c r="AG3794" s="1">
        <v>43957</v>
      </c>
      <c r="AM3794" t="str">
        <f>"10"</f>
        <v>10</v>
      </c>
      <c r="AN3794" t="str">
        <f>"500000"</f>
        <v>500000</v>
      </c>
      <c r="AO3794" t="str">
        <f>"הכנסות  מלקוחות"</f>
        <v>הכנסות  מלקוחות</v>
      </c>
      <c r="AQ3794" t="str">
        <f>"034"</f>
        <v>034</v>
      </c>
      <c r="AR3794">
        <v>0</v>
      </c>
      <c r="AS3794">
        <v>0</v>
      </c>
      <c r="AT3794">
        <v>3.516</v>
      </c>
      <c r="AX3794" t="str">
        <f>"E000303378"</f>
        <v>E000303378</v>
      </c>
      <c r="BD3794" t="str">
        <f>"ערן שלו"</f>
        <v>ערן שלו</v>
      </c>
    </row>
    <row r="3795" spans="1:56" x14ac:dyDescent="0.3">
      <c r="A3795" s="1">
        <v>43962</v>
      </c>
      <c r="B3795" t="str">
        <f>"SI206000449"</f>
        <v>SI206000449</v>
      </c>
      <c r="C3795" t="str">
        <f>"PR19000107"</f>
        <v>PR19000107</v>
      </c>
      <c r="E3795" t="str">
        <f>"Y"</f>
        <v>Y</v>
      </c>
      <c r="F3795" t="str">
        <f>"חשבוניות מרכזות"</f>
        <v>חשבוניות מרכזות</v>
      </c>
      <c r="G3795" t="str">
        <f>"700065"</f>
        <v>700065</v>
      </c>
      <c r="H3795" t="str">
        <f>"אלתא מערכות בע""מ"</f>
        <v>אלתא מערכות בע"מ</v>
      </c>
      <c r="I3795" t="str">
        <f>"05"</f>
        <v>05</v>
      </c>
      <c r="J3795" t="str">
        <f>"OP-PD02879"</f>
        <v>OP-PD02879</v>
      </c>
      <c r="K3795" t="str">
        <f>"POWER DISTRIBUTION BOARD 12 AND 13"</f>
        <v>POWER DISTRIBUTION BOARD 12 AND 13</v>
      </c>
      <c r="L3795">
        <v>1</v>
      </c>
      <c r="M3795" t="str">
        <f>"יח"</f>
        <v>יח</v>
      </c>
      <c r="N3795">
        <v>1</v>
      </c>
      <c r="O3795" t="str">
        <f>"יח"</f>
        <v>יח</v>
      </c>
      <c r="P3795" s="2">
        <v>36250</v>
      </c>
      <c r="Q3795" t="str">
        <f>"$"</f>
        <v>$</v>
      </c>
      <c r="R3795" t="str">
        <f>"הזמנה"</f>
        <v>הזמנה</v>
      </c>
      <c r="S3795">
        <v>0</v>
      </c>
      <c r="T3795" s="2">
        <v>36250</v>
      </c>
      <c r="U3795">
        <v>0</v>
      </c>
      <c r="V3795" s="2">
        <v>36250</v>
      </c>
      <c r="W3795" t="str">
        <f>"$"</f>
        <v>$</v>
      </c>
      <c r="X3795">
        <v>0</v>
      </c>
      <c r="Y3795">
        <v>0</v>
      </c>
      <c r="Z3795">
        <v>0</v>
      </c>
      <c r="AA3795" t="str">
        <f>"Y"</f>
        <v>Y</v>
      </c>
      <c r="AB3795" t="str">
        <f>"SO19000156"</f>
        <v>SO19000156</v>
      </c>
      <c r="AC3795">
        <v>1</v>
      </c>
      <c r="AD3795" s="1">
        <v>43562</v>
      </c>
      <c r="AE3795" t="str">
        <f>"SH20000558"</f>
        <v>SH20000558</v>
      </c>
      <c r="AF3795" t="str">
        <f>"משלוחים ללקוח"</f>
        <v>משלוחים ללקוח</v>
      </c>
      <c r="AG3795" s="1">
        <v>43957</v>
      </c>
      <c r="AM3795" t="str">
        <f>"10"</f>
        <v>10</v>
      </c>
      <c r="AN3795" t="str">
        <f>"500000"</f>
        <v>500000</v>
      </c>
      <c r="AO3795" t="str">
        <f>"הכנסות  מלקוחות"</f>
        <v>הכנסות  מלקוחות</v>
      </c>
      <c r="AQ3795" t="str">
        <f>"034"</f>
        <v>034</v>
      </c>
      <c r="AR3795">
        <v>0</v>
      </c>
      <c r="AS3795">
        <v>0</v>
      </c>
      <c r="AT3795">
        <v>3.516</v>
      </c>
      <c r="AX3795" t="str">
        <f>"E000270896"</f>
        <v>E000270896</v>
      </c>
      <c r="BD3795" t="str">
        <f>"ערן שלו"</f>
        <v>ערן שלו</v>
      </c>
    </row>
    <row r="3796" spans="1:56" x14ac:dyDescent="0.3">
      <c r="A3796" s="1">
        <v>43962</v>
      </c>
      <c r="B3796" t="str">
        <f>"SI206000448"</f>
        <v>SI206000448</v>
      </c>
      <c r="C3796" t="str">
        <f>"PR18000543"</f>
        <v>PR18000543</v>
      </c>
      <c r="D3796" t="str">
        <f>"PR18000543"</f>
        <v>PR18000543</v>
      </c>
      <c r="E3796" t="str">
        <f>"Y"</f>
        <v>Y</v>
      </c>
      <c r="F3796" t="str">
        <f>"חשבוניות מרכזות"</f>
        <v>חשבוניות מרכזות</v>
      </c>
      <c r="G3796" t="str">
        <f>"700065"</f>
        <v>700065</v>
      </c>
      <c r="H3796" t="str">
        <f>"אלתא מערכות בע""מ"</f>
        <v>אלתא מערכות בע"מ</v>
      </c>
      <c r="I3796" t="str">
        <f>"10"</f>
        <v>10</v>
      </c>
      <c r="J3796" t="str">
        <f>"OP-AR01083"</f>
        <v>OP-AR01083</v>
      </c>
      <c r="K3796" t="str">
        <f>"1036C960-001 HVJB_N"</f>
        <v>1036C960-001 HVJB_N</v>
      </c>
      <c r="L3796">
        <v>1</v>
      </c>
      <c r="M3796" t="str">
        <f>"יח"</f>
        <v>יח</v>
      </c>
      <c r="N3796">
        <v>1</v>
      </c>
      <c r="O3796" t="str">
        <f>"יח"</f>
        <v>יח</v>
      </c>
      <c r="P3796" s="2">
        <v>6500</v>
      </c>
      <c r="Q3796" t="str">
        <f>"$"</f>
        <v>$</v>
      </c>
      <c r="R3796" t="str">
        <f>"הזמנה"</f>
        <v>הזמנה</v>
      </c>
      <c r="S3796">
        <v>0</v>
      </c>
      <c r="T3796" s="2">
        <v>6500</v>
      </c>
      <c r="U3796">
        <v>0</v>
      </c>
      <c r="V3796" s="2">
        <v>6500</v>
      </c>
      <c r="W3796" t="str">
        <f>"$"</f>
        <v>$</v>
      </c>
      <c r="X3796">
        <v>0</v>
      </c>
      <c r="Y3796">
        <v>0</v>
      </c>
      <c r="Z3796">
        <v>0</v>
      </c>
      <c r="AA3796" t="str">
        <f>"Y"</f>
        <v>Y</v>
      </c>
      <c r="AB3796" t="str">
        <f>"SO18000429"</f>
        <v>SO18000429</v>
      </c>
      <c r="AC3796">
        <v>9</v>
      </c>
      <c r="AD3796" s="1">
        <v>43311</v>
      </c>
      <c r="AE3796" t="str">
        <f>"SH20000562"</f>
        <v>SH20000562</v>
      </c>
      <c r="AF3796" t="str">
        <f>"משלוחים ללקוח"</f>
        <v>משלוחים ללקוח</v>
      </c>
      <c r="AG3796" s="1">
        <v>43957</v>
      </c>
      <c r="AM3796" t="str">
        <f>"10"</f>
        <v>10</v>
      </c>
      <c r="AN3796" t="str">
        <f>"500000"</f>
        <v>500000</v>
      </c>
      <c r="AO3796" t="str">
        <f>"הכנסות  מלקוחות"</f>
        <v>הכנסות  מלקוחות</v>
      </c>
      <c r="AQ3796" t="str">
        <f>"007"</f>
        <v>007</v>
      </c>
      <c r="AR3796">
        <v>0</v>
      </c>
      <c r="AS3796">
        <v>0</v>
      </c>
      <c r="AT3796">
        <v>3.516</v>
      </c>
      <c r="AX3796" t="str">
        <f>"E000266439"</f>
        <v>E000266439</v>
      </c>
      <c r="BD3796" t="str">
        <f>"רוני דידי"</f>
        <v>רוני דידי</v>
      </c>
    </row>
    <row r="3797" spans="1:56" x14ac:dyDescent="0.3">
      <c r="A3797" s="1">
        <v>43962</v>
      </c>
      <c r="B3797" t="str">
        <f>"SI206000448"</f>
        <v>SI206000448</v>
      </c>
      <c r="C3797" t="str">
        <f>"PR18000543"</f>
        <v>PR18000543</v>
      </c>
      <c r="D3797" t="str">
        <f>"PR18000543"</f>
        <v>PR18000543</v>
      </c>
      <c r="E3797" t="str">
        <f>"Y"</f>
        <v>Y</v>
      </c>
      <c r="F3797" t="str">
        <f>"חשבוניות מרכזות"</f>
        <v>חשבוניות מרכזות</v>
      </c>
      <c r="G3797" t="str">
        <f>"700065"</f>
        <v>700065</v>
      </c>
      <c r="H3797" t="str">
        <f>"אלתא מערכות בע""מ"</f>
        <v>אלתא מערכות בע"מ</v>
      </c>
      <c r="I3797" t="str">
        <f>"10"</f>
        <v>10</v>
      </c>
      <c r="J3797" t="str">
        <f>"OP-AR01083"</f>
        <v>OP-AR01083</v>
      </c>
      <c r="K3797" t="str">
        <f>"1036C960-001 HVJB_N"</f>
        <v>1036C960-001 HVJB_N</v>
      </c>
      <c r="L3797">
        <v>3</v>
      </c>
      <c r="M3797" t="str">
        <f>"יח"</f>
        <v>יח</v>
      </c>
      <c r="N3797">
        <v>3</v>
      </c>
      <c r="O3797" t="str">
        <f>"יח"</f>
        <v>יח</v>
      </c>
      <c r="P3797" s="2">
        <v>6500</v>
      </c>
      <c r="Q3797" t="str">
        <f>"$"</f>
        <v>$</v>
      </c>
      <c r="R3797" t="str">
        <f>"הזמנה"</f>
        <v>הזמנה</v>
      </c>
      <c r="S3797">
        <v>0</v>
      </c>
      <c r="T3797" s="2">
        <v>19500</v>
      </c>
      <c r="U3797">
        <v>0</v>
      </c>
      <c r="V3797" s="2">
        <v>19500</v>
      </c>
      <c r="W3797" t="str">
        <f>"$"</f>
        <v>$</v>
      </c>
      <c r="X3797">
        <v>0</v>
      </c>
      <c r="Y3797">
        <v>0</v>
      </c>
      <c r="Z3797">
        <v>0</v>
      </c>
      <c r="AA3797" t="str">
        <f>"Y"</f>
        <v>Y</v>
      </c>
      <c r="AB3797" t="str">
        <f>"SO18000429"</f>
        <v>SO18000429</v>
      </c>
      <c r="AC3797">
        <v>10</v>
      </c>
      <c r="AD3797" s="1">
        <v>43311</v>
      </c>
      <c r="AE3797" t="str">
        <f>"SH20000562"</f>
        <v>SH20000562</v>
      </c>
      <c r="AF3797" t="str">
        <f>"משלוחים ללקוח"</f>
        <v>משלוחים ללקוח</v>
      </c>
      <c r="AG3797" s="1">
        <v>43957</v>
      </c>
      <c r="AM3797" t="str">
        <f>"10"</f>
        <v>10</v>
      </c>
      <c r="AN3797" t="str">
        <f>"500000"</f>
        <v>500000</v>
      </c>
      <c r="AO3797" t="str">
        <f>"הכנסות  מלקוחות"</f>
        <v>הכנסות  מלקוחות</v>
      </c>
      <c r="AQ3797" t="str">
        <f>"007"</f>
        <v>007</v>
      </c>
      <c r="AR3797">
        <v>0</v>
      </c>
      <c r="AS3797">
        <v>0</v>
      </c>
      <c r="AT3797">
        <v>3.516</v>
      </c>
      <c r="AX3797" t="str">
        <f>"E000266439"</f>
        <v>E000266439</v>
      </c>
      <c r="BD3797" t="str">
        <f>"רוני דידי"</f>
        <v>רוני דידי</v>
      </c>
    </row>
    <row r="3798" spans="1:56" x14ac:dyDescent="0.3">
      <c r="A3798" s="1">
        <v>43962</v>
      </c>
      <c r="B3798" t="str">
        <f>"SI206000447"</f>
        <v>SI206000447</v>
      </c>
      <c r="C3798" t="str">
        <f>"PR19000397"</f>
        <v>PR19000397</v>
      </c>
      <c r="E3798" t="str">
        <f>"Y"</f>
        <v>Y</v>
      </c>
      <c r="F3798" t="str">
        <f>"חשבוניות מרכזות"</f>
        <v>חשבוניות מרכזות</v>
      </c>
      <c r="G3798" t="str">
        <f>"700065"</f>
        <v>700065</v>
      </c>
      <c r="H3798" t="str">
        <f>"אלתא מערכות בע""מ"</f>
        <v>אלתא מערכות בע"מ</v>
      </c>
      <c r="I3798" t="str">
        <f>"10"</f>
        <v>10</v>
      </c>
      <c r="J3798" t="str">
        <f>"OP-AR01301"</f>
        <v>OP-AR01301</v>
      </c>
      <c r="K3798" t="str">
        <f>"חטיבת  1038L452-001 CU"</f>
        <v>חטיבת  1038L452-001 CU</v>
      </c>
      <c r="L3798">
        <v>1</v>
      </c>
      <c r="M3798" t="str">
        <f>"יח"</f>
        <v>יח</v>
      </c>
      <c r="N3798">
        <v>1</v>
      </c>
      <c r="O3798" t="str">
        <f>"יח"</f>
        <v>יח</v>
      </c>
      <c r="P3798" s="2">
        <v>222300</v>
      </c>
      <c r="Q3798" t="str">
        <f>"$"</f>
        <v>$</v>
      </c>
      <c r="R3798" t="str">
        <f>"הזמנה"</f>
        <v>הזמנה</v>
      </c>
      <c r="S3798">
        <v>0</v>
      </c>
      <c r="T3798" s="2">
        <v>222300</v>
      </c>
      <c r="U3798">
        <v>0</v>
      </c>
      <c r="V3798" s="2">
        <v>222300</v>
      </c>
      <c r="W3798" t="str">
        <f>"$"</f>
        <v>$</v>
      </c>
      <c r="X3798">
        <v>0</v>
      </c>
      <c r="Y3798">
        <v>0</v>
      </c>
      <c r="Z3798">
        <v>0</v>
      </c>
      <c r="AA3798" t="str">
        <f>"Y"</f>
        <v>Y</v>
      </c>
      <c r="AB3798" t="str">
        <f>"SO19000305"</f>
        <v>SO19000305</v>
      </c>
      <c r="AC3798">
        <v>7</v>
      </c>
      <c r="AD3798" s="1">
        <v>43657</v>
      </c>
      <c r="AE3798" t="str">
        <f>"SH20000560"</f>
        <v>SH20000560</v>
      </c>
      <c r="AF3798" t="str">
        <f>"משלוחים ללקוח"</f>
        <v>משלוחים ללקוח</v>
      </c>
      <c r="AG3798" s="1">
        <v>43957</v>
      </c>
      <c r="AM3798" t="str">
        <f>"10"</f>
        <v>10</v>
      </c>
      <c r="AN3798" t="str">
        <f>"500000"</f>
        <v>500000</v>
      </c>
      <c r="AO3798" t="str">
        <f>"הכנסות  מלקוחות"</f>
        <v>הכנסות  מלקוחות</v>
      </c>
      <c r="AQ3798" t="str">
        <f>"034"</f>
        <v>034</v>
      </c>
      <c r="AR3798">
        <v>0</v>
      </c>
      <c r="AS3798">
        <v>0</v>
      </c>
      <c r="AT3798">
        <v>3.516</v>
      </c>
      <c r="AX3798" t="str">
        <f>"E000290708"</f>
        <v>E000290708</v>
      </c>
      <c r="BD3798" t="str">
        <f>"ערן שלו"</f>
        <v>ערן שלו</v>
      </c>
    </row>
    <row r="3799" spans="1:56" x14ac:dyDescent="0.3">
      <c r="A3799" s="1">
        <v>43962</v>
      </c>
      <c r="B3799" t="str">
        <f>"SI206000446"</f>
        <v>SI206000446</v>
      </c>
      <c r="C3799" t="str">
        <f>"PR19000527"</f>
        <v>PR19000527</v>
      </c>
      <c r="E3799" t="str">
        <f>"Y"</f>
        <v>Y</v>
      </c>
      <c r="F3799" t="str">
        <f>"חשבוניות מרכזות"</f>
        <v>חשבוניות מרכזות</v>
      </c>
      <c r="G3799" t="str">
        <f>"700065"</f>
        <v>700065</v>
      </c>
      <c r="H3799" t="str">
        <f>"אלתא מערכות בע""מ"</f>
        <v>אלתא מערכות בע"מ</v>
      </c>
      <c r="I3799" t="str">
        <f>"10"</f>
        <v>10</v>
      </c>
      <c r="J3799" t="str">
        <f>"OP-AR09107-1"</f>
        <v>OP-AR09107-1</v>
      </c>
      <c r="K3799" t="str">
        <f>"לוח AUX BOX מק""ט לקוח 1036V320 001"</f>
        <v>לוח AUX BOX מק"ט לקוח 1036V320 001</v>
      </c>
      <c r="L3799">
        <v>1</v>
      </c>
      <c r="M3799" t="str">
        <f>"יח"</f>
        <v>יח</v>
      </c>
      <c r="N3799">
        <v>1</v>
      </c>
      <c r="O3799" t="str">
        <f>"יח"</f>
        <v>יח</v>
      </c>
      <c r="P3799" s="2">
        <v>27792</v>
      </c>
      <c r="Q3799" t="str">
        <f>"$"</f>
        <v>$</v>
      </c>
      <c r="R3799" t="str">
        <f>"הזמנה"</f>
        <v>הזמנה</v>
      </c>
      <c r="S3799">
        <v>0</v>
      </c>
      <c r="T3799" s="2">
        <v>27792</v>
      </c>
      <c r="U3799">
        <v>0</v>
      </c>
      <c r="V3799" s="2">
        <v>27792</v>
      </c>
      <c r="W3799" t="str">
        <f>"$"</f>
        <v>$</v>
      </c>
      <c r="X3799">
        <v>0</v>
      </c>
      <c r="Y3799">
        <v>0</v>
      </c>
      <c r="Z3799">
        <v>0</v>
      </c>
      <c r="AA3799" t="str">
        <f>"Y"</f>
        <v>Y</v>
      </c>
      <c r="AB3799" t="str">
        <f>"SO19000397"</f>
        <v>SO19000397</v>
      </c>
      <c r="AC3799">
        <v>12</v>
      </c>
      <c r="AD3799" s="1">
        <v>43716</v>
      </c>
      <c r="AE3799" t="str">
        <f>"SH20000563"</f>
        <v>SH20000563</v>
      </c>
      <c r="AF3799" t="str">
        <f>"משלוחים ללקוח"</f>
        <v>משלוחים ללקוח</v>
      </c>
      <c r="AG3799" s="1">
        <v>43957</v>
      </c>
      <c r="AM3799" t="str">
        <f>"10"</f>
        <v>10</v>
      </c>
      <c r="AN3799" t="str">
        <f>"500000"</f>
        <v>500000</v>
      </c>
      <c r="AO3799" t="str">
        <f>"הכנסות  מלקוחות"</f>
        <v>הכנסות  מלקוחות</v>
      </c>
      <c r="AQ3799" t="str">
        <f>"034"</f>
        <v>034</v>
      </c>
      <c r="AR3799">
        <v>0</v>
      </c>
      <c r="AS3799">
        <v>0</v>
      </c>
      <c r="AT3799">
        <v>3.516</v>
      </c>
      <c r="AX3799" t="str">
        <f>"E000294050"</f>
        <v>E000294050</v>
      </c>
      <c r="BD3799" t="str">
        <f>"ערן שלו"</f>
        <v>ערן שלו</v>
      </c>
    </row>
    <row r="3800" spans="1:56" x14ac:dyDescent="0.3">
      <c r="A3800" s="1">
        <v>43962</v>
      </c>
      <c r="B3800" t="str">
        <f>"SI206000445"</f>
        <v>SI206000445</v>
      </c>
      <c r="C3800" t="str">
        <f>"PR19000400"</f>
        <v>PR19000400</v>
      </c>
      <c r="E3800" t="str">
        <f>"Y"</f>
        <v>Y</v>
      </c>
      <c r="F3800" t="str">
        <f>"חשבוניות מרכזות"</f>
        <v>חשבוניות מרכזות</v>
      </c>
      <c r="G3800" t="str">
        <f>"700065"</f>
        <v>700065</v>
      </c>
      <c r="H3800" t="str">
        <f>"אלתא מערכות בע""מ"</f>
        <v>אלתא מערכות בע"מ</v>
      </c>
      <c r="I3800" t="str">
        <f>"10"</f>
        <v>10</v>
      </c>
      <c r="J3800" t="str">
        <f>"ZV0280057"</f>
        <v>ZV0280057</v>
      </c>
      <c r="K3800" t="str">
        <f>"DRILLING JIG FOR PDB 6/7"</f>
        <v>DRILLING JIG FOR PDB 6/7</v>
      </c>
      <c r="L3800">
        <v>1</v>
      </c>
      <c r="M3800" t="str">
        <f>"יח"</f>
        <v>יח</v>
      </c>
      <c r="N3800">
        <v>1</v>
      </c>
      <c r="O3800" t="str">
        <f>"יח"</f>
        <v>יח</v>
      </c>
      <c r="P3800" s="2">
        <v>2464.5</v>
      </c>
      <c r="Q3800" t="str">
        <f>"$"</f>
        <v>$</v>
      </c>
      <c r="R3800" t="str">
        <f>"הזמנה"</f>
        <v>הזמנה</v>
      </c>
      <c r="S3800">
        <v>0</v>
      </c>
      <c r="T3800" s="2">
        <v>2464.5</v>
      </c>
      <c r="U3800">
        <v>0</v>
      </c>
      <c r="V3800" s="2">
        <v>2464.5</v>
      </c>
      <c r="W3800" t="str">
        <f>"$"</f>
        <v>$</v>
      </c>
      <c r="X3800">
        <v>0</v>
      </c>
      <c r="Y3800">
        <v>0</v>
      </c>
      <c r="Z3800">
        <v>0</v>
      </c>
      <c r="AA3800" t="str">
        <f>"Y"</f>
        <v>Y</v>
      </c>
      <c r="AB3800" t="str">
        <f>"SO20000012"</f>
        <v>SO20000012</v>
      </c>
      <c r="AC3800">
        <v>15</v>
      </c>
      <c r="AD3800" s="1">
        <v>43837</v>
      </c>
      <c r="AE3800" t="str">
        <f>"SH20000557"</f>
        <v>SH20000557</v>
      </c>
      <c r="AF3800" t="str">
        <f>"משלוחים ללקוח"</f>
        <v>משלוחים ללקוח</v>
      </c>
      <c r="AG3800" s="1">
        <v>43957</v>
      </c>
      <c r="AM3800" t="str">
        <f>"10"</f>
        <v>10</v>
      </c>
      <c r="AN3800" t="str">
        <f>"500000"</f>
        <v>500000</v>
      </c>
      <c r="AO3800" t="str">
        <f>"הכנסות  מלקוחות"</f>
        <v>הכנסות  מלקוחות</v>
      </c>
      <c r="AQ3800" t="str">
        <f>"034"</f>
        <v>034</v>
      </c>
      <c r="AR3800">
        <v>0</v>
      </c>
      <c r="AS3800">
        <v>0</v>
      </c>
      <c r="AT3800">
        <v>3.516</v>
      </c>
      <c r="AX3800" t="str">
        <f>"E000301089"</f>
        <v>E000301089</v>
      </c>
      <c r="BD3800" t="str">
        <f>"ערן שלו"</f>
        <v>ערן שלו</v>
      </c>
    </row>
    <row r="3801" spans="1:56" x14ac:dyDescent="0.3">
      <c r="A3801" s="1">
        <v>43962</v>
      </c>
      <c r="B3801" t="str">
        <f>"SI206000445"</f>
        <v>SI206000445</v>
      </c>
      <c r="C3801" t="str">
        <f>"PR19000400"</f>
        <v>PR19000400</v>
      </c>
      <c r="E3801" t="str">
        <f>"Y"</f>
        <v>Y</v>
      </c>
      <c r="F3801" t="str">
        <f>"חשבוניות מרכזות"</f>
        <v>חשבוניות מרכזות</v>
      </c>
      <c r="G3801" t="str">
        <f>"700065"</f>
        <v>700065</v>
      </c>
      <c r="H3801" t="str">
        <f>"אלתא מערכות בע""מ"</f>
        <v>אלתא מערכות בע"מ</v>
      </c>
      <c r="I3801" t="str">
        <f>"10"</f>
        <v>10</v>
      </c>
      <c r="J3801" t="str">
        <f>"ZV0280056"</f>
        <v>ZV0280056</v>
      </c>
      <c r="K3801" t="str">
        <f>"DRILLING JIG FOR PDB 9"</f>
        <v>DRILLING JIG FOR PDB 9</v>
      </c>
      <c r="L3801">
        <v>1</v>
      </c>
      <c r="M3801" t="str">
        <f>"יח"</f>
        <v>יח</v>
      </c>
      <c r="N3801">
        <v>1</v>
      </c>
      <c r="O3801" t="str">
        <f>"יח"</f>
        <v>יח</v>
      </c>
      <c r="P3801" s="2">
        <v>2464.5</v>
      </c>
      <c r="Q3801" t="str">
        <f>"$"</f>
        <v>$</v>
      </c>
      <c r="R3801" t="str">
        <f>"הזמנה"</f>
        <v>הזמנה</v>
      </c>
      <c r="S3801">
        <v>0</v>
      </c>
      <c r="T3801" s="2">
        <v>2464.5</v>
      </c>
      <c r="U3801">
        <v>0</v>
      </c>
      <c r="V3801" s="2">
        <v>2464.5</v>
      </c>
      <c r="W3801" t="str">
        <f>"$"</f>
        <v>$</v>
      </c>
      <c r="X3801">
        <v>0</v>
      </c>
      <c r="Y3801">
        <v>0</v>
      </c>
      <c r="Z3801">
        <v>0</v>
      </c>
      <c r="AA3801" t="str">
        <f>"Y"</f>
        <v>Y</v>
      </c>
      <c r="AB3801" t="str">
        <f>"SO20000012"</f>
        <v>SO20000012</v>
      </c>
      <c r="AC3801">
        <v>16</v>
      </c>
      <c r="AD3801" s="1">
        <v>43837</v>
      </c>
      <c r="AE3801" t="str">
        <f>"SH20000557"</f>
        <v>SH20000557</v>
      </c>
      <c r="AF3801" t="str">
        <f>"משלוחים ללקוח"</f>
        <v>משלוחים ללקוח</v>
      </c>
      <c r="AG3801" s="1">
        <v>43957</v>
      </c>
      <c r="AM3801" t="str">
        <f>"10"</f>
        <v>10</v>
      </c>
      <c r="AN3801" t="str">
        <f>"500000"</f>
        <v>500000</v>
      </c>
      <c r="AO3801" t="str">
        <f>"הכנסות  מלקוחות"</f>
        <v>הכנסות  מלקוחות</v>
      </c>
      <c r="AQ3801" t="str">
        <f>"034"</f>
        <v>034</v>
      </c>
      <c r="AR3801">
        <v>0</v>
      </c>
      <c r="AS3801">
        <v>0</v>
      </c>
      <c r="AT3801">
        <v>3.516</v>
      </c>
      <c r="AX3801" t="str">
        <f>"E000301089"</f>
        <v>E000301089</v>
      </c>
      <c r="BD3801" t="str">
        <f>"ערן שלו"</f>
        <v>ערן שלו</v>
      </c>
    </row>
    <row r="3802" spans="1:56" x14ac:dyDescent="0.3">
      <c r="A3802" s="1">
        <v>43962</v>
      </c>
      <c r="B3802" t="str">
        <f>"SI206000445"</f>
        <v>SI206000445</v>
      </c>
      <c r="C3802" t="str">
        <f>"PR19000400"</f>
        <v>PR19000400</v>
      </c>
      <c r="E3802" t="str">
        <f>"Y"</f>
        <v>Y</v>
      </c>
      <c r="F3802" t="str">
        <f>"חשבוניות מרכזות"</f>
        <v>חשבוניות מרכזות</v>
      </c>
      <c r="G3802" t="str">
        <f>"700065"</f>
        <v>700065</v>
      </c>
      <c r="H3802" t="str">
        <f>"אלתא מערכות בע""מ"</f>
        <v>אלתא מערכות בע"מ</v>
      </c>
      <c r="I3802" t="str">
        <f>"10"</f>
        <v>10</v>
      </c>
      <c r="J3802" t="str">
        <f>"ZV0280058"</f>
        <v>ZV0280058</v>
      </c>
      <c r="K3802" t="str">
        <f>"DRILLING JIG FOR TRANSFORMER 70KVA"</f>
        <v>DRILLING JIG FOR TRANSFORMER 70KVA</v>
      </c>
      <c r="L3802">
        <v>1</v>
      </c>
      <c r="M3802" t="str">
        <f>"יח"</f>
        <v>יח</v>
      </c>
      <c r="N3802">
        <v>1</v>
      </c>
      <c r="O3802" t="str">
        <f>"יח"</f>
        <v>יח</v>
      </c>
      <c r="P3802" s="2">
        <v>2464.5</v>
      </c>
      <c r="Q3802" t="str">
        <f>"$"</f>
        <v>$</v>
      </c>
      <c r="R3802" t="str">
        <f>"הזמנה"</f>
        <v>הזמנה</v>
      </c>
      <c r="S3802">
        <v>0</v>
      </c>
      <c r="T3802" s="2">
        <v>2464.5</v>
      </c>
      <c r="U3802">
        <v>0</v>
      </c>
      <c r="V3802" s="2">
        <v>2464.5</v>
      </c>
      <c r="W3802" t="str">
        <f>"$"</f>
        <v>$</v>
      </c>
      <c r="X3802">
        <v>0</v>
      </c>
      <c r="Y3802">
        <v>0</v>
      </c>
      <c r="Z3802">
        <v>0</v>
      </c>
      <c r="AA3802" t="str">
        <f>"Y"</f>
        <v>Y</v>
      </c>
      <c r="AB3802" t="str">
        <f>"SO20000012"</f>
        <v>SO20000012</v>
      </c>
      <c r="AC3802">
        <v>17</v>
      </c>
      <c r="AD3802" s="1">
        <v>43837</v>
      </c>
      <c r="AE3802" t="str">
        <f>"SH20000557"</f>
        <v>SH20000557</v>
      </c>
      <c r="AF3802" t="str">
        <f>"משלוחים ללקוח"</f>
        <v>משלוחים ללקוח</v>
      </c>
      <c r="AG3802" s="1">
        <v>43957</v>
      </c>
      <c r="AM3802" t="str">
        <f>"10"</f>
        <v>10</v>
      </c>
      <c r="AN3802" t="str">
        <f>"500000"</f>
        <v>500000</v>
      </c>
      <c r="AO3802" t="str">
        <f>"הכנסות  מלקוחות"</f>
        <v>הכנסות  מלקוחות</v>
      </c>
      <c r="AQ3802" t="str">
        <f>"034"</f>
        <v>034</v>
      </c>
      <c r="AR3802">
        <v>0</v>
      </c>
      <c r="AS3802">
        <v>0</v>
      </c>
      <c r="AT3802">
        <v>3.516</v>
      </c>
      <c r="AX3802" t="str">
        <f>"E000301089"</f>
        <v>E000301089</v>
      </c>
      <c r="BD3802" t="str">
        <f>"ערן שלו"</f>
        <v>ערן שלו</v>
      </c>
    </row>
    <row r="3803" spans="1:56" x14ac:dyDescent="0.3">
      <c r="A3803" s="1">
        <v>43962</v>
      </c>
      <c r="B3803" t="str">
        <f>"SI206000445"</f>
        <v>SI206000445</v>
      </c>
      <c r="C3803" t="str">
        <f>"PR19000400"</f>
        <v>PR19000400</v>
      </c>
      <c r="E3803" t="str">
        <f>"Y"</f>
        <v>Y</v>
      </c>
      <c r="F3803" t="str">
        <f>"חשבוניות מרכזות"</f>
        <v>חשבוניות מרכזות</v>
      </c>
      <c r="G3803" t="str">
        <f>"700065"</f>
        <v>700065</v>
      </c>
      <c r="H3803" t="str">
        <f>"אלתא מערכות בע""מ"</f>
        <v>אלתא מערכות בע"מ</v>
      </c>
      <c r="I3803" t="str">
        <f>"10"</f>
        <v>10</v>
      </c>
      <c r="J3803" t="str">
        <f>"ZV0280059"</f>
        <v>ZV0280059</v>
      </c>
      <c r="K3803" t="str">
        <f>"DRILLING JIG FOR TRANSFORMER 200KVA"</f>
        <v>DRILLING JIG FOR TRANSFORMER 200KVA</v>
      </c>
      <c r="L3803">
        <v>1</v>
      </c>
      <c r="M3803" t="str">
        <f>"יח"</f>
        <v>יח</v>
      </c>
      <c r="N3803">
        <v>1</v>
      </c>
      <c r="O3803" t="str">
        <f>"יח"</f>
        <v>יח</v>
      </c>
      <c r="P3803" s="2">
        <v>2464.5</v>
      </c>
      <c r="Q3803" t="str">
        <f>"$"</f>
        <v>$</v>
      </c>
      <c r="R3803" t="str">
        <f>"הזמנה"</f>
        <v>הזמנה</v>
      </c>
      <c r="S3803">
        <v>0</v>
      </c>
      <c r="T3803" s="2">
        <v>2464.5</v>
      </c>
      <c r="U3803">
        <v>0</v>
      </c>
      <c r="V3803" s="2">
        <v>2464.5</v>
      </c>
      <c r="W3803" t="str">
        <f>"$"</f>
        <v>$</v>
      </c>
      <c r="X3803">
        <v>0</v>
      </c>
      <c r="Y3803">
        <v>0</v>
      </c>
      <c r="Z3803">
        <v>0</v>
      </c>
      <c r="AA3803" t="str">
        <f>"Y"</f>
        <v>Y</v>
      </c>
      <c r="AB3803" t="str">
        <f>"SO20000012"</f>
        <v>SO20000012</v>
      </c>
      <c r="AC3803">
        <v>18</v>
      </c>
      <c r="AD3803" s="1">
        <v>43837</v>
      </c>
      <c r="AE3803" t="str">
        <f>"SH20000557"</f>
        <v>SH20000557</v>
      </c>
      <c r="AF3803" t="str">
        <f>"משלוחים ללקוח"</f>
        <v>משלוחים ללקוח</v>
      </c>
      <c r="AG3803" s="1">
        <v>43957</v>
      </c>
      <c r="AM3803" t="str">
        <f>"10"</f>
        <v>10</v>
      </c>
      <c r="AN3803" t="str">
        <f>"500000"</f>
        <v>500000</v>
      </c>
      <c r="AO3803" t="str">
        <f>"הכנסות  מלקוחות"</f>
        <v>הכנסות  מלקוחות</v>
      </c>
      <c r="AQ3803" t="str">
        <f>"034"</f>
        <v>034</v>
      </c>
      <c r="AR3803">
        <v>0</v>
      </c>
      <c r="AS3803">
        <v>0</v>
      </c>
      <c r="AT3803">
        <v>3.516</v>
      </c>
      <c r="AX3803" t="str">
        <f>"E000301089"</f>
        <v>E000301089</v>
      </c>
      <c r="BD3803" t="str">
        <f>"ערן שלו"</f>
        <v>ערן שלו</v>
      </c>
    </row>
    <row r="3804" spans="1:56" x14ac:dyDescent="0.3">
      <c r="A3804" s="1">
        <v>43962</v>
      </c>
      <c r="B3804" t="str">
        <f>"SI206000444"</f>
        <v>SI206000444</v>
      </c>
      <c r="C3804" t="str">
        <f>"PR19000371"</f>
        <v>PR19000371</v>
      </c>
      <c r="E3804" t="str">
        <f>"Y"</f>
        <v>Y</v>
      </c>
      <c r="F3804" t="str">
        <f>"חשבוניות מרכזות"</f>
        <v>חשבוניות מרכזות</v>
      </c>
      <c r="G3804" t="str">
        <f>"700065"</f>
        <v>700065</v>
      </c>
      <c r="H3804" t="str">
        <f>"אלתא מערכות בע""מ"</f>
        <v>אלתא מערכות בע"מ</v>
      </c>
      <c r="I3804" t="str">
        <f>"10"</f>
        <v>10</v>
      </c>
      <c r="J3804" t="str">
        <f>"OP-AR01583"</f>
        <v>OP-AR01583</v>
      </c>
      <c r="K3804" t="str">
        <f>"9004W743-001 HARNESS WS103 RP-P3"</f>
        <v>9004W743-001 HARNESS WS103 RP-P3</v>
      </c>
      <c r="L3804">
        <v>3</v>
      </c>
      <c r="M3804" t="str">
        <f>"יח"</f>
        <v>יח</v>
      </c>
      <c r="N3804">
        <v>3</v>
      </c>
      <c r="O3804" t="str">
        <f>"יח"</f>
        <v>יח</v>
      </c>
      <c r="P3804" s="2">
        <v>1343.47</v>
      </c>
      <c r="Q3804" t="str">
        <f>"$"</f>
        <v>$</v>
      </c>
      <c r="R3804" t="str">
        <f>"הזמנה"</f>
        <v>הזמנה</v>
      </c>
      <c r="S3804">
        <v>0</v>
      </c>
      <c r="T3804" s="2">
        <v>4030.41</v>
      </c>
      <c r="U3804">
        <v>0</v>
      </c>
      <c r="V3804" s="2">
        <v>4030.41</v>
      </c>
      <c r="W3804" t="str">
        <f>"$"</f>
        <v>$</v>
      </c>
      <c r="X3804">
        <v>0</v>
      </c>
      <c r="Y3804">
        <v>0</v>
      </c>
      <c r="Z3804">
        <v>0</v>
      </c>
      <c r="AA3804" t="str">
        <f>"Y"</f>
        <v>Y</v>
      </c>
      <c r="AB3804" t="str">
        <f>"SO19000524"</f>
        <v>SO19000524</v>
      </c>
      <c r="AC3804">
        <v>1</v>
      </c>
      <c r="AD3804" s="1">
        <v>43809</v>
      </c>
      <c r="AE3804" t="str">
        <f>"SH20000569"</f>
        <v>SH20000569</v>
      </c>
      <c r="AF3804" t="str">
        <f>"משלוחים ללקוח"</f>
        <v>משלוחים ללקוח</v>
      </c>
      <c r="AG3804" s="1">
        <v>43958</v>
      </c>
      <c r="AM3804" t="str">
        <f>"10"</f>
        <v>10</v>
      </c>
      <c r="AN3804" t="str">
        <f>"500000"</f>
        <v>500000</v>
      </c>
      <c r="AO3804" t="str">
        <f>"הכנסות  מלקוחות"</f>
        <v>הכנסות  מלקוחות</v>
      </c>
      <c r="AQ3804" t="str">
        <f>"034"</f>
        <v>034</v>
      </c>
      <c r="AR3804">
        <v>0</v>
      </c>
      <c r="AS3804">
        <v>0</v>
      </c>
      <c r="AT3804">
        <v>3.516</v>
      </c>
      <c r="AX3804" t="str">
        <f>"E000300228"</f>
        <v>E000300228</v>
      </c>
      <c r="BD3804" t="str">
        <f>"ערן שלו"</f>
        <v>ערן שלו</v>
      </c>
    </row>
    <row r="3805" spans="1:56" x14ac:dyDescent="0.3">
      <c r="A3805" s="1">
        <v>43962</v>
      </c>
      <c r="B3805" t="str">
        <f>"SI206000444"</f>
        <v>SI206000444</v>
      </c>
      <c r="C3805" t="str">
        <f>"PR19000371"</f>
        <v>PR19000371</v>
      </c>
      <c r="E3805" t="str">
        <f>"Y"</f>
        <v>Y</v>
      </c>
      <c r="F3805" t="str">
        <f>"חשבוניות מרכזות"</f>
        <v>חשבוניות מרכזות</v>
      </c>
      <c r="G3805" t="str">
        <f>"700065"</f>
        <v>700065</v>
      </c>
      <c r="H3805" t="str">
        <f>"אלתא מערכות בע""מ"</f>
        <v>אלתא מערכות בע"מ</v>
      </c>
      <c r="I3805" t="str">
        <f>"10"</f>
        <v>10</v>
      </c>
      <c r="J3805" t="str">
        <f>"OP-AR01584"</f>
        <v>OP-AR01584</v>
      </c>
      <c r="K3805" t="str">
        <f>"9004W744-001 HARNESS WS104 RP TO TX"</f>
        <v>9004W744-001 HARNESS WS104 RP TO TX</v>
      </c>
      <c r="L3805">
        <v>3</v>
      </c>
      <c r="M3805" t="str">
        <f>"יח"</f>
        <v>יח</v>
      </c>
      <c r="N3805">
        <v>3</v>
      </c>
      <c r="O3805" t="str">
        <f>"יח"</f>
        <v>יח</v>
      </c>
      <c r="P3805">
        <v>438.4</v>
      </c>
      <c r="Q3805" t="str">
        <f>"$"</f>
        <v>$</v>
      </c>
      <c r="R3805" t="str">
        <f>"הזמנה"</f>
        <v>הזמנה</v>
      </c>
      <c r="S3805">
        <v>0</v>
      </c>
      <c r="T3805" s="2">
        <v>1315.2</v>
      </c>
      <c r="U3805">
        <v>0</v>
      </c>
      <c r="V3805" s="2">
        <v>1315.2</v>
      </c>
      <c r="W3805" t="str">
        <f>"$"</f>
        <v>$</v>
      </c>
      <c r="X3805">
        <v>0</v>
      </c>
      <c r="Y3805">
        <v>0</v>
      </c>
      <c r="Z3805">
        <v>0</v>
      </c>
      <c r="AA3805" t="str">
        <f>"Y"</f>
        <v>Y</v>
      </c>
      <c r="AB3805" t="str">
        <f>"SO19000524"</f>
        <v>SO19000524</v>
      </c>
      <c r="AC3805">
        <v>4</v>
      </c>
      <c r="AD3805" s="1">
        <v>43809</v>
      </c>
      <c r="AE3805" t="str">
        <f>"SH20000569"</f>
        <v>SH20000569</v>
      </c>
      <c r="AF3805" t="str">
        <f>"משלוחים ללקוח"</f>
        <v>משלוחים ללקוח</v>
      </c>
      <c r="AG3805" s="1">
        <v>43958</v>
      </c>
      <c r="AM3805" t="str">
        <f>"10"</f>
        <v>10</v>
      </c>
      <c r="AN3805" t="str">
        <f>"500000"</f>
        <v>500000</v>
      </c>
      <c r="AO3805" t="str">
        <f>"הכנסות  מלקוחות"</f>
        <v>הכנסות  מלקוחות</v>
      </c>
      <c r="AQ3805" t="str">
        <f>"034"</f>
        <v>034</v>
      </c>
      <c r="AR3805">
        <v>0</v>
      </c>
      <c r="AS3805">
        <v>0</v>
      </c>
      <c r="AT3805">
        <v>3.516</v>
      </c>
      <c r="AX3805" t="str">
        <f>"E000300228"</f>
        <v>E000300228</v>
      </c>
      <c r="BD3805" t="str">
        <f>"ערן שלו"</f>
        <v>ערן שלו</v>
      </c>
    </row>
    <row r="3806" spans="1:56" x14ac:dyDescent="0.3">
      <c r="A3806" s="1">
        <v>43962</v>
      </c>
      <c r="B3806" t="str">
        <f>"SI206000444"</f>
        <v>SI206000444</v>
      </c>
      <c r="C3806" t="str">
        <f>"PR19000371"</f>
        <v>PR19000371</v>
      </c>
      <c r="E3806" t="str">
        <f>"Y"</f>
        <v>Y</v>
      </c>
      <c r="F3806" t="str">
        <f>"חשבוניות מרכזות"</f>
        <v>חשבוניות מרכזות</v>
      </c>
      <c r="G3806" t="str">
        <f>"700065"</f>
        <v>700065</v>
      </c>
      <c r="H3806" t="str">
        <f>"אלתא מערכות בע""מ"</f>
        <v>אלתא מערכות בע"מ</v>
      </c>
      <c r="I3806" t="str">
        <f>"10"</f>
        <v>10</v>
      </c>
      <c r="J3806" t="str">
        <f>"OP-AR01587"</f>
        <v>OP-AR01587</v>
      </c>
      <c r="K3806" t="str">
        <f>"9004W747-001 HARNESS WS107 ANT MOT DRV"</f>
        <v>9004W747-001 HARNESS WS107 ANT MOT DRV</v>
      </c>
      <c r="L3806">
        <v>3</v>
      </c>
      <c r="M3806" t="str">
        <f>"יח"</f>
        <v>יח</v>
      </c>
      <c r="N3806">
        <v>3</v>
      </c>
      <c r="O3806" t="str">
        <f>"יח"</f>
        <v>יח</v>
      </c>
      <c r="P3806">
        <v>658.16</v>
      </c>
      <c r="Q3806" t="str">
        <f>"$"</f>
        <v>$</v>
      </c>
      <c r="R3806" t="str">
        <f>"הזמנה"</f>
        <v>הזמנה</v>
      </c>
      <c r="S3806">
        <v>0</v>
      </c>
      <c r="T3806" s="2">
        <v>1974.48</v>
      </c>
      <c r="U3806">
        <v>0</v>
      </c>
      <c r="V3806" s="2">
        <v>1974.48</v>
      </c>
      <c r="W3806" t="str">
        <f>"$"</f>
        <v>$</v>
      </c>
      <c r="X3806">
        <v>0</v>
      </c>
      <c r="Y3806">
        <v>0</v>
      </c>
      <c r="Z3806">
        <v>0</v>
      </c>
      <c r="AA3806" t="str">
        <f>"Y"</f>
        <v>Y</v>
      </c>
      <c r="AB3806" t="str">
        <f>"SO19000524"</f>
        <v>SO19000524</v>
      </c>
      <c r="AC3806">
        <v>10</v>
      </c>
      <c r="AD3806" s="1">
        <v>43809</v>
      </c>
      <c r="AE3806" t="str">
        <f>"SH20000569"</f>
        <v>SH20000569</v>
      </c>
      <c r="AF3806" t="str">
        <f>"משלוחים ללקוח"</f>
        <v>משלוחים ללקוח</v>
      </c>
      <c r="AG3806" s="1">
        <v>43958</v>
      </c>
      <c r="AM3806" t="str">
        <f>"10"</f>
        <v>10</v>
      </c>
      <c r="AN3806" t="str">
        <f>"500000"</f>
        <v>500000</v>
      </c>
      <c r="AO3806" t="str">
        <f>"הכנסות  מלקוחות"</f>
        <v>הכנסות  מלקוחות</v>
      </c>
      <c r="AQ3806" t="str">
        <f>"034"</f>
        <v>034</v>
      </c>
      <c r="AR3806">
        <v>0</v>
      </c>
      <c r="AS3806">
        <v>0</v>
      </c>
      <c r="AT3806">
        <v>3.516</v>
      </c>
      <c r="AX3806" t="str">
        <f>"E000300228"</f>
        <v>E000300228</v>
      </c>
      <c r="BD3806" t="str">
        <f>"ערן שלו"</f>
        <v>ערן שלו</v>
      </c>
    </row>
    <row r="3807" spans="1:56" x14ac:dyDescent="0.3">
      <c r="A3807" s="1">
        <v>43962</v>
      </c>
      <c r="B3807" t="str">
        <f>"SI206000444"</f>
        <v>SI206000444</v>
      </c>
      <c r="C3807" t="str">
        <f>"PR19000371"</f>
        <v>PR19000371</v>
      </c>
      <c r="E3807" t="str">
        <f>"Y"</f>
        <v>Y</v>
      </c>
      <c r="F3807" t="str">
        <f>"חשבוניות מרכזות"</f>
        <v>חשבוניות מרכזות</v>
      </c>
      <c r="G3807" t="str">
        <f>"700065"</f>
        <v>700065</v>
      </c>
      <c r="H3807" t="str">
        <f>"אלתא מערכות בע""מ"</f>
        <v>אלתא מערכות בע"מ</v>
      </c>
      <c r="I3807" t="str">
        <f>"10"</f>
        <v>10</v>
      </c>
      <c r="J3807" t="str">
        <f>"OP-AR01589"</f>
        <v>OP-AR01589</v>
      </c>
      <c r="K3807" t="str">
        <f>"9004W750-001 HARNESS WS121 NCDR"</f>
        <v>9004W750-001 HARNESS WS121 NCDR</v>
      </c>
      <c r="L3807">
        <v>3</v>
      </c>
      <c r="M3807" t="str">
        <f>"יח"</f>
        <v>יח</v>
      </c>
      <c r="N3807">
        <v>3</v>
      </c>
      <c r="O3807" t="str">
        <f>"יח"</f>
        <v>יח</v>
      </c>
      <c r="P3807">
        <v>547.15</v>
      </c>
      <c r="Q3807" t="str">
        <f>"$"</f>
        <v>$</v>
      </c>
      <c r="R3807" t="str">
        <f>"הזמנה"</f>
        <v>הזמנה</v>
      </c>
      <c r="S3807">
        <v>0</v>
      </c>
      <c r="T3807" s="2">
        <v>1641.45</v>
      </c>
      <c r="U3807">
        <v>0</v>
      </c>
      <c r="V3807" s="2">
        <v>1641.45</v>
      </c>
      <c r="W3807" t="str">
        <f>"$"</f>
        <v>$</v>
      </c>
      <c r="X3807">
        <v>0</v>
      </c>
      <c r="Y3807">
        <v>0</v>
      </c>
      <c r="Z3807">
        <v>0</v>
      </c>
      <c r="AA3807" t="str">
        <f>"Y"</f>
        <v>Y</v>
      </c>
      <c r="AB3807" t="str">
        <f>"SO19000524"</f>
        <v>SO19000524</v>
      </c>
      <c r="AC3807">
        <v>17</v>
      </c>
      <c r="AD3807" s="1">
        <v>43809</v>
      </c>
      <c r="AE3807" t="str">
        <f>"SH20000569"</f>
        <v>SH20000569</v>
      </c>
      <c r="AF3807" t="str">
        <f>"משלוחים ללקוח"</f>
        <v>משלוחים ללקוח</v>
      </c>
      <c r="AG3807" s="1">
        <v>43958</v>
      </c>
      <c r="AM3807" t="str">
        <f>"10"</f>
        <v>10</v>
      </c>
      <c r="AN3807" t="str">
        <f>"500000"</f>
        <v>500000</v>
      </c>
      <c r="AO3807" t="str">
        <f>"הכנסות  מלקוחות"</f>
        <v>הכנסות  מלקוחות</v>
      </c>
      <c r="AQ3807" t="str">
        <f>"034"</f>
        <v>034</v>
      </c>
      <c r="AR3807">
        <v>0</v>
      </c>
      <c r="AS3807">
        <v>0</v>
      </c>
      <c r="AT3807">
        <v>3.516</v>
      </c>
      <c r="AX3807" t="str">
        <f>"E000300228"</f>
        <v>E000300228</v>
      </c>
      <c r="BD3807" t="str">
        <f>"ערן שלו"</f>
        <v>ערן שלו</v>
      </c>
    </row>
    <row r="3808" spans="1:56" x14ac:dyDescent="0.3">
      <c r="A3808" s="1">
        <v>43962</v>
      </c>
      <c r="B3808" t="str">
        <f>"SI206000444"</f>
        <v>SI206000444</v>
      </c>
      <c r="C3808" t="str">
        <f>"PR19000371"</f>
        <v>PR19000371</v>
      </c>
      <c r="E3808" t="str">
        <f>"Y"</f>
        <v>Y</v>
      </c>
      <c r="F3808" t="str">
        <f>"חשבוניות מרכזות"</f>
        <v>חשבוניות מרכזות</v>
      </c>
      <c r="G3808" t="str">
        <f>"700065"</f>
        <v>700065</v>
      </c>
      <c r="H3808" t="str">
        <f>"אלתא מערכות בע""מ"</f>
        <v>אלתא מערכות בע"מ</v>
      </c>
      <c r="I3808" t="str">
        <f>"10"</f>
        <v>10</v>
      </c>
      <c r="J3808" t="str">
        <f>"OP-AR01591"</f>
        <v>OP-AR01591</v>
      </c>
      <c r="K3808" t="str">
        <f>"9004W754-001 HARNESS WS194 RCP PWR IN"</f>
        <v>9004W754-001 HARNESS WS194 RCP PWR IN</v>
      </c>
      <c r="L3808">
        <v>3</v>
      </c>
      <c r="M3808" t="str">
        <f>"יח"</f>
        <v>יח</v>
      </c>
      <c r="N3808">
        <v>3</v>
      </c>
      <c r="O3808" t="str">
        <f>"יח"</f>
        <v>יח</v>
      </c>
      <c r="P3808">
        <v>134.51</v>
      </c>
      <c r="Q3808" t="str">
        <f>"$"</f>
        <v>$</v>
      </c>
      <c r="R3808" t="str">
        <f>"הזמנה"</f>
        <v>הזמנה</v>
      </c>
      <c r="S3808">
        <v>0</v>
      </c>
      <c r="T3808">
        <v>403.53</v>
      </c>
      <c r="U3808">
        <v>0</v>
      </c>
      <c r="V3808">
        <v>403.53</v>
      </c>
      <c r="W3808" t="str">
        <f>"$"</f>
        <v>$</v>
      </c>
      <c r="X3808">
        <v>0</v>
      </c>
      <c r="Y3808">
        <v>0</v>
      </c>
      <c r="Z3808">
        <v>0</v>
      </c>
      <c r="AA3808" t="str">
        <f>"Y"</f>
        <v>Y</v>
      </c>
      <c r="AB3808" t="str">
        <f>"SO19000524"</f>
        <v>SO19000524</v>
      </c>
      <c r="AC3808">
        <v>19</v>
      </c>
      <c r="AD3808" s="1">
        <v>43809</v>
      </c>
      <c r="AE3808" t="str">
        <f>"SH20000569"</f>
        <v>SH20000569</v>
      </c>
      <c r="AF3808" t="str">
        <f>"משלוחים ללקוח"</f>
        <v>משלוחים ללקוח</v>
      </c>
      <c r="AG3808" s="1">
        <v>43958</v>
      </c>
      <c r="AM3808" t="str">
        <f>"10"</f>
        <v>10</v>
      </c>
      <c r="AN3808" t="str">
        <f>"500000"</f>
        <v>500000</v>
      </c>
      <c r="AO3808" t="str">
        <f>"הכנסות  מלקוחות"</f>
        <v>הכנסות  מלקוחות</v>
      </c>
      <c r="AQ3808" t="str">
        <f>"034"</f>
        <v>034</v>
      </c>
      <c r="AR3808">
        <v>0</v>
      </c>
      <c r="AS3808">
        <v>0</v>
      </c>
      <c r="AT3808">
        <v>3.516</v>
      </c>
      <c r="AX3808" t="str">
        <f>"E000300228"</f>
        <v>E000300228</v>
      </c>
      <c r="BD3808" t="str">
        <f>"ערן שלו"</f>
        <v>ערן שלו</v>
      </c>
    </row>
    <row r="3809" spans="1:56" x14ac:dyDescent="0.3">
      <c r="A3809" s="1">
        <v>43948</v>
      </c>
      <c r="B3809" t="str">
        <f>"SI206000452"</f>
        <v>SI206000452</v>
      </c>
      <c r="C3809" t="str">
        <f>"PR19000109"</f>
        <v>PR19000109</v>
      </c>
      <c r="D3809" t="str">
        <f>"PR19000109"</f>
        <v>PR19000109</v>
      </c>
      <c r="E3809" t="str">
        <f>"Y"</f>
        <v>Y</v>
      </c>
      <c r="F3809" t="str">
        <f>"חשבוניות מרכזות"</f>
        <v>חשבוניות מרכזות</v>
      </c>
      <c r="G3809" t="str">
        <f>"700065"</f>
        <v>700065</v>
      </c>
      <c r="H3809" t="str">
        <f>"אלתא מערכות בע""מ"</f>
        <v>אלתא מערכות בע"מ</v>
      </c>
      <c r="I3809" t="str">
        <f>"10"</f>
        <v>10</v>
      </c>
      <c r="J3809" t="str">
        <f>"000"</f>
        <v>000</v>
      </c>
      <c r="K3809" t="str">
        <f>"בדיקת EMC לארון PDB09"</f>
        <v>בדיקת EMC לארון PDB09</v>
      </c>
      <c r="L3809">
        <v>1</v>
      </c>
      <c r="M3809" t="str">
        <f>"יח"</f>
        <v>יח</v>
      </c>
      <c r="N3809">
        <v>1</v>
      </c>
      <c r="O3809" t="str">
        <f>"יח"</f>
        <v>יח</v>
      </c>
      <c r="P3809" s="2">
        <v>23500</v>
      </c>
      <c r="Q3809" t="str">
        <f>"$"</f>
        <v>$</v>
      </c>
      <c r="R3809" t="str">
        <f>"הזמנה"</f>
        <v>הזמנה</v>
      </c>
      <c r="S3809">
        <v>0</v>
      </c>
      <c r="T3809" s="2">
        <v>23500</v>
      </c>
      <c r="U3809">
        <v>0</v>
      </c>
      <c r="V3809" s="2">
        <v>23500</v>
      </c>
      <c r="W3809" t="str">
        <f>"$"</f>
        <v>$</v>
      </c>
      <c r="X3809">
        <v>0</v>
      </c>
      <c r="Y3809">
        <v>0</v>
      </c>
      <c r="Z3809">
        <v>0</v>
      </c>
      <c r="AA3809" t="str">
        <f>"Y"</f>
        <v>Y</v>
      </c>
      <c r="AB3809" t="str">
        <f>"SO20000058"</f>
        <v>SO20000058</v>
      </c>
      <c r="AC3809">
        <v>1</v>
      </c>
      <c r="AD3809" s="1">
        <v>43866</v>
      </c>
      <c r="AE3809" t="str">
        <f>"SH20000510"</f>
        <v>SH20000510</v>
      </c>
      <c r="AF3809" t="str">
        <f>"משלוחים ללקוח"</f>
        <v>משלוחים ללקוח</v>
      </c>
      <c r="AG3809" s="1">
        <v>43950</v>
      </c>
      <c r="AM3809" t="str">
        <f>"10"</f>
        <v>10</v>
      </c>
      <c r="AN3809" t="str">
        <f>"500000"</f>
        <v>500000</v>
      </c>
      <c r="AO3809" t="str">
        <f>"הכנסות  מלקוחות"</f>
        <v>הכנסות  מלקוחות</v>
      </c>
      <c r="AQ3809" t="str">
        <f>"034"</f>
        <v>034</v>
      </c>
      <c r="AR3809">
        <v>0</v>
      </c>
      <c r="AS3809">
        <v>0</v>
      </c>
      <c r="AT3809">
        <v>3.5150000000000001</v>
      </c>
      <c r="AX3809" t="str">
        <f>"E000304265"</f>
        <v>E000304265</v>
      </c>
      <c r="BD3809" t="str">
        <f>"ערן שלו"</f>
        <v>ערן שלו</v>
      </c>
    </row>
    <row r="3810" spans="1:56" x14ac:dyDescent="0.3">
      <c r="A3810" s="1">
        <v>43948</v>
      </c>
      <c r="B3810" t="str">
        <f>"SI206000452"</f>
        <v>SI206000452</v>
      </c>
      <c r="C3810" t="str">
        <f>"PR19000109"</f>
        <v>PR19000109</v>
      </c>
      <c r="D3810" t="str">
        <f>"PR19000109"</f>
        <v>PR19000109</v>
      </c>
      <c r="E3810" t="str">
        <f>"Y"</f>
        <v>Y</v>
      </c>
      <c r="F3810" t="str">
        <f>"חשבוניות מרכזות"</f>
        <v>חשבוניות מרכזות</v>
      </c>
      <c r="G3810" t="str">
        <f>"700065"</f>
        <v>700065</v>
      </c>
      <c r="H3810" t="str">
        <f>"אלתא מערכות בע""מ"</f>
        <v>אלתא מערכות בע"מ</v>
      </c>
      <c r="I3810" t="str">
        <f>"10"</f>
        <v>10</v>
      </c>
      <c r="J3810" t="str">
        <f>"000"</f>
        <v>000</v>
      </c>
      <c r="K3810" t="str">
        <f>"הקמת מערך בדיקת במעבדת חרמון"</f>
        <v>הקמת מערך בדיקת במעבדת חרמון</v>
      </c>
      <c r="L3810">
        <v>1</v>
      </c>
      <c r="M3810" t="str">
        <f>"יח"</f>
        <v>יח</v>
      </c>
      <c r="N3810">
        <v>1</v>
      </c>
      <c r="O3810" t="str">
        <f>"יח"</f>
        <v>יח</v>
      </c>
      <c r="P3810" s="2">
        <v>6600</v>
      </c>
      <c r="Q3810" t="str">
        <f>"$"</f>
        <v>$</v>
      </c>
      <c r="R3810" t="str">
        <f>"הזמנה"</f>
        <v>הזמנה</v>
      </c>
      <c r="S3810">
        <v>0</v>
      </c>
      <c r="T3810" s="2">
        <v>6600</v>
      </c>
      <c r="U3810">
        <v>0</v>
      </c>
      <c r="V3810" s="2">
        <v>6600</v>
      </c>
      <c r="W3810" t="str">
        <f>"$"</f>
        <v>$</v>
      </c>
      <c r="X3810">
        <v>0</v>
      </c>
      <c r="Y3810">
        <v>0</v>
      </c>
      <c r="Z3810">
        <v>0</v>
      </c>
      <c r="AA3810" t="str">
        <f>"Y"</f>
        <v>Y</v>
      </c>
      <c r="AB3810" t="str">
        <f>"SO20000058"</f>
        <v>SO20000058</v>
      </c>
      <c r="AC3810">
        <v>2</v>
      </c>
      <c r="AD3810" s="1">
        <v>43866</v>
      </c>
      <c r="AE3810" t="str">
        <f>"SH20000510"</f>
        <v>SH20000510</v>
      </c>
      <c r="AF3810" t="str">
        <f>"משלוחים ללקוח"</f>
        <v>משלוחים ללקוח</v>
      </c>
      <c r="AG3810" s="1">
        <v>43950</v>
      </c>
      <c r="AM3810" t="str">
        <f>"10"</f>
        <v>10</v>
      </c>
      <c r="AN3810" t="str">
        <f>"500000"</f>
        <v>500000</v>
      </c>
      <c r="AO3810" t="str">
        <f>"הכנסות  מלקוחות"</f>
        <v>הכנסות  מלקוחות</v>
      </c>
      <c r="AQ3810" t="str">
        <f>"034"</f>
        <v>034</v>
      </c>
      <c r="AR3810">
        <v>0</v>
      </c>
      <c r="AS3810">
        <v>0</v>
      </c>
      <c r="AT3810">
        <v>3.5150000000000001</v>
      </c>
      <c r="AX3810" t="str">
        <f>"E000304265"</f>
        <v>E000304265</v>
      </c>
      <c r="BD3810" t="str">
        <f>"ערן שלו"</f>
        <v>ערן שלו</v>
      </c>
    </row>
    <row r="3811" spans="1:56" x14ac:dyDescent="0.3">
      <c r="A3811" s="1">
        <v>43948</v>
      </c>
      <c r="B3811" t="str">
        <f>"SI206000452"</f>
        <v>SI206000452</v>
      </c>
      <c r="C3811" t="str">
        <f>"PR19000109"</f>
        <v>PR19000109</v>
      </c>
      <c r="D3811" t="str">
        <f>"PR19000109"</f>
        <v>PR19000109</v>
      </c>
      <c r="E3811" t="str">
        <f>"Y"</f>
        <v>Y</v>
      </c>
      <c r="F3811" t="str">
        <f>"חשבוניות מרכזות"</f>
        <v>חשבוניות מרכזות</v>
      </c>
      <c r="G3811" t="str">
        <f>"700065"</f>
        <v>700065</v>
      </c>
      <c r="H3811" t="str">
        <f>"אלתא מערכות בע""מ"</f>
        <v>אלתא מערכות בע"מ</v>
      </c>
      <c r="I3811" t="str">
        <f>"10"</f>
        <v>10</v>
      </c>
      <c r="J3811" t="str">
        <f>"000"</f>
        <v>000</v>
      </c>
      <c r="K3811" t="str">
        <f>"ליווי מהנדס במהלך הבדיקות במעבדה"</f>
        <v>ליווי מהנדס במהלך הבדיקות במעבדה</v>
      </c>
      <c r="L3811">
        <v>1</v>
      </c>
      <c r="M3811" t="str">
        <f>"יח"</f>
        <v>יח</v>
      </c>
      <c r="N3811">
        <v>1</v>
      </c>
      <c r="O3811" t="str">
        <f>"יח"</f>
        <v>יח</v>
      </c>
      <c r="P3811" s="2">
        <v>8600</v>
      </c>
      <c r="Q3811" t="str">
        <f>"$"</f>
        <v>$</v>
      </c>
      <c r="R3811" t="str">
        <f>"הזמנה"</f>
        <v>הזמנה</v>
      </c>
      <c r="S3811">
        <v>0</v>
      </c>
      <c r="T3811" s="2">
        <v>8600</v>
      </c>
      <c r="U3811">
        <v>0</v>
      </c>
      <c r="V3811" s="2">
        <v>8600</v>
      </c>
      <c r="W3811" t="str">
        <f>"$"</f>
        <v>$</v>
      </c>
      <c r="X3811">
        <v>0</v>
      </c>
      <c r="Y3811">
        <v>0</v>
      </c>
      <c r="Z3811">
        <v>0</v>
      </c>
      <c r="AA3811" t="str">
        <f>"Y"</f>
        <v>Y</v>
      </c>
      <c r="AB3811" t="str">
        <f>"SO20000058"</f>
        <v>SO20000058</v>
      </c>
      <c r="AC3811">
        <v>3</v>
      </c>
      <c r="AD3811" s="1">
        <v>43866</v>
      </c>
      <c r="AE3811" t="str">
        <f>"SH20000510"</f>
        <v>SH20000510</v>
      </c>
      <c r="AF3811" t="str">
        <f>"משלוחים ללקוח"</f>
        <v>משלוחים ללקוח</v>
      </c>
      <c r="AG3811" s="1">
        <v>43950</v>
      </c>
      <c r="AM3811" t="str">
        <f>"10"</f>
        <v>10</v>
      </c>
      <c r="AN3811" t="str">
        <f>"500000"</f>
        <v>500000</v>
      </c>
      <c r="AO3811" t="str">
        <f>"הכנסות  מלקוחות"</f>
        <v>הכנסות  מלקוחות</v>
      </c>
      <c r="AQ3811" t="str">
        <f>"034"</f>
        <v>034</v>
      </c>
      <c r="AR3811">
        <v>0</v>
      </c>
      <c r="AS3811">
        <v>0</v>
      </c>
      <c r="AT3811">
        <v>3.5150000000000001</v>
      </c>
      <c r="AX3811" t="str">
        <f>"E000304265"</f>
        <v>E000304265</v>
      </c>
      <c r="BD3811" t="str">
        <f>"ערן שלו"</f>
        <v>ערן שלו</v>
      </c>
    </row>
    <row r="3812" spans="1:56" x14ac:dyDescent="0.3">
      <c r="A3812" s="1">
        <v>43944</v>
      </c>
      <c r="B3812" t="str">
        <f>"CR207000009"</f>
        <v>CR207000009</v>
      </c>
      <c r="C3812" t="str">
        <f>"PR19000255"</f>
        <v>PR19000255</v>
      </c>
      <c r="E3812" t="str">
        <f>"Y"</f>
        <v>Y</v>
      </c>
      <c r="F3812" t="str">
        <f>"חשבוניות זיכוי"</f>
        <v>חשבוניות זיכוי</v>
      </c>
      <c r="G3812" t="str">
        <f>"700065"</f>
        <v>700065</v>
      </c>
      <c r="H3812" t="str">
        <f>"אלתא מערכות בע""מ"</f>
        <v>אלתא מערכות בע"מ</v>
      </c>
      <c r="I3812" t="str">
        <f>"10"</f>
        <v>10</v>
      </c>
      <c r="J3812" t="str">
        <f>"000"</f>
        <v>000</v>
      </c>
      <c r="K3812" t="str">
        <f>"חיוב בגין פיגור באספקה חש 20600010"</f>
        <v>חיוב בגין פיגור באספקה חש 20600010</v>
      </c>
      <c r="L3812">
        <v>1</v>
      </c>
      <c r="M3812" t="str">
        <f>"יח"</f>
        <v>יח</v>
      </c>
      <c r="N3812">
        <v>1</v>
      </c>
      <c r="O3812" t="str">
        <f>"יח"</f>
        <v>יח</v>
      </c>
      <c r="P3812">
        <v>517.66</v>
      </c>
      <c r="Q3812" t="str">
        <f>"$"</f>
        <v>$</v>
      </c>
      <c r="R3812" t="str">
        <f>"הזמנה"</f>
        <v>הזמנה</v>
      </c>
      <c r="S3812">
        <v>0</v>
      </c>
      <c r="T3812">
        <v>517.66</v>
      </c>
      <c r="U3812">
        <v>0</v>
      </c>
      <c r="V3812">
        <v>517.66</v>
      </c>
      <c r="W3812" t="str">
        <f>"$"</f>
        <v>$</v>
      </c>
      <c r="X3812">
        <v>0</v>
      </c>
      <c r="Y3812">
        <v>0</v>
      </c>
      <c r="Z3812">
        <v>0</v>
      </c>
      <c r="AA3812" t="str">
        <f>"Y"</f>
        <v>Y</v>
      </c>
      <c r="AB3812" t="str">
        <f>"SO19000213"</f>
        <v>SO19000213</v>
      </c>
      <c r="AC3812">
        <v>4</v>
      </c>
      <c r="AD3812" s="1">
        <v>43600</v>
      </c>
      <c r="AM3812" t="str">
        <f>"10"</f>
        <v>10</v>
      </c>
      <c r="AN3812" t="str">
        <f>"500000"</f>
        <v>500000</v>
      </c>
      <c r="AO3812" t="str">
        <f>"הכנסות  מלקוחות"</f>
        <v>הכנסות  מלקוחות</v>
      </c>
      <c r="AP3812" t="str">
        <f>"Y"</f>
        <v>Y</v>
      </c>
      <c r="AQ3812" t="str">
        <f>"034"</f>
        <v>034</v>
      </c>
      <c r="AR3812">
        <v>0</v>
      </c>
      <c r="AS3812">
        <v>0</v>
      </c>
      <c r="AT3812">
        <v>3.4750000000000001</v>
      </c>
      <c r="AX3812" t="str">
        <f>"E000286085"</f>
        <v>E000286085</v>
      </c>
      <c r="BD3812" t="str">
        <f>"ערן שלו"</f>
        <v>ערן שלו</v>
      </c>
    </row>
    <row r="3813" spans="1:56" x14ac:dyDescent="0.3">
      <c r="A3813" s="1">
        <v>43942</v>
      </c>
      <c r="B3813" t="str">
        <f>"SI206000376"</f>
        <v>SI206000376</v>
      </c>
      <c r="C3813" t="str">
        <f>"PR17002179"</f>
        <v>PR17002179</v>
      </c>
      <c r="D3813" t="str">
        <f>"PR17002179"</f>
        <v>PR17002179</v>
      </c>
      <c r="E3813" t="str">
        <f>"Y"</f>
        <v>Y</v>
      </c>
      <c r="F3813" t="str">
        <f>"חשבוניות מרכזות"</f>
        <v>חשבוניות מרכזות</v>
      </c>
      <c r="G3813" t="str">
        <f>"700065"</f>
        <v>700065</v>
      </c>
      <c r="H3813" t="str">
        <f>"אלתא מערכות בע""מ"</f>
        <v>אלתא מערכות בע"מ</v>
      </c>
      <c r="I3813" t="str">
        <f>"10"</f>
        <v>10</v>
      </c>
      <c r="J3813" t="str">
        <f>"OP-PR00074"</f>
        <v>OP-PR00074</v>
      </c>
      <c r="K3813" t="str">
        <f>"שדרוג לוח AUX BOX"</f>
        <v>שדרוג לוח AUX BOX</v>
      </c>
      <c r="L3813">
        <v>1</v>
      </c>
      <c r="M3813" t="str">
        <f>"יח"</f>
        <v>יח</v>
      </c>
      <c r="N3813">
        <v>1</v>
      </c>
      <c r="O3813" t="str">
        <f>"יח"</f>
        <v>יח</v>
      </c>
      <c r="P3813" s="2">
        <v>3548</v>
      </c>
      <c r="Q3813" t="str">
        <f>"$"</f>
        <v>$</v>
      </c>
      <c r="R3813" t="str">
        <f>"הזמנה"</f>
        <v>הזמנה</v>
      </c>
      <c r="S3813">
        <v>0</v>
      </c>
      <c r="T3813" s="2">
        <v>3548</v>
      </c>
      <c r="U3813">
        <v>0</v>
      </c>
      <c r="V3813" s="2">
        <v>3548</v>
      </c>
      <c r="W3813" t="str">
        <f>"$"</f>
        <v>$</v>
      </c>
      <c r="X3813">
        <v>0</v>
      </c>
      <c r="Y3813">
        <v>0</v>
      </c>
      <c r="Z3813">
        <v>0</v>
      </c>
      <c r="AA3813" t="str">
        <f>"Y"</f>
        <v>Y</v>
      </c>
      <c r="AB3813" t="str">
        <f>"SO17000739"</f>
        <v>SO17000739</v>
      </c>
      <c r="AC3813">
        <v>1</v>
      </c>
      <c r="AD3813" s="1">
        <v>43061</v>
      </c>
      <c r="AE3813" t="str">
        <f>"SH20000468"</f>
        <v>SH20000468</v>
      </c>
      <c r="AF3813" t="str">
        <f>"משלוחים ללקוח"</f>
        <v>משלוחים ללקוח</v>
      </c>
      <c r="AG3813" s="1">
        <v>43941</v>
      </c>
      <c r="AM3813" t="str">
        <f>"10"</f>
        <v>10</v>
      </c>
      <c r="AN3813" t="str">
        <f>"500000"</f>
        <v>500000</v>
      </c>
      <c r="AO3813" t="str">
        <f>"הכנסות  מלקוחות"</f>
        <v>הכנסות  מלקוחות</v>
      </c>
      <c r="AQ3813" t="str">
        <f>"007"</f>
        <v>007</v>
      </c>
      <c r="AR3813">
        <v>0</v>
      </c>
      <c r="AS3813">
        <v>0</v>
      </c>
      <c r="AT3813">
        <v>3.58</v>
      </c>
      <c r="AX3813" t="str">
        <f>"E000248201"</f>
        <v>E000248201</v>
      </c>
      <c r="BD3813" t="str">
        <f>"רוני דידי"</f>
        <v>רוני דידי</v>
      </c>
    </row>
    <row r="3814" spans="1:56" x14ac:dyDescent="0.3">
      <c r="A3814" s="1">
        <v>43942</v>
      </c>
      <c r="B3814" t="str">
        <f>"SI206000375"</f>
        <v>SI206000375</v>
      </c>
      <c r="C3814" t="str">
        <f>"PR18000823"</f>
        <v>PR18000823</v>
      </c>
      <c r="E3814" t="str">
        <f>"Y"</f>
        <v>Y</v>
      </c>
      <c r="F3814" t="str">
        <f>"חשבוניות מרכזות"</f>
        <v>חשבוניות מרכזות</v>
      </c>
      <c r="G3814" t="str">
        <f>"700065"</f>
        <v>700065</v>
      </c>
      <c r="H3814" t="str">
        <f>"אלתא מערכות בע""מ"</f>
        <v>אלתא מערכות בע"מ</v>
      </c>
      <c r="I3814" t="str">
        <f>"10"</f>
        <v>10</v>
      </c>
      <c r="J3814" t="str">
        <f>"OP-AR12325"</f>
        <v>OP-AR12325</v>
      </c>
      <c r="K3814" t="str">
        <f>"לוח חלוקה AC-DC PDB מק""ט לקוח 1025A685-001"</f>
        <v>לוח חלוקה AC-DC PDB מק"ט לקוח 1025A685-001</v>
      </c>
      <c r="L3814">
        <v>1</v>
      </c>
      <c r="M3814" t="str">
        <f>"יח"</f>
        <v>יח</v>
      </c>
      <c r="N3814">
        <v>1</v>
      </c>
      <c r="O3814" t="str">
        <f>"יח"</f>
        <v>יח</v>
      </c>
      <c r="P3814" s="2">
        <v>68094</v>
      </c>
      <c r="Q3814" t="str">
        <f>"$"</f>
        <v>$</v>
      </c>
      <c r="R3814" t="str">
        <f>"הזמנה"</f>
        <v>הזמנה</v>
      </c>
      <c r="S3814">
        <v>0</v>
      </c>
      <c r="T3814" s="2">
        <v>68094</v>
      </c>
      <c r="U3814">
        <v>0</v>
      </c>
      <c r="V3814" s="2">
        <v>68094</v>
      </c>
      <c r="W3814" t="str">
        <f>"$"</f>
        <v>$</v>
      </c>
      <c r="X3814">
        <v>0</v>
      </c>
      <c r="Y3814">
        <v>0</v>
      </c>
      <c r="Z3814">
        <v>0</v>
      </c>
      <c r="AA3814" t="str">
        <f>"Y"</f>
        <v>Y</v>
      </c>
      <c r="AB3814" t="str">
        <f>"SO18000636"</f>
        <v>SO18000636</v>
      </c>
      <c r="AC3814">
        <v>3</v>
      </c>
      <c r="AD3814" s="1">
        <v>43418</v>
      </c>
      <c r="AE3814" t="str">
        <f>"SH20000469"</f>
        <v>SH20000469</v>
      </c>
      <c r="AF3814" t="str">
        <f>"משלוחים ללקוח"</f>
        <v>משלוחים ללקוח</v>
      </c>
      <c r="AG3814" s="1">
        <v>43941</v>
      </c>
      <c r="AM3814" t="str">
        <f>"10"</f>
        <v>10</v>
      </c>
      <c r="AN3814" t="str">
        <f>"500000"</f>
        <v>500000</v>
      </c>
      <c r="AO3814" t="str">
        <f>"הכנסות  מלקוחות"</f>
        <v>הכנסות  מלקוחות</v>
      </c>
      <c r="AQ3814" t="str">
        <f>"007"</f>
        <v>007</v>
      </c>
      <c r="AR3814">
        <v>0</v>
      </c>
      <c r="AS3814">
        <v>0</v>
      </c>
      <c r="AT3814">
        <v>3.58</v>
      </c>
      <c r="AX3814" t="str">
        <f>"E000272374"</f>
        <v>E000272374</v>
      </c>
      <c r="BD3814" t="str">
        <f>"רוני דידי"</f>
        <v>רוני דידי</v>
      </c>
    </row>
    <row r="3815" spans="1:56" x14ac:dyDescent="0.3">
      <c r="A3815" s="1">
        <v>43941</v>
      </c>
      <c r="B3815" t="str">
        <f>"SI206000369"</f>
        <v>SI206000369</v>
      </c>
      <c r="C3815" t="str">
        <f>"PR19000745"</f>
        <v>PR19000745</v>
      </c>
      <c r="E3815" t="str">
        <f>"Y"</f>
        <v>Y</v>
      </c>
      <c r="F3815" t="str">
        <f>"חשבוניות מרכזות"</f>
        <v>חשבוניות מרכזות</v>
      </c>
      <c r="G3815" t="str">
        <f>"700065"</f>
        <v>700065</v>
      </c>
      <c r="H3815" t="str">
        <f>"אלתא מערכות בע""מ"</f>
        <v>אלתא מערכות בע"מ</v>
      </c>
      <c r="I3815" t="str">
        <f>"10"</f>
        <v>10</v>
      </c>
      <c r="J3815" t="str">
        <f>"OP-AR01593"</f>
        <v>OP-AR01593</v>
      </c>
      <c r="K3815" t="str">
        <f>"2033D702-001 RCE P2 CABLE ASSY"</f>
        <v>2033D702-001 RCE P2 CABLE ASSY</v>
      </c>
      <c r="L3815">
        <v>20</v>
      </c>
      <c r="M3815" t="str">
        <f>"יח"</f>
        <v>יח</v>
      </c>
      <c r="N3815">
        <v>20</v>
      </c>
      <c r="O3815" t="str">
        <f>"יח"</f>
        <v>יח</v>
      </c>
      <c r="P3815">
        <v>68.650000000000006</v>
      </c>
      <c r="Q3815" t="str">
        <f>"$"</f>
        <v>$</v>
      </c>
      <c r="R3815" t="str">
        <f>"הזמנה"</f>
        <v>הזמנה</v>
      </c>
      <c r="S3815">
        <v>0</v>
      </c>
      <c r="T3815" s="2">
        <v>1373</v>
      </c>
      <c r="U3815">
        <v>0</v>
      </c>
      <c r="V3815" s="2">
        <v>1373</v>
      </c>
      <c r="W3815" t="str">
        <f>"$"</f>
        <v>$</v>
      </c>
      <c r="X3815">
        <v>0</v>
      </c>
      <c r="Y3815">
        <v>0</v>
      </c>
      <c r="Z3815">
        <v>0</v>
      </c>
      <c r="AA3815" t="str">
        <f>"Y"</f>
        <v>Y</v>
      </c>
      <c r="AB3815" t="str">
        <f>"SO19000534"</f>
        <v>SO19000534</v>
      </c>
      <c r="AC3815">
        <v>2</v>
      </c>
      <c r="AD3815" s="1">
        <v>43821</v>
      </c>
      <c r="AE3815" t="str">
        <f>"SH20000178"</f>
        <v>SH20000178</v>
      </c>
      <c r="AF3815" t="str">
        <f>"משלוחים ללקוח"</f>
        <v>משלוחים ללקוח</v>
      </c>
      <c r="AG3815" s="1">
        <v>43867</v>
      </c>
      <c r="AM3815" t="str">
        <f>"10"</f>
        <v>10</v>
      </c>
      <c r="AN3815" t="str">
        <f>"500000"</f>
        <v>500000</v>
      </c>
      <c r="AO3815" t="str">
        <f>"הכנסות  מלקוחות"</f>
        <v>הכנסות  מלקוחות</v>
      </c>
      <c r="AQ3815" t="str">
        <f>"034"</f>
        <v>034</v>
      </c>
      <c r="AR3815">
        <v>0</v>
      </c>
      <c r="AS3815">
        <v>0</v>
      </c>
      <c r="AT3815">
        <v>3.5910000000000002</v>
      </c>
      <c r="AX3815" t="str">
        <f>"E000301383"</f>
        <v>E000301383</v>
      </c>
      <c r="BD3815" t="str">
        <f>"ערן שלו"</f>
        <v>ערן שלו</v>
      </c>
    </row>
    <row r="3816" spans="1:56" x14ac:dyDescent="0.3">
      <c r="A3816" s="1">
        <v>43938</v>
      </c>
      <c r="B3816" t="str">
        <f>"CR207000011"</f>
        <v>CR207000011</v>
      </c>
      <c r="E3816" t="str">
        <f>"Y"</f>
        <v>Y</v>
      </c>
      <c r="F3816" t="str">
        <f>"חשבוניות זיכוי"</f>
        <v>חשבוניות זיכוי</v>
      </c>
      <c r="G3816" t="str">
        <f>"700065"</f>
        <v>700065</v>
      </c>
      <c r="H3816" t="str">
        <f>"אלתא מערכות בע""מ"</f>
        <v>אלתא מערכות בע"מ</v>
      </c>
      <c r="I3816" t="str">
        <f>"10"</f>
        <v>10</v>
      </c>
      <c r="J3816" t="str">
        <f>"999"</f>
        <v>999</v>
      </c>
      <c r="K3816" t="str">
        <f>"יכוי לחשבונית SI206000049"</f>
        <v>יכוי לחשבונית SI206000049</v>
      </c>
      <c r="L3816">
        <v>1</v>
      </c>
      <c r="M3816" t="str">
        <f>"חל"</f>
        <v>חל</v>
      </c>
      <c r="N3816">
        <v>1</v>
      </c>
      <c r="O3816" t="str">
        <f>"חל"</f>
        <v>חל</v>
      </c>
      <c r="P3816">
        <v>642.16</v>
      </c>
      <c r="Q3816" t="str">
        <f>"$"</f>
        <v>$</v>
      </c>
      <c r="R3816" t="str">
        <f>"ידני"</f>
        <v>ידני</v>
      </c>
      <c r="S3816">
        <v>0</v>
      </c>
      <c r="T3816">
        <v>642.16</v>
      </c>
      <c r="U3816">
        <v>0</v>
      </c>
      <c r="V3816">
        <v>642.16</v>
      </c>
      <c r="W3816" t="str">
        <f>"$"</f>
        <v>$</v>
      </c>
      <c r="X3816">
        <v>0</v>
      </c>
      <c r="Y3816">
        <v>0</v>
      </c>
      <c r="Z3816">
        <v>0</v>
      </c>
      <c r="AA3816" t="str">
        <f>"Y"</f>
        <v>Y</v>
      </c>
      <c r="AC3816">
        <v>0</v>
      </c>
      <c r="AM3816" t="str">
        <f>"10"</f>
        <v>10</v>
      </c>
      <c r="AN3816" t="str">
        <f>"500000"</f>
        <v>500000</v>
      </c>
      <c r="AO3816" t="str">
        <f>"הכנסות  מלקוחות"</f>
        <v>הכנסות  מלקוחות</v>
      </c>
      <c r="AP3816" t="str">
        <f>"Y"</f>
        <v>Y</v>
      </c>
      <c r="AQ3816" t="str">
        <f>"034"</f>
        <v>034</v>
      </c>
      <c r="AR3816">
        <v>0</v>
      </c>
      <c r="AS3816">
        <v>0</v>
      </c>
      <c r="AT3816">
        <v>3.452</v>
      </c>
      <c r="BD3816" t="str">
        <f>"ערן שלו"</f>
        <v>ערן שלו</v>
      </c>
    </row>
    <row r="3817" spans="1:56" x14ac:dyDescent="0.3">
      <c r="A3817" s="1">
        <v>43938</v>
      </c>
      <c r="B3817" t="str">
        <f>"CR207000010"</f>
        <v>CR207000010</v>
      </c>
      <c r="E3817" t="str">
        <f>"Y"</f>
        <v>Y</v>
      </c>
      <c r="F3817" t="str">
        <f>"חשבוניות זיכוי"</f>
        <v>חשבוניות זיכוי</v>
      </c>
      <c r="G3817" t="str">
        <f>"700065"</f>
        <v>700065</v>
      </c>
      <c r="H3817" t="str">
        <f>"אלתא מערכות בע""מ"</f>
        <v>אלתא מערכות בע"מ</v>
      </c>
      <c r="I3817" t="str">
        <f>"10"</f>
        <v>10</v>
      </c>
      <c r="J3817" t="str">
        <f>"000"</f>
        <v>000</v>
      </c>
      <c r="K3817" t="str">
        <f>"זיכוי לחשבונית 0050 בגין פיגורייםה זיכוי 98830"</f>
        <v>זיכוי לחשבונית 0050 בגין פיגורייםה זיכוי 98830</v>
      </c>
      <c r="L3817">
        <v>1</v>
      </c>
      <c r="M3817" t="str">
        <f>"יח"</f>
        <v>יח</v>
      </c>
      <c r="N3817">
        <v>1</v>
      </c>
      <c r="O3817" t="str">
        <f>"יח"</f>
        <v>יח</v>
      </c>
      <c r="P3817">
        <v>900.16</v>
      </c>
      <c r="Q3817" t="str">
        <f>"$"</f>
        <v>$</v>
      </c>
      <c r="R3817" t="str">
        <f>"ידני"</f>
        <v>ידני</v>
      </c>
      <c r="S3817">
        <v>0</v>
      </c>
      <c r="T3817">
        <v>900.16</v>
      </c>
      <c r="U3817">
        <v>0</v>
      </c>
      <c r="V3817">
        <v>900.16</v>
      </c>
      <c r="W3817" t="str">
        <f>"$"</f>
        <v>$</v>
      </c>
      <c r="X3817">
        <v>0</v>
      </c>
      <c r="Y3817">
        <v>0</v>
      </c>
      <c r="Z3817">
        <v>0</v>
      </c>
      <c r="AA3817" t="str">
        <f>"Y"</f>
        <v>Y</v>
      </c>
      <c r="AC3817">
        <v>0</v>
      </c>
      <c r="AM3817" t="str">
        <f>"10"</f>
        <v>10</v>
      </c>
      <c r="AN3817" t="str">
        <f>"500000"</f>
        <v>500000</v>
      </c>
      <c r="AO3817" t="str">
        <f>"הכנסות  מלקוחות"</f>
        <v>הכנסות  מלקוחות</v>
      </c>
      <c r="AP3817" t="str">
        <f>"Y"</f>
        <v>Y</v>
      </c>
      <c r="AQ3817" t="str">
        <f>"034"</f>
        <v>034</v>
      </c>
      <c r="AR3817">
        <v>0</v>
      </c>
      <c r="AS3817">
        <v>0</v>
      </c>
      <c r="AT3817">
        <v>3.452</v>
      </c>
      <c r="BD3817" t="str">
        <f>"ערן שלו"</f>
        <v>ערן שלו</v>
      </c>
    </row>
    <row r="3818" spans="1:56" x14ac:dyDescent="0.3">
      <c r="A3818" s="1">
        <v>43937</v>
      </c>
      <c r="B3818" t="str">
        <f>"SI206000356"</f>
        <v>SI206000356</v>
      </c>
      <c r="C3818" t="str">
        <f>"PR19000724"</f>
        <v>PR19000724</v>
      </c>
      <c r="E3818" t="str">
        <f>"Y"</f>
        <v>Y</v>
      </c>
      <c r="F3818" t="str">
        <f>"חשבוניות מרכזות"</f>
        <v>חשבוניות מרכזות</v>
      </c>
      <c r="G3818" t="str">
        <f>"700065"</f>
        <v>700065</v>
      </c>
      <c r="H3818" t="str">
        <f>"אלתא מערכות בע""מ"</f>
        <v>אלתא מערכות בע"מ</v>
      </c>
      <c r="I3818" t="str">
        <f>"10"</f>
        <v>10</v>
      </c>
      <c r="J3818" t="str">
        <f>"000"</f>
        <v>000</v>
      </c>
      <c r="K3818" t="str">
        <f>"MQQ עבור 6 קונקטורים"</f>
        <v>MQQ עבור 6 קונקטורים</v>
      </c>
      <c r="L3818">
        <v>1</v>
      </c>
      <c r="M3818" t="str">
        <f>"יח"</f>
        <v>יח</v>
      </c>
      <c r="N3818">
        <v>1</v>
      </c>
      <c r="O3818" t="str">
        <f>"יח"</f>
        <v>יח</v>
      </c>
      <c r="P3818" s="2">
        <v>4509.43</v>
      </c>
      <c r="Q3818" t="str">
        <f>"$"</f>
        <v>$</v>
      </c>
      <c r="R3818" t="str">
        <f>"ידני"</f>
        <v>ידני</v>
      </c>
      <c r="S3818">
        <v>0</v>
      </c>
      <c r="T3818" s="2">
        <v>4509.43</v>
      </c>
      <c r="U3818">
        <v>2</v>
      </c>
      <c r="V3818" s="2">
        <v>4419.24</v>
      </c>
      <c r="W3818" t="str">
        <f>"$"</f>
        <v>$</v>
      </c>
      <c r="X3818">
        <v>0</v>
      </c>
      <c r="Y3818">
        <v>0</v>
      </c>
      <c r="Z3818">
        <v>0</v>
      </c>
      <c r="AA3818" t="str">
        <f>"Y"</f>
        <v>Y</v>
      </c>
      <c r="AC3818">
        <v>0</v>
      </c>
      <c r="AM3818" t="str">
        <f>"10"</f>
        <v>10</v>
      </c>
      <c r="AN3818" t="str">
        <f>"500000"</f>
        <v>500000</v>
      </c>
      <c r="AO3818" t="str">
        <f>"הכנסות  מלקוחות"</f>
        <v>הכנסות  מלקוחות</v>
      </c>
      <c r="AQ3818" t="str">
        <f>"034"</f>
        <v>034</v>
      </c>
      <c r="AR3818">
        <v>0</v>
      </c>
      <c r="AS3818">
        <v>0</v>
      </c>
      <c r="AT3818">
        <v>3.5790000000000002</v>
      </c>
      <c r="BB3818" t="str">
        <f>"Y"</f>
        <v>Y</v>
      </c>
      <c r="BD3818" t="str">
        <f>"ערן שלו"</f>
        <v>ערן שלו</v>
      </c>
    </row>
    <row r="3819" spans="1:56" x14ac:dyDescent="0.3">
      <c r="A3819" s="1">
        <v>43937</v>
      </c>
      <c r="B3819" t="str">
        <f>"SI206000356"</f>
        <v>SI206000356</v>
      </c>
      <c r="C3819" t="str">
        <f>"PR19000724"</f>
        <v>PR19000724</v>
      </c>
      <c r="E3819" t="str">
        <f>"Y"</f>
        <v>Y</v>
      </c>
      <c r="F3819" t="str">
        <f>"חשבוניות מרכזות"</f>
        <v>חשבוניות מרכזות</v>
      </c>
      <c r="G3819" t="str">
        <f>"700065"</f>
        <v>700065</v>
      </c>
      <c r="H3819" t="str">
        <f>"אלתא מערכות בע""מ"</f>
        <v>אלתא מערכות בע"מ</v>
      </c>
      <c r="I3819" t="str">
        <f>"10"</f>
        <v>10</v>
      </c>
      <c r="J3819" t="str">
        <f>"000"</f>
        <v>000</v>
      </c>
      <c r="K3819" t="str">
        <f>"MQQ עבור 6 קונקטורים"</f>
        <v>MQQ עבור 6 קונקטורים</v>
      </c>
      <c r="L3819">
        <v>1</v>
      </c>
      <c r="M3819" t="str">
        <f>"יח"</f>
        <v>יח</v>
      </c>
      <c r="N3819">
        <v>1</v>
      </c>
      <c r="O3819" t="str">
        <f>"יח"</f>
        <v>יח</v>
      </c>
      <c r="P3819" s="2">
        <v>4509.55</v>
      </c>
      <c r="Q3819" t="str">
        <f>"$"</f>
        <v>$</v>
      </c>
      <c r="R3819" t="str">
        <f>"הזמנה"</f>
        <v>הזמנה</v>
      </c>
      <c r="S3819">
        <v>0</v>
      </c>
      <c r="T3819" s="2">
        <v>4509.55</v>
      </c>
      <c r="U3819">
        <v>2</v>
      </c>
      <c r="V3819" s="2">
        <v>4419.3599999999997</v>
      </c>
      <c r="W3819" t="str">
        <f>"$"</f>
        <v>$</v>
      </c>
      <c r="X3819">
        <v>0</v>
      </c>
      <c r="Y3819">
        <v>0</v>
      </c>
      <c r="Z3819">
        <v>0</v>
      </c>
      <c r="AA3819" t="str">
        <f>"Y"</f>
        <v>Y</v>
      </c>
      <c r="AC3819">
        <v>0</v>
      </c>
      <c r="AM3819" t="str">
        <f>"10"</f>
        <v>10</v>
      </c>
      <c r="AN3819" t="str">
        <f>"500000"</f>
        <v>500000</v>
      </c>
      <c r="AO3819" t="str">
        <f>"הכנסות  מלקוחות"</f>
        <v>הכנסות  מלקוחות</v>
      </c>
      <c r="AQ3819" t="str">
        <f>"034"</f>
        <v>034</v>
      </c>
      <c r="AR3819">
        <v>0</v>
      </c>
      <c r="AS3819">
        <v>0</v>
      </c>
      <c r="AT3819">
        <v>3.5790000000000002</v>
      </c>
      <c r="BB3819" t="str">
        <f>"Y"</f>
        <v>Y</v>
      </c>
      <c r="BD3819" t="str">
        <f>"ערן שלו"</f>
        <v>ערן שלו</v>
      </c>
    </row>
    <row r="3820" spans="1:56" x14ac:dyDescent="0.3">
      <c r="A3820" s="1">
        <v>43937</v>
      </c>
      <c r="B3820" t="str">
        <f>"SI206000356"</f>
        <v>SI206000356</v>
      </c>
      <c r="C3820" t="str">
        <f>"PR19000724"</f>
        <v>PR19000724</v>
      </c>
      <c r="E3820" t="str">
        <f>"Y"</f>
        <v>Y</v>
      </c>
      <c r="F3820" t="str">
        <f>"חשבוניות מרכזות"</f>
        <v>חשבוניות מרכזות</v>
      </c>
      <c r="G3820" t="str">
        <f>"700065"</f>
        <v>700065</v>
      </c>
      <c r="H3820" t="str">
        <f>"אלתא מערכות בע""מ"</f>
        <v>אלתא מערכות בע"מ</v>
      </c>
      <c r="I3820" t="str">
        <f>"10"</f>
        <v>10</v>
      </c>
      <c r="J3820" t="str">
        <f>"CB1100205"</f>
        <v>CB1100205</v>
      </c>
      <c r="K3820" t="str">
        <f>"כבל הזנה 20 H07RNF 5X35מ', 5X125A IP67 , נעל כבל"</f>
        <v>כבל הזנה 20 H07RNF 5X35מ', 5X125A IP67 , נעל כבל</v>
      </c>
      <c r="L3820">
        <v>1</v>
      </c>
      <c r="M3820" t="str">
        <f>"יח"</f>
        <v>יח</v>
      </c>
      <c r="N3820">
        <v>1</v>
      </c>
      <c r="O3820" t="str">
        <f>"יח"</f>
        <v>יח</v>
      </c>
      <c r="P3820" s="2">
        <v>1229.9000000000001</v>
      </c>
      <c r="Q3820" t="str">
        <f>"$"</f>
        <v>$</v>
      </c>
      <c r="R3820" t="str">
        <f>"הזמנה"</f>
        <v>הזמנה</v>
      </c>
      <c r="S3820">
        <v>0</v>
      </c>
      <c r="T3820" s="2">
        <v>1229.9000000000001</v>
      </c>
      <c r="U3820">
        <v>2</v>
      </c>
      <c r="V3820" s="2">
        <v>1205.3</v>
      </c>
      <c r="W3820" t="str">
        <f>"$"</f>
        <v>$</v>
      </c>
      <c r="X3820">
        <v>0</v>
      </c>
      <c r="Y3820">
        <v>0</v>
      </c>
      <c r="Z3820">
        <v>0</v>
      </c>
      <c r="AA3820" t="str">
        <f>"Y"</f>
        <v>Y</v>
      </c>
      <c r="AC3820">
        <v>0</v>
      </c>
      <c r="AM3820" t="str">
        <f>"10"</f>
        <v>10</v>
      </c>
      <c r="AN3820" t="str">
        <f>"500000"</f>
        <v>500000</v>
      </c>
      <c r="AO3820" t="str">
        <f>"הכנסות  מלקוחות"</f>
        <v>הכנסות  מלקוחות</v>
      </c>
      <c r="AQ3820" t="str">
        <f>"034"</f>
        <v>034</v>
      </c>
      <c r="AR3820">
        <v>0</v>
      </c>
      <c r="AS3820">
        <v>0</v>
      </c>
      <c r="AT3820">
        <v>3.5790000000000002</v>
      </c>
      <c r="BB3820" t="str">
        <f>"Y"</f>
        <v>Y</v>
      </c>
      <c r="BD3820" t="str">
        <f>"ערן שלו"</f>
        <v>ערן שלו</v>
      </c>
    </row>
    <row r="3821" spans="1:56" x14ac:dyDescent="0.3">
      <c r="A3821" s="1">
        <v>43937</v>
      </c>
      <c r="B3821" t="str">
        <f>"SI206000356"</f>
        <v>SI206000356</v>
      </c>
      <c r="C3821" t="str">
        <f>"PR19000724"</f>
        <v>PR19000724</v>
      </c>
      <c r="E3821" t="str">
        <f>"Y"</f>
        <v>Y</v>
      </c>
      <c r="F3821" t="str">
        <f>"חשבוניות מרכזות"</f>
        <v>חשבוניות מרכזות</v>
      </c>
      <c r="G3821" t="str">
        <f>"700065"</f>
        <v>700065</v>
      </c>
      <c r="H3821" t="str">
        <f>"אלתא מערכות בע""מ"</f>
        <v>אלתא מערכות בע"מ</v>
      </c>
      <c r="I3821" t="str">
        <f>"10"</f>
        <v>10</v>
      </c>
      <c r="J3821" t="str">
        <f>"OP-AR22723"</f>
        <v>OP-AR22723</v>
      </c>
      <c r="K3821" t="str">
        <f>"CB1100206"</f>
        <v>CB1100206</v>
      </c>
      <c r="L3821">
        <v>1</v>
      </c>
      <c r="M3821" t="str">
        <f>"יח"</f>
        <v>יח</v>
      </c>
      <c r="N3821">
        <v>1</v>
      </c>
      <c r="O3821" t="str">
        <f>"יח"</f>
        <v>יח</v>
      </c>
      <c r="P3821" s="2">
        <v>3189.9</v>
      </c>
      <c r="Q3821" t="str">
        <f>"$"</f>
        <v>$</v>
      </c>
      <c r="R3821" t="str">
        <f>"הזמנה"</f>
        <v>הזמנה</v>
      </c>
      <c r="S3821">
        <v>0</v>
      </c>
      <c r="T3821" s="2">
        <v>3189.9</v>
      </c>
      <c r="U3821">
        <v>2</v>
      </c>
      <c r="V3821" s="2">
        <v>3126.1</v>
      </c>
      <c r="W3821" t="str">
        <f>"$"</f>
        <v>$</v>
      </c>
      <c r="X3821">
        <v>0</v>
      </c>
      <c r="Y3821">
        <v>0</v>
      </c>
      <c r="Z3821">
        <v>0</v>
      </c>
      <c r="AA3821" t="str">
        <f>"Y"</f>
        <v>Y</v>
      </c>
      <c r="AC3821">
        <v>0</v>
      </c>
      <c r="AM3821" t="str">
        <f>"10"</f>
        <v>10</v>
      </c>
      <c r="AN3821" t="str">
        <f>"500000"</f>
        <v>500000</v>
      </c>
      <c r="AO3821" t="str">
        <f>"הכנסות  מלקוחות"</f>
        <v>הכנסות  מלקוחות</v>
      </c>
      <c r="AQ3821" t="str">
        <f>"034"</f>
        <v>034</v>
      </c>
      <c r="AR3821">
        <v>0</v>
      </c>
      <c r="AS3821">
        <v>0</v>
      </c>
      <c r="AT3821">
        <v>3.5790000000000002</v>
      </c>
      <c r="BB3821" t="str">
        <f>"Y"</f>
        <v>Y</v>
      </c>
      <c r="BD3821" t="str">
        <f>"ערן שלו"</f>
        <v>ערן שלו</v>
      </c>
    </row>
    <row r="3822" spans="1:56" x14ac:dyDescent="0.3">
      <c r="A3822" s="1">
        <v>43937</v>
      </c>
      <c r="B3822" t="str">
        <f>"SI206000356"</f>
        <v>SI206000356</v>
      </c>
      <c r="C3822" t="str">
        <f>"PR19000724"</f>
        <v>PR19000724</v>
      </c>
      <c r="E3822" t="str">
        <f>"Y"</f>
        <v>Y</v>
      </c>
      <c r="F3822" t="str">
        <f>"חשבוניות מרכזות"</f>
        <v>חשבוניות מרכזות</v>
      </c>
      <c r="G3822" t="str">
        <f>"700065"</f>
        <v>700065</v>
      </c>
      <c r="H3822" t="str">
        <f>"אלתא מערכות בע""מ"</f>
        <v>אלתא מערכות בע"מ</v>
      </c>
      <c r="I3822" t="str">
        <f>"10"</f>
        <v>10</v>
      </c>
      <c r="J3822" t="str">
        <f>"CB1100207"</f>
        <v>CB1100207</v>
      </c>
      <c r="K3822" t="str">
        <f>"כבל 50 H07RNF 1X95 -320מ', 2 מחברי ITS4106A5C36"</f>
        <v>כבל 50 H07RNF 1X95 -320מ', 2 מחברי ITS4106A5C36</v>
      </c>
      <c r="L3822">
        <v>1</v>
      </c>
      <c r="M3822" t="str">
        <f>"יח"</f>
        <v>יח</v>
      </c>
      <c r="N3822">
        <v>1</v>
      </c>
      <c r="O3822" t="str">
        <f>"יח"</f>
        <v>יח</v>
      </c>
      <c r="P3822" s="2">
        <v>3483.9</v>
      </c>
      <c r="Q3822" t="str">
        <f>"$"</f>
        <v>$</v>
      </c>
      <c r="R3822" t="str">
        <f>"הזמנה"</f>
        <v>הזמנה</v>
      </c>
      <c r="S3822">
        <v>0</v>
      </c>
      <c r="T3822" s="2">
        <v>3483.9</v>
      </c>
      <c r="U3822">
        <v>2</v>
      </c>
      <c r="V3822" s="2">
        <v>3414.22</v>
      </c>
      <c r="W3822" t="str">
        <f>"$"</f>
        <v>$</v>
      </c>
      <c r="X3822">
        <v>0</v>
      </c>
      <c r="Y3822">
        <v>0</v>
      </c>
      <c r="Z3822">
        <v>0</v>
      </c>
      <c r="AA3822" t="str">
        <f>"Y"</f>
        <v>Y</v>
      </c>
      <c r="AC3822">
        <v>0</v>
      </c>
      <c r="AM3822" t="str">
        <f>"10"</f>
        <v>10</v>
      </c>
      <c r="AN3822" t="str">
        <f>"500000"</f>
        <v>500000</v>
      </c>
      <c r="AO3822" t="str">
        <f>"הכנסות  מלקוחות"</f>
        <v>הכנסות  מלקוחות</v>
      </c>
      <c r="AQ3822" t="str">
        <f>"034"</f>
        <v>034</v>
      </c>
      <c r="AR3822">
        <v>0</v>
      </c>
      <c r="AS3822">
        <v>0</v>
      </c>
      <c r="AT3822">
        <v>3.5790000000000002</v>
      </c>
      <c r="BB3822" t="str">
        <f>"Y"</f>
        <v>Y</v>
      </c>
      <c r="BD3822" t="str">
        <f>"ערן שלו"</f>
        <v>ערן שלו</v>
      </c>
    </row>
    <row r="3823" spans="1:56" x14ac:dyDescent="0.3">
      <c r="A3823" s="1">
        <v>43937</v>
      </c>
      <c r="B3823" t="str">
        <f>"SI206000356"</f>
        <v>SI206000356</v>
      </c>
      <c r="C3823" t="str">
        <f>"PR19000724"</f>
        <v>PR19000724</v>
      </c>
      <c r="E3823" t="str">
        <f>"Y"</f>
        <v>Y</v>
      </c>
      <c r="F3823" t="str">
        <f>"חשבוניות מרכזות"</f>
        <v>חשבוניות מרכזות</v>
      </c>
      <c r="G3823" t="str">
        <f>"700065"</f>
        <v>700065</v>
      </c>
      <c r="H3823" t="str">
        <f>"אלתא מערכות בע""מ"</f>
        <v>אלתא מערכות בע"מ</v>
      </c>
      <c r="I3823" t="str">
        <f>"10"</f>
        <v>10</v>
      </c>
      <c r="J3823" t="str">
        <f>"PA1100511"</f>
        <v>PA1100511</v>
      </c>
      <c r="K3823" t="str">
        <f>"ITS4106A5C36-01PL1M144B1KG12TMCR מחבר"</f>
        <v>ITS4106A5C36-01PL1M144B1KG12TMCR מחבר</v>
      </c>
      <c r="L3823">
        <v>3</v>
      </c>
      <c r="M3823" t="str">
        <f>"יח"</f>
        <v>יח</v>
      </c>
      <c r="N3823">
        <v>3</v>
      </c>
      <c r="O3823" t="str">
        <f>"יח"</f>
        <v>יח</v>
      </c>
      <c r="P3823">
        <v>0</v>
      </c>
      <c r="Q3823" t="str">
        <f>"$"</f>
        <v>$</v>
      </c>
      <c r="R3823" t="str">
        <f>"הזמנה"</f>
        <v>הזמנה</v>
      </c>
      <c r="S3823">
        <v>0</v>
      </c>
      <c r="T3823">
        <v>0</v>
      </c>
      <c r="U3823">
        <v>2</v>
      </c>
      <c r="V3823">
        <v>0</v>
      </c>
      <c r="W3823" t="str">
        <f>"$"</f>
        <v>$</v>
      </c>
      <c r="X3823">
        <v>0</v>
      </c>
      <c r="Y3823">
        <v>0</v>
      </c>
      <c r="Z3823">
        <v>0</v>
      </c>
      <c r="AA3823" t="str">
        <f>"Y"</f>
        <v>Y</v>
      </c>
      <c r="AC3823">
        <v>0</v>
      </c>
      <c r="AM3823" t="str">
        <f>"10"</f>
        <v>10</v>
      </c>
      <c r="AN3823" t="str">
        <f>"500000"</f>
        <v>500000</v>
      </c>
      <c r="AO3823" t="str">
        <f>"הכנסות  מלקוחות"</f>
        <v>הכנסות  מלקוחות</v>
      </c>
      <c r="AQ3823" t="str">
        <f>"034"</f>
        <v>034</v>
      </c>
      <c r="AR3823">
        <v>0</v>
      </c>
      <c r="AS3823">
        <v>0</v>
      </c>
      <c r="AT3823">
        <v>3.5790000000000002</v>
      </c>
      <c r="BB3823" t="str">
        <f>"Y"</f>
        <v>Y</v>
      </c>
      <c r="BD3823" t="str">
        <f>"ערן שלו"</f>
        <v>ערן שלו</v>
      </c>
    </row>
    <row r="3824" spans="1:56" x14ac:dyDescent="0.3">
      <c r="A3824" s="1">
        <v>43937</v>
      </c>
      <c r="B3824" t="str">
        <f>"SI206000356"</f>
        <v>SI206000356</v>
      </c>
      <c r="C3824" t="str">
        <f>"PR19000724"</f>
        <v>PR19000724</v>
      </c>
      <c r="E3824" t="str">
        <f>"Y"</f>
        <v>Y</v>
      </c>
      <c r="F3824" t="str">
        <f>"חשבוניות מרכזות"</f>
        <v>חשבוניות מרכזות</v>
      </c>
      <c r="G3824" t="str">
        <f>"700065"</f>
        <v>700065</v>
      </c>
      <c r="H3824" t="str">
        <f>"אלתא מערכות בע""מ"</f>
        <v>אלתא מערכות בע"מ</v>
      </c>
      <c r="I3824" t="str">
        <f>"10"</f>
        <v>10</v>
      </c>
      <c r="J3824" t="str">
        <f>"PA1100512"</f>
        <v>PA1100512</v>
      </c>
      <c r="K3824" t="str">
        <f>"ITS4106A5C36-01SL1M144B1KG12TMCR מחבר"</f>
        <v>ITS4106A5C36-01SL1M144B1KG12TMCR מחבר</v>
      </c>
      <c r="L3824">
        <v>3</v>
      </c>
      <c r="M3824" t="str">
        <f>"יח"</f>
        <v>יח</v>
      </c>
      <c r="N3824">
        <v>3</v>
      </c>
      <c r="O3824" t="str">
        <f>"יח"</f>
        <v>יח</v>
      </c>
      <c r="P3824">
        <v>0</v>
      </c>
      <c r="Q3824" t="str">
        <f>"$"</f>
        <v>$</v>
      </c>
      <c r="R3824" t="str">
        <f>"הזמנה"</f>
        <v>הזמנה</v>
      </c>
      <c r="S3824">
        <v>0</v>
      </c>
      <c r="T3824">
        <v>0</v>
      </c>
      <c r="U3824">
        <v>2</v>
      </c>
      <c r="V3824">
        <v>0</v>
      </c>
      <c r="W3824" t="str">
        <f>"$"</f>
        <v>$</v>
      </c>
      <c r="X3824">
        <v>0</v>
      </c>
      <c r="Y3824">
        <v>0</v>
      </c>
      <c r="Z3824">
        <v>0</v>
      </c>
      <c r="AA3824" t="str">
        <f>"Y"</f>
        <v>Y</v>
      </c>
      <c r="AC3824">
        <v>0</v>
      </c>
      <c r="AM3824" t="str">
        <f>"10"</f>
        <v>10</v>
      </c>
      <c r="AN3824" t="str">
        <f>"500000"</f>
        <v>500000</v>
      </c>
      <c r="AO3824" t="str">
        <f>"הכנסות  מלקוחות"</f>
        <v>הכנסות  מלקוחות</v>
      </c>
      <c r="AQ3824" t="str">
        <f>"034"</f>
        <v>034</v>
      </c>
      <c r="AR3824">
        <v>0</v>
      </c>
      <c r="AS3824">
        <v>0</v>
      </c>
      <c r="AT3824">
        <v>3.5790000000000002</v>
      </c>
      <c r="BB3824" t="str">
        <f>"Y"</f>
        <v>Y</v>
      </c>
      <c r="BD3824" t="str">
        <f>"ערן שלו"</f>
        <v>ערן שלו</v>
      </c>
    </row>
    <row r="3825" spans="1:56" x14ac:dyDescent="0.3">
      <c r="A3825" s="1">
        <v>43937</v>
      </c>
      <c r="B3825" t="str">
        <f>"SI206000356"</f>
        <v>SI206000356</v>
      </c>
      <c r="C3825" t="str">
        <f>"PR19000724"</f>
        <v>PR19000724</v>
      </c>
      <c r="E3825" t="str">
        <f>"Y"</f>
        <v>Y</v>
      </c>
      <c r="F3825" t="str">
        <f>"חשבוניות מרכזות"</f>
        <v>חשבוניות מרכזות</v>
      </c>
      <c r="G3825" t="str">
        <f>"700065"</f>
        <v>700065</v>
      </c>
      <c r="H3825" t="str">
        <f>"אלתא מערכות בע""מ"</f>
        <v>אלתא מערכות בע"מ</v>
      </c>
      <c r="I3825" t="str">
        <f>"10"</f>
        <v>10</v>
      </c>
      <c r="J3825" t="str">
        <f>"PA1100513"</f>
        <v>PA1100513</v>
      </c>
      <c r="K3825" t="str">
        <f>"ITS4106A5C36-01PM144B1KG12TMCB מחבר"</f>
        <v>ITS4106A5C36-01PM144B1KG12TMCB מחבר</v>
      </c>
      <c r="L3825">
        <v>3</v>
      </c>
      <c r="M3825" t="str">
        <f>"יח"</f>
        <v>יח</v>
      </c>
      <c r="N3825">
        <v>3</v>
      </c>
      <c r="O3825" t="str">
        <f>"יח"</f>
        <v>יח</v>
      </c>
      <c r="P3825">
        <v>0</v>
      </c>
      <c r="Q3825" t="str">
        <f>"$"</f>
        <v>$</v>
      </c>
      <c r="R3825" t="str">
        <f>"הזמנה"</f>
        <v>הזמנה</v>
      </c>
      <c r="S3825">
        <v>0</v>
      </c>
      <c r="T3825">
        <v>0</v>
      </c>
      <c r="U3825">
        <v>2</v>
      </c>
      <c r="V3825">
        <v>0</v>
      </c>
      <c r="W3825" t="str">
        <f>"$"</f>
        <v>$</v>
      </c>
      <c r="X3825">
        <v>0</v>
      </c>
      <c r="Y3825">
        <v>0</v>
      </c>
      <c r="Z3825">
        <v>0</v>
      </c>
      <c r="AA3825" t="str">
        <f>"Y"</f>
        <v>Y</v>
      </c>
      <c r="AC3825">
        <v>0</v>
      </c>
      <c r="AM3825" t="str">
        <f>"10"</f>
        <v>10</v>
      </c>
      <c r="AN3825" t="str">
        <f>"500000"</f>
        <v>500000</v>
      </c>
      <c r="AO3825" t="str">
        <f>"הכנסות  מלקוחות"</f>
        <v>הכנסות  מלקוחות</v>
      </c>
      <c r="AQ3825" t="str">
        <f>"034"</f>
        <v>034</v>
      </c>
      <c r="AR3825">
        <v>0</v>
      </c>
      <c r="AS3825">
        <v>0</v>
      </c>
      <c r="AT3825">
        <v>3.5790000000000002</v>
      </c>
      <c r="BB3825" t="str">
        <f>"Y"</f>
        <v>Y</v>
      </c>
      <c r="BD3825" t="str">
        <f>"ערן שלו"</f>
        <v>ערן שלו</v>
      </c>
    </row>
    <row r="3826" spans="1:56" x14ac:dyDescent="0.3">
      <c r="A3826" s="1">
        <v>43937</v>
      </c>
      <c r="B3826" t="str">
        <f>"SI206000356"</f>
        <v>SI206000356</v>
      </c>
      <c r="C3826" t="str">
        <f>"PR19000724"</f>
        <v>PR19000724</v>
      </c>
      <c r="E3826" t="str">
        <f>"Y"</f>
        <v>Y</v>
      </c>
      <c r="F3826" t="str">
        <f>"חשבוניות מרכזות"</f>
        <v>חשבוניות מרכזות</v>
      </c>
      <c r="G3826" t="str">
        <f>"700065"</f>
        <v>700065</v>
      </c>
      <c r="H3826" t="str">
        <f>"אלתא מערכות בע""מ"</f>
        <v>אלתא מערכות בע"מ</v>
      </c>
      <c r="I3826" t="str">
        <f>"10"</f>
        <v>10</v>
      </c>
      <c r="J3826" t="str">
        <f>"PA1100514"</f>
        <v>PA1100514</v>
      </c>
      <c r="K3826" t="str">
        <f>"ITS4106A5C36-01SM144B1KG12TMCB מחבר"</f>
        <v>ITS4106A5C36-01SM144B1KG12TMCB מחבר</v>
      </c>
      <c r="L3826">
        <v>3</v>
      </c>
      <c r="M3826" t="str">
        <f>"יח"</f>
        <v>יח</v>
      </c>
      <c r="N3826">
        <v>3</v>
      </c>
      <c r="O3826" t="str">
        <f>"יח"</f>
        <v>יח</v>
      </c>
      <c r="P3826">
        <v>0</v>
      </c>
      <c r="Q3826" t="str">
        <f>"$"</f>
        <v>$</v>
      </c>
      <c r="R3826" t="str">
        <f>"הזמנה"</f>
        <v>הזמנה</v>
      </c>
      <c r="S3826">
        <v>0</v>
      </c>
      <c r="T3826">
        <v>0</v>
      </c>
      <c r="U3826">
        <v>2</v>
      </c>
      <c r="V3826">
        <v>0</v>
      </c>
      <c r="W3826" t="str">
        <f>"$"</f>
        <v>$</v>
      </c>
      <c r="X3826">
        <v>0</v>
      </c>
      <c r="Y3826">
        <v>0</v>
      </c>
      <c r="Z3826">
        <v>0</v>
      </c>
      <c r="AA3826" t="str">
        <f>"Y"</f>
        <v>Y</v>
      </c>
      <c r="AC3826">
        <v>0</v>
      </c>
      <c r="AM3826" t="str">
        <f>"10"</f>
        <v>10</v>
      </c>
      <c r="AN3826" t="str">
        <f>"500000"</f>
        <v>500000</v>
      </c>
      <c r="AO3826" t="str">
        <f>"הכנסות  מלקוחות"</f>
        <v>הכנסות  מלקוחות</v>
      </c>
      <c r="AQ3826" t="str">
        <f>"034"</f>
        <v>034</v>
      </c>
      <c r="AR3826">
        <v>0</v>
      </c>
      <c r="AS3826">
        <v>0</v>
      </c>
      <c r="AT3826">
        <v>3.5790000000000002</v>
      </c>
      <c r="BB3826" t="str">
        <f>"Y"</f>
        <v>Y</v>
      </c>
      <c r="BD3826" t="str">
        <f>"ערן שלו"</f>
        <v>ערן שלו</v>
      </c>
    </row>
    <row r="3827" spans="1:56" x14ac:dyDescent="0.3">
      <c r="A3827" s="1">
        <v>43937</v>
      </c>
      <c r="B3827" t="str">
        <f>"SI206000355"</f>
        <v>SI206000355</v>
      </c>
      <c r="C3827" t="str">
        <f>"PR19000724"</f>
        <v>PR19000724</v>
      </c>
      <c r="E3827" t="str">
        <f>"Y"</f>
        <v>Y</v>
      </c>
      <c r="F3827" t="str">
        <f>"חשבוניות מרכזות"</f>
        <v>חשבוניות מרכזות</v>
      </c>
      <c r="G3827" t="str">
        <f>"700065"</f>
        <v>700065</v>
      </c>
      <c r="H3827" t="str">
        <f>"אלתא מערכות בע""מ"</f>
        <v>אלתא מערכות בע"מ</v>
      </c>
      <c r="I3827" t="str">
        <f>"10"</f>
        <v>10</v>
      </c>
      <c r="J3827" t="str">
        <f>"000"</f>
        <v>000</v>
      </c>
      <c r="K3827" t="str">
        <f>"MQQ עבור 6 קונקטורים"</f>
        <v>MQQ עבור 6 קונקטורים</v>
      </c>
      <c r="L3827">
        <v>-1</v>
      </c>
      <c r="M3827" t="str">
        <f>"יח"</f>
        <v>יח</v>
      </c>
      <c r="N3827">
        <v>-1</v>
      </c>
      <c r="O3827" t="str">
        <f>"יח"</f>
        <v>יח</v>
      </c>
      <c r="P3827" s="2">
        <v>4509.13</v>
      </c>
      <c r="Q3827" t="str">
        <f>"$"</f>
        <v>$</v>
      </c>
      <c r="R3827" t="str">
        <f>"הזמנה"</f>
        <v>הזמנה</v>
      </c>
      <c r="S3827">
        <v>0</v>
      </c>
      <c r="T3827" s="2">
        <v>-4509.13</v>
      </c>
      <c r="U3827">
        <v>2</v>
      </c>
      <c r="V3827" s="2">
        <v>-4418.95</v>
      </c>
      <c r="W3827" t="str">
        <f>"$"</f>
        <v>$</v>
      </c>
      <c r="X3827">
        <v>0</v>
      </c>
      <c r="Y3827">
        <v>0</v>
      </c>
      <c r="Z3827">
        <v>0</v>
      </c>
      <c r="AA3827" t="str">
        <f>"Y"</f>
        <v>Y</v>
      </c>
      <c r="AC3827">
        <v>0</v>
      </c>
      <c r="AM3827" t="str">
        <f>"10"</f>
        <v>10</v>
      </c>
      <c r="AN3827" t="str">
        <f>"500000"</f>
        <v>500000</v>
      </c>
      <c r="AO3827" t="str">
        <f>"הכנסות  מלקוחות"</f>
        <v>הכנסות  מלקוחות</v>
      </c>
      <c r="AQ3827" t="str">
        <f>"034"</f>
        <v>034</v>
      </c>
      <c r="AR3827">
        <v>0</v>
      </c>
      <c r="AS3827">
        <v>0</v>
      </c>
      <c r="AT3827">
        <v>3.5790000000000002</v>
      </c>
      <c r="BB3827" t="str">
        <f>"Y"</f>
        <v>Y</v>
      </c>
      <c r="BD3827" t="str">
        <f>"ערן שלו"</f>
        <v>ערן שלו</v>
      </c>
    </row>
    <row r="3828" spans="1:56" x14ac:dyDescent="0.3">
      <c r="A3828" s="1">
        <v>43937</v>
      </c>
      <c r="B3828" t="str">
        <f>"SI206000355"</f>
        <v>SI206000355</v>
      </c>
      <c r="C3828" t="str">
        <f>"PR19000724"</f>
        <v>PR19000724</v>
      </c>
      <c r="E3828" t="str">
        <f>"Y"</f>
        <v>Y</v>
      </c>
      <c r="F3828" t="str">
        <f>"חשבוניות מרכזות"</f>
        <v>חשבוניות מרכזות</v>
      </c>
      <c r="G3828" t="str">
        <f>"700065"</f>
        <v>700065</v>
      </c>
      <c r="H3828" t="str">
        <f>"אלתא מערכות בע""מ"</f>
        <v>אלתא מערכות בע"מ</v>
      </c>
      <c r="I3828" t="str">
        <f>"10"</f>
        <v>10</v>
      </c>
      <c r="J3828" t="str">
        <f>"000"</f>
        <v>000</v>
      </c>
      <c r="K3828" t="str">
        <f>"MQQ עבור 6 קונקטורים"</f>
        <v>MQQ עבור 6 קונקטורים</v>
      </c>
      <c r="L3828">
        <v>-1</v>
      </c>
      <c r="M3828" t="str">
        <f>"יח"</f>
        <v>יח</v>
      </c>
      <c r="N3828">
        <v>-1</v>
      </c>
      <c r="O3828" t="str">
        <f>"יח"</f>
        <v>יח</v>
      </c>
      <c r="P3828" s="2">
        <v>4509.55</v>
      </c>
      <c r="Q3828" t="str">
        <f>"$"</f>
        <v>$</v>
      </c>
      <c r="R3828" t="str">
        <f>"הזמנה"</f>
        <v>הזמנה</v>
      </c>
      <c r="S3828">
        <v>0</v>
      </c>
      <c r="T3828" s="2">
        <v>-4509.55</v>
      </c>
      <c r="U3828">
        <v>2</v>
      </c>
      <c r="V3828" s="2">
        <v>-4419.3599999999997</v>
      </c>
      <c r="W3828" t="str">
        <f>"$"</f>
        <v>$</v>
      </c>
      <c r="X3828">
        <v>0</v>
      </c>
      <c r="Y3828">
        <v>0</v>
      </c>
      <c r="Z3828">
        <v>0</v>
      </c>
      <c r="AA3828" t="str">
        <f>"Y"</f>
        <v>Y</v>
      </c>
      <c r="AC3828">
        <v>0</v>
      </c>
      <c r="AM3828" t="str">
        <f>"10"</f>
        <v>10</v>
      </c>
      <c r="AN3828" t="str">
        <f>"500000"</f>
        <v>500000</v>
      </c>
      <c r="AO3828" t="str">
        <f>"הכנסות  מלקוחות"</f>
        <v>הכנסות  מלקוחות</v>
      </c>
      <c r="AQ3828" t="str">
        <f>"034"</f>
        <v>034</v>
      </c>
      <c r="AR3828">
        <v>0</v>
      </c>
      <c r="AS3828">
        <v>0</v>
      </c>
      <c r="AT3828">
        <v>3.5790000000000002</v>
      </c>
      <c r="BB3828" t="str">
        <f>"Y"</f>
        <v>Y</v>
      </c>
      <c r="BD3828" t="str">
        <f>"ערן שלו"</f>
        <v>ערן שלו</v>
      </c>
    </row>
    <row r="3829" spans="1:56" x14ac:dyDescent="0.3">
      <c r="A3829" s="1">
        <v>43937</v>
      </c>
      <c r="B3829" t="str">
        <f>"SI206000355"</f>
        <v>SI206000355</v>
      </c>
      <c r="C3829" t="str">
        <f>"PR19000724"</f>
        <v>PR19000724</v>
      </c>
      <c r="E3829" t="str">
        <f>"Y"</f>
        <v>Y</v>
      </c>
      <c r="F3829" t="str">
        <f>"חשבוניות מרכזות"</f>
        <v>חשבוניות מרכזות</v>
      </c>
      <c r="G3829" t="str">
        <f>"700065"</f>
        <v>700065</v>
      </c>
      <c r="H3829" t="str">
        <f>"אלתא מערכות בע""מ"</f>
        <v>אלתא מערכות בע"מ</v>
      </c>
      <c r="I3829" t="str">
        <f>"10"</f>
        <v>10</v>
      </c>
      <c r="J3829" t="str">
        <f>"CB1100205"</f>
        <v>CB1100205</v>
      </c>
      <c r="K3829" t="str">
        <f>"כבל הזנה 20 H07RNF 5X35מ', 5X125A IP67 , נעל כבל"</f>
        <v>כבל הזנה 20 H07RNF 5X35מ', 5X125A IP67 , נעל כבל</v>
      </c>
      <c r="L3829">
        <v>-1</v>
      </c>
      <c r="M3829" t="str">
        <f>"יח"</f>
        <v>יח</v>
      </c>
      <c r="N3829">
        <v>-1</v>
      </c>
      <c r="O3829" t="str">
        <f>"יח"</f>
        <v>יח</v>
      </c>
      <c r="P3829" s="2">
        <v>1229.9000000000001</v>
      </c>
      <c r="Q3829" t="str">
        <f>"$"</f>
        <v>$</v>
      </c>
      <c r="R3829" t="str">
        <f>"הזמנה"</f>
        <v>הזמנה</v>
      </c>
      <c r="S3829">
        <v>0</v>
      </c>
      <c r="T3829" s="2">
        <v>-1229.9000000000001</v>
      </c>
      <c r="U3829">
        <v>2</v>
      </c>
      <c r="V3829" s="2">
        <v>-1205.3</v>
      </c>
      <c r="W3829" t="str">
        <f>"$"</f>
        <v>$</v>
      </c>
      <c r="X3829">
        <v>0</v>
      </c>
      <c r="Y3829">
        <v>0</v>
      </c>
      <c r="Z3829">
        <v>0</v>
      </c>
      <c r="AA3829" t="str">
        <f>"Y"</f>
        <v>Y</v>
      </c>
      <c r="AC3829">
        <v>0</v>
      </c>
      <c r="AM3829" t="str">
        <f>"10"</f>
        <v>10</v>
      </c>
      <c r="AN3829" t="str">
        <f>"500000"</f>
        <v>500000</v>
      </c>
      <c r="AO3829" t="str">
        <f>"הכנסות  מלקוחות"</f>
        <v>הכנסות  מלקוחות</v>
      </c>
      <c r="AQ3829" t="str">
        <f>"034"</f>
        <v>034</v>
      </c>
      <c r="AR3829">
        <v>0</v>
      </c>
      <c r="AS3829">
        <v>0</v>
      </c>
      <c r="AT3829">
        <v>3.5790000000000002</v>
      </c>
      <c r="BB3829" t="str">
        <f>"Y"</f>
        <v>Y</v>
      </c>
      <c r="BD3829" t="str">
        <f>"ערן שלו"</f>
        <v>ערן שלו</v>
      </c>
    </row>
    <row r="3830" spans="1:56" x14ac:dyDescent="0.3">
      <c r="A3830" s="1">
        <v>43937</v>
      </c>
      <c r="B3830" t="str">
        <f>"SI206000355"</f>
        <v>SI206000355</v>
      </c>
      <c r="C3830" t="str">
        <f>"PR19000724"</f>
        <v>PR19000724</v>
      </c>
      <c r="E3830" t="str">
        <f>"Y"</f>
        <v>Y</v>
      </c>
      <c r="F3830" t="str">
        <f>"חשבוניות מרכזות"</f>
        <v>חשבוניות מרכזות</v>
      </c>
      <c r="G3830" t="str">
        <f>"700065"</f>
        <v>700065</v>
      </c>
      <c r="H3830" t="str">
        <f>"אלתא מערכות בע""מ"</f>
        <v>אלתא מערכות בע"מ</v>
      </c>
      <c r="I3830" t="str">
        <f>"10"</f>
        <v>10</v>
      </c>
      <c r="J3830" t="str">
        <f>"OP-AR22723"</f>
        <v>OP-AR22723</v>
      </c>
      <c r="K3830" t="str">
        <f>"CB1100206"</f>
        <v>CB1100206</v>
      </c>
      <c r="L3830">
        <v>-1</v>
      </c>
      <c r="M3830" t="str">
        <f>"יח"</f>
        <v>יח</v>
      </c>
      <c r="N3830">
        <v>-1</v>
      </c>
      <c r="O3830" t="str">
        <f>"יח"</f>
        <v>יח</v>
      </c>
      <c r="P3830" s="2">
        <v>3189.9</v>
      </c>
      <c r="Q3830" t="str">
        <f>"$"</f>
        <v>$</v>
      </c>
      <c r="R3830" t="str">
        <f>"הזמנה"</f>
        <v>הזמנה</v>
      </c>
      <c r="S3830">
        <v>0</v>
      </c>
      <c r="T3830" s="2">
        <v>-3189.9</v>
      </c>
      <c r="U3830">
        <v>2</v>
      </c>
      <c r="V3830" s="2">
        <v>-3126.1</v>
      </c>
      <c r="W3830" t="str">
        <f>"$"</f>
        <v>$</v>
      </c>
      <c r="X3830">
        <v>0</v>
      </c>
      <c r="Y3830">
        <v>0</v>
      </c>
      <c r="Z3830">
        <v>0</v>
      </c>
      <c r="AA3830" t="str">
        <f>"Y"</f>
        <v>Y</v>
      </c>
      <c r="AC3830">
        <v>0</v>
      </c>
      <c r="AM3830" t="str">
        <f>"10"</f>
        <v>10</v>
      </c>
      <c r="AN3830" t="str">
        <f>"500000"</f>
        <v>500000</v>
      </c>
      <c r="AO3830" t="str">
        <f>"הכנסות  מלקוחות"</f>
        <v>הכנסות  מלקוחות</v>
      </c>
      <c r="AQ3830" t="str">
        <f>"034"</f>
        <v>034</v>
      </c>
      <c r="AR3830">
        <v>0</v>
      </c>
      <c r="AS3830">
        <v>0</v>
      </c>
      <c r="AT3830">
        <v>3.5790000000000002</v>
      </c>
      <c r="BB3830" t="str">
        <f>"Y"</f>
        <v>Y</v>
      </c>
      <c r="BD3830" t="str">
        <f>"ערן שלו"</f>
        <v>ערן שלו</v>
      </c>
    </row>
    <row r="3831" spans="1:56" x14ac:dyDescent="0.3">
      <c r="A3831" s="1">
        <v>43937</v>
      </c>
      <c r="B3831" t="str">
        <f>"SI206000355"</f>
        <v>SI206000355</v>
      </c>
      <c r="C3831" t="str">
        <f>"PR19000724"</f>
        <v>PR19000724</v>
      </c>
      <c r="E3831" t="str">
        <f>"Y"</f>
        <v>Y</v>
      </c>
      <c r="F3831" t="str">
        <f>"חשבוניות מרכזות"</f>
        <v>חשבוניות מרכזות</v>
      </c>
      <c r="G3831" t="str">
        <f>"700065"</f>
        <v>700065</v>
      </c>
      <c r="H3831" t="str">
        <f>"אלתא מערכות בע""מ"</f>
        <v>אלתא מערכות בע"מ</v>
      </c>
      <c r="I3831" t="str">
        <f>"10"</f>
        <v>10</v>
      </c>
      <c r="J3831" t="str">
        <f>"CB1100207"</f>
        <v>CB1100207</v>
      </c>
      <c r="K3831" t="str">
        <f>"כבל 50 H07RNF 1X95 -320מ', 2 מחברי ITS4106A5C36"</f>
        <v>כבל 50 H07RNF 1X95 -320מ', 2 מחברי ITS4106A5C36</v>
      </c>
      <c r="L3831">
        <v>-1</v>
      </c>
      <c r="M3831" t="str">
        <f>"יח"</f>
        <v>יח</v>
      </c>
      <c r="N3831">
        <v>-1</v>
      </c>
      <c r="O3831" t="str">
        <f>"יח"</f>
        <v>יח</v>
      </c>
      <c r="P3831" s="2">
        <v>3483.9</v>
      </c>
      <c r="Q3831" t="str">
        <f>"$"</f>
        <v>$</v>
      </c>
      <c r="R3831" t="str">
        <f>"הזמנה"</f>
        <v>הזמנה</v>
      </c>
      <c r="S3831">
        <v>0</v>
      </c>
      <c r="T3831" s="2">
        <v>-3483.9</v>
      </c>
      <c r="U3831">
        <v>2</v>
      </c>
      <c r="V3831" s="2">
        <v>-3414.22</v>
      </c>
      <c r="W3831" t="str">
        <f>"$"</f>
        <v>$</v>
      </c>
      <c r="X3831">
        <v>0</v>
      </c>
      <c r="Y3831">
        <v>0</v>
      </c>
      <c r="Z3831">
        <v>0</v>
      </c>
      <c r="AA3831" t="str">
        <f>"Y"</f>
        <v>Y</v>
      </c>
      <c r="AC3831">
        <v>0</v>
      </c>
      <c r="AM3831" t="str">
        <f>"10"</f>
        <v>10</v>
      </c>
      <c r="AN3831" t="str">
        <f>"500000"</f>
        <v>500000</v>
      </c>
      <c r="AO3831" t="str">
        <f>"הכנסות  מלקוחות"</f>
        <v>הכנסות  מלקוחות</v>
      </c>
      <c r="AQ3831" t="str">
        <f>"034"</f>
        <v>034</v>
      </c>
      <c r="AR3831">
        <v>0</v>
      </c>
      <c r="AS3831">
        <v>0</v>
      </c>
      <c r="AT3831">
        <v>3.5790000000000002</v>
      </c>
      <c r="BB3831" t="str">
        <f>"Y"</f>
        <v>Y</v>
      </c>
      <c r="BD3831" t="str">
        <f>"ערן שלו"</f>
        <v>ערן שלו</v>
      </c>
    </row>
    <row r="3832" spans="1:56" x14ac:dyDescent="0.3">
      <c r="A3832" s="1">
        <v>43937</v>
      </c>
      <c r="B3832" t="str">
        <f>"SI206000355"</f>
        <v>SI206000355</v>
      </c>
      <c r="C3832" t="str">
        <f>"PR19000724"</f>
        <v>PR19000724</v>
      </c>
      <c r="E3832" t="str">
        <f>"Y"</f>
        <v>Y</v>
      </c>
      <c r="F3832" t="str">
        <f>"חשבוניות מרכזות"</f>
        <v>חשבוניות מרכזות</v>
      </c>
      <c r="G3832" t="str">
        <f>"700065"</f>
        <v>700065</v>
      </c>
      <c r="H3832" t="str">
        <f>"אלתא מערכות בע""מ"</f>
        <v>אלתא מערכות בע"מ</v>
      </c>
      <c r="I3832" t="str">
        <f>"10"</f>
        <v>10</v>
      </c>
      <c r="J3832" t="str">
        <f>"PA1100511"</f>
        <v>PA1100511</v>
      </c>
      <c r="K3832" t="str">
        <f>"ITS4106A5C36-01PL1M144B1KG12TMCR מחבר"</f>
        <v>ITS4106A5C36-01PL1M144B1KG12TMCR מחבר</v>
      </c>
      <c r="L3832">
        <v>-3</v>
      </c>
      <c r="M3832" t="str">
        <f>"יח"</f>
        <v>יח</v>
      </c>
      <c r="N3832">
        <v>-3</v>
      </c>
      <c r="O3832" t="str">
        <f>"יח"</f>
        <v>יח</v>
      </c>
      <c r="P3832">
        <v>0</v>
      </c>
      <c r="Q3832" t="str">
        <f>"$"</f>
        <v>$</v>
      </c>
      <c r="R3832" t="str">
        <f>"הזמנה"</f>
        <v>הזמנה</v>
      </c>
      <c r="S3832">
        <v>0</v>
      </c>
      <c r="T3832">
        <v>0</v>
      </c>
      <c r="U3832">
        <v>2</v>
      </c>
      <c r="V3832">
        <v>0</v>
      </c>
      <c r="W3832" t="str">
        <f>"$"</f>
        <v>$</v>
      </c>
      <c r="X3832">
        <v>0</v>
      </c>
      <c r="Y3832">
        <v>0</v>
      </c>
      <c r="Z3832">
        <v>0</v>
      </c>
      <c r="AA3832" t="str">
        <f>"Y"</f>
        <v>Y</v>
      </c>
      <c r="AC3832">
        <v>0</v>
      </c>
      <c r="AM3832" t="str">
        <f>"10"</f>
        <v>10</v>
      </c>
      <c r="AN3832" t="str">
        <f>"500000"</f>
        <v>500000</v>
      </c>
      <c r="AO3832" t="str">
        <f>"הכנסות  מלקוחות"</f>
        <v>הכנסות  מלקוחות</v>
      </c>
      <c r="AQ3832" t="str">
        <f>"034"</f>
        <v>034</v>
      </c>
      <c r="AR3832">
        <v>0</v>
      </c>
      <c r="AS3832">
        <v>0</v>
      </c>
      <c r="AT3832">
        <v>3.5790000000000002</v>
      </c>
      <c r="BB3832" t="str">
        <f>"Y"</f>
        <v>Y</v>
      </c>
      <c r="BD3832" t="str">
        <f>"ערן שלו"</f>
        <v>ערן שלו</v>
      </c>
    </row>
    <row r="3833" spans="1:56" x14ac:dyDescent="0.3">
      <c r="A3833" s="1">
        <v>43937</v>
      </c>
      <c r="B3833" t="str">
        <f>"SI206000355"</f>
        <v>SI206000355</v>
      </c>
      <c r="C3833" t="str">
        <f>"PR19000724"</f>
        <v>PR19000724</v>
      </c>
      <c r="E3833" t="str">
        <f>"Y"</f>
        <v>Y</v>
      </c>
      <c r="F3833" t="str">
        <f>"חשבוניות מרכזות"</f>
        <v>חשבוניות מרכזות</v>
      </c>
      <c r="G3833" t="str">
        <f>"700065"</f>
        <v>700065</v>
      </c>
      <c r="H3833" t="str">
        <f>"אלתא מערכות בע""מ"</f>
        <v>אלתא מערכות בע"מ</v>
      </c>
      <c r="I3833" t="str">
        <f>"10"</f>
        <v>10</v>
      </c>
      <c r="J3833" t="str">
        <f>"PA1100512"</f>
        <v>PA1100512</v>
      </c>
      <c r="K3833" t="str">
        <f>"ITS4106A5C36-01SL1M144B1KG12TMCR מחבר"</f>
        <v>ITS4106A5C36-01SL1M144B1KG12TMCR מחבר</v>
      </c>
      <c r="L3833">
        <v>-3</v>
      </c>
      <c r="M3833" t="str">
        <f>"יח"</f>
        <v>יח</v>
      </c>
      <c r="N3833">
        <v>-3</v>
      </c>
      <c r="O3833" t="str">
        <f>"יח"</f>
        <v>יח</v>
      </c>
      <c r="P3833">
        <v>0</v>
      </c>
      <c r="Q3833" t="str">
        <f>"$"</f>
        <v>$</v>
      </c>
      <c r="R3833" t="str">
        <f>"הזמנה"</f>
        <v>הזמנה</v>
      </c>
      <c r="S3833">
        <v>0</v>
      </c>
      <c r="T3833">
        <v>0</v>
      </c>
      <c r="U3833">
        <v>2</v>
      </c>
      <c r="V3833">
        <v>0</v>
      </c>
      <c r="W3833" t="str">
        <f>"$"</f>
        <v>$</v>
      </c>
      <c r="X3833">
        <v>0</v>
      </c>
      <c r="Y3833">
        <v>0</v>
      </c>
      <c r="Z3833">
        <v>0</v>
      </c>
      <c r="AA3833" t="str">
        <f>"Y"</f>
        <v>Y</v>
      </c>
      <c r="AC3833">
        <v>0</v>
      </c>
      <c r="AM3833" t="str">
        <f>"10"</f>
        <v>10</v>
      </c>
      <c r="AN3833" t="str">
        <f>"500000"</f>
        <v>500000</v>
      </c>
      <c r="AO3833" t="str">
        <f>"הכנסות  מלקוחות"</f>
        <v>הכנסות  מלקוחות</v>
      </c>
      <c r="AQ3833" t="str">
        <f>"034"</f>
        <v>034</v>
      </c>
      <c r="AR3833">
        <v>0</v>
      </c>
      <c r="AS3833">
        <v>0</v>
      </c>
      <c r="AT3833">
        <v>3.5790000000000002</v>
      </c>
      <c r="BB3833" t="str">
        <f>"Y"</f>
        <v>Y</v>
      </c>
      <c r="BD3833" t="str">
        <f>"ערן שלו"</f>
        <v>ערן שלו</v>
      </c>
    </row>
    <row r="3834" spans="1:56" x14ac:dyDescent="0.3">
      <c r="A3834" s="1">
        <v>43937</v>
      </c>
      <c r="B3834" t="str">
        <f>"SI206000355"</f>
        <v>SI206000355</v>
      </c>
      <c r="C3834" t="str">
        <f>"PR19000724"</f>
        <v>PR19000724</v>
      </c>
      <c r="E3834" t="str">
        <f>"Y"</f>
        <v>Y</v>
      </c>
      <c r="F3834" t="str">
        <f>"חשבוניות מרכזות"</f>
        <v>חשבוניות מרכזות</v>
      </c>
      <c r="G3834" t="str">
        <f>"700065"</f>
        <v>700065</v>
      </c>
      <c r="H3834" t="str">
        <f>"אלתא מערכות בע""מ"</f>
        <v>אלתא מערכות בע"מ</v>
      </c>
      <c r="I3834" t="str">
        <f>"10"</f>
        <v>10</v>
      </c>
      <c r="J3834" t="str">
        <f>"PA1100513"</f>
        <v>PA1100513</v>
      </c>
      <c r="K3834" t="str">
        <f>"ITS4106A5C36-01PM144B1KG12TMCB מחבר"</f>
        <v>ITS4106A5C36-01PM144B1KG12TMCB מחבר</v>
      </c>
      <c r="L3834">
        <v>-3</v>
      </c>
      <c r="M3834" t="str">
        <f>"יח"</f>
        <v>יח</v>
      </c>
      <c r="N3834">
        <v>-3</v>
      </c>
      <c r="O3834" t="str">
        <f>"יח"</f>
        <v>יח</v>
      </c>
      <c r="P3834">
        <v>0</v>
      </c>
      <c r="Q3834" t="str">
        <f>"$"</f>
        <v>$</v>
      </c>
      <c r="R3834" t="str">
        <f>"הזמנה"</f>
        <v>הזמנה</v>
      </c>
      <c r="S3834">
        <v>0</v>
      </c>
      <c r="T3834">
        <v>0</v>
      </c>
      <c r="U3834">
        <v>2</v>
      </c>
      <c r="V3834">
        <v>0</v>
      </c>
      <c r="W3834" t="str">
        <f>"$"</f>
        <v>$</v>
      </c>
      <c r="X3834">
        <v>0</v>
      </c>
      <c r="Y3834">
        <v>0</v>
      </c>
      <c r="Z3834">
        <v>0</v>
      </c>
      <c r="AA3834" t="str">
        <f>"Y"</f>
        <v>Y</v>
      </c>
      <c r="AC3834">
        <v>0</v>
      </c>
      <c r="AM3834" t="str">
        <f>"10"</f>
        <v>10</v>
      </c>
      <c r="AN3834" t="str">
        <f>"500000"</f>
        <v>500000</v>
      </c>
      <c r="AO3834" t="str">
        <f>"הכנסות  מלקוחות"</f>
        <v>הכנסות  מלקוחות</v>
      </c>
      <c r="AQ3834" t="str">
        <f>"034"</f>
        <v>034</v>
      </c>
      <c r="AR3834">
        <v>0</v>
      </c>
      <c r="AS3834">
        <v>0</v>
      </c>
      <c r="AT3834">
        <v>3.5790000000000002</v>
      </c>
      <c r="BB3834" t="str">
        <f>"Y"</f>
        <v>Y</v>
      </c>
      <c r="BD3834" t="str">
        <f>"ערן שלו"</f>
        <v>ערן שלו</v>
      </c>
    </row>
    <row r="3835" spans="1:56" x14ac:dyDescent="0.3">
      <c r="A3835" s="1">
        <v>43937</v>
      </c>
      <c r="B3835" t="str">
        <f>"SI206000355"</f>
        <v>SI206000355</v>
      </c>
      <c r="C3835" t="str">
        <f>"PR19000724"</f>
        <v>PR19000724</v>
      </c>
      <c r="E3835" t="str">
        <f>"Y"</f>
        <v>Y</v>
      </c>
      <c r="F3835" t="str">
        <f>"חשבוניות מרכזות"</f>
        <v>חשבוניות מרכזות</v>
      </c>
      <c r="G3835" t="str">
        <f>"700065"</f>
        <v>700065</v>
      </c>
      <c r="H3835" t="str">
        <f>"אלתא מערכות בע""מ"</f>
        <v>אלתא מערכות בע"מ</v>
      </c>
      <c r="I3835" t="str">
        <f>"10"</f>
        <v>10</v>
      </c>
      <c r="J3835" t="str">
        <f>"PA1100514"</f>
        <v>PA1100514</v>
      </c>
      <c r="K3835" t="str">
        <f>"ITS4106A5C36-01SM144B1KG12TMCB מחבר"</f>
        <v>ITS4106A5C36-01SM144B1KG12TMCB מחבר</v>
      </c>
      <c r="L3835">
        <v>-3</v>
      </c>
      <c r="M3835" t="str">
        <f>"יח"</f>
        <v>יח</v>
      </c>
      <c r="N3835">
        <v>-3</v>
      </c>
      <c r="O3835" t="str">
        <f>"יח"</f>
        <v>יח</v>
      </c>
      <c r="P3835">
        <v>0</v>
      </c>
      <c r="Q3835" t="str">
        <f>"$"</f>
        <v>$</v>
      </c>
      <c r="R3835" t="str">
        <f>"הזמנה"</f>
        <v>הזמנה</v>
      </c>
      <c r="S3835">
        <v>0</v>
      </c>
      <c r="T3835">
        <v>0</v>
      </c>
      <c r="U3835">
        <v>2</v>
      </c>
      <c r="V3835">
        <v>0</v>
      </c>
      <c r="W3835" t="str">
        <f>"$"</f>
        <v>$</v>
      </c>
      <c r="X3835">
        <v>0</v>
      </c>
      <c r="Y3835">
        <v>0</v>
      </c>
      <c r="Z3835">
        <v>0</v>
      </c>
      <c r="AA3835" t="str">
        <f>"Y"</f>
        <v>Y</v>
      </c>
      <c r="AC3835">
        <v>0</v>
      </c>
      <c r="AM3835" t="str">
        <f>"10"</f>
        <v>10</v>
      </c>
      <c r="AN3835" t="str">
        <f>"500000"</f>
        <v>500000</v>
      </c>
      <c r="AO3835" t="str">
        <f>"הכנסות  מלקוחות"</f>
        <v>הכנסות  מלקוחות</v>
      </c>
      <c r="AQ3835" t="str">
        <f>"034"</f>
        <v>034</v>
      </c>
      <c r="AR3835">
        <v>0</v>
      </c>
      <c r="AS3835">
        <v>0</v>
      </c>
      <c r="AT3835">
        <v>3.5790000000000002</v>
      </c>
      <c r="BB3835" t="str">
        <f>"Y"</f>
        <v>Y</v>
      </c>
      <c r="BD3835" t="str">
        <f>"ערן שלו"</f>
        <v>ערן שלו</v>
      </c>
    </row>
    <row r="3836" spans="1:56" x14ac:dyDescent="0.3">
      <c r="A3836" s="1">
        <v>43937</v>
      </c>
      <c r="B3836" t="str">
        <f>"SI206000354"</f>
        <v>SI206000354</v>
      </c>
      <c r="C3836" t="str">
        <f>"PR19000724"</f>
        <v>PR19000724</v>
      </c>
      <c r="E3836" t="str">
        <f>"Y"</f>
        <v>Y</v>
      </c>
      <c r="F3836" t="str">
        <f>"חשבוניות מרכזות"</f>
        <v>חשבוניות מרכזות</v>
      </c>
      <c r="G3836" t="str">
        <f>"700065"</f>
        <v>700065</v>
      </c>
      <c r="H3836" t="str">
        <f>"אלתא מערכות בע""מ"</f>
        <v>אלתא מערכות בע"מ</v>
      </c>
      <c r="I3836" t="str">
        <f>"10"</f>
        <v>10</v>
      </c>
      <c r="J3836" t="str">
        <f>"000"</f>
        <v>000</v>
      </c>
      <c r="K3836" t="str">
        <f>"MQQ עבור 6 קונקטורים"</f>
        <v>MQQ עבור 6 קונקטורים</v>
      </c>
      <c r="L3836">
        <v>1</v>
      </c>
      <c r="M3836" t="str">
        <f>"יח"</f>
        <v>יח</v>
      </c>
      <c r="N3836">
        <v>1</v>
      </c>
      <c r="O3836" t="str">
        <f>"יח"</f>
        <v>יח</v>
      </c>
      <c r="P3836" s="2">
        <v>4509.13</v>
      </c>
      <c r="Q3836" t="str">
        <f>"$"</f>
        <v>$</v>
      </c>
      <c r="R3836" t="str">
        <f>"הזמנה"</f>
        <v>הזמנה</v>
      </c>
      <c r="S3836">
        <v>0</v>
      </c>
      <c r="T3836" s="2">
        <v>4509.13</v>
      </c>
      <c r="U3836">
        <v>2</v>
      </c>
      <c r="V3836" s="2">
        <v>4418.95</v>
      </c>
      <c r="W3836" t="str">
        <f>"$"</f>
        <v>$</v>
      </c>
      <c r="X3836">
        <v>0</v>
      </c>
      <c r="Y3836">
        <v>0</v>
      </c>
      <c r="Z3836">
        <v>0</v>
      </c>
      <c r="AA3836" t="str">
        <f>"Y"</f>
        <v>Y</v>
      </c>
      <c r="AC3836">
        <v>0</v>
      </c>
      <c r="AM3836" t="str">
        <f>"10"</f>
        <v>10</v>
      </c>
      <c r="AN3836" t="str">
        <f>"500000"</f>
        <v>500000</v>
      </c>
      <c r="AO3836" t="str">
        <f>"הכנסות  מלקוחות"</f>
        <v>הכנסות  מלקוחות</v>
      </c>
      <c r="AQ3836" t="str">
        <f>"034"</f>
        <v>034</v>
      </c>
      <c r="AR3836">
        <v>0</v>
      </c>
      <c r="AS3836">
        <v>0</v>
      </c>
      <c r="AT3836">
        <v>3.5790000000000002</v>
      </c>
      <c r="BB3836" t="str">
        <f>"Y"</f>
        <v>Y</v>
      </c>
      <c r="BD3836" t="str">
        <f>"ערן שלו"</f>
        <v>ערן שלו</v>
      </c>
    </row>
    <row r="3837" spans="1:56" x14ac:dyDescent="0.3">
      <c r="A3837" s="1">
        <v>43937</v>
      </c>
      <c r="B3837" t="str">
        <f>"SI206000354"</f>
        <v>SI206000354</v>
      </c>
      <c r="C3837" t="str">
        <f>"PR19000724"</f>
        <v>PR19000724</v>
      </c>
      <c r="E3837" t="str">
        <f>"Y"</f>
        <v>Y</v>
      </c>
      <c r="F3837" t="str">
        <f>"חשבוניות מרכזות"</f>
        <v>חשבוניות מרכזות</v>
      </c>
      <c r="G3837" t="str">
        <f>"700065"</f>
        <v>700065</v>
      </c>
      <c r="H3837" t="str">
        <f>"אלתא מערכות בע""מ"</f>
        <v>אלתא מערכות בע"מ</v>
      </c>
      <c r="I3837" t="str">
        <f>"10"</f>
        <v>10</v>
      </c>
      <c r="J3837" t="str">
        <f>"000"</f>
        <v>000</v>
      </c>
      <c r="K3837" t="str">
        <f>"MQQ עבור 6 קונקטורים"</f>
        <v>MQQ עבור 6 קונקטורים</v>
      </c>
      <c r="L3837">
        <v>1</v>
      </c>
      <c r="M3837" t="str">
        <f>"יח"</f>
        <v>יח</v>
      </c>
      <c r="N3837">
        <v>1</v>
      </c>
      <c r="O3837" t="str">
        <f>"יח"</f>
        <v>יח</v>
      </c>
      <c r="P3837" s="2">
        <v>4509.55</v>
      </c>
      <c r="Q3837" t="str">
        <f>"$"</f>
        <v>$</v>
      </c>
      <c r="R3837" t="str">
        <f>"הזמנה"</f>
        <v>הזמנה</v>
      </c>
      <c r="S3837">
        <v>0</v>
      </c>
      <c r="T3837" s="2">
        <v>4509.55</v>
      </c>
      <c r="U3837">
        <v>2</v>
      </c>
      <c r="V3837" s="2">
        <v>4419.3599999999997</v>
      </c>
      <c r="W3837" t="str">
        <f>"$"</f>
        <v>$</v>
      </c>
      <c r="X3837">
        <v>0</v>
      </c>
      <c r="Y3837">
        <v>0</v>
      </c>
      <c r="Z3837">
        <v>0</v>
      </c>
      <c r="AA3837" t="str">
        <f>"Y"</f>
        <v>Y</v>
      </c>
      <c r="AC3837">
        <v>0</v>
      </c>
      <c r="AM3837" t="str">
        <f>"10"</f>
        <v>10</v>
      </c>
      <c r="AN3837" t="str">
        <f>"500000"</f>
        <v>500000</v>
      </c>
      <c r="AO3837" t="str">
        <f>"הכנסות  מלקוחות"</f>
        <v>הכנסות  מלקוחות</v>
      </c>
      <c r="AQ3837" t="str">
        <f>"034"</f>
        <v>034</v>
      </c>
      <c r="AR3837">
        <v>0</v>
      </c>
      <c r="AS3837">
        <v>0</v>
      </c>
      <c r="AT3837">
        <v>3.5790000000000002</v>
      </c>
      <c r="BB3837" t="str">
        <f>"Y"</f>
        <v>Y</v>
      </c>
      <c r="BD3837" t="str">
        <f>"ערן שלו"</f>
        <v>ערן שלו</v>
      </c>
    </row>
    <row r="3838" spans="1:56" x14ac:dyDescent="0.3">
      <c r="A3838" s="1">
        <v>43937</v>
      </c>
      <c r="B3838" t="str">
        <f>"SI206000354"</f>
        <v>SI206000354</v>
      </c>
      <c r="C3838" t="str">
        <f>"PR19000724"</f>
        <v>PR19000724</v>
      </c>
      <c r="E3838" t="str">
        <f>"Y"</f>
        <v>Y</v>
      </c>
      <c r="F3838" t="str">
        <f>"חשבוניות מרכזות"</f>
        <v>חשבוניות מרכזות</v>
      </c>
      <c r="G3838" t="str">
        <f>"700065"</f>
        <v>700065</v>
      </c>
      <c r="H3838" t="str">
        <f>"אלתא מערכות בע""מ"</f>
        <v>אלתא מערכות בע"מ</v>
      </c>
      <c r="I3838" t="str">
        <f>"10"</f>
        <v>10</v>
      </c>
      <c r="J3838" t="str">
        <f>"CB1100205"</f>
        <v>CB1100205</v>
      </c>
      <c r="K3838" t="str">
        <f>"כבל הזנה 20 H07RNF 5X35מ', 5X125A IP67 , נעל כבל"</f>
        <v>כבל הזנה 20 H07RNF 5X35מ', 5X125A IP67 , נעל כבל</v>
      </c>
      <c r="L3838">
        <v>1</v>
      </c>
      <c r="M3838" t="str">
        <f>"יח"</f>
        <v>יח</v>
      </c>
      <c r="N3838">
        <v>1</v>
      </c>
      <c r="O3838" t="str">
        <f>"יח"</f>
        <v>יח</v>
      </c>
      <c r="P3838" s="2">
        <v>1229.9000000000001</v>
      </c>
      <c r="Q3838" t="str">
        <f>"$"</f>
        <v>$</v>
      </c>
      <c r="R3838" t="str">
        <f>"הזמנה"</f>
        <v>הזמנה</v>
      </c>
      <c r="S3838">
        <v>0</v>
      </c>
      <c r="T3838" s="2">
        <v>1229.9000000000001</v>
      </c>
      <c r="U3838">
        <v>2</v>
      </c>
      <c r="V3838" s="2">
        <v>1205.3</v>
      </c>
      <c r="W3838" t="str">
        <f>"$"</f>
        <v>$</v>
      </c>
      <c r="X3838">
        <v>0</v>
      </c>
      <c r="Y3838">
        <v>0</v>
      </c>
      <c r="Z3838">
        <v>0</v>
      </c>
      <c r="AA3838" t="str">
        <f>"Y"</f>
        <v>Y</v>
      </c>
      <c r="AC3838">
        <v>0</v>
      </c>
      <c r="AM3838" t="str">
        <f>"10"</f>
        <v>10</v>
      </c>
      <c r="AN3838" t="str">
        <f>"500000"</f>
        <v>500000</v>
      </c>
      <c r="AO3838" t="str">
        <f>"הכנסות  מלקוחות"</f>
        <v>הכנסות  מלקוחות</v>
      </c>
      <c r="AQ3838" t="str">
        <f>"034"</f>
        <v>034</v>
      </c>
      <c r="AR3838">
        <v>0</v>
      </c>
      <c r="AS3838">
        <v>0</v>
      </c>
      <c r="AT3838">
        <v>3.5790000000000002</v>
      </c>
      <c r="BB3838" t="str">
        <f>"Y"</f>
        <v>Y</v>
      </c>
      <c r="BD3838" t="str">
        <f>"ערן שלו"</f>
        <v>ערן שלו</v>
      </c>
    </row>
    <row r="3839" spans="1:56" x14ac:dyDescent="0.3">
      <c r="A3839" s="1">
        <v>43937</v>
      </c>
      <c r="B3839" t="str">
        <f>"SI206000354"</f>
        <v>SI206000354</v>
      </c>
      <c r="C3839" t="str">
        <f>"PR19000724"</f>
        <v>PR19000724</v>
      </c>
      <c r="E3839" t="str">
        <f>"Y"</f>
        <v>Y</v>
      </c>
      <c r="F3839" t="str">
        <f>"חשבוניות מרכזות"</f>
        <v>חשבוניות מרכזות</v>
      </c>
      <c r="G3839" t="str">
        <f>"700065"</f>
        <v>700065</v>
      </c>
      <c r="H3839" t="str">
        <f>"אלתא מערכות בע""מ"</f>
        <v>אלתא מערכות בע"מ</v>
      </c>
      <c r="I3839" t="str">
        <f>"10"</f>
        <v>10</v>
      </c>
      <c r="J3839" t="str">
        <f>"OP-AR22723"</f>
        <v>OP-AR22723</v>
      </c>
      <c r="K3839" t="str">
        <f>"CB1100206"</f>
        <v>CB1100206</v>
      </c>
      <c r="L3839">
        <v>1</v>
      </c>
      <c r="M3839" t="str">
        <f>"יח"</f>
        <v>יח</v>
      </c>
      <c r="N3839">
        <v>1</v>
      </c>
      <c r="O3839" t="str">
        <f>"יח"</f>
        <v>יח</v>
      </c>
      <c r="P3839" s="2">
        <v>3189.9</v>
      </c>
      <c r="Q3839" t="str">
        <f>"$"</f>
        <v>$</v>
      </c>
      <c r="R3839" t="str">
        <f>"הזמנה"</f>
        <v>הזמנה</v>
      </c>
      <c r="S3839">
        <v>0</v>
      </c>
      <c r="T3839" s="2">
        <v>3189.9</v>
      </c>
      <c r="U3839">
        <v>2</v>
      </c>
      <c r="V3839" s="2">
        <v>3126.1</v>
      </c>
      <c r="W3839" t="str">
        <f>"$"</f>
        <v>$</v>
      </c>
      <c r="X3839">
        <v>0</v>
      </c>
      <c r="Y3839">
        <v>0</v>
      </c>
      <c r="Z3839">
        <v>0</v>
      </c>
      <c r="AA3839" t="str">
        <f>"Y"</f>
        <v>Y</v>
      </c>
      <c r="AC3839">
        <v>0</v>
      </c>
      <c r="AM3839" t="str">
        <f>"10"</f>
        <v>10</v>
      </c>
      <c r="AN3839" t="str">
        <f>"500000"</f>
        <v>500000</v>
      </c>
      <c r="AO3839" t="str">
        <f>"הכנסות  מלקוחות"</f>
        <v>הכנסות  מלקוחות</v>
      </c>
      <c r="AQ3839" t="str">
        <f>"034"</f>
        <v>034</v>
      </c>
      <c r="AR3839">
        <v>0</v>
      </c>
      <c r="AS3839">
        <v>0</v>
      </c>
      <c r="AT3839">
        <v>3.5790000000000002</v>
      </c>
      <c r="BB3839" t="str">
        <f>"Y"</f>
        <v>Y</v>
      </c>
      <c r="BD3839" t="str">
        <f>"ערן שלו"</f>
        <v>ערן שלו</v>
      </c>
    </row>
    <row r="3840" spans="1:56" x14ac:dyDescent="0.3">
      <c r="A3840" s="1">
        <v>43937</v>
      </c>
      <c r="B3840" t="str">
        <f>"SI206000354"</f>
        <v>SI206000354</v>
      </c>
      <c r="C3840" t="str">
        <f>"PR19000724"</f>
        <v>PR19000724</v>
      </c>
      <c r="E3840" t="str">
        <f>"Y"</f>
        <v>Y</v>
      </c>
      <c r="F3840" t="str">
        <f>"חשבוניות מרכזות"</f>
        <v>חשבוניות מרכזות</v>
      </c>
      <c r="G3840" t="str">
        <f>"700065"</f>
        <v>700065</v>
      </c>
      <c r="H3840" t="str">
        <f>"אלתא מערכות בע""מ"</f>
        <v>אלתא מערכות בע"מ</v>
      </c>
      <c r="I3840" t="str">
        <f>"10"</f>
        <v>10</v>
      </c>
      <c r="J3840" t="str">
        <f>"CB1100207"</f>
        <v>CB1100207</v>
      </c>
      <c r="K3840" t="str">
        <f>"כבל 50 H07RNF 1X95 -320מ', 2 מחברי ITS4106A5C36"</f>
        <v>כבל 50 H07RNF 1X95 -320מ', 2 מחברי ITS4106A5C36</v>
      </c>
      <c r="L3840">
        <v>1</v>
      </c>
      <c r="M3840" t="str">
        <f>"יח"</f>
        <v>יח</v>
      </c>
      <c r="N3840">
        <v>1</v>
      </c>
      <c r="O3840" t="str">
        <f>"יח"</f>
        <v>יח</v>
      </c>
      <c r="P3840" s="2">
        <v>3483.9</v>
      </c>
      <c r="Q3840" t="str">
        <f>"$"</f>
        <v>$</v>
      </c>
      <c r="R3840" t="str">
        <f>"הזמנה"</f>
        <v>הזמנה</v>
      </c>
      <c r="S3840">
        <v>0</v>
      </c>
      <c r="T3840" s="2">
        <v>3483.9</v>
      </c>
      <c r="U3840">
        <v>2</v>
      </c>
      <c r="V3840" s="2">
        <v>3414.22</v>
      </c>
      <c r="W3840" t="str">
        <f>"$"</f>
        <v>$</v>
      </c>
      <c r="X3840">
        <v>0</v>
      </c>
      <c r="Y3840">
        <v>0</v>
      </c>
      <c r="Z3840">
        <v>0</v>
      </c>
      <c r="AA3840" t="str">
        <f>"Y"</f>
        <v>Y</v>
      </c>
      <c r="AC3840">
        <v>0</v>
      </c>
      <c r="AM3840" t="str">
        <f>"10"</f>
        <v>10</v>
      </c>
      <c r="AN3840" t="str">
        <f>"500000"</f>
        <v>500000</v>
      </c>
      <c r="AO3840" t="str">
        <f>"הכנסות  מלקוחות"</f>
        <v>הכנסות  מלקוחות</v>
      </c>
      <c r="AQ3840" t="str">
        <f>"034"</f>
        <v>034</v>
      </c>
      <c r="AR3840">
        <v>0</v>
      </c>
      <c r="AS3840">
        <v>0</v>
      </c>
      <c r="AT3840">
        <v>3.5790000000000002</v>
      </c>
      <c r="BB3840" t="str">
        <f>"Y"</f>
        <v>Y</v>
      </c>
      <c r="BD3840" t="str">
        <f>"ערן שלו"</f>
        <v>ערן שלו</v>
      </c>
    </row>
    <row r="3841" spans="1:56" x14ac:dyDescent="0.3">
      <c r="A3841" s="1">
        <v>43937</v>
      </c>
      <c r="B3841" t="str">
        <f>"SI206000354"</f>
        <v>SI206000354</v>
      </c>
      <c r="C3841" t="str">
        <f>"PR19000724"</f>
        <v>PR19000724</v>
      </c>
      <c r="E3841" t="str">
        <f>"Y"</f>
        <v>Y</v>
      </c>
      <c r="F3841" t="str">
        <f>"חשבוניות מרכזות"</f>
        <v>חשבוניות מרכזות</v>
      </c>
      <c r="G3841" t="str">
        <f>"700065"</f>
        <v>700065</v>
      </c>
      <c r="H3841" t="str">
        <f>"אלתא מערכות בע""מ"</f>
        <v>אלתא מערכות בע"מ</v>
      </c>
      <c r="I3841" t="str">
        <f>"10"</f>
        <v>10</v>
      </c>
      <c r="J3841" t="str">
        <f>"PA1100511"</f>
        <v>PA1100511</v>
      </c>
      <c r="K3841" t="str">
        <f>"ITS4106A5C36-01PL1M144B1KG12TMCR מחבר"</f>
        <v>ITS4106A5C36-01PL1M144B1KG12TMCR מחבר</v>
      </c>
      <c r="L3841">
        <v>3</v>
      </c>
      <c r="M3841" t="str">
        <f>"יח"</f>
        <v>יח</v>
      </c>
      <c r="N3841">
        <v>3</v>
      </c>
      <c r="O3841" t="str">
        <f>"יח"</f>
        <v>יח</v>
      </c>
      <c r="P3841">
        <v>0</v>
      </c>
      <c r="Q3841" t="str">
        <f>"$"</f>
        <v>$</v>
      </c>
      <c r="R3841" t="str">
        <f>"הזמנה"</f>
        <v>הזמנה</v>
      </c>
      <c r="S3841">
        <v>0</v>
      </c>
      <c r="T3841">
        <v>0</v>
      </c>
      <c r="U3841">
        <v>2</v>
      </c>
      <c r="V3841">
        <v>0</v>
      </c>
      <c r="W3841" t="str">
        <f>"$"</f>
        <v>$</v>
      </c>
      <c r="X3841">
        <v>0</v>
      </c>
      <c r="Y3841">
        <v>0</v>
      </c>
      <c r="Z3841">
        <v>0</v>
      </c>
      <c r="AA3841" t="str">
        <f>"Y"</f>
        <v>Y</v>
      </c>
      <c r="AC3841">
        <v>0</v>
      </c>
      <c r="AM3841" t="str">
        <f>"10"</f>
        <v>10</v>
      </c>
      <c r="AN3841" t="str">
        <f>"500000"</f>
        <v>500000</v>
      </c>
      <c r="AO3841" t="str">
        <f>"הכנסות  מלקוחות"</f>
        <v>הכנסות  מלקוחות</v>
      </c>
      <c r="AQ3841" t="str">
        <f>"034"</f>
        <v>034</v>
      </c>
      <c r="AR3841">
        <v>0</v>
      </c>
      <c r="AS3841">
        <v>0</v>
      </c>
      <c r="AT3841">
        <v>3.5790000000000002</v>
      </c>
      <c r="BB3841" t="str">
        <f>"Y"</f>
        <v>Y</v>
      </c>
      <c r="BD3841" t="str">
        <f>"ערן שלו"</f>
        <v>ערן שלו</v>
      </c>
    </row>
    <row r="3842" spans="1:56" x14ac:dyDescent="0.3">
      <c r="A3842" s="1">
        <v>43937</v>
      </c>
      <c r="B3842" t="str">
        <f>"SI206000354"</f>
        <v>SI206000354</v>
      </c>
      <c r="C3842" t="str">
        <f>"PR19000724"</f>
        <v>PR19000724</v>
      </c>
      <c r="E3842" t="str">
        <f>"Y"</f>
        <v>Y</v>
      </c>
      <c r="F3842" t="str">
        <f>"חשבוניות מרכזות"</f>
        <v>חשבוניות מרכזות</v>
      </c>
      <c r="G3842" t="str">
        <f>"700065"</f>
        <v>700065</v>
      </c>
      <c r="H3842" t="str">
        <f>"אלתא מערכות בע""מ"</f>
        <v>אלתא מערכות בע"מ</v>
      </c>
      <c r="I3842" t="str">
        <f>"10"</f>
        <v>10</v>
      </c>
      <c r="J3842" t="str">
        <f>"PA1100512"</f>
        <v>PA1100512</v>
      </c>
      <c r="K3842" t="str">
        <f>"ITS4106A5C36-01SL1M144B1KG12TMCR מחבר"</f>
        <v>ITS4106A5C36-01SL1M144B1KG12TMCR מחבר</v>
      </c>
      <c r="L3842">
        <v>3</v>
      </c>
      <c r="M3842" t="str">
        <f>"יח"</f>
        <v>יח</v>
      </c>
      <c r="N3842">
        <v>3</v>
      </c>
      <c r="O3842" t="str">
        <f>"יח"</f>
        <v>יח</v>
      </c>
      <c r="P3842">
        <v>0</v>
      </c>
      <c r="Q3842" t="str">
        <f>"$"</f>
        <v>$</v>
      </c>
      <c r="R3842" t="str">
        <f>"הזמנה"</f>
        <v>הזמנה</v>
      </c>
      <c r="S3842">
        <v>0</v>
      </c>
      <c r="T3842">
        <v>0</v>
      </c>
      <c r="U3842">
        <v>2</v>
      </c>
      <c r="V3842">
        <v>0</v>
      </c>
      <c r="W3842" t="str">
        <f>"$"</f>
        <v>$</v>
      </c>
      <c r="X3842">
        <v>0</v>
      </c>
      <c r="Y3842">
        <v>0</v>
      </c>
      <c r="Z3842">
        <v>0</v>
      </c>
      <c r="AA3842" t="str">
        <f>"Y"</f>
        <v>Y</v>
      </c>
      <c r="AC3842">
        <v>0</v>
      </c>
      <c r="AM3842" t="str">
        <f>"10"</f>
        <v>10</v>
      </c>
      <c r="AN3842" t="str">
        <f>"500000"</f>
        <v>500000</v>
      </c>
      <c r="AO3842" t="str">
        <f>"הכנסות  מלקוחות"</f>
        <v>הכנסות  מלקוחות</v>
      </c>
      <c r="AQ3842" t="str">
        <f>"034"</f>
        <v>034</v>
      </c>
      <c r="AR3842">
        <v>0</v>
      </c>
      <c r="AS3842">
        <v>0</v>
      </c>
      <c r="AT3842">
        <v>3.5790000000000002</v>
      </c>
      <c r="BB3842" t="str">
        <f>"Y"</f>
        <v>Y</v>
      </c>
      <c r="BD3842" t="str">
        <f>"ערן שלו"</f>
        <v>ערן שלו</v>
      </c>
    </row>
    <row r="3843" spans="1:56" x14ac:dyDescent="0.3">
      <c r="A3843" s="1">
        <v>43937</v>
      </c>
      <c r="B3843" t="str">
        <f>"SI206000354"</f>
        <v>SI206000354</v>
      </c>
      <c r="C3843" t="str">
        <f>"PR19000724"</f>
        <v>PR19000724</v>
      </c>
      <c r="E3843" t="str">
        <f>"Y"</f>
        <v>Y</v>
      </c>
      <c r="F3843" t="str">
        <f>"חשבוניות מרכזות"</f>
        <v>חשבוניות מרכזות</v>
      </c>
      <c r="G3843" t="str">
        <f>"700065"</f>
        <v>700065</v>
      </c>
      <c r="H3843" t="str">
        <f>"אלתא מערכות בע""מ"</f>
        <v>אלתא מערכות בע"מ</v>
      </c>
      <c r="I3843" t="str">
        <f>"10"</f>
        <v>10</v>
      </c>
      <c r="J3843" t="str">
        <f>"PA1100513"</f>
        <v>PA1100513</v>
      </c>
      <c r="K3843" t="str">
        <f>"ITS4106A5C36-01PM144B1KG12TMCB מחבר"</f>
        <v>ITS4106A5C36-01PM144B1KG12TMCB מחבר</v>
      </c>
      <c r="L3843">
        <v>3</v>
      </c>
      <c r="M3843" t="str">
        <f>"יח"</f>
        <v>יח</v>
      </c>
      <c r="N3843">
        <v>3</v>
      </c>
      <c r="O3843" t="str">
        <f>"יח"</f>
        <v>יח</v>
      </c>
      <c r="P3843">
        <v>0</v>
      </c>
      <c r="Q3843" t="str">
        <f>"$"</f>
        <v>$</v>
      </c>
      <c r="R3843" t="str">
        <f>"הזמנה"</f>
        <v>הזמנה</v>
      </c>
      <c r="S3843">
        <v>0</v>
      </c>
      <c r="T3843">
        <v>0</v>
      </c>
      <c r="U3843">
        <v>2</v>
      </c>
      <c r="V3843">
        <v>0</v>
      </c>
      <c r="W3843" t="str">
        <f>"$"</f>
        <v>$</v>
      </c>
      <c r="X3843">
        <v>0</v>
      </c>
      <c r="Y3843">
        <v>0</v>
      </c>
      <c r="Z3843">
        <v>0</v>
      </c>
      <c r="AA3843" t="str">
        <f>"Y"</f>
        <v>Y</v>
      </c>
      <c r="AC3843">
        <v>0</v>
      </c>
      <c r="AM3843" t="str">
        <f>"10"</f>
        <v>10</v>
      </c>
      <c r="AN3843" t="str">
        <f>"500000"</f>
        <v>500000</v>
      </c>
      <c r="AO3843" t="str">
        <f>"הכנסות  מלקוחות"</f>
        <v>הכנסות  מלקוחות</v>
      </c>
      <c r="AQ3843" t="str">
        <f>"034"</f>
        <v>034</v>
      </c>
      <c r="AR3843">
        <v>0</v>
      </c>
      <c r="AS3843">
        <v>0</v>
      </c>
      <c r="AT3843">
        <v>3.5790000000000002</v>
      </c>
      <c r="BB3843" t="str">
        <f>"Y"</f>
        <v>Y</v>
      </c>
      <c r="BD3843" t="str">
        <f>"ערן שלו"</f>
        <v>ערן שלו</v>
      </c>
    </row>
    <row r="3844" spans="1:56" x14ac:dyDescent="0.3">
      <c r="A3844" s="1">
        <v>43937</v>
      </c>
      <c r="B3844" t="str">
        <f>"SI206000354"</f>
        <v>SI206000354</v>
      </c>
      <c r="C3844" t="str">
        <f>"PR19000724"</f>
        <v>PR19000724</v>
      </c>
      <c r="E3844" t="str">
        <f>"Y"</f>
        <v>Y</v>
      </c>
      <c r="F3844" t="str">
        <f>"חשבוניות מרכזות"</f>
        <v>חשבוניות מרכזות</v>
      </c>
      <c r="G3844" t="str">
        <f>"700065"</f>
        <v>700065</v>
      </c>
      <c r="H3844" t="str">
        <f>"אלתא מערכות בע""מ"</f>
        <v>אלתא מערכות בע"מ</v>
      </c>
      <c r="I3844" t="str">
        <f>"10"</f>
        <v>10</v>
      </c>
      <c r="J3844" t="str">
        <f>"PA1100514"</f>
        <v>PA1100514</v>
      </c>
      <c r="K3844" t="str">
        <f>"ITS4106A5C36-01SM144B1KG12TMCB מחבר"</f>
        <v>ITS4106A5C36-01SM144B1KG12TMCB מחבר</v>
      </c>
      <c r="L3844">
        <v>3</v>
      </c>
      <c r="M3844" t="str">
        <f>"יח"</f>
        <v>יח</v>
      </c>
      <c r="N3844">
        <v>3</v>
      </c>
      <c r="O3844" t="str">
        <f>"יח"</f>
        <v>יח</v>
      </c>
      <c r="P3844">
        <v>0</v>
      </c>
      <c r="Q3844" t="str">
        <f>"$"</f>
        <v>$</v>
      </c>
      <c r="R3844" t="str">
        <f>"הזמנה"</f>
        <v>הזמנה</v>
      </c>
      <c r="S3844">
        <v>0</v>
      </c>
      <c r="T3844">
        <v>0</v>
      </c>
      <c r="U3844">
        <v>2</v>
      </c>
      <c r="V3844">
        <v>0</v>
      </c>
      <c r="W3844" t="str">
        <f>"$"</f>
        <v>$</v>
      </c>
      <c r="X3844">
        <v>0</v>
      </c>
      <c r="Y3844">
        <v>0</v>
      </c>
      <c r="Z3844">
        <v>0</v>
      </c>
      <c r="AA3844" t="str">
        <f>"Y"</f>
        <v>Y</v>
      </c>
      <c r="AC3844">
        <v>0</v>
      </c>
      <c r="AM3844" t="str">
        <f>"10"</f>
        <v>10</v>
      </c>
      <c r="AN3844" t="str">
        <f>"500000"</f>
        <v>500000</v>
      </c>
      <c r="AO3844" t="str">
        <f>"הכנסות  מלקוחות"</f>
        <v>הכנסות  מלקוחות</v>
      </c>
      <c r="AQ3844" t="str">
        <f>"034"</f>
        <v>034</v>
      </c>
      <c r="AR3844">
        <v>0</v>
      </c>
      <c r="AS3844">
        <v>0</v>
      </c>
      <c r="AT3844">
        <v>3.5790000000000002</v>
      </c>
      <c r="BB3844" t="str">
        <f>"Y"</f>
        <v>Y</v>
      </c>
      <c r="BD3844" t="str">
        <f>"ערן שלו"</f>
        <v>ערן שלו</v>
      </c>
    </row>
    <row r="3845" spans="1:56" x14ac:dyDescent="0.3">
      <c r="A3845" s="1">
        <v>43937</v>
      </c>
      <c r="B3845" t="str">
        <f>"SI206000353"</f>
        <v>SI206000353</v>
      </c>
      <c r="C3845" t="str">
        <f>"PR20000012"</f>
        <v>PR20000012</v>
      </c>
      <c r="E3845" t="str">
        <f>"Y"</f>
        <v>Y</v>
      </c>
      <c r="F3845" t="str">
        <f>"חשבוניות מרכזות"</f>
        <v>חשבוניות מרכזות</v>
      </c>
      <c r="G3845" t="str">
        <f>"700065"</f>
        <v>700065</v>
      </c>
      <c r="H3845" t="str">
        <f>"אלתא מערכות בע""מ"</f>
        <v>אלתא מערכות בע"מ</v>
      </c>
      <c r="I3845" t="str">
        <f>"10"</f>
        <v>10</v>
      </c>
      <c r="J3845" t="str">
        <f>"OP-AR00995"</f>
        <v>OP-AR00995</v>
      </c>
      <c r="K3845" t="str">
        <f>"320VDC 60KW SYSTEM"</f>
        <v>320VDC 60KW SYSTEM</v>
      </c>
      <c r="L3845">
        <v>1</v>
      </c>
      <c r="M3845" t="str">
        <f>"יח"</f>
        <v>יח</v>
      </c>
      <c r="N3845">
        <v>1</v>
      </c>
      <c r="O3845" t="str">
        <f>"יח"</f>
        <v>יח</v>
      </c>
      <c r="P3845" s="2">
        <v>19908</v>
      </c>
      <c r="Q3845" t="str">
        <f>"$"</f>
        <v>$</v>
      </c>
      <c r="R3845" t="str">
        <f>"הזמנה"</f>
        <v>הזמנה</v>
      </c>
      <c r="S3845">
        <v>0</v>
      </c>
      <c r="T3845" s="2">
        <v>19908</v>
      </c>
      <c r="U3845">
        <v>0</v>
      </c>
      <c r="V3845" s="2">
        <v>19908</v>
      </c>
      <c r="W3845" t="str">
        <f>"$"</f>
        <v>$</v>
      </c>
      <c r="X3845">
        <v>0</v>
      </c>
      <c r="Y3845">
        <v>0</v>
      </c>
      <c r="Z3845">
        <v>0</v>
      </c>
      <c r="AA3845" t="str">
        <f>"Y"</f>
        <v>Y</v>
      </c>
      <c r="AB3845" t="str">
        <f>"SO20000009"</f>
        <v>SO20000009</v>
      </c>
      <c r="AC3845">
        <v>1</v>
      </c>
      <c r="AD3845" s="1">
        <v>43835</v>
      </c>
      <c r="AE3845" t="str">
        <f>"SH20000446"</f>
        <v>SH20000446</v>
      </c>
      <c r="AF3845" t="str">
        <f>"משלוחים ללקוח"</f>
        <v>משלוחים ללקוח</v>
      </c>
      <c r="AG3845" s="1">
        <v>43926</v>
      </c>
      <c r="AM3845" t="str">
        <f>"10"</f>
        <v>10</v>
      </c>
      <c r="AN3845" t="str">
        <f>"500000"</f>
        <v>500000</v>
      </c>
      <c r="AO3845" t="str">
        <f>"הכנסות  מלקוחות"</f>
        <v>הכנסות  מלקוחות</v>
      </c>
      <c r="AQ3845" t="str">
        <f>"034"</f>
        <v>034</v>
      </c>
      <c r="AR3845">
        <v>0</v>
      </c>
      <c r="AS3845">
        <v>0</v>
      </c>
      <c r="AT3845">
        <v>3.5790000000000002</v>
      </c>
      <c r="AX3845" t="str">
        <f>"E000301744"</f>
        <v>E000301744</v>
      </c>
      <c r="BD3845" t="str">
        <f>"ערן שלו"</f>
        <v>ערן שלו</v>
      </c>
    </row>
    <row r="3846" spans="1:56" x14ac:dyDescent="0.3">
      <c r="A3846" s="1">
        <v>43933</v>
      </c>
      <c r="B3846" t="str">
        <f>"SI206000352"</f>
        <v>SI206000352</v>
      </c>
      <c r="C3846" t="str">
        <f>"PR19000750"</f>
        <v>PR19000750</v>
      </c>
      <c r="E3846" t="str">
        <f>"Y"</f>
        <v>Y</v>
      </c>
      <c r="F3846" t="str">
        <f>"חשבוניות מרכזות"</f>
        <v>חשבוניות מרכזות</v>
      </c>
      <c r="G3846" t="str">
        <f>"700065"</f>
        <v>700065</v>
      </c>
      <c r="H3846" t="str">
        <f>"אלתא מערכות בע""מ"</f>
        <v>אלתא מערכות בע"מ</v>
      </c>
      <c r="I3846" t="str">
        <f>"10"</f>
        <v>10</v>
      </c>
      <c r="J3846" t="str">
        <f>"999"</f>
        <v>999</v>
      </c>
      <c r="K3846" t="str">
        <f>"תוספת בגין שינויים ב 1037C508-001- עבור BEL- 3"</f>
        <v>תוספת בגין שינויים ב 1037C508-001- עבור BEL- 3</v>
      </c>
      <c r="L3846">
        <v>0.25</v>
      </c>
      <c r="M3846" t="str">
        <f>"חל"</f>
        <v>חל</v>
      </c>
      <c r="N3846">
        <v>0.25</v>
      </c>
      <c r="O3846" t="str">
        <f>"חל"</f>
        <v>חל</v>
      </c>
      <c r="P3846" s="2">
        <v>73508</v>
      </c>
      <c r="Q3846" t="str">
        <f>"$"</f>
        <v>$</v>
      </c>
      <c r="R3846" t="str">
        <f>"הזמנה"</f>
        <v>הזמנה</v>
      </c>
      <c r="S3846">
        <v>0</v>
      </c>
      <c r="T3846" s="2">
        <v>18377</v>
      </c>
      <c r="U3846">
        <v>0</v>
      </c>
      <c r="V3846" s="2">
        <v>18377</v>
      </c>
      <c r="W3846" t="str">
        <f>"$"</f>
        <v>$</v>
      </c>
      <c r="X3846">
        <v>0</v>
      </c>
      <c r="Y3846">
        <v>0</v>
      </c>
      <c r="Z3846">
        <v>0</v>
      </c>
      <c r="AA3846" t="str">
        <f>"Y"</f>
        <v>Y</v>
      </c>
      <c r="AB3846" t="str">
        <f>"SO19000481"</f>
        <v>SO19000481</v>
      </c>
      <c r="AC3846">
        <v>3</v>
      </c>
      <c r="AD3846" s="1">
        <v>43782</v>
      </c>
      <c r="AE3846" t="str">
        <f>"SH20000465"</f>
        <v>SH20000465</v>
      </c>
      <c r="AF3846" t="str">
        <f>"משלוחים ללקוח"</f>
        <v>משלוחים ללקוח</v>
      </c>
      <c r="AG3846" s="1">
        <v>43933</v>
      </c>
      <c r="AM3846" t="str">
        <f>"10"</f>
        <v>10</v>
      </c>
      <c r="AN3846" t="str">
        <f>"500000"</f>
        <v>500000</v>
      </c>
      <c r="AO3846" t="str">
        <f>"הכנסות  מלקוחות"</f>
        <v>הכנסות  מלקוחות</v>
      </c>
      <c r="AQ3846" t="str">
        <f>"034"</f>
        <v>034</v>
      </c>
      <c r="AR3846">
        <v>0</v>
      </c>
      <c r="AS3846">
        <v>0</v>
      </c>
      <c r="AT3846">
        <v>3.6040000000000001</v>
      </c>
      <c r="AX3846" t="str">
        <f>"E000298440"</f>
        <v>E000298440</v>
      </c>
      <c r="BD3846" t="str">
        <f>"ערן שלו"</f>
        <v>ערן שלו</v>
      </c>
    </row>
    <row r="3847" spans="1:56" x14ac:dyDescent="0.3">
      <c r="A3847" s="1">
        <v>43933</v>
      </c>
      <c r="B3847" t="str">
        <f>"SI206000351"</f>
        <v>SI206000351</v>
      </c>
      <c r="E3847" t="str">
        <f>"Y"</f>
        <v>Y</v>
      </c>
      <c r="F3847" t="str">
        <f>"חשבוניות מרכזות"</f>
        <v>חשבוניות מרכזות</v>
      </c>
      <c r="G3847" t="str">
        <f>"700065"</f>
        <v>700065</v>
      </c>
      <c r="H3847" t="str">
        <f>"אלתא מערכות בע""מ"</f>
        <v>אלתא מערכות בע"מ</v>
      </c>
      <c r="I3847" t="str">
        <f>"10"</f>
        <v>10</v>
      </c>
      <c r="J3847" t="str">
        <f>"999"</f>
        <v>999</v>
      </c>
      <c r="K3847" t="str">
        <f>"תוספת בגין שינויים ב 1037C508-001- עבור BEL- 3"</f>
        <v>תוספת בגין שינויים ב 1037C508-001- עבור BEL- 3</v>
      </c>
      <c r="L3847">
        <v>-0.25</v>
      </c>
      <c r="M3847" t="str">
        <f>"חל"</f>
        <v>חל</v>
      </c>
      <c r="N3847">
        <v>-0.25</v>
      </c>
      <c r="O3847" t="str">
        <f>"חל"</f>
        <v>חל</v>
      </c>
      <c r="P3847" s="2">
        <v>73508</v>
      </c>
      <c r="Q3847" t="str">
        <f>"$"</f>
        <v>$</v>
      </c>
      <c r="R3847" t="str">
        <f>"הזמנה"</f>
        <v>הזמנה</v>
      </c>
      <c r="S3847">
        <v>0</v>
      </c>
      <c r="T3847" s="2">
        <v>-18377</v>
      </c>
      <c r="U3847">
        <v>0</v>
      </c>
      <c r="V3847" s="2">
        <v>-18377</v>
      </c>
      <c r="W3847" t="str">
        <f>"$"</f>
        <v>$</v>
      </c>
      <c r="X3847">
        <v>0</v>
      </c>
      <c r="Y3847">
        <v>0</v>
      </c>
      <c r="Z3847">
        <v>0</v>
      </c>
      <c r="AA3847" t="str">
        <f>"Y"</f>
        <v>Y</v>
      </c>
      <c r="AC3847">
        <v>0</v>
      </c>
      <c r="AM3847" t="str">
        <f>"10"</f>
        <v>10</v>
      </c>
      <c r="AN3847" t="str">
        <f>"500000"</f>
        <v>500000</v>
      </c>
      <c r="AO3847" t="str">
        <f>"הכנסות  מלקוחות"</f>
        <v>הכנסות  מלקוחות</v>
      </c>
      <c r="AQ3847" t="str">
        <f>"034"</f>
        <v>034</v>
      </c>
      <c r="AR3847">
        <v>0</v>
      </c>
      <c r="AS3847">
        <v>0</v>
      </c>
      <c r="AT3847">
        <v>3.6040000000000001</v>
      </c>
      <c r="BB3847" t="str">
        <f>"Y"</f>
        <v>Y</v>
      </c>
      <c r="BD3847" t="str">
        <f>"ערן שלו"</f>
        <v>ערן שלו</v>
      </c>
    </row>
    <row r="3848" spans="1:56" x14ac:dyDescent="0.3">
      <c r="A3848" s="1">
        <v>43933</v>
      </c>
      <c r="B3848" t="str">
        <f>"SI206000350"</f>
        <v>SI206000350</v>
      </c>
      <c r="E3848" t="str">
        <f>"Y"</f>
        <v>Y</v>
      </c>
      <c r="F3848" t="str">
        <f>"חשבוניות מרכזות"</f>
        <v>חשבוניות מרכזות</v>
      </c>
      <c r="G3848" t="str">
        <f>"700065"</f>
        <v>700065</v>
      </c>
      <c r="H3848" t="str">
        <f>"אלתא מערכות בע""מ"</f>
        <v>אלתא מערכות בע"מ</v>
      </c>
      <c r="I3848" t="str">
        <f>"10"</f>
        <v>10</v>
      </c>
      <c r="J3848" t="str">
        <f>"999"</f>
        <v>999</v>
      </c>
      <c r="K3848" t="str">
        <f>"תוספת בגין שינויים ב 1037C508-001- עבור BEL- 3"</f>
        <v>תוספת בגין שינויים ב 1037C508-001- עבור BEL- 3</v>
      </c>
      <c r="L3848">
        <v>0.25</v>
      </c>
      <c r="M3848" t="str">
        <f>"חל"</f>
        <v>חל</v>
      </c>
      <c r="N3848">
        <v>0.25</v>
      </c>
      <c r="O3848" t="str">
        <f>"חל"</f>
        <v>חל</v>
      </c>
      <c r="P3848" s="2">
        <v>73508</v>
      </c>
      <c r="Q3848" t="str">
        <f>"$"</f>
        <v>$</v>
      </c>
      <c r="R3848" t="str">
        <f>"הזמנה"</f>
        <v>הזמנה</v>
      </c>
      <c r="S3848">
        <v>0</v>
      </c>
      <c r="T3848" s="2">
        <v>18377</v>
      </c>
      <c r="U3848">
        <v>0</v>
      </c>
      <c r="V3848" s="2">
        <v>18377</v>
      </c>
      <c r="W3848" t="str">
        <f>"$"</f>
        <v>$</v>
      </c>
      <c r="X3848">
        <v>0</v>
      </c>
      <c r="Y3848">
        <v>0</v>
      </c>
      <c r="Z3848">
        <v>0</v>
      </c>
      <c r="AA3848" t="str">
        <f>"Y"</f>
        <v>Y</v>
      </c>
      <c r="AC3848">
        <v>0</v>
      </c>
      <c r="AM3848" t="str">
        <f>"10"</f>
        <v>10</v>
      </c>
      <c r="AN3848" t="str">
        <f>"500000"</f>
        <v>500000</v>
      </c>
      <c r="AO3848" t="str">
        <f>"הכנסות  מלקוחות"</f>
        <v>הכנסות  מלקוחות</v>
      </c>
      <c r="AQ3848" t="str">
        <f>"034"</f>
        <v>034</v>
      </c>
      <c r="AR3848">
        <v>0</v>
      </c>
      <c r="AS3848">
        <v>0</v>
      </c>
      <c r="AT3848">
        <v>3.6040000000000001</v>
      </c>
      <c r="BB3848" t="str">
        <f>"Y"</f>
        <v>Y</v>
      </c>
      <c r="BD3848" t="str">
        <f>"ערן שלו"</f>
        <v>ערן שלו</v>
      </c>
    </row>
    <row r="3849" spans="1:56" x14ac:dyDescent="0.3">
      <c r="A3849" s="1">
        <v>43921</v>
      </c>
      <c r="B3849" t="str">
        <f>"SI206000302"</f>
        <v>SI206000302</v>
      </c>
      <c r="C3849" t="str">
        <f>"PR18000543"</f>
        <v>PR18000543</v>
      </c>
      <c r="D3849" t="str">
        <f>"PR18000543"</f>
        <v>PR18000543</v>
      </c>
      <c r="E3849" t="str">
        <f>"Y"</f>
        <v>Y</v>
      </c>
      <c r="F3849" t="str">
        <f>"חשבוניות מרכזות"</f>
        <v>חשבוניות מרכזות</v>
      </c>
      <c r="G3849" t="str">
        <f>"700065"</f>
        <v>700065</v>
      </c>
      <c r="H3849" t="str">
        <f>"אלתא מערכות בע""מ"</f>
        <v>אלתא מערכות בע"מ</v>
      </c>
      <c r="I3849" t="str">
        <f>"10"</f>
        <v>10</v>
      </c>
      <c r="J3849" t="str">
        <f>"OP-AR01083"</f>
        <v>OP-AR01083</v>
      </c>
      <c r="K3849" t="str">
        <f>"1036C960-001 HVJB_N"</f>
        <v>1036C960-001 HVJB_N</v>
      </c>
      <c r="L3849">
        <v>1</v>
      </c>
      <c r="M3849" t="str">
        <f>"יח"</f>
        <v>יח</v>
      </c>
      <c r="N3849">
        <v>1</v>
      </c>
      <c r="O3849" t="str">
        <f>"יח"</f>
        <v>יח</v>
      </c>
      <c r="P3849" s="2">
        <v>6500</v>
      </c>
      <c r="Q3849" t="str">
        <f>"$"</f>
        <v>$</v>
      </c>
      <c r="R3849" t="str">
        <f>"הזמנה"</f>
        <v>הזמנה</v>
      </c>
      <c r="S3849">
        <v>0</v>
      </c>
      <c r="T3849" s="2">
        <v>6500</v>
      </c>
      <c r="U3849">
        <v>0</v>
      </c>
      <c r="V3849" s="2">
        <v>6500</v>
      </c>
      <c r="W3849" t="str">
        <f>"$"</f>
        <v>$</v>
      </c>
      <c r="X3849">
        <v>0</v>
      </c>
      <c r="Y3849">
        <v>0</v>
      </c>
      <c r="Z3849">
        <v>0</v>
      </c>
      <c r="AA3849" t="str">
        <f>"Y"</f>
        <v>Y</v>
      </c>
      <c r="AB3849" t="str">
        <f>"SO18000429"</f>
        <v>SO18000429</v>
      </c>
      <c r="AC3849">
        <v>9</v>
      </c>
      <c r="AD3849" s="1">
        <v>43311</v>
      </c>
      <c r="AE3849" t="str">
        <f>"SH20000413"</f>
        <v>SH20000413</v>
      </c>
      <c r="AF3849" t="str">
        <f>"משלוחים ללקוח"</f>
        <v>משלוחים ללקוח</v>
      </c>
      <c r="AG3849" s="1">
        <v>43921</v>
      </c>
      <c r="AM3849" t="str">
        <f>"10"</f>
        <v>10</v>
      </c>
      <c r="AN3849" t="str">
        <f>"500000"</f>
        <v>500000</v>
      </c>
      <c r="AO3849" t="str">
        <f>"הכנסות  מלקוחות"</f>
        <v>הכנסות  מלקוחות</v>
      </c>
      <c r="AQ3849" t="str">
        <f>"007"</f>
        <v>007</v>
      </c>
      <c r="AR3849">
        <v>0</v>
      </c>
      <c r="AS3849">
        <v>0</v>
      </c>
      <c r="AT3849">
        <v>3.5859999999999999</v>
      </c>
      <c r="AX3849" t="str">
        <f>"E000266439"</f>
        <v>E000266439</v>
      </c>
      <c r="BD3849" t="str">
        <f>"רוני דידי"</f>
        <v>רוני דידי</v>
      </c>
    </row>
    <row r="3850" spans="1:56" x14ac:dyDescent="0.3">
      <c r="A3850" s="1">
        <v>43921</v>
      </c>
      <c r="B3850" t="str">
        <f>"SI206000300"</f>
        <v>SI206000300</v>
      </c>
      <c r="C3850" t="str">
        <f>"PR19000750"</f>
        <v>PR19000750</v>
      </c>
      <c r="D3850" t="str">
        <f>"PR19000750"</f>
        <v>PR19000750</v>
      </c>
      <c r="E3850" t="str">
        <f>"Y"</f>
        <v>Y</v>
      </c>
      <c r="F3850" t="str">
        <f>"חשבוניות מרכזות"</f>
        <v>חשבוניות מרכזות</v>
      </c>
      <c r="G3850" t="str">
        <f>"700065"</f>
        <v>700065</v>
      </c>
      <c r="H3850" t="str">
        <f>"אלתא מערכות בע""מ"</f>
        <v>אלתא מערכות בע"מ</v>
      </c>
      <c r="I3850" t="str">
        <f>"10"</f>
        <v>10</v>
      </c>
      <c r="J3850" t="str">
        <f>"OP-KT00099"</f>
        <v>OP-KT00099</v>
      </c>
      <c r="K3850" t="str">
        <f>"1037C837-001 - PDB SPARES I LEVEL"</f>
        <v>1037C837-001 - PDB SPARES I LEVEL</v>
      </c>
      <c r="L3850">
        <v>1</v>
      </c>
      <c r="M3850" t="str">
        <f>"יח"</f>
        <v>יח</v>
      </c>
      <c r="N3850">
        <v>1</v>
      </c>
      <c r="O3850" t="str">
        <f>"יח"</f>
        <v>יח</v>
      </c>
      <c r="P3850" s="2">
        <v>15240</v>
      </c>
      <c r="Q3850" t="str">
        <f>"$"</f>
        <v>$</v>
      </c>
      <c r="R3850" t="str">
        <f>"הזמנה"</f>
        <v>הזמנה</v>
      </c>
      <c r="S3850">
        <v>0</v>
      </c>
      <c r="T3850" s="2">
        <v>15240</v>
      </c>
      <c r="U3850">
        <v>0</v>
      </c>
      <c r="V3850" s="2">
        <v>15240</v>
      </c>
      <c r="W3850" t="str">
        <f>"$"</f>
        <v>$</v>
      </c>
      <c r="X3850">
        <v>0</v>
      </c>
      <c r="Y3850">
        <v>0</v>
      </c>
      <c r="Z3850">
        <v>0</v>
      </c>
      <c r="AA3850" t="str">
        <f>"Y"</f>
        <v>Y</v>
      </c>
      <c r="AB3850" t="str">
        <f>"SO19000535"</f>
        <v>SO19000535</v>
      </c>
      <c r="AC3850">
        <v>17</v>
      </c>
      <c r="AD3850" s="1">
        <v>43823</v>
      </c>
      <c r="AE3850" t="str">
        <f>"SH20000421"</f>
        <v>SH20000421</v>
      </c>
      <c r="AF3850" t="str">
        <f>"משלוחים ללקוח"</f>
        <v>משלוחים ללקוח</v>
      </c>
      <c r="AG3850" s="1">
        <v>43921</v>
      </c>
      <c r="AM3850" t="str">
        <f>"10"</f>
        <v>10</v>
      </c>
      <c r="AN3850" t="str">
        <f>"500000"</f>
        <v>500000</v>
      </c>
      <c r="AO3850" t="str">
        <f>"הכנסות  מלקוחות"</f>
        <v>הכנסות  מלקוחות</v>
      </c>
      <c r="AQ3850" t="str">
        <f>"034"</f>
        <v>034</v>
      </c>
      <c r="AR3850">
        <v>0</v>
      </c>
      <c r="AS3850">
        <v>0</v>
      </c>
      <c r="AT3850">
        <v>3.5859999999999999</v>
      </c>
      <c r="AX3850" t="str">
        <f>"E000303378"</f>
        <v>E000303378</v>
      </c>
      <c r="BD3850" t="str">
        <f>"ערן שלו"</f>
        <v>ערן שלו</v>
      </c>
    </row>
    <row r="3851" spans="1:56" x14ac:dyDescent="0.3">
      <c r="A3851" s="1">
        <v>43921</v>
      </c>
      <c r="B3851" t="str">
        <f>"SI206000299"</f>
        <v>SI206000299</v>
      </c>
      <c r="C3851" t="str">
        <f>"PR19000731"</f>
        <v>PR19000731</v>
      </c>
      <c r="E3851" t="str">
        <f>"Y"</f>
        <v>Y</v>
      </c>
      <c r="F3851" t="str">
        <f>"חשבוניות מרכזות"</f>
        <v>חשבוניות מרכזות</v>
      </c>
      <c r="G3851" t="str">
        <f>"700065"</f>
        <v>700065</v>
      </c>
      <c r="H3851" t="str">
        <f>"אלתא מערכות בע""מ"</f>
        <v>אלתא מערכות בע"מ</v>
      </c>
      <c r="I3851" t="str">
        <f>"10"</f>
        <v>10</v>
      </c>
      <c r="J3851" t="str">
        <f>"OP-AR01585"</f>
        <v>OP-AR01585</v>
      </c>
      <c r="K3851" t="str">
        <f>"9004W745-001 HARNESS WS105 RP VIDEO SIGNALS"</f>
        <v>9004W745-001 HARNESS WS105 RP VIDEO SIGNALS</v>
      </c>
      <c r="L3851">
        <v>3</v>
      </c>
      <c r="M3851" t="str">
        <f>"יח"</f>
        <v>יח</v>
      </c>
      <c r="N3851">
        <v>3</v>
      </c>
      <c r="O3851" t="str">
        <f>"יח"</f>
        <v>יח</v>
      </c>
      <c r="P3851">
        <v>838.3</v>
      </c>
      <c r="Q3851" t="str">
        <f>"$"</f>
        <v>$</v>
      </c>
      <c r="R3851" t="str">
        <f>"הזמנה"</f>
        <v>הזמנה</v>
      </c>
      <c r="S3851">
        <v>0</v>
      </c>
      <c r="T3851" s="2">
        <v>2514.9</v>
      </c>
      <c r="U3851">
        <v>0</v>
      </c>
      <c r="V3851" s="2">
        <v>2514.9</v>
      </c>
      <c r="W3851" t="str">
        <f>"$"</f>
        <v>$</v>
      </c>
      <c r="X3851">
        <v>0</v>
      </c>
      <c r="Y3851">
        <v>0</v>
      </c>
      <c r="Z3851">
        <v>0</v>
      </c>
      <c r="AA3851" t="str">
        <f>"Y"</f>
        <v>Y</v>
      </c>
      <c r="AB3851" t="str">
        <f>"SO19000524"</f>
        <v>SO19000524</v>
      </c>
      <c r="AC3851">
        <v>7</v>
      </c>
      <c r="AD3851" s="1">
        <v>43809</v>
      </c>
      <c r="AE3851" t="str">
        <f>"SH20000420"</f>
        <v>SH20000420</v>
      </c>
      <c r="AF3851" t="str">
        <f>"משלוחים ללקוח"</f>
        <v>משלוחים ללקוח</v>
      </c>
      <c r="AG3851" s="1">
        <v>43921</v>
      </c>
      <c r="AM3851" t="str">
        <f>"10"</f>
        <v>10</v>
      </c>
      <c r="AN3851" t="str">
        <f>"500000"</f>
        <v>500000</v>
      </c>
      <c r="AO3851" t="str">
        <f>"הכנסות  מלקוחות"</f>
        <v>הכנסות  מלקוחות</v>
      </c>
      <c r="AQ3851" t="str">
        <f>"034"</f>
        <v>034</v>
      </c>
      <c r="AR3851">
        <v>0</v>
      </c>
      <c r="AS3851">
        <v>0</v>
      </c>
      <c r="AT3851">
        <v>3.5859999999999999</v>
      </c>
      <c r="AX3851" t="str">
        <f>"E000300228"</f>
        <v>E000300228</v>
      </c>
      <c r="BD3851" t="str">
        <f>"ערן שלו"</f>
        <v>ערן שלו</v>
      </c>
    </row>
    <row r="3852" spans="1:56" x14ac:dyDescent="0.3">
      <c r="A3852" s="1">
        <v>43921</v>
      </c>
      <c r="B3852" t="str">
        <f>"SI206000298"</f>
        <v>SI206000298</v>
      </c>
      <c r="C3852" t="str">
        <f>"PR19000397"</f>
        <v>PR19000397</v>
      </c>
      <c r="E3852" t="str">
        <f>"Y"</f>
        <v>Y</v>
      </c>
      <c r="F3852" t="str">
        <f>"חשבוניות מרכזות"</f>
        <v>חשבוניות מרכזות</v>
      </c>
      <c r="G3852" t="str">
        <f>"700065"</f>
        <v>700065</v>
      </c>
      <c r="H3852" t="str">
        <f>"אלתא מערכות בע""מ"</f>
        <v>אלתא מערכות בע"מ</v>
      </c>
      <c r="I3852" t="str">
        <f>"10"</f>
        <v>10</v>
      </c>
      <c r="J3852" t="str">
        <f>"OP-AR01301"</f>
        <v>OP-AR01301</v>
      </c>
      <c r="K3852" t="str">
        <f>"חטיבת  1038L452-001 CU"</f>
        <v>חטיבת  1038L452-001 CU</v>
      </c>
      <c r="L3852">
        <v>1</v>
      </c>
      <c r="M3852" t="str">
        <f>"יח"</f>
        <v>יח</v>
      </c>
      <c r="N3852">
        <v>1</v>
      </c>
      <c r="O3852" t="str">
        <f>"יח"</f>
        <v>יח</v>
      </c>
      <c r="P3852" s="2">
        <v>222300</v>
      </c>
      <c r="Q3852" t="str">
        <f>"$"</f>
        <v>$</v>
      </c>
      <c r="R3852" t="str">
        <f>"הזמנה"</f>
        <v>הזמנה</v>
      </c>
      <c r="S3852">
        <v>0</v>
      </c>
      <c r="T3852" s="2">
        <v>222300</v>
      </c>
      <c r="U3852">
        <v>0</v>
      </c>
      <c r="V3852" s="2">
        <v>222300</v>
      </c>
      <c r="W3852" t="str">
        <f>"$"</f>
        <v>$</v>
      </c>
      <c r="X3852">
        <v>0</v>
      </c>
      <c r="Y3852">
        <v>0</v>
      </c>
      <c r="Z3852">
        <v>0</v>
      </c>
      <c r="AA3852" t="str">
        <f>"Y"</f>
        <v>Y</v>
      </c>
      <c r="AB3852" t="str">
        <f>"SO19000305"</f>
        <v>SO19000305</v>
      </c>
      <c r="AC3852">
        <v>6</v>
      </c>
      <c r="AD3852" s="1">
        <v>43657</v>
      </c>
      <c r="AE3852" t="str">
        <f>"SH20000414"</f>
        <v>SH20000414</v>
      </c>
      <c r="AF3852" t="str">
        <f>"משלוחים ללקוח"</f>
        <v>משלוחים ללקוח</v>
      </c>
      <c r="AG3852" s="1">
        <v>43921</v>
      </c>
      <c r="AM3852" t="str">
        <f>"10"</f>
        <v>10</v>
      </c>
      <c r="AN3852" t="str">
        <f>"500000"</f>
        <v>500000</v>
      </c>
      <c r="AO3852" t="str">
        <f>"הכנסות  מלקוחות"</f>
        <v>הכנסות  מלקוחות</v>
      </c>
      <c r="AQ3852" t="str">
        <f>"034"</f>
        <v>034</v>
      </c>
      <c r="AR3852">
        <v>0</v>
      </c>
      <c r="AS3852">
        <v>0</v>
      </c>
      <c r="AT3852">
        <v>3.5859999999999999</v>
      </c>
      <c r="AX3852" t="str">
        <f>"E000290708"</f>
        <v>E000290708</v>
      </c>
      <c r="BD3852" t="str">
        <f>"ערן שלו"</f>
        <v>ערן שלו</v>
      </c>
    </row>
    <row r="3853" spans="1:56" x14ac:dyDescent="0.3">
      <c r="A3853" s="1">
        <v>43921</v>
      </c>
      <c r="B3853" t="str">
        <f>"SI206000297"</f>
        <v>SI206000297</v>
      </c>
      <c r="C3853" t="str">
        <f>"PR19000112"</f>
        <v>PR19000112</v>
      </c>
      <c r="E3853" t="str">
        <f>"Y"</f>
        <v>Y</v>
      </c>
      <c r="F3853" t="str">
        <f>"חשבוניות מרכזות"</f>
        <v>חשבוניות מרכזות</v>
      </c>
      <c r="G3853" t="str">
        <f>"700065"</f>
        <v>700065</v>
      </c>
      <c r="H3853" t="str">
        <f>"אלתא מערכות בע""מ"</f>
        <v>אלתא מערכות בע"מ</v>
      </c>
      <c r="I3853" t="str">
        <f>"05"</f>
        <v>05</v>
      </c>
      <c r="J3853" t="str">
        <f>"SH0100045"</f>
        <v>SH0100045</v>
      </c>
      <c r="K3853" t="str">
        <f>"שנאי לפי מפרט 70KVA"</f>
        <v>שנאי לפי מפרט 70KVA</v>
      </c>
      <c r="L3853">
        <v>1</v>
      </c>
      <c r="M3853" t="str">
        <f>"יח"</f>
        <v>יח</v>
      </c>
      <c r="N3853">
        <v>1</v>
      </c>
      <c r="O3853" t="str">
        <f>"יח"</f>
        <v>יח</v>
      </c>
      <c r="P3853" s="2">
        <v>19000</v>
      </c>
      <c r="Q3853" t="str">
        <f>"$"</f>
        <v>$</v>
      </c>
      <c r="R3853" t="str">
        <f>"הזמנה"</f>
        <v>הזמנה</v>
      </c>
      <c r="S3853">
        <v>0</v>
      </c>
      <c r="T3853" s="2">
        <v>19000</v>
      </c>
      <c r="U3853">
        <v>0</v>
      </c>
      <c r="V3853" s="2">
        <v>19000</v>
      </c>
      <c r="W3853" t="str">
        <f>"$"</f>
        <v>$</v>
      </c>
      <c r="X3853">
        <v>0</v>
      </c>
      <c r="Y3853">
        <v>0</v>
      </c>
      <c r="Z3853">
        <v>0</v>
      </c>
      <c r="AA3853" t="str">
        <f>"Y"</f>
        <v>Y</v>
      </c>
      <c r="AB3853" t="str">
        <f>"SO19000156"</f>
        <v>SO19000156</v>
      </c>
      <c r="AC3853">
        <v>18</v>
      </c>
      <c r="AD3853" s="1">
        <v>43562</v>
      </c>
      <c r="AE3853" t="str">
        <f>"SH20000419"</f>
        <v>SH20000419</v>
      </c>
      <c r="AF3853" t="str">
        <f>"משלוחים ללקוח"</f>
        <v>משלוחים ללקוח</v>
      </c>
      <c r="AG3853" s="1">
        <v>43921</v>
      </c>
      <c r="AM3853" t="str">
        <f>"10"</f>
        <v>10</v>
      </c>
      <c r="AN3853" t="str">
        <f>"500000"</f>
        <v>500000</v>
      </c>
      <c r="AO3853" t="str">
        <f>"הכנסות  מלקוחות"</f>
        <v>הכנסות  מלקוחות</v>
      </c>
      <c r="AQ3853" t="str">
        <f>"034"</f>
        <v>034</v>
      </c>
      <c r="AR3853">
        <v>0</v>
      </c>
      <c r="AS3853">
        <v>0</v>
      </c>
      <c r="AT3853">
        <v>3.5859999999999999</v>
      </c>
      <c r="AX3853" t="str">
        <f>"E000270896"</f>
        <v>E000270896</v>
      </c>
      <c r="BD3853" t="str">
        <f>"ערן שלו"</f>
        <v>ערן שלו</v>
      </c>
    </row>
    <row r="3854" spans="1:56" x14ac:dyDescent="0.3">
      <c r="A3854" s="1">
        <v>43921</v>
      </c>
      <c r="B3854" t="str">
        <f>"SI206000296"</f>
        <v>SI206000296</v>
      </c>
      <c r="C3854" t="str">
        <f>"PR19000111"</f>
        <v>PR19000111</v>
      </c>
      <c r="E3854" t="str">
        <f>"Y"</f>
        <v>Y</v>
      </c>
      <c r="F3854" t="str">
        <f>"חשבוניות מרכזות"</f>
        <v>חשבוניות מרכזות</v>
      </c>
      <c r="G3854" t="str">
        <f>"700065"</f>
        <v>700065</v>
      </c>
      <c r="H3854" t="str">
        <f>"אלתא מערכות בע""מ"</f>
        <v>אלתא מערכות בע"מ</v>
      </c>
      <c r="I3854" t="str">
        <f>"05"</f>
        <v>05</v>
      </c>
      <c r="J3854" t="str">
        <f>"SH0100044"</f>
        <v>SH0100044</v>
      </c>
      <c r="K3854" t="str">
        <f>"שנאי 200KVA לפי מפרט"</f>
        <v>שנאי 200KVA לפי מפרט</v>
      </c>
      <c r="L3854">
        <v>2</v>
      </c>
      <c r="M3854" t="str">
        <f>"יח"</f>
        <v>יח</v>
      </c>
      <c r="N3854">
        <v>2</v>
      </c>
      <c r="O3854" t="str">
        <f>"יח"</f>
        <v>יח</v>
      </c>
      <c r="P3854" s="2">
        <v>38000</v>
      </c>
      <c r="Q3854" t="str">
        <f>"$"</f>
        <v>$</v>
      </c>
      <c r="R3854" t="str">
        <f>"הזמנה"</f>
        <v>הזמנה</v>
      </c>
      <c r="S3854">
        <v>0</v>
      </c>
      <c r="T3854" s="2">
        <v>76000</v>
      </c>
      <c r="U3854">
        <v>0</v>
      </c>
      <c r="V3854" s="2">
        <v>76000</v>
      </c>
      <c r="W3854" t="str">
        <f>"$"</f>
        <v>$</v>
      </c>
      <c r="X3854">
        <v>0</v>
      </c>
      <c r="Y3854">
        <v>0</v>
      </c>
      <c r="Z3854">
        <v>0</v>
      </c>
      <c r="AA3854" t="str">
        <f>"Y"</f>
        <v>Y</v>
      </c>
      <c r="AB3854" t="str">
        <f>"SO19000156"</f>
        <v>SO19000156</v>
      </c>
      <c r="AC3854">
        <v>13</v>
      </c>
      <c r="AD3854" s="1">
        <v>43562</v>
      </c>
      <c r="AE3854" t="str">
        <f>"SH20000418"</f>
        <v>SH20000418</v>
      </c>
      <c r="AF3854" t="str">
        <f>"משלוחים ללקוח"</f>
        <v>משלוחים ללקוח</v>
      </c>
      <c r="AG3854" s="1">
        <v>43921</v>
      </c>
      <c r="AM3854" t="str">
        <f>"10"</f>
        <v>10</v>
      </c>
      <c r="AN3854" t="str">
        <f>"500000"</f>
        <v>500000</v>
      </c>
      <c r="AO3854" t="str">
        <f>"הכנסות  מלקוחות"</f>
        <v>הכנסות  מלקוחות</v>
      </c>
      <c r="AQ3854" t="str">
        <f>"034"</f>
        <v>034</v>
      </c>
      <c r="AR3854">
        <v>0</v>
      </c>
      <c r="AS3854">
        <v>0</v>
      </c>
      <c r="AT3854">
        <v>3.5859999999999999</v>
      </c>
      <c r="AX3854" t="str">
        <f>"E000270896"</f>
        <v>E000270896</v>
      </c>
      <c r="BD3854" t="str">
        <f>"ערן שלו"</f>
        <v>ערן שלו</v>
      </c>
    </row>
    <row r="3855" spans="1:56" x14ac:dyDescent="0.3">
      <c r="A3855" s="1">
        <v>43921</v>
      </c>
      <c r="B3855" t="str">
        <f>"SI206000295"</f>
        <v>SI206000295</v>
      </c>
      <c r="C3855" t="str">
        <f>"PR19000107"</f>
        <v>PR19000107</v>
      </c>
      <c r="E3855" t="str">
        <f>"Y"</f>
        <v>Y</v>
      </c>
      <c r="F3855" t="str">
        <f>"חשבוניות מרכזות"</f>
        <v>חשבוניות מרכזות</v>
      </c>
      <c r="G3855" t="str">
        <f>"700065"</f>
        <v>700065</v>
      </c>
      <c r="H3855" t="str">
        <f>"אלתא מערכות בע""מ"</f>
        <v>אלתא מערכות בע"מ</v>
      </c>
      <c r="I3855" t="str">
        <f>"05"</f>
        <v>05</v>
      </c>
      <c r="J3855" t="str">
        <f>"OP-PD02879"</f>
        <v>OP-PD02879</v>
      </c>
      <c r="K3855" t="str">
        <f>"POWER DISTRIBUTION BOARD 12 AND 13"</f>
        <v>POWER DISTRIBUTION BOARD 12 AND 13</v>
      </c>
      <c r="L3855">
        <v>1</v>
      </c>
      <c r="M3855" t="str">
        <f>"יח"</f>
        <v>יח</v>
      </c>
      <c r="N3855">
        <v>1</v>
      </c>
      <c r="O3855" t="str">
        <f>"יח"</f>
        <v>יח</v>
      </c>
      <c r="P3855" s="2">
        <v>36250</v>
      </c>
      <c r="Q3855" t="str">
        <f>"$"</f>
        <v>$</v>
      </c>
      <c r="R3855" t="str">
        <f>"הזמנה"</f>
        <v>הזמנה</v>
      </c>
      <c r="S3855">
        <v>0</v>
      </c>
      <c r="T3855" s="2">
        <v>36250</v>
      </c>
      <c r="U3855">
        <v>0</v>
      </c>
      <c r="V3855" s="2">
        <v>36250</v>
      </c>
      <c r="W3855" t="str">
        <f>"$"</f>
        <v>$</v>
      </c>
      <c r="X3855">
        <v>0</v>
      </c>
      <c r="Y3855">
        <v>0</v>
      </c>
      <c r="Z3855">
        <v>0</v>
      </c>
      <c r="AA3855" t="str">
        <f>"Y"</f>
        <v>Y</v>
      </c>
      <c r="AB3855" t="str">
        <f>"SO19000156"</f>
        <v>SO19000156</v>
      </c>
      <c r="AC3855">
        <v>1</v>
      </c>
      <c r="AD3855" s="1">
        <v>43562</v>
      </c>
      <c r="AE3855" t="str">
        <f>"SH20000409"</f>
        <v>SH20000409</v>
      </c>
      <c r="AF3855" t="str">
        <f>"משלוחים ללקוח"</f>
        <v>משלוחים ללקוח</v>
      </c>
      <c r="AG3855" s="1">
        <v>43921</v>
      </c>
      <c r="AM3855" t="str">
        <f>"10"</f>
        <v>10</v>
      </c>
      <c r="AN3855" t="str">
        <f>"500000"</f>
        <v>500000</v>
      </c>
      <c r="AO3855" t="str">
        <f>"הכנסות  מלקוחות"</f>
        <v>הכנסות  מלקוחות</v>
      </c>
      <c r="AQ3855" t="str">
        <f>"034"</f>
        <v>034</v>
      </c>
      <c r="AR3855">
        <v>0</v>
      </c>
      <c r="AS3855">
        <v>0</v>
      </c>
      <c r="AT3855">
        <v>3.5859999999999999</v>
      </c>
      <c r="AX3855" t="str">
        <f>"E000270896"</f>
        <v>E000270896</v>
      </c>
      <c r="BD3855" t="str">
        <f>"ערן שלו"</f>
        <v>ערן שלו</v>
      </c>
    </row>
    <row r="3856" spans="1:56" x14ac:dyDescent="0.3">
      <c r="A3856" s="1">
        <v>43921</v>
      </c>
      <c r="B3856" t="str">
        <f>"SI206000294"</f>
        <v>SI206000294</v>
      </c>
      <c r="C3856" t="str">
        <f>"PR19000110"</f>
        <v>PR19000110</v>
      </c>
      <c r="E3856" t="str">
        <f>"Y"</f>
        <v>Y</v>
      </c>
      <c r="F3856" t="str">
        <f>"חשבוניות מרכזות"</f>
        <v>חשבוניות מרכזות</v>
      </c>
      <c r="G3856" t="str">
        <f>"700065"</f>
        <v>700065</v>
      </c>
      <c r="H3856" t="str">
        <f>"אלתא מערכות בע""מ"</f>
        <v>אלתא מערכות בע"מ</v>
      </c>
      <c r="I3856" t="str">
        <f>"05"</f>
        <v>05</v>
      </c>
      <c r="J3856" t="str">
        <f>"OP-PD02881"</f>
        <v>OP-PD02881</v>
      </c>
      <c r="K3856" t="str">
        <f>"POWER DISTRIBUTION BOARD 09-SOCD"</f>
        <v>POWER DISTRIBUTION BOARD 09-SOCD</v>
      </c>
      <c r="L3856">
        <v>1</v>
      </c>
      <c r="M3856" t="str">
        <f>"יח"</f>
        <v>יח</v>
      </c>
      <c r="N3856">
        <v>1</v>
      </c>
      <c r="O3856" t="str">
        <f>"יח"</f>
        <v>יח</v>
      </c>
      <c r="P3856" s="2">
        <v>43010</v>
      </c>
      <c r="Q3856" t="str">
        <f>"$"</f>
        <v>$</v>
      </c>
      <c r="R3856" t="str">
        <f>"הזמנה"</f>
        <v>הזמנה</v>
      </c>
      <c r="S3856">
        <v>0</v>
      </c>
      <c r="T3856" s="2">
        <v>43010</v>
      </c>
      <c r="U3856">
        <v>0</v>
      </c>
      <c r="V3856" s="2">
        <v>43010</v>
      </c>
      <c r="W3856" t="str">
        <f>"$"</f>
        <v>$</v>
      </c>
      <c r="X3856">
        <v>0</v>
      </c>
      <c r="Y3856">
        <v>0</v>
      </c>
      <c r="Z3856">
        <v>0</v>
      </c>
      <c r="AA3856" t="str">
        <f>"Y"</f>
        <v>Y</v>
      </c>
      <c r="AB3856" t="str">
        <f>"SO19000156"</f>
        <v>SO19000156</v>
      </c>
      <c r="AC3856">
        <v>8</v>
      </c>
      <c r="AD3856" s="1">
        <v>43562</v>
      </c>
      <c r="AE3856" t="str">
        <f>"SH20000417"</f>
        <v>SH20000417</v>
      </c>
      <c r="AF3856" t="str">
        <f>"משלוחים ללקוח"</f>
        <v>משלוחים ללקוח</v>
      </c>
      <c r="AG3856" s="1">
        <v>43921</v>
      </c>
      <c r="AM3856" t="str">
        <f>"10"</f>
        <v>10</v>
      </c>
      <c r="AN3856" t="str">
        <f>"500000"</f>
        <v>500000</v>
      </c>
      <c r="AO3856" t="str">
        <f>"הכנסות  מלקוחות"</f>
        <v>הכנסות  מלקוחות</v>
      </c>
      <c r="AQ3856" t="str">
        <f>"034"</f>
        <v>034</v>
      </c>
      <c r="AR3856">
        <v>0</v>
      </c>
      <c r="AS3856">
        <v>0</v>
      </c>
      <c r="AT3856">
        <v>3.5859999999999999</v>
      </c>
      <c r="AX3856" t="str">
        <f>"E000270896"</f>
        <v>E000270896</v>
      </c>
      <c r="BD3856" t="str">
        <f>"ערן שלו"</f>
        <v>ערן שלו</v>
      </c>
    </row>
    <row r="3857" spans="1:56" x14ac:dyDescent="0.3">
      <c r="A3857" s="1">
        <v>43921</v>
      </c>
      <c r="B3857" t="str">
        <f>"SI206000293"</f>
        <v>SI206000293</v>
      </c>
      <c r="C3857" t="str">
        <f>"PR19000108"</f>
        <v>PR19000108</v>
      </c>
      <c r="E3857" t="str">
        <f>"Y"</f>
        <v>Y</v>
      </c>
      <c r="F3857" t="str">
        <f>"חשבוניות מרכזות"</f>
        <v>חשבוניות מרכזות</v>
      </c>
      <c r="G3857" t="str">
        <f>"700065"</f>
        <v>700065</v>
      </c>
      <c r="H3857" t="str">
        <f>"אלתא מערכות בע""מ"</f>
        <v>אלתא מערכות בע"מ</v>
      </c>
      <c r="I3857" t="str">
        <f>"05"</f>
        <v>05</v>
      </c>
      <c r="J3857" t="str">
        <f>"OP-PD02880"</f>
        <v>OP-PD02880</v>
      </c>
      <c r="K3857" t="str">
        <f>"POWER DISTRIBUTION BOARD 06/07-SOCD"</f>
        <v>POWER DISTRIBUTION BOARD 06/07-SOCD</v>
      </c>
      <c r="L3857">
        <v>2</v>
      </c>
      <c r="M3857" t="str">
        <f>"יח"</f>
        <v>יח</v>
      </c>
      <c r="N3857">
        <v>2</v>
      </c>
      <c r="O3857" t="str">
        <f>"יח"</f>
        <v>יח</v>
      </c>
      <c r="P3857" s="2">
        <v>50800</v>
      </c>
      <c r="Q3857" t="str">
        <f>"$"</f>
        <v>$</v>
      </c>
      <c r="R3857" t="str">
        <f>"הזמנה"</f>
        <v>הזמנה</v>
      </c>
      <c r="S3857">
        <v>0</v>
      </c>
      <c r="T3857" s="2">
        <v>101600</v>
      </c>
      <c r="U3857">
        <v>0</v>
      </c>
      <c r="V3857" s="2">
        <v>101600</v>
      </c>
      <c r="W3857" t="str">
        <f>"$"</f>
        <v>$</v>
      </c>
      <c r="X3857">
        <v>0</v>
      </c>
      <c r="Y3857">
        <v>0</v>
      </c>
      <c r="Z3857">
        <v>0</v>
      </c>
      <c r="AA3857" t="str">
        <f>"Y"</f>
        <v>Y</v>
      </c>
      <c r="AB3857" t="str">
        <f>"SO19000156"</f>
        <v>SO19000156</v>
      </c>
      <c r="AC3857">
        <v>3</v>
      </c>
      <c r="AD3857" s="1">
        <v>43562</v>
      </c>
      <c r="AE3857" t="str">
        <f>"SH20000416"</f>
        <v>SH20000416</v>
      </c>
      <c r="AF3857" t="str">
        <f>"משלוחים ללקוח"</f>
        <v>משלוחים ללקוח</v>
      </c>
      <c r="AG3857" s="1">
        <v>43921</v>
      </c>
      <c r="AM3857" t="str">
        <f>"10"</f>
        <v>10</v>
      </c>
      <c r="AN3857" t="str">
        <f>"500000"</f>
        <v>500000</v>
      </c>
      <c r="AO3857" t="str">
        <f>"הכנסות  מלקוחות"</f>
        <v>הכנסות  מלקוחות</v>
      </c>
      <c r="AQ3857" t="str">
        <f>"034"</f>
        <v>034</v>
      </c>
      <c r="AR3857">
        <v>0</v>
      </c>
      <c r="AS3857">
        <v>0</v>
      </c>
      <c r="AT3857">
        <v>3.5859999999999999</v>
      </c>
      <c r="AX3857" t="str">
        <f>"E000270896"</f>
        <v>E000270896</v>
      </c>
      <c r="BD3857" t="str">
        <f>"ערן שלו"</f>
        <v>ערן שלו</v>
      </c>
    </row>
    <row r="3858" spans="1:56" x14ac:dyDescent="0.3">
      <c r="A3858" s="1">
        <v>43921</v>
      </c>
      <c r="B3858" t="str">
        <f>"CR207000008"</f>
        <v>CR207000008</v>
      </c>
      <c r="C3858" t="str">
        <f>"PR19000252"</f>
        <v>PR19000252</v>
      </c>
      <c r="E3858" t="str">
        <f>"Y"</f>
        <v>Y</v>
      </c>
      <c r="F3858" t="str">
        <f>"חשבוניות זיכוי"</f>
        <v>חשבוניות זיכוי</v>
      </c>
      <c r="G3858" t="str">
        <f>"700065"</f>
        <v>700065</v>
      </c>
      <c r="H3858" t="str">
        <f>"אלתא מערכות בע""מ"</f>
        <v>אלתא מערכות בע"מ</v>
      </c>
      <c r="I3858" t="str">
        <f>"10"</f>
        <v>10</v>
      </c>
      <c r="J3858" t="str">
        <f>"000"</f>
        <v>000</v>
      </c>
      <c r="K3858" t="str">
        <f>"חיוב 5112098795 בגין פיגור באספקה"</f>
        <v>חיוב 5112098795 בגין פיגור באספקה</v>
      </c>
      <c r="L3858">
        <v>1</v>
      </c>
      <c r="M3858" t="str">
        <f>"יח"</f>
        <v>יח</v>
      </c>
      <c r="N3858">
        <v>1</v>
      </c>
      <c r="O3858" t="str">
        <f>"יח"</f>
        <v>יח</v>
      </c>
      <c r="P3858" s="2">
        <v>1123.78</v>
      </c>
      <c r="Q3858" t="str">
        <f>"$"</f>
        <v>$</v>
      </c>
      <c r="R3858" t="str">
        <f>"הזמנה"</f>
        <v>הזמנה</v>
      </c>
      <c r="S3858">
        <v>0</v>
      </c>
      <c r="T3858" s="2">
        <v>1123.78</v>
      </c>
      <c r="U3858">
        <v>0</v>
      </c>
      <c r="V3858" s="2">
        <v>1123.78</v>
      </c>
      <c r="W3858" t="str">
        <f>"$"</f>
        <v>$</v>
      </c>
      <c r="X3858">
        <v>0</v>
      </c>
      <c r="Y3858">
        <v>0</v>
      </c>
      <c r="Z3858">
        <v>0</v>
      </c>
      <c r="AA3858" t="str">
        <f>"Y"</f>
        <v>Y</v>
      </c>
      <c r="AC3858">
        <v>0</v>
      </c>
      <c r="AM3858" t="str">
        <f>"10"</f>
        <v>10</v>
      </c>
      <c r="AN3858" t="str">
        <f>"500000"</f>
        <v>500000</v>
      </c>
      <c r="AO3858" t="str">
        <f>"הכנסות  מלקוחות"</f>
        <v>הכנסות  מלקוחות</v>
      </c>
      <c r="AP3858" t="str">
        <f>"Y"</f>
        <v>Y</v>
      </c>
      <c r="AQ3858" t="str">
        <f>"034"</f>
        <v>034</v>
      </c>
      <c r="AR3858">
        <v>0</v>
      </c>
      <c r="AS3858">
        <v>0</v>
      </c>
      <c r="AT3858">
        <v>3.4750000000000001</v>
      </c>
      <c r="BB3858" t="str">
        <f>"Y"</f>
        <v>Y</v>
      </c>
      <c r="BD3858" t="str">
        <f>"ערן שלו"</f>
        <v>ערן שלו</v>
      </c>
    </row>
    <row r="3859" spans="1:56" x14ac:dyDescent="0.3">
      <c r="A3859" s="1">
        <v>43920</v>
      </c>
      <c r="B3859" t="str">
        <f>"SI206000383"</f>
        <v>SI206000383</v>
      </c>
      <c r="C3859" t="str">
        <f>"PR19000109"</f>
        <v>PR19000109</v>
      </c>
      <c r="E3859" t="str">
        <f>"Y"</f>
        <v>Y</v>
      </c>
      <c r="F3859" t="str">
        <f>"חשבוניות מרכזות"</f>
        <v>חשבוניות מרכזות</v>
      </c>
      <c r="G3859" t="str">
        <f>"700065"</f>
        <v>700065</v>
      </c>
      <c r="H3859" t="str">
        <f>"אלתא מערכות בע""מ"</f>
        <v>אלתא מערכות בע"מ</v>
      </c>
      <c r="I3859" t="str">
        <f>"05"</f>
        <v>05</v>
      </c>
      <c r="J3859" t="str">
        <f>"999"</f>
        <v>999</v>
      </c>
      <c r="K3859" t="str">
        <f>"TECHNICAL MANUALS P15B"</f>
        <v>TECHNICAL MANUALS P15B</v>
      </c>
      <c r="L3859">
        <v>-1</v>
      </c>
      <c r="M3859" t="str">
        <f>"חל"</f>
        <v>חל</v>
      </c>
      <c r="N3859">
        <v>-1</v>
      </c>
      <c r="O3859" t="str">
        <f>"חל"</f>
        <v>חל</v>
      </c>
      <c r="P3859">
        <v>144</v>
      </c>
      <c r="Q3859" t="str">
        <f>"$"</f>
        <v>$</v>
      </c>
      <c r="R3859" t="str">
        <f>"הזמנה"</f>
        <v>הזמנה</v>
      </c>
      <c r="S3859">
        <v>0</v>
      </c>
      <c r="T3859">
        <v>-144</v>
      </c>
      <c r="U3859">
        <v>0</v>
      </c>
      <c r="V3859">
        <v>-144</v>
      </c>
      <c r="W3859" t="str">
        <f>"$"</f>
        <v>$</v>
      </c>
      <c r="X3859">
        <v>0</v>
      </c>
      <c r="Y3859">
        <v>0</v>
      </c>
      <c r="Z3859">
        <v>0</v>
      </c>
      <c r="AA3859" t="str">
        <f>"Y"</f>
        <v>Y</v>
      </c>
      <c r="AC3859">
        <v>0</v>
      </c>
      <c r="AM3859" t="str">
        <f>"10"</f>
        <v>10</v>
      </c>
      <c r="AN3859" t="str">
        <f>"500000"</f>
        <v>500000</v>
      </c>
      <c r="AO3859" t="str">
        <f>"הכנסות  מלקוחות"</f>
        <v>הכנסות  מלקוחות</v>
      </c>
      <c r="AQ3859" t="str">
        <f>"034"</f>
        <v>034</v>
      </c>
      <c r="AR3859">
        <v>0</v>
      </c>
      <c r="AS3859">
        <v>0</v>
      </c>
      <c r="AT3859">
        <v>3.4980000000000002</v>
      </c>
      <c r="BB3859" t="str">
        <f>"Y"</f>
        <v>Y</v>
      </c>
      <c r="BD3859" t="str">
        <f>"ערן שלו"</f>
        <v>ערן שלו</v>
      </c>
    </row>
    <row r="3860" spans="1:56" x14ac:dyDescent="0.3">
      <c r="A3860" s="1">
        <v>43920</v>
      </c>
      <c r="B3860" t="str">
        <f>"SI206000383"</f>
        <v>SI206000383</v>
      </c>
      <c r="C3860" t="str">
        <f>"PR19000109"</f>
        <v>PR19000109</v>
      </c>
      <c r="E3860" t="str">
        <f>"Y"</f>
        <v>Y</v>
      </c>
      <c r="F3860" t="str">
        <f>"חשבוניות מרכזות"</f>
        <v>חשבוניות מרכזות</v>
      </c>
      <c r="G3860" t="str">
        <f>"700065"</f>
        <v>700065</v>
      </c>
      <c r="H3860" t="str">
        <f>"אלתא מערכות בע""מ"</f>
        <v>אלתא מערכות בע"מ</v>
      </c>
      <c r="I3860" t="str">
        <f>"05"</f>
        <v>05</v>
      </c>
      <c r="J3860" t="str">
        <f>"GN9900099"</f>
        <v>GN9900099</v>
      </c>
      <c r="K3860" t="str">
        <f>"אנליזה לפרויקט ספינות"</f>
        <v>אנליזה לפרויקט ספינות</v>
      </c>
      <c r="L3860">
        <v>-1</v>
      </c>
      <c r="M3860" t="str">
        <f>"יח"</f>
        <v>יח</v>
      </c>
      <c r="N3860">
        <v>-1</v>
      </c>
      <c r="O3860" t="str">
        <f>"יח"</f>
        <v>יח</v>
      </c>
      <c r="P3860" s="2">
        <v>31600</v>
      </c>
      <c r="Q3860" t="str">
        <f>"$"</f>
        <v>$</v>
      </c>
      <c r="R3860" t="str">
        <f>"הזמנה"</f>
        <v>הזמנה</v>
      </c>
      <c r="S3860">
        <v>0</v>
      </c>
      <c r="T3860" s="2">
        <v>-31600</v>
      </c>
      <c r="U3860">
        <v>0</v>
      </c>
      <c r="V3860" s="2">
        <v>-31600</v>
      </c>
      <c r="W3860" t="str">
        <f>"$"</f>
        <v>$</v>
      </c>
      <c r="X3860">
        <v>0</v>
      </c>
      <c r="Y3860">
        <v>0</v>
      </c>
      <c r="Z3860">
        <v>0</v>
      </c>
      <c r="AA3860" t="str">
        <f>"Y"</f>
        <v>Y</v>
      </c>
      <c r="AC3860">
        <v>0</v>
      </c>
      <c r="AM3860" t="str">
        <f>"10"</f>
        <v>10</v>
      </c>
      <c r="AN3860" t="str">
        <f>"500000"</f>
        <v>500000</v>
      </c>
      <c r="AO3860" t="str">
        <f>"הכנסות  מלקוחות"</f>
        <v>הכנסות  מלקוחות</v>
      </c>
      <c r="AQ3860" t="str">
        <f>"034"</f>
        <v>034</v>
      </c>
      <c r="AR3860">
        <v>0</v>
      </c>
      <c r="AS3860">
        <v>0</v>
      </c>
      <c r="AT3860">
        <v>3.4980000000000002</v>
      </c>
      <c r="BB3860" t="str">
        <f>"Y"</f>
        <v>Y</v>
      </c>
      <c r="BD3860" t="str">
        <f>"ערן שלו"</f>
        <v>ערן שלו</v>
      </c>
    </row>
    <row r="3861" spans="1:56" x14ac:dyDescent="0.3">
      <c r="A3861" s="1">
        <v>43920</v>
      </c>
      <c r="B3861" t="str">
        <f>"SI206000383"</f>
        <v>SI206000383</v>
      </c>
      <c r="C3861" t="str">
        <f>"PR19000109"</f>
        <v>PR19000109</v>
      </c>
      <c r="E3861" t="str">
        <f>"Y"</f>
        <v>Y</v>
      </c>
      <c r="F3861" t="str">
        <f>"חשבוניות מרכזות"</f>
        <v>חשבוניות מרכזות</v>
      </c>
      <c r="G3861" t="str">
        <f>"700065"</f>
        <v>700065</v>
      </c>
      <c r="H3861" t="str">
        <f>"אלתא מערכות בע""מ"</f>
        <v>אלתא מערכות בע"מ</v>
      </c>
      <c r="I3861" t="str">
        <f>"05"</f>
        <v>05</v>
      </c>
      <c r="J3861" t="str">
        <f>"999"</f>
        <v>999</v>
      </c>
      <c r="K3861" t="str">
        <f>"CDR-חיוב בסוף הפרויקט"</f>
        <v>CDR-חיוב בסוף הפרויקט</v>
      </c>
      <c r="L3861">
        <v>-1</v>
      </c>
      <c r="M3861" t="str">
        <f>"חל"</f>
        <v>חל</v>
      </c>
      <c r="N3861">
        <v>-1</v>
      </c>
      <c r="O3861" t="str">
        <f>"חל"</f>
        <v>חל</v>
      </c>
      <c r="P3861" s="2">
        <v>73500</v>
      </c>
      <c r="Q3861" t="str">
        <f>"$"</f>
        <v>$</v>
      </c>
      <c r="R3861" t="str">
        <f>"הזמנה"</f>
        <v>הזמנה</v>
      </c>
      <c r="S3861">
        <v>0</v>
      </c>
      <c r="T3861" s="2">
        <v>-73500</v>
      </c>
      <c r="U3861">
        <v>0</v>
      </c>
      <c r="V3861" s="2">
        <v>-73500</v>
      </c>
      <c r="W3861" t="str">
        <f>"$"</f>
        <v>$</v>
      </c>
      <c r="X3861">
        <v>0</v>
      </c>
      <c r="Y3861">
        <v>0</v>
      </c>
      <c r="Z3861">
        <v>0</v>
      </c>
      <c r="AA3861" t="str">
        <f>"Y"</f>
        <v>Y</v>
      </c>
      <c r="AC3861">
        <v>0</v>
      </c>
      <c r="AM3861" t="str">
        <f>"10"</f>
        <v>10</v>
      </c>
      <c r="AN3861" t="str">
        <f>"500000"</f>
        <v>500000</v>
      </c>
      <c r="AO3861" t="str">
        <f>"הכנסות  מלקוחות"</f>
        <v>הכנסות  מלקוחות</v>
      </c>
      <c r="AQ3861" t="str">
        <f>"034"</f>
        <v>034</v>
      </c>
      <c r="AR3861">
        <v>0</v>
      </c>
      <c r="AS3861">
        <v>0</v>
      </c>
      <c r="AT3861">
        <v>3.4980000000000002</v>
      </c>
      <c r="BB3861" t="str">
        <f>"Y"</f>
        <v>Y</v>
      </c>
      <c r="BD3861" t="str">
        <f>"ערן שלו"</f>
        <v>ערן שלו</v>
      </c>
    </row>
    <row r="3862" spans="1:56" x14ac:dyDescent="0.3">
      <c r="A3862" s="1">
        <v>43920</v>
      </c>
      <c r="B3862" t="str">
        <f>"SI206000290"</f>
        <v>SI206000290</v>
      </c>
      <c r="C3862" t="str">
        <f>"PR18000543"</f>
        <v>PR18000543</v>
      </c>
      <c r="D3862" t="str">
        <f>"PR18000543"</f>
        <v>PR18000543</v>
      </c>
      <c r="E3862" t="str">
        <f>"Y"</f>
        <v>Y</v>
      </c>
      <c r="F3862" t="str">
        <f>"חשבוניות מרכזות"</f>
        <v>חשבוניות מרכזות</v>
      </c>
      <c r="G3862" t="str">
        <f>"700065"</f>
        <v>700065</v>
      </c>
      <c r="H3862" t="str">
        <f>"אלתא מערכות בע""מ"</f>
        <v>אלתא מערכות בע"מ</v>
      </c>
      <c r="I3862" t="str">
        <f>"10"</f>
        <v>10</v>
      </c>
      <c r="J3862" t="str">
        <f>"000"</f>
        <v>000</v>
      </c>
      <c r="K3862" t="str">
        <f>"ברקטים ליחידות  122-129 ,עבור 32 יחידות"</f>
        <v>ברקטים ליחידות  122-129 ,עבור 32 יחידות</v>
      </c>
      <c r="L3862">
        <v>1</v>
      </c>
      <c r="M3862" t="str">
        <f>"יח"</f>
        <v>יח</v>
      </c>
      <c r="N3862">
        <v>1</v>
      </c>
      <c r="O3862" t="str">
        <f>"יח"</f>
        <v>יח</v>
      </c>
      <c r="P3862" s="2">
        <v>2106</v>
      </c>
      <c r="Q3862" t="str">
        <f>"$"</f>
        <v>$</v>
      </c>
      <c r="R3862" t="str">
        <f>"הזמנה"</f>
        <v>הזמנה</v>
      </c>
      <c r="S3862">
        <v>0</v>
      </c>
      <c r="T3862" s="2">
        <v>2106</v>
      </c>
      <c r="U3862">
        <v>0</v>
      </c>
      <c r="V3862" s="2">
        <v>2106</v>
      </c>
      <c r="W3862" t="str">
        <f>"$"</f>
        <v>$</v>
      </c>
      <c r="X3862">
        <v>0</v>
      </c>
      <c r="Y3862">
        <v>0</v>
      </c>
      <c r="Z3862">
        <v>0</v>
      </c>
      <c r="AA3862" t="str">
        <f>"Y"</f>
        <v>Y</v>
      </c>
      <c r="AB3862" t="str">
        <f>"SO19000474"</f>
        <v>SO19000474</v>
      </c>
      <c r="AC3862">
        <v>8</v>
      </c>
      <c r="AD3862" s="1">
        <v>43774</v>
      </c>
      <c r="AM3862" t="str">
        <f>"10"</f>
        <v>10</v>
      </c>
      <c r="AN3862" t="str">
        <f>"500000"</f>
        <v>500000</v>
      </c>
      <c r="AO3862" t="str">
        <f>"הכנסות  מלקוחות"</f>
        <v>הכנסות  מלקוחות</v>
      </c>
      <c r="AQ3862" t="str">
        <f>"034"</f>
        <v>034</v>
      </c>
      <c r="AR3862">
        <v>0</v>
      </c>
      <c r="AS3862">
        <v>0</v>
      </c>
      <c r="AT3862">
        <v>3.5979999999999999</v>
      </c>
      <c r="AX3862" t="str">
        <f>"E000298231"</f>
        <v>E000298231</v>
      </c>
      <c r="BD3862" t="str">
        <f>"ערן שלו"</f>
        <v>ערן שלו</v>
      </c>
    </row>
    <row r="3863" spans="1:56" x14ac:dyDescent="0.3">
      <c r="A3863" s="1">
        <v>43920</v>
      </c>
      <c r="B3863" t="str">
        <f>"SI206000289"</f>
        <v>SI206000289</v>
      </c>
      <c r="C3863" t="str">
        <f>"PR18000543"</f>
        <v>PR18000543</v>
      </c>
      <c r="E3863" t="str">
        <f>"Y"</f>
        <v>Y</v>
      </c>
      <c r="F3863" t="str">
        <f>"חשבוניות מרכזות"</f>
        <v>חשבוניות מרכזות</v>
      </c>
      <c r="G3863" t="str">
        <f>"700065"</f>
        <v>700065</v>
      </c>
      <c r="H3863" t="str">
        <f>"אלתא מערכות בע""מ"</f>
        <v>אלתא מערכות בע"מ</v>
      </c>
      <c r="I3863" t="str">
        <f>"10"</f>
        <v>10</v>
      </c>
      <c r="J3863" t="str">
        <f>"000"</f>
        <v>000</v>
      </c>
      <c r="K3863" t="str">
        <f>"רקטים ליחידות  115-121 ,110 עבור 32 יחידות"</f>
        <v>רקטים ליחידות  115-121 ,110 עבור 32 יחידות</v>
      </c>
      <c r="L3863">
        <v>-1</v>
      </c>
      <c r="M3863" t="str">
        <f>"יח"</f>
        <v>יח</v>
      </c>
      <c r="N3863">
        <v>-1</v>
      </c>
      <c r="O3863" t="str">
        <f>"יח"</f>
        <v>יח</v>
      </c>
      <c r="P3863" s="2">
        <v>2106</v>
      </c>
      <c r="Q3863" t="str">
        <f>"$"</f>
        <v>$</v>
      </c>
      <c r="R3863" t="str">
        <f>"הזמנה"</f>
        <v>הזמנה</v>
      </c>
      <c r="S3863">
        <v>0</v>
      </c>
      <c r="T3863" s="2">
        <v>-2106</v>
      </c>
      <c r="U3863">
        <v>0</v>
      </c>
      <c r="V3863" s="2">
        <v>-2106</v>
      </c>
      <c r="W3863" t="str">
        <f>"$"</f>
        <v>$</v>
      </c>
      <c r="X3863">
        <v>0</v>
      </c>
      <c r="Y3863">
        <v>0</v>
      </c>
      <c r="Z3863">
        <v>0</v>
      </c>
      <c r="AA3863" t="str">
        <f>"Y"</f>
        <v>Y</v>
      </c>
      <c r="AC3863">
        <v>0</v>
      </c>
      <c r="AM3863" t="str">
        <f>"10"</f>
        <v>10</v>
      </c>
      <c r="AN3863" t="str">
        <f>"500000"</f>
        <v>500000</v>
      </c>
      <c r="AO3863" t="str">
        <f>"הכנסות  מלקוחות"</f>
        <v>הכנסות  מלקוחות</v>
      </c>
      <c r="AQ3863" t="str">
        <f>"034"</f>
        <v>034</v>
      </c>
      <c r="AR3863">
        <v>0</v>
      </c>
      <c r="AS3863">
        <v>0</v>
      </c>
      <c r="AT3863">
        <v>3.5979999999999999</v>
      </c>
      <c r="BB3863" t="str">
        <f>"Y"</f>
        <v>Y</v>
      </c>
      <c r="BD3863" t="str">
        <f>"ערן שלו"</f>
        <v>ערן שלו</v>
      </c>
    </row>
    <row r="3864" spans="1:56" x14ac:dyDescent="0.3">
      <c r="A3864" s="1">
        <v>43920</v>
      </c>
      <c r="B3864" t="str">
        <f>"SI206000288"</f>
        <v>SI206000288</v>
      </c>
      <c r="C3864" t="str">
        <f>"PR15003502"</f>
        <v>PR15003502</v>
      </c>
      <c r="D3864" t="str">
        <f>"PR15003502"</f>
        <v>PR15003502</v>
      </c>
      <c r="E3864" t="str">
        <f>"Y"</f>
        <v>Y</v>
      </c>
      <c r="F3864" t="str">
        <f>"חשבוניות מרכזות"</f>
        <v>חשבוניות מרכזות</v>
      </c>
      <c r="G3864" t="str">
        <f>"700065"</f>
        <v>700065</v>
      </c>
      <c r="H3864" t="str">
        <f>"אלתא מערכות בע""מ"</f>
        <v>אלתא מערכות בע"מ</v>
      </c>
      <c r="I3864" t="str">
        <f>"10"</f>
        <v>10</v>
      </c>
      <c r="J3864" t="str">
        <f>"000"</f>
        <v>000</v>
      </c>
      <c r="K3864" t="str">
        <f>"שינויים ותוספות פיקוד ע""י מנו"</f>
        <v>שינויים ותוספות פיקוד ע"י מנו</v>
      </c>
      <c r="L3864">
        <v>1</v>
      </c>
      <c r="M3864" t="str">
        <f>"יח"</f>
        <v>יח</v>
      </c>
      <c r="N3864">
        <v>1</v>
      </c>
      <c r="O3864" t="str">
        <f>"יח"</f>
        <v>יח</v>
      </c>
      <c r="P3864" s="2">
        <v>9500</v>
      </c>
      <c r="Q3864" t="str">
        <f>"$"</f>
        <v>$</v>
      </c>
      <c r="R3864" t="str">
        <f>"הזמנה"</f>
        <v>הזמנה</v>
      </c>
      <c r="S3864">
        <v>0</v>
      </c>
      <c r="T3864" s="2">
        <v>9500</v>
      </c>
      <c r="U3864">
        <v>0</v>
      </c>
      <c r="V3864" s="2">
        <v>9500</v>
      </c>
      <c r="W3864" t="str">
        <f>"$"</f>
        <v>$</v>
      </c>
      <c r="X3864">
        <v>0</v>
      </c>
      <c r="Y3864">
        <v>0</v>
      </c>
      <c r="Z3864">
        <v>0</v>
      </c>
      <c r="AA3864" t="str">
        <f>"Y"</f>
        <v>Y</v>
      </c>
      <c r="AB3864" t="str">
        <f>"SO20000104"</f>
        <v>SO20000104</v>
      </c>
      <c r="AC3864">
        <v>1</v>
      </c>
      <c r="AD3864" s="1">
        <v>43901</v>
      </c>
      <c r="AE3864" t="str">
        <f>"SH20000410"</f>
        <v>SH20000410</v>
      </c>
      <c r="AF3864" t="str">
        <f>"משלוחים ללקוח"</f>
        <v>משלוחים ללקוח</v>
      </c>
      <c r="AG3864" s="1">
        <v>43920</v>
      </c>
      <c r="AM3864" t="str">
        <f>"10"</f>
        <v>10</v>
      </c>
      <c r="AN3864" t="str">
        <f>"500000"</f>
        <v>500000</v>
      </c>
      <c r="AO3864" t="str">
        <f>"הכנסות  מלקוחות"</f>
        <v>הכנסות  מלקוחות</v>
      </c>
      <c r="AQ3864" t="str">
        <f>"034"</f>
        <v>034</v>
      </c>
      <c r="AR3864">
        <v>0</v>
      </c>
      <c r="AS3864">
        <v>0</v>
      </c>
      <c r="AT3864">
        <v>3.5979999999999999</v>
      </c>
      <c r="AX3864" t="str">
        <f>"E000307717"</f>
        <v>E000307717</v>
      </c>
      <c r="BD3864" t="str">
        <f>"ערן שלו"</f>
        <v>ערן שלו</v>
      </c>
    </row>
    <row r="3865" spans="1:56" x14ac:dyDescent="0.3">
      <c r="A3865" s="1">
        <v>43920</v>
      </c>
      <c r="B3865" t="str">
        <f>"SI206000287"</f>
        <v>SI206000287</v>
      </c>
      <c r="C3865" t="str">
        <f>"PR19000753"</f>
        <v>PR19000753</v>
      </c>
      <c r="D3865" t="str">
        <f>"PR19000753"</f>
        <v>PR19000753</v>
      </c>
      <c r="E3865" t="str">
        <f>"Y"</f>
        <v>Y</v>
      </c>
      <c r="F3865" t="str">
        <f>"חשבוניות מרכזות"</f>
        <v>חשבוניות מרכזות</v>
      </c>
      <c r="G3865" t="str">
        <f>"700065"</f>
        <v>700065</v>
      </c>
      <c r="H3865" t="str">
        <f>"אלתא מערכות בע""מ"</f>
        <v>אלתא מערכות בע"מ</v>
      </c>
      <c r="I3865" t="str">
        <f>"10"</f>
        <v>10</v>
      </c>
      <c r="J3865" t="str">
        <f>"999"</f>
        <v>999</v>
      </c>
      <c r="K3865" t="str">
        <f>"PDB-SALT FOG"</f>
        <v>PDB-SALT FOG</v>
      </c>
      <c r="L3865">
        <v>1</v>
      </c>
      <c r="M3865" t="str">
        <f>"חל"</f>
        <v>חל</v>
      </c>
      <c r="N3865">
        <v>1</v>
      </c>
      <c r="O3865" t="str">
        <f>"חל"</f>
        <v>חל</v>
      </c>
      <c r="P3865" s="2">
        <v>2500</v>
      </c>
      <c r="Q3865" t="str">
        <f>"$"</f>
        <v>$</v>
      </c>
      <c r="R3865" t="str">
        <f>"הזמנה"</f>
        <v>הזמנה</v>
      </c>
      <c r="S3865">
        <v>0</v>
      </c>
      <c r="T3865" s="2">
        <v>2500</v>
      </c>
      <c r="U3865">
        <v>0</v>
      </c>
      <c r="V3865" s="2">
        <v>2500</v>
      </c>
      <c r="W3865" t="str">
        <f>"$"</f>
        <v>$</v>
      </c>
      <c r="X3865">
        <v>0</v>
      </c>
      <c r="Y3865">
        <v>0</v>
      </c>
      <c r="Z3865">
        <v>0</v>
      </c>
      <c r="AA3865" t="str">
        <f>"Y"</f>
        <v>Y</v>
      </c>
      <c r="AB3865" t="str">
        <f>"SO19000458"</f>
        <v>SO19000458</v>
      </c>
      <c r="AC3865">
        <v>2</v>
      </c>
      <c r="AD3865" s="1">
        <v>43767</v>
      </c>
      <c r="AE3865" t="str">
        <f>"SH20000411"</f>
        <v>SH20000411</v>
      </c>
      <c r="AF3865" t="str">
        <f>"משלוחים ללקוח"</f>
        <v>משלוחים ללקוח</v>
      </c>
      <c r="AG3865" s="1">
        <v>43920</v>
      </c>
      <c r="AM3865" t="str">
        <f>"10"</f>
        <v>10</v>
      </c>
      <c r="AN3865" t="str">
        <f>"500000"</f>
        <v>500000</v>
      </c>
      <c r="AO3865" t="str">
        <f>"הכנסות  מלקוחות"</f>
        <v>הכנסות  מלקוחות</v>
      </c>
      <c r="AQ3865" t="str">
        <f>"034"</f>
        <v>034</v>
      </c>
      <c r="AR3865">
        <v>0</v>
      </c>
      <c r="AS3865">
        <v>0</v>
      </c>
      <c r="AT3865">
        <v>3.5979999999999999</v>
      </c>
      <c r="AX3865" t="str">
        <f>"E000297273"</f>
        <v>E000297273</v>
      </c>
      <c r="BD3865" t="str">
        <f>"ערן שלו"</f>
        <v>ערן שלו</v>
      </c>
    </row>
    <row r="3866" spans="1:56" x14ac:dyDescent="0.3">
      <c r="A3866" s="1">
        <v>43920</v>
      </c>
      <c r="B3866" t="str">
        <f>"SI206000286"</f>
        <v>SI206000286</v>
      </c>
      <c r="C3866" t="str">
        <f>"PR19000109"</f>
        <v>PR19000109</v>
      </c>
      <c r="D3866" t="str">
        <f>"PR19000109"</f>
        <v>PR19000109</v>
      </c>
      <c r="E3866" t="str">
        <f>"Y"</f>
        <v>Y</v>
      </c>
      <c r="F3866" t="str">
        <f>"חשבוניות מרכזות"</f>
        <v>חשבוניות מרכזות</v>
      </c>
      <c r="G3866" t="str">
        <f>"700065"</f>
        <v>700065</v>
      </c>
      <c r="H3866" t="str">
        <f>"אלתא מערכות בע""מ"</f>
        <v>אלתא מערכות בע"מ</v>
      </c>
      <c r="I3866" t="str">
        <f>"10"</f>
        <v>10</v>
      </c>
      <c r="J3866" t="str">
        <f>"000"</f>
        <v>000</v>
      </c>
      <c r="K3866" t="str">
        <f>"אנליזה VIBRATION SHOCK 70K"</f>
        <v>אנליזה VIBRATION SHOCK 70K</v>
      </c>
      <c r="L3866">
        <v>1</v>
      </c>
      <c r="M3866" t="str">
        <f>"יח"</f>
        <v>יח</v>
      </c>
      <c r="N3866">
        <v>1</v>
      </c>
      <c r="O3866" t="str">
        <f>"יח"</f>
        <v>יח</v>
      </c>
      <c r="P3866" s="2">
        <v>15200</v>
      </c>
      <c r="Q3866" t="str">
        <f>"$"</f>
        <v>$</v>
      </c>
      <c r="R3866" t="str">
        <f>"הזמנה"</f>
        <v>הזמנה</v>
      </c>
      <c r="S3866">
        <v>0</v>
      </c>
      <c r="T3866" s="2">
        <v>15200</v>
      </c>
      <c r="U3866">
        <v>0</v>
      </c>
      <c r="V3866" s="2">
        <v>15200</v>
      </c>
      <c r="W3866" t="str">
        <f>"$"</f>
        <v>$</v>
      </c>
      <c r="X3866">
        <v>0</v>
      </c>
      <c r="Y3866">
        <v>0</v>
      </c>
      <c r="Z3866">
        <v>0</v>
      </c>
      <c r="AA3866" t="str">
        <f>"Y"</f>
        <v>Y</v>
      </c>
      <c r="AB3866" t="str">
        <f>"SO20000014"</f>
        <v>SO20000014</v>
      </c>
      <c r="AC3866">
        <v>1</v>
      </c>
      <c r="AD3866" s="1">
        <v>43842</v>
      </c>
      <c r="AE3866" t="str">
        <f>"SH20000408"</f>
        <v>SH20000408</v>
      </c>
      <c r="AF3866" t="str">
        <f>"משלוחים ללקוח"</f>
        <v>משלוחים ללקוח</v>
      </c>
      <c r="AG3866" s="1">
        <v>43920</v>
      </c>
      <c r="AM3866" t="str">
        <f>"10"</f>
        <v>10</v>
      </c>
      <c r="AN3866" t="str">
        <f>"500000"</f>
        <v>500000</v>
      </c>
      <c r="AO3866" t="str">
        <f>"הכנסות  מלקוחות"</f>
        <v>הכנסות  מלקוחות</v>
      </c>
      <c r="AQ3866" t="str">
        <f>"034"</f>
        <v>034</v>
      </c>
      <c r="AR3866">
        <v>0</v>
      </c>
      <c r="AS3866">
        <v>0</v>
      </c>
      <c r="AT3866">
        <v>3.5979999999999999</v>
      </c>
      <c r="AX3866" t="str">
        <f>"E000302912"</f>
        <v>E000302912</v>
      </c>
      <c r="BD3866" t="str">
        <f>"ערן שלו"</f>
        <v>ערן שלו</v>
      </c>
    </row>
    <row r="3867" spans="1:56" x14ac:dyDescent="0.3">
      <c r="A3867" s="1">
        <v>43920</v>
      </c>
      <c r="B3867" t="str">
        <f>"SI206000285"</f>
        <v>SI206000285</v>
      </c>
      <c r="C3867" t="str">
        <f>"PR18000543"</f>
        <v>PR18000543</v>
      </c>
      <c r="E3867" t="str">
        <f>"Y"</f>
        <v>Y</v>
      </c>
      <c r="F3867" t="str">
        <f>"חשבוניות מרכזות"</f>
        <v>חשבוניות מרכזות</v>
      </c>
      <c r="G3867" t="str">
        <f>"700065"</f>
        <v>700065</v>
      </c>
      <c r="H3867" t="str">
        <f>"אלתא מערכות בע""מ"</f>
        <v>אלתא מערכות בע"מ</v>
      </c>
      <c r="I3867" t="str">
        <f>"10"</f>
        <v>10</v>
      </c>
      <c r="J3867" t="str">
        <f>"000"</f>
        <v>000</v>
      </c>
      <c r="K3867" t="str">
        <f>"רקטים ליחידות  115-121 ,110 עבור 32 יחידות"</f>
        <v>רקטים ליחידות  115-121 ,110 עבור 32 יחידות</v>
      </c>
      <c r="L3867">
        <v>1</v>
      </c>
      <c r="M3867" t="str">
        <f>"יח"</f>
        <v>יח</v>
      </c>
      <c r="N3867">
        <v>1</v>
      </c>
      <c r="O3867" t="str">
        <f>"יח"</f>
        <v>יח</v>
      </c>
      <c r="P3867" s="2">
        <v>2106</v>
      </c>
      <c r="Q3867" t="str">
        <f>"$"</f>
        <v>$</v>
      </c>
      <c r="R3867" t="str">
        <f>"הזמנה"</f>
        <v>הזמנה</v>
      </c>
      <c r="S3867">
        <v>0</v>
      </c>
      <c r="T3867" s="2">
        <v>2106</v>
      </c>
      <c r="U3867">
        <v>0</v>
      </c>
      <c r="V3867" s="2">
        <v>2106</v>
      </c>
      <c r="W3867" t="str">
        <f>"$"</f>
        <v>$</v>
      </c>
      <c r="X3867">
        <v>0</v>
      </c>
      <c r="Y3867">
        <v>0</v>
      </c>
      <c r="Z3867">
        <v>0</v>
      </c>
      <c r="AA3867" t="str">
        <f>"Y"</f>
        <v>Y</v>
      </c>
      <c r="AC3867">
        <v>0</v>
      </c>
      <c r="AM3867" t="str">
        <f>"10"</f>
        <v>10</v>
      </c>
      <c r="AN3867" t="str">
        <f>"500000"</f>
        <v>500000</v>
      </c>
      <c r="AO3867" t="str">
        <f>"הכנסות  מלקוחות"</f>
        <v>הכנסות  מלקוחות</v>
      </c>
      <c r="AQ3867" t="str">
        <f>"034"</f>
        <v>034</v>
      </c>
      <c r="AR3867">
        <v>0</v>
      </c>
      <c r="AS3867">
        <v>0</v>
      </c>
      <c r="AT3867">
        <v>3.5979999999999999</v>
      </c>
      <c r="BB3867" t="str">
        <f>"Y"</f>
        <v>Y</v>
      </c>
      <c r="BD3867" t="str">
        <f>"ערן שלו"</f>
        <v>ערן שלו</v>
      </c>
    </row>
    <row r="3868" spans="1:56" x14ac:dyDescent="0.3">
      <c r="A3868" s="1">
        <v>43915</v>
      </c>
      <c r="B3868" t="str">
        <f>"SI206000275"</f>
        <v>SI206000275</v>
      </c>
      <c r="C3868" t="str">
        <f>"PR18000543"</f>
        <v>PR18000543</v>
      </c>
      <c r="D3868" t="str">
        <f>"PR18000543"</f>
        <v>PR18000543</v>
      </c>
      <c r="E3868" t="str">
        <f>"Y"</f>
        <v>Y</v>
      </c>
      <c r="F3868" t="str">
        <f>"חשבוניות מרכזות"</f>
        <v>חשבוניות מרכזות</v>
      </c>
      <c r="G3868" t="str">
        <f>"700065"</f>
        <v>700065</v>
      </c>
      <c r="H3868" t="str">
        <f>"אלתא מערכות בע""מ"</f>
        <v>אלתא מערכות בע"מ</v>
      </c>
      <c r="I3868" t="str">
        <f>"10"</f>
        <v>10</v>
      </c>
      <c r="J3868" t="str">
        <f>"OP-AR01083"</f>
        <v>OP-AR01083</v>
      </c>
      <c r="K3868" t="str">
        <f>"1036C960-001 HVJB_N"</f>
        <v>1036C960-001 HVJB_N</v>
      </c>
      <c r="L3868">
        <v>1</v>
      </c>
      <c r="M3868" t="str">
        <f>"יח"</f>
        <v>יח</v>
      </c>
      <c r="N3868">
        <v>1</v>
      </c>
      <c r="O3868" t="str">
        <f>"יח"</f>
        <v>יח</v>
      </c>
      <c r="P3868" s="2">
        <v>6500</v>
      </c>
      <c r="Q3868" t="str">
        <f>"$"</f>
        <v>$</v>
      </c>
      <c r="R3868" t="str">
        <f>"הזמנה"</f>
        <v>הזמנה</v>
      </c>
      <c r="S3868">
        <v>0</v>
      </c>
      <c r="T3868" s="2">
        <v>6500</v>
      </c>
      <c r="U3868">
        <v>0</v>
      </c>
      <c r="V3868" s="2">
        <v>6500</v>
      </c>
      <c r="W3868" t="str">
        <f>"$"</f>
        <v>$</v>
      </c>
      <c r="X3868">
        <v>0</v>
      </c>
      <c r="Y3868">
        <v>0</v>
      </c>
      <c r="Z3868">
        <v>0</v>
      </c>
      <c r="AA3868" t="str">
        <f>"Y"</f>
        <v>Y</v>
      </c>
      <c r="AB3868" t="str">
        <f>"SO18000429"</f>
        <v>SO18000429</v>
      </c>
      <c r="AC3868">
        <v>8</v>
      </c>
      <c r="AD3868" s="1">
        <v>43311</v>
      </c>
      <c r="AE3868" t="str">
        <f>"SH20000387"</f>
        <v>SH20000387</v>
      </c>
      <c r="AF3868" t="str">
        <f>"משלוחים ללקוח"</f>
        <v>משלוחים ללקוח</v>
      </c>
      <c r="AG3868" s="1">
        <v>43915</v>
      </c>
      <c r="AM3868" t="str">
        <f>"10"</f>
        <v>10</v>
      </c>
      <c r="AN3868" t="str">
        <f>"500000"</f>
        <v>500000</v>
      </c>
      <c r="AO3868" t="str">
        <f>"הכנסות  מלקוחות"</f>
        <v>הכנסות  מלקוחות</v>
      </c>
      <c r="AQ3868" t="str">
        <f>"007"</f>
        <v>007</v>
      </c>
      <c r="AR3868">
        <v>0</v>
      </c>
      <c r="AS3868">
        <v>0</v>
      </c>
      <c r="AT3868">
        <v>3.6419999999999999</v>
      </c>
      <c r="AX3868" t="str">
        <f>"E000266439"</f>
        <v>E000266439</v>
      </c>
      <c r="BD3868" t="str">
        <f>"רוני דידי"</f>
        <v>רוני דידי</v>
      </c>
    </row>
    <row r="3869" spans="1:56" x14ac:dyDescent="0.3">
      <c r="A3869" s="1">
        <v>43915</v>
      </c>
      <c r="B3869" t="str">
        <f>"SI206000274"</f>
        <v>SI206000274</v>
      </c>
      <c r="C3869" t="str">
        <f>"PR19000767"</f>
        <v>PR19000767</v>
      </c>
      <c r="E3869" t="str">
        <f>"Y"</f>
        <v>Y</v>
      </c>
      <c r="F3869" t="str">
        <f>"חשבוניות מרכזות"</f>
        <v>חשבוניות מרכזות</v>
      </c>
      <c r="G3869" t="str">
        <f>"700065"</f>
        <v>700065</v>
      </c>
      <c r="H3869" t="str">
        <f>"אלתא מערכות בע""מ"</f>
        <v>אלתא מערכות בע"מ</v>
      </c>
      <c r="I3869" t="str">
        <f>"10"</f>
        <v>10</v>
      </c>
      <c r="J3869" t="str">
        <f>"OP-AR00467"</f>
        <v>OP-AR00467</v>
      </c>
      <c r="K3869" t="str">
        <f>"AC PCU CONTROL BOX"</f>
        <v>AC PCU CONTROL BOX</v>
      </c>
      <c r="L3869">
        <v>1</v>
      </c>
      <c r="M3869" t="str">
        <f>"יח"</f>
        <v>יח</v>
      </c>
      <c r="N3869">
        <v>1</v>
      </c>
      <c r="O3869" t="str">
        <f>"יח"</f>
        <v>יח</v>
      </c>
      <c r="P3869" s="2">
        <v>4250</v>
      </c>
      <c r="Q3869" t="str">
        <f>"$"</f>
        <v>$</v>
      </c>
      <c r="R3869" t="str">
        <f>"הזמנה"</f>
        <v>הזמנה</v>
      </c>
      <c r="S3869">
        <v>0</v>
      </c>
      <c r="T3869" s="2">
        <v>4250</v>
      </c>
      <c r="U3869">
        <v>0</v>
      </c>
      <c r="V3869" s="2">
        <v>4250</v>
      </c>
      <c r="W3869" t="str">
        <f>"$"</f>
        <v>$</v>
      </c>
      <c r="X3869">
        <v>0</v>
      </c>
      <c r="Y3869">
        <v>0</v>
      </c>
      <c r="Z3869">
        <v>0</v>
      </c>
      <c r="AA3869" t="str">
        <f>"Y"</f>
        <v>Y</v>
      </c>
      <c r="AB3869" t="str">
        <f>"SO19000543"</f>
        <v>SO19000543</v>
      </c>
      <c r="AC3869">
        <v>1</v>
      </c>
      <c r="AD3869" s="1">
        <v>43829</v>
      </c>
      <c r="AE3869" t="str">
        <f>"SH20000383"</f>
        <v>SH20000383</v>
      </c>
      <c r="AF3869" t="str">
        <f>"משלוחים ללקוח"</f>
        <v>משלוחים ללקוח</v>
      </c>
      <c r="AG3869" s="1">
        <v>43915</v>
      </c>
      <c r="AM3869" t="str">
        <f>"10"</f>
        <v>10</v>
      </c>
      <c r="AN3869" t="str">
        <f>"500000"</f>
        <v>500000</v>
      </c>
      <c r="AO3869" t="str">
        <f>"הכנסות  מלקוחות"</f>
        <v>הכנסות  מלקוחות</v>
      </c>
      <c r="AQ3869" t="str">
        <f>"034"</f>
        <v>034</v>
      </c>
      <c r="AR3869">
        <v>0</v>
      </c>
      <c r="AS3869">
        <v>0</v>
      </c>
      <c r="AT3869">
        <v>3.6419999999999999</v>
      </c>
      <c r="AX3869" t="str">
        <f>"E000302051"</f>
        <v>E000302051</v>
      </c>
      <c r="BD3869" t="str">
        <f>"ערן שלו"</f>
        <v>ערן שלו</v>
      </c>
    </row>
    <row r="3870" spans="1:56" x14ac:dyDescent="0.3">
      <c r="A3870" s="1">
        <v>43910</v>
      </c>
      <c r="B3870" t="str">
        <f>"SI206000371"</f>
        <v>SI206000371</v>
      </c>
      <c r="C3870" t="str">
        <f>"PR18000543"</f>
        <v>PR18000543</v>
      </c>
      <c r="D3870" t="str">
        <f>"PR18000543"</f>
        <v>PR18000543</v>
      </c>
      <c r="E3870" t="str">
        <f>"Y"</f>
        <v>Y</v>
      </c>
      <c r="F3870" t="str">
        <f>"חשבוניות מרכזות"</f>
        <v>חשבוניות מרכזות</v>
      </c>
      <c r="G3870" t="str">
        <f>"700065"</f>
        <v>700065</v>
      </c>
      <c r="H3870" t="str">
        <f>"אלתא מערכות בע""מ"</f>
        <v>אלתא מערכות בע"מ</v>
      </c>
      <c r="I3870" t="str">
        <f>"10"</f>
        <v>10</v>
      </c>
      <c r="J3870" t="str">
        <f>"OP-AR01083"</f>
        <v>OP-AR01083</v>
      </c>
      <c r="K3870" t="str">
        <f>"1036C960-001 HVJB_N"</f>
        <v>1036C960-001 HVJB_N</v>
      </c>
      <c r="L3870">
        <v>1</v>
      </c>
      <c r="M3870" t="str">
        <f>"יח"</f>
        <v>יח</v>
      </c>
      <c r="N3870">
        <v>1</v>
      </c>
      <c r="O3870" t="str">
        <f>"יח"</f>
        <v>יח</v>
      </c>
      <c r="P3870" s="2">
        <v>6500</v>
      </c>
      <c r="Q3870" t="str">
        <f>"$"</f>
        <v>$</v>
      </c>
      <c r="R3870" t="str">
        <f>"הזמנה"</f>
        <v>הזמנה</v>
      </c>
      <c r="S3870">
        <v>0</v>
      </c>
      <c r="T3870" s="2">
        <v>6500</v>
      </c>
      <c r="U3870">
        <v>0</v>
      </c>
      <c r="V3870" s="2">
        <v>6500</v>
      </c>
      <c r="W3870" t="str">
        <f>"$"</f>
        <v>$</v>
      </c>
      <c r="X3870">
        <v>0</v>
      </c>
      <c r="Y3870">
        <v>0</v>
      </c>
      <c r="Z3870">
        <v>0</v>
      </c>
      <c r="AA3870" t="str">
        <f>"Y"</f>
        <v>Y</v>
      </c>
      <c r="AB3870" t="str">
        <f>"SO18000429"</f>
        <v>SO18000429</v>
      </c>
      <c r="AC3870">
        <v>7</v>
      </c>
      <c r="AD3870" s="1">
        <v>43311</v>
      </c>
      <c r="AE3870" t="str">
        <f>"SH20000203"</f>
        <v>SH20000203</v>
      </c>
      <c r="AF3870" t="str">
        <f>"משלוחים ללקוח"</f>
        <v>משלוחים ללקוח</v>
      </c>
      <c r="AG3870" s="1">
        <v>43874</v>
      </c>
      <c r="AM3870" t="str">
        <f>"10"</f>
        <v>10</v>
      </c>
      <c r="AN3870" t="str">
        <f>"500000"</f>
        <v>500000</v>
      </c>
      <c r="AO3870" t="str">
        <f>"הכנסות  מלקוחות"</f>
        <v>הכנסות  מלקוחות</v>
      </c>
      <c r="AQ3870" t="str">
        <f>"007"</f>
        <v>007</v>
      </c>
      <c r="AR3870">
        <v>0</v>
      </c>
      <c r="AS3870">
        <v>0</v>
      </c>
      <c r="AT3870">
        <v>3.597</v>
      </c>
      <c r="AX3870" t="str">
        <f>"E000266439"</f>
        <v>E000266439</v>
      </c>
      <c r="BD3870" t="str">
        <f>"רוני דידי"</f>
        <v>רוני דידי</v>
      </c>
    </row>
    <row r="3871" spans="1:56" x14ac:dyDescent="0.3">
      <c r="A3871" s="1">
        <v>43910</v>
      </c>
      <c r="B3871" t="str">
        <f>"SI206000371"</f>
        <v>SI206000371</v>
      </c>
      <c r="C3871" t="str">
        <f>"PR18000543"</f>
        <v>PR18000543</v>
      </c>
      <c r="D3871" t="str">
        <f>"PR18000543"</f>
        <v>PR18000543</v>
      </c>
      <c r="E3871" t="str">
        <f>"Y"</f>
        <v>Y</v>
      </c>
      <c r="F3871" t="str">
        <f>"חשבוניות מרכזות"</f>
        <v>חשבוניות מרכזות</v>
      </c>
      <c r="G3871" t="str">
        <f>"700065"</f>
        <v>700065</v>
      </c>
      <c r="H3871" t="str">
        <f>"אלתא מערכות בע""מ"</f>
        <v>אלתא מערכות בע"מ</v>
      </c>
      <c r="I3871" t="str">
        <f>"10"</f>
        <v>10</v>
      </c>
      <c r="J3871" t="str">
        <f>"OP-AR01083"</f>
        <v>OP-AR01083</v>
      </c>
      <c r="K3871" t="str">
        <f>"1036C960-001 HVJB_N"</f>
        <v>1036C960-001 HVJB_N</v>
      </c>
      <c r="L3871">
        <v>1</v>
      </c>
      <c r="M3871" t="str">
        <f>"יח"</f>
        <v>יח</v>
      </c>
      <c r="N3871">
        <v>1</v>
      </c>
      <c r="O3871" t="str">
        <f>"יח"</f>
        <v>יח</v>
      </c>
      <c r="P3871" s="2">
        <v>6500</v>
      </c>
      <c r="Q3871" t="str">
        <f>"$"</f>
        <v>$</v>
      </c>
      <c r="R3871" t="str">
        <f>"הזמנה"</f>
        <v>הזמנה</v>
      </c>
      <c r="S3871">
        <v>0</v>
      </c>
      <c r="T3871" s="2">
        <v>6500</v>
      </c>
      <c r="U3871">
        <v>0</v>
      </c>
      <c r="V3871" s="2">
        <v>6500</v>
      </c>
      <c r="W3871" t="str">
        <f>"$"</f>
        <v>$</v>
      </c>
      <c r="X3871">
        <v>0</v>
      </c>
      <c r="Y3871">
        <v>0</v>
      </c>
      <c r="Z3871">
        <v>0</v>
      </c>
      <c r="AA3871" t="str">
        <f>"Y"</f>
        <v>Y</v>
      </c>
      <c r="AB3871" t="str">
        <f>"SO18000429"</f>
        <v>SO18000429</v>
      </c>
      <c r="AC3871">
        <v>8</v>
      </c>
      <c r="AD3871" s="1">
        <v>43311</v>
      </c>
      <c r="AE3871" t="str">
        <f>"SH20000203"</f>
        <v>SH20000203</v>
      </c>
      <c r="AF3871" t="str">
        <f>"משלוחים ללקוח"</f>
        <v>משלוחים ללקוח</v>
      </c>
      <c r="AG3871" s="1">
        <v>43874</v>
      </c>
      <c r="AM3871" t="str">
        <f>"10"</f>
        <v>10</v>
      </c>
      <c r="AN3871" t="str">
        <f>"500000"</f>
        <v>500000</v>
      </c>
      <c r="AO3871" t="str">
        <f>"הכנסות  מלקוחות"</f>
        <v>הכנסות  מלקוחות</v>
      </c>
      <c r="AQ3871" t="str">
        <f>"007"</f>
        <v>007</v>
      </c>
      <c r="AR3871">
        <v>0</v>
      </c>
      <c r="AS3871">
        <v>0</v>
      </c>
      <c r="AT3871">
        <v>3.597</v>
      </c>
      <c r="AX3871" t="str">
        <f>"E000266439"</f>
        <v>E000266439</v>
      </c>
      <c r="BD3871" t="str">
        <f>"רוני דידי"</f>
        <v>רוני דידי</v>
      </c>
    </row>
    <row r="3872" spans="1:56" x14ac:dyDescent="0.3">
      <c r="A3872" s="1">
        <v>43910</v>
      </c>
      <c r="B3872" t="str">
        <f>"SI206000370"</f>
        <v>SI206000370</v>
      </c>
      <c r="C3872" t="str">
        <f>"PR18000543"</f>
        <v>PR18000543</v>
      </c>
      <c r="E3872" t="str">
        <f>"Y"</f>
        <v>Y</v>
      </c>
      <c r="F3872" t="str">
        <f>"חשבוניות מרכזות"</f>
        <v>חשבוניות מרכזות</v>
      </c>
      <c r="G3872" t="str">
        <f>"700065"</f>
        <v>700065</v>
      </c>
      <c r="H3872" t="str">
        <f>"אלתא מערכות בע""מ"</f>
        <v>אלתא מערכות בע"מ</v>
      </c>
      <c r="I3872" t="str">
        <f>"10"</f>
        <v>10</v>
      </c>
      <c r="J3872" t="str">
        <f>"OP-AR01083"</f>
        <v>OP-AR01083</v>
      </c>
      <c r="K3872" t="str">
        <f>"1036C960-001 HVJB_N"</f>
        <v>1036C960-001 HVJB_N</v>
      </c>
      <c r="L3872">
        <v>-1</v>
      </c>
      <c r="M3872" t="str">
        <f>"יח"</f>
        <v>יח</v>
      </c>
      <c r="N3872">
        <v>-1</v>
      </c>
      <c r="O3872" t="str">
        <f>"יח"</f>
        <v>יח</v>
      </c>
      <c r="P3872" s="2">
        <v>6500</v>
      </c>
      <c r="Q3872" t="str">
        <f>"$"</f>
        <v>$</v>
      </c>
      <c r="R3872" t="str">
        <f>"הזמנה"</f>
        <v>הזמנה</v>
      </c>
      <c r="S3872">
        <v>0</v>
      </c>
      <c r="T3872" s="2">
        <v>-6500</v>
      </c>
      <c r="U3872">
        <v>0</v>
      </c>
      <c r="V3872" s="2">
        <v>-6500</v>
      </c>
      <c r="W3872" t="str">
        <f>"$"</f>
        <v>$</v>
      </c>
      <c r="X3872">
        <v>0</v>
      </c>
      <c r="Y3872">
        <v>0</v>
      </c>
      <c r="Z3872">
        <v>0</v>
      </c>
      <c r="AA3872" t="str">
        <f>"Y"</f>
        <v>Y</v>
      </c>
      <c r="AC3872">
        <v>0</v>
      </c>
      <c r="AM3872" t="str">
        <f>"10"</f>
        <v>10</v>
      </c>
      <c r="AN3872" t="str">
        <f>"500000"</f>
        <v>500000</v>
      </c>
      <c r="AO3872" t="str">
        <f>"הכנסות  מלקוחות"</f>
        <v>הכנסות  מלקוחות</v>
      </c>
      <c r="AQ3872" t="str">
        <f>"007"</f>
        <v>007</v>
      </c>
      <c r="AR3872">
        <v>0</v>
      </c>
      <c r="AS3872">
        <v>0</v>
      </c>
      <c r="AT3872">
        <v>3.4340000000000002</v>
      </c>
      <c r="BB3872" t="str">
        <f>"Y"</f>
        <v>Y</v>
      </c>
      <c r="BD3872" t="str">
        <f>"רוני דידי"</f>
        <v>רוני דידי</v>
      </c>
    </row>
    <row r="3873" spans="1:56" x14ac:dyDescent="0.3">
      <c r="A3873" s="1">
        <v>43910</v>
      </c>
      <c r="B3873" t="str">
        <f>"SI206000370"</f>
        <v>SI206000370</v>
      </c>
      <c r="C3873" t="str">
        <f>"PR18000543"</f>
        <v>PR18000543</v>
      </c>
      <c r="E3873" t="str">
        <f>"Y"</f>
        <v>Y</v>
      </c>
      <c r="F3873" t="str">
        <f>"חשבוניות מרכזות"</f>
        <v>חשבוניות מרכזות</v>
      </c>
      <c r="G3873" t="str">
        <f>"700065"</f>
        <v>700065</v>
      </c>
      <c r="H3873" t="str">
        <f>"אלתא מערכות בע""מ"</f>
        <v>אלתא מערכות בע"מ</v>
      </c>
      <c r="I3873" t="str">
        <f>"10"</f>
        <v>10</v>
      </c>
      <c r="J3873" t="str">
        <f>"OP-AR01083"</f>
        <v>OP-AR01083</v>
      </c>
      <c r="K3873" t="str">
        <f>"1036C960-001 HVJB_N"</f>
        <v>1036C960-001 HVJB_N</v>
      </c>
      <c r="L3873">
        <v>-1</v>
      </c>
      <c r="M3873" t="str">
        <f>"יח"</f>
        <v>יח</v>
      </c>
      <c r="N3873">
        <v>-1</v>
      </c>
      <c r="O3873" t="str">
        <f>"יח"</f>
        <v>יח</v>
      </c>
      <c r="P3873" s="2">
        <v>6500</v>
      </c>
      <c r="Q3873" t="str">
        <f>"$"</f>
        <v>$</v>
      </c>
      <c r="R3873" t="str">
        <f>"הזמנה"</f>
        <v>הזמנה</v>
      </c>
      <c r="S3873">
        <v>0</v>
      </c>
      <c r="T3873" s="2">
        <v>-6500</v>
      </c>
      <c r="U3873">
        <v>0</v>
      </c>
      <c r="V3873" s="2">
        <v>-6500</v>
      </c>
      <c r="W3873" t="str">
        <f>"$"</f>
        <v>$</v>
      </c>
      <c r="X3873">
        <v>0</v>
      </c>
      <c r="Y3873">
        <v>0</v>
      </c>
      <c r="Z3873">
        <v>0</v>
      </c>
      <c r="AA3873" t="str">
        <f>"Y"</f>
        <v>Y</v>
      </c>
      <c r="AC3873">
        <v>0</v>
      </c>
      <c r="AM3873" t="str">
        <f>"10"</f>
        <v>10</v>
      </c>
      <c r="AN3873" t="str">
        <f>"500000"</f>
        <v>500000</v>
      </c>
      <c r="AO3873" t="str">
        <f>"הכנסות  מלקוחות"</f>
        <v>הכנסות  מלקוחות</v>
      </c>
      <c r="AQ3873" t="str">
        <f>"007"</f>
        <v>007</v>
      </c>
      <c r="AR3873">
        <v>0</v>
      </c>
      <c r="AS3873">
        <v>0</v>
      </c>
      <c r="AT3873">
        <v>3.4340000000000002</v>
      </c>
      <c r="BB3873" t="str">
        <f>"Y"</f>
        <v>Y</v>
      </c>
      <c r="BD3873" t="str">
        <f>"רוני דידי"</f>
        <v>רוני דידי</v>
      </c>
    </row>
    <row r="3874" spans="1:56" x14ac:dyDescent="0.3">
      <c r="A3874" s="1">
        <v>43910</v>
      </c>
      <c r="B3874" t="str">
        <f>"SI206000368"</f>
        <v>SI206000368</v>
      </c>
      <c r="C3874" t="str">
        <f>"PR19000745"</f>
        <v>PR19000745</v>
      </c>
      <c r="E3874" t="str">
        <f>"Y"</f>
        <v>Y</v>
      </c>
      <c r="F3874" t="str">
        <f>"חשבוניות מרכזות"</f>
        <v>חשבוניות מרכזות</v>
      </c>
      <c r="G3874" t="str">
        <f>"700065"</f>
        <v>700065</v>
      </c>
      <c r="H3874" t="str">
        <f>"אלתא מערכות בע""מ"</f>
        <v>אלתא מערכות בע"מ</v>
      </c>
      <c r="I3874" t="str">
        <f>"10"</f>
        <v>10</v>
      </c>
      <c r="J3874" t="str">
        <f>"OP-AR01593"</f>
        <v>OP-AR01593</v>
      </c>
      <c r="K3874" t="str">
        <f>"2033D702-001 RCE P2 CABLE ASSY"</f>
        <v>2033D702-001 RCE P2 CABLE ASSY</v>
      </c>
      <c r="L3874">
        <v>-20</v>
      </c>
      <c r="M3874" t="str">
        <f>"יח"</f>
        <v>יח</v>
      </c>
      <c r="N3874">
        <v>-20</v>
      </c>
      <c r="O3874" t="str">
        <f>"יח"</f>
        <v>יח</v>
      </c>
      <c r="P3874">
        <v>68.650000000000006</v>
      </c>
      <c r="Q3874" t="str">
        <f>"$"</f>
        <v>$</v>
      </c>
      <c r="R3874" t="str">
        <f>"הזמנה"</f>
        <v>הזמנה</v>
      </c>
      <c r="S3874">
        <v>0</v>
      </c>
      <c r="T3874" s="2">
        <v>-1373</v>
      </c>
      <c r="U3874">
        <v>0</v>
      </c>
      <c r="V3874" s="2">
        <v>-1373</v>
      </c>
      <c r="W3874" t="str">
        <f>"$"</f>
        <v>$</v>
      </c>
      <c r="X3874">
        <v>0</v>
      </c>
      <c r="Y3874">
        <v>0</v>
      </c>
      <c r="Z3874">
        <v>0</v>
      </c>
      <c r="AA3874" t="str">
        <f>"Y"</f>
        <v>Y</v>
      </c>
      <c r="AC3874">
        <v>0</v>
      </c>
      <c r="AM3874" t="str">
        <f>"10"</f>
        <v>10</v>
      </c>
      <c r="AN3874" t="str">
        <f>"500000"</f>
        <v>500000</v>
      </c>
      <c r="AO3874" t="str">
        <f>"הכנסות  מלקוחות"</f>
        <v>הכנסות  מלקוחות</v>
      </c>
      <c r="AQ3874" t="str">
        <f>"034"</f>
        <v>034</v>
      </c>
      <c r="AR3874">
        <v>0</v>
      </c>
      <c r="AS3874">
        <v>0</v>
      </c>
      <c r="AT3874">
        <v>3.4260000000000002</v>
      </c>
      <c r="BB3874" t="str">
        <f>"Y"</f>
        <v>Y</v>
      </c>
      <c r="BD3874" t="str">
        <f>"ערן שלו"</f>
        <v>ערן שלו</v>
      </c>
    </row>
    <row r="3875" spans="1:56" x14ac:dyDescent="0.3">
      <c r="A3875" s="1">
        <v>43910</v>
      </c>
      <c r="B3875" t="str">
        <f>"SI206000367"</f>
        <v>SI206000367</v>
      </c>
      <c r="E3875" t="str">
        <f>"Y"</f>
        <v>Y</v>
      </c>
      <c r="F3875" t="str">
        <f>"חשבוניות מרכזות"</f>
        <v>חשבוניות מרכזות</v>
      </c>
      <c r="G3875" t="str">
        <f>"700065"</f>
        <v>700065</v>
      </c>
      <c r="H3875" t="str">
        <f>"אלתא מערכות בע""מ"</f>
        <v>אלתא מערכות בע"מ</v>
      </c>
      <c r="I3875" t="str">
        <f>"10"</f>
        <v>10</v>
      </c>
      <c r="J3875" t="str">
        <f>"000"</f>
        <v>000</v>
      </c>
      <c r="K3875" t="str">
        <f>"FAI"</f>
        <v>FAI</v>
      </c>
      <c r="L3875">
        <v>1</v>
      </c>
      <c r="M3875" t="str">
        <f>"יח"</f>
        <v>יח</v>
      </c>
      <c r="N3875">
        <v>1</v>
      </c>
      <c r="O3875" t="str">
        <f>"יח"</f>
        <v>יח</v>
      </c>
      <c r="P3875">
        <v>60</v>
      </c>
      <c r="Q3875" t="str">
        <f>"$"</f>
        <v>$</v>
      </c>
      <c r="R3875" t="str">
        <f>"הזמנה"</f>
        <v>הזמנה</v>
      </c>
      <c r="S3875">
        <v>0</v>
      </c>
      <c r="T3875">
        <v>60</v>
      </c>
      <c r="U3875">
        <v>0</v>
      </c>
      <c r="V3875">
        <v>60</v>
      </c>
      <c r="W3875" t="str">
        <f>"$"</f>
        <v>$</v>
      </c>
      <c r="X3875">
        <v>0</v>
      </c>
      <c r="Y3875">
        <v>0</v>
      </c>
      <c r="Z3875">
        <v>0</v>
      </c>
      <c r="AA3875" t="str">
        <f>"Y"</f>
        <v>Y</v>
      </c>
      <c r="AB3875" t="str">
        <f>"SO19000534"</f>
        <v>SO19000534</v>
      </c>
      <c r="AC3875">
        <v>1</v>
      </c>
      <c r="AD3875" s="1">
        <v>43821</v>
      </c>
      <c r="AM3875" t="str">
        <f>"10"</f>
        <v>10</v>
      </c>
      <c r="AN3875" t="str">
        <f>"500000"</f>
        <v>500000</v>
      </c>
      <c r="AO3875" t="str">
        <f>"הכנסות  מלקוחות"</f>
        <v>הכנסות  מלקוחות</v>
      </c>
      <c r="AQ3875" t="str">
        <f>"034"</f>
        <v>034</v>
      </c>
      <c r="AR3875">
        <v>0</v>
      </c>
      <c r="AS3875">
        <v>0</v>
      </c>
      <c r="AT3875">
        <v>3.597</v>
      </c>
      <c r="AX3875" t="str">
        <f>"E000301383"</f>
        <v>E000301383</v>
      </c>
      <c r="BD3875" t="str">
        <f>"ערן שלו"</f>
        <v>ערן שלו</v>
      </c>
    </row>
    <row r="3876" spans="1:56" x14ac:dyDescent="0.3">
      <c r="A3876" s="1">
        <v>43910</v>
      </c>
      <c r="B3876" t="str">
        <f>"SI206000366"</f>
        <v>SI206000366</v>
      </c>
      <c r="E3876" t="str">
        <f>"Y"</f>
        <v>Y</v>
      </c>
      <c r="F3876" t="str">
        <f>"חשבוניות מרכזות"</f>
        <v>חשבוניות מרכזות</v>
      </c>
      <c r="G3876" t="str">
        <f>"700065"</f>
        <v>700065</v>
      </c>
      <c r="H3876" t="str">
        <f>"אלתא מערכות בע""מ"</f>
        <v>אלתא מערכות בע"מ</v>
      </c>
      <c r="I3876" t="str">
        <f>"10"</f>
        <v>10</v>
      </c>
      <c r="J3876" t="str">
        <f>"000"</f>
        <v>000</v>
      </c>
      <c r="K3876" t="str">
        <f>"FAI"</f>
        <v>FAI</v>
      </c>
      <c r="L3876">
        <v>-1</v>
      </c>
      <c r="M3876" t="str">
        <f>"יח"</f>
        <v>יח</v>
      </c>
      <c r="N3876">
        <v>-1</v>
      </c>
      <c r="O3876" t="str">
        <f>"יח"</f>
        <v>יח</v>
      </c>
      <c r="P3876">
        <v>60</v>
      </c>
      <c r="Q3876" t="str">
        <f>"$"</f>
        <v>$</v>
      </c>
      <c r="R3876" t="str">
        <f>"הזמנה"</f>
        <v>הזמנה</v>
      </c>
      <c r="S3876">
        <v>0</v>
      </c>
      <c r="T3876">
        <v>-60</v>
      </c>
      <c r="U3876">
        <v>0</v>
      </c>
      <c r="V3876">
        <v>-60</v>
      </c>
      <c r="W3876" t="str">
        <f>"$"</f>
        <v>$</v>
      </c>
      <c r="X3876">
        <v>0</v>
      </c>
      <c r="Y3876">
        <v>0</v>
      </c>
      <c r="Z3876">
        <v>0</v>
      </c>
      <c r="AA3876" t="str">
        <f>"Y"</f>
        <v>Y</v>
      </c>
      <c r="AC3876">
        <v>0</v>
      </c>
      <c r="AM3876" t="str">
        <f>"10"</f>
        <v>10</v>
      </c>
      <c r="AN3876" t="str">
        <f>"500000"</f>
        <v>500000</v>
      </c>
      <c r="AO3876" t="str">
        <f>"הכנסות  מלקוחות"</f>
        <v>הכנסות  מלקוחות</v>
      </c>
      <c r="AQ3876" t="str">
        <f>"034"</f>
        <v>034</v>
      </c>
      <c r="AR3876">
        <v>0</v>
      </c>
      <c r="AS3876">
        <v>0</v>
      </c>
      <c r="AT3876">
        <v>3.4260000000000002</v>
      </c>
      <c r="BB3876" t="str">
        <f>"Y"</f>
        <v>Y</v>
      </c>
      <c r="BD3876" t="str">
        <f>"ערן שלו"</f>
        <v>ערן שלו</v>
      </c>
    </row>
    <row r="3877" spans="1:56" x14ac:dyDescent="0.3">
      <c r="A3877" s="1">
        <v>43907</v>
      </c>
      <c r="B3877" t="str">
        <f>"SI206000247"</f>
        <v>SI206000247</v>
      </c>
      <c r="C3877" t="str">
        <f>"PR18000543"</f>
        <v>PR18000543</v>
      </c>
      <c r="D3877" t="str">
        <f>"PR18000543"</f>
        <v>PR18000543</v>
      </c>
      <c r="E3877" t="str">
        <f>"Y"</f>
        <v>Y</v>
      </c>
      <c r="F3877" t="str">
        <f>"חשבוניות מרכזות"</f>
        <v>חשבוניות מרכזות</v>
      </c>
      <c r="G3877" t="str">
        <f>"700065"</f>
        <v>700065</v>
      </c>
      <c r="H3877" t="str">
        <f>"אלתא מערכות בע""מ"</f>
        <v>אלתא מערכות בע"מ</v>
      </c>
      <c r="I3877" t="str">
        <f>"10"</f>
        <v>10</v>
      </c>
      <c r="J3877" t="str">
        <f>"OP-AR01083"</f>
        <v>OP-AR01083</v>
      </c>
      <c r="K3877" t="str">
        <f>"1036C960-001 HVJB_N"</f>
        <v>1036C960-001 HVJB_N</v>
      </c>
      <c r="L3877">
        <v>4</v>
      </c>
      <c r="M3877" t="str">
        <f>"יח"</f>
        <v>יח</v>
      </c>
      <c r="N3877">
        <v>4</v>
      </c>
      <c r="O3877" t="str">
        <f>"יח"</f>
        <v>יח</v>
      </c>
      <c r="P3877" s="2">
        <v>6500</v>
      </c>
      <c r="Q3877" t="str">
        <f>"$"</f>
        <v>$</v>
      </c>
      <c r="R3877" t="str">
        <f>"הזמנה"</f>
        <v>הזמנה</v>
      </c>
      <c r="S3877">
        <v>0</v>
      </c>
      <c r="T3877" s="2">
        <v>26000</v>
      </c>
      <c r="U3877">
        <v>0</v>
      </c>
      <c r="V3877" s="2">
        <v>26000</v>
      </c>
      <c r="W3877" t="str">
        <f>"$"</f>
        <v>$</v>
      </c>
      <c r="X3877">
        <v>0</v>
      </c>
      <c r="Y3877">
        <v>0</v>
      </c>
      <c r="Z3877">
        <v>0</v>
      </c>
      <c r="AA3877" t="str">
        <f>"Y"</f>
        <v>Y</v>
      </c>
      <c r="AB3877" t="str">
        <f>"SO18000429"</f>
        <v>SO18000429</v>
      </c>
      <c r="AC3877">
        <v>8</v>
      </c>
      <c r="AD3877" s="1">
        <v>43311</v>
      </c>
      <c r="AE3877" t="str">
        <f>"SH20000351"</f>
        <v>SH20000351</v>
      </c>
      <c r="AF3877" t="str">
        <f>"משלוחים ללקוח"</f>
        <v>משלוחים ללקוח</v>
      </c>
      <c r="AG3877" s="1">
        <v>43906</v>
      </c>
      <c r="AM3877" t="str">
        <f>"10"</f>
        <v>10</v>
      </c>
      <c r="AN3877" t="str">
        <f>"500000"</f>
        <v>500000</v>
      </c>
      <c r="AO3877" t="str">
        <f>"הכנסות  מלקוחות"</f>
        <v>הכנסות  מלקוחות</v>
      </c>
      <c r="AQ3877" t="str">
        <f>"007"</f>
        <v>007</v>
      </c>
      <c r="AR3877">
        <v>0</v>
      </c>
      <c r="AS3877">
        <v>0</v>
      </c>
      <c r="AT3877">
        <v>3.7280000000000002</v>
      </c>
      <c r="AX3877" t="str">
        <f>"E000266439"</f>
        <v>E000266439</v>
      </c>
      <c r="BD3877" t="str">
        <f>"רוני דידי"</f>
        <v>רוני דידי</v>
      </c>
    </row>
    <row r="3878" spans="1:56" x14ac:dyDescent="0.3">
      <c r="A3878" s="1">
        <v>43907</v>
      </c>
      <c r="B3878" t="str">
        <f>"SI206000246"</f>
        <v>SI206000246</v>
      </c>
      <c r="C3878" t="str">
        <f>"PR19000750"</f>
        <v>PR19000750</v>
      </c>
      <c r="D3878" t="str">
        <f>"PR19000750"</f>
        <v>PR19000750</v>
      </c>
      <c r="E3878" t="str">
        <f>"Y"</f>
        <v>Y</v>
      </c>
      <c r="F3878" t="str">
        <f>"חשבוניות מרכזות"</f>
        <v>חשבוניות מרכזות</v>
      </c>
      <c r="G3878" t="str">
        <f>"700065"</f>
        <v>700065</v>
      </c>
      <c r="H3878" t="str">
        <f>"אלתא מערכות בע""מ"</f>
        <v>אלתא מערכות בע"מ</v>
      </c>
      <c r="I3878" t="str">
        <f>"10"</f>
        <v>10</v>
      </c>
      <c r="J3878" t="str">
        <f>"OP-KT00096"</f>
        <v>OP-KT00096</v>
      </c>
      <c r="K3878" t="str">
        <f>"PDB SPARES O LEVEL"</f>
        <v>PDB SPARES O LEVEL</v>
      </c>
      <c r="L3878">
        <v>1</v>
      </c>
      <c r="M3878" t="str">
        <f>"יח"</f>
        <v>יח</v>
      </c>
      <c r="N3878">
        <v>1</v>
      </c>
      <c r="O3878" t="str">
        <f>"יח"</f>
        <v>יח</v>
      </c>
      <c r="P3878" s="2">
        <v>6574</v>
      </c>
      <c r="Q3878" t="str">
        <f>"$"</f>
        <v>$</v>
      </c>
      <c r="R3878" t="str">
        <f>"הזמנה"</f>
        <v>הזמנה</v>
      </c>
      <c r="S3878">
        <v>0</v>
      </c>
      <c r="T3878" s="2">
        <v>6574</v>
      </c>
      <c r="U3878">
        <v>0</v>
      </c>
      <c r="V3878" s="2">
        <v>6574</v>
      </c>
      <c r="W3878" t="str">
        <f>"$"</f>
        <v>$</v>
      </c>
      <c r="X3878">
        <v>0</v>
      </c>
      <c r="Y3878">
        <v>0</v>
      </c>
      <c r="Z3878">
        <v>0</v>
      </c>
      <c r="AA3878" t="str">
        <f>"Y"</f>
        <v>Y</v>
      </c>
      <c r="AB3878" t="str">
        <f>"SO19000535"</f>
        <v>SO19000535</v>
      </c>
      <c r="AC3878">
        <v>15</v>
      </c>
      <c r="AD3878" s="1">
        <v>43823</v>
      </c>
      <c r="AE3878" t="str">
        <f>"SH20000347"</f>
        <v>SH20000347</v>
      </c>
      <c r="AF3878" t="str">
        <f>"משלוחים ללקוח"</f>
        <v>משלוחים ללקוח</v>
      </c>
      <c r="AG3878" s="1">
        <v>43905</v>
      </c>
      <c r="AM3878" t="str">
        <f>"10"</f>
        <v>10</v>
      </c>
      <c r="AN3878" t="str">
        <f>"500000"</f>
        <v>500000</v>
      </c>
      <c r="AO3878" t="str">
        <f>"הכנסות  מלקוחות"</f>
        <v>הכנסות  מלקוחות</v>
      </c>
      <c r="AQ3878" t="str">
        <f>"034"</f>
        <v>034</v>
      </c>
      <c r="AR3878">
        <v>0</v>
      </c>
      <c r="AS3878">
        <v>0</v>
      </c>
      <c r="AT3878">
        <v>3.7280000000000002</v>
      </c>
      <c r="AX3878" t="str">
        <f>"E000303378"</f>
        <v>E000303378</v>
      </c>
      <c r="BD3878" t="str">
        <f>"ערן שלו"</f>
        <v>ערן שלו</v>
      </c>
    </row>
    <row r="3879" spans="1:56" x14ac:dyDescent="0.3">
      <c r="A3879" s="1">
        <v>43907</v>
      </c>
      <c r="B3879" t="str">
        <f>"SI206000245"</f>
        <v>SI206000245</v>
      </c>
      <c r="C3879" t="str">
        <f>"PR19000398"</f>
        <v>PR19000398</v>
      </c>
      <c r="E3879" t="str">
        <f>"Y"</f>
        <v>Y</v>
      </c>
      <c r="F3879" t="str">
        <f>"חשבוניות מרכזות"</f>
        <v>חשבוניות מרכזות</v>
      </c>
      <c r="G3879" t="str">
        <f>"700065"</f>
        <v>700065</v>
      </c>
      <c r="H3879" t="str">
        <f>"אלתא מערכות בע""מ"</f>
        <v>אלתא מערכות בע"מ</v>
      </c>
      <c r="I3879" t="str">
        <f>"10"</f>
        <v>10</v>
      </c>
      <c r="J3879" t="str">
        <f>"OP-AR01302"</f>
        <v>OP-AR01302</v>
      </c>
      <c r="K3879" t="str">
        <f>"PDU חטיבת  1038U960-001 CU"</f>
        <v>PDU חטיבת  1038U960-001 CU</v>
      </c>
      <c r="L3879">
        <v>1</v>
      </c>
      <c r="M3879" t="str">
        <f>"יח"</f>
        <v>יח</v>
      </c>
      <c r="N3879">
        <v>1</v>
      </c>
      <c r="O3879" t="str">
        <f>"יח"</f>
        <v>יח</v>
      </c>
      <c r="P3879" s="2">
        <v>9484.75</v>
      </c>
      <c r="Q3879" t="str">
        <f>"$"</f>
        <v>$</v>
      </c>
      <c r="R3879" t="str">
        <f>"הזמנה"</f>
        <v>הזמנה</v>
      </c>
      <c r="S3879">
        <v>0</v>
      </c>
      <c r="T3879" s="2">
        <v>9484.75</v>
      </c>
      <c r="U3879">
        <v>0</v>
      </c>
      <c r="V3879" s="2">
        <v>9484.75</v>
      </c>
      <c r="W3879" t="str">
        <f>"$"</f>
        <v>$</v>
      </c>
      <c r="X3879">
        <v>0</v>
      </c>
      <c r="Y3879">
        <v>0</v>
      </c>
      <c r="Z3879">
        <v>0</v>
      </c>
      <c r="AA3879" t="str">
        <f>"Y"</f>
        <v>Y</v>
      </c>
      <c r="AB3879" t="str">
        <f>"SO19000305"</f>
        <v>SO19000305</v>
      </c>
      <c r="AC3879">
        <v>4</v>
      </c>
      <c r="AD3879" s="1">
        <v>43657</v>
      </c>
      <c r="AE3879" t="str">
        <f>"SH20000350"</f>
        <v>SH20000350</v>
      </c>
      <c r="AF3879" t="str">
        <f>"משלוחים ללקוח"</f>
        <v>משלוחים ללקוח</v>
      </c>
      <c r="AG3879" s="1">
        <v>43906</v>
      </c>
      <c r="AM3879" t="str">
        <f>"10"</f>
        <v>10</v>
      </c>
      <c r="AN3879" t="str">
        <f>"500000"</f>
        <v>500000</v>
      </c>
      <c r="AO3879" t="str">
        <f>"הכנסות  מלקוחות"</f>
        <v>הכנסות  מלקוחות</v>
      </c>
      <c r="AQ3879" t="str">
        <f>"034"</f>
        <v>034</v>
      </c>
      <c r="AR3879">
        <v>0</v>
      </c>
      <c r="AS3879">
        <v>0</v>
      </c>
      <c r="AT3879">
        <v>3.7280000000000002</v>
      </c>
      <c r="AX3879" t="str">
        <f>"E000290708"</f>
        <v>E000290708</v>
      </c>
      <c r="BD3879" t="str">
        <f>"ערן שלו"</f>
        <v>ערן שלו</v>
      </c>
    </row>
    <row r="3880" spans="1:56" x14ac:dyDescent="0.3">
      <c r="A3880" s="1">
        <v>43901</v>
      </c>
      <c r="B3880" t="str">
        <f>"SI206000232"</f>
        <v>SI206000232</v>
      </c>
      <c r="C3880" t="str">
        <f>"PR19000109"</f>
        <v>PR19000109</v>
      </c>
      <c r="E3880" t="str">
        <f>"Y"</f>
        <v>Y</v>
      </c>
      <c r="F3880" t="str">
        <f>"חשבוניות מרכזות"</f>
        <v>חשבוניות מרכזות</v>
      </c>
      <c r="G3880" t="str">
        <f>"700065"</f>
        <v>700065</v>
      </c>
      <c r="H3880" t="str">
        <f>"אלתא מערכות בע""מ"</f>
        <v>אלתא מערכות בע"מ</v>
      </c>
      <c r="I3880" t="str">
        <f>"05"</f>
        <v>05</v>
      </c>
      <c r="J3880" t="str">
        <f>"OP-PD02884"</f>
        <v>OP-PD02884</v>
      </c>
      <c r="K3880" t="str">
        <f>"MAIN EPS PLC CONTROL PANEL - P15B"</f>
        <v>MAIN EPS PLC CONTROL PANEL - P15B</v>
      </c>
      <c r="L3880">
        <v>1</v>
      </c>
      <c r="M3880" t="str">
        <f>"יח"</f>
        <v>יח</v>
      </c>
      <c r="N3880">
        <v>1</v>
      </c>
      <c r="O3880" t="str">
        <f>"יח"</f>
        <v>יח</v>
      </c>
      <c r="P3880" s="2">
        <v>25400</v>
      </c>
      <c r="Q3880" t="str">
        <f>"$"</f>
        <v>$</v>
      </c>
      <c r="R3880" t="str">
        <f>"הזמנה"</f>
        <v>הזמנה</v>
      </c>
      <c r="S3880">
        <v>0</v>
      </c>
      <c r="T3880" s="2">
        <v>25400</v>
      </c>
      <c r="U3880">
        <v>0</v>
      </c>
      <c r="V3880" s="2">
        <v>25400</v>
      </c>
      <c r="W3880" t="str">
        <f>"$"</f>
        <v>$</v>
      </c>
      <c r="X3880">
        <v>0</v>
      </c>
      <c r="Y3880">
        <v>0</v>
      </c>
      <c r="Z3880">
        <v>0</v>
      </c>
      <c r="AA3880" t="str">
        <f>"Y"</f>
        <v>Y</v>
      </c>
      <c r="AC3880">
        <v>0</v>
      </c>
      <c r="AM3880" t="str">
        <f>"10"</f>
        <v>10</v>
      </c>
      <c r="AN3880" t="str">
        <f>"500000"</f>
        <v>500000</v>
      </c>
      <c r="AO3880" t="str">
        <f>"הכנסות  מלקוחות"</f>
        <v>הכנסות  מלקוחות</v>
      </c>
      <c r="AQ3880" t="str">
        <f>"034"</f>
        <v>034</v>
      </c>
      <c r="AR3880">
        <v>0</v>
      </c>
      <c r="AS3880">
        <v>0</v>
      </c>
      <c r="AT3880">
        <v>3.508</v>
      </c>
      <c r="BB3880" t="str">
        <f>"Y"</f>
        <v>Y</v>
      </c>
      <c r="BD3880" t="str">
        <f>"ערן שלו"</f>
        <v>ערן שלו</v>
      </c>
    </row>
    <row r="3881" spans="1:56" x14ac:dyDescent="0.3">
      <c r="A3881" s="1">
        <v>43901</v>
      </c>
      <c r="B3881" t="str">
        <f>"SI206000232"</f>
        <v>SI206000232</v>
      </c>
      <c r="C3881" t="str">
        <f>"PR19000109"</f>
        <v>PR19000109</v>
      </c>
      <c r="E3881" t="str">
        <f>"Y"</f>
        <v>Y</v>
      </c>
      <c r="F3881" t="str">
        <f>"חשבוניות מרכזות"</f>
        <v>חשבוניות מרכזות</v>
      </c>
      <c r="G3881" t="str">
        <f>"700065"</f>
        <v>700065</v>
      </c>
      <c r="H3881" t="str">
        <f>"אלתא מערכות בע""מ"</f>
        <v>אלתא מערכות בע"מ</v>
      </c>
      <c r="I3881" t="str">
        <f>"05"</f>
        <v>05</v>
      </c>
      <c r="J3881" t="str">
        <f>"999"</f>
        <v>999</v>
      </c>
      <c r="K3881" t="str">
        <f>"TECHNICAL MANUALS P71A"</f>
        <v>TECHNICAL MANUALS P71A</v>
      </c>
      <c r="L3881">
        <v>1</v>
      </c>
      <c r="M3881" t="str">
        <f>"חל"</f>
        <v>חל</v>
      </c>
      <c r="N3881">
        <v>1</v>
      </c>
      <c r="O3881" t="str">
        <f>"חל"</f>
        <v>חל</v>
      </c>
      <c r="P3881">
        <v>500</v>
      </c>
      <c r="Q3881" t="str">
        <f>"$"</f>
        <v>$</v>
      </c>
      <c r="R3881" t="str">
        <f>"הזמנה"</f>
        <v>הזמנה</v>
      </c>
      <c r="S3881">
        <v>0</v>
      </c>
      <c r="T3881">
        <v>500</v>
      </c>
      <c r="U3881">
        <v>0</v>
      </c>
      <c r="V3881">
        <v>500</v>
      </c>
      <c r="W3881" t="str">
        <f>"$"</f>
        <v>$</v>
      </c>
      <c r="X3881">
        <v>0</v>
      </c>
      <c r="Y3881">
        <v>0</v>
      </c>
      <c r="Z3881">
        <v>0</v>
      </c>
      <c r="AA3881" t="str">
        <f>"Y"</f>
        <v>Y</v>
      </c>
      <c r="AC3881">
        <v>0</v>
      </c>
      <c r="AM3881" t="str">
        <f>"10"</f>
        <v>10</v>
      </c>
      <c r="AN3881" t="str">
        <f>"500000"</f>
        <v>500000</v>
      </c>
      <c r="AO3881" t="str">
        <f>"הכנסות  מלקוחות"</f>
        <v>הכנסות  מלקוחות</v>
      </c>
      <c r="AQ3881" t="str">
        <f>"034"</f>
        <v>034</v>
      </c>
      <c r="AR3881">
        <v>0</v>
      </c>
      <c r="AS3881">
        <v>0</v>
      </c>
      <c r="AT3881">
        <v>3.508</v>
      </c>
      <c r="BB3881" t="str">
        <f>"Y"</f>
        <v>Y</v>
      </c>
      <c r="BD3881" t="str">
        <f>"ערן שלו"</f>
        <v>ערן שלו</v>
      </c>
    </row>
    <row r="3882" spans="1:56" x14ac:dyDescent="0.3">
      <c r="A3882" s="1">
        <v>43895</v>
      </c>
      <c r="B3882" t="str">
        <f>"SI206000209"</f>
        <v>SI206000209</v>
      </c>
      <c r="C3882" t="str">
        <f>"PR19000398"</f>
        <v>PR19000398</v>
      </c>
      <c r="E3882" t="str">
        <f>"Y"</f>
        <v>Y</v>
      </c>
      <c r="F3882" t="str">
        <f>"חשבוניות מרכזות"</f>
        <v>חשבוניות מרכזות</v>
      </c>
      <c r="G3882" t="str">
        <f>"700065"</f>
        <v>700065</v>
      </c>
      <c r="H3882" t="str">
        <f>"אלתא מערכות בע""מ"</f>
        <v>אלתא מערכות בע"מ</v>
      </c>
      <c r="I3882" t="str">
        <f>"10"</f>
        <v>10</v>
      </c>
      <c r="J3882" t="str">
        <f>"OP-AR01302"</f>
        <v>OP-AR01302</v>
      </c>
      <c r="K3882" t="str">
        <f>"PDU חטיבת  1038U960-001 CU"</f>
        <v>PDU חטיבת  1038U960-001 CU</v>
      </c>
      <c r="L3882">
        <v>1</v>
      </c>
      <c r="M3882" t="str">
        <f>"יח"</f>
        <v>יח</v>
      </c>
      <c r="N3882">
        <v>1</v>
      </c>
      <c r="O3882" t="str">
        <f>"יח"</f>
        <v>יח</v>
      </c>
      <c r="P3882" s="2">
        <v>9484.75</v>
      </c>
      <c r="Q3882" t="str">
        <f>"$"</f>
        <v>$</v>
      </c>
      <c r="R3882" t="str">
        <f>"הזמנה"</f>
        <v>הזמנה</v>
      </c>
      <c r="S3882">
        <v>0</v>
      </c>
      <c r="T3882" s="2">
        <v>9484.75</v>
      </c>
      <c r="U3882">
        <v>0</v>
      </c>
      <c r="V3882" s="2">
        <v>9484.75</v>
      </c>
      <c r="W3882" t="str">
        <f>"$"</f>
        <v>$</v>
      </c>
      <c r="X3882">
        <v>0</v>
      </c>
      <c r="Y3882">
        <v>0</v>
      </c>
      <c r="Z3882">
        <v>0</v>
      </c>
      <c r="AA3882" t="str">
        <f>"Y"</f>
        <v>Y</v>
      </c>
      <c r="AB3882" t="str">
        <f>"SO19000305"</f>
        <v>SO19000305</v>
      </c>
      <c r="AC3882">
        <v>4</v>
      </c>
      <c r="AD3882" s="1">
        <v>43657</v>
      </c>
      <c r="AE3882" t="str">
        <f>"SH20000312"</f>
        <v>SH20000312</v>
      </c>
      <c r="AF3882" t="str">
        <f>"משלוחים ללקוח"</f>
        <v>משלוחים ללקוח</v>
      </c>
      <c r="AG3882" s="1">
        <v>43894</v>
      </c>
      <c r="AM3882" t="str">
        <f>"10"</f>
        <v>10</v>
      </c>
      <c r="AN3882" t="str">
        <f>"500000"</f>
        <v>500000</v>
      </c>
      <c r="AO3882" t="str">
        <f>"הכנסות  מלקוחות"</f>
        <v>הכנסות  מלקוחות</v>
      </c>
      <c r="AQ3882" t="str">
        <f>"034"</f>
        <v>034</v>
      </c>
      <c r="AR3882">
        <v>0</v>
      </c>
      <c r="AS3882">
        <v>0</v>
      </c>
      <c r="AT3882">
        <v>3.46</v>
      </c>
      <c r="AX3882" t="str">
        <f>"E000290708"</f>
        <v>E000290708</v>
      </c>
      <c r="BD3882" t="str">
        <f>"ערן שלו"</f>
        <v>ערן שלו</v>
      </c>
    </row>
    <row r="3883" spans="1:56" x14ac:dyDescent="0.3">
      <c r="A3883" s="1">
        <v>43895</v>
      </c>
      <c r="B3883" t="str">
        <f>"SI206000208"</f>
        <v>SI206000208</v>
      </c>
      <c r="C3883" t="str">
        <f>"PR19000109"</f>
        <v>PR19000109</v>
      </c>
      <c r="E3883" t="str">
        <f>"Y"</f>
        <v>Y</v>
      </c>
      <c r="F3883" t="str">
        <f>"חשבוניות מרכזות"</f>
        <v>חשבוניות מרכזות</v>
      </c>
      <c r="G3883" t="str">
        <f>"700065"</f>
        <v>700065</v>
      </c>
      <c r="H3883" t="str">
        <f>"אלתא מערכות בע""מ"</f>
        <v>אלתא מערכות בע"מ</v>
      </c>
      <c r="I3883" t="str">
        <f>"10"</f>
        <v>10</v>
      </c>
      <c r="J3883" t="str">
        <f>"OP-KT00091"</f>
        <v>OP-KT00091</v>
      </c>
      <c r="K3883" t="str">
        <f>"P15 EPS CABLE KIT"</f>
        <v>P15 EPS CABLE KIT</v>
      </c>
      <c r="L3883">
        <v>1</v>
      </c>
      <c r="M3883" t="str">
        <f>"יח"</f>
        <v>יח</v>
      </c>
      <c r="N3883">
        <v>1</v>
      </c>
      <c r="O3883" t="str">
        <f>"יח"</f>
        <v>יח</v>
      </c>
      <c r="P3883" s="2">
        <v>27600</v>
      </c>
      <c r="Q3883" t="str">
        <f>"$"</f>
        <v>$</v>
      </c>
      <c r="R3883" t="str">
        <f>"הזמנה"</f>
        <v>הזמנה</v>
      </c>
      <c r="S3883">
        <v>0</v>
      </c>
      <c r="T3883" s="2">
        <v>27600</v>
      </c>
      <c r="U3883">
        <v>0</v>
      </c>
      <c r="V3883" s="2">
        <v>27600</v>
      </c>
      <c r="W3883" t="str">
        <f>"$"</f>
        <v>$</v>
      </c>
      <c r="X3883">
        <v>0</v>
      </c>
      <c r="Y3883">
        <v>0</v>
      </c>
      <c r="Z3883">
        <v>0</v>
      </c>
      <c r="AA3883" t="str">
        <f>"Y"</f>
        <v>Y</v>
      </c>
      <c r="AB3883" t="str">
        <f>"SO19000156"</f>
        <v>SO19000156</v>
      </c>
      <c r="AC3883">
        <v>26</v>
      </c>
      <c r="AD3883" s="1">
        <v>43562</v>
      </c>
      <c r="AE3883" t="str">
        <f>"SH20000298"</f>
        <v>SH20000298</v>
      </c>
      <c r="AF3883" t="str">
        <f>"משלוחים ללקוח"</f>
        <v>משלוחים ללקוח</v>
      </c>
      <c r="AG3883" s="1">
        <v>43891</v>
      </c>
      <c r="AM3883" t="str">
        <f>"10"</f>
        <v>10</v>
      </c>
      <c r="AN3883" t="str">
        <f>"500000"</f>
        <v>500000</v>
      </c>
      <c r="AO3883" t="str">
        <f>"הכנסות  מלקוחות"</f>
        <v>הכנסות  מלקוחות</v>
      </c>
      <c r="AQ3883" t="str">
        <f>"034"</f>
        <v>034</v>
      </c>
      <c r="AR3883">
        <v>0</v>
      </c>
      <c r="AS3883">
        <v>0</v>
      </c>
      <c r="AT3883">
        <v>3.46</v>
      </c>
      <c r="AX3883" t="str">
        <f>"E000270896"</f>
        <v>E000270896</v>
      </c>
      <c r="BD3883" t="str">
        <f>"ערן שלו"</f>
        <v>ערן שלו</v>
      </c>
    </row>
    <row r="3884" spans="1:56" x14ac:dyDescent="0.3">
      <c r="A3884" s="1">
        <v>43895</v>
      </c>
      <c r="B3884" t="str">
        <f>"SI206000207"</f>
        <v>SI206000207</v>
      </c>
      <c r="C3884" t="str">
        <f>"PR19000750"</f>
        <v>PR19000750</v>
      </c>
      <c r="D3884" t="str">
        <f>"PR19000750"</f>
        <v>PR19000750</v>
      </c>
      <c r="E3884" t="str">
        <f>"Y"</f>
        <v>Y</v>
      </c>
      <c r="F3884" t="str">
        <f>"חשבוניות מרכזות"</f>
        <v>חשבוניות מרכזות</v>
      </c>
      <c r="G3884" t="str">
        <f>"700065"</f>
        <v>700065</v>
      </c>
      <c r="H3884" t="str">
        <f>"אלתא מערכות בע""מ"</f>
        <v>אלתא מערכות בע"מ</v>
      </c>
      <c r="I3884" t="str">
        <f>"10"</f>
        <v>10</v>
      </c>
      <c r="J3884" t="str">
        <f>"OP-KT00096"</f>
        <v>OP-KT00096</v>
      </c>
      <c r="K3884" t="str">
        <f>"PDB SPARES O LEVEL"</f>
        <v>PDB SPARES O LEVEL</v>
      </c>
      <c r="L3884">
        <v>1</v>
      </c>
      <c r="M3884" t="str">
        <f>"יח"</f>
        <v>יח</v>
      </c>
      <c r="N3884">
        <v>1</v>
      </c>
      <c r="O3884" t="str">
        <f>"יח"</f>
        <v>יח</v>
      </c>
      <c r="P3884" s="2">
        <v>6574</v>
      </c>
      <c r="Q3884" t="str">
        <f>"$"</f>
        <v>$</v>
      </c>
      <c r="R3884" t="str">
        <f>"הזמנה"</f>
        <v>הזמנה</v>
      </c>
      <c r="S3884">
        <v>0</v>
      </c>
      <c r="T3884" s="2">
        <v>6574</v>
      </c>
      <c r="U3884">
        <v>0</v>
      </c>
      <c r="V3884" s="2">
        <v>6574</v>
      </c>
      <c r="W3884" t="str">
        <f>"$"</f>
        <v>$</v>
      </c>
      <c r="X3884">
        <v>0</v>
      </c>
      <c r="Y3884">
        <v>0</v>
      </c>
      <c r="Z3884">
        <v>0</v>
      </c>
      <c r="AA3884" t="str">
        <f>"Y"</f>
        <v>Y</v>
      </c>
      <c r="AB3884" t="str">
        <f>"SO19000535"</f>
        <v>SO19000535</v>
      </c>
      <c r="AC3884">
        <v>3</v>
      </c>
      <c r="AD3884" s="1">
        <v>43823</v>
      </c>
      <c r="AE3884" t="str">
        <f>"SH20000279"</f>
        <v>SH20000279</v>
      </c>
      <c r="AF3884" t="str">
        <f>"משלוחים ללקוח"</f>
        <v>משלוחים ללקוח</v>
      </c>
      <c r="AG3884" s="1">
        <v>43888</v>
      </c>
      <c r="AM3884" t="str">
        <f>"10"</f>
        <v>10</v>
      </c>
      <c r="AN3884" t="str">
        <f>"500000"</f>
        <v>500000</v>
      </c>
      <c r="AO3884" t="str">
        <f>"הכנסות  מלקוחות"</f>
        <v>הכנסות  מלקוחות</v>
      </c>
      <c r="AQ3884" t="str">
        <f>"034"</f>
        <v>034</v>
      </c>
      <c r="AR3884">
        <v>0</v>
      </c>
      <c r="AS3884">
        <v>0</v>
      </c>
      <c r="AT3884">
        <v>3.46</v>
      </c>
      <c r="AX3884" t="str">
        <f>"E000303378"</f>
        <v>E000303378</v>
      </c>
      <c r="BD3884" t="str">
        <f>"ערן שלו"</f>
        <v>ערן שלו</v>
      </c>
    </row>
    <row r="3885" spans="1:56" x14ac:dyDescent="0.3">
      <c r="A3885" s="1">
        <v>43895</v>
      </c>
      <c r="B3885" t="str">
        <f>"SI206000206"</f>
        <v>SI206000206</v>
      </c>
      <c r="C3885" t="str">
        <f>"PR19000756"</f>
        <v>PR19000756</v>
      </c>
      <c r="E3885" t="str">
        <f>"Y"</f>
        <v>Y</v>
      </c>
      <c r="F3885" t="str">
        <f>"חשבוניות מרכזות"</f>
        <v>חשבוניות מרכזות</v>
      </c>
      <c r="G3885" t="str">
        <f>"700065"</f>
        <v>700065</v>
      </c>
      <c r="H3885" t="str">
        <f>"אלתא מערכות בע""מ"</f>
        <v>אלתא מערכות בע"מ</v>
      </c>
      <c r="I3885" t="str">
        <f>"10"</f>
        <v>10</v>
      </c>
      <c r="J3885" t="str">
        <f>"OP-AR00454"</f>
        <v>OP-AR00454</v>
      </c>
      <c r="K3885" t="str">
        <f>"PDU 380V/50HZ/3 PH AC POWER BOX"</f>
        <v>PDU 380V/50HZ/3 PH AC POWER BOX</v>
      </c>
      <c r="L3885">
        <v>1</v>
      </c>
      <c r="M3885" t="str">
        <f>"יח"</f>
        <v>יח</v>
      </c>
      <c r="N3885">
        <v>1</v>
      </c>
      <c r="O3885" t="str">
        <f>"יח"</f>
        <v>יח</v>
      </c>
      <c r="P3885" s="2">
        <v>1380</v>
      </c>
      <c r="Q3885" t="str">
        <f>"$"</f>
        <v>$</v>
      </c>
      <c r="R3885" t="str">
        <f>"הזמנה"</f>
        <v>הזמנה</v>
      </c>
      <c r="S3885">
        <v>0</v>
      </c>
      <c r="T3885" s="2">
        <v>1380</v>
      </c>
      <c r="U3885">
        <v>0</v>
      </c>
      <c r="V3885" s="2">
        <v>1380</v>
      </c>
      <c r="W3885" t="str">
        <f>"$"</f>
        <v>$</v>
      </c>
      <c r="X3885">
        <v>0</v>
      </c>
      <c r="Y3885">
        <v>0</v>
      </c>
      <c r="Z3885">
        <v>0</v>
      </c>
      <c r="AA3885" t="str">
        <f>"Y"</f>
        <v>Y</v>
      </c>
      <c r="AB3885" t="str">
        <f>"SO19000537"</f>
        <v>SO19000537</v>
      </c>
      <c r="AC3885">
        <v>2</v>
      </c>
      <c r="AD3885" s="1">
        <v>43824</v>
      </c>
      <c r="AE3885" t="str">
        <f>"SH20000311"</f>
        <v>SH20000311</v>
      </c>
      <c r="AF3885" t="str">
        <f>"משלוחים ללקוח"</f>
        <v>משלוחים ללקוח</v>
      </c>
      <c r="AG3885" s="1">
        <v>43894</v>
      </c>
      <c r="AM3885" t="str">
        <f>"10"</f>
        <v>10</v>
      </c>
      <c r="AN3885" t="str">
        <f>"500000"</f>
        <v>500000</v>
      </c>
      <c r="AO3885" t="str">
        <f>"הכנסות  מלקוחות"</f>
        <v>הכנסות  מלקוחות</v>
      </c>
      <c r="AQ3885" t="str">
        <f>"034"</f>
        <v>034</v>
      </c>
      <c r="AR3885">
        <v>0</v>
      </c>
      <c r="AS3885">
        <v>0</v>
      </c>
      <c r="AT3885">
        <v>3.46</v>
      </c>
      <c r="AX3885" t="str">
        <f>"E000301785"</f>
        <v>E000301785</v>
      </c>
      <c r="BD3885" t="str">
        <f>"ערן שלו"</f>
        <v>ערן שלו</v>
      </c>
    </row>
    <row r="3886" spans="1:56" x14ac:dyDescent="0.3">
      <c r="A3886" s="1">
        <v>43895</v>
      </c>
      <c r="B3886" t="str">
        <f>"SI206000206"</f>
        <v>SI206000206</v>
      </c>
      <c r="C3886" t="str">
        <f>"PR19000756"</f>
        <v>PR19000756</v>
      </c>
      <c r="E3886" t="str">
        <f>"Y"</f>
        <v>Y</v>
      </c>
      <c r="F3886" t="str">
        <f>"חשבוניות מרכזות"</f>
        <v>חשבוניות מרכזות</v>
      </c>
      <c r="G3886" t="str">
        <f>"700065"</f>
        <v>700065</v>
      </c>
      <c r="H3886" t="str">
        <f>"אלתא מערכות בע""מ"</f>
        <v>אלתא מערכות בע"מ</v>
      </c>
      <c r="I3886" t="str">
        <f>"10"</f>
        <v>10</v>
      </c>
      <c r="J3886" t="str">
        <f>"OP-AR00454"</f>
        <v>OP-AR00454</v>
      </c>
      <c r="K3886" t="str">
        <f>"PDU 380V/50HZ/3 PH AC POWER BOX"</f>
        <v>PDU 380V/50HZ/3 PH AC POWER BOX</v>
      </c>
      <c r="L3886">
        <v>1</v>
      </c>
      <c r="M3886" t="str">
        <f>"יח"</f>
        <v>יח</v>
      </c>
      <c r="N3886">
        <v>1</v>
      </c>
      <c r="O3886" t="str">
        <f>"יח"</f>
        <v>יח</v>
      </c>
      <c r="P3886" s="2">
        <v>1380</v>
      </c>
      <c r="Q3886" t="str">
        <f>"$"</f>
        <v>$</v>
      </c>
      <c r="R3886" t="str">
        <f>"הזמנה"</f>
        <v>הזמנה</v>
      </c>
      <c r="S3886">
        <v>0</v>
      </c>
      <c r="T3886" s="2">
        <v>1380</v>
      </c>
      <c r="U3886">
        <v>0</v>
      </c>
      <c r="V3886" s="2">
        <v>1380</v>
      </c>
      <c r="W3886" t="str">
        <f>"$"</f>
        <v>$</v>
      </c>
      <c r="X3886">
        <v>0</v>
      </c>
      <c r="Y3886">
        <v>0</v>
      </c>
      <c r="Z3886">
        <v>0</v>
      </c>
      <c r="AA3886" t="str">
        <f>"Y"</f>
        <v>Y</v>
      </c>
      <c r="AB3886" t="str">
        <f>"SO19000537"</f>
        <v>SO19000537</v>
      </c>
      <c r="AC3886">
        <v>3</v>
      </c>
      <c r="AD3886" s="1">
        <v>43824</v>
      </c>
      <c r="AE3886" t="str">
        <f>"SH20000311"</f>
        <v>SH20000311</v>
      </c>
      <c r="AF3886" t="str">
        <f>"משלוחים ללקוח"</f>
        <v>משלוחים ללקוח</v>
      </c>
      <c r="AG3886" s="1">
        <v>43894</v>
      </c>
      <c r="AM3886" t="str">
        <f>"10"</f>
        <v>10</v>
      </c>
      <c r="AN3886" t="str">
        <f>"500000"</f>
        <v>500000</v>
      </c>
      <c r="AO3886" t="str">
        <f>"הכנסות  מלקוחות"</f>
        <v>הכנסות  מלקוחות</v>
      </c>
      <c r="AQ3886" t="str">
        <f>"034"</f>
        <v>034</v>
      </c>
      <c r="AR3886">
        <v>0</v>
      </c>
      <c r="AS3886">
        <v>0</v>
      </c>
      <c r="AT3886">
        <v>3.46</v>
      </c>
      <c r="AX3886" t="str">
        <f>"E000301785"</f>
        <v>E000301785</v>
      </c>
      <c r="BD3886" t="str">
        <f>"ערן שלו"</f>
        <v>ערן שלו</v>
      </c>
    </row>
    <row r="3887" spans="1:56" x14ac:dyDescent="0.3">
      <c r="A3887" s="1">
        <v>43895</v>
      </c>
      <c r="B3887" t="str">
        <f>"SI206000205"</f>
        <v>SI206000205</v>
      </c>
      <c r="C3887" t="str">
        <f>"PR15003265"</f>
        <v>PR15003265</v>
      </c>
      <c r="E3887" t="str">
        <f>"Y"</f>
        <v>Y</v>
      </c>
      <c r="F3887" t="str">
        <f>"חשבוניות מרכזות"</f>
        <v>חשבוניות מרכזות</v>
      </c>
      <c r="G3887" t="str">
        <f>"700065"</f>
        <v>700065</v>
      </c>
      <c r="H3887" t="str">
        <f>"אלתא מערכות בע""מ"</f>
        <v>אלתא מערכות בע"מ</v>
      </c>
      <c r="I3887" t="str">
        <f>"10"</f>
        <v>10</v>
      </c>
      <c r="J3887" t="str">
        <f>"OP-AR00082"</f>
        <v>OP-AR00082</v>
      </c>
      <c r="K3887" t="str">
        <f>"יצור מערכת 1029C141-001 RE - PDB"</f>
        <v>יצור מערכת 1029C141-001 RE - PDB</v>
      </c>
      <c r="L3887">
        <v>1</v>
      </c>
      <c r="M3887" t="str">
        <f>"יח"</f>
        <v>יח</v>
      </c>
      <c r="N3887">
        <v>1</v>
      </c>
      <c r="O3887" t="str">
        <f>"יח"</f>
        <v>יח</v>
      </c>
      <c r="P3887" s="2">
        <v>108207</v>
      </c>
      <c r="Q3887" t="str">
        <f>"$"</f>
        <v>$</v>
      </c>
      <c r="R3887" t="str">
        <f>"הזמנה"</f>
        <v>הזמנה</v>
      </c>
      <c r="S3887">
        <v>0</v>
      </c>
      <c r="T3887" s="2">
        <v>108207</v>
      </c>
      <c r="U3887">
        <v>0</v>
      </c>
      <c r="V3887" s="2">
        <v>108207</v>
      </c>
      <c r="W3887" t="str">
        <f>"$"</f>
        <v>$</v>
      </c>
      <c r="X3887">
        <v>0</v>
      </c>
      <c r="Y3887">
        <v>0</v>
      </c>
      <c r="Z3887">
        <v>0</v>
      </c>
      <c r="AA3887" t="str">
        <f>"Y"</f>
        <v>Y</v>
      </c>
      <c r="AB3887" t="str">
        <f>"SO140002474"</f>
        <v>SO140002474</v>
      </c>
      <c r="AC3887">
        <v>4</v>
      </c>
      <c r="AD3887" s="1">
        <v>41939</v>
      </c>
      <c r="AE3887" t="str">
        <f>"SH20000313"</f>
        <v>SH20000313</v>
      </c>
      <c r="AF3887" t="str">
        <f>"משלוחים ללקוח"</f>
        <v>משלוחים ללקוח</v>
      </c>
      <c r="AG3887" s="1">
        <v>43894</v>
      </c>
      <c r="AM3887" t="str">
        <f>"10"</f>
        <v>10</v>
      </c>
      <c r="AN3887" t="str">
        <f>"500000"</f>
        <v>500000</v>
      </c>
      <c r="AO3887" t="str">
        <f>"הכנסות  מלקוחות"</f>
        <v>הכנסות  מלקוחות</v>
      </c>
      <c r="AQ3887" t="str">
        <f>"007"</f>
        <v>007</v>
      </c>
      <c r="AR3887">
        <v>0</v>
      </c>
      <c r="AS3887">
        <v>0</v>
      </c>
      <c r="AT3887">
        <v>3.46</v>
      </c>
      <c r="AX3887" t="str">
        <f>"E000182402"</f>
        <v>E000182402</v>
      </c>
      <c r="BD3887" t="str">
        <f>"רוני דידי"</f>
        <v>רוני דידי</v>
      </c>
    </row>
    <row r="3888" spans="1:56" x14ac:dyDescent="0.3">
      <c r="A3888" s="1">
        <v>43893</v>
      </c>
      <c r="B3888" t="str">
        <f>"SI206000201"</f>
        <v>SI206000201</v>
      </c>
      <c r="E3888" t="str">
        <f>"Y"</f>
        <v>Y</v>
      </c>
      <c r="F3888" t="str">
        <f>"חשבוניות מרכזות"</f>
        <v>חשבוניות מרכזות</v>
      </c>
      <c r="G3888" t="str">
        <f>"700065"</f>
        <v>700065</v>
      </c>
      <c r="H3888" t="str">
        <f>"אלתא מערכות בע""מ"</f>
        <v>אלתא מערכות בע"מ</v>
      </c>
      <c r="I3888" t="str">
        <f>"10"</f>
        <v>10</v>
      </c>
      <c r="J3888" t="str">
        <f>"000"</f>
        <v>000</v>
      </c>
      <c r="K3888" t="str">
        <f>"PDU 380V/50HZ/3 PH AC POWER BOX"</f>
        <v>PDU 380V/50HZ/3 PH AC POWER BOX</v>
      </c>
      <c r="L3888">
        <v>1</v>
      </c>
      <c r="M3888" t="str">
        <f>"יח"</f>
        <v>יח</v>
      </c>
      <c r="N3888">
        <v>1</v>
      </c>
      <c r="O3888" t="str">
        <f>"יח"</f>
        <v>יח</v>
      </c>
      <c r="P3888" s="2">
        <v>1380</v>
      </c>
      <c r="Q3888" t="str">
        <f>"$"</f>
        <v>$</v>
      </c>
      <c r="R3888" t="str">
        <f>"הזמנה"</f>
        <v>הזמנה</v>
      </c>
      <c r="S3888">
        <v>0</v>
      </c>
      <c r="T3888" s="2">
        <v>1380</v>
      </c>
      <c r="U3888">
        <v>0</v>
      </c>
      <c r="V3888" s="2">
        <v>1380</v>
      </c>
      <c r="W3888" t="str">
        <f>"$"</f>
        <v>$</v>
      </c>
      <c r="X3888">
        <v>0</v>
      </c>
      <c r="Y3888">
        <v>0</v>
      </c>
      <c r="Z3888">
        <v>0</v>
      </c>
      <c r="AA3888" t="str">
        <f>"Y"</f>
        <v>Y</v>
      </c>
      <c r="AB3888" t="str">
        <f>"SO19000126"</f>
        <v>SO19000126</v>
      </c>
      <c r="AC3888">
        <v>2</v>
      </c>
      <c r="AD3888" s="1">
        <v>43538</v>
      </c>
      <c r="AM3888" t="str">
        <f>"10"</f>
        <v>10</v>
      </c>
      <c r="AN3888" t="str">
        <f>"500000"</f>
        <v>500000</v>
      </c>
      <c r="AO3888" t="str">
        <f>"הכנסות  מלקוחות"</f>
        <v>הכנסות  מלקוחות</v>
      </c>
      <c r="AQ3888" t="str">
        <f>"034"</f>
        <v>034</v>
      </c>
      <c r="AR3888">
        <v>0</v>
      </c>
      <c r="AS3888">
        <v>0</v>
      </c>
      <c r="AT3888">
        <v>3.4670000000000001</v>
      </c>
      <c r="AX3888" t="str">
        <f>"E000282546"</f>
        <v>E000282546</v>
      </c>
      <c r="BD3888" t="str">
        <f>"ערן שלו"</f>
        <v>ערן שלו</v>
      </c>
    </row>
    <row r="3889" spans="1:56" x14ac:dyDescent="0.3">
      <c r="A3889" s="1">
        <v>43893</v>
      </c>
      <c r="B3889" t="str">
        <f>"SI206000200"</f>
        <v>SI206000200</v>
      </c>
      <c r="C3889" t="str">
        <f>"PR19000109"</f>
        <v>PR19000109</v>
      </c>
      <c r="E3889" t="str">
        <f>"Y"</f>
        <v>Y</v>
      </c>
      <c r="F3889" t="str">
        <f>"חשבוניות מרכזות"</f>
        <v>חשבוניות מרכזות</v>
      </c>
      <c r="G3889" t="str">
        <f>"700065"</f>
        <v>700065</v>
      </c>
      <c r="H3889" t="str">
        <f>"אלתא מערכות בע""מ"</f>
        <v>אלתא מערכות בע"מ</v>
      </c>
      <c r="I3889" t="str">
        <f>"10"</f>
        <v>10</v>
      </c>
      <c r="J3889" t="str">
        <f>"CB1500011"</f>
        <v>CB1500011</v>
      </c>
      <c r="K3889" t="str">
        <f>"כבל תקן ימי XTCuZ1-K 4x10"</f>
        <v>כבל תקן ימי XTCuZ1-K 4x10</v>
      </c>
      <c r="L3889">
        <v>818</v>
      </c>
      <c r="M3889" t="str">
        <f>"מטר"</f>
        <v>מטר</v>
      </c>
      <c r="N3889">
        <v>818</v>
      </c>
      <c r="O3889" t="str">
        <f>"מטר"</f>
        <v>מטר</v>
      </c>
      <c r="P3889">
        <v>9.8000000000000007</v>
      </c>
      <c r="Q3889" t="str">
        <f>"$"</f>
        <v>$</v>
      </c>
      <c r="R3889" t="str">
        <f>"הזמנה"</f>
        <v>הזמנה</v>
      </c>
      <c r="S3889">
        <v>0</v>
      </c>
      <c r="T3889" s="2">
        <v>8016.4</v>
      </c>
      <c r="U3889">
        <v>0</v>
      </c>
      <c r="V3889" s="2">
        <v>8016.4</v>
      </c>
      <c r="W3889" t="str">
        <f>"$"</f>
        <v>$</v>
      </c>
      <c r="X3889">
        <v>0</v>
      </c>
      <c r="Y3889">
        <v>0</v>
      </c>
      <c r="Z3889">
        <v>0</v>
      </c>
      <c r="AA3889" t="str">
        <f>"Y"</f>
        <v>Y</v>
      </c>
      <c r="AB3889" t="str">
        <f>"SO20000035"</f>
        <v>SO20000035</v>
      </c>
      <c r="AC3889">
        <v>5</v>
      </c>
      <c r="AD3889" s="1">
        <v>43856</v>
      </c>
      <c r="AE3889" t="str">
        <f>"SH20000267"</f>
        <v>SH20000267</v>
      </c>
      <c r="AF3889" t="str">
        <f>"משלוחים ללקוח"</f>
        <v>משלוחים ללקוח</v>
      </c>
      <c r="AG3889" s="1">
        <v>43887</v>
      </c>
      <c r="AM3889" t="str">
        <f>"10"</f>
        <v>10</v>
      </c>
      <c r="AN3889" t="str">
        <f>"500000"</f>
        <v>500000</v>
      </c>
      <c r="AO3889" t="str">
        <f>"הכנסות  מלקוחות"</f>
        <v>הכנסות  מלקוחות</v>
      </c>
      <c r="AQ3889" t="str">
        <f>"034"</f>
        <v>034</v>
      </c>
      <c r="AR3889">
        <v>0</v>
      </c>
      <c r="AS3889">
        <v>0</v>
      </c>
      <c r="AT3889">
        <v>3.4670000000000001</v>
      </c>
      <c r="AX3889" t="str">
        <f>"E000304372"</f>
        <v>E000304372</v>
      </c>
      <c r="BD3889" t="str">
        <f>"ערן שלו"</f>
        <v>ערן שלו</v>
      </c>
    </row>
    <row r="3890" spans="1:56" x14ac:dyDescent="0.3">
      <c r="A3890" s="1">
        <v>43893</v>
      </c>
      <c r="B3890" t="str">
        <f>"SI206000200"</f>
        <v>SI206000200</v>
      </c>
      <c r="C3890" t="str">
        <f>"PR19000109"</f>
        <v>PR19000109</v>
      </c>
      <c r="E3890" t="str">
        <f>"Y"</f>
        <v>Y</v>
      </c>
      <c r="F3890" t="str">
        <f>"חשבוניות מרכזות"</f>
        <v>חשבוניות מרכזות</v>
      </c>
      <c r="G3890" t="str">
        <f>"700065"</f>
        <v>700065</v>
      </c>
      <c r="H3890" t="str">
        <f>"אלתא מערכות בע""מ"</f>
        <v>אלתא מערכות בע"מ</v>
      </c>
      <c r="I3890" t="str">
        <f>"10"</f>
        <v>10</v>
      </c>
      <c r="J3890" t="str">
        <f>"CB1500011"</f>
        <v>CB1500011</v>
      </c>
      <c r="K3890" t="str">
        <f>"כבל תקן ימי XTCuZ1-K 4x10"</f>
        <v>כבל תקן ימי XTCuZ1-K 4x10</v>
      </c>
      <c r="L3890" s="3">
        <v>1182</v>
      </c>
      <c r="M3890" t="str">
        <f>"מטר"</f>
        <v>מטר</v>
      </c>
      <c r="N3890" s="3">
        <v>1182</v>
      </c>
      <c r="O3890" t="str">
        <f>"מטר"</f>
        <v>מטר</v>
      </c>
      <c r="P3890">
        <v>9.8000000000000007</v>
      </c>
      <c r="Q3890" t="str">
        <f>"$"</f>
        <v>$</v>
      </c>
      <c r="R3890" t="str">
        <f>"הזמנה"</f>
        <v>הזמנה</v>
      </c>
      <c r="S3890">
        <v>0</v>
      </c>
      <c r="T3890" s="2">
        <v>11583.6</v>
      </c>
      <c r="U3890">
        <v>0</v>
      </c>
      <c r="V3890" s="2">
        <v>11583.6</v>
      </c>
      <c r="W3890" t="str">
        <f>"$"</f>
        <v>$</v>
      </c>
      <c r="X3890">
        <v>0</v>
      </c>
      <c r="Y3890">
        <v>0</v>
      </c>
      <c r="Z3890">
        <v>0</v>
      </c>
      <c r="AA3890" t="str">
        <f>"Y"</f>
        <v>Y</v>
      </c>
      <c r="AB3890" t="str">
        <f>"SO20000035"</f>
        <v>SO20000035</v>
      </c>
      <c r="AC3890">
        <v>8</v>
      </c>
      <c r="AD3890" s="1">
        <v>43856</v>
      </c>
      <c r="AE3890" t="str">
        <f>"SH20000267"</f>
        <v>SH20000267</v>
      </c>
      <c r="AF3890" t="str">
        <f>"משלוחים ללקוח"</f>
        <v>משלוחים ללקוח</v>
      </c>
      <c r="AG3890" s="1">
        <v>43887</v>
      </c>
      <c r="AM3890" t="str">
        <f>"10"</f>
        <v>10</v>
      </c>
      <c r="AN3890" t="str">
        <f>"500000"</f>
        <v>500000</v>
      </c>
      <c r="AO3890" t="str">
        <f>"הכנסות  מלקוחות"</f>
        <v>הכנסות  מלקוחות</v>
      </c>
      <c r="AQ3890" t="str">
        <f>"034"</f>
        <v>034</v>
      </c>
      <c r="AR3890">
        <v>0</v>
      </c>
      <c r="AS3890">
        <v>0</v>
      </c>
      <c r="AT3890">
        <v>3.4670000000000001</v>
      </c>
      <c r="AX3890" t="str">
        <f>"E000304372"</f>
        <v>E000304372</v>
      </c>
      <c r="BD3890" t="str">
        <f>"ערן שלו"</f>
        <v>ערן שלו</v>
      </c>
    </row>
    <row r="3891" spans="1:56" x14ac:dyDescent="0.3">
      <c r="A3891" s="1">
        <v>43893</v>
      </c>
      <c r="B3891" t="str">
        <f>"SI206000199"</f>
        <v>SI206000199</v>
      </c>
      <c r="E3891" t="str">
        <f>"Y"</f>
        <v>Y</v>
      </c>
      <c r="F3891" t="str">
        <f>"חשבוניות מרכזות"</f>
        <v>חשבוניות מרכזות</v>
      </c>
      <c r="G3891" t="str">
        <f>"700065"</f>
        <v>700065</v>
      </c>
      <c r="H3891" t="str">
        <f>"אלתא מערכות בע""מ"</f>
        <v>אלתא מערכות בע"מ</v>
      </c>
      <c r="I3891" t="str">
        <f>"10"</f>
        <v>10</v>
      </c>
      <c r="J3891" t="str">
        <f>"000"</f>
        <v>000</v>
      </c>
      <c r="K3891" t="str">
        <f>"הטסה של יתרת הכבלים בהזמנה"</f>
        <v>הטסה של יתרת הכבלים בהזמנה</v>
      </c>
      <c r="L3891">
        <v>1</v>
      </c>
      <c r="M3891" t="str">
        <f>"יח"</f>
        <v>יח</v>
      </c>
      <c r="N3891">
        <v>1</v>
      </c>
      <c r="O3891" t="str">
        <f>"יח"</f>
        <v>יח</v>
      </c>
      <c r="P3891" s="2">
        <v>3400</v>
      </c>
      <c r="Q3891" t="str">
        <f>"$"</f>
        <v>$</v>
      </c>
      <c r="R3891" t="str">
        <f>"הזמנה"</f>
        <v>הזמנה</v>
      </c>
      <c r="S3891">
        <v>0</v>
      </c>
      <c r="T3891" s="2">
        <v>3400</v>
      </c>
      <c r="U3891">
        <v>0</v>
      </c>
      <c r="V3891" s="2">
        <v>3400</v>
      </c>
      <c r="W3891" t="str">
        <f>"$"</f>
        <v>$</v>
      </c>
      <c r="X3891">
        <v>0</v>
      </c>
      <c r="Y3891">
        <v>0</v>
      </c>
      <c r="Z3891">
        <v>0</v>
      </c>
      <c r="AA3891" t="str">
        <f>"Y"</f>
        <v>Y</v>
      </c>
      <c r="AB3891" t="str">
        <f>"SO20000035"</f>
        <v>SO20000035</v>
      </c>
      <c r="AC3891">
        <v>10</v>
      </c>
      <c r="AD3891" s="1">
        <v>43856</v>
      </c>
      <c r="AM3891" t="str">
        <f>"10"</f>
        <v>10</v>
      </c>
      <c r="AN3891" t="str">
        <f>"500000"</f>
        <v>500000</v>
      </c>
      <c r="AO3891" t="str">
        <f>"הכנסות  מלקוחות"</f>
        <v>הכנסות  מלקוחות</v>
      </c>
      <c r="AQ3891" t="str">
        <f>"034"</f>
        <v>034</v>
      </c>
      <c r="AR3891">
        <v>0</v>
      </c>
      <c r="AS3891">
        <v>0</v>
      </c>
      <c r="AT3891">
        <v>3.4670000000000001</v>
      </c>
      <c r="AX3891" t="str">
        <f>"E000304372"</f>
        <v>E000304372</v>
      </c>
      <c r="BD3891" t="str">
        <f>"ערן שלו"</f>
        <v>ערן שלו</v>
      </c>
    </row>
    <row r="3892" spans="1:56" x14ac:dyDescent="0.3">
      <c r="A3892" s="1">
        <v>43891</v>
      </c>
      <c r="B3892" t="str">
        <f>"SI206000365"</f>
        <v>SI206000365</v>
      </c>
      <c r="C3892" t="str">
        <f>"PR19000155"</f>
        <v>PR19000155</v>
      </c>
      <c r="E3892" t="str">
        <f>"Y"</f>
        <v>Y</v>
      </c>
      <c r="F3892" t="str">
        <f>"חשבוניות מרכזות"</f>
        <v>חשבוניות מרכזות</v>
      </c>
      <c r="G3892" t="str">
        <f>"700065"</f>
        <v>700065</v>
      </c>
      <c r="H3892" t="str">
        <f>"אלתא מערכות בע""מ"</f>
        <v>אלתא מערכות בע"מ</v>
      </c>
      <c r="I3892" t="str">
        <f>"10"</f>
        <v>10</v>
      </c>
      <c r="J3892" t="str">
        <f>"OP-AR00454"</f>
        <v>OP-AR00454</v>
      </c>
      <c r="K3892" t="str">
        <f>"PDU 380V/50HZ/3 PH AC POWER BOX"</f>
        <v>PDU 380V/50HZ/3 PH AC POWER BOX</v>
      </c>
      <c r="L3892">
        <v>-1</v>
      </c>
      <c r="M3892" t="str">
        <f>"יח"</f>
        <v>יח</v>
      </c>
      <c r="N3892">
        <v>-1</v>
      </c>
      <c r="O3892" t="str">
        <f>"יח"</f>
        <v>יח</v>
      </c>
      <c r="P3892" s="2">
        <v>1380</v>
      </c>
      <c r="Q3892" t="str">
        <f>"$"</f>
        <v>$</v>
      </c>
      <c r="R3892" t="str">
        <f>"הזמנה"</f>
        <v>הזמנה</v>
      </c>
      <c r="S3892">
        <v>0</v>
      </c>
      <c r="T3892" s="2">
        <v>-1380</v>
      </c>
      <c r="U3892">
        <v>0</v>
      </c>
      <c r="V3892" s="2">
        <v>-1380</v>
      </c>
      <c r="W3892" t="str">
        <f>"$"</f>
        <v>$</v>
      </c>
      <c r="X3892">
        <v>0</v>
      </c>
      <c r="Y3892">
        <v>0</v>
      </c>
      <c r="Z3892">
        <v>0</v>
      </c>
      <c r="AA3892" t="str">
        <f>"Y"</f>
        <v>Y</v>
      </c>
      <c r="AC3892">
        <v>0</v>
      </c>
      <c r="AM3892" t="str">
        <f>"10"</f>
        <v>10</v>
      </c>
      <c r="AN3892" t="str">
        <f>"500000"</f>
        <v>500000</v>
      </c>
      <c r="AO3892" t="str">
        <f>"הכנסות  מלקוחות"</f>
        <v>הכנסות  מלקוחות</v>
      </c>
      <c r="AQ3892" t="str">
        <f>"034"</f>
        <v>034</v>
      </c>
      <c r="AR3892">
        <v>0</v>
      </c>
      <c r="AS3892">
        <v>0</v>
      </c>
      <c r="AT3892">
        <v>3.5680000000000001</v>
      </c>
      <c r="BB3892" t="str">
        <f>"Y"</f>
        <v>Y</v>
      </c>
      <c r="BD3892" t="str">
        <f>"ערן שלו"</f>
        <v>ערן שלו</v>
      </c>
    </row>
    <row r="3893" spans="1:56" x14ac:dyDescent="0.3">
      <c r="A3893" s="1">
        <v>43888</v>
      </c>
      <c r="B3893" t="str">
        <f>"SI206000202"</f>
        <v>SI206000202</v>
      </c>
      <c r="C3893" t="str">
        <f>"PR20000026"</f>
        <v>PR20000026</v>
      </c>
      <c r="D3893" t="str">
        <f>"PR20000026"</f>
        <v>PR20000026</v>
      </c>
      <c r="E3893" t="str">
        <f>"Y"</f>
        <v>Y</v>
      </c>
      <c r="F3893" t="str">
        <f>"חשבוניות מרכזות"</f>
        <v>חשבוניות מרכזות</v>
      </c>
      <c r="G3893" t="str">
        <f>"700065"</f>
        <v>700065</v>
      </c>
      <c r="H3893" t="str">
        <f>"אלתא מערכות בע""מ"</f>
        <v>אלתא מערכות בע"מ</v>
      </c>
      <c r="I3893" t="str">
        <f>"01"</f>
        <v>01</v>
      </c>
      <c r="J3893" t="str">
        <f>"999"</f>
        <v>999</v>
      </c>
      <c r="K3893" t="str">
        <f>"ביצוע עבודות לשיפור תשתיות חשמל באתר 2"</f>
        <v>ביצוע עבודות לשיפור תשתיות חשמל באתר 2</v>
      </c>
      <c r="L3893">
        <v>1</v>
      </c>
      <c r="M3893" t="str">
        <f>"חל"</f>
        <v>חל</v>
      </c>
      <c r="N3893">
        <v>1</v>
      </c>
      <c r="O3893" t="str">
        <f>"חל"</f>
        <v>חל</v>
      </c>
      <c r="P3893" s="2">
        <v>65000</v>
      </c>
      <c r="Q3893" t="str">
        <f>"ש""ח"</f>
        <v>ש"ח</v>
      </c>
      <c r="R3893" t="str">
        <f>"הזמנה"</f>
        <v>הזמנה</v>
      </c>
      <c r="S3893">
        <v>0</v>
      </c>
      <c r="T3893" s="2">
        <v>65000</v>
      </c>
      <c r="U3893">
        <v>0</v>
      </c>
      <c r="V3893" s="2">
        <v>65000</v>
      </c>
      <c r="W3893" t="str">
        <f>"ש""ח"</f>
        <v>ש"ח</v>
      </c>
      <c r="X3893">
        <v>0</v>
      </c>
      <c r="Y3893">
        <v>0</v>
      </c>
      <c r="Z3893">
        <v>0</v>
      </c>
      <c r="AA3893" t="str">
        <f>"Y"</f>
        <v>Y</v>
      </c>
      <c r="AB3893" t="str">
        <f>"SO20000022"</f>
        <v>SO20000022</v>
      </c>
      <c r="AC3893">
        <v>1</v>
      </c>
      <c r="AD3893" s="1">
        <v>43845</v>
      </c>
      <c r="AM3893" t="str">
        <f>"10"</f>
        <v>10</v>
      </c>
      <c r="AN3893" t="str">
        <f>"500000"</f>
        <v>500000</v>
      </c>
      <c r="AO3893" t="str">
        <f>"הכנסות  מלקוחות"</f>
        <v>הכנסות  מלקוחות</v>
      </c>
      <c r="AQ3893" t="str">
        <f>"005"</f>
        <v>005</v>
      </c>
      <c r="AR3893">
        <v>0</v>
      </c>
      <c r="AS3893">
        <v>0</v>
      </c>
      <c r="AT3893">
        <v>1</v>
      </c>
      <c r="AX3893" t="str">
        <f>"E000303334"</f>
        <v>E000303334</v>
      </c>
      <c r="BD3893" t="str">
        <f>"מלך רונן"</f>
        <v>מלך רונן</v>
      </c>
    </row>
    <row r="3894" spans="1:56" x14ac:dyDescent="0.3">
      <c r="A3894" s="1">
        <v>43888</v>
      </c>
      <c r="B3894" t="str">
        <f>"SI206000196"</f>
        <v>SI206000196</v>
      </c>
      <c r="C3894" t="str">
        <f>"PR18000543"</f>
        <v>PR18000543</v>
      </c>
      <c r="D3894" t="str">
        <f>"PR18000543"</f>
        <v>PR18000543</v>
      </c>
      <c r="E3894" t="str">
        <f>"Y"</f>
        <v>Y</v>
      </c>
      <c r="F3894" t="str">
        <f>"חשבוניות מרכזות"</f>
        <v>חשבוניות מרכזות</v>
      </c>
      <c r="G3894" t="str">
        <f>"700065"</f>
        <v>700065</v>
      </c>
      <c r="H3894" t="str">
        <f>"אלתא מערכות בע""מ"</f>
        <v>אלתא מערכות בע"מ</v>
      </c>
      <c r="I3894" t="str">
        <f>"10"</f>
        <v>10</v>
      </c>
      <c r="J3894" t="str">
        <f>"OP-AR01083"</f>
        <v>OP-AR01083</v>
      </c>
      <c r="K3894" t="str">
        <f>"1036C960-001 HVJB_N"</f>
        <v>1036C960-001 HVJB_N</v>
      </c>
      <c r="L3894">
        <v>2</v>
      </c>
      <c r="M3894" t="str">
        <f>"יח"</f>
        <v>יח</v>
      </c>
      <c r="N3894">
        <v>2</v>
      </c>
      <c r="O3894" t="str">
        <f>"יח"</f>
        <v>יח</v>
      </c>
      <c r="P3894" s="2">
        <v>6500</v>
      </c>
      <c r="Q3894" t="str">
        <f>"$"</f>
        <v>$</v>
      </c>
      <c r="R3894" t="str">
        <f>"הזמנה"</f>
        <v>הזמנה</v>
      </c>
      <c r="S3894">
        <v>0</v>
      </c>
      <c r="T3894" s="2">
        <v>13000</v>
      </c>
      <c r="U3894">
        <v>0</v>
      </c>
      <c r="V3894" s="2">
        <v>13000</v>
      </c>
      <c r="W3894" t="str">
        <f>"$"</f>
        <v>$</v>
      </c>
      <c r="X3894">
        <v>0</v>
      </c>
      <c r="Y3894">
        <v>0</v>
      </c>
      <c r="Z3894">
        <v>0</v>
      </c>
      <c r="AA3894" t="str">
        <f>"Y"</f>
        <v>Y</v>
      </c>
      <c r="AB3894" t="str">
        <f>"SO18000429"</f>
        <v>SO18000429</v>
      </c>
      <c r="AC3894">
        <v>8</v>
      </c>
      <c r="AD3894" s="1">
        <v>43311</v>
      </c>
      <c r="AE3894" t="str">
        <f>"SH20000277"</f>
        <v>SH20000277</v>
      </c>
      <c r="AF3894" t="str">
        <f>"משלוחים ללקוח"</f>
        <v>משלוחים ללקוח</v>
      </c>
      <c r="AG3894" s="1">
        <v>43888</v>
      </c>
      <c r="AM3894" t="str">
        <f>"10"</f>
        <v>10</v>
      </c>
      <c r="AN3894" t="str">
        <f>"500000"</f>
        <v>500000</v>
      </c>
      <c r="AO3894" t="str">
        <f>"הכנסות  מלקוחות"</f>
        <v>הכנסות  מלקוחות</v>
      </c>
      <c r="AQ3894" t="str">
        <f>"007"</f>
        <v>007</v>
      </c>
      <c r="AR3894">
        <v>0</v>
      </c>
      <c r="AS3894">
        <v>0</v>
      </c>
      <c r="AT3894">
        <v>3.4420000000000002</v>
      </c>
      <c r="AX3894" t="str">
        <f>"E000266439"</f>
        <v>E000266439</v>
      </c>
      <c r="BD3894" t="str">
        <f>"רוני דידי"</f>
        <v>רוני דידי</v>
      </c>
    </row>
    <row r="3895" spans="1:56" x14ac:dyDescent="0.3">
      <c r="A3895" s="1">
        <v>43887</v>
      </c>
      <c r="B3895" t="str">
        <f>"SI206000185"</f>
        <v>SI206000185</v>
      </c>
      <c r="E3895" t="str">
        <f>"Y"</f>
        <v>Y</v>
      </c>
      <c r="F3895" t="str">
        <f>"חשבוניות מרכזות"</f>
        <v>חשבוניות מרכזות</v>
      </c>
      <c r="G3895" t="str">
        <f>"700065"</f>
        <v>700065</v>
      </c>
      <c r="H3895" t="str">
        <f>"אלתא מערכות בע""מ"</f>
        <v>אלתא מערכות בע"מ</v>
      </c>
      <c r="I3895" t="str">
        <f>"10"</f>
        <v>10</v>
      </c>
      <c r="J3895" t="str">
        <f>"000"</f>
        <v>000</v>
      </c>
      <c r="K3895" t="str">
        <f>"שינוי במערכת כוח ועדכון תכן - הריבון"</f>
        <v>שינוי במערכת כוח ועדכון תכן - הריבון</v>
      </c>
      <c r="L3895">
        <v>1</v>
      </c>
      <c r="M3895" t="str">
        <f>"יח"</f>
        <v>יח</v>
      </c>
      <c r="N3895">
        <v>1</v>
      </c>
      <c r="O3895" t="str">
        <f>"יח"</f>
        <v>יח</v>
      </c>
      <c r="P3895" s="2">
        <v>2980.58</v>
      </c>
      <c r="Q3895" t="str">
        <f>"$"</f>
        <v>$</v>
      </c>
      <c r="R3895" t="str">
        <f>"הזמנה"</f>
        <v>הזמנה</v>
      </c>
      <c r="S3895">
        <v>0</v>
      </c>
      <c r="T3895" s="2">
        <v>2980.58</v>
      </c>
      <c r="U3895">
        <v>0</v>
      </c>
      <c r="V3895" s="2">
        <v>2980.58</v>
      </c>
      <c r="W3895" t="str">
        <f>"$"</f>
        <v>$</v>
      </c>
      <c r="X3895">
        <v>0</v>
      </c>
      <c r="Y3895">
        <v>0</v>
      </c>
      <c r="Z3895">
        <v>0</v>
      </c>
      <c r="AA3895" t="str">
        <f>"Y"</f>
        <v>Y</v>
      </c>
      <c r="AC3895">
        <v>0</v>
      </c>
      <c r="AM3895" t="str">
        <f>"10"</f>
        <v>10</v>
      </c>
      <c r="AN3895" t="str">
        <f>"500000"</f>
        <v>500000</v>
      </c>
      <c r="AO3895" t="str">
        <f>"הכנסות  מלקוחות"</f>
        <v>הכנסות  מלקוחות</v>
      </c>
      <c r="AQ3895" t="str">
        <f>"034"</f>
        <v>034</v>
      </c>
      <c r="AR3895">
        <v>0</v>
      </c>
      <c r="AS3895">
        <v>0</v>
      </c>
      <c r="AT3895">
        <v>3.4289999999999998</v>
      </c>
      <c r="BB3895" t="str">
        <f>"Y"</f>
        <v>Y</v>
      </c>
      <c r="BD3895" t="str">
        <f>"ערן שלו"</f>
        <v>ערן שלו</v>
      </c>
    </row>
    <row r="3896" spans="1:56" x14ac:dyDescent="0.3">
      <c r="A3896" s="1">
        <v>43887</v>
      </c>
      <c r="B3896" t="str">
        <f>"SI206000185"</f>
        <v>SI206000185</v>
      </c>
      <c r="E3896" t="str">
        <f>"Y"</f>
        <v>Y</v>
      </c>
      <c r="F3896" t="str">
        <f>"חשבוניות מרכזות"</f>
        <v>חשבוניות מרכזות</v>
      </c>
      <c r="G3896" t="str">
        <f>"700065"</f>
        <v>700065</v>
      </c>
      <c r="H3896" t="str">
        <f>"אלתא מערכות בע""מ"</f>
        <v>אלתא מערכות בע"מ</v>
      </c>
      <c r="I3896" t="str">
        <f>"10"</f>
        <v>10</v>
      </c>
      <c r="J3896" t="str">
        <f>"000"</f>
        <v>000</v>
      </c>
      <c r="K3896" t="str">
        <f>"שינוי במערכת כח ועדכון תכן - יאיר האופק"</f>
        <v>שינוי במערכת כח ועדכון תכן - יאיר האופק</v>
      </c>
      <c r="L3896">
        <v>1</v>
      </c>
      <c r="M3896" t="str">
        <f>"יח"</f>
        <v>יח</v>
      </c>
      <c r="N3896">
        <v>1</v>
      </c>
      <c r="O3896" t="str">
        <f>"יח"</f>
        <v>יח</v>
      </c>
      <c r="P3896" s="2">
        <v>2980.58</v>
      </c>
      <c r="Q3896" t="str">
        <f>"$"</f>
        <v>$</v>
      </c>
      <c r="R3896" t="str">
        <f>"הזמנה"</f>
        <v>הזמנה</v>
      </c>
      <c r="S3896">
        <v>0</v>
      </c>
      <c r="T3896" s="2">
        <v>2980.58</v>
      </c>
      <c r="U3896">
        <v>0</v>
      </c>
      <c r="V3896" s="2">
        <v>2980.58</v>
      </c>
      <c r="W3896" t="str">
        <f>"$"</f>
        <v>$</v>
      </c>
      <c r="X3896">
        <v>0</v>
      </c>
      <c r="Y3896">
        <v>0</v>
      </c>
      <c r="Z3896">
        <v>0</v>
      </c>
      <c r="AA3896" t="str">
        <f>"Y"</f>
        <v>Y</v>
      </c>
      <c r="AC3896">
        <v>0</v>
      </c>
      <c r="AM3896" t="str">
        <f>"10"</f>
        <v>10</v>
      </c>
      <c r="AN3896" t="str">
        <f>"500000"</f>
        <v>500000</v>
      </c>
      <c r="AO3896" t="str">
        <f>"הכנסות  מלקוחות"</f>
        <v>הכנסות  מלקוחות</v>
      </c>
      <c r="AQ3896" t="str">
        <f>"034"</f>
        <v>034</v>
      </c>
      <c r="AR3896">
        <v>0</v>
      </c>
      <c r="AS3896">
        <v>0</v>
      </c>
      <c r="AT3896">
        <v>3.4289999999999998</v>
      </c>
      <c r="BB3896" t="str">
        <f>"Y"</f>
        <v>Y</v>
      </c>
      <c r="BD3896" t="str">
        <f>"ערן שלו"</f>
        <v>ערן שלו</v>
      </c>
    </row>
    <row r="3897" spans="1:56" x14ac:dyDescent="0.3">
      <c r="A3897" s="1">
        <v>43879</v>
      </c>
      <c r="B3897" t="str">
        <f>"SI206000169"</f>
        <v>SI206000169</v>
      </c>
      <c r="C3897" t="str">
        <f>"PR19000753"</f>
        <v>PR19000753</v>
      </c>
      <c r="D3897" t="str">
        <f>"PR19000753"</f>
        <v>PR19000753</v>
      </c>
      <c r="E3897" t="str">
        <f>"Y"</f>
        <v>Y</v>
      </c>
      <c r="F3897" t="str">
        <f>"חשבוניות מרכזות"</f>
        <v>חשבוניות מרכזות</v>
      </c>
      <c r="G3897" t="str">
        <f>"700065"</f>
        <v>700065</v>
      </c>
      <c r="H3897" t="str">
        <f>"אלתא מערכות בע""מ"</f>
        <v>אלתא מערכות בע"מ</v>
      </c>
      <c r="I3897" t="str">
        <f>"10"</f>
        <v>10</v>
      </c>
      <c r="J3897" t="str">
        <f>"999"</f>
        <v>999</v>
      </c>
      <c r="K3897" t="str">
        <f>"DPB-HUMIDITY"</f>
        <v>DPB-HUMIDITY</v>
      </c>
      <c r="L3897">
        <v>1</v>
      </c>
      <c r="M3897" t="str">
        <f>"חל"</f>
        <v>חל</v>
      </c>
      <c r="N3897">
        <v>1</v>
      </c>
      <c r="O3897" t="str">
        <f>"חל"</f>
        <v>חל</v>
      </c>
      <c r="P3897" s="2">
        <v>15000</v>
      </c>
      <c r="Q3897" t="str">
        <f>"$"</f>
        <v>$</v>
      </c>
      <c r="R3897" t="str">
        <f>"הזמנה"</f>
        <v>הזמנה</v>
      </c>
      <c r="S3897">
        <v>0</v>
      </c>
      <c r="T3897" s="2">
        <v>15000</v>
      </c>
      <c r="U3897">
        <v>0</v>
      </c>
      <c r="V3897" s="2">
        <v>15000</v>
      </c>
      <c r="W3897" t="str">
        <f>"$"</f>
        <v>$</v>
      </c>
      <c r="X3897">
        <v>0</v>
      </c>
      <c r="Y3897">
        <v>0</v>
      </c>
      <c r="Z3897">
        <v>0</v>
      </c>
      <c r="AA3897" t="str">
        <f>"Y"</f>
        <v>Y</v>
      </c>
      <c r="AB3897" t="str">
        <f>"SO19000458"</f>
        <v>SO19000458</v>
      </c>
      <c r="AC3897">
        <v>1</v>
      </c>
      <c r="AD3897" s="1">
        <v>43767</v>
      </c>
      <c r="AM3897" t="str">
        <f>"10"</f>
        <v>10</v>
      </c>
      <c r="AN3897" t="str">
        <f>"500000"</f>
        <v>500000</v>
      </c>
      <c r="AO3897" t="str">
        <f>"הכנסות  מלקוחות"</f>
        <v>הכנסות  מלקוחות</v>
      </c>
      <c r="AQ3897" t="str">
        <f>"034"</f>
        <v>034</v>
      </c>
      <c r="AR3897">
        <v>0</v>
      </c>
      <c r="AS3897">
        <v>0</v>
      </c>
      <c r="AT3897">
        <v>3.4279999999999999</v>
      </c>
      <c r="AX3897" t="str">
        <f>"E000297273"</f>
        <v>E000297273</v>
      </c>
      <c r="BD3897" t="str">
        <f>"ערן שלו"</f>
        <v>ערן שלו</v>
      </c>
    </row>
    <row r="3898" spans="1:56" x14ac:dyDescent="0.3">
      <c r="A3898" s="1">
        <v>43879</v>
      </c>
      <c r="B3898" t="str">
        <f>"SI206000169"</f>
        <v>SI206000169</v>
      </c>
      <c r="C3898" t="str">
        <f>"PR19000753"</f>
        <v>PR19000753</v>
      </c>
      <c r="D3898" t="str">
        <f>"PR19000753"</f>
        <v>PR19000753</v>
      </c>
      <c r="E3898" t="str">
        <f>"Y"</f>
        <v>Y</v>
      </c>
      <c r="F3898" t="str">
        <f>"חשבוניות מרכזות"</f>
        <v>חשבוניות מרכזות</v>
      </c>
      <c r="G3898" t="str">
        <f>"700065"</f>
        <v>700065</v>
      </c>
      <c r="H3898" t="str">
        <f>"אלתא מערכות בע""מ"</f>
        <v>אלתא מערכות בע"מ</v>
      </c>
      <c r="I3898" t="str">
        <f>"10"</f>
        <v>10</v>
      </c>
      <c r="J3898" t="str">
        <f>"999"</f>
        <v>999</v>
      </c>
      <c r="K3898" t="str">
        <f>"PDB-Degree of enclosure"</f>
        <v>PDB-Degree of enclosure</v>
      </c>
      <c r="L3898">
        <v>1</v>
      </c>
      <c r="M3898" t="str">
        <f>"חל"</f>
        <v>חל</v>
      </c>
      <c r="N3898">
        <v>1</v>
      </c>
      <c r="O3898" t="str">
        <f>"חל"</f>
        <v>חל</v>
      </c>
      <c r="P3898" s="2">
        <v>4500</v>
      </c>
      <c r="Q3898" t="str">
        <f>"$"</f>
        <v>$</v>
      </c>
      <c r="R3898" t="str">
        <f>"הזמנה"</f>
        <v>הזמנה</v>
      </c>
      <c r="S3898">
        <v>0</v>
      </c>
      <c r="T3898" s="2">
        <v>4500</v>
      </c>
      <c r="U3898">
        <v>0</v>
      </c>
      <c r="V3898" s="2">
        <v>4500</v>
      </c>
      <c r="W3898" t="str">
        <f>"$"</f>
        <v>$</v>
      </c>
      <c r="X3898">
        <v>0</v>
      </c>
      <c r="Y3898">
        <v>0</v>
      </c>
      <c r="Z3898">
        <v>0</v>
      </c>
      <c r="AA3898" t="str">
        <f>"Y"</f>
        <v>Y</v>
      </c>
      <c r="AB3898" t="str">
        <f>"SO19000458"</f>
        <v>SO19000458</v>
      </c>
      <c r="AC3898">
        <v>3</v>
      </c>
      <c r="AD3898" s="1">
        <v>43767</v>
      </c>
      <c r="AM3898" t="str">
        <f>"10"</f>
        <v>10</v>
      </c>
      <c r="AN3898" t="str">
        <f>"500000"</f>
        <v>500000</v>
      </c>
      <c r="AO3898" t="str">
        <f>"הכנסות  מלקוחות"</f>
        <v>הכנסות  מלקוחות</v>
      </c>
      <c r="AQ3898" t="str">
        <f>"034"</f>
        <v>034</v>
      </c>
      <c r="AR3898">
        <v>0</v>
      </c>
      <c r="AS3898">
        <v>0</v>
      </c>
      <c r="AT3898">
        <v>3.4279999999999999</v>
      </c>
      <c r="AX3898" t="str">
        <f>"E000297273"</f>
        <v>E000297273</v>
      </c>
      <c r="BD3898" t="str">
        <f>"ערן שלו"</f>
        <v>ערן שלו</v>
      </c>
    </row>
    <row r="3899" spans="1:56" x14ac:dyDescent="0.3">
      <c r="A3899" s="1">
        <v>43879</v>
      </c>
      <c r="B3899" t="str">
        <f>"SI206000169"</f>
        <v>SI206000169</v>
      </c>
      <c r="C3899" t="str">
        <f>"PR19000753"</f>
        <v>PR19000753</v>
      </c>
      <c r="D3899" t="str">
        <f>"PR19000753"</f>
        <v>PR19000753</v>
      </c>
      <c r="E3899" t="str">
        <f>"Y"</f>
        <v>Y</v>
      </c>
      <c r="F3899" t="str">
        <f>"חשבוניות מרכזות"</f>
        <v>חשבוניות מרכזות</v>
      </c>
      <c r="G3899" t="str">
        <f>"700065"</f>
        <v>700065</v>
      </c>
      <c r="H3899" t="str">
        <f>"אלתא מערכות בע""מ"</f>
        <v>אלתא מערכות בע"מ</v>
      </c>
      <c r="I3899" t="str">
        <f>"10"</f>
        <v>10</v>
      </c>
      <c r="J3899" t="str">
        <f>"999"</f>
        <v>999</v>
      </c>
      <c r="K3899" t="str">
        <f>"70Kva-Degree of enclosure"</f>
        <v>70Kva-Degree of enclosure</v>
      </c>
      <c r="L3899">
        <v>1</v>
      </c>
      <c r="M3899" t="str">
        <f>"חל"</f>
        <v>חל</v>
      </c>
      <c r="N3899">
        <v>1</v>
      </c>
      <c r="O3899" t="str">
        <f>"חל"</f>
        <v>חל</v>
      </c>
      <c r="P3899" s="2">
        <v>3500</v>
      </c>
      <c r="Q3899" t="str">
        <f>"$"</f>
        <v>$</v>
      </c>
      <c r="R3899" t="str">
        <f>"הזמנה"</f>
        <v>הזמנה</v>
      </c>
      <c r="S3899">
        <v>0</v>
      </c>
      <c r="T3899" s="2">
        <v>3500</v>
      </c>
      <c r="U3899">
        <v>0</v>
      </c>
      <c r="V3899" s="2">
        <v>3500</v>
      </c>
      <c r="W3899" t="str">
        <f>"$"</f>
        <v>$</v>
      </c>
      <c r="X3899">
        <v>0</v>
      </c>
      <c r="Y3899">
        <v>0</v>
      </c>
      <c r="Z3899">
        <v>0</v>
      </c>
      <c r="AA3899" t="str">
        <f>"Y"</f>
        <v>Y</v>
      </c>
      <c r="AB3899" t="str">
        <f>"SO19000458"</f>
        <v>SO19000458</v>
      </c>
      <c r="AC3899">
        <v>4</v>
      </c>
      <c r="AD3899" s="1">
        <v>43767</v>
      </c>
      <c r="AM3899" t="str">
        <f>"10"</f>
        <v>10</v>
      </c>
      <c r="AN3899" t="str">
        <f>"500000"</f>
        <v>500000</v>
      </c>
      <c r="AO3899" t="str">
        <f>"הכנסות  מלקוחות"</f>
        <v>הכנסות  מלקוחות</v>
      </c>
      <c r="AQ3899" t="str">
        <f>"034"</f>
        <v>034</v>
      </c>
      <c r="AR3899">
        <v>0</v>
      </c>
      <c r="AS3899">
        <v>0</v>
      </c>
      <c r="AT3899">
        <v>3.4279999999999999</v>
      </c>
      <c r="AX3899" t="str">
        <f>"E000297273"</f>
        <v>E000297273</v>
      </c>
      <c r="BD3899" t="str">
        <f>"ערן שלו"</f>
        <v>ערן שלו</v>
      </c>
    </row>
    <row r="3900" spans="1:56" x14ac:dyDescent="0.3">
      <c r="A3900" s="1">
        <v>43878</v>
      </c>
      <c r="B3900" t="str">
        <f>"SI206000161"</f>
        <v>SI206000161</v>
      </c>
      <c r="C3900" t="str">
        <f>"PR18000543"</f>
        <v>PR18000543</v>
      </c>
      <c r="E3900" t="str">
        <f>"Y"</f>
        <v>Y</v>
      </c>
      <c r="F3900" t="str">
        <f>"חשבוניות מרכזות"</f>
        <v>חשבוניות מרכזות</v>
      </c>
      <c r="G3900" t="str">
        <f>"700065"</f>
        <v>700065</v>
      </c>
      <c r="H3900" t="str">
        <f>"אלתא מערכות בע""מ"</f>
        <v>אלתא מערכות בע"מ</v>
      </c>
      <c r="I3900" t="str">
        <f>"10"</f>
        <v>10</v>
      </c>
      <c r="J3900" t="str">
        <f>"OP-AR01083"</f>
        <v>OP-AR01083</v>
      </c>
      <c r="K3900" t="str">
        <f>"1036C960-001 HVJB_N"</f>
        <v>1036C960-001 HVJB_N</v>
      </c>
      <c r="L3900">
        <v>1</v>
      </c>
      <c r="M3900" t="str">
        <f>"יח"</f>
        <v>יח</v>
      </c>
      <c r="N3900">
        <v>1</v>
      </c>
      <c r="O3900" t="str">
        <f>"יח"</f>
        <v>יח</v>
      </c>
      <c r="P3900" s="2">
        <v>6500</v>
      </c>
      <c r="Q3900" t="str">
        <f>"$"</f>
        <v>$</v>
      </c>
      <c r="R3900" t="str">
        <f>"הזמנה"</f>
        <v>הזמנה</v>
      </c>
      <c r="S3900">
        <v>0</v>
      </c>
      <c r="T3900" s="2">
        <v>6500</v>
      </c>
      <c r="U3900">
        <v>0</v>
      </c>
      <c r="V3900" s="2">
        <v>6500</v>
      </c>
      <c r="W3900" t="str">
        <f>"$"</f>
        <v>$</v>
      </c>
      <c r="X3900">
        <v>0</v>
      </c>
      <c r="Y3900">
        <v>0</v>
      </c>
      <c r="Z3900">
        <v>0</v>
      </c>
      <c r="AA3900" t="str">
        <f>"Y"</f>
        <v>Y</v>
      </c>
      <c r="AC3900">
        <v>0</v>
      </c>
      <c r="AM3900" t="str">
        <f>"10"</f>
        <v>10</v>
      </c>
      <c r="AN3900" t="str">
        <f>"500000"</f>
        <v>500000</v>
      </c>
      <c r="AO3900" t="str">
        <f>"הכנסות  מלקוחות"</f>
        <v>הכנסות  מלקוחות</v>
      </c>
      <c r="AQ3900" t="str">
        <f>"007"</f>
        <v>007</v>
      </c>
      <c r="AR3900">
        <v>0</v>
      </c>
      <c r="AS3900">
        <v>0</v>
      </c>
      <c r="AT3900">
        <v>3.4340000000000002</v>
      </c>
      <c r="BB3900" t="str">
        <f>"Y"</f>
        <v>Y</v>
      </c>
      <c r="BD3900" t="str">
        <f>"רוני דידי"</f>
        <v>רוני דידי</v>
      </c>
    </row>
    <row r="3901" spans="1:56" x14ac:dyDescent="0.3">
      <c r="A3901" s="1">
        <v>43878</v>
      </c>
      <c r="B3901" t="str">
        <f>"SI206000161"</f>
        <v>SI206000161</v>
      </c>
      <c r="C3901" t="str">
        <f>"PR18000543"</f>
        <v>PR18000543</v>
      </c>
      <c r="E3901" t="str">
        <f>"Y"</f>
        <v>Y</v>
      </c>
      <c r="F3901" t="str">
        <f>"חשבוניות מרכזות"</f>
        <v>חשבוניות מרכזות</v>
      </c>
      <c r="G3901" t="str">
        <f>"700065"</f>
        <v>700065</v>
      </c>
      <c r="H3901" t="str">
        <f>"אלתא מערכות בע""מ"</f>
        <v>אלתא מערכות בע"מ</v>
      </c>
      <c r="I3901" t="str">
        <f>"10"</f>
        <v>10</v>
      </c>
      <c r="J3901" t="str">
        <f>"OP-AR01083"</f>
        <v>OP-AR01083</v>
      </c>
      <c r="K3901" t="str">
        <f>"1036C960-001 HVJB_N"</f>
        <v>1036C960-001 HVJB_N</v>
      </c>
      <c r="L3901">
        <v>1</v>
      </c>
      <c r="M3901" t="str">
        <f>"יח"</f>
        <v>יח</v>
      </c>
      <c r="N3901">
        <v>1</v>
      </c>
      <c r="O3901" t="str">
        <f>"יח"</f>
        <v>יח</v>
      </c>
      <c r="P3901" s="2">
        <v>6500</v>
      </c>
      <c r="Q3901" t="str">
        <f>"$"</f>
        <v>$</v>
      </c>
      <c r="R3901" t="str">
        <f>"הזמנה"</f>
        <v>הזמנה</v>
      </c>
      <c r="S3901">
        <v>0</v>
      </c>
      <c r="T3901" s="2">
        <v>6500</v>
      </c>
      <c r="U3901">
        <v>0</v>
      </c>
      <c r="V3901" s="2">
        <v>6500</v>
      </c>
      <c r="W3901" t="str">
        <f>"$"</f>
        <v>$</v>
      </c>
      <c r="X3901">
        <v>0</v>
      </c>
      <c r="Y3901">
        <v>0</v>
      </c>
      <c r="Z3901">
        <v>0</v>
      </c>
      <c r="AA3901" t="str">
        <f>"Y"</f>
        <v>Y</v>
      </c>
      <c r="AC3901">
        <v>0</v>
      </c>
      <c r="AM3901" t="str">
        <f>"10"</f>
        <v>10</v>
      </c>
      <c r="AN3901" t="str">
        <f>"500000"</f>
        <v>500000</v>
      </c>
      <c r="AO3901" t="str">
        <f>"הכנסות  מלקוחות"</f>
        <v>הכנסות  מלקוחות</v>
      </c>
      <c r="AQ3901" t="str">
        <f>"007"</f>
        <v>007</v>
      </c>
      <c r="AR3901">
        <v>0</v>
      </c>
      <c r="AS3901">
        <v>0</v>
      </c>
      <c r="AT3901">
        <v>3.4340000000000002</v>
      </c>
      <c r="BB3901" t="str">
        <f>"Y"</f>
        <v>Y</v>
      </c>
      <c r="BD3901" t="str">
        <f>"רוני דידי"</f>
        <v>רוני דידי</v>
      </c>
    </row>
    <row r="3902" spans="1:56" x14ac:dyDescent="0.3">
      <c r="A3902" s="1">
        <v>43873</v>
      </c>
      <c r="B3902" t="str">
        <f>"CR207000005"</f>
        <v>CR207000005</v>
      </c>
      <c r="E3902" t="str">
        <f>"Y"</f>
        <v>Y</v>
      </c>
      <c r="F3902" t="str">
        <f>"חשבוניות זיכוי"</f>
        <v>חשבוניות זיכוי</v>
      </c>
      <c r="G3902" t="str">
        <f>"700065"</f>
        <v>700065</v>
      </c>
      <c r="H3902" t="str">
        <f>"אלתא מערכות בע""מ"</f>
        <v>אלתא מערכות בע"מ</v>
      </c>
      <c r="I3902" t="str">
        <f>"10"</f>
        <v>10</v>
      </c>
      <c r="J3902" t="str">
        <f>"000"</f>
        <v>000</v>
      </c>
      <c r="K3902" t="str">
        <f>"חיוב 5112098795 בגין פיגור באספקה"</f>
        <v>חיוב 5112098795 בגין פיגור באספקה</v>
      </c>
      <c r="L3902">
        <v>1</v>
      </c>
      <c r="M3902" t="str">
        <f>"יח"</f>
        <v>יח</v>
      </c>
      <c r="N3902">
        <v>1</v>
      </c>
      <c r="O3902" t="str">
        <f>"יח"</f>
        <v>יח</v>
      </c>
      <c r="P3902" s="2">
        <v>1123.78</v>
      </c>
      <c r="Q3902" t="str">
        <f>"$"</f>
        <v>$</v>
      </c>
      <c r="R3902" t="str">
        <f>"הזמנה"</f>
        <v>הזמנה</v>
      </c>
      <c r="S3902">
        <v>0</v>
      </c>
      <c r="T3902" s="2">
        <v>1123.78</v>
      </c>
      <c r="U3902">
        <v>0</v>
      </c>
      <c r="V3902" s="2">
        <v>1123.78</v>
      </c>
      <c r="W3902" t="str">
        <f>"$"</f>
        <v>$</v>
      </c>
      <c r="X3902">
        <v>0</v>
      </c>
      <c r="Y3902">
        <v>0</v>
      </c>
      <c r="Z3902">
        <v>0</v>
      </c>
      <c r="AA3902" t="str">
        <f>"Y"</f>
        <v>Y</v>
      </c>
      <c r="AB3902" t="str">
        <f>"SO19000213"</f>
        <v>SO19000213</v>
      </c>
      <c r="AC3902">
        <v>3</v>
      </c>
      <c r="AD3902" s="1">
        <v>43600</v>
      </c>
      <c r="AM3902" t="str">
        <f>"10"</f>
        <v>10</v>
      </c>
      <c r="AN3902" t="str">
        <f>"500000"</f>
        <v>500000</v>
      </c>
      <c r="AO3902" t="str">
        <f>"הכנסות  מלקוחות"</f>
        <v>הכנסות  מלקוחות</v>
      </c>
      <c r="AQ3902" t="str">
        <f>"034"</f>
        <v>034</v>
      </c>
      <c r="AR3902">
        <v>0</v>
      </c>
      <c r="AS3902">
        <v>0</v>
      </c>
      <c r="AT3902">
        <v>3.4750000000000001</v>
      </c>
      <c r="AX3902" t="str">
        <f>"E000286085"</f>
        <v>E000286085</v>
      </c>
      <c r="BD3902" t="str">
        <f>"ערן שלו"</f>
        <v>ערן שלו</v>
      </c>
    </row>
    <row r="3903" spans="1:56" x14ac:dyDescent="0.3">
      <c r="A3903" s="1">
        <v>43870</v>
      </c>
      <c r="B3903" t="str">
        <f>"SI206000129"</f>
        <v>SI206000129</v>
      </c>
      <c r="C3903" t="str">
        <f>"PR19000109"</f>
        <v>PR19000109</v>
      </c>
      <c r="E3903" t="str">
        <f>"Y"</f>
        <v>Y</v>
      </c>
      <c r="F3903" t="str">
        <f>"חשבוניות מרכזות"</f>
        <v>חשבוניות מרכזות</v>
      </c>
      <c r="G3903" t="str">
        <f>"700065"</f>
        <v>700065</v>
      </c>
      <c r="H3903" t="str">
        <f>"אלתא מערכות בע""מ"</f>
        <v>אלתא מערכות בע"מ</v>
      </c>
      <c r="I3903" t="str">
        <f>"10"</f>
        <v>10</v>
      </c>
      <c r="J3903" t="str">
        <f>"CB1500009"</f>
        <v>CB1500009</v>
      </c>
      <c r="K3903" t="str">
        <f>"כבל תקן ימי XTCuZ1-K 4x16"</f>
        <v>כבל תקן ימי XTCuZ1-K 4x16</v>
      </c>
      <c r="L3903">
        <v>100</v>
      </c>
      <c r="M3903" t="str">
        <f>"מטר"</f>
        <v>מטר</v>
      </c>
      <c r="N3903">
        <v>100</v>
      </c>
      <c r="O3903" t="str">
        <f>"מטר"</f>
        <v>מטר</v>
      </c>
      <c r="P3903">
        <v>13.5</v>
      </c>
      <c r="Q3903" t="str">
        <f>"$"</f>
        <v>$</v>
      </c>
      <c r="R3903" t="str">
        <f>"הזמנה"</f>
        <v>הזמנה</v>
      </c>
      <c r="S3903">
        <v>0</v>
      </c>
      <c r="T3903" s="2">
        <v>1350</v>
      </c>
      <c r="U3903">
        <v>0</v>
      </c>
      <c r="V3903" s="2">
        <v>1350</v>
      </c>
      <c r="W3903" t="str">
        <f>"$"</f>
        <v>$</v>
      </c>
      <c r="X3903">
        <v>0</v>
      </c>
      <c r="Y3903">
        <v>0</v>
      </c>
      <c r="Z3903">
        <v>0</v>
      </c>
      <c r="AA3903" t="str">
        <f>"Y"</f>
        <v>Y</v>
      </c>
      <c r="AB3903" t="str">
        <f>"SO20000035"</f>
        <v>SO20000035</v>
      </c>
      <c r="AC3903">
        <v>1</v>
      </c>
      <c r="AD3903" s="1">
        <v>43856</v>
      </c>
      <c r="AE3903" t="str">
        <f>"SH20000175"</f>
        <v>SH20000175</v>
      </c>
      <c r="AF3903" t="str">
        <f>"משלוחים ללקוח"</f>
        <v>משלוחים ללקוח</v>
      </c>
      <c r="AG3903" s="1">
        <v>43865</v>
      </c>
      <c r="AM3903" t="str">
        <f>"10"</f>
        <v>10</v>
      </c>
      <c r="AN3903" t="str">
        <f>"500000"</f>
        <v>500000</v>
      </c>
      <c r="AO3903" t="str">
        <f>"הכנסות  מלקוחות"</f>
        <v>הכנסות  מלקוחות</v>
      </c>
      <c r="AQ3903" t="str">
        <f>"034"</f>
        <v>034</v>
      </c>
      <c r="AR3903">
        <v>0</v>
      </c>
      <c r="AS3903">
        <v>0</v>
      </c>
      <c r="AT3903">
        <v>3.4260000000000002</v>
      </c>
      <c r="AX3903" t="str">
        <f>"E000304372"</f>
        <v>E000304372</v>
      </c>
      <c r="BD3903" t="str">
        <f>"ערן שלו"</f>
        <v>ערן שלו</v>
      </c>
    </row>
    <row r="3904" spans="1:56" x14ac:dyDescent="0.3">
      <c r="A3904" s="1">
        <v>43870</v>
      </c>
      <c r="B3904" t="str">
        <f>"SI206000129"</f>
        <v>SI206000129</v>
      </c>
      <c r="C3904" t="str">
        <f>"PR19000109"</f>
        <v>PR19000109</v>
      </c>
      <c r="E3904" t="str">
        <f>"Y"</f>
        <v>Y</v>
      </c>
      <c r="F3904" t="str">
        <f>"חשבוניות מרכזות"</f>
        <v>חשבוניות מרכזות</v>
      </c>
      <c r="G3904" t="str">
        <f>"700065"</f>
        <v>700065</v>
      </c>
      <c r="H3904" t="str">
        <f>"אלתא מערכות בע""מ"</f>
        <v>אלתא מערכות בע"מ</v>
      </c>
      <c r="I3904" t="str">
        <f>"10"</f>
        <v>10</v>
      </c>
      <c r="J3904" t="str">
        <f>"CB1500010"</f>
        <v>CB1500010</v>
      </c>
      <c r="K3904" t="str">
        <f>"כבל תקן ימי XTCuZ1-K 4x50"</f>
        <v>כבל תקן ימי XTCuZ1-K 4x50</v>
      </c>
      <c r="L3904">
        <v>25</v>
      </c>
      <c r="M3904" t="str">
        <f>"מטר"</f>
        <v>מטר</v>
      </c>
      <c r="N3904">
        <v>25</v>
      </c>
      <c r="O3904" t="str">
        <f>"מטר"</f>
        <v>מטר</v>
      </c>
      <c r="P3904">
        <v>38.5</v>
      </c>
      <c r="Q3904" t="str">
        <f>"$"</f>
        <v>$</v>
      </c>
      <c r="R3904" t="str">
        <f>"הזמנה"</f>
        <v>הזמנה</v>
      </c>
      <c r="S3904">
        <v>0</v>
      </c>
      <c r="T3904">
        <v>962.5</v>
      </c>
      <c r="U3904">
        <v>0</v>
      </c>
      <c r="V3904">
        <v>962.5</v>
      </c>
      <c r="W3904" t="str">
        <f>"$"</f>
        <v>$</v>
      </c>
      <c r="X3904">
        <v>0</v>
      </c>
      <c r="Y3904">
        <v>0</v>
      </c>
      <c r="Z3904">
        <v>0</v>
      </c>
      <c r="AA3904" t="str">
        <f>"Y"</f>
        <v>Y</v>
      </c>
      <c r="AB3904" t="str">
        <f>"SO20000035"</f>
        <v>SO20000035</v>
      </c>
      <c r="AC3904">
        <v>2</v>
      </c>
      <c r="AD3904" s="1">
        <v>43856</v>
      </c>
      <c r="AE3904" t="str">
        <f>"SH20000175"</f>
        <v>SH20000175</v>
      </c>
      <c r="AF3904" t="str">
        <f>"משלוחים ללקוח"</f>
        <v>משלוחים ללקוח</v>
      </c>
      <c r="AG3904" s="1">
        <v>43865</v>
      </c>
      <c r="AM3904" t="str">
        <f>"10"</f>
        <v>10</v>
      </c>
      <c r="AN3904" t="str">
        <f>"500000"</f>
        <v>500000</v>
      </c>
      <c r="AO3904" t="str">
        <f>"הכנסות  מלקוחות"</f>
        <v>הכנסות  מלקוחות</v>
      </c>
      <c r="AQ3904" t="str">
        <f>"034"</f>
        <v>034</v>
      </c>
      <c r="AR3904">
        <v>0</v>
      </c>
      <c r="AS3904">
        <v>0</v>
      </c>
      <c r="AT3904">
        <v>3.4260000000000002</v>
      </c>
      <c r="AX3904" t="str">
        <f>"E000304372"</f>
        <v>E000304372</v>
      </c>
      <c r="BD3904" t="str">
        <f>"ערן שלו"</f>
        <v>ערן שלו</v>
      </c>
    </row>
    <row r="3905" spans="1:56" x14ac:dyDescent="0.3">
      <c r="A3905" s="1">
        <v>43870</v>
      </c>
      <c r="B3905" t="str">
        <f>"SI206000129"</f>
        <v>SI206000129</v>
      </c>
      <c r="C3905" t="str">
        <f>"PR19000109"</f>
        <v>PR19000109</v>
      </c>
      <c r="E3905" t="str">
        <f>"Y"</f>
        <v>Y</v>
      </c>
      <c r="F3905" t="str">
        <f>"חשבוניות מרכזות"</f>
        <v>חשבוניות מרכזות</v>
      </c>
      <c r="G3905" t="str">
        <f>"700065"</f>
        <v>700065</v>
      </c>
      <c r="H3905" t="str">
        <f>"אלתא מערכות בע""מ"</f>
        <v>אלתא מערכות בע"מ</v>
      </c>
      <c r="I3905" t="str">
        <f>"10"</f>
        <v>10</v>
      </c>
      <c r="J3905" t="str">
        <f>"CB1500010"</f>
        <v>CB1500010</v>
      </c>
      <c r="K3905" t="str">
        <f>"כבל תקן ימי XTCuZ1-K 4x50"</f>
        <v>כבל תקן ימי XTCuZ1-K 4x50</v>
      </c>
      <c r="L3905">
        <v>20</v>
      </c>
      <c r="M3905" t="str">
        <f>"מטר"</f>
        <v>מטר</v>
      </c>
      <c r="N3905">
        <v>20</v>
      </c>
      <c r="O3905" t="str">
        <f>"מטר"</f>
        <v>מטר</v>
      </c>
      <c r="P3905">
        <v>38.5</v>
      </c>
      <c r="Q3905" t="str">
        <f>"$"</f>
        <v>$</v>
      </c>
      <c r="R3905" t="str">
        <f>"הזמנה"</f>
        <v>הזמנה</v>
      </c>
      <c r="S3905">
        <v>0</v>
      </c>
      <c r="T3905">
        <v>770</v>
      </c>
      <c r="U3905">
        <v>0</v>
      </c>
      <c r="V3905">
        <v>770</v>
      </c>
      <c r="W3905" t="str">
        <f>"$"</f>
        <v>$</v>
      </c>
      <c r="X3905">
        <v>0</v>
      </c>
      <c r="Y3905">
        <v>0</v>
      </c>
      <c r="Z3905">
        <v>0</v>
      </c>
      <c r="AA3905" t="str">
        <f>"Y"</f>
        <v>Y</v>
      </c>
      <c r="AB3905" t="str">
        <f>"SO20000035"</f>
        <v>SO20000035</v>
      </c>
      <c r="AC3905">
        <v>3</v>
      </c>
      <c r="AD3905" s="1">
        <v>43856</v>
      </c>
      <c r="AE3905" t="str">
        <f>"SH20000175"</f>
        <v>SH20000175</v>
      </c>
      <c r="AF3905" t="str">
        <f>"משלוחים ללקוח"</f>
        <v>משלוחים ללקוח</v>
      </c>
      <c r="AG3905" s="1">
        <v>43865</v>
      </c>
      <c r="AM3905" t="str">
        <f>"10"</f>
        <v>10</v>
      </c>
      <c r="AN3905" t="str">
        <f>"500000"</f>
        <v>500000</v>
      </c>
      <c r="AO3905" t="str">
        <f>"הכנסות  מלקוחות"</f>
        <v>הכנסות  מלקוחות</v>
      </c>
      <c r="AQ3905" t="str">
        <f>"034"</f>
        <v>034</v>
      </c>
      <c r="AR3905">
        <v>0</v>
      </c>
      <c r="AS3905">
        <v>0</v>
      </c>
      <c r="AT3905">
        <v>3.4260000000000002</v>
      </c>
      <c r="AX3905" t="str">
        <f>"E000304372"</f>
        <v>E000304372</v>
      </c>
      <c r="BD3905" t="str">
        <f>"ערן שלו"</f>
        <v>ערן שלו</v>
      </c>
    </row>
    <row r="3906" spans="1:56" x14ac:dyDescent="0.3">
      <c r="A3906" s="1">
        <v>43870</v>
      </c>
      <c r="B3906" t="str">
        <f>"SI206000129"</f>
        <v>SI206000129</v>
      </c>
      <c r="C3906" t="str">
        <f>"PR19000109"</f>
        <v>PR19000109</v>
      </c>
      <c r="E3906" t="str">
        <f>"Y"</f>
        <v>Y</v>
      </c>
      <c r="F3906" t="str">
        <f>"חשבוניות מרכזות"</f>
        <v>חשבוניות מרכזות</v>
      </c>
      <c r="G3906" t="str">
        <f>"700065"</f>
        <v>700065</v>
      </c>
      <c r="H3906" t="str">
        <f>"אלתא מערכות בע""מ"</f>
        <v>אלתא מערכות בע"מ</v>
      </c>
      <c r="I3906" t="str">
        <f>"10"</f>
        <v>10</v>
      </c>
      <c r="J3906" t="str">
        <f>"CB1500011"</f>
        <v>CB1500011</v>
      </c>
      <c r="K3906" t="str">
        <f>"כבל תקן ימי XTCuZ1-K 4x10"</f>
        <v>כבל תקן ימי XTCuZ1-K 4x10</v>
      </c>
      <c r="L3906">
        <v>432</v>
      </c>
      <c r="M3906" t="str">
        <f>"מטר"</f>
        <v>מטר</v>
      </c>
      <c r="N3906">
        <v>432</v>
      </c>
      <c r="O3906" t="str">
        <f>"מטר"</f>
        <v>מטר</v>
      </c>
      <c r="P3906">
        <v>9.8000000000000007</v>
      </c>
      <c r="Q3906" t="str">
        <f>"$"</f>
        <v>$</v>
      </c>
      <c r="R3906" t="str">
        <f>"הזמנה"</f>
        <v>הזמנה</v>
      </c>
      <c r="S3906">
        <v>0</v>
      </c>
      <c r="T3906" s="2">
        <v>4233.6000000000004</v>
      </c>
      <c r="U3906">
        <v>0</v>
      </c>
      <c r="V3906" s="2">
        <v>4233.6000000000004</v>
      </c>
      <c r="W3906" t="str">
        <f>"$"</f>
        <v>$</v>
      </c>
      <c r="X3906">
        <v>0</v>
      </c>
      <c r="Y3906">
        <v>0</v>
      </c>
      <c r="Z3906">
        <v>0</v>
      </c>
      <c r="AA3906" t="str">
        <f>"Y"</f>
        <v>Y</v>
      </c>
      <c r="AB3906" t="str">
        <f>"SO20000035"</f>
        <v>SO20000035</v>
      </c>
      <c r="AC3906">
        <v>4</v>
      </c>
      <c r="AD3906" s="1">
        <v>43856</v>
      </c>
      <c r="AE3906" t="str">
        <f>"SH20000175"</f>
        <v>SH20000175</v>
      </c>
      <c r="AF3906" t="str">
        <f>"משלוחים ללקוח"</f>
        <v>משלוחים ללקוח</v>
      </c>
      <c r="AG3906" s="1">
        <v>43865</v>
      </c>
      <c r="AM3906" t="str">
        <f>"10"</f>
        <v>10</v>
      </c>
      <c r="AN3906" t="str">
        <f>"500000"</f>
        <v>500000</v>
      </c>
      <c r="AO3906" t="str">
        <f>"הכנסות  מלקוחות"</f>
        <v>הכנסות  מלקוחות</v>
      </c>
      <c r="AQ3906" t="str">
        <f>"034"</f>
        <v>034</v>
      </c>
      <c r="AR3906">
        <v>0</v>
      </c>
      <c r="AS3906">
        <v>0</v>
      </c>
      <c r="AT3906">
        <v>3.4260000000000002</v>
      </c>
      <c r="AX3906" t="str">
        <f>"E000304372"</f>
        <v>E000304372</v>
      </c>
      <c r="BD3906" t="str">
        <f>"ערן שלו"</f>
        <v>ערן שלו</v>
      </c>
    </row>
    <row r="3907" spans="1:56" x14ac:dyDescent="0.3">
      <c r="A3907" s="1">
        <v>43870</v>
      </c>
      <c r="B3907" t="str">
        <f>"SI206000129"</f>
        <v>SI206000129</v>
      </c>
      <c r="C3907" t="str">
        <f>"PR19000109"</f>
        <v>PR19000109</v>
      </c>
      <c r="E3907" t="str">
        <f>"Y"</f>
        <v>Y</v>
      </c>
      <c r="F3907" t="str">
        <f>"חשבוניות מרכזות"</f>
        <v>חשבוניות מרכזות</v>
      </c>
      <c r="G3907" t="str">
        <f>"700065"</f>
        <v>700065</v>
      </c>
      <c r="H3907" t="str">
        <f>"אלתא מערכות בע""מ"</f>
        <v>אלתא מערכות בע"מ</v>
      </c>
      <c r="I3907" t="str">
        <f>"10"</f>
        <v>10</v>
      </c>
      <c r="J3907" t="str">
        <f>"CB1500009"</f>
        <v>CB1500009</v>
      </c>
      <c r="K3907" t="str">
        <f>"כבל תקן ימי XTCuZ1-K 4x16"</f>
        <v>כבל תקן ימי XTCuZ1-K 4x16</v>
      </c>
      <c r="L3907">
        <v>160</v>
      </c>
      <c r="M3907" t="str">
        <f>"מטר"</f>
        <v>מטר</v>
      </c>
      <c r="N3907">
        <v>160</v>
      </c>
      <c r="O3907" t="str">
        <f>"מטר"</f>
        <v>מטר</v>
      </c>
      <c r="P3907">
        <v>13.5</v>
      </c>
      <c r="Q3907" t="str">
        <f>"$"</f>
        <v>$</v>
      </c>
      <c r="R3907" t="str">
        <f>"הזמנה"</f>
        <v>הזמנה</v>
      </c>
      <c r="S3907">
        <v>0</v>
      </c>
      <c r="T3907" s="2">
        <v>2160</v>
      </c>
      <c r="U3907">
        <v>0</v>
      </c>
      <c r="V3907" s="2">
        <v>2160</v>
      </c>
      <c r="W3907" t="str">
        <f>"$"</f>
        <v>$</v>
      </c>
      <c r="X3907">
        <v>0</v>
      </c>
      <c r="Y3907">
        <v>0</v>
      </c>
      <c r="Z3907">
        <v>0</v>
      </c>
      <c r="AA3907" t="str">
        <f>"Y"</f>
        <v>Y</v>
      </c>
      <c r="AB3907" t="str">
        <f>"SO20000035"</f>
        <v>SO20000035</v>
      </c>
      <c r="AC3907">
        <v>6</v>
      </c>
      <c r="AD3907" s="1">
        <v>43856</v>
      </c>
      <c r="AE3907" t="str">
        <f>"SH20000175"</f>
        <v>SH20000175</v>
      </c>
      <c r="AF3907" t="str">
        <f>"משלוחים ללקוח"</f>
        <v>משלוחים ללקוח</v>
      </c>
      <c r="AG3907" s="1">
        <v>43865</v>
      </c>
      <c r="AM3907" t="str">
        <f>"10"</f>
        <v>10</v>
      </c>
      <c r="AN3907" t="str">
        <f>"500000"</f>
        <v>500000</v>
      </c>
      <c r="AO3907" t="str">
        <f>"הכנסות  מלקוחות"</f>
        <v>הכנסות  מלקוחות</v>
      </c>
      <c r="AQ3907" t="str">
        <f>"034"</f>
        <v>034</v>
      </c>
      <c r="AR3907">
        <v>0</v>
      </c>
      <c r="AS3907">
        <v>0</v>
      </c>
      <c r="AT3907">
        <v>3.4260000000000002</v>
      </c>
      <c r="AX3907" t="str">
        <f>"E000304372"</f>
        <v>E000304372</v>
      </c>
      <c r="BD3907" t="str">
        <f>"ערן שלו"</f>
        <v>ערן שלו</v>
      </c>
    </row>
    <row r="3908" spans="1:56" x14ac:dyDescent="0.3">
      <c r="A3908" s="1">
        <v>43870</v>
      </c>
      <c r="B3908" t="str">
        <f>"SI206000129"</f>
        <v>SI206000129</v>
      </c>
      <c r="C3908" t="str">
        <f>"PR19000109"</f>
        <v>PR19000109</v>
      </c>
      <c r="E3908" t="str">
        <f>"Y"</f>
        <v>Y</v>
      </c>
      <c r="F3908" t="str">
        <f>"חשבוניות מרכזות"</f>
        <v>חשבוניות מרכזות</v>
      </c>
      <c r="G3908" t="str">
        <f>"700065"</f>
        <v>700065</v>
      </c>
      <c r="H3908" t="str">
        <f>"אלתא מערכות בע""מ"</f>
        <v>אלתא מערכות בע"מ</v>
      </c>
      <c r="I3908" t="str">
        <f>"10"</f>
        <v>10</v>
      </c>
      <c r="J3908" t="str">
        <f>"CB1500010"</f>
        <v>CB1500010</v>
      </c>
      <c r="K3908" t="str">
        <f>"כבל תקן ימי XTCuZ1-K 4x50"</f>
        <v>כבל תקן ימי XTCuZ1-K 4x50</v>
      </c>
      <c r="L3908">
        <v>25</v>
      </c>
      <c r="M3908" t="str">
        <f>"מטר"</f>
        <v>מטר</v>
      </c>
      <c r="N3908">
        <v>25</v>
      </c>
      <c r="O3908" t="str">
        <f>"מטר"</f>
        <v>מטר</v>
      </c>
      <c r="P3908">
        <v>38.5</v>
      </c>
      <c r="Q3908" t="str">
        <f>"$"</f>
        <v>$</v>
      </c>
      <c r="R3908" t="str">
        <f>"הזמנה"</f>
        <v>הזמנה</v>
      </c>
      <c r="S3908">
        <v>0</v>
      </c>
      <c r="T3908">
        <v>962.5</v>
      </c>
      <c r="U3908">
        <v>0</v>
      </c>
      <c r="V3908">
        <v>962.5</v>
      </c>
      <c r="W3908" t="str">
        <f>"$"</f>
        <v>$</v>
      </c>
      <c r="X3908">
        <v>0</v>
      </c>
      <c r="Y3908">
        <v>0</v>
      </c>
      <c r="Z3908">
        <v>0</v>
      </c>
      <c r="AA3908" t="str">
        <f>"Y"</f>
        <v>Y</v>
      </c>
      <c r="AB3908" t="str">
        <f>"SO20000035"</f>
        <v>SO20000035</v>
      </c>
      <c r="AC3908">
        <v>7</v>
      </c>
      <c r="AD3908" s="1">
        <v>43856</v>
      </c>
      <c r="AE3908" t="str">
        <f>"SH20000175"</f>
        <v>SH20000175</v>
      </c>
      <c r="AF3908" t="str">
        <f>"משלוחים ללקוח"</f>
        <v>משלוחים ללקוח</v>
      </c>
      <c r="AG3908" s="1">
        <v>43865</v>
      </c>
      <c r="AM3908" t="str">
        <f>"10"</f>
        <v>10</v>
      </c>
      <c r="AN3908" t="str">
        <f>"500000"</f>
        <v>500000</v>
      </c>
      <c r="AO3908" t="str">
        <f>"הכנסות  מלקוחות"</f>
        <v>הכנסות  מלקוחות</v>
      </c>
      <c r="AQ3908" t="str">
        <f>"034"</f>
        <v>034</v>
      </c>
      <c r="AR3908">
        <v>0</v>
      </c>
      <c r="AS3908">
        <v>0</v>
      </c>
      <c r="AT3908">
        <v>3.4260000000000002</v>
      </c>
      <c r="AX3908" t="str">
        <f>"E000304372"</f>
        <v>E000304372</v>
      </c>
      <c r="BD3908" t="str">
        <f>"ערן שלו"</f>
        <v>ערן שלו</v>
      </c>
    </row>
    <row r="3909" spans="1:56" x14ac:dyDescent="0.3">
      <c r="A3909" s="1">
        <v>43870</v>
      </c>
      <c r="B3909" t="str">
        <f>"SI206000129"</f>
        <v>SI206000129</v>
      </c>
      <c r="C3909" t="str">
        <f>"PR19000109"</f>
        <v>PR19000109</v>
      </c>
      <c r="E3909" t="str">
        <f>"Y"</f>
        <v>Y</v>
      </c>
      <c r="F3909" t="str">
        <f>"חשבוניות מרכזות"</f>
        <v>חשבוניות מרכזות</v>
      </c>
      <c r="G3909" t="str">
        <f>"700065"</f>
        <v>700065</v>
      </c>
      <c r="H3909" t="str">
        <f>"אלתא מערכות בע""מ"</f>
        <v>אלתא מערכות בע"מ</v>
      </c>
      <c r="I3909" t="str">
        <f>"10"</f>
        <v>10</v>
      </c>
      <c r="J3909" t="str">
        <f>"000"</f>
        <v>000</v>
      </c>
      <c r="K3909" t="str">
        <f>"משלוח בהטסה"</f>
        <v>משלוח בהטסה</v>
      </c>
      <c r="L3909">
        <v>1</v>
      </c>
      <c r="M3909" t="str">
        <f>"יח"</f>
        <v>יח</v>
      </c>
      <c r="N3909">
        <v>1</v>
      </c>
      <c r="O3909" t="str">
        <f>"יח"</f>
        <v>יח</v>
      </c>
      <c r="P3909" s="2">
        <v>2500</v>
      </c>
      <c r="Q3909" t="str">
        <f>"$"</f>
        <v>$</v>
      </c>
      <c r="R3909" t="str">
        <f>"הזמנה"</f>
        <v>הזמנה</v>
      </c>
      <c r="S3909">
        <v>0</v>
      </c>
      <c r="T3909" s="2">
        <v>2500</v>
      </c>
      <c r="U3909">
        <v>0</v>
      </c>
      <c r="V3909" s="2">
        <v>2500</v>
      </c>
      <c r="W3909" t="str">
        <f>"$"</f>
        <v>$</v>
      </c>
      <c r="X3909">
        <v>0</v>
      </c>
      <c r="Y3909">
        <v>0</v>
      </c>
      <c r="Z3909">
        <v>0</v>
      </c>
      <c r="AA3909" t="str">
        <f>"Y"</f>
        <v>Y</v>
      </c>
      <c r="AB3909" t="str">
        <f>"SO20000035"</f>
        <v>SO20000035</v>
      </c>
      <c r="AC3909">
        <v>9</v>
      </c>
      <c r="AD3909" s="1">
        <v>43856</v>
      </c>
      <c r="AE3909" t="str">
        <f>"SH20000175"</f>
        <v>SH20000175</v>
      </c>
      <c r="AF3909" t="str">
        <f>"משלוחים ללקוח"</f>
        <v>משלוחים ללקוח</v>
      </c>
      <c r="AG3909" s="1">
        <v>43865</v>
      </c>
      <c r="AM3909" t="str">
        <f>"10"</f>
        <v>10</v>
      </c>
      <c r="AN3909" t="str">
        <f>"500000"</f>
        <v>500000</v>
      </c>
      <c r="AO3909" t="str">
        <f>"הכנסות  מלקוחות"</f>
        <v>הכנסות  מלקוחות</v>
      </c>
      <c r="AQ3909" t="str">
        <f>"034"</f>
        <v>034</v>
      </c>
      <c r="AR3909">
        <v>0</v>
      </c>
      <c r="AS3909">
        <v>0</v>
      </c>
      <c r="AT3909">
        <v>3.4260000000000002</v>
      </c>
      <c r="AX3909" t="str">
        <f>"E000304372"</f>
        <v>E000304372</v>
      </c>
      <c r="BD3909" t="str">
        <f>"ערן שלו"</f>
        <v>ערן שלו</v>
      </c>
    </row>
    <row r="3910" spans="1:56" x14ac:dyDescent="0.3">
      <c r="A3910" s="1">
        <v>43870</v>
      </c>
      <c r="B3910" t="str">
        <f>"SI206000128"</f>
        <v>SI206000128</v>
      </c>
      <c r="C3910" t="str">
        <f>"PR19000745"</f>
        <v>PR19000745</v>
      </c>
      <c r="E3910" t="str">
        <f>"Y"</f>
        <v>Y</v>
      </c>
      <c r="F3910" t="str">
        <f>"חשבוניות מרכזות"</f>
        <v>חשבוניות מרכזות</v>
      </c>
      <c r="G3910" t="str">
        <f>"700065"</f>
        <v>700065</v>
      </c>
      <c r="H3910" t="str">
        <f>"אלתא מערכות בע""מ"</f>
        <v>אלתא מערכות בע"מ</v>
      </c>
      <c r="I3910" t="str">
        <f>"10"</f>
        <v>10</v>
      </c>
      <c r="J3910" t="str">
        <f>"OP-AR01593"</f>
        <v>OP-AR01593</v>
      </c>
      <c r="K3910" t="str">
        <f>"2033D702-001 RCE P2 CABLE ASSY"</f>
        <v>2033D702-001 RCE P2 CABLE ASSY</v>
      </c>
      <c r="L3910">
        <v>20</v>
      </c>
      <c r="M3910" t="str">
        <f>"יח"</f>
        <v>יח</v>
      </c>
      <c r="N3910">
        <v>20</v>
      </c>
      <c r="O3910" t="str">
        <f>"יח"</f>
        <v>יח</v>
      </c>
      <c r="P3910">
        <v>68.650000000000006</v>
      </c>
      <c r="Q3910" t="str">
        <f>"$"</f>
        <v>$</v>
      </c>
      <c r="R3910" t="str">
        <f>"הזמנה"</f>
        <v>הזמנה</v>
      </c>
      <c r="S3910">
        <v>0</v>
      </c>
      <c r="T3910" s="2">
        <v>1373</v>
      </c>
      <c r="U3910">
        <v>0</v>
      </c>
      <c r="V3910" s="2">
        <v>1373</v>
      </c>
      <c r="W3910" t="str">
        <f>"$"</f>
        <v>$</v>
      </c>
      <c r="X3910">
        <v>0</v>
      </c>
      <c r="Y3910">
        <v>0</v>
      </c>
      <c r="Z3910">
        <v>0</v>
      </c>
      <c r="AA3910" t="str">
        <f>"Y"</f>
        <v>Y</v>
      </c>
      <c r="AC3910">
        <v>0</v>
      </c>
      <c r="AM3910" t="str">
        <f>"10"</f>
        <v>10</v>
      </c>
      <c r="AN3910" t="str">
        <f>"500000"</f>
        <v>500000</v>
      </c>
      <c r="AO3910" t="str">
        <f>"הכנסות  מלקוחות"</f>
        <v>הכנסות  מלקוחות</v>
      </c>
      <c r="AQ3910" t="str">
        <f>"034"</f>
        <v>034</v>
      </c>
      <c r="AR3910">
        <v>0</v>
      </c>
      <c r="AS3910">
        <v>0</v>
      </c>
      <c r="AT3910">
        <v>3.4260000000000002</v>
      </c>
      <c r="BB3910" t="str">
        <f>"Y"</f>
        <v>Y</v>
      </c>
      <c r="BD3910" t="str">
        <f>"ערן שלו"</f>
        <v>ערן שלו</v>
      </c>
    </row>
    <row r="3911" spans="1:56" x14ac:dyDescent="0.3">
      <c r="A3911" s="1">
        <v>43870</v>
      </c>
      <c r="B3911" t="str">
        <f>"SI206000127"</f>
        <v>SI206000127</v>
      </c>
      <c r="E3911" t="str">
        <f>"Y"</f>
        <v>Y</v>
      </c>
      <c r="F3911" t="str">
        <f>"חשבוניות מרכזות"</f>
        <v>חשבוניות מרכזות</v>
      </c>
      <c r="G3911" t="str">
        <f>"700065"</f>
        <v>700065</v>
      </c>
      <c r="H3911" t="str">
        <f>"אלתא מערכות בע""מ"</f>
        <v>אלתא מערכות בע"מ</v>
      </c>
      <c r="I3911" t="str">
        <f>"10"</f>
        <v>10</v>
      </c>
      <c r="J3911" t="str">
        <f>"000"</f>
        <v>000</v>
      </c>
      <c r="K3911" t="str">
        <f>"FAI"</f>
        <v>FAI</v>
      </c>
      <c r="L3911">
        <v>1</v>
      </c>
      <c r="M3911" t="str">
        <f>"יח"</f>
        <v>יח</v>
      </c>
      <c r="N3911">
        <v>1</v>
      </c>
      <c r="O3911" t="str">
        <f>"יח"</f>
        <v>יח</v>
      </c>
      <c r="P3911">
        <v>60</v>
      </c>
      <c r="Q3911" t="str">
        <f>"$"</f>
        <v>$</v>
      </c>
      <c r="R3911" t="str">
        <f>"הזמנה"</f>
        <v>הזמנה</v>
      </c>
      <c r="S3911">
        <v>0</v>
      </c>
      <c r="T3911">
        <v>60</v>
      </c>
      <c r="U3911">
        <v>0</v>
      </c>
      <c r="V3911">
        <v>60</v>
      </c>
      <c r="W3911" t="str">
        <f>"$"</f>
        <v>$</v>
      </c>
      <c r="X3911">
        <v>0</v>
      </c>
      <c r="Y3911">
        <v>0</v>
      </c>
      <c r="Z3911">
        <v>0</v>
      </c>
      <c r="AA3911" t="str">
        <f>"Y"</f>
        <v>Y</v>
      </c>
      <c r="AC3911">
        <v>0</v>
      </c>
      <c r="AM3911" t="str">
        <f>"10"</f>
        <v>10</v>
      </c>
      <c r="AN3911" t="str">
        <f>"500000"</f>
        <v>500000</v>
      </c>
      <c r="AO3911" t="str">
        <f>"הכנסות  מלקוחות"</f>
        <v>הכנסות  מלקוחות</v>
      </c>
      <c r="AQ3911" t="str">
        <f>"034"</f>
        <v>034</v>
      </c>
      <c r="AR3911">
        <v>0</v>
      </c>
      <c r="AS3911">
        <v>0</v>
      </c>
      <c r="AT3911">
        <v>3.4260000000000002</v>
      </c>
      <c r="BB3911" t="str">
        <f>"Y"</f>
        <v>Y</v>
      </c>
      <c r="BD3911" t="str">
        <f>"ערן שלו"</f>
        <v>ערן שלו</v>
      </c>
    </row>
    <row r="3912" spans="1:56" x14ac:dyDescent="0.3">
      <c r="A3912" s="1">
        <v>43860</v>
      </c>
      <c r="B3912" t="str">
        <f>"SI206000088"</f>
        <v>SI206000088</v>
      </c>
      <c r="C3912" t="str">
        <f>"PR18000543"</f>
        <v>PR18000543</v>
      </c>
      <c r="D3912" t="str">
        <f>"PR18000543"</f>
        <v>PR18000543</v>
      </c>
      <c r="E3912" t="str">
        <f>"Y"</f>
        <v>Y</v>
      </c>
      <c r="F3912" t="str">
        <f>"חשבוניות מרכזות"</f>
        <v>חשבוניות מרכזות</v>
      </c>
      <c r="G3912" t="str">
        <f>"700065"</f>
        <v>700065</v>
      </c>
      <c r="H3912" t="str">
        <f>"אלתא מערכות בע""מ"</f>
        <v>אלתא מערכות בע"מ</v>
      </c>
      <c r="I3912" t="str">
        <f>"10"</f>
        <v>10</v>
      </c>
      <c r="J3912" t="str">
        <f>"000"</f>
        <v>000</v>
      </c>
      <c r="K3912" t="str">
        <f>"רקטים ליחידות  115-121 ,110 עבור 32 יחידות"</f>
        <v>רקטים ליחידות  115-121 ,110 עבור 32 יחידות</v>
      </c>
      <c r="L3912">
        <v>1</v>
      </c>
      <c r="M3912" t="str">
        <f>"יח"</f>
        <v>יח</v>
      </c>
      <c r="N3912">
        <v>1</v>
      </c>
      <c r="O3912" t="str">
        <f>"יח"</f>
        <v>יח</v>
      </c>
      <c r="P3912" s="2">
        <v>2106</v>
      </c>
      <c r="Q3912" t="str">
        <f>"$"</f>
        <v>$</v>
      </c>
      <c r="R3912" t="str">
        <f>"הזמנה"</f>
        <v>הזמנה</v>
      </c>
      <c r="S3912">
        <v>0</v>
      </c>
      <c r="T3912" s="2">
        <v>2106</v>
      </c>
      <c r="U3912">
        <v>0</v>
      </c>
      <c r="V3912" s="2">
        <v>2106</v>
      </c>
      <c r="W3912" t="str">
        <f>"$"</f>
        <v>$</v>
      </c>
      <c r="X3912">
        <v>0</v>
      </c>
      <c r="Y3912">
        <v>0</v>
      </c>
      <c r="Z3912">
        <v>0</v>
      </c>
      <c r="AA3912" t="str">
        <f>"Y"</f>
        <v>Y</v>
      </c>
      <c r="AB3912" t="str">
        <f>"SO19000474"</f>
        <v>SO19000474</v>
      </c>
      <c r="AC3912">
        <v>7</v>
      </c>
      <c r="AD3912" s="1">
        <v>43774</v>
      </c>
      <c r="AM3912" t="str">
        <f>"10"</f>
        <v>10</v>
      </c>
      <c r="AN3912" t="str">
        <f>"500000"</f>
        <v>500000</v>
      </c>
      <c r="AO3912" t="str">
        <f>"הכנסות  מלקוחות"</f>
        <v>הכנסות  מלקוחות</v>
      </c>
      <c r="AQ3912" t="str">
        <f>"034"</f>
        <v>034</v>
      </c>
      <c r="AR3912">
        <v>0</v>
      </c>
      <c r="AS3912">
        <v>0</v>
      </c>
      <c r="AT3912">
        <v>3.45</v>
      </c>
      <c r="AX3912" t="str">
        <f>"E000298231"</f>
        <v>E000298231</v>
      </c>
      <c r="BD3912" t="str">
        <f>"ערן שלו"</f>
        <v>ערן שלו</v>
      </c>
    </row>
    <row r="3913" spans="1:56" x14ac:dyDescent="0.3">
      <c r="A3913" s="1">
        <v>43860</v>
      </c>
      <c r="B3913" t="str">
        <f>"SI206000084"</f>
        <v>SI206000084</v>
      </c>
      <c r="C3913" t="str">
        <f>"PR19000111"</f>
        <v>PR19000111</v>
      </c>
      <c r="E3913" t="str">
        <f>"Y"</f>
        <v>Y</v>
      </c>
      <c r="F3913" t="str">
        <f>"חשבוניות מרכזות"</f>
        <v>חשבוניות מרכזות</v>
      </c>
      <c r="G3913" t="str">
        <f>"700065"</f>
        <v>700065</v>
      </c>
      <c r="H3913" t="str">
        <f>"אלתא מערכות בע""מ"</f>
        <v>אלתא מערכות בע"מ</v>
      </c>
      <c r="I3913" t="str">
        <f>"10"</f>
        <v>10</v>
      </c>
      <c r="J3913" t="str">
        <f>"ZV0280059"</f>
        <v>ZV0280059</v>
      </c>
      <c r="K3913" t="str">
        <f>"DRILLING JIG FOR TRANSFORMER 200KVA"</f>
        <v>DRILLING JIG FOR TRANSFORMER 200KVA</v>
      </c>
      <c r="L3913">
        <v>1</v>
      </c>
      <c r="M3913" t="str">
        <f>"יח"</f>
        <v>יח</v>
      </c>
      <c r="N3913">
        <v>1</v>
      </c>
      <c r="O3913" t="str">
        <f>"יח"</f>
        <v>יח</v>
      </c>
      <c r="P3913" s="2">
        <v>2464.5</v>
      </c>
      <c r="Q3913" t="str">
        <f>"$"</f>
        <v>$</v>
      </c>
      <c r="R3913" t="str">
        <f>"הזמנה"</f>
        <v>הזמנה</v>
      </c>
      <c r="S3913">
        <v>0</v>
      </c>
      <c r="T3913" s="2">
        <v>2464.5</v>
      </c>
      <c r="U3913">
        <v>0</v>
      </c>
      <c r="V3913" s="2">
        <v>2464.5</v>
      </c>
      <c r="W3913" t="str">
        <f>"$"</f>
        <v>$</v>
      </c>
      <c r="X3913">
        <v>0</v>
      </c>
      <c r="Y3913">
        <v>0</v>
      </c>
      <c r="Z3913">
        <v>0</v>
      </c>
      <c r="AA3913" t="str">
        <f>"Y"</f>
        <v>Y</v>
      </c>
      <c r="AB3913" t="str">
        <f>"SO20000012"</f>
        <v>SO20000012</v>
      </c>
      <c r="AC3913">
        <v>18</v>
      </c>
      <c r="AD3913" s="1">
        <v>43837</v>
      </c>
      <c r="AE3913" t="str">
        <f>"SH20000150"</f>
        <v>SH20000150</v>
      </c>
      <c r="AF3913" t="str">
        <f>"משלוחים ללקוח"</f>
        <v>משלוחים ללקוח</v>
      </c>
      <c r="AG3913" s="1">
        <v>43859</v>
      </c>
      <c r="AM3913" t="str">
        <f>"10"</f>
        <v>10</v>
      </c>
      <c r="AN3913" t="str">
        <f>"500000"</f>
        <v>500000</v>
      </c>
      <c r="AO3913" t="str">
        <f>"הכנסות  מלקוחות"</f>
        <v>הכנסות  מלקוחות</v>
      </c>
      <c r="AQ3913" t="str">
        <f>"034"</f>
        <v>034</v>
      </c>
      <c r="AR3913">
        <v>0</v>
      </c>
      <c r="AS3913">
        <v>0</v>
      </c>
      <c r="AT3913">
        <v>3.4580000000000002</v>
      </c>
      <c r="AX3913" t="str">
        <f>"E000301089"</f>
        <v>E000301089</v>
      </c>
      <c r="BD3913" t="str">
        <f>"ערן שלו"</f>
        <v>ערן שלו</v>
      </c>
    </row>
    <row r="3914" spans="1:56" x14ac:dyDescent="0.3">
      <c r="A3914" s="1">
        <v>43860</v>
      </c>
      <c r="B3914" t="str">
        <f>"SI206000083"</f>
        <v>SI206000083</v>
      </c>
      <c r="C3914" t="str">
        <f>"PR19000108"</f>
        <v>PR19000108</v>
      </c>
      <c r="E3914" t="str">
        <f>"Y"</f>
        <v>Y</v>
      </c>
      <c r="F3914" t="str">
        <f>"חשבוניות מרכזות"</f>
        <v>חשבוניות מרכזות</v>
      </c>
      <c r="G3914" t="str">
        <f>"700065"</f>
        <v>700065</v>
      </c>
      <c r="H3914" t="str">
        <f>"אלתא מערכות בע""מ"</f>
        <v>אלתא מערכות בע"מ</v>
      </c>
      <c r="I3914" t="str">
        <f>"10"</f>
        <v>10</v>
      </c>
      <c r="J3914" t="str">
        <f>"ZV0280057"</f>
        <v>ZV0280057</v>
      </c>
      <c r="K3914" t="str">
        <f>"DRILLING JIG FOR PDB 6/7"</f>
        <v>DRILLING JIG FOR PDB 6/7</v>
      </c>
      <c r="L3914">
        <v>1</v>
      </c>
      <c r="M3914" t="str">
        <f>"יח"</f>
        <v>יח</v>
      </c>
      <c r="N3914">
        <v>1</v>
      </c>
      <c r="O3914" t="str">
        <f>"יח"</f>
        <v>יח</v>
      </c>
      <c r="P3914" s="2">
        <v>2464.5</v>
      </c>
      <c r="Q3914" t="str">
        <f>"$"</f>
        <v>$</v>
      </c>
      <c r="R3914" t="str">
        <f>"הזמנה"</f>
        <v>הזמנה</v>
      </c>
      <c r="S3914">
        <v>0</v>
      </c>
      <c r="T3914" s="2">
        <v>2464.5</v>
      </c>
      <c r="U3914">
        <v>0</v>
      </c>
      <c r="V3914" s="2">
        <v>2464.5</v>
      </c>
      <c r="W3914" t="str">
        <f>"$"</f>
        <v>$</v>
      </c>
      <c r="X3914">
        <v>0</v>
      </c>
      <c r="Y3914">
        <v>0</v>
      </c>
      <c r="Z3914">
        <v>0</v>
      </c>
      <c r="AA3914" t="str">
        <f>"Y"</f>
        <v>Y</v>
      </c>
      <c r="AB3914" t="str">
        <f>"SO20000012"</f>
        <v>SO20000012</v>
      </c>
      <c r="AC3914">
        <v>13</v>
      </c>
      <c r="AD3914" s="1">
        <v>43837</v>
      </c>
      <c r="AE3914" t="str">
        <f>"SH20000146"</f>
        <v>SH20000146</v>
      </c>
      <c r="AF3914" t="str">
        <f>"משלוחים ללקוח"</f>
        <v>משלוחים ללקוח</v>
      </c>
      <c r="AG3914" s="1">
        <v>43859</v>
      </c>
      <c r="AM3914" t="str">
        <f>"10"</f>
        <v>10</v>
      </c>
      <c r="AN3914" t="str">
        <f>"500000"</f>
        <v>500000</v>
      </c>
      <c r="AO3914" t="str">
        <f>"הכנסות  מלקוחות"</f>
        <v>הכנסות  מלקוחות</v>
      </c>
      <c r="AQ3914" t="str">
        <f>"034"</f>
        <v>034</v>
      </c>
      <c r="AR3914">
        <v>0</v>
      </c>
      <c r="AS3914">
        <v>0</v>
      </c>
      <c r="AT3914">
        <v>3.4580000000000002</v>
      </c>
      <c r="AX3914" t="str">
        <f>"E000301089"</f>
        <v>E000301089</v>
      </c>
      <c r="BD3914" t="str">
        <f>"ערן שלו"</f>
        <v>ערן שלו</v>
      </c>
    </row>
    <row r="3915" spans="1:56" x14ac:dyDescent="0.3">
      <c r="A3915" s="1">
        <v>43860</v>
      </c>
      <c r="B3915" t="str">
        <f>"SI206000082"</f>
        <v>SI206000082</v>
      </c>
      <c r="C3915" t="str">
        <f>"PR19000110"</f>
        <v>PR19000110</v>
      </c>
      <c r="E3915" t="str">
        <f>"Y"</f>
        <v>Y</v>
      </c>
      <c r="F3915" t="str">
        <f>"חשבוניות מרכזות"</f>
        <v>חשבוניות מרכזות</v>
      </c>
      <c r="G3915" t="str">
        <f>"700065"</f>
        <v>700065</v>
      </c>
      <c r="H3915" t="str">
        <f>"אלתא מערכות בע""מ"</f>
        <v>אלתא מערכות בע"מ</v>
      </c>
      <c r="I3915" t="str">
        <f>"10"</f>
        <v>10</v>
      </c>
      <c r="J3915" t="str">
        <f>"ZV0280056"</f>
        <v>ZV0280056</v>
      </c>
      <c r="K3915" t="str">
        <f>"DRILLING JIG FOR PDB 9"</f>
        <v>DRILLING JIG FOR PDB 9</v>
      </c>
      <c r="L3915">
        <v>1</v>
      </c>
      <c r="M3915" t="str">
        <f>"יח"</f>
        <v>יח</v>
      </c>
      <c r="N3915">
        <v>1</v>
      </c>
      <c r="O3915" t="str">
        <f>"יח"</f>
        <v>יח</v>
      </c>
      <c r="P3915" s="2">
        <v>2464.5</v>
      </c>
      <c r="Q3915" t="str">
        <f>"$"</f>
        <v>$</v>
      </c>
      <c r="R3915" t="str">
        <f>"הזמנה"</f>
        <v>הזמנה</v>
      </c>
      <c r="S3915">
        <v>0</v>
      </c>
      <c r="T3915" s="2">
        <v>2464.5</v>
      </c>
      <c r="U3915">
        <v>0</v>
      </c>
      <c r="V3915" s="2">
        <v>2464.5</v>
      </c>
      <c r="W3915" t="str">
        <f>"$"</f>
        <v>$</v>
      </c>
      <c r="X3915">
        <v>0</v>
      </c>
      <c r="Y3915">
        <v>0</v>
      </c>
      <c r="Z3915">
        <v>0</v>
      </c>
      <c r="AA3915" t="str">
        <f>"Y"</f>
        <v>Y</v>
      </c>
      <c r="AB3915" t="str">
        <f>"SO20000012"</f>
        <v>SO20000012</v>
      </c>
      <c r="AC3915">
        <v>14</v>
      </c>
      <c r="AD3915" s="1">
        <v>43837</v>
      </c>
      <c r="AE3915" t="str">
        <f>"SH20000149"</f>
        <v>SH20000149</v>
      </c>
      <c r="AF3915" t="str">
        <f>"משלוחים ללקוח"</f>
        <v>משלוחים ללקוח</v>
      </c>
      <c r="AG3915" s="1">
        <v>43859</v>
      </c>
      <c r="AM3915" t="str">
        <f>"10"</f>
        <v>10</v>
      </c>
      <c r="AN3915" t="str">
        <f>"500000"</f>
        <v>500000</v>
      </c>
      <c r="AO3915" t="str">
        <f>"הכנסות  מלקוחות"</f>
        <v>הכנסות  מלקוחות</v>
      </c>
      <c r="AQ3915" t="str">
        <f>"034"</f>
        <v>034</v>
      </c>
      <c r="AR3915">
        <v>0</v>
      </c>
      <c r="AS3915">
        <v>0</v>
      </c>
      <c r="AT3915">
        <v>3.4580000000000002</v>
      </c>
      <c r="AX3915" t="str">
        <f>"E000301089"</f>
        <v>E000301089</v>
      </c>
      <c r="BD3915" t="str">
        <f>"ערן שלו"</f>
        <v>ערן שלו</v>
      </c>
    </row>
    <row r="3916" spans="1:56" x14ac:dyDescent="0.3">
      <c r="A3916" s="1">
        <v>43860</v>
      </c>
      <c r="B3916" t="str">
        <f>"SI206000081"</f>
        <v>SI206000081</v>
      </c>
      <c r="C3916" t="str">
        <f>"PR19000112"</f>
        <v>PR19000112</v>
      </c>
      <c r="E3916" t="str">
        <f>"Y"</f>
        <v>Y</v>
      </c>
      <c r="F3916" t="str">
        <f>"חשבוניות מרכזות"</f>
        <v>חשבוניות מרכזות</v>
      </c>
      <c r="G3916" t="str">
        <f>"700065"</f>
        <v>700065</v>
      </c>
      <c r="H3916" t="str">
        <f>"אלתא מערכות בע""מ"</f>
        <v>אלתא מערכות בע"מ</v>
      </c>
      <c r="I3916" t="str">
        <f>"10"</f>
        <v>10</v>
      </c>
      <c r="J3916" t="str">
        <f>"ZV0280058"</f>
        <v>ZV0280058</v>
      </c>
      <c r="K3916" t="str">
        <f>"DRILLING JIG FOR TRANSFORMER 70KVA"</f>
        <v>DRILLING JIG FOR TRANSFORMER 70KVA</v>
      </c>
      <c r="L3916">
        <v>1</v>
      </c>
      <c r="M3916" t="str">
        <f>"יח"</f>
        <v>יח</v>
      </c>
      <c r="N3916">
        <v>1</v>
      </c>
      <c r="O3916" t="str">
        <f>"יח"</f>
        <v>יח</v>
      </c>
      <c r="P3916" s="2">
        <v>2464.5</v>
      </c>
      <c r="Q3916" t="str">
        <f>"$"</f>
        <v>$</v>
      </c>
      <c r="R3916" t="str">
        <f>"הזמנה"</f>
        <v>הזמנה</v>
      </c>
      <c r="S3916">
        <v>0</v>
      </c>
      <c r="T3916" s="2">
        <v>2464.5</v>
      </c>
      <c r="U3916">
        <v>0</v>
      </c>
      <c r="V3916" s="2">
        <v>2464.5</v>
      </c>
      <c r="W3916" t="str">
        <f>"$"</f>
        <v>$</v>
      </c>
      <c r="X3916">
        <v>0</v>
      </c>
      <c r="Y3916">
        <v>0</v>
      </c>
      <c r="Z3916">
        <v>0</v>
      </c>
      <c r="AA3916" t="str">
        <f>"Y"</f>
        <v>Y</v>
      </c>
      <c r="AB3916" t="str">
        <f>"SO20000012"</f>
        <v>SO20000012</v>
      </c>
      <c r="AC3916">
        <v>17</v>
      </c>
      <c r="AD3916" s="1">
        <v>43837</v>
      </c>
      <c r="AE3916" t="str">
        <f>"SH20000148"</f>
        <v>SH20000148</v>
      </c>
      <c r="AF3916" t="str">
        <f>"משלוחים ללקוח"</f>
        <v>משלוחים ללקוח</v>
      </c>
      <c r="AG3916" s="1">
        <v>43859</v>
      </c>
      <c r="AM3916" t="str">
        <f>"10"</f>
        <v>10</v>
      </c>
      <c r="AN3916" t="str">
        <f>"500000"</f>
        <v>500000</v>
      </c>
      <c r="AO3916" t="str">
        <f>"הכנסות  מלקוחות"</f>
        <v>הכנסות  מלקוחות</v>
      </c>
      <c r="AQ3916" t="str">
        <f>"034"</f>
        <v>034</v>
      </c>
      <c r="AR3916">
        <v>0</v>
      </c>
      <c r="AS3916">
        <v>0</v>
      </c>
      <c r="AT3916">
        <v>3.4580000000000002</v>
      </c>
      <c r="AX3916" t="str">
        <f>"E000301089"</f>
        <v>E000301089</v>
      </c>
      <c r="BD3916" t="str">
        <f>"ערן שלו"</f>
        <v>ערן שלו</v>
      </c>
    </row>
    <row r="3917" spans="1:56" x14ac:dyDescent="0.3">
      <c r="A3917" s="1">
        <v>43860</v>
      </c>
      <c r="B3917" t="str">
        <f>"SI206000080"</f>
        <v>SI206000080</v>
      </c>
      <c r="C3917" t="str">
        <f>"PR18000543"</f>
        <v>PR18000543</v>
      </c>
      <c r="D3917" t="str">
        <f>"PR18000543"</f>
        <v>PR18000543</v>
      </c>
      <c r="E3917" t="str">
        <f>"Y"</f>
        <v>Y</v>
      </c>
      <c r="F3917" t="str">
        <f>"חשבוניות מרכזות"</f>
        <v>חשבוניות מרכזות</v>
      </c>
      <c r="G3917" t="str">
        <f>"700065"</f>
        <v>700065</v>
      </c>
      <c r="H3917" t="str">
        <f>"אלתא מערכות בע""מ"</f>
        <v>אלתא מערכות בע"מ</v>
      </c>
      <c r="I3917" t="str">
        <f>"10"</f>
        <v>10</v>
      </c>
      <c r="J3917" t="str">
        <f>"OP-AR01083"</f>
        <v>OP-AR01083</v>
      </c>
      <c r="K3917" t="str">
        <f>"1036C960-001 HVJB_N"</f>
        <v>1036C960-001 HVJB_N</v>
      </c>
      <c r="L3917">
        <v>6</v>
      </c>
      <c r="M3917" t="str">
        <f>"יח"</f>
        <v>יח</v>
      </c>
      <c r="N3917">
        <v>6</v>
      </c>
      <c r="O3917" t="str">
        <f>"יח"</f>
        <v>יח</v>
      </c>
      <c r="P3917" s="2">
        <v>6500</v>
      </c>
      <c r="Q3917" t="str">
        <f>"$"</f>
        <v>$</v>
      </c>
      <c r="R3917" t="str">
        <f>"הזמנה"</f>
        <v>הזמנה</v>
      </c>
      <c r="S3917">
        <v>0</v>
      </c>
      <c r="T3917" s="2">
        <v>39000</v>
      </c>
      <c r="U3917">
        <v>0</v>
      </c>
      <c r="V3917" s="2">
        <v>39000</v>
      </c>
      <c r="W3917" t="str">
        <f>"$"</f>
        <v>$</v>
      </c>
      <c r="X3917">
        <v>0</v>
      </c>
      <c r="Y3917">
        <v>0</v>
      </c>
      <c r="Z3917">
        <v>0</v>
      </c>
      <c r="AA3917" t="str">
        <f>"Y"</f>
        <v>Y</v>
      </c>
      <c r="AB3917" t="str">
        <f>"SO18000429"</f>
        <v>SO18000429</v>
      </c>
      <c r="AC3917">
        <v>7</v>
      </c>
      <c r="AD3917" s="1">
        <v>43311</v>
      </c>
      <c r="AE3917" t="str">
        <f>"SH20000128"</f>
        <v>SH20000128</v>
      </c>
      <c r="AF3917" t="str">
        <f>"משלוחים ללקוח"</f>
        <v>משלוחים ללקוח</v>
      </c>
      <c r="AG3917" s="1">
        <v>43858</v>
      </c>
      <c r="AM3917" t="str">
        <f>"10"</f>
        <v>10</v>
      </c>
      <c r="AN3917" t="str">
        <f>"500000"</f>
        <v>500000</v>
      </c>
      <c r="AO3917" t="str">
        <f>"הכנסות  מלקוחות"</f>
        <v>הכנסות  מלקוחות</v>
      </c>
      <c r="AQ3917" t="str">
        <f>"007"</f>
        <v>007</v>
      </c>
      <c r="AR3917">
        <v>0</v>
      </c>
      <c r="AS3917">
        <v>0</v>
      </c>
      <c r="AT3917">
        <v>3.4580000000000002</v>
      </c>
      <c r="AX3917" t="str">
        <f>"E000266439"</f>
        <v>E000266439</v>
      </c>
      <c r="BD3917" t="str">
        <f>"רוני דידי"</f>
        <v>רוני דידי</v>
      </c>
    </row>
    <row r="3918" spans="1:56" x14ac:dyDescent="0.3">
      <c r="A3918" s="1">
        <v>43860</v>
      </c>
      <c r="B3918" t="str">
        <f>"SI206000079"</f>
        <v>SI206000079</v>
      </c>
      <c r="C3918" t="str">
        <f>"PR19000252"</f>
        <v>PR19000252</v>
      </c>
      <c r="D3918" t="str">
        <f>"PR19000252"</f>
        <v>PR19000252</v>
      </c>
      <c r="E3918" t="str">
        <f>"Y"</f>
        <v>Y</v>
      </c>
      <c r="F3918" t="str">
        <f>"חשבוניות מרכזות"</f>
        <v>חשבוניות מרכזות</v>
      </c>
      <c r="G3918" t="str">
        <f>"700065"</f>
        <v>700065</v>
      </c>
      <c r="H3918" t="str">
        <f>"אלתא מערכות בע""מ"</f>
        <v>אלתא מערכות בע"מ</v>
      </c>
      <c r="I3918" t="str">
        <f>"10"</f>
        <v>10</v>
      </c>
      <c r="J3918" t="str">
        <f>"OP-AR01232"</f>
        <v>OP-AR01232</v>
      </c>
      <c r="K3918" t="str">
        <f>"AC SUPPLY CONTROL BOX"</f>
        <v>AC SUPPLY CONTROL BOX</v>
      </c>
      <c r="L3918">
        <v>1</v>
      </c>
      <c r="M3918" t="str">
        <f>"יח"</f>
        <v>יח</v>
      </c>
      <c r="N3918">
        <v>1</v>
      </c>
      <c r="O3918" t="str">
        <f>"יח"</f>
        <v>יח</v>
      </c>
      <c r="P3918" s="2">
        <v>8027</v>
      </c>
      <c r="Q3918" t="str">
        <f>"$"</f>
        <v>$</v>
      </c>
      <c r="R3918" t="str">
        <f>"הזמנה"</f>
        <v>הזמנה</v>
      </c>
      <c r="S3918">
        <v>0</v>
      </c>
      <c r="T3918" s="2">
        <v>8027</v>
      </c>
      <c r="U3918">
        <v>0</v>
      </c>
      <c r="V3918" s="2">
        <v>8027</v>
      </c>
      <c r="W3918" t="str">
        <f>"$"</f>
        <v>$</v>
      </c>
      <c r="X3918">
        <v>0</v>
      </c>
      <c r="Y3918">
        <v>0</v>
      </c>
      <c r="Z3918">
        <v>0</v>
      </c>
      <c r="AA3918" t="str">
        <f>"Y"</f>
        <v>Y</v>
      </c>
      <c r="AB3918" t="str">
        <f>"SO19000207"</f>
        <v>SO19000207</v>
      </c>
      <c r="AC3918">
        <v>1</v>
      </c>
      <c r="AD3918" s="1">
        <v>43600</v>
      </c>
      <c r="AE3918" t="str">
        <f>"SH20000129"</f>
        <v>SH20000129</v>
      </c>
      <c r="AF3918" t="str">
        <f>"משלוחים ללקוח"</f>
        <v>משלוחים ללקוח</v>
      </c>
      <c r="AG3918" s="1">
        <v>43858</v>
      </c>
      <c r="AM3918" t="str">
        <f>"10"</f>
        <v>10</v>
      </c>
      <c r="AN3918" t="str">
        <f>"500000"</f>
        <v>500000</v>
      </c>
      <c r="AO3918" t="str">
        <f>"הכנסות  מלקוחות"</f>
        <v>הכנסות  מלקוחות</v>
      </c>
      <c r="AQ3918" t="str">
        <f>"034"</f>
        <v>034</v>
      </c>
      <c r="AR3918">
        <v>0</v>
      </c>
      <c r="AS3918">
        <v>0</v>
      </c>
      <c r="AT3918">
        <v>3.4580000000000002</v>
      </c>
      <c r="AX3918" t="str">
        <f>"E000286386"</f>
        <v>E000286386</v>
      </c>
      <c r="BD3918" t="str">
        <f>"ערן שלו"</f>
        <v>ערן שלו</v>
      </c>
    </row>
    <row r="3919" spans="1:56" x14ac:dyDescent="0.3">
      <c r="A3919" s="1">
        <v>43860</v>
      </c>
      <c r="B3919" t="str">
        <f>"SI206000079"</f>
        <v>SI206000079</v>
      </c>
      <c r="C3919" t="str">
        <f>"PR19000252"</f>
        <v>PR19000252</v>
      </c>
      <c r="D3919" t="str">
        <f>"PR19000252"</f>
        <v>PR19000252</v>
      </c>
      <c r="E3919" t="str">
        <f>"Y"</f>
        <v>Y</v>
      </c>
      <c r="F3919" t="str">
        <f>"חשבוניות מרכזות"</f>
        <v>חשבוניות מרכזות</v>
      </c>
      <c r="G3919" t="str">
        <f>"700065"</f>
        <v>700065</v>
      </c>
      <c r="H3919" t="str">
        <f>"אלתא מערכות בע""מ"</f>
        <v>אלתא מערכות בע"מ</v>
      </c>
      <c r="I3919" t="str">
        <f>"10"</f>
        <v>10</v>
      </c>
      <c r="J3919" t="str">
        <f>"OP-AR01232"</f>
        <v>OP-AR01232</v>
      </c>
      <c r="K3919" t="str">
        <f>"AC SUPPLY CONTROL BOX"</f>
        <v>AC SUPPLY CONTROL BOX</v>
      </c>
      <c r="L3919">
        <v>1</v>
      </c>
      <c r="M3919" t="str">
        <f>"יח"</f>
        <v>יח</v>
      </c>
      <c r="N3919">
        <v>1</v>
      </c>
      <c r="O3919" t="str">
        <f>"יח"</f>
        <v>יח</v>
      </c>
      <c r="P3919" s="2">
        <v>8027</v>
      </c>
      <c r="Q3919" t="str">
        <f>"$"</f>
        <v>$</v>
      </c>
      <c r="R3919" t="str">
        <f>"הזמנה"</f>
        <v>הזמנה</v>
      </c>
      <c r="S3919">
        <v>0</v>
      </c>
      <c r="T3919" s="2">
        <v>8027</v>
      </c>
      <c r="U3919">
        <v>0</v>
      </c>
      <c r="V3919" s="2">
        <v>8027</v>
      </c>
      <c r="W3919" t="str">
        <f>"$"</f>
        <v>$</v>
      </c>
      <c r="X3919">
        <v>0</v>
      </c>
      <c r="Y3919">
        <v>0</v>
      </c>
      <c r="Z3919">
        <v>0</v>
      </c>
      <c r="AA3919" t="str">
        <f>"Y"</f>
        <v>Y</v>
      </c>
      <c r="AB3919" t="str">
        <f>"SO19000207"</f>
        <v>SO19000207</v>
      </c>
      <c r="AC3919">
        <v>2</v>
      </c>
      <c r="AD3919" s="1">
        <v>43600</v>
      </c>
      <c r="AE3919" t="str">
        <f>"SH20000129"</f>
        <v>SH20000129</v>
      </c>
      <c r="AF3919" t="str">
        <f>"משלוחים ללקוח"</f>
        <v>משלוחים ללקוח</v>
      </c>
      <c r="AG3919" s="1">
        <v>43858</v>
      </c>
      <c r="AM3919" t="str">
        <f>"10"</f>
        <v>10</v>
      </c>
      <c r="AN3919" t="str">
        <f>"500000"</f>
        <v>500000</v>
      </c>
      <c r="AO3919" t="str">
        <f>"הכנסות  מלקוחות"</f>
        <v>הכנסות  מלקוחות</v>
      </c>
      <c r="AQ3919" t="str">
        <f>"034"</f>
        <v>034</v>
      </c>
      <c r="AR3919">
        <v>0</v>
      </c>
      <c r="AS3919">
        <v>0</v>
      </c>
      <c r="AT3919">
        <v>3.4580000000000002</v>
      </c>
      <c r="AX3919" t="str">
        <f>"E000286386"</f>
        <v>E000286386</v>
      </c>
      <c r="BD3919" t="str">
        <f>"ערן שלו"</f>
        <v>ערן שלו</v>
      </c>
    </row>
    <row r="3920" spans="1:56" x14ac:dyDescent="0.3">
      <c r="A3920" s="1">
        <v>43860</v>
      </c>
      <c r="B3920" t="str">
        <f>"SI206000078"</f>
        <v>SI206000078</v>
      </c>
      <c r="C3920" t="str">
        <f>"PR19000398"</f>
        <v>PR19000398</v>
      </c>
      <c r="E3920" t="str">
        <f>"Y"</f>
        <v>Y</v>
      </c>
      <c r="F3920" t="str">
        <f>"חשבוניות מרכזות"</f>
        <v>חשבוניות מרכזות</v>
      </c>
      <c r="G3920" t="str">
        <f>"700065"</f>
        <v>700065</v>
      </c>
      <c r="H3920" t="str">
        <f>"אלתא מערכות בע""מ"</f>
        <v>אלתא מערכות בע"מ</v>
      </c>
      <c r="I3920" t="str">
        <f>"10"</f>
        <v>10</v>
      </c>
      <c r="J3920" t="str">
        <f>"OP-AR01302"</f>
        <v>OP-AR01302</v>
      </c>
      <c r="K3920" t="str">
        <f>"PDU חטיבת  1038U960-001 CU"</f>
        <v>PDU חטיבת  1038U960-001 CU</v>
      </c>
      <c r="L3920">
        <v>2</v>
      </c>
      <c r="M3920" t="str">
        <f>"יח"</f>
        <v>יח</v>
      </c>
      <c r="N3920">
        <v>2</v>
      </c>
      <c r="O3920" t="str">
        <f>"יח"</f>
        <v>יח</v>
      </c>
      <c r="P3920" s="2">
        <v>9484.75</v>
      </c>
      <c r="Q3920" t="str">
        <f>"$"</f>
        <v>$</v>
      </c>
      <c r="R3920" t="str">
        <f>"הזמנה"</f>
        <v>הזמנה</v>
      </c>
      <c r="S3920">
        <v>0</v>
      </c>
      <c r="T3920" s="2">
        <v>18969.5</v>
      </c>
      <c r="U3920">
        <v>0</v>
      </c>
      <c r="V3920" s="2">
        <v>18969.5</v>
      </c>
      <c r="W3920" t="str">
        <f>"$"</f>
        <v>$</v>
      </c>
      <c r="X3920">
        <v>0</v>
      </c>
      <c r="Y3920">
        <v>0</v>
      </c>
      <c r="Z3920">
        <v>0</v>
      </c>
      <c r="AA3920" t="str">
        <f>"Y"</f>
        <v>Y</v>
      </c>
      <c r="AB3920" t="str">
        <f>"SO19000305"</f>
        <v>SO19000305</v>
      </c>
      <c r="AC3920">
        <v>3</v>
      </c>
      <c r="AD3920" s="1">
        <v>43657</v>
      </c>
      <c r="AE3920" t="str">
        <f>"SH20000130"</f>
        <v>SH20000130</v>
      </c>
      <c r="AF3920" t="str">
        <f>"משלוחים ללקוח"</f>
        <v>משלוחים ללקוח</v>
      </c>
      <c r="AG3920" s="1">
        <v>43858</v>
      </c>
      <c r="AM3920" t="str">
        <f>"10"</f>
        <v>10</v>
      </c>
      <c r="AN3920" t="str">
        <f>"500000"</f>
        <v>500000</v>
      </c>
      <c r="AO3920" t="str">
        <f>"הכנסות  מלקוחות"</f>
        <v>הכנסות  מלקוחות</v>
      </c>
      <c r="AQ3920" t="str">
        <f>"034"</f>
        <v>034</v>
      </c>
      <c r="AR3920">
        <v>0</v>
      </c>
      <c r="AS3920">
        <v>0</v>
      </c>
      <c r="AT3920">
        <v>3.4580000000000002</v>
      </c>
      <c r="AX3920" t="str">
        <f>"E000290708"</f>
        <v>E000290708</v>
      </c>
      <c r="BD3920" t="str">
        <f>"ערן שלו"</f>
        <v>ערן שלו</v>
      </c>
    </row>
    <row r="3921" spans="1:56" x14ac:dyDescent="0.3">
      <c r="A3921" s="1">
        <v>43860</v>
      </c>
      <c r="B3921" t="str">
        <f>"SI206000077"</f>
        <v>SI206000077</v>
      </c>
      <c r="C3921" t="str">
        <f>"PR19000611"</f>
        <v>PR19000611</v>
      </c>
      <c r="D3921" t="str">
        <f>"PR19000611"</f>
        <v>PR19000611</v>
      </c>
      <c r="E3921" t="str">
        <f>"Y"</f>
        <v>Y</v>
      </c>
      <c r="F3921" t="str">
        <f>"חשבוניות מרכזות"</f>
        <v>חשבוניות מרכזות</v>
      </c>
      <c r="G3921" t="str">
        <f>"700065"</f>
        <v>700065</v>
      </c>
      <c r="H3921" t="str">
        <f>"אלתא מערכות בע""מ"</f>
        <v>אלתא מערכות בע"מ</v>
      </c>
      <c r="I3921" t="str">
        <f>"10"</f>
        <v>10</v>
      </c>
      <c r="J3921" t="str">
        <f>"OP-AR01608"</f>
        <v>OP-AR01608</v>
      </c>
      <c r="K3921" t="str">
        <f>"תיקון יחידת CBPS"</f>
        <v>תיקון יחידת CBPS</v>
      </c>
      <c r="L3921">
        <v>1</v>
      </c>
      <c r="M3921" t="str">
        <f>"יח"</f>
        <v>יח</v>
      </c>
      <c r="N3921">
        <v>1</v>
      </c>
      <c r="O3921" t="str">
        <f>"יח"</f>
        <v>יח</v>
      </c>
      <c r="P3921" s="2">
        <v>2952</v>
      </c>
      <c r="Q3921" t="str">
        <f>"$"</f>
        <v>$</v>
      </c>
      <c r="R3921" t="str">
        <f>"הזמנה"</f>
        <v>הזמנה</v>
      </c>
      <c r="S3921">
        <v>0</v>
      </c>
      <c r="T3921" s="2">
        <v>2952</v>
      </c>
      <c r="U3921">
        <v>0</v>
      </c>
      <c r="V3921" s="2">
        <v>2952</v>
      </c>
      <c r="W3921" t="str">
        <f>"$"</f>
        <v>$</v>
      </c>
      <c r="X3921">
        <v>0</v>
      </c>
      <c r="Y3921">
        <v>0</v>
      </c>
      <c r="Z3921">
        <v>0</v>
      </c>
      <c r="AA3921" t="str">
        <f>"Y"</f>
        <v>Y</v>
      </c>
      <c r="AB3921" t="str">
        <f>"SO19000427"</f>
        <v>SO19000427</v>
      </c>
      <c r="AC3921">
        <v>1</v>
      </c>
      <c r="AD3921" s="1">
        <v>43733</v>
      </c>
      <c r="AE3921" t="str">
        <f>"SH20000157"</f>
        <v>SH20000157</v>
      </c>
      <c r="AF3921" t="str">
        <f>"משלוחים ללקוח"</f>
        <v>משלוחים ללקוח</v>
      </c>
      <c r="AG3921" s="1">
        <v>43860</v>
      </c>
      <c r="AM3921" t="str">
        <f>"10"</f>
        <v>10</v>
      </c>
      <c r="AN3921" t="str">
        <f>"500000"</f>
        <v>500000</v>
      </c>
      <c r="AO3921" t="str">
        <f>"הכנסות  מלקוחות"</f>
        <v>הכנסות  מלקוחות</v>
      </c>
      <c r="AQ3921" t="str">
        <f>"034"</f>
        <v>034</v>
      </c>
      <c r="AR3921">
        <v>0</v>
      </c>
      <c r="AS3921">
        <v>0</v>
      </c>
      <c r="AT3921">
        <v>3.4580000000000002</v>
      </c>
      <c r="AX3921" t="str">
        <f>"E000303620"</f>
        <v>E000303620</v>
      </c>
      <c r="BD3921" t="str">
        <f>"ערן שלו"</f>
        <v>ערן שלו</v>
      </c>
    </row>
    <row r="3922" spans="1:56" x14ac:dyDescent="0.3">
      <c r="A3922" s="1">
        <v>43857</v>
      </c>
      <c r="B3922" t="str">
        <f>"SI206000060"</f>
        <v>SI206000060</v>
      </c>
      <c r="C3922" t="str">
        <f>"PR20000028"</f>
        <v>PR20000028</v>
      </c>
      <c r="D3922" t="str">
        <f>"PR20000028"</f>
        <v>PR20000028</v>
      </c>
      <c r="E3922" t="str">
        <f>"Y"</f>
        <v>Y</v>
      </c>
      <c r="F3922" t="str">
        <f>"חשבוניות מרכזות"</f>
        <v>חשבוניות מרכזות</v>
      </c>
      <c r="G3922" t="str">
        <f>"700065"</f>
        <v>700065</v>
      </c>
      <c r="H3922" t="str">
        <f>"אלתא מערכות בע""מ"</f>
        <v>אלתא מערכות בע"מ</v>
      </c>
      <c r="I3922" t="str">
        <f>"10"</f>
        <v>10</v>
      </c>
      <c r="J3922" t="str">
        <f>"PS0200013"</f>
        <v>PS0200013</v>
      </c>
      <c r="K3922" t="str">
        <f>"DPR6000B-48"</f>
        <v>DPR6000B-48</v>
      </c>
      <c r="L3922">
        <v>2</v>
      </c>
      <c r="M3922" t="str">
        <f>"יח"</f>
        <v>יח</v>
      </c>
      <c r="N3922">
        <v>2</v>
      </c>
      <c r="O3922" t="str">
        <f>"יח"</f>
        <v>יח</v>
      </c>
      <c r="P3922" s="2">
        <v>1525.2</v>
      </c>
      <c r="Q3922" t="str">
        <f>"$"</f>
        <v>$</v>
      </c>
      <c r="R3922" t="str">
        <f>"הזמנה"</f>
        <v>הזמנה</v>
      </c>
      <c r="S3922">
        <v>0</v>
      </c>
      <c r="T3922" s="2">
        <v>3050.4</v>
      </c>
      <c r="U3922">
        <v>0</v>
      </c>
      <c r="V3922" s="2">
        <v>3050.4</v>
      </c>
      <c r="W3922" t="str">
        <f>"$"</f>
        <v>$</v>
      </c>
      <c r="X3922">
        <v>0</v>
      </c>
      <c r="Y3922">
        <v>0</v>
      </c>
      <c r="Z3922">
        <v>0</v>
      </c>
      <c r="AA3922" t="str">
        <f>"Y"</f>
        <v>Y</v>
      </c>
      <c r="AB3922" t="str">
        <f>"SO20000026"</f>
        <v>SO20000026</v>
      </c>
      <c r="AC3922">
        <v>1</v>
      </c>
      <c r="AD3922" s="1">
        <v>43849</v>
      </c>
      <c r="AE3922" t="str">
        <f>"SH20000109"</f>
        <v>SH20000109</v>
      </c>
      <c r="AF3922" t="str">
        <f>"משלוחים ללקוח"</f>
        <v>משלוחים ללקוח</v>
      </c>
      <c r="AG3922" s="1">
        <v>43853</v>
      </c>
      <c r="AM3922" t="str">
        <f>"10"</f>
        <v>10</v>
      </c>
      <c r="AN3922" t="str">
        <f>"500000"</f>
        <v>500000</v>
      </c>
      <c r="AO3922" t="str">
        <f>"הכנסות  מלקוחות"</f>
        <v>הכנסות  מלקוחות</v>
      </c>
      <c r="AQ3922" t="str">
        <f>"034"</f>
        <v>034</v>
      </c>
      <c r="AR3922">
        <v>0</v>
      </c>
      <c r="AS3922">
        <v>0</v>
      </c>
      <c r="AT3922">
        <v>3.4550000000000001</v>
      </c>
      <c r="AX3922" t="str">
        <f>"E000303327"</f>
        <v>E000303327</v>
      </c>
      <c r="BD3922" t="str">
        <f>"ערן שלו"</f>
        <v>ערן שלו</v>
      </c>
    </row>
    <row r="3923" spans="1:56" x14ac:dyDescent="0.3">
      <c r="A3923" s="1">
        <v>43857</v>
      </c>
      <c r="B3923" t="str">
        <f>"SI206000059"</f>
        <v>SI206000059</v>
      </c>
      <c r="C3923" t="str">
        <f>"PR19000454"</f>
        <v>PR19000454</v>
      </c>
      <c r="E3923" t="str">
        <f>"Y"</f>
        <v>Y</v>
      </c>
      <c r="F3923" t="str">
        <f>"חשבוניות מרכזות"</f>
        <v>חשבוניות מרכזות</v>
      </c>
      <c r="G3923" t="str">
        <f>"700065"</f>
        <v>700065</v>
      </c>
      <c r="H3923" t="str">
        <f>"אלתא מערכות בע""מ"</f>
        <v>אלתא מערכות בע"מ</v>
      </c>
      <c r="I3923" t="str">
        <f>"10"</f>
        <v>10</v>
      </c>
      <c r="J3923" t="str">
        <f>"OP-AR01297"</f>
        <v>OP-AR01297</v>
      </c>
      <c r="K3923" t="str">
        <f>"שדרוג יחידה LB PDB"</f>
        <v>שדרוג יחידה LB PDB</v>
      </c>
      <c r="L3923">
        <v>1</v>
      </c>
      <c r="M3923" t="str">
        <f>"יח"</f>
        <v>יח</v>
      </c>
      <c r="N3923">
        <v>1</v>
      </c>
      <c r="O3923" t="str">
        <f>"יח"</f>
        <v>יח</v>
      </c>
      <c r="P3923" s="2">
        <v>1900</v>
      </c>
      <c r="Q3923" t="str">
        <f>"$"</f>
        <v>$</v>
      </c>
      <c r="R3923" t="str">
        <f>"הזמנה"</f>
        <v>הזמנה</v>
      </c>
      <c r="S3923">
        <v>0</v>
      </c>
      <c r="T3923" s="2">
        <v>1900</v>
      </c>
      <c r="U3923">
        <v>0</v>
      </c>
      <c r="V3923" s="2">
        <v>1900</v>
      </c>
      <c r="W3923" t="str">
        <f>"$"</f>
        <v>$</v>
      </c>
      <c r="X3923">
        <v>0</v>
      </c>
      <c r="Y3923">
        <v>0</v>
      </c>
      <c r="Z3923">
        <v>0</v>
      </c>
      <c r="AA3923" t="str">
        <f>"Y"</f>
        <v>Y</v>
      </c>
      <c r="AB3923" t="str">
        <f>"SO19000332"</f>
        <v>SO19000332</v>
      </c>
      <c r="AC3923">
        <v>3</v>
      </c>
      <c r="AD3923" s="1">
        <v>43670</v>
      </c>
      <c r="AE3923" t="str">
        <f>"SH20000052"</f>
        <v>SH20000052</v>
      </c>
      <c r="AF3923" t="str">
        <f>"משלוחים ללקוח"</f>
        <v>משלוחים ללקוח</v>
      </c>
      <c r="AG3923" s="1">
        <v>43843</v>
      </c>
      <c r="AM3923" t="str">
        <f>"10"</f>
        <v>10</v>
      </c>
      <c r="AN3923" t="str">
        <f>"500000"</f>
        <v>500000</v>
      </c>
      <c r="AO3923" t="str">
        <f>"הכנסות  מלקוחות"</f>
        <v>הכנסות  מלקוחות</v>
      </c>
      <c r="AQ3923" t="str">
        <f>"034"</f>
        <v>034</v>
      </c>
      <c r="AR3923">
        <v>0</v>
      </c>
      <c r="AS3923">
        <v>0</v>
      </c>
      <c r="AT3923">
        <v>3.4550000000000001</v>
      </c>
      <c r="AX3923" t="str">
        <f>"E000291680"</f>
        <v>E000291680</v>
      </c>
      <c r="BD3923" t="str">
        <f>"ערן שלו"</f>
        <v>ערן שלו</v>
      </c>
    </row>
    <row r="3924" spans="1:56" x14ac:dyDescent="0.3">
      <c r="A3924" s="1">
        <v>43853</v>
      </c>
      <c r="B3924" t="str">
        <f>"SI206000050"</f>
        <v>SI206000050</v>
      </c>
      <c r="C3924" t="str">
        <f>"PR19000255"</f>
        <v>PR19000255</v>
      </c>
      <c r="E3924" t="str">
        <f>"Y"</f>
        <v>Y</v>
      </c>
      <c r="F3924" t="str">
        <f>"חשבוניות מרכזות"</f>
        <v>חשבוניות מרכזות</v>
      </c>
      <c r="G3924" t="str">
        <f>"700065"</f>
        <v>700065</v>
      </c>
      <c r="H3924" t="str">
        <f>"אלתא מערכות בע""מ"</f>
        <v>אלתא מערכות בע"מ</v>
      </c>
      <c r="I3924" t="str">
        <f>"10"</f>
        <v>10</v>
      </c>
      <c r="J3924" t="str">
        <f>"OP-AR01234"</f>
        <v>OP-AR01234</v>
      </c>
      <c r="K3924" t="str">
        <f>"PDU 4 CHANNELS"</f>
        <v>PDU 4 CHANNELS</v>
      </c>
      <c r="L3924">
        <v>2</v>
      </c>
      <c r="M3924" t="str">
        <f>"יח"</f>
        <v>יח</v>
      </c>
      <c r="N3924">
        <v>2</v>
      </c>
      <c r="O3924" t="str">
        <f>"יח"</f>
        <v>יח</v>
      </c>
      <c r="P3924" s="2">
        <v>5626</v>
      </c>
      <c r="Q3924" t="str">
        <f>"$"</f>
        <v>$</v>
      </c>
      <c r="R3924" t="str">
        <f>"הזמנה"</f>
        <v>הזמנה</v>
      </c>
      <c r="S3924">
        <v>0</v>
      </c>
      <c r="T3924" s="2">
        <v>11252</v>
      </c>
      <c r="U3924">
        <v>0</v>
      </c>
      <c r="V3924" s="2">
        <v>11252</v>
      </c>
      <c r="W3924" t="str">
        <f>"$"</f>
        <v>$</v>
      </c>
      <c r="X3924">
        <v>0</v>
      </c>
      <c r="Y3924">
        <v>0</v>
      </c>
      <c r="Z3924">
        <v>0</v>
      </c>
      <c r="AA3924" t="str">
        <f>"Y"</f>
        <v>Y</v>
      </c>
      <c r="AB3924" t="str">
        <f>"SO19000213"</f>
        <v>SO19000213</v>
      </c>
      <c r="AC3924">
        <v>6</v>
      </c>
      <c r="AD3924" s="1">
        <v>43600</v>
      </c>
      <c r="AE3924" t="str">
        <f>"SH20000086"</f>
        <v>SH20000086</v>
      </c>
      <c r="AF3924" t="str">
        <f>"משלוחים ללקוח"</f>
        <v>משלוחים ללקוח</v>
      </c>
      <c r="AG3924" s="1">
        <v>43850</v>
      </c>
      <c r="AM3924" t="str">
        <f>"10"</f>
        <v>10</v>
      </c>
      <c r="AN3924" t="str">
        <f>"500000"</f>
        <v>500000</v>
      </c>
      <c r="AO3924" t="str">
        <f>"הכנסות  מלקוחות"</f>
        <v>הכנסות  מלקוחות</v>
      </c>
      <c r="AQ3924" t="str">
        <f>"034"</f>
        <v>034</v>
      </c>
      <c r="AR3924">
        <v>0</v>
      </c>
      <c r="AS3924">
        <v>0</v>
      </c>
      <c r="AT3924">
        <v>3.452</v>
      </c>
      <c r="AX3924" t="str">
        <f>"E000286085"</f>
        <v>E000286085</v>
      </c>
      <c r="BD3924" t="str">
        <f>"ערן שלו"</f>
        <v>ערן שלו</v>
      </c>
    </row>
    <row r="3925" spans="1:56" x14ac:dyDescent="0.3">
      <c r="A3925" s="1">
        <v>43853</v>
      </c>
      <c r="B3925" t="str">
        <f>"SI206000049"</f>
        <v>SI206000049</v>
      </c>
      <c r="C3925" t="str">
        <f>"PR19000252"</f>
        <v>PR19000252</v>
      </c>
      <c r="E3925" t="str">
        <f>"Y"</f>
        <v>Y</v>
      </c>
      <c r="F3925" t="str">
        <f>"חשבוניות מרכזות"</f>
        <v>חשבוניות מרכזות</v>
      </c>
      <c r="G3925" t="str">
        <f>"700065"</f>
        <v>700065</v>
      </c>
      <c r="H3925" t="str">
        <f>"אלתא מערכות בע""מ"</f>
        <v>אלתא מערכות בע"מ</v>
      </c>
      <c r="I3925" t="str">
        <f>"10"</f>
        <v>10</v>
      </c>
      <c r="J3925" t="str">
        <f>"OP-AR01232"</f>
        <v>OP-AR01232</v>
      </c>
      <c r="K3925" t="str">
        <f>"AC SUPPLY CONTROL BOX"</f>
        <v>AC SUPPLY CONTROL BOX</v>
      </c>
      <c r="L3925">
        <v>1</v>
      </c>
      <c r="M3925" t="str">
        <f>"יח"</f>
        <v>יח</v>
      </c>
      <c r="N3925">
        <v>1</v>
      </c>
      <c r="O3925" t="str">
        <f>"יח"</f>
        <v>יח</v>
      </c>
      <c r="P3925" s="2">
        <v>8027</v>
      </c>
      <c r="Q3925" t="str">
        <f>"$"</f>
        <v>$</v>
      </c>
      <c r="R3925" t="str">
        <f>"הזמנה"</f>
        <v>הזמנה</v>
      </c>
      <c r="S3925">
        <v>0</v>
      </c>
      <c r="T3925" s="2">
        <v>8027</v>
      </c>
      <c r="U3925">
        <v>0</v>
      </c>
      <c r="V3925" s="2">
        <v>8027</v>
      </c>
      <c r="W3925" t="str">
        <f>"$"</f>
        <v>$</v>
      </c>
      <c r="X3925">
        <v>0</v>
      </c>
      <c r="Y3925">
        <v>0</v>
      </c>
      <c r="Z3925">
        <v>0</v>
      </c>
      <c r="AA3925" t="str">
        <f>"Y"</f>
        <v>Y</v>
      </c>
      <c r="AB3925" t="str">
        <f>"SO19000213"</f>
        <v>SO19000213</v>
      </c>
      <c r="AC3925">
        <v>2</v>
      </c>
      <c r="AD3925" s="1">
        <v>43600</v>
      </c>
      <c r="AE3925" t="str">
        <f>"SH20000087"</f>
        <v>SH20000087</v>
      </c>
      <c r="AF3925" t="str">
        <f>"משלוחים ללקוח"</f>
        <v>משלוחים ללקוח</v>
      </c>
      <c r="AG3925" s="1">
        <v>43850</v>
      </c>
      <c r="AM3925" t="str">
        <f>"10"</f>
        <v>10</v>
      </c>
      <c r="AN3925" t="str">
        <f>"500000"</f>
        <v>500000</v>
      </c>
      <c r="AO3925" t="str">
        <f>"הכנסות  מלקוחות"</f>
        <v>הכנסות  מלקוחות</v>
      </c>
      <c r="AQ3925" t="str">
        <f>"034"</f>
        <v>034</v>
      </c>
      <c r="AR3925">
        <v>0</v>
      </c>
      <c r="AS3925">
        <v>0</v>
      </c>
      <c r="AT3925">
        <v>3.452</v>
      </c>
      <c r="AX3925" t="str">
        <f>"E000286085"</f>
        <v>E000286085</v>
      </c>
      <c r="BD3925" t="str">
        <f>"ערן שלו"</f>
        <v>ערן שלו</v>
      </c>
    </row>
    <row r="3926" spans="1:56" x14ac:dyDescent="0.3">
      <c r="A3926" s="1">
        <v>43853</v>
      </c>
      <c r="B3926" t="str">
        <f>"SI206000048"</f>
        <v>SI206000048</v>
      </c>
      <c r="C3926" t="str">
        <f>"PR19000615"</f>
        <v>PR19000615</v>
      </c>
      <c r="D3926" t="str">
        <f>"PR19000615"</f>
        <v>PR19000615</v>
      </c>
      <c r="E3926" t="str">
        <f>"Y"</f>
        <v>Y</v>
      </c>
      <c r="F3926" t="str">
        <f>"חשבוניות מרכזות"</f>
        <v>חשבוניות מרכזות</v>
      </c>
      <c r="G3926" t="str">
        <f>"700065"</f>
        <v>700065</v>
      </c>
      <c r="H3926" t="str">
        <f>"אלתא מערכות בע""מ"</f>
        <v>אלתא מערכות בע"מ</v>
      </c>
      <c r="I3926" t="str">
        <f>"10"</f>
        <v>10</v>
      </c>
      <c r="J3926" t="str">
        <f>"CB1100123"</f>
        <v>CB1100123</v>
      </c>
      <c r="K3926" t="str">
        <f>"LB-PDB BATTERY CHARGER CABLE"</f>
        <v>LB-PDB BATTERY CHARGER CABLE</v>
      </c>
      <c r="L3926">
        <v>1</v>
      </c>
      <c r="M3926" t="str">
        <f>"יח"</f>
        <v>יח</v>
      </c>
      <c r="N3926">
        <v>1</v>
      </c>
      <c r="O3926" t="str">
        <f>"יח"</f>
        <v>יח</v>
      </c>
      <c r="P3926">
        <v>255</v>
      </c>
      <c r="Q3926" t="str">
        <f>"$"</f>
        <v>$</v>
      </c>
      <c r="R3926" t="str">
        <f>"הזמנה"</f>
        <v>הזמנה</v>
      </c>
      <c r="S3926">
        <v>0</v>
      </c>
      <c r="T3926">
        <v>255</v>
      </c>
      <c r="U3926">
        <v>0</v>
      </c>
      <c r="V3926">
        <v>255</v>
      </c>
      <c r="W3926" t="str">
        <f>"$"</f>
        <v>$</v>
      </c>
      <c r="X3926">
        <v>0</v>
      </c>
      <c r="Y3926">
        <v>0</v>
      </c>
      <c r="Z3926">
        <v>0</v>
      </c>
      <c r="AA3926" t="str">
        <f>"Y"</f>
        <v>Y</v>
      </c>
      <c r="AB3926" t="str">
        <f>"SO19000435"</f>
        <v>SO19000435</v>
      </c>
      <c r="AC3926">
        <v>1</v>
      </c>
      <c r="AD3926" s="1">
        <v>43744</v>
      </c>
      <c r="AE3926" t="str">
        <f>"SH20000088"</f>
        <v>SH20000088</v>
      </c>
      <c r="AF3926" t="str">
        <f>"משלוחים ללקוח"</f>
        <v>משלוחים ללקוח</v>
      </c>
      <c r="AG3926" s="1">
        <v>43850</v>
      </c>
      <c r="AM3926" t="str">
        <f>"10"</f>
        <v>10</v>
      </c>
      <c r="AN3926" t="str">
        <f>"500000"</f>
        <v>500000</v>
      </c>
      <c r="AO3926" t="str">
        <f>"הכנסות  מלקוחות"</f>
        <v>הכנסות  מלקוחות</v>
      </c>
      <c r="AQ3926" t="str">
        <f>"034"</f>
        <v>034</v>
      </c>
      <c r="AR3926">
        <v>0</v>
      </c>
      <c r="AS3926">
        <v>0</v>
      </c>
      <c r="AT3926">
        <v>3.452</v>
      </c>
      <c r="AX3926" t="str">
        <f>"E000296958"</f>
        <v>E000296958</v>
      </c>
      <c r="BD3926" t="str">
        <f>"ערן שלו"</f>
        <v>ערן שלו</v>
      </c>
    </row>
    <row r="3927" spans="1:56" x14ac:dyDescent="0.3">
      <c r="A3927" s="1">
        <v>43837</v>
      </c>
      <c r="B3927" t="str">
        <f>"SI206000011"</f>
        <v>SI206000011</v>
      </c>
      <c r="C3927" t="str">
        <f>"PR19000756"</f>
        <v>PR19000756</v>
      </c>
      <c r="E3927" t="str">
        <f>"Y"</f>
        <v>Y</v>
      </c>
      <c r="F3927" t="str">
        <f>"חשבוניות מרכזות"</f>
        <v>חשבוניות מרכזות</v>
      </c>
      <c r="G3927" t="str">
        <f>"700065"</f>
        <v>700065</v>
      </c>
      <c r="H3927" t="str">
        <f>"אלתא מערכות בע""מ"</f>
        <v>אלתא מערכות בע"מ</v>
      </c>
      <c r="I3927" t="str">
        <f>"10"</f>
        <v>10</v>
      </c>
      <c r="J3927" t="str">
        <f>"OP-AR00454"</f>
        <v>OP-AR00454</v>
      </c>
      <c r="K3927" t="str">
        <f>"PDU 380V/50HZ/3 PH AC POWER BOX"</f>
        <v>PDU 380V/50HZ/3 PH AC POWER BOX</v>
      </c>
      <c r="L3927">
        <v>1</v>
      </c>
      <c r="M3927" t="str">
        <f>"יח"</f>
        <v>יח</v>
      </c>
      <c r="N3927">
        <v>1</v>
      </c>
      <c r="O3927" t="str">
        <f>"יח"</f>
        <v>יח</v>
      </c>
      <c r="P3927" s="2">
        <v>1380</v>
      </c>
      <c r="Q3927" t="str">
        <f>"$"</f>
        <v>$</v>
      </c>
      <c r="R3927" t="str">
        <f>"הזמנה"</f>
        <v>הזמנה</v>
      </c>
      <c r="S3927">
        <v>0</v>
      </c>
      <c r="T3927" s="2">
        <v>1380</v>
      </c>
      <c r="U3927">
        <v>0</v>
      </c>
      <c r="V3927" s="2">
        <v>1380</v>
      </c>
      <c r="W3927" t="str">
        <f>"$"</f>
        <v>$</v>
      </c>
      <c r="X3927">
        <v>0</v>
      </c>
      <c r="Y3927">
        <v>0</v>
      </c>
      <c r="Z3927">
        <v>0</v>
      </c>
      <c r="AA3927" t="str">
        <f>"Y"</f>
        <v>Y</v>
      </c>
      <c r="AB3927" t="str">
        <f>"SO19000537"</f>
        <v>SO19000537</v>
      </c>
      <c r="AC3927">
        <v>1</v>
      </c>
      <c r="AD3927" s="1">
        <v>43824</v>
      </c>
      <c r="AE3927" t="str">
        <f>"SH20000023"</f>
        <v>SH20000023</v>
      </c>
      <c r="AF3927" t="str">
        <f>"משלוחים ללקוח"</f>
        <v>משלוחים ללקוח</v>
      </c>
      <c r="AG3927" s="1">
        <v>43836</v>
      </c>
      <c r="AM3927" t="str">
        <f>"10"</f>
        <v>10</v>
      </c>
      <c r="AN3927" t="str">
        <f>"500000"</f>
        <v>500000</v>
      </c>
      <c r="AO3927" t="str">
        <f>"הכנסות  מלקוחות"</f>
        <v>הכנסות  מלקוחות</v>
      </c>
      <c r="AQ3927" t="str">
        <f>"034"</f>
        <v>034</v>
      </c>
      <c r="AR3927">
        <v>0</v>
      </c>
      <c r="AS3927">
        <v>0</v>
      </c>
      <c r="AT3927">
        <v>3.4750000000000001</v>
      </c>
      <c r="AX3927" t="str">
        <f>"E000301785"</f>
        <v>E000301785</v>
      </c>
      <c r="BD3927" t="str">
        <f>"ערן שלו"</f>
        <v>ערן שלו</v>
      </c>
    </row>
    <row r="3928" spans="1:56" x14ac:dyDescent="0.3">
      <c r="A3928" s="1">
        <v>43837</v>
      </c>
      <c r="B3928" t="str">
        <f>"SI206000010"</f>
        <v>SI206000010</v>
      </c>
      <c r="C3928" t="str">
        <f>"PR19000255"</f>
        <v>PR19000255</v>
      </c>
      <c r="E3928" t="str">
        <f>"Y"</f>
        <v>Y</v>
      </c>
      <c r="F3928" t="str">
        <f>"חשבוניות מרכזות"</f>
        <v>חשבוניות מרכזות</v>
      </c>
      <c r="G3928" t="str">
        <f>"700065"</f>
        <v>700065</v>
      </c>
      <c r="H3928" t="str">
        <f>"אלתא מערכות בע""מ"</f>
        <v>אלתא מערכות בע"מ</v>
      </c>
      <c r="I3928" t="str">
        <f>"10"</f>
        <v>10</v>
      </c>
      <c r="J3928" t="str">
        <f>"CB1100229"</f>
        <v>CB1100229</v>
      </c>
      <c r="K3928" t="str">
        <f>"AC SUPPLY CONTROL BOX 115V 32A FEED CABLE"</f>
        <v>AC SUPPLY CONTROL BOX 115V 32A FEED CABLE</v>
      </c>
      <c r="L3928">
        <v>3</v>
      </c>
      <c r="M3928" t="str">
        <f>"יח"</f>
        <v>יח</v>
      </c>
      <c r="N3928">
        <v>3</v>
      </c>
      <c r="O3928" t="str">
        <f>"יח"</f>
        <v>יח</v>
      </c>
      <c r="P3928">
        <v>688</v>
      </c>
      <c r="Q3928" t="str">
        <f>"$"</f>
        <v>$</v>
      </c>
      <c r="R3928" t="str">
        <f>"הזמנה"</f>
        <v>הזמנה</v>
      </c>
      <c r="S3928">
        <v>0</v>
      </c>
      <c r="T3928" s="2">
        <v>2064</v>
      </c>
      <c r="U3928">
        <v>0</v>
      </c>
      <c r="V3928" s="2">
        <v>2064</v>
      </c>
      <c r="W3928" t="str">
        <f>"$"</f>
        <v>$</v>
      </c>
      <c r="X3928">
        <v>0</v>
      </c>
      <c r="Y3928">
        <v>0</v>
      </c>
      <c r="Z3928">
        <v>0</v>
      </c>
      <c r="AA3928" t="str">
        <f>"Y"</f>
        <v>Y</v>
      </c>
      <c r="AB3928" t="str">
        <f>"SO19000213"</f>
        <v>SO19000213</v>
      </c>
      <c r="AC3928">
        <v>1</v>
      </c>
      <c r="AD3928" s="1">
        <v>43600</v>
      </c>
      <c r="AE3928" t="str">
        <f>"SH20000021"</f>
        <v>SH20000021</v>
      </c>
      <c r="AF3928" t="str">
        <f>"משלוחים ללקוח"</f>
        <v>משלוחים ללקוח</v>
      </c>
      <c r="AG3928" s="1">
        <v>43836</v>
      </c>
      <c r="AM3928" t="str">
        <f>"10"</f>
        <v>10</v>
      </c>
      <c r="AN3928" t="str">
        <f>"500000"</f>
        <v>500000</v>
      </c>
      <c r="AO3928" t="str">
        <f>"הכנסות  מלקוחות"</f>
        <v>הכנסות  מלקוחות</v>
      </c>
      <c r="AQ3928" t="str">
        <f>"034"</f>
        <v>034</v>
      </c>
      <c r="AR3928">
        <v>0</v>
      </c>
      <c r="AS3928">
        <v>0</v>
      </c>
      <c r="AT3928">
        <v>3.4750000000000001</v>
      </c>
      <c r="AX3928" t="str">
        <f>"E000286085"</f>
        <v>E000286085</v>
      </c>
      <c r="BD3928" t="str">
        <f>"ערן שלו"</f>
        <v>ערן שלו</v>
      </c>
    </row>
    <row r="3929" spans="1:56" x14ac:dyDescent="0.3">
      <c r="A3929" s="1">
        <v>43837</v>
      </c>
      <c r="B3929" t="str">
        <f>"SI206000010"</f>
        <v>SI206000010</v>
      </c>
      <c r="C3929" t="str">
        <f>"PR19000255"</f>
        <v>PR19000255</v>
      </c>
      <c r="E3929" t="str">
        <f>"Y"</f>
        <v>Y</v>
      </c>
      <c r="F3929" t="str">
        <f>"חשבוניות מרכזות"</f>
        <v>חשבוניות מרכזות</v>
      </c>
      <c r="G3929" t="str">
        <f>"700065"</f>
        <v>700065</v>
      </c>
      <c r="H3929" t="str">
        <f>"אלתא מערכות בע""מ"</f>
        <v>אלתא מערכות בע"מ</v>
      </c>
      <c r="I3929" t="str">
        <f>"10"</f>
        <v>10</v>
      </c>
      <c r="J3929" t="str">
        <f>"OP-AR01234"</f>
        <v>OP-AR01234</v>
      </c>
      <c r="K3929" t="str">
        <f>"PDU 4 CHANNELS"</f>
        <v>PDU 4 CHANNELS</v>
      </c>
      <c r="L3929">
        <v>1</v>
      </c>
      <c r="M3929" t="str">
        <f>"יח"</f>
        <v>יח</v>
      </c>
      <c r="N3929">
        <v>1</v>
      </c>
      <c r="O3929" t="str">
        <f>"יח"</f>
        <v>יח</v>
      </c>
      <c r="P3929" s="2">
        <v>5626</v>
      </c>
      <c r="Q3929" t="str">
        <f>"$"</f>
        <v>$</v>
      </c>
      <c r="R3929" t="str">
        <f>"הזמנה"</f>
        <v>הזמנה</v>
      </c>
      <c r="S3929">
        <v>0</v>
      </c>
      <c r="T3929" s="2">
        <v>5626</v>
      </c>
      <c r="U3929">
        <v>0</v>
      </c>
      <c r="V3929" s="2">
        <v>5626</v>
      </c>
      <c r="W3929" t="str">
        <f>"$"</f>
        <v>$</v>
      </c>
      <c r="X3929">
        <v>0</v>
      </c>
      <c r="Y3929">
        <v>0</v>
      </c>
      <c r="Z3929">
        <v>0</v>
      </c>
      <c r="AA3929" t="str">
        <f>"Y"</f>
        <v>Y</v>
      </c>
      <c r="AB3929" t="str">
        <f>"SO19000213"</f>
        <v>SO19000213</v>
      </c>
      <c r="AC3929">
        <v>6</v>
      </c>
      <c r="AD3929" s="1">
        <v>43600</v>
      </c>
      <c r="AE3929" t="str">
        <f>"SH20000021"</f>
        <v>SH20000021</v>
      </c>
      <c r="AF3929" t="str">
        <f>"משלוחים ללקוח"</f>
        <v>משלוחים ללקוח</v>
      </c>
      <c r="AG3929" s="1">
        <v>43836</v>
      </c>
      <c r="AM3929" t="str">
        <f>"10"</f>
        <v>10</v>
      </c>
      <c r="AN3929" t="str">
        <f>"500000"</f>
        <v>500000</v>
      </c>
      <c r="AO3929" t="str">
        <f>"הכנסות  מלקוחות"</f>
        <v>הכנסות  מלקוחות</v>
      </c>
      <c r="AQ3929" t="str">
        <f>"034"</f>
        <v>034</v>
      </c>
      <c r="AR3929">
        <v>0</v>
      </c>
      <c r="AS3929">
        <v>0</v>
      </c>
      <c r="AT3929">
        <v>3.4750000000000001</v>
      </c>
      <c r="AX3929" t="str">
        <f>"E000286085"</f>
        <v>E000286085</v>
      </c>
      <c r="BD3929" t="str">
        <f>"ערן שלו"</f>
        <v>ערן שלו</v>
      </c>
    </row>
    <row r="3930" spans="1:56" x14ac:dyDescent="0.3">
      <c r="A3930" s="1">
        <v>43837</v>
      </c>
      <c r="B3930" t="str">
        <f>"SI206000009"</f>
        <v>SI206000009</v>
      </c>
      <c r="C3930" t="str">
        <f>"PR19000615"</f>
        <v>PR19000615</v>
      </c>
      <c r="D3930" t="str">
        <f>"PR19000615"</f>
        <v>PR19000615</v>
      </c>
      <c r="E3930" t="str">
        <f>"Y"</f>
        <v>Y</v>
      </c>
      <c r="F3930" t="str">
        <f>"חשבוניות מרכזות"</f>
        <v>חשבוניות מרכזות</v>
      </c>
      <c r="G3930" t="str">
        <f>"700065"</f>
        <v>700065</v>
      </c>
      <c r="H3930" t="str">
        <f>"אלתא מערכות בע""מ"</f>
        <v>אלתא מערכות בע"מ</v>
      </c>
      <c r="I3930" t="str">
        <f>"10"</f>
        <v>10</v>
      </c>
      <c r="J3930" t="str">
        <f>"CB1100123"</f>
        <v>CB1100123</v>
      </c>
      <c r="K3930" t="str">
        <f>"LB-PDB BATTERY CHARGER CABLE"</f>
        <v>LB-PDB BATTERY CHARGER CABLE</v>
      </c>
      <c r="L3930">
        <v>3</v>
      </c>
      <c r="M3930" t="str">
        <f>"יח"</f>
        <v>יח</v>
      </c>
      <c r="N3930">
        <v>3</v>
      </c>
      <c r="O3930" t="str">
        <f>"יח"</f>
        <v>יח</v>
      </c>
      <c r="P3930">
        <v>255</v>
      </c>
      <c r="Q3930" t="str">
        <f>"$"</f>
        <v>$</v>
      </c>
      <c r="R3930" t="str">
        <f>"הזמנה"</f>
        <v>הזמנה</v>
      </c>
      <c r="S3930">
        <v>0</v>
      </c>
      <c r="T3930">
        <v>765</v>
      </c>
      <c r="U3930">
        <v>0</v>
      </c>
      <c r="V3930">
        <v>765</v>
      </c>
      <c r="W3930" t="str">
        <f>"$"</f>
        <v>$</v>
      </c>
      <c r="X3930">
        <v>0</v>
      </c>
      <c r="Y3930">
        <v>0</v>
      </c>
      <c r="Z3930">
        <v>0</v>
      </c>
      <c r="AA3930" t="str">
        <f>"Y"</f>
        <v>Y</v>
      </c>
      <c r="AB3930" t="str">
        <f>"SO19000435"</f>
        <v>SO19000435</v>
      </c>
      <c r="AC3930">
        <v>1</v>
      </c>
      <c r="AD3930" s="1">
        <v>43744</v>
      </c>
      <c r="AE3930" t="str">
        <f>"SH20000022"</f>
        <v>SH20000022</v>
      </c>
      <c r="AF3930" t="str">
        <f>"משלוחים ללקוח"</f>
        <v>משלוחים ללקוח</v>
      </c>
      <c r="AG3930" s="1">
        <v>43836</v>
      </c>
      <c r="AM3930" t="str">
        <f>"10"</f>
        <v>10</v>
      </c>
      <c r="AN3930" t="str">
        <f>"500000"</f>
        <v>500000</v>
      </c>
      <c r="AO3930" t="str">
        <f>"הכנסות  מלקוחות"</f>
        <v>הכנסות  מלקוחות</v>
      </c>
      <c r="AQ3930" t="str">
        <f>"034"</f>
        <v>034</v>
      </c>
      <c r="AR3930">
        <v>0</v>
      </c>
      <c r="AS3930">
        <v>0</v>
      </c>
      <c r="AT3930">
        <v>3.4750000000000001</v>
      </c>
      <c r="AX3930" t="str">
        <f>"E000296958"</f>
        <v>E000296958</v>
      </c>
      <c r="BD3930" t="str">
        <f>"ערן שלו"</f>
        <v>ערן שלו</v>
      </c>
    </row>
    <row r="3931" spans="1:56" x14ac:dyDescent="0.3">
      <c r="A3931" s="1">
        <v>43837</v>
      </c>
      <c r="B3931" t="str">
        <f>"SI206000008"</f>
        <v>SI206000008</v>
      </c>
      <c r="C3931" t="str">
        <f>"PR19000252"</f>
        <v>PR19000252</v>
      </c>
      <c r="E3931" t="str">
        <f>"Y"</f>
        <v>Y</v>
      </c>
      <c r="F3931" t="str">
        <f>"חשבוניות מרכזות"</f>
        <v>חשבוניות מרכזות</v>
      </c>
      <c r="G3931" t="str">
        <f>"700065"</f>
        <v>700065</v>
      </c>
      <c r="H3931" t="str">
        <f>"אלתא מערכות בע""מ"</f>
        <v>אלתא מערכות בע"מ</v>
      </c>
      <c r="I3931" t="str">
        <f>"10"</f>
        <v>10</v>
      </c>
      <c r="J3931" t="str">
        <f>"OP-AR01232"</f>
        <v>OP-AR01232</v>
      </c>
      <c r="K3931" t="str">
        <f>"AC SUPPLY CONTROL BOX"</f>
        <v>AC SUPPLY CONTROL BOX</v>
      </c>
      <c r="L3931">
        <v>2</v>
      </c>
      <c r="M3931" t="str">
        <f>"יח"</f>
        <v>יח</v>
      </c>
      <c r="N3931">
        <v>2</v>
      </c>
      <c r="O3931" t="str">
        <f>"יח"</f>
        <v>יח</v>
      </c>
      <c r="P3931" s="2">
        <v>8027</v>
      </c>
      <c r="Q3931" t="str">
        <f>"$"</f>
        <v>$</v>
      </c>
      <c r="R3931" t="str">
        <f>"הזמנה"</f>
        <v>הזמנה</v>
      </c>
      <c r="S3931">
        <v>0</v>
      </c>
      <c r="T3931" s="2">
        <v>16054</v>
      </c>
      <c r="U3931">
        <v>0</v>
      </c>
      <c r="V3931" s="2">
        <v>16054</v>
      </c>
      <c r="W3931" t="str">
        <f>"$"</f>
        <v>$</v>
      </c>
      <c r="X3931">
        <v>0</v>
      </c>
      <c r="Y3931">
        <v>0</v>
      </c>
      <c r="Z3931">
        <v>0</v>
      </c>
      <c r="AA3931" t="str">
        <f>"Y"</f>
        <v>Y</v>
      </c>
      <c r="AB3931" t="str">
        <f>"SO19000213"</f>
        <v>SO19000213</v>
      </c>
      <c r="AC3931">
        <v>2</v>
      </c>
      <c r="AD3931" s="1">
        <v>43600</v>
      </c>
      <c r="AE3931" t="str">
        <f>"SH20000020"</f>
        <v>SH20000020</v>
      </c>
      <c r="AF3931" t="str">
        <f>"משלוחים ללקוח"</f>
        <v>משלוחים ללקוח</v>
      </c>
      <c r="AG3931" s="1">
        <v>43836</v>
      </c>
      <c r="AM3931" t="str">
        <f>"10"</f>
        <v>10</v>
      </c>
      <c r="AN3931" t="str">
        <f>"500000"</f>
        <v>500000</v>
      </c>
      <c r="AO3931" t="str">
        <f>"הכנסות  מלקוחות"</f>
        <v>הכנסות  מלקוחות</v>
      </c>
      <c r="AQ3931" t="str">
        <f>"034"</f>
        <v>034</v>
      </c>
      <c r="AR3931">
        <v>0</v>
      </c>
      <c r="AS3931">
        <v>0</v>
      </c>
      <c r="AT3931">
        <v>3.4750000000000001</v>
      </c>
      <c r="AX3931" t="str">
        <f>"E000286085"</f>
        <v>E000286085</v>
      </c>
      <c r="BD3931" t="str">
        <f>"ערן שלו"</f>
        <v>ערן שלו</v>
      </c>
    </row>
    <row r="3932" spans="1:56" x14ac:dyDescent="0.3">
      <c r="A3932" s="1">
        <v>43830</v>
      </c>
      <c r="B3932" t="str">
        <f>"SI196001466"</f>
        <v>SI196001466</v>
      </c>
      <c r="C3932" t="str">
        <f>"PR18000543"</f>
        <v>PR18000543</v>
      </c>
      <c r="D3932" t="str">
        <f>"PR18000543"</f>
        <v>PR18000543</v>
      </c>
      <c r="E3932" t="str">
        <f>"Y"</f>
        <v>Y</v>
      </c>
      <c r="F3932" t="str">
        <f>"חשבוניות מרכזות"</f>
        <v>חשבוניות מרכזות</v>
      </c>
      <c r="G3932" t="str">
        <f>"700065"</f>
        <v>700065</v>
      </c>
      <c r="H3932" t="str">
        <f>"אלתא מערכות בע""מ"</f>
        <v>אלתא מערכות בע"מ</v>
      </c>
      <c r="I3932" t="str">
        <f>"10"</f>
        <v>10</v>
      </c>
      <c r="J3932" t="str">
        <f>"OP-AR01083"</f>
        <v>OP-AR01083</v>
      </c>
      <c r="K3932" t="str">
        <f>"1036C960-001 HVJB_N"</f>
        <v>1036C960-001 HVJB_N</v>
      </c>
      <c r="L3932">
        <v>1</v>
      </c>
      <c r="M3932" t="str">
        <f>"יח"</f>
        <v>יח</v>
      </c>
      <c r="N3932">
        <v>1</v>
      </c>
      <c r="O3932" t="str">
        <f>"יח"</f>
        <v>יח</v>
      </c>
      <c r="P3932" s="2">
        <v>6500</v>
      </c>
      <c r="Q3932" t="str">
        <f>"$"</f>
        <v>$</v>
      </c>
      <c r="R3932" t="str">
        <f>"הזמנה"</f>
        <v>הזמנה</v>
      </c>
      <c r="S3932">
        <v>0</v>
      </c>
      <c r="T3932" s="2">
        <v>6500</v>
      </c>
      <c r="U3932">
        <v>0</v>
      </c>
      <c r="V3932" s="2">
        <v>6500</v>
      </c>
      <c r="W3932" t="str">
        <f>"$"</f>
        <v>$</v>
      </c>
      <c r="X3932">
        <v>0</v>
      </c>
      <c r="Y3932">
        <v>0</v>
      </c>
      <c r="Z3932">
        <v>0</v>
      </c>
      <c r="AA3932" t="str">
        <f>"Y"</f>
        <v>Y</v>
      </c>
      <c r="AB3932" t="str">
        <f>"SO18000429"</f>
        <v>SO18000429</v>
      </c>
      <c r="AC3932">
        <v>6</v>
      </c>
      <c r="AD3932" s="1">
        <v>43311</v>
      </c>
      <c r="AE3932" t="str">
        <f>"SH19001808"</f>
        <v>SH19001808</v>
      </c>
      <c r="AF3932" t="str">
        <f>"משלוחים ללקוח"</f>
        <v>משלוחים ללקוח</v>
      </c>
      <c r="AG3932" s="1">
        <v>43823</v>
      </c>
      <c r="AM3932" t="str">
        <f>"10"</f>
        <v>10</v>
      </c>
      <c r="AN3932" t="str">
        <f>"500000"</f>
        <v>500000</v>
      </c>
      <c r="AO3932" t="str">
        <f>"הכנסות  מלקוחות"</f>
        <v>הכנסות  מלקוחות</v>
      </c>
      <c r="AQ3932" t="str">
        <f>"007"</f>
        <v>007</v>
      </c>
      <c r="AR3932">
        <v>0</v>
      </c>
      <c r="AS3932">
        <v>0</v>
      </c>
      <c r="AT3932">
        <v>3.4630000000000001</v>
      </c>
      <c r="AX3932" t="str">
        <f>"E000266439"</f>
        <v>E000266439</v>
      </c>
      <c r="BD3932" t="str">
        <f>"רוני דידי"</f>
        <v>רוני דידי</v>
      </c>
    </row>
    <row r="3933" spans="1:56" x14ac:dyDescent="0.3">
      <c r="A3933" s="1">
        <v>43830</v>
      </c>
      <c r="B3933" t="str">
        <f>"SI196001466"</f>
        <v>SI196001466</v>
      </c>
      <c r="C3933" t="str">
        <f>"PR18000543"</f>
        <v>PR18000543</v>
      </c>
      <c r="D3933" t="str">
        <f>"PR18000543"</f>
        <v>PR18000543</v>
      </c>
      <c r="E3933" t="str">
        <f>"Y"</f>
        <v>Y</v>
      </c>
      <c r="F3933" t="str">
        <f>"חשבוניות מרכזות"</f>
        <v>חשבוניות מרכזות</v>
      </c>
      <c r="G3933" t="str">
        <f>"700065"</f>
        <v>700065</v>
      </c>
      <c r="H3933" t="str">
        <f>"אלתא מערכות בע""מ"</f>
        <v>אלתא מערכות בע"מ</v>
      </c>
      <c r="I3933" t="str">
        <f>"10"</f>
        <v>10</v>
      </c>
      <c r="J3933" t="str">
        <f>"OP-AR01083"</f>
        <v>OP-AR01083</v>
      </c>
      <c r="K3933" t="str">
        <f>"1036C960-001 HVJB_N"</f>
        <v>1036C960-001 HVJB_N</v>
      </c>
      <c r="L3933">
        <v>1</v>
      </c>
      <c r="M3933" t="str">
        <f>"יח"</f>
        <v>יח</v>
      </c>
      <c r="N3933">
        <v>1</v>
      </c>
      <c r="O3933" t="str">
        <f>"יח"</f>
        <v>יח</v>
      </c>
      <c r="P3933" s="2">
        <v>6500</v>
      </c>
      <c r="Q3933" t="str">
        <f>"$"</f>
        <v>$</v>
      </c>
      <c r="R3933" t="str">
        <f>"הזמנה"</f>
        <v>הזמנה</v>
      </c>
      <c r="S3933">
        <v>0</v>
      </c>
      <c r="T3933" s="2">
        <v>6500</v>
      </c>
      <c r="U3933">
        <v>0</v>
      </c>
      <c r="V3933" s="2">
        <v>6500</v>
      </c>
      <c r="W3933" t="str">
        <f>"$"</f>
        <v>$</v>
      </c>
      <c r="X3933">
        <v>0</v>
      </c>
      <c r="Y3933">
        <v>0</v>
      </c>
      <c r="Z3933">
        <v>0</v>
      </c>
      <c r="AA3933" t="str">
        <f>"Y"</f>
        <v>Y</v>
      </c>
      <c r="AB3933" t="str">
        <f>"SO18000429"</f>
        <v>SO18000429</v>
      </c>
      <c r="AC3933">
        <v>7</v>
      </c>
      <c r="AD3933" s="1">
        <v>43311</v>
      </c>
      <c r="AE3933" t="str">
        <f>"SH19001808"</f>
        <v>SH19001808</v>
      </c>
      <c r="AF3933" t="str">
        <f>"משלוחים ללקוח"</f>
        <v>משלוחים ללקוח</v>
      </c>
      <c r="AG3933" s="1">
        <v>43823</v>
      </c>
      <c r="AM3933" t="str">
        <f>"10"</f>
        <v>10</v>
      </c>
      <c r="AN3933" t="str">
        <f>"500000"</f>
        <v>500000</v>
      </c>
      <c r="AO3933" t="str">
        <f>"הכנסות  מלקוחות"</f>
        <v>הכנסות  מלקוחות</v>
      </c>
      <c r="AQ3933" t="str">
        <f>"007"</f>
        <v>007</v>
      </c>
      <c r="AR3933">
        <v>0</v>
      </c>
      <c r="AS3933">
        <v>0</v>
      </c>
      <c r="AT3933">
        <v>3.4630000000000001</v>
      </c>
      <c r="AX3933" t="str">
        <f>"E000266439"</f>
        <v>E000266439</v>
      </c>
      <c r="BD3933" t="str">
        <f>"רוני דידי"</f>
        <v>רוני דידי</v>
      </c>
    </row>
    <row r="3934" spans="1:56" x14ac:dyDescent="0.3">
      <c r="A3934" s="1">
        <v>43830</v>
      </c>
      <c r="B3934" t="str">
        <f>"SI196001465"</f>
        <v>SI196001465</v>
      </c>
      <c r="E3934" t="str">
        <f>"Y"</f>
        <v>Y</v>
      </c>
      <c r="F3934" t="str">
        <f>"חשבוניות מרכזות"</f>
        <v>חשבוניות מרכזות</v>
      </c>
      <c r="G3934" t="str">
        <f>"700065"</f>
        <v>700065</v>
      </c>
      <c r="H3934" t="str">
        <f>"אלתא מערכות בע""מ"</f>
        <v>אלתא מערכות בע"מ</v>
      </c>
      <c r="I3934" t="str">
        <f>"10"</f>
        <v>10</v>
      </c>
      <c r="J3934" t="str">
        <f>"999"</f>
        <v>999</v>
      </c>
      <c r="K3934" t="str">
        <f>"תוספת בגין שינויים ב 1037C508-001- עבור BEL- 2"</f>
        <v>תוספת בגין שינויים ב 1037C508-001- עבור BEL- 2</v>
      </c>
      <c r="L3934">
        <v>0.25</v>
      </c>
      <c r="M3934" t="str">
        <f>"חל"</f>
        <v>חל</v>
      </c>
      <c r="N3934">
        <v>0.25</v>
      </c>
      <c r="O3934" t="str">
        <f>"חל"</f>
        <v>חל</v>
      </c>
      <c r="P3934" s="2">
        <v>73508</v>
      </c>
      <c r="Q3934" t="str">
        <f>"$"</f>
        <v>$</v>
      </c>
      <c r="R3934" t="str">
        <f>"הזמנה"</f>
        <v>הזמנה</v>
      </c>
      <c r="S3934">
        <v>0</v>
      </c>
      <c r="T3934" s="2">
        <v>18377</v>
      </c>
      <c r="U3934">
        <v>0</v>
      </c>
      <c r="V3934" s="2">
        <v>18377</v>
      </c>
      <c r="W3934" t="str">
        <f>"$"</f>
        <v>$</v>
      </c>
      <c r="X3934">
        <v>0</v>
      </c>
      <c r="Y3934">
        <v>0</v>
      </c>
      <c r="Z3934">
        <v>0</v>
      </c>
      <c r="AA3934" t="str">
        <f>"Y"</f>
        <v>Y</v>
      </c>
      <c r="AB3934" t="str">
        <f>"SO19000481"</f>
        <v>SO19000481</v>
      </c>
      <c r="AC3934">
        <v>2</v>
      </c>
      <c r="AD3934" s="1">
        <v>43782</v>
      </c>
      <c r="AE3934" t="str">
        <f>"SH19001827"</f>
        <v>SH19001827</v>
      </c>
      <c r="AF3934" t="str">
        <f>"משלוחים ללקוח"</f>
        <v>משלוחים ללקוח</v>
      </c>
      <c r="AG3934" s="1">
        <v>43830</v>
      </c>
      <c r="AM3934" t="str">
        <f>"10"</f>
        <v>10</v>
      </c>
      <c r="AN3934" t="str">
        <f>"500000"</f>
        <v>500000</v>
      </c>
      <c r="AO3934" t="str">
        <f>"הכנסות  מלקוחות"</f>
        <v>הכנסות  מלקוחות</v>
      </c>
      <c r="AQ3934" t="str">
        <f>"034"</f>
        <v>034</v>
      </c>
      <c r="AR3934">
        <v>0</v>
      </c>
      <c r="AS3934">
        <v>0</v>
      </c>
      <c r="AT3934">
        <v>3.4630000000000001</v>
      </c>
      <c r="AX3934" t="str">
        <f>"E000298440"</f>
        <v>E000298440</v>
      </c>
      <c r="BD3934" t="str">
        <f>"ערן שלו"</f>
        <v>ערן שלו</v>
      </c>
    </row>
    <row r="3935" spans="1:56" x14ac:dyDescent="0.3">
      <c r="A3935" s="1">
        <v>43829</v>
      </c>
      <c r="B3935" t="str">
        <f>"SI196001454"</f>
        <v>SI196001454</v>
      </c>
      <c r="C3935" t="str">
        <f>"PR19000109"</f>
        <v>PR19000109</v>
      </c>
      <c r="D3935" t="str">
        <f>"PR19000753"</f>
        <v>PR19000753</v>
      </c>
      <c r="E3935" t="str">
        <f>"Y"</f>
        <v>Y</v>
      </c>
      <c r="F3935" t="str">
        <f>"חשבוניות מרכזות"</f>
        <v>חשבוניות מרכזות</v>
      </c>
      <c r="G3935" t="str">
        <f>"700065"</f>
        <v>700065</v>
      </c>
      <c r="H3935" t="str">
        <f>"אלתא מערכות בע""מ"</f>
        <v>אלתא מערכות בע"מ</v>
      </c>
      <c r="I3935" t="str">
        <f>"10"</f>
        <v>10</v>
      </c>
      <c r="J3935" t="str">
        <f>"999"</f>
        <v>999</v>
      </c>
      <c r="K3935" t="str">
        <f>"בדיקת FUNGUS"</f>
        <v>בדיקת FUNGUS</v>
      </c>
      <c r="L3935">
        <v>1</v>
      </c>
      <c r="M3935" t="str">
        <f>"חל"</f>
        <v>חל</v>
      </c>
      <c r="N3935">
        <v>1</v>
      </c>
      <c r="O3935" t="str">
        <f>"חל"</f>
        <v>חל</v>
      </c>
      <c r="P3935" s="2">
        <v>5700</v>
      </c>
      <c r="Q3935" t="str">
        <f>"$"</f>
        <v>$</v>
      </c>
      <c r="R3935" t="str">
        <f>"הזמנה"</f>
        <v>הזמנה</v>
      </c>
      <c r="S3935">
        <v>0</v>
      </c>
      <c r="T3935" s="2">
        <v>5700</v>
      </c>
      <c r="U3935">
        <v>0</v>
      </c>
      <c r="V3935" s="2">
        <v>5700</v>
      </c>
      <c r="W3935" t="str">
        <f>"$"</f>
        <v>$</v>
      </c>
      <c r="X3935">
        <v>0</v>
      </c>
      <c r="Y3935">
        <v>0</v>
      </c>
      <c r="Z3935">
        <v>0</v>
      </c>
      <c r="AA3935" t="str">
        <f>"Y"</f>
        <v>Y</v>
      </c>
      <c r="AB3935" t="str">
        <f>"SO19000458"</f>
        <v>SO19000458</v>
      </c>
      <c r="AC3935">
        <v>9</v>
      </c>
      <c r="AD3935" s="1">
        <v>43767</v>
      </c>
      <c r="AE3935" t="str">
        <f>"SH19001818"</f>
        <v>SH19001818</v>
      </c>
      <c r="AF3935" t="str">
        <f>"משלוחים ללקוח"</f>
        <v>משלוחים ללקוח</v>
      </c>
      <c r="AG3935" s="1">
        <v>43829</v>
      </c>
      <c r="AM3935" t="str">
        <f>"10"</f>
        <v>10</v>
      </c>
      <c r="AN3935" t="str">
        <f>"500000"</f>
        <v>500000</v>
      </c>
      <c r="AO3935" t="str">
        <f>"הכנסות  מלקוחות"</f>
        <v>הכנסות  מלקוחות</v>
      </c>
      <c r="AQ3935" t="str">
        <f>"034"</f>
        <v>034</v>
      </c>
      <c r="AR3935">
        <v>0</v>
      </c>
      <c r="AS3935">
        <v>0</v>
      </c>
      <c r="AT3935">
        <v>3.468</v>
      </c>
      <c r="AX3935" t="str">
        <f>"E000297273"</f>
        <v>E000297273</v>
      </c>
      <c r="BD3935" t="str">
        <f>"ערן שלו"</f>
        <v>ערן שלו</v>
      </c>
    </row>
    <row r="3936" spans="1:56" x14ac:dyDescent="0.3">
      <c r="A3936" s="1">
        <v>43828</v>
      </c>
      <c r="B3936" t="str">
        <f>"SI196001444"</f>
        <v>SI196001444</v>
      </c>
      <c r="C3936" t="str">
        <f>"PR19000109"</f>
        <v>PR19000109</v>
      </c>
      <c r="E3936" t="str">
        <f>"Y"</f>
        <v>Y</v>
      </c>
      <c r="F3936" t="str">
        <f>"חשבוניות מרכזות"</f>
        <v>חשבוניות מרכזות</v>
      </c>
      <c r="G3936" t="str">
        <f>"700065"</f>
        <v>700065</v>
      </c>
      <c r="H3936" t="str">
        <f>"אלתא מערכות בע""מ"</f>
        <v>אלתא מערכות בע"מ</v>
      </c>
      <c r="I3936" t="str">
        <f>"10"</f>
        <v>10</v>
      </c>
      <c r="J3936" t="str">
        <f>"000"</f>
        <v>000</v>
      </c>
      <c r="K3936" t="str">
        <f>"תוספת בגין שינויים ב 1037C509-001"</f>
        <v>תוספת בגין שינויים ב 1037C509-001</v>
      </c>
      <c r="L3936">
        <v>1</v>
      </c>
      <c r="M3936" t="str">
        <f>"יח"</f>
        <v>יח</v>
      </c>
      <c r="N3936">
        <v>1</v>
      </c>
      <c r="O3936" t="str">
        <f>"יח"</f>
        <v>יח</v>
      </c>
      <c r="P3936" s="2">
        <v>25375</v>
      </c>
      <c r="Q3936" t="str">
        <f>"$"</f>
        <v>$</v>
      </c>
      <c r="R3936" t="str">
        <f>"הזמנה"</f>
        <v>הזמנה</v>
      </c>
      <c r="S3936">
        <v>0</v>
      </c>
      <c r="T3936" s="2">
        <v>25375</v>
      </c>
      <c r="U3936">
        <v>0</v>
      </c>
      <c r="V3936" s="2">
        <v>25375</v>
      </c>
      <c r="W3936" t="str">
        <f>"$"</f>
        <v>$</v>
      </c>
      <c r="X3936">
        <v>0</v>
      </c>
      <c r="Y3936">
        <v>0</v>
      </c>
      <c r="Z3936">
        <v>0</v>
      </c>
      <c r="AA3936" t="str">
        <f>"Y"</f>
        <v>Y</v>
      </c>
      <c r="AB3936" t="str">
        <f>"SO19000538"</f>
        <v>SO19000538</v>
      </c>
      <c r="AC3936">
        <v>1</v>
      </c>
      <c r="AD3936" s="1">
        <v>43824</v>
      </c>
      <c r="AE3936" t="str">
        <f>"SH19001813"</f>
        <v>SH19001813</v>
      </c>
      <c r="AF3936" t="str">
        <f>"משלוחים ללקוח"</f>
        <v>משלוחים ללקוח</v>
      </c>
      <c r="AG3936" s="1">
        <v>43825</v>
      </c>
      <c r="AM3936" t="str">
        <f>"10"</f>
        <v>10</v>
      </c>
      <c r="AN3936" t="str">
        <f>"500000"</f>
        <v>500000</v>
      </c>
      <c r="AO3936" t="str">
        <f>"הכנסות  מלקוחות"</f>
        <v>הכנסות  מלקוחות</v>
      </c>
      <c r="AQ3936" t="str">
        <f>"034"</f>
        <v>034</v>
      </c>
      <c r="AR3936">
        <v>0</v>
      </c>
      <c r="AS3936">
        <v>0</v>
      </c>
      <c r="AT3936">
        <v>3.468</v>
      </c>
      <c r="AX3936" t="str">
        <f>"E000302128"</f>
        <v>E000302128</v>
      </c>
      <c r="BD3936" t="str">
        <f>"ערן שלו"</f>
        <v>ערן שלו</v>
      </c>
    </row>
    <row r="3937" spans="1:56" x14ac:dyDescent="0.3">
      <c r="A3937" s="1">
        <v>43828</v>
      </c>
      <c r="B3937" t="str">
        <f>"SI196001443"</f>
        <v>SI196001443</v>
      </c>
      <c r="C3937" t="str">
        <f>"PR19000109"</f>
        <v>PR19000109</v>
      </c>
      <c r="E3937" t="str">
        <f>"Y"</f>
        <v>Y</v>
      </c>
      <c r="F3937" t="str">
        <f>"חשבוניות מרכזות"</f>
        <v>חשבוניות מרכזות</v>
      </c>
      <c r="G3937" t="str">
        <f>"700065"</f>
        <v>700065</v>
      </c>
      <c r="H3937" t="str">
        <f>"אלתא מערכות בע""מ"</f>
        <v>אלתא מערכות בע"מ</v>
      </c>
      <c r="I3937" t="str">
        <f>"11"</f>
        <v>11</v>
      </c>
      <c r="J3937" t="str">
        <f>"OP-KT00091"</f>
        <v>OP-KT00091</v>
      </c>
      <c r="K3937" t="str">
        <f>"P15 EPS CABLE KIT"</f>
        <v>P15 EPS CABLE KIT</v>
      </c>
      <c r="L3937">
        <v>1</v>
      </c>
      <c r="M3937" t="str">
        <f>"יח"</f>
        <v>יח</v>
      </c>
      <c r="N3937">
        <v>1</v>
      </c>
      <c r="O3937" t="str">
        <f>"יח"</f>
        <v>יח</v>
      </c>
      <c r="P3937" s="2">
        <v>27600</v>
      </c>
      <c r="Q3937" t="str">
        <f>"$"</f>
        <v>$</v>
      </c>
      <c r="R3937" t="str">
        <f>"הזמנה"</f>
        <v>הזמנה</v>
      </c>
      <c r="S3937">
        <v>0</v>
      </c>
      <c r="T3937" s="2">
        <v>27600</v>
      </c>
      <c r="U3937">
        <v>0</v>
      </c>
      <c r="V3937" s="2">
        <v>27600</v>
      </c>
      <c r="W3937" t="str">
        <f>"$"</f>
        <v>$</v>
      </c>
      <c r="X3937">
        <v>0</v>
      </c>
      <c r="Y3937">
        <v>0</v>
      </c>
      <c r="Z3937">
        <v>0</v>
      </c>
      <c r="AA3937" t="str">
        <f>"Y"</f>
        <v>Y</v>
      </c>
      <c r="AB3937" t="str">
        <f>"SO19000156"</f>
        <v>SO19000156</v>
      </c>
      <c r="AC3937">
        <v>27</v>
      </c>
      <c r="AD3937" s="1">
        <v>43562</v>
      </c>
      <c r="AE3937" t="str">
        <f>"SH19001811"</f>
        <v>SH19001811</v>
      </c>
      <c r="AF3937" t="str">
        <f>"משלוחים ללקוח"</f>
        <v>משלוחים ללקוח</v>
      </c>
      <c r="AG3937" s="1">
        <v>43824</v>
      </c>
      <c r="AM3937" t="str">
        <f>"10"</f>
        <v>10</v>
      </c>
      <c r="AN3937" t="str">
        <f>"500000"</f>
        <v>500000</v>
      </c>
      <c r="AO3937" t="str">
        <f>"הכנסות  מלקוחות"</f>
        <v>הכנסות  מלקוחות</v>
      </c>
      <c r="AQ3937" t="str">
        <f>"034"</f>
        <v>034</v>
      </c>
      <c r="AR3937">
        <v>0</v>
      </c>
      <c r="AS3937">
        <v>0</v>
      </c>
      <c r="AT3937">
        <v>3.468</v>
      </c>
      <c r="AX3937" t="str">
        <f>"E000270896"</f>
        <v>E000270896</v>
      </c>
      <c r="BD3937" t="str">
        <f>"ערן שלו"</f>
        <v>ערן שלו</v>
      </c>
    </row>
    <row r="3938" spans="1:56" x14ac:dyDescent="0.3">
      <c r="A3938" s="1">
        <v>43828</v>
      </c>
      <c r="B3938" t="str">
        <f>"SI196001438"</f>
        <v>SI196001438</v>
      </c>
      <c r="C3938" t="str">
        <f>"PR19000454"</f>
        <v>PR19000454</v>
      </c>
      <c r="D3938" t="str">
        <f>"PR19000454"</f>
        <v>PR19000454</v>
      </c>
      <c r="E3938" t="str">
        <f>"Y"</f>
        <v>Y</v>
      </c>
      <c r="F3938" t="str">
        <f>"חשבוניות מרכזות"</f>
        <v>חשבוניות מרכזות</v>
      </c>
      <c r="G3938" t="str">
        <f>"700065"</f>
        <v>700065</v>
      </c>
      <c r="H3938" t="str">
        <f>"אלתא מערכות בע""מ"</f>
        <v>אלתא מערכות בע"מ</v>
      </c>
      <c r="I3938" t="str">
        <f>"10"</f>
        <v>10</v>
      </c>
      <c r="J3938" t="str">
        <f>"OP-AR01297"</f>
        <v>OP-AR01297</v>
      </c>
      <c r="K3938" t="str">
        <f>"שדרוג יחידה LB PDB"</f>
        <v>שדרוג יחידה LB PDB</v>
      </c>
      <c r="L3938">
        <v>1</v>
      </c>
      <c r="M3938" t="str">
        <f>"יח"</f>
        <v>יח</v>
      </c>
      <c r="N3938">
        <v>1</v>
      </c>
      <c r="O3938" t="str">
        <f>"יח"</f>
        <v>יח</v>
      </c>
      <c r="P3938" s="2">
        <v>2549</v>
      </c>
      <c r="Q3938" t="str">
        <f>"$"</f>
        <v>$</v>
      </c>
      <c r="R3938" t="str">
        <f>"הזמנה"</f>
        <v>הזמנה</v>
      </c>
      <c r="S3938">
        <v>0</v>
      </c>
      <c r="T3938" s="2">
        <v>2549</v>
      </c>
      <c r="U3938">
        <v>0</v>
      </c>
      <c r="V3938" s="2">
        <v>2549</v>
      </c>
      <c r="W3938" t="str">
        <f>"$"</f>
        <v>$</v>
      </c>
      <c r="X3938">
        <v>0</v>
      </c>
      <c r="Y3938">
        <v>0</v>
      </c>
      <c r="Z3938">
        <v>0</v>
      </c>
      <c r="AA3938" t="str">
        <f>"Y"</f>
        <v>Y</v>
      </c>
      <c r="AB3938" t="str">
        <f>"SO19000516"</f>
        <v>SO19000516</v>
      </c>
      <c r="AC3938">
        <v>1</v>
      </c>
      <c r="AD3938" s="1">
        <v>43808</v>
      </c>
      <c r="AE3938" t="str">
        <f>"SH19001807"</f>
        <v>SH19001807</v>
      </c>
      <c r="AF3938" t="str">
        <f>"משלוחים ללקוח"</f>
        <v>משלוחים ללקוח</v>
      </c>
      <c r="AG3938" s="1">
        <v>43823</v>
      </c>
      <c r="AM3938" t="str">
        <f>"10"</f>
        <v>10</v>
      </c>
      <c r="AN3938" t="str">
        <f>"500000"</f>
        <v>500000</v>
      </c>
      <c r="AO3938" t="str">
        <f>"הכנסות  מלקוחות"</f>
        <v>הכנסות  מלקוחות</v>
      </c>
      <c r="AQ3938" t="str">
        <f>"034"</f>
        <v>034</v>
      </c>
      <c r="AR3938">
        <v>0</v>
      </c>
      <c r="AS3938">
        <v>0</v>
      </c>
      <c r="AT3938">
        <v>3.468</v>
      </c>
      <c r="AX3938" t="str">
        <f>"E000295397"</f>
        <v>E000295397</v>
      </c>
      <c r="BD3938" t="str">
        <f>"ערן שלו"</f>
        <v>ערן שלו</v>
      </c>
    </row>
    <row r="3939" spans="1:56" x14ac:dyDescent="0.3">
      <c r="A3939" s="1">
        <v>43828</v>
      </c>
      <c r="B3939" t="str">
        <f>"SI196001438"</f>
        <v>SI196001438</v>
      </c>
      <c r="C3939" t="str">
        <f>"PR19000454"</f>
        <v>PR19000454</v>
      </c>
      <c r="D3939" t="str">
        <f>"PR19000454"</f>
        <v>PR19000454</v>
      </c>
      <c r="E3939" t="str">
        <f>"Y"</f>
        <v>Y</v>
      </c>
      <c r="F3939" t="str">
        <f>"חשבוניות מרכזות"</f>
        <v>חשבוניות מרכזות</v>
      </c>
      <c r="G3939" t="str">
        <f>"700065"</f>
        <v>700065</v>
      </c>
      <c r="H3939" t="str">
        <f>"אלתא מערכות בע""מ"</f>
        <v>אלתא מערכות בע"מ</v>
      </c>
      <c r="I3939" t="str">
        <f>"10"</f>
        <v>10</v>
      </c>
      <c r="J3939" t="str">
        <f>"OP-AR01297"</f>
        <v>OP-AR01297</v>
      </c>
      <c r="K3939" t="str">
        <f>"שדרוג יחידה LB PDB"</f>
        <v>שדרוג יחידה LB PDB</v>
      </c>
      <c r="L3939">
        <v>1</v>
      </c>
      <c r="M3939" t="str">
        <f>"יח"</f>
        <v>יח</v>
      </c>
      <c r="N3939">
        <v>1</v>
      </c>
      <c r="O3939" t="str">
        <f>"יח"</f>
        <v>יח</v>
      </c>
      <c r="P3939" s="2">
        <v>2549</v>
      </c>
      <c r="Q3939" t="str">
        <f>"$"</f>
        <v>$</v>
      </c>
      <c r="R3939" t="str">
        <f>"הזמנה"</f>
        <v>הזמנה</v>
      </c>
      <c r="S3939">
        <v>0</v>
      </c>
      <c r="T3939" s="2">
        <v>2549</v>
      </c>
      <c r="U3939">
        <v>0</v>
      </c>
      <c r="V3939" s="2">
        <v>2549</v>
      </c>
      <c r="W3939" t="str">
        <f>"$"</f>
        <v>$</v>
      </c>
      <c r="X3939">
        <v>0</v>
      </c>
      <c r="Y3939">
        <v>0</v>
      </c>
      <c r="Z3939">
        <v>0</v>
      </c>
      <c r="AA3939" t="str">
        <f>"Y"</f>
        <v>Y</v>
      </c>
      <c r="AB3939" t="str">
        <f>"SO19000516"</f>
        <v>SO19000516</v>
      </c>
      <c r="AC3939">
        <v>2</v>
      </c>
      <c r="AD3939" s="1">
        <v>43808</v>
      </c>
      <c r="AE3939" t="str">
        <f>"SH19001807"</f>
        <v>SH19001807</v>
      </c>
      <c r="AF3939" t="str">
        <f>"משלוחים ללקוח"</f>
        <v>משלוחים ללקוח</v>
      </c>
      <c r="AG3939" s="1">
        <v>43823</v>
      </c>
      <c r="AM3939" t="str">
        <f>"10"</f>
        <v>10</v>
      </c>
      <c r="AN3939" t="str">
        <f>"500000"</f>
        <v>500000</v>
      </c>
      <c r="AO3939" t="str">
        <f>"הכנסות  מלקוחות"</f>
        <v>הכנסות  מלקוחות</v>
      </c>
      <c r="AQ3939" t="str">
        <f>"034"</f>
        <v>034</v>
      </c>
      <c r="AR3939">
        <v>0</v>
      </c>
      <c r="AS3939">
        <v>0</v>
      </c>
      <c r="AT3939">
        <v>3.468</v>
      </c>
      <c r="AX3939" t="str">
        <f>"E000295397"</f>
        <v>E000295397</v>
      </c>
      <c r="BD3939" t="str">
        <f>"ערן שלו"</f>
        <v>ערן שלו</v>
      </c>
    </row>
    <row r="3940" spans="1:56" x14ac:dyDescent="0.3">
      <c r="A3940" s="1">
        <v>43816</v>
      </c>
      <c r="B3940" t="str">
        <f>"SI196001412"</f>
        <v>SI196001412</v>
      </c>
      <c r="C3940" t="str">
        <f>"PR19000109"</f>
        <v>PR19000109</v>
      </c>
      <c r="E3940" t="str">
        <f>"Y"</f>
        <v>Y</v>
      </c>
      <c r="F3940" t="str">
        <f>"חשבוניות מרכזות"</f>
        <v>חשבוניות מרכזות</v>
      </c>
      <c r="G3940" t="str">
        <f>"700065"</f>
        <v>700065</v>
      </c>
      <c r="H3940" t="str">
        <f>"אלתא מערכות בע""מ"</f>
        <v>אלתא מערכות בע"מ</v>
      </c>
      <c r="I3940" t="str">
        <f>"05"</f>
        <v>05</v>
      </c>
      <c r="J3940" t="str">
        <f>"999"</f>
        <v>999</v>
      </c>
      <c r="K3940" t="str">
        <f>"TECHNICAL MANUALS P15B"</f>
        <v>TECHNICAL MANUALS P15B</v>
      </c>
      <c r="L3940">
        <v>1</v>
      </c>
      <c r="M3940" t="str">
        <f>"חל"</f>
        <v>חל</v>
      </c>
      <c r="N3940">
        <v>1</v>
      </c>
      <c r="O3940" t="str">
        <f>"חל"</f>
        <v>חל</v>
      </c>
      <c r="P3940">
        <v>144</v>
      </c>
      <c r="Q3940" t="str">
        <f>"$"</f>
        <v>$</v>
      </c>
      <c r="R3940" t="str">
        <f>"הזמנה"</f>
        <v>הזמנה</v>
      </c>
      <c r="S3940">
        <v>0</v>
      </c>
      <c r="T3940">
        <v>144</v>
      </c>
      <c r="U3940">
        <v>0</v>
      </c>
      <c r="V3940">
        <v>144</v>
      </c>
      <c r="W3940" t="str">
        <f>"$"</f>
        <v>$</v>
      </c>
      <c r="X3940">
        <v>0</v>
      </c>
      <c r="Y3940">
        <v>0</v>
      </c>
      <c r="Z3940">
        <v>0</v>
      </c>
      <c r="AA3940" t="str">
        <f>"Y"</f>
        <v>Y</v>
      </c>
      <c r="AC3940">
        <v>0</v>
      </c>
      <c r="AM3940" t="str">
        <f>"10"</f>
        <v>10</v>
      </c>
      <c r="AN3940" t="str">
        <f>"500000"</f>
        <v>500000</v>
      </c>
      <c r="AO3940" t="str">
        <f>"הכנסות  מלקוחות"</f>
        <v>הכנסות  מלקוחות</v>
      </c>
      <c r="AQ3940" t="str">
        <f>"034"</f>
        <v>034</v>
      </c>
      <c r="AR3940">
        <v>0</v>
      </c>
      <c r="AS3940">
        <v>0</v>
      </c>
      <c r="AT3940">
        <v>3.4980000000000002</v>
      </c>
      <c r="BB3940" t="str">
        <f>"Y"</f>
        <v>Y</v>
      </c>
      <c r="BD3940" t="str">
        <f>"ערן שלו"</f>
        <v>ערן שלו</v>
      </c>
    </row>
    <row r="3941" spans="1:56" x14ac:dyDescent="0.3">
      <c r="A3941" s="1">
        <v>43816</v>
      </c>
      <c r="B3941" t="str">
        <f>"SI196001412"</f>
        <v>SI196001412</v>
      </c>
      <c r="C3941" t="str">
        <f>"PR19000109"</f>
        <v>PR19000109</v>
      </c>
      <c r="E3941" t="str">
        <f>"Y"</f>
        <v>Y</v>
      </c>
      <c r="F3941" t="str">
        <f>"חשבוניות מרכזות"</f>
        <v>חשבוניות מרכזות</v>
      </c>
      <c r="G3941" t="str">
        <f>"700065"</f>
        <v>700065</v>
      </c>
      <c r="H3941" t="str">
        <f>"אלתא מערכות בע""מ"</f>
        <v>אלתא מערכות בע"מ</v>
      </c>
      <c r="I3941" t="str">
        <f>"05"</f>
        <v>05</v>
      </c>
      <c r="J3941" t="str">
        <f>"GN9900099"</f>
        <v>GN9900099</v>
      </c>
      <c r="K3941" t="str">
        <f>"אנליזה לפרויקט ספינות"</f>
        <v>אנליזה לפרויקט ספינות</v>
      </c>
      <c r="L3941">
        <v>1</v>
      </c>
      <c r="M3941" t="str">
        <f>"יח"</f>
        <v>יח</v>
      </c>
      <c r="N3941">
        <v>1</v>
      </c>
      <c r="O3941" t="str">
        <f>"יח"</f>
        <v>יח</v>
      </c>
      <c r="P3941" s="2">
        <v>31600</v>
      </c>
      <c r="Q3941" t="str">
        <f>"$"</f>
        <v>$</v>
      </c>
      <c r="R3941" t="str">
        <f>"הזמנה"</f>
        <v>הזמנה</v>
      </c>
      <c r="S3941">
        <v>0</v>
      </c>
      <c r="T3941" s="2">
        <v>31600</v>
      </c>
      <c r="U3941">
        <v>0</v>
      </c>
      <c r="V3941" s="2">
        <v>31600</v>
      </c>
      <c r="W3941" t="str">
        <f>"$"</f>
        <v>$</v>
      </c>
      <c r="X3941">
        <v>0</v>
      </c>
      <c r="Y3941">
        <v>0</v>
      </c>
      <c r="Z3941">
        <v>0</v>
      </c>
      <c r="AA3941" t="str">
        <f>"Y"</f>
        <v>Y</v>
      </c>
      <c r="AC3941">
        <v>0</v>
      </c>
      <c r="AM3941" t="str">
        <f>"10"</f>
        <v>10</v>
      </c>
      <c r="AN3941" t="str">
        <f>"500000"</f>
        <v>500000</v>
      </c>
      <c r="AO3941" t="str">
        <f>"הכנסות  מלקוחות"</f>
        <v>הכנסות  מלקוחות</v>
      </c>
      <c r="AQ3941" t="str">
        <f>"034"</f>
        <v>034</v>
      </c>
      <c r="AR3941">
        <v>0</v>
      </c>
      <c r="AS3941">
        <v>0</v>
      </c>
      <c r="AT3941">
        <v>3.4980000000000002</v>
      </c>
      <c r="BB3941" t="str">
        <f>"Y"</f>
        <v>Y</v>
      </c>
      <c r="BD3941" t="str">
        <f>"ערן שלו"</f>
        <v>ערן שלו</v>
      </c>
    </row>
    <row r="3942" spans="1:56" x14ac:dyDescent="0.3">
      <c r="A3942" s="1">
        <v>43816</v>
      </c>
      <c r="B3942" t="str">
        <f>"SI196001412"</f>
        <v>SI196001412</v>
      </c>
      <c r="C3942" t="str">
        <f>"PR19000109"</f>
        <v>PR19000109</v>
      </c>
      <c r="E3942" t="str">
        <f>"Y"</f>
        <v>Y</v>
      </c>
      <c r="F3942" t="str">
        <f>"חשבוניות מרכזות"</f>
        <v>חשבוניות מרכזות</v>
      </c>
      <c r="G3942" t="str">
        <f>"700065"</f>
        <v>700065</v>
      </c>
      <c r="H3942" t="str">
        <f>"אלתא מערכות בע""מ"</f>
        <v>אלתא מערכות בע"מ</v>
      </c>
      <c r="I3942" t="str">
        <f>"05"</f>
        <v>05</v>
      </c>
      <c r="J3942" t="str">
        <f>"999"</f>
        <v>999</v>
      </c>
      <c r="K3942" t="str">
        <f>"CDR-חיוב בסוף הפרויקט"</f>
        <v>CDR-חיוב בסוף הפרויקט</v>
      </c>
      <c r="L3942">
        <v>1</v>
      </c>
      <c r="M3942" t="str">
        <f>"חל"</f>
        <v>חל</v>
      </c>
      <c r="N3942">
        <v>1</v>
      </c>
      <c r="O3942" t="str">
        <f>"חל"</f>
        <v>חל</v>
      </c>
      <c r="P3942" s="2">
        <v>73500</v>
      </c>
      <c r="Q3942" t="str">
        <f>"$"</f>
        <v>$</v>
      </c>
      <c r="R3942" t="str">
        <f>"הזמנה"</f>
        <v>הזמנה</v>
      </c>
      <c r="S3942">
        <v>0</v>
      </c>
      <c r="T3942" s="2">
        <v>73500</v>
      </c>
      <c r="U3942">
        <v>0</v>
      </c>
      <c r="V3942" s="2">
        <v>73500</v>
      </c>
      <c r="W3942" t="str">
        <f>"$"</f>
        <v>$</v>
      </c>
      <c r="X3942">
        <v>0</v>
      </c>
      <c r="Y3942">
        <v>0</v>
      </c>
      <c r="Z3942">
        <v>0</v>
      </c>
      <c r="AA3942" t="str">
        <f>"Y"</f>
        <v>Y</v>
      </c>
      <c r="AC3942">
        <v>0</v>
      </c>
      <c r="AM3942" t="str">
        <f>"10"</f>
        <v>10</v>
      </c>
      <c r="AN3942" t="str">
        <f>"500000"</f>
        <v>500000</v>
      </c>
      <c r="AO3942" t="str">
        <f>"הכנסות  מלקוחות"</f>
        <v>הכנסות  מלקוחות</v>
      </c>
      <c r="AQ3942" t="str">
        <f>"034"</f>
        <v>034</v>
      </c>
      <c r="AR3942">
        <v>0</v>
      </c>
      <c r="AS3942">
        <v>0</v>
      </c>
      <c r="AT3942">
        <v>3.4980000000000002</v>
      </c>
      <c r="BB3942" t="str">
        <f>"Y"</f>
        <v>Y</v>
      </c>
      <c r="BD3942" t="str">
        <f>"ערן שלו"</f>
        <v>ערן שלו</v>
      </c>
    </row>
    <row r="3943" spans="1:56" x14ac:dyDescent="0.3">
      <c r="A3943" s="1">
        <v>43816</v>
      </c>
      <c r="B3943" t="str">
        <f>"SI196001411"</f>
        <v>SI196001411</v>
      </c>
      <c r="C3943" t="str">
        <f>"PR19000739"</f>
        <v>PR19000739</v>
      </c>
      <c r="D3943" t="str">
        <f>"PR19000739"</f>
        <v>PR19000739</v>
      </c>
      <c r="E3943" t="str">
        <f>"Y"</f>
        <v>Y</v>
      </c>
      <c r="F3943" t="str">
        <f>"חשבוניות מרכזות"</f>
        <v>חשבוניות מרכזות</v>
      </c>
      <c r="G3943" t="str">
        <f>"700065"</f>
        <v>700065</v>
      </c>
      <c r="H3943" t="str">
        <f>"אלתא מערכות בע""מ"</f>
        <v>אלתא מערכות בע"מ</v>
      </c>
      <c r="I3943" t="str">
        <f>"05"</f>
        <v>05</v>
      </c>
      <c r="J3943" t="str">
        <f>"000"</f>
        <v>000</v>
      </c>
      <c r="K3943" t="str">
        <f>"התקנת ציוד חשמל בפיליפינים"</f>
        <v>התקנת ציוד חשמל בפיליפינים</v>
      </c>
      <c r="L3943">
        <v>1</v>
      </c>
      <c r="M3943" t="str">
        <f>"יח"</f>
        <v>יח</v>
      </c>
      <c r="N3943">
        <v>1</v>
      </c>
      <c r="O3943" t="str">
        <f>"יח"</f>
        <v>יח</v>
      </c>
      <c r="P3943" s="2">
        <v>17021</v>
      </c>
      <c r="Q3943" t="str">
        <f>"$"</f>
        <v>$</v>
      </c>
      <c r="R3943" t="str">
        <f>"הזמנה"</f>
        <v>הזמנה</v>
      </c>
      <c r="S3943">
        <v>0</v>
      </c>
      <c r="T3943" s="2">
        <v>17021</v>
      </c>
      <c r="U3943">
        <v>0</v>
      </c>
      <c r="V3943" s="2">
        <v>17021</v>
      </c>
      <c r="W3943" t="str">
        <f>"$"</f>
        <v>$</v>
      </c>
      <c r="X3943">
        <v>0</v>
      </c>
      <c r="Y3943">
        <v>0</v>
      </c>
      <c r="Z3943">
        <v>0</v>
      </c>
      <c r="AA3943" t="str">
        <f>"Y"</f>
        <v>Y</v>
      </c>
      <c r="AB3943" t="str">
        <f>"SO19000530"</f>
        <v>SO19000530</v>
      </c>
      <c r="AC3943">
        <v>1</v>
      </c>
      <c r="AD3943" s="1">
        <v>43815</v>
      </c>
      <c r="AE3943" t="str">
        <f>"SH19001765"</f>
        <v>SH19001765</v>
      </c>
      <c r="AF3943" t="str">
        <f>"משלוחים ללקוח"</f>
        <v>משלוחים ללקוח</v>
      </c>
      <c r="AG3943" s="1">
        <v>43816</v>
      </c>
      <c r="AM3943" t="str">
        <f>"10"</f>
        <v>10</v>
      </c>
      <c r="AN3943" t="str">
        <f>"500000"</f>
        <v>500000</v>
      </c>
      <c r="AO3943" t="str">
        <f>"הכנסות  מלקוחות"</f>
        <v>הכנסות  מלקוחות</v>
      </c>
      <c r="AQ3943" t="str">
        <f>"034"</f>
        <v>034</v>
      </c>
      <c r="AR3943">
        <v>0</v>
      </c>
      <c r="AS3943">
        <v>0</v>
      </c>
      <c r="AT3943">
        <v>3.4980000000000002</v>
      </c>
      <c r="AX3943" t="str">
        <f>"E000299788"</f>
        <v>E000299788</v>
      </c>
      <c r="BD3943" t="str">
        <f>"ערן שלו"</f>
        <v>ערן שלו</v>
      </c>
    </row>
    <row r="3944" spans="1:56" x14ac:dyDescent="0.3">
      <c r="A3944" s="1">
        <v>43810</v>
      </c>
      <c r="B3944" t="str">
        <f>"SI196001390"</f>
        <v>SI196001390</v>
      </c>
      <c r="C3944" t="str">
        <f>"PR18000543"</f>
        <v>PR18000543</v>
      </c>
      <c r="D3944" t="str">
        <f>"PR18000543"</f>
        <v>PR18000543</v>
      </c>
      <c r="E3944" t="str">
        <f>"Y"</f>
        <v>Y</v>
      </c>
      <c r="F3944" t="str">
        <f>"חשבוניות מרכזות"</f>
        <v>חשבוניות מרכזות</v>
      </c>
      <c r="G3944" t="str">
        <f>"700065"</f>
        <v>700065</v>
      </c>
      <c r="H3944" t="str">
        <f>"אלתא מערכות בע""מ"</f>
        <v>אלתא מערכות בע"מ</v>
      </c>
      <c r="I3944" t="str">
        <f>"10"</f>
        <v>10</v>
      </c>
      <c r="J3944" t="str">
        <f>"000"</f>
        <v>000</v>
      </c>
      <c r="K3944" t="str">
        <f>"HVJB BRACKET- שינוי תכן-עבור 20 יח' ברקטים 12.5%"</f>
        <v>HVJB BRACKET- שינוי תכן-עבור 20 יח' ברקטים 12.5%</v>
      </c>
      <c r="L3944">
        <v>1</v>
      </c>
      <c r="M3944" t="str">
        <f>"יח"</f>
        <v>יח</v>
      </c>
      <c r="N3944">
        <v>1</v>
      </c>
      <c r="O3944" t="str">
        <f>"יח"</f>
        <v>יח</v>
      </c>
      <c r="P3944" s="2">
        <v>1843</v>
      </c>
      <c r="Q3944" t="str">
        <f>"$"</f>
        <v>$</v>
      </c>
      <c r="R3944" t="str">
        <f>"הזמנה"</f>
        <v>הזמנה</v>
      </c>
      <c r="S3944">
        <v>0</v>
      </c>
      <c r="T3944" s="2">
        <v>1843</v>
      </c>
      <c r="U3944">
        <v>0</v>
      </c>
      <c r="V3944" s="2">
        <v>1843</v>
      </c>
      <c r="W3944" t="str">
        <f>"$"</f>
        <v>$</v>
      </c>
      <c r="X3944">
        <v>0</v>
      </c>
      <c r="Y3944">
        <v>0</v>
      </c>
      <c r="Z3944">
        <v>0</v>
      </c>
      <c r="AA3944" t="str">
        <f>"Y"</f>
        <v>Y</v>
      </c>
      <c r="AB3944" t="str">
        <f>"SO19000474"</f>
        <v>SO19000474</v>
      </c>
      <c r="AC3944">
        <v>3</v>
      </c>
      <c r="AD3944" s="1">
        <v>43774</v>
      </c>
      <c r="AM3944" t="str">
        <f>"10"</f>
        <v>10</v>
      </c>
      <c r="AN3944" t="str">
        <f>"500000"</f>
        <v>500000</v>
      </c>
      <c r="AO3944" t="str">
        <f>"הכנסות  מלקוחות"</f>
        <v>הכנסות  מלקוחות</v>
      </c>
      <c r="AQ3944" t="str">
        <f>"034"</f>
        <v>034</v>
      </c>
      <c r="AR3944">
        <v>0</v>
      </c>
      <c r="AS3944">
        <v>0</v>
      </c>
      <c r="AT3944">
        <v>3.4649999999999999</v>
      </c>
      <c r="AX3944" t="str">
        <f>"E000298231"</f>
        <v>E000298231</v>
      </c>
      <c r="BD3944" t="str">
        <f>"ערן שלו"</f>
        <v>ערן שלו</v>
      </c>
    </row>
    <row r="3945" spans="1:56" x14ac:dyDescent="0.3">
      <c r="A3945" s="1">
        <v>43804</v>
      </c>
      <c r="B3945" t="str">
        <f>"SI196001375"</f>
        <v>SI196001375</v>
      </c>
      <c r="C3945" t="str">
        <f>"PR19000109"</f>
        <v>PR19000109</v>
      </c>
      <c r="E3945" t="str">
        <f>"Y"</f>
        <v>Y</v>
      </c>
      <c r="F3945" t="str">
        <f>"חשבוניות מרכזות"</f>
        <v>חשבוניות מרכזות</v>
      </c>
      <c r="G3945" t="str">
        <f>"700065"</f>
        <v>700065</v>
      </c>
      <c r="H3945" t="str">
        <f>"אלתא מערכות בע""מ"</f>
        <v>אלתא מערכות בע"מ</v>
      </c>
      <c r="I3945" t="str">
        <f>"11"</f>
        <v>11</v>
      </c>
      <c r="J3945" t="str">
        <f>"OP-KT00090"</f>
        <v>OP-KT00090</v>
      </c>
      <c r="K3945" t="str">
        <f>"P71 EPS CABLE KIT"</f>
        <v>P71 EPS CABLE KIT</v>
      </c>
      <c r="L3945">
        <v>1</v>
      </c>
      <c r="M3945" t="str">
        <f>"יח"</f>
        <v>יח</v>
      </c>
      <c r="N3945">
        <v>1</v>
      </c>
      <c r="O3945" t="str">
        <f>"יח"</f>
        <v>יח</v>
      </c>
      <c r="P3945" s="2">
        <v>46000</v>
      </c>
      <c r="Q3945" t="str">
        <f>"$"</f>
        <v>$</v>
      </c>
      <c r="R3945" t="str">
        <f>"הזמנה"</f>
        <v>הזמנה</v>
      </c>
      <c r="S3945">
        <v>0</v>
      </c>
      <c r="T3945" s="2">
        <v>46000</v>
      </c>
      <c r="U3945">
        <v>0</v>
      </c>
      <c r="V3945" s="2">
        <v>46000</v>
      </c>
      <c r="W3945" t="str">
        <f>"$"</f>
        <v>$</v>
      </c>
      <c r="X3945">
        <v>0</v>
      </c>
      <c r="Y3945">
        <v>0</v>
      </c>
      <c r="Z3945">
        <v>0</v>
      </c>
      <c r="AA3945" t="str">
        <f>"Y"</f>
        <v>Y</v>
      </c>
      <c r="AB3945" t="str">
        <f>"SO19000156"</f>
        <v>SO19000156</v>
      </c>
      <c r="AC3945">
        <v>24</v>
      </c>
      <c r="AD3945" s="1">
        <v>43562</v>
      </c>
      <c r="AE3945" t="str">
        <f>"SH19001697"</f>
        <v>SH19001697</v>
      </c>
      <c r="AF3945" t="str">
        <f>"משלוחים ללקוח"</f>
        <v>משלוחים ללקוח</v>
      </c>
      <c r="AG3945" s="1">
        <v>43802</v>
      </c>
      <c r="AM3945" t="str">
        <f>"10"</f>
        <v>10</v>
      </c>
      <c r="AN3945" t="str">
        <f>"500000"</f>
        <v>500000</v>
      </c>
      <c r="AO3945" t="str">
        <f>"הכנסות  מלקוחות"</f>
        <v>הכנסות  מלקוחות</v>
      </c>
      <c r="AQ3945" t="str">
        <f>"034"</f>
        <v>034</v>
      </c>
      <c r="AR3945">
        <v>0</v>
      </c>
      <c r="AS3945">
        <v>0</v>
      </c>
      <c r="AT3945">
        <v>3.4710000000000001</v>
      </c>
      <c r="AX3945" t="str">
        <f>"E000270896"</f>
        <v>E000270896</v>
      </c>
      <c r="BD3945" t="str">
        <f>"ערן שלו"</f>
        <v>ערן שלו</v>
      </c>
    </row>
    <row r="3946" spans="1:56" x14ac:dyDescent="0.3">
      <c r="A3946" s="1">
        <v>43804</v>
      </c>
      <c r="B3946" t="str">
        <f>"SI196001374"</f>
        <v>SI196001374</v>
      </c>
      <c r="C3946" t="str">
        <f>"PR18000543"</f>
        <v>PR18000543</v>
      </c>
      <c r="D3946" t="str">
        <f>"PR18000543"</f>
        <v>PR18000543</v>
      </c>
      <c r="E3946" t="str">
        <f>"Y"</f>
        <v>Y</v>
      </c>
      <c r="F3946" t="str">
        <f>"חשבוניות מרכזות"</f>
        <v>חשבוניות מרכזות</v>
      </c>
      <c r="G3946" t="str">
        <f>"700065"</f>
        <v>700065</v>
      </c>
      <c r="H3946" t="str">
        <f>"אלתא מערכות בע""מ"</f>
        <v>אלתא מערכות בע"מ</v>
      </c>
      <c r="I3946" t="str">
        <f>"10"</f>
        <v>10</v>
      </c>
      <c r="J3946" t="str">
        <f>"OP-AR01083"</f>
        <v>OP-AR01083</v>
      </c>
      <c r="K3946" t="str">
        <f>"1036C960-001 HVJB_N"</f>
        <v>1036C960-001 HVJB_N</v>
      </c>
      <c r="L3946">
        <v>1</v>
      </c>
      <c r="M3946" t="str">
        <f>"יח"</f>
        <v>יח</v>
      </c>
      <c r="N3946">
        <v>1</v>
      </c>
      <c r="O3946" t="str">
        <f>"יח"</f>
        <v>יח</v>
      </c>
      <c r="P3946" s="2">
        <v>6500</v>
      </c>
      <c r="Q3946" t="str">
        <f>"$"</f>
        <v>$</v>
      </c>
      <c r="R3946" t="str">
        <f>"הזמנה"</f>
        <v>הזמנה</v>
      </c>
      <c r="S3946">
        <v>0</v>
      </c>
      <c r="T3946" s="2">
        <v>6500</v>
      </c>
      <c r="U3946">
        <v>0</v>
      </c>
      <c r="V3946" s="2">
        <v>6500</v>
      </c>
      <c r="W3946" t="str">
        <f>"$"</f>
        <v>$</v>
      </c>
      <c r="X3946">
        <v>0</v>
      </c>
      <c r="Y3946">
        <v>0</v>
      </c>
      <c r="Z3946">
        <v>0</v>
      </c>
      <c r="AA3946" t="str">
        <f>"Y"</f>
        <v>Y</v>
      </c>
      <c r="AB3946" t="str">
        <f>"SO18000429"</f>
        <v>SO18000429</v>
      </c>
      <c r="AC3946">
        <v>3</v>
      </c>
      <c r="AD3946" s="1">
        <v>43311</v>
      </c>
      <c r="AE3946" t="str">
        <f>"SH19001690"</f>
        <v>SH19001690</v>
      </c>
      <c r="AF3946" t="str">
        <f>"משלוחים ללקוח"</f>
        <v>משלוחים ללקוח</v>
      </c>
      <c r="AG3946" s="1">
        <v>43801</v>
      </c>
      <c r="AM3946" t="str">
        <f>"10"</f>
        <v>10</v>
      </c>
      <c r="AN3946" t="str">
        <f>"500000"</f>
        <v>500000</v>
      </c>
      <c r="AO3946" t="str">
        <f>"הכנסות  מלקוחות"</f>
        <v>הכנסות  מלקוחות</v>
      </c>
      <c r="AQ3946" t="str">
        <f>"007"</f>
        <v>007</v>
      </c>
      <c r="AR3946">
        <v>0</v>
      </c>
      <c r="AS3946">
        <v>0</v>
      </c>
      <c r="AT3946">
        <v>3.4710000000000001</v>
      </c>
      <c r="AX3946" t="str">
        <f>"E000266439"</f>
        <v>E000266439</v>
      </c>
      <c r="BD3946" t="str">
        <f>"רוני דידי"</f>
        <v>רוני דידי</v>
      </c>
    </row>
    <row r="3947" spans="1:56" x14ac:dyDescent="0.3">
      <c r="A3947" s="1">
        <v>43804</v>
      </c>
      <c r="B3947" t="str">
        <f>"SI196001374"</f>
        <v>SI196001374</v>
      </c>
      <c r="C3947" t="str">
        <f>"PR18000543"</f>
        <v>PR18000543</v>
      </c>
      <c r="D3947" t="str">
        <f>"PR18000543"</f>
        <v>PR18000543</v>
      </c>
      <c r="E3947" t="str">
        <f>"Y"</f>
        <v>Y</v>
      </c>
      <c r="F3947" t="str">
        <f>"חשבוניות מרכזות"</f>
        <v>חשבוניות מרכזות</v>
      </c>
      <c r="G3947" t="str">
        <f>"700065"</f>
        <v>700065</v>
      </c>
      <c r="H3947" t="str">
        <f>"אלתא מערכות בע""מ"</f>
        <v>אלתא מערכות בע"מ</v>
      </c>
      <c r="I3947" t="str">
        <f>"10"</f>
        <v>10</v>
      </c>
      <c r="J3947" t="str">
        <f>"OP-AR01083"</f>
        <v>OP-AR01083</v>
      </c>
      <c r="K3947" t="str">
        <f>"1036C960-001 HVJB_N"</f>
        <v>1036C960-001 HVJB_N</v>
      </c>
      <c r="L3947">
        <v>5</v>
      </c>
      <c r="M3947" t="str">
        <f>"יח"</f>
        <v>יח</v>
      </c>
      <c r="N3947">
        <v>5</v>
      </c>
      <c r="O3947" t="str">
        <f>"יח"</f>
        <v>יח</v>
      </c>
      <c r="P3947" s="2">
        <v>6500</v>
      </c>
      <c r="Q3947" t="str">
        <f>"$"</f>
        <v>$</v>
      </c>
      <c r="R3947" t="str">
        <f>"הזמנה"</f>
        <v>הזמנה</v>
      </c>
      <c r="S3947">
        <v>0</v>
      </c>
      <c r="T3947" s="2">
        <v>32500</v>
      </c>
      <c r="U3947">
        <v>0</v>
      </c>
      <c r="V3947" s="2">
        <v>32500</v>
      </c>
      <c r="W3947" t="str">
        <f>"$"</f>
        <v>$</v>
      </c>
      <c r="X3947">
        <v>0</v>
      </c>
      <c r="Y3947">
        <v>0</v>
      </c>
      <c r="Z3947">
        <v>0</v>
      </c>
      <c r="AA3947" t="str">
        <f>"Y"</f>
        <v>Y</v>
      </c>
      <c r="AB3947" t="str">
        <f>"SO18000429"</f>
        <v>SO18000429</v>
      </c>
      <c r="AC3947">
        <v>4</v>
      </c>
      <c r="AD3947" s="1">
        <v>43311</v>
      </c>
      <c r="AE3947" t="str">
        <f>"SH19001690"</f>
        <v>SH19001690</v>
      </c>
      <c r="AF3947" t="str">
        <f>"משלוחים ללקוח"</f>
        <v>משלוחים ללקוח</v>
      </c>
      <c r="AG3947" s="1">
        <v>43801</v>
      </c>
      <c r="AM3947" t="str">
        <f>"10"</f>
        <v>10</v>
      </c>
      <c r="AN3947" t="str">
        <f>"500000"</f>
        <v>500000</v>
      </c>
      <c r="AO3947" t="str">
        <f>"הכנסות  מלקוחות"</f>
        <v>הכנסות  מלקוחות</v>
      </c>
      <c r="AQ3947" t="str">
        <f>"007"</f>
        <v>007</v>
      </c>
      <c r="AR3947">
        <v>0</v>
      </c>
      <c r="AS3947">
        <v>0</v>
      </c>
      <c r="AT3947">
        <v>3.4710000000000001</v>
      </c>
      <c r="AX3947" t="str">
        <f>"E000266439"</f>
        <v>E000266439</v>
      </c>
      <c r="BD3947" t="str">
        <f>"רוני דידי"</f>
        <v>רוני דידי</v>
      </c>
    </row>
    <row r="3948" spans="1:56" x14ac:dyDescent="0.3">
      <c r="A3948" s="1">
        <v>43804</v>
      </c>
      <c r="B3948" t="str">
        <f>"SI196001374"</f>
        <v>SI196001374</v>
      </c>
      <c r="C3948" t="str">
        <f>"PR18000543"</f>
        <v>PR18000543</v>
      </c>
      <c r="D3948" t="str">
        <f>"PR18000543"</f>
        <v>PR18000543</v>
      </c>
      <c r="E3948" t="str">
        <f>"Y"</f>
        <v>Y</v>
      </c>
      <c r="F3948" t="str">
        <f>"חשבוניות מרכזות"</f>
        <v>חשבוניות מרכזות</v>
      </c>
      <c r="G3948" t="str">
        <f>"700065"</f>
        <v>700065</v>
      </c>
      <c r="H3948" t="str">
        <f>"אלתא מערכות בע""מ"</f>
        <v>אלתא מערכות בע"מ</v>
      </c>
      <c r="I3948" t="str">
        <f>"10"</f>
        <v>10</v>
      </c>
      <c r="J3948" t="str">
        <f>"OP-AR01083"</f>
        <v>OP-AR01083</v>
      </c>
      <c r="K3948" t="str">
        <f>"1036C960-001 HVJB_N"</f>
        <v>1036C960-001 HVJB_N</v>
      </c>
      <c r="L3948">
        <v>1</v>
      </c>
      <c r="M3948" t="str">
        <f>"יח"</f>
        <v>יח</v>
      </c>
      <c r="N3948">
        <v>1</v>
      </c>
      <c r="O3948" t="str">
        <f>"יח"</f>
        <v>יח</v>
      </c>
      <c r="P3948" s="2">
        <v>6500</v>
      </c>
      <c r="Q3948" t="str">
        <f>"$"</f>
        <v>$</v>
      </c>
      <c r="R3948" t="str">
        <f>"הזמנה"</f>
        <v>הזמנה</v>
      </c>
      <c r="S3948">
        <v>0</v>
      </c>
      <c r="T3948" s="2">
        <v>6500</v>
      </c>
      <c r="U3948">
        <v>0</v>
      </c>
      <c r="V3948" s="2">
        <v>6500</v>
      </c>
      <c r="W3948" t="str">
        <f>"$"</f>
        <v>$</v>
      </c>
      <c r="X3948">
        <v>0</v>
      </c>
      <c r="Y3948">
        <v>0</v>
      </c>
      <c r="Z3948">
        <v>0</v>
      </c>
      <c r="AA3948" t="str">
        <f>"Y"</f>
        <v>Y</v>
      </c>
      <c r="AB3948" t="str">
        <f>"SO18000429"</f>
        <v>SO18000429</v>
      </c>
      <c r="AC3948">
        <v>5</v>
      </c>
      <c r="AD3948" s="1">
        <v>43311</v>
      </c>
      <c r="AE3948" t="str">
        <f>"SH19001690"</f>
        <v>SH19001690</v>
      </c>
      <c r="AF3948" t="str">
        <f>"משלוחים ללקוח"</f>
        <v>משלוחים ללקוח</v>
      </c>
      <c r="AG3948" s="1">
        <v>43801</v>
      </c>
      <c r="AM3948" t="str">
        <f>"10"</f>
        <v>10</v>
      </c>
      <c r="AN3948" t="str">
        <f>"500000"</f>
        <v>500000</v>
      </c>
      <c r="AO3948" t="str">
        <f>"הכנסות  מלקוחות"</f>
        <v>הכנסות  מלקוחות</v>
      </c>
      <c r="AQ3948" t="str">
        <f>"007"</f>
        <v>007</v>
      </c>
      <c r="AR3948">
        <v>0</v>
      </c>
      <c r="AS3948">
        <v>0</v>
      </c>
      <c r="AT3948">
        <v>3.4710000000000001</v>
      </c>
      <c r="AX3948" t="str">
        <f>"E000266439"</f>
        <v>E000266439</v>
      </c>
      <c r="BD3948" t="str">
        <f>"רוני דידי"</f>
        <v>רוני דידי</v>
      </c>
    </row>
    <row r="3949" spans="1:56" x14ac:dyDescent="0.3">
      <c r="A3949" s="1">
        <v>43803</v>
      </c>
      <c r="B3949" t="str">
        <f>"SI196001366"</f>
        <v>SI196001366</v>
      </c>
      <c r="C3949" t="str">
        <f>"PR18000543"</f>
        <v>PR18000543</v>
      </c>
      <c r="D3949" t="str">
        <f>"PR18000543"</f>
        <v>PR18000543</v>
      </c>
      <c r="E3949" t="str">
        <f>"Y"</f>
        <v>Y</v>
      </c>
      <c r="F3949" t="str">
        <f>"חשבוניות מרכזות"</f>
        <v>חשבוניות מרכזות</v>
      </c>
      <c r="G3949" t="str">
        <f>"700065"</f>
        <v>700065</v>
      </c>
      <c r="H3949" t="str">
        <f>"אלתא מערכות בע""מ"</f>
        <v>אלתא מערכות בע"מ</v>
      </c>
      <c r="I3949" t="str">
        <f>"10"</f>
        <v>10</v>
      </c>
      <c r="J3949" t="str">
        <f>"000"</f>
        <v>000</v>
      </c>
      <c r="K3949" t="str">
        <f>"HVJB BRACKET- שינוי תכן"</f>
        <v>HVJB BRACKET- שינוי תכן</v>
      </c>
      <c r="L3949">
        <v>1</v>
      </c>
      <c r="M3949" t="str">
        <f>"יח"</f>
        <v>יח</v>
      </c>
      <c r="N3949">
        <v>1</v>
      </c>
      <c r="O3949" t="str">
        <f>"יח"</f>
        <v>יח</v>
      </c>
      <c r="P3949" s="2">
        <v>3317.4</v>
      </c>
      <c r="Q3949" t="str">
        <f>"$"</f>
        <v>$</v>
      </c>
      <c r="R3949" t="str">
        <f>"הזמנה"</f>
        <v>הזמנה</v>
      </c>
      <c r="S3949">
        <v>0</v>
      </c>
      <c r="T3949" s="2">
        <v>3317.4</v>
      </c>
      <c r="U3949">
        <v>0</v>
      </c>
      <c r="V3949" s="2">
        <v>3317.4</v>
      </c>
      <c r="W3949" t="str">
        <f>"$"</f>
        <v>$</v>
      </c>
      <c r="X3949">
        <v>0</v>
      </c>
      <c r="Y3949">
        <v>0</v>
      </c>
      <c r="Z3949">
        <v>0</v>
      </c>
      <c r="AA3949" t="str">
        <f>"Y"</f>
        <v>Y</v>
      </c>
      <c r="AB3949" t="str">
        <f>"SO19000474"</f>
        <v>SO19000474</v>
      </c>
      <c r="AC3949">
        <v>1</v>
      </c>
      <c r="AD3949" s="1">
        <v>43774</v>
      </c>
      <c r="AE3949" t="str">
        <f>"SH19001696"</f>
        <v>SH19001696</v>
      </c>
      <c r="AF3949" t="str">
        <f>"משלוחים ללקוח"</f>
        <v>משלוחים ללקוח</v>
      </c>
      <c r="AG3949" s="1">
        <v>43802</v>
      </c>
      <c r="AM3949" t="str">
        <f>"10"</f>
        <v>10</v>
      </c>
      <c r="AN3949" t="str">
        <f>"500000"</f>
        <v>500000</v>
      </c>
      <c r="AO3949" t="str">
        <f>"הכנסות  מלקוחות"</f>
        <v>הכנסות  מלקוחות</v>
      </c>
      <c r="AQ3949" t="str">
        <f>"034"</f>
        <v>034</v>
      </c>
      <c r="AR3949">
        <v>0</v>
      </c>
      <c r="AS3949">
        <v>0</v>
      </c>
      <c r="AT3949">
        <v>3.4809999999999999</v>
      </c>
      <c r="AX3949" t="str">
        <f>"E000298231"</f>
        <v>E000298231</v>
      </c>
      <c r="BD3949" t="str">
        <f>"ערן שלו"</f>
        <v>ערן שלו</v>
      </c>
    </row>
    <row r="3950" spans="1:56" x14ac:dyDescent="0.3">
      <c r="A3950" s="1">
        <v>43795</v>
      </c>
      <c r="B3950" t="str">
        <f>"SI196001337"</f>
        <v>SI196001337</v>
      </c>
      <c r="E3950" t="str">
        <f>"Y"</f>
        <v>Y</v>
      </c>
      <c r="F3950" t="str">
        <f>"חשבוניות מרכזות"</f>
        <v>חשבוניות מרכזות</v>
      </c>
      <c r="G3950" t="str">
        <f>"700065"</f>
        <v>700065</v>
      </c>
      <c r="H3950" t="str">
        <f>"אלתא מערכות בע""מ"</f>
        <v>אלתא מערכות בע"מ</v>
      </c>
      <c r="I3950" t="str">
        <f>"10"</f>
        <v>10</v>
      </c>
      <c r="J3950" t="str">
        <f>"000"</f>
        <v>000</v>
      </c>
      <c r="K3950" t="str">
        <f>"התקנת מערכת כוח באתר פיליפיני"</f>
        <v>התקנת מערכת כוח באתר פיליפיני</v>
      </c>
      <c r="L3950">
        <v>1</v>
      </c>
      <c r="M3950" t="str">
        <f>"יח"</f>
        <v>יח</v>
      </c>
      <c r="N3950">
        <v>1</v>
      </c>
      <c r="O3950" t="str">
        <f>"יח"</f>
        <v>יח</v>
      </c>
      <c r="P3950" s="2">
        <v>30000</v>
      </c>
      <c r="Q3950" t="str">
        <f>"$"</f>
        <v>$</v>
      </c>
      <c r="R3950" t="str">
        <f>"הזמנה"</f>
        <v>הזמנה</v>
      </c>
      <c r="S3950">
        <v>0</v>
      </c>
      <c r="T3950" s="2">
        <v>30000</v>
      </c>
      <c r="U3950">
        <v>0</v>
      </c>
      <c r="V3950" s="2">
        <v>30000</v>
      </c>
      <c r="W3950" t="str">
        <f>"$"</f>
        <v>$</v>
      </c>
      <c r="X3950">
        <v>0</v>
      </c>
      <c r="Y3950">
        <v>0</v>
      </c>
      <c r="Z3950">
        <v>0</v>
      </c>
      <c r="AA3950" t="str">
        <f>"Y"</f>
        <v>Y</v>
      </c>
      <c r="AC3950">
        <v>0</v>
      </c>
      <c r="AM3950" t="str">
        <f>"10"</f>
        <v>10</v>
      </c>
      <c r="AN3950" t="str">
        <f>"500000"</f>
        <v>500000</v>
      </c>
      <c r="AO3950" t="str">
        <f>"הכנסות  מלקוחות"</f>
        <v>הכנסות  מלקוחות</v>
      </c>
      <c r="AQ3950" t="str">
        <f>"007"</f>
        <v>007</v>
      </c>
      <c r="AR3950">
        <v>0</v>
      </c>
      <c r="AS3950">
        <v>0</v>
      </c>
      <c r="AT3950">
        <v>3.4609999999999999</v>
      </c>
      <c r="BB3950" t="str">
        <f>"Y"</f>
        <v>Y</v>
      </c>
      <c r="BD3950" t="str">
        <f>"רוני דידי"</f>
        <v>רוני דידי</v>
      </c>
    </row>
    <row r="3951" spans="1:56" x14ac:dyDescent="0.3">
      <c r="A3951" s="1">
        <v>43794</v>
      </c>
      <c r="B3951" t="str">
        <f>"SI196001328"</f>
        <v>SI196001328</v>
      </c>
      <c r="C3951" t="str">
        <f>"PR19000672"</f>
        <v>PR19000672</v>
      </c>
      <c r="E3951" t="str">
        <f>"Y"</f>
        <v>Y</v>
      </c>
      <c r="F3951" t="str">
        <f>"חשבוניות מרכזות"</f>
        <v>חשבוניות מרכזות</v>
      </c>
      <c r="G3951" t="str">
        <f>"700065"</f>
        <v>700065</v>
      </c>
      <c r="H3951" t="str">
        <f>"אלתא מערכות בע""מ"</f>
        <v>אלתא מערכות בע"מ</v>
      </c>
      <c r="I3951" t="str">
        <f>"10"</f>
        <v>10</v>
      </c>
      <c r="J3951" t="str">
        <f>"BT0232326"</f>
        <v>BT0232326</v>
      </c>
      <c r="K3951" t="str">
        <f>"מצבר 12V/52AH - GPL CSB"</f>
        <v>מצבר 12V/52AH - GPL CSB</v>
      </c>
      <c r="L3951">
        <v>2</v>
      </c>
      <c r="M3951" t="str">
        <f>"יח"</f>
        <v>יח</v>
      </c>
      <c r="N3951">
        <v>2</v>
      </c>
      <c r="O3951" t="str">
        <f>"יח"</f>
        <v>יח</v>
      </c>
      <c r="P3951">
        <v>160</v>
      </c>
      <c r="Q3951" t="str">
        <f>"$"</f>
        <v>$</v>
      </c>
      <c r="R3951" t="str">
        <f>"הזמנה"</f>
        <v>הזמנה</v>
      </c>
      <c r="S3951">
        <v>0</v>
      </c>
      <c r="T3951">
        <v>320</v>
      </c>
      <c r="U3951">
        <v>0</v>
      </c>
      <c r="V3951">
        <v>320</v>
      </c>
      <c r="W3951" t="str">
        <f>"$"</f>
        <v>$</v>
      </c>
      <c r="X3951">
        <v>0</v>
      </c>
      <c r="Y3951">
        <v>0</v>
      </c>
      <c r="Z3951">
        <v>0</v>
      </c>
      <c r="AA3951" t="str">
        <f>"Y"</f>
        <v>Y</v>
      </c>
      <c r="AB3951" t="str">
        <f>"SO19000482"</f>
        <v>SO19000482</v>
      </c>
      <c r="AC3951">
        <v>1</v>
      </c>
      <c r="AD3951" s="1">
        <v>43786</v>
      </c>
      <c r="AE3951" t="str">
        <f>"SH19001577"</f>
        <v>SH19001577</v>
      </c>
      <c r="AF3951" t="str">
        <f>"משלוחים ללקוח"</f>
        <v>משלוחים ללקוח</v>
      </c>
      <c r="AG3951" s="1">
        <v>43786</v>
      </c>
      <c r="AM3951" t="str">
        <f>"10"</f>
        <v>10</v>
      </c>
      <c r="AN3951" t="str">
        <f>"500000"</f>
        <v>500000</v>
      </c>
      <c r="AO3951" t="str">
        <f>"הכנסות  מלקוחות"</f>
        <v>הכנסות  מלקוחות</v>
      </c>
      <c r="AQ3951" t="str">
        <f>"034"</f>
        <v>034</v>
      </c>
      <c r="AR3951">
        <v>0</v>
      </c>
      <c r="AS3951">
        <v>0</v>
      </c>
      <c r="AT3951">
        <v>3.46</v>
      </c>
      <c r="AX3951" t="str">
        <f>"E000298904"</f>
        <v>E000298904</v>
      </c>
      <c r="BD3951" t="str">
        <f>"ערן שלו"</f>
        <v>ערן שלו</v>
      </c>
    </row>
    <row r="3952" spans="1:56" x14ac:dyDescent="0.3">
      <c r="A3952" s="1">
        <v>43787</v>
      </c>
      <c r="B3952" t="str">
        <f>"SI196001302"</f>
        <v>SI196001302</v>
      </c>
      <c r="C3952" t="str">
        <f>"PR19000304"</f>
        <v>PR19000304</v>
      </c>
      <c r="E3952" t="str">
        <f>"Y"</f>
        <v>Y</v>
      </c>
      <c r="F3952" t="str">
        <f>"חשבוניות מרכזות"</f>
        <v>חשבוניות מרכזות</v>
      </c>
      <c r="G3952" t="str">
        <f>"700065"</f>
        <v>700065</v>
      </c>
      <c r="H3952" t="str">
        <f>"אלתא מערכות בע""מ"</f>
        <v>אלתא מערכות בע"מ</v>
      </c>
      <c r="I3952" t="str">
        <f>"10"</f>
        <v>10</v>
      </c>
      <c r="J3952" t="str">
        <f>"OP-ML00095"</f>
        <v>OP-ML00095</v>
      </c>
      <c r="K3952" t="str">
        <f>"רתמה 1038R273-002 PEDESTAL LIGHT CABLE"</f>
        <v>רתמה 1038R273-002 PEDESTAL LIGHT CABLE</v>
      </c>
      <c r="L3952">
        <v>-1</v>
      </c>
      <c r="M3952" t="str">
        <f>"יח"</f>
        <v>יח</v>
      </c>
      <c r="N3952">
        <v>-1</v>
      </c>
      <c r="O3952" t="str">
        <f>"יח"</f>
        <v>יח</v>
      </c>
      <c r="P3952">
        <v>340</v>
      </c>
      <c r="Q3952" t="str">
        <f>"$"</f>
        <v>$</v>
      </c>
      <c r="R3952" t="str">
        <f>"הזמנה"</f>
        <v>הזמנה</v>
      </c>
      <c r="S3952">
        <v>0</v>
      </c>
      <c r="T3952">
        <v>-340</v>
      </c>
      <c r="U3952">
        <v>0</v>
      </c>
      <c r="V3952">
        <v>-340</v>
      </c>
      <c r="W3952" t="str">
        <f>"$"</f>
        <v>$</v>
      </c>
      <c r="X3952">
        <v>0</v>
      </c>
      <c r="Y3952">
        <v>0</v>
      </c>
      <c r="Z3952">
        <v>0</v>
      </c>
      <c r="AA3952" t="str">
        <f>"Y"</f>
        <v>Y</v>
      </c>
      <c r="AC3952">
        <v>0</v>
      </c>
      <c r="AM3952" t="str">
        <f>"10"</f>
        <v>10</v>
      </c>
      <c r="AN3952" t="str">
        <f>"500000"</f>
        <v>500000</v>
      </c>
      <c r="AO3952" t="str">
        <f>"הכנסות  מלקוחות"</f>
        <v>הכנסות  מלקוחות</v>
      </c>
      <c r="AQ3952" t="str">
        <f>"034"</f>
        <v>034</v>
      </c>
      <c r="AR3952">
        <v>0</v>
      </c>
      <c r="AS3952">
        <v>0</v>
      </c>
      <c r="AT3952">
        <v>3.4780000000000002</v>
      </c>
      <c r="BB3952" t="str">
        <f>"Y"</f>
        <v>Y</v>
      </c>
      <c r="BD3952" t="str">
        <f>"ערן שלו"</f>
        <v>ערן שלו</v>
      </c>
    </row>
    <row r="3953" spans="1:56" x14ac:dyDescent="0.3">
      <c r="A3953" s="1">
        <v>43787</v>
      </c>
      <c r="B3953" t="str">
        <f>"SI196001299"</f>
        <v>SI196001299</v>
      </c>
      <c r="C3953" t="str">
        <f>"PR19000304"</f>
        <v>PR19000304</v>
      </c>
      <c r="E3953" t="str">
        <f>"Y"</f>
        <v>Y</v>
      </c>
      <c r="F3953" t="str">
        <f>"חשבוניות מרכזות"</f>
        <v>חשבוניות מרכזות</v>
      </c>
      <c r="G3953" t="str">
        <f>"700065"</f>
        <v>700065</v>
      </c>
      <c r="H3953" t="str">
        <f>"אלתא מערכות בע""מ"</f>
        <v>אלתא מערכות בע"מ</v>
      </c>
      <c r="I3953" t="str">
        <f>"10"</f>
        <v>10</v>
      </c>
      <c r="J3953" t="str">
        <f>"OP-ML00095"</f>
        <v>OP-ML00095</v>
      </c>
      <c r="K3953" t="str">
        <f>"רתמה 1038R273-002 PEDESTAL LIGHT CABLE"</f>
        <v>רתמה 1038R273-002 PEDESTAL LIGHT CABLE</v>
      </c>
      <c r="L3953">
        <v>1</v>
      </c>
      <c r="M3953" t="str">
        <f>"יח"</f>
        <v>יח</v>
      </c>
      <c r="N3953">
        <v>1</v>
      </c>
      <c r="O3953" t="str">
        <f>"יח"</f>
        <v>יח</v>
      </c>
      <c r="P3953">
        <v>340</v>
      </c>
      <c r="Q3953" t="str">
        <f>"$"</f>
        <v>$</v>
      </c>
      <c r="R3953" t="str">
        <f>"הזמנה"</f>
        <v>הזמנה</v>
      </c>
      <c r="S3953">
        <v>0</v>
      </c>
      <c r="T3953">
        <v>340</v>
      </c>
      <c r="U3953">
        <v>0</v>
      </c>
      <c r="V3953">
        <v>340</v>
      </c>
      <c r="W3953" t="str">
        <f>"$"</f>
        <v>$</v>
      </c>
      <c r="X3953">
        <v>0</v>
      </c>
      <c r="Y3953">
        <v>0</v>
      </c>
      <c r="Z3953">
        <v>0</v>
      </c>
      <c r="AA3953" t="str">
        <f>"Y"</f>
        <v>Y</v>
      </c>
      <c r="AC3953">
        <v>0</v>
      </c>
      <c r="AM3953" t="str">
        <f>"10"</f>
        <v>10</v>
      </c>
      <c r="AN3953" t="str">
        <f>"500000"</f>
        <v>500000</v>
      </c>
      <c r="AO3953" t="str">
        <f>"הכנסות  מלקוחות"</f>
        <v>הכנסות  מלקוחות</v>
      </c>
      <c r="AQ3953" t="str">
        <f>"034"</f>
        <v>034</v>
      </c>
      <c r="AR3953">
        <v>0</v>
      </c>
      <c r="AS3953">
        <v>0</v>
      </c>
      <c r="AT3953">
        <v>3.4780000000000002</v>
      </c>
      <c r="BB3953" t="str">
        <f>"Y"</f>
        <v>Y</v>
      </c>
      <c r="BD3953" t="str">
        <f>"ערן שלו"</f>
        <v>ערן שלו</v>
      </c>
    </row>
    <row r="3954" spans="1:56" x14ac:dyDescent="0.3">
      <c r="A3954" s="1">
        <v>43787</v>
      </c>
      <c r="B3954" t="str">
        <f>"SI196001298"</f>
        <v>SI196001298</v>
      </c>
      <c r="C3954" t="str">
        <f>"PR19000672"</f>
        <v>PR19000672</v>
      </c>
      <c r="E3954" t="str">
        <f>"Y"</f>
        <v>Y</v>
      </c>
      <c r="F3954" t="str">
        <f>"חשבוניות מרכזות"</f>
        <v>חשבוניות מרכזות</v>
      </c>
      <c r="G3954" t="str">
        <f>"700065"</f>
        <v>700065</v>
      </c>
      <c r="H3954" t="str">
        <f>"אלתא מערכות בע""מ"</f>
        <v>אלתא מערכות בע"מ</v>
      </c>
      <c r="I3954" t="str">
        <f>"10"</f>
        <v>10</v>
      </c>
      <c r="J3954" t="str">
        <f>"BT0232326"</f>
        <v>BT0232326</v>
      </c>
      <c r="K3954" t="str">
        <f>"מצבר 12V/52AH - GPL CSB"</f>
        <v>מצבר 12V/52AH - GPL CSB</v>
      </c>
      <c r="L3954">
        <v>2</v>
      </c>
      <c r="M3954" t="str">
        <f>"יח"</f>
        <v>יח</v>
      </c>
      <c r="N3954">
        <v>2</v>
      </c>
      <c r="O3954" t="str">
        <f>"יח"</f>
        <v>יח</v>
      </c>
      <c r="P3954">
        <v>160</v>
      </c>
      <c r="Q3954" t="str">
        <f>"$"</f>
        <v>$</v>
      </c>
      <c r="R3954" t="str">
        <f>"הזמנה"</f>
        <v>הזמנה</v>
      </c>
      <c r="S3954">
        <v>0</v>
      </c>
      <c r="T3954">
        <v>320</v>
      </c>
      <c r="U3954">
        <v>0</v>
      </c>
      <c r="V3954">
        <v>320</v>
      </c>
      <c r="W3954" t="str">
        <f>"$"</f>
        <v>$</v>
      </c>
      <c r="X3954">
        <v>0</v>
      </c>
      <c r="Y3954">
        <v>0</v>
      </c>
      <c r="Z3954">
        <v>0</v>
      </c>
      <c r="AA3954" t="str">
        <f>"Y"</f>
        <v>Y</v>
      </c>
      <c r="AB3954" t="str">
        <f>"SO19000466"</f>
        <v>SO19000466</v>
      </c>
      <c r="AC3954">
        <v>1</v>
      </c>
      <c r="AD3954" s="1">
        <v>43769</v>
      </c>
      <c r="AE3954" t="str">
        <f>"SH19001558"</f>
        <v>SH19001558</v>
      </c>
      <c r="AF3954" t="str">
        <f>"משלוחים ללקוח"</f>
        <v>משלוחים ללקוח</v>
      </c>
      <c r="AG3954" s="1">
        <v>43779</v>
      </c>
      <c r="AM3954" t="str">
        <f>"10"</f>
        <v>10</v>
      </c>
      <c r="AN3954" t="str">
        <f>"500000"</f>
        <v>500000</v>
      </c>
      <c r="AO3954" t="str">
        <f>"הכנסות  מלקוחות"</f>
        <v>הכנסות  מלקוחות</v>
      </c>
      <c r="AQ3954" t="str">
        <f>"034"</f>
        <v>034</v>
      </c>
      <c r="AR3954">
        <v>0</v>
      </c>
      <c r="AS3954">
        <v>0</v>
      </c>
      <c r="AT3954">
        <v>3.4780000000000002</v>
      </c>
      <c r="AX3954" t="str">
        <f>"E000297906"</f>
        <v>E000297906</v>
      </c>
      <c r="BD3954" t="str">
        <f>"ערן שלו"</f>
        <v>ערן שלו</v>
      </c>
    </row>
    <row r="3955" spans="1:56" x14ac:dyDescent="0.3">
      <c r="A3955" s="1">
        <v>43782</v>
      </c>
      <c r="B3955" t="str">
        <f>"SI196001286"</f>
        <v>SI196001286</v>
      </c>
      <c r="E3955" t="str">
        <f>"Y"</f>
        <v>Y</v>
      </c>
      <c r="F3955" t="str">
        <f>"חשבוניות מרכזות"</f>
        <v>חשבוניות מרכזות</v>
      </c>
      <c r="G3955" t="str">
        <f>"700065"</f>
        <v>700065</v>
      </c>
      <c r="H3955" t="str">
        <f>"אלתא מערכות בע""מ"</f>
        <v>אלתא מערכות בע"מ</v>
      </c>
      <c r="I3955" t="str">
        <f>"10"</f>
        <v>10</v>
      </c>
      <c r="J3955" t="str">
        <f>"999"</f>
        <v>999</v>
      </c>
      <c r="K3955" t="str">
        <f>"תוספת בגין שינויים ב 1037C508-001- עבור BEL- 1"</f>
        <v>תוספת בגין שינויים ב 1037C508-001- עבור BEL- 1</v>
      </c>
      <c r="L3955">
        <v>0.25</v>
      </c>
      <c r="M3955" t="str">
        <f>"חל"</f>
        <v>חל</v>
      </c>
      <c r="N3955">
        <v>0.25</v>
      </c>
      <c r="O3955" t="str">
        <f>"חל"</f>
        <v>חל</v>
      </c>
      <c r="P3955" s="2">
        <v>73508</v>
      </c>
      <c r="Q3955" t="str">
        <f>"$"</f>
        <v>$</v>
      </c>
      <c r="R3955" t="str">
        <f>"הזמנה"</f>
        <v>הזמנה</v>
      </c>
      <c r="S3955">
        <v>0</v>
      </c>
      <c r="T3955" s="2">
        <v>18377</v>
      </c>
      <c r="U3955">
        <v>0</v>
      </c>
      <c r="V3955" s="2">
        <v>18377</v>
      </c>
      <c r="W3955" t="str">
        <f>"$"</f>
        <v>$</v>
      </c>
      <c r="X3955">
        <v>0</v>
      </c>
      <c r="Y3955">
        <v>0</v>
      </c>
      <c r="Z3955">
        <v>0</v>
      </c>
      <c r="AA3955" t="str">
        <f>"Y"</f>
        <v>Y</v>
      </c>
      <c r="AB3955" t="str">
        <f>"SO19000481"</f>
        <v>SO19000481</v>
      </c>
      <c r="AC3955">
        <v>1</v>
      </c>
      <c r="AD3955" s="1">
        <v>43782</v>
      </c>
      <c r="AE3955" t="str">
        <f>"SH19001570"</f>
        <v>SH19001570</v>
      </c>
      <c r="AF3955" t="str">
        <f>"משלוחים ללקוח"</f>
        <v>משלוחים ללקוח</v>
      </c>
      <c r="AG3955" s="1">
        <v>43782</v>
      </c>
      <c r="AM3955" t="str">
        <f>"10"</f>
        <v>10</v>
      </c>
      <c r="AN3955" t="str">
        <f>"500000"</f>
        <v>500000</v>
      </c>
      <c r="AO3955" t="str">
        <f>"הכנסות  מלקוחות"</f>
        <v>הכנסות  מלקוחות</v>
      </c>
      <c r="AQ3955" t="str">
        <f>"034"</f>
        <v>034</v>
      </c>
      <c r="AR3955">
        <v>0</v>
      </c>
      <c r="AS3955">
        <v>0</v>
      </c>
      <c r="AT3955">
        <v>3.4990000000000001</v>
      </c>
      <c r="AX3955" t="str">
        <f>"E000298440"</f>
        <v>E000298440</v>
      </c>
      <c r="BD3955" t="str">
        <f>"ערן שלו"</f>
        <v>ערן שלו</v>
      </c>
    </row>
    <row r="3956" spans="1:56" x14ac:dyDescent="0.3">
      <c r="A3956" s="1">
        <v>43775</v>
      </c>
      <c r="B3956" t="str">
        <f>"SI196001261"</f>
        <v>SI196001261</v>
      </c>
      <c r="C3956" t="str">
        <f>"PR19000398"</f>
        <v>PR19000398</v>
      </c>
      <c r="E3956" t="str">
        <f>"Y"</f>
        <v>Y</v>
      </c>
      <c r="F3956" t="str">
        <f>"חשבוניות מרכזות"</f>
        <v>חשבוניות מרכזות</v>
      </c>
      <c r="G3956" t="str">
        <f>"700065"</f>
        <v>700065</v>
      </c>
      <c r="H3956" t="str">
        <f>"אלתא מערכות בע""מ"</f>
        <v>אלתא מערכות בע"מ</v>
      </c>
      <c r="I3956" t="str">
        <f>"10"</f>
        <v>10</v>
      </c>
      <c r="J3956" t="str">
        <f>"000"</f>
        <v>000</v>
      </c>
      <c r="K3956" t="str">
        <f>"NRE ליחידת PDU"</f>
        <v>NRE ליחידת PDU</v>
      </c>
      <c r="L3956">
        <v>1</v>
      </c>
      <c r="M3956" t="str">
        <f>"יח"</f>
        <v>יח</v>
      </c>
      <c r="N3956">
        <v>1</v>
      </c>
      <c r="O3956" t="str">
        <f>"יח"</f>
        <v>יח</v>
      </c>
      <c r="P3956" s="2">
        <v>7892.5</v>
      </c>
      <c r="Q3956" t="str">
        <f>"$"</f>
        <v>$</v>
      </c>
      <c r="R3956" t="str">
        <f>"הזמנה"</f>
        <v>הזמנה</v>
      </c>
      <c r="S3956">
        <v>0</v>
      </c>
      <c r="T3956" s="2">
        <v>7892.5</v>
      </c>
      <c r="U3956">
        <v>0</v>
      </c>
      <c r="V3956" s="2">
        <v>7892.5</v>
      </c>
      <c r="W3956" t="str">
        <f>"$"</f>
        <v>$</v>
      </c>
      <c r="X3956">
        <v>0</v>
      </c>
      <c r="Y3956">
        <v>0</v>
      </c>
      <c r="Z3956">
        <v>0</v>
      </c>
      <c r="AA3956" t="str">
        <f>"Y"</f>
        <v>Y</v>
      </c>
      <c r="AC3956">
        <v>0</v>
      </c>
      <c r="AM3956" t="str">
        <f>"10"</f>
        <v>10</v>
      </c>
      <c r="AN3956" t="str">
        <f>"500000"</f>
        <v>500000</v>
      </c>
      <c r="AO3956" t="str">
        <f>"הכנסות  מלקוחות"</f>
        <v>הכנסות  מלקוחות</v>
      </c>
      <c r="AQ3956" t="str">
        <f>"034"</f>
        <v>034</v>
      </c>
      <c r="AR3956">
        <v>0</v>
      </c>
      <c r="AS3956">
        <v>0</v>
      </c>
      <c r="AT3956">
        <v>3.5009999999999999</v>
      </c>
      <c r="BB3956" t="str">
        <f>"Y"</f>
        <v>Y</v>
      </c>
      <c r="BD3956" t="str">
        <f>"ערן שלו"</f>
        <v>ערן שלו</v>
      </c>
    </row>
    <row r="3957" spans="1:56" x14ac:dyDescent="0.3">
      <c r="A3957" s="1">
        <v>43774</v>
      </c>
      <c r="B3957" t="str">
        <f>"SI196001258"</f>
        <v>SI196001258</v>
      </c>
      <c r="C3957" t="str">
        <f>"PR19000111"</f>
        <v>PR19000111</v>
      </c>
      <c r="E3957" t="str">
        <f>"Y"</f>
        <v>Y</v>
      </c>
      <c r="F3957" t="str">
        <f>"חשבוניות מרכזות"</f>
        <v>חשבוניות מרכזות</v>
      </c>
      <c r="G3957" t="str">
        <f>"700065"</f>
        <v>700065</v>
      </c>
      <c r="H3957" t="str">
        <f>"אלתא מערכות בע""מ"</f>
        <v>אלתא מערכות בע"מ</v>
      </c>
      <c r="I3957" t="str">
        <f>"05"</f>
        <v>05</v>
      </c>
      <c r="J3957" t="str">
        <f>"SH0100044"</f>
        <v>SH0100044</v>
      </c>
      <c r="K3957" t="str">
        <f>"שנאי 200KVA לפי מפרט"</f>
        <v>שנאי 200KVA לפי מפרט</v>
      </c>
      <c r="L3957">
        <v>1</v>
      </c>
      <c r="M3957" t="str">
        <f>"יח"</f>
        <v>יח</v>
      </c>
      <c r="N3957">
        <v>1</v>
      </c>
      <c r="O3957" t="str">
        <f>"יח"</f>
        <v>יח</v>
      </c>
      <c r="P3957" s="2">
        <v>38000</v>
      </c>
      <c r="Q3957" t="str">
        <f>"$"</f>
        <v>$</v>
      </c>
      <c r="R3957" t="str">
        <f>"הזמנה"</f>
        <v>הזמנה</v>
      </c>
      <c r="S3957">
        <v>0</v>
      </c>
      <c r="T3957" s="2">
        <v>38000</v>
      </c>
      <c r="U3957">
        <v>0</v>
      </c>
      <c r="V3957" s="2">
        <v>38000</v>
      </c>
      <c r="W3957" t="str">
        <f>"$"</f>
        <v>$</v>
      </c>
      <c r="X3957">
        <v>0</v>
      </c>
      <c r="Y3957">
        <v>0</v>
      </c>
      <c r="Z3957">
        <v>0</v>
      </c>
      <c r="AA3957" t="str">
        <f>"Y"</f>
        <v>Y</v>
      </c>
      <c r="AB3957" t="str">
        <f>"SO19000156"</f>
        <v>SO19000156</v>
      </c>
      <c r="AC3957">
        <v>12</v>
      </c>
      <c r="AD3957" s="1">
        <v>43562</v>
      </c>
      <c r="AE3957" t="str">
        <f>"SH19001525"</f>
        <v>SH19001525</v>
      </c>
      <c r="AF3957" t="str">
        <f>"משלוחים ללקוח"</f>
        <v>משלוחים ללקוח</v>
      </c>
      <c r="AG3957" s="1">
        <v>43772</v>
      </c>
      <c r="AM3957" t="str">
        <f>"10"</f>
        <v>10</v>
      </c>
      <c r="AN3957" t="str">
        <f>"500000"</f>
        <v>500000</v>
      </c>
      <c r="AO3957" t="str">
        <f>"הכנסות  מלקוחות"</f>
        <v>הכנסות  מלקוחות</v>
      </c>
      <c r="AQ3957" t="str">
        <f>"034"</f>
        <v>034</v>
      </c>
      <c r="AR3957">
        <v>0</v>
      </c>
      <c r="AS3957">
        <v>0</v>
      </c>
      <c r="AT3957">
        <v>3.5219999999999998</v>
      </c>
      <c r="AX3957" t="str">
        <f>"E000270896"</f>
        <v>E000270896</v>
      </c>
      <c r="BD3957" t="str">
        <f>"ערן שלו"</f>
        <v>ערן שלו</v>
      </c>
    </row>
    <row r="3958" spans="1:56" x14ac:dyDescent="0.3">
      <c r="A3958" s="1">
        <v>43774</v>
      </c>
      <c r="B3958" t="str">
        <f>"SI196001257"</f>
        <v>SI196001257</v>
      </c>
      <c r="C3958" t="str">
        <f>"PR19000110"</f>
        <v>PR19000110</v>
      </c>
      <c r="E3958" t="str">
        <f>"Y"</f>
        <v>Y</v>
      </c>
      <c r="F3958" t="str">
        <f>"חשבוניות מרכזות"</f>
        <v>חשבוניות מרכזות</v>
      </c>
      <c r="G3958" t="str">
        <f>"700065"</f>
        <v>700065</v>
      </c>
      <c r="H3958" t="str">
        <f>"אלתא מערכות בע""מ"</f>
        <v>אלתא מערכות בע"מ</v>
      </c>
      <c r="I3958" t="str">
        <f>"05"</f>
        <v>05</v>
      </c>
      <c r="J3958" t="str">
        <f>"OP-PD02881"</f>
        <v>OP-PD02881</v>
      </c>
      <c r="K3958" t="str">
        <f>"POWER DISTRIBUTION BOARD 09-SOCD"</f>
        <v>POWER DISTRIBUTION BOARD 09-SOCD</v>
      </c>
      <c r="L3958">
        <v>1</v>
      </c>
      <c r="M3958" t="str">
        <f>"יח"</f>
        <v>יח</v>
      </c>
      <c r="N3958">
        <v>1</v>
      </c>
      <c r="O3958" t="str">
        <f>"יח"</f>
        <v>יח</v>
      </c>
      <c r="P3958" s="2">
        <v>43010</v>
      </c>
      <c r="Q3958" t="str">
        <f>"$"</f>
        <v>$</v>
      </c>
      <c r="R3958" t="str">
        <f>"הזמנה"</f>
        <v>הזמנה</v>
      </c>
      <c r="S3958">
        <v>0</v>
      </c>
      <c r="T3958" s="2">
        <v>43010</v>
      </c>
      <c r="U3958">
        <v>0</v>
      </c>
      <c r="V3958" s="2">
        <v>43010</v>
      </c>
      <c r="W3958" t="str">
        <f>"$"</f>
        <v>$</v>
      </c>
      <c r="X3958">
        <v>0</v>
      </c>
      <c r="Y3958">
        <v>0</v>
      </c>
      <c r="Z3958">
        <v>0</v>
      </c>
      <c r="AA3958" t="str">
        <f>"Y"</f>
        <v>Y</v>
      </c>
      <c r="AB3958" t="str">
        <f>"SO19000156"</f>
        <v>SO19000156</v>
      </c>
      <c r="AC3958">
        <v>7</v>
      </c>
      <c r="AD3958" s="1">
        <v>43562</v>
      </c>
      <c r="AE3958" t="str">
        <f>"SH19001524"</f>
        <v>SH19001524</v>
      </c>
      <c r="AF3958" t="str">
        <f>"משלוחים ללקוח"</f>
        <v>משלוחים ללקוח</v>
      </c>
      <c r="AG3958" s="1">
        <v>43772</v>
      </c>
      <c r="AM3958" t="str">
        <f>"10"</f>
        <v>10</v>
      </c>
      <c r="AN3958" t="str">
        <f>"500000"</f>
        <v>500000</v>
      </c>
      <c r="AO3958" t="str">
        <f>"הכנסות  מלקוחות"</f>
        <v>הכנסות  מלקוחות</v>
      </c>
      <c r="AQ3958" t="str">
        <f>"034"</f>
        <v>034</v>
      </c>
      <c r="AR3958">
        <v>0</v>
      </c>
      <c r="AS3958">
        <v>0</v>
      </c>
      <c r="AT3958">
        <v>3.5219999999999998</v>
      </c>
      <c r="AX3958" t="str">
        <f>"E000270896"</f>
        <v>E000270896</v>
      </c>
      <c r="BD3958" t="str">
        <f>"ערן שלו"</f>
        <v>ערן שלו</v>
      </c>
    </row>
    <row r="3959" spans="1:56" x14ac:dyDescent="0.3">
      <c r="A3959" s="1">
        <v>43774</v>
      </c>
      <c r="B3959" t="str">
        <f>"SI196001256"</f>
        <v>SI196001256</v>
      </c>
      <c r="C3959" t="str">
        <f>"PR19000108"</f>
        <v>PR19000108</v>
      </c>
      <c r="E3959" t="str">
        <f>"Y"</f>
        <v>Y</v>
      </c>
      <c r="F3959" t="str">
        <f>"חשבוניות מרכזות"</f>
        <v>חשבוניות מרכזות</v>
      </c>
      <c r="G3959" t="str">
        <f>"700065"</f>
        <v>700065</v>
      </c>
      <c r="H3959" t="str">
        <f>"אלתא מערכות בע""מ"</f>
        <v>אלתא מערכות בע"מ</v>
      </c>
      <c r="I3959" t="str">
        <f>"05"</f>
        <v>05</v>
      </c>
      <c r="J3959" t="str">
        <f>"OP-PD02880"</f>
        <v>OP-PD02880</v>
      </c>
      <c r="K3959" t="str">
        <f>"POWER DISTRIBUTION BOARD 06/07-SOCD"</f>
        <v>POWER DISTRIBUTION BOARD 06/07-SOCD</v>
      </c>
      <c r="L3959">
        <v>2</v>
      </c>
      <c r="M3959" t="str">
        <f>"יח"</f>
        <v>יח</v>
      </c>
      <c r="N3959">
        <v>2</v>
      </c>
      <c r="O3959" t="str">
        <f>"יח"</f>
        <v>יח</v>
      </c>
      <c r="P3959" s="2">
        <v>50800</v>
      </c>
      <c r="Q3959" t="str">
        <f>"$"</f>
        <v>$</v>
      </c>
      <c r="R3959" t="str">
        <f>"הזמנה"</f>
        <v>הזמנה</v>
      </c>
      <c r="S3959">
        <v>0</v>
      </c>
      <c r="T3959" s="2">
        <v>101600</v>
      </c>
      <c r="U3959">
        <v>0</v>
      </c>
      <c r="V3959" s="2">
        <v>101600</v>
      </c>
      <c r="W3959" t="str">
        <f>"$"</f>
        <v>$</v>
      </c>
      <c r="X3959">
        <v>0</v>
      </c>
      <c r="Y3959">
        <v>0</v>
      </c>
      <c r="Z3959">
        <v>0</v>
      </c>
      <c r="AA3959" t="str">
        <f>"Y"</f>
        <v>Y</v>
      </c>
      <c r="AB3959" t="str">
        <f>"SO19000156"</f>
        <v>SO19000156</v>
      </c>
      <c r="AC3959">
        <v>2</v>
      </c>
      <c r="AD3959" s="1">
        <v>43562</v>
      </c>
      <c r="AE3959" t="str">
        <f>"SH19001523"</f>
        <v>SH19001523</v>
      </c>
      <c r="AF3959" t="str">
        <f>"משלוחים ללקוח"</f>
        <v>משלוחים ללקוח</v>
      </c>
      <c r="AG3959" s="1">
        <v>43772</v>
      </c>
      <c r="AM3959" t="str">
        <f>"10"</f>
        <v>10</v>
      </c>
      <c r="AN3959" t="str">
        <f>"500000"</f>
        <v>500000</v>
      </c>
      <c r="AO3959" t="str">
        <f>"הכנסות  מלקוחות"</f>
        <v>הכנסות  מלקוחות</v>
      </c>
      <c r="AQ3959" t="str">
        <f>"034"</f>
        <v>034</v>
      </c>
      <c r="AR3959">
        <v>0</v>
      </c>
      <c r="AS3959">
        <v>0</v>
      </c>
      <c r="AT3959">
        <v>3.5219999999999998</v>
      </c>
      <c r="AX3959" t="str">
        <f>"E000270896"</f>
        <v>E000270896</v>
      </c>
      <c r="BD3959" t="str">
        <f>"ערן שלו"</f>
        <v>ערן שלו</v>
      </c>
    </row>
    <row r="3960" spans="1:56" x14ac:dyDescent="0.3">
      <c r="A3960" s="1">
        <v>43768</v>
      </c>
      <c r="B3960" t="str">
        <f>"SI196001224"</f>
        <v>SI196001224</v>
      </c>
      <c r="C3960" t="str">
        <f>"PR19000384"</f>
        <v>PR19000384</v>
      </c>
      <c r="E3960" t="str">
        <f>"Y"</f>
        <v>Y</v>
      </c>
      <c r="F3960" t="str">
        <f>"חשבוניות מרכזות"</f>
        <v>חשבוניות מרכזות</v>
      </c>
      <c r="G3960" t="str">
        <f>"700065"</f>
        <v>700065</v>
      </c>
      <c r="H3960" t="str">
        <f>"אלתא מערכות בע""מ"</f>
        <v>אלתא מערכות בע"מ</v>
      </c>
      <c r="I3960" t="str">
        <f>"10"</f>
        <v>10</v>
      </c>
      <c r="J3960" t="str">
        <f>"OP-AR00467"</f>
        <v>OP-AR00467</v>
      </c>
      <c r="K3960" t="str">
        <f>"AC PCU CONTROL BOX"</f>
        <v>AC PCU CONTROL BOX</v>
      </c>
      <c r="L3960">
        <v>1</v>
      </c>
      <c r="M3960" t="str">
        <f>"יח"</f>
        <v>יח</v>
      </c>
      <c r="N3960">
        <v>1</v>
      </c>
      <c r="O3960" t="str">
        <f>"יח"</f>
        <v>יח</v>
      </c>
      <c r="P3960" s="2">
        <v>4165</v>
      </c>
      <c r="Q3960" t="str">
        <f>"$"</f>
        <v>$</v>
      </c>
      <c r="R3960" t="str">
        <f>"הזמנה"</f>
        <v>הזמנה</v>
      </c>
      <c r="S3960">
        <v>0</v>
      </c>
      <c r="T3960" s="2">
        <v>4165</v>
      </c>
      <c r="U3960">
        <v>0</v>
      </c>
      <c r="V3960" s="2">
        <v>4165</v>
      </c>
      <c r="W3960" t="str">
        <f>"$"</f>
        <v>$</v>
      </c>
      <c r="X3960">
        <v>0</v>
      </c>
      <c r="Y3960">
        <v>0</v>
      </c>
      <c r="Z3960">
        <v>0</v>
      </c>
      <c r="AA3960" t="str">
        <f>"Y"</f>
        <v>Y</v>
      </c>
      <c r="AB3960" t="str">
        <f>"SO19000299"</f>
        <v>SO19000299</v>
      </c>
      <c r="AC3960">
        <v>3</v>
      </c>
      <c r="AD3960" s="1">
        <v>43648</v>
      </c>
      <c r="AE3960" t="str">
        <f>"SH19001481"</f>
        <v>SH19001481</v>
      </c>
      <c r="AF3960" t="str">
        <f>"משלוחים ללקוח"</f>
        <v>משלוחים ללקוח</v>
      </c>
      <c r="AG3960" s="1">
        <v>43765</v>
      </c>
      <c r="AM3960" t="str">
        <f>"10"</f>
        <v>10</v>
      </c>
      <c r="AN3960" t="str">
        <f>"500000"</f>
        <v>500000</v>
      </c>
      <c r="AO3960" t="str">
        <f>"הכנסות  מלקוחות"</f>
        <v>הכנסות  מלקוחות</v>
      </c>
      <c r="AQ3960" t="str">
        <f>"034"</f>
        <v>034</v>
      </c>
      <c r="AR3960">
        <v>0</v>
      </c>
      <c r="AS3960">
        <v>0</v>
      </c>
      <c r="AT3960">
        <v>3.53</v>
      </c>
      <c r="AX3960" t="str">
        <f>"E000289321"</f>
        <v>E000289321</v>
      </c>
      <c r="BD3960" t="str">
        <f>"ערן שלו"</f>
        <v>ערן שלו</v>
      </c>
    </row>
    <row r="3961" spans="1:56" x14ac:dyDescent="0.3">
      <c r="A3961" s="1">
        <v>43768</v>
      </c>
      <c r="B3961" t="str">
        <f>"SI196001223"</f>
        <v>SI196001223</v>
      </c>
      <c r="C3961" t="str">
        <f>"PR17001405"</f>
        <v>PR17001405</v>
      </c>
      <c r="D3961" t="str">
        <f>"PR17001405"</f>
        <v>PR17001405</v>
      </c>
      <c r="E3961" t="str">
        <f>"Y"</f>
        <v>Y</v>
      </c>
      <c r="F3961" t="str">
        <f>"חשבוניות מרכזות"</f>
        <v>חשבוניות מרכזות</v>
      </c>
      <c r="G3961" t="str">
        <f>"700065"</f>
        <v>700065</v>
      </c>
      <c r="H3961" t="str">
        <f>"אלתא מערכות בע""מ"</f>
        <v>אלתא מערכות בע"מ</v>
      </c>
      <c r="I3961" t="str">
        <f>"10"</f>
        <v>10</v>
      </c>
      <c r="J3961" t="str">
        <f>"cust00866"</f>
        <v>cust00866</v>
      </c>
      <c r="K3961" t="str">
        <f>"לוח LB-PDB מק""ט לקוח 1026L310-002 אלתא"</f>
        <v>לוח LB-PDB מק"ט לקוח 1026L310-002 אלתא</v>
      </c>
      <c r="L3961">
        <v>1</v>
      </c>
      <c r="M3961" t="str">
        <f>"יח"</f>
        <v>יח</v>
      </c>
      <c r="N3961">
        <v>1</v>
      </c>
      <c r="O3961" t="str">
        <f>"יח"</f>
        <v>יח</v>
      </c>
      <c r="P3961" s="2">
        <v>3548</v>
      </c>
      <c r="Q3961" t="str">
        <f>"$"</f>
        <v>$</v>
      </c>
      <c r="R3961" t="str">
        <f>"הזמנה"</f>
        <v>הזמנה</v>
      </c>
      <c r="S3961">
        <v>0</v>
      </c>
      <c r="T3961" s="2">
        <v>3548</v>
      </c>
      <c r="U3961">
        <v>0</v>
      </c>
      <c r="V3961" s="2">
        <v>3548</v>
      </c>
      <c r="W3961" t="str">
        <f>"$"</f>
        <v>$</v>
      </c>
      <c r="X3961">
        <v>0</v>
      </c>
      <c r="Y3961">
        <v>0</v>
      </c>
      <c r="Z3961">
        <v>0</v>
      </c>
      <c r="AA3961" t="str">
        <f>"Y"</f>
        <v>Y</v>
      </c>
      <c r="AB3961" t="str">
        <f>"SO17000062"</f>
        <v>SO17000062</v>
      </c>
      <c r="AC3961">
        <v>1</v>
      </c>
      <c r="AD3961" s="1">
        <v>42768</v>
      </c>
      <c r="AE3961" t="str">
        <f>"SH19001499"</f>
        <v>SH19001499</v>
      </c>
      <c r="AF3961" t="str">
        <f>"משלוחים ללקוח"</f>
        <v>משלוחים ללקוח</v>
      </c>
      <c r="AG3961" s="1">
        <v>43767</v>
      </c>
      <c r="AM3961" t="str">
        <f>"10"</f>
        <v>10</v>
      </c>
      <c r="AN3961" t="str">
        <f>"500000"</f>
        <v>500000</v>
      </c>
      <c r="AO3961" t="str">
        <f>"הכנסות  מלקוחות"</f>
        <v>הכנסות  מלקוחות</v>
      </c>
      <c r="AQ3961" t="str">
        <f>"007"</f>
        <v>007</v>
      </c>
      <c r="AR3961">
        <v>0</v>
      </c>
      <c r="AS3961">
        <v>0</v>
      </c>
      <c r="AT3961">
        <v>3.53</v>
      </c>
      <c r="AX3961" t="str">
        <f>"E000231826"</f>
        <v>E000231826</v>
      </c>
      <c r="BD3961" t="str">
        <f>"רוני דידי"</f>
        <v>רוני דידי</v>
      </c>
    </row>
    <row r="3962" spans="1:56" x14ac:dyDescent="0.3">
      <c r="A3962" s="1">
        <v>43765</v>
      </c>
      <c r="B3962" t="str">
        <f>"SI196001207"</f>
        <v>SI196001207</v>
      </c>
      <c r="C3962" t="str">
        <f>"PR19000454"</f>
        <v>PR19000454</v>
      </c>
      <c r="E3962" t="str">
        <f>"Y"</f>
        <v>Y</v>
      </c>
      <c r="F3962" t="str">
        <f>"חשבוניות מרכזות"</f>
        <v>חשבוניות מרכזות</v>
      </c>
      <c r="G3962" t="str">
        <f>"700065"</f>
        <v>700065</v>
      </c>
      <c r="H3962" t="str">
        <f>"אלתא מערכות בע""מ"</f>
        <v>אלתא מערכות בע"מ</v>
      </c>
      <c r="I3962" t="str">
        <f>"10"</f>
        <v>10</v>
      </c>
      <c r="J3962" t="str">
        <f>"000"</f>
        <v>000</v>
      </c>
      <c r="K3962" t="str">
        <f>"NRE"</f>
        <v>NRE</v>
      </c>
      <c r="L3962">
        <v>1</v>
      </c>
      <c r="M3962" t="str">
        <f>"יח"</f>
        <v>יח</v>
      </c>
      <c r="N3962">
        <v>1</v>
      </c>
      <c r="O3962" t="str">
        <f>"יח"</f>
        <v>יח</v>
      </c>
      <c r="P3962" s="2">
        <v>9350</v>
      </c>
      <c r="Q3962" t="str">
        <f>"$"</f>
        <v>$</v>
      </c>
      <c r="R3962" t="str">
        <f>"הזמנה"</f>
        <v>הזמנה</v>
      </c>
      <c r="S3962">
        <v>0</v>
      </c>
      <c r="T3962" s="2">
        <v>9350</v>
      </c>
      <c r="U3962">
        <v>0</v>
      </c>
      <c r="V3962" s="2">
        <v>9350</v>
      </c>
      <c r="W3962" t="str">
        <f>"$"</f>
        <v>$</v>
      </c>
      <c r="X3962">
        <v>0</v>
      </c>
      <c r="Y3962">
        <v>0</v>
      </c>
      <c r="Z3962">
        <v>0</v>
      </c>
      <c r="AA3962" t="str">
        <f>"Y"</f>
        <v>Y</v>
      </c>
      <c r="AB3962" t="str">
        <f>"SO19000332"</f>
        <v>SO19000332</v>
      </c>
      <c r="AC3962">
        <v>4</v>
      </c>
      <c r="AD3962" s="1">
        <v>43670</v>
      </c>
      <c r="AE3962" t="str">
        <f>"SH19001478"</f>
        <v>SH19001478</v>
      </c>
      <c r="AF3962" t="str">
        <f>"משלוחים ללקוח"</f>
        <v>משלוחים ללקוח</v>
      </c>
      <c r="AG3962" s="1">
        <v>43765</v>
      </c>
      <c r="AM3962" t="str">
        <f>"10"</f>
        <v>10</v>
      </c>
      <c r="AN3962" t="str">
        <f>"500000"</f>
        <v>500000</v>
      </c>
      <c r="AO3962" t="str">
        <f>"הכנסות  מלקוחות"</f>
        <v>הכנסות  מלקוחות</v>
      </c>
      <c r="AQ3962" t="str">
        <f>"034"</f>
        <v>034</v>
      </c>
      <c r="AR3962">
        <v>0</v>
      </c>
      <c r="AS3962">
        <v>0</v>
      </c>
      <c r="AT3962">
        <v>3.5390000000000001</v>
      </c>
      <c r="AX3962" t="str">
        <f>"E000291680"</f>
        <v>E000291680</v>
      </c>
      <c r="BD3962" t="str">
        <f>"ערן שלו"</f>
        <v>ערן שלו</v>
      </c>
    </row>
    <row r="3963" spans="1:56" x14ac:dyDescent="0.3">
      <c r="A3963" s="1">
        <v>43765</v>
      </c>
      <c r="B3963" t="str">
        <f>"SI196001204"</f>
        <v>SI196001204</v>
      </c>
      <c r="C3963" t="str">
        <f>"PR19000469"</f>
        <v>PR19000469</v>
      </c>
      <c r="D3963" t="str">
        <f>"PR19000469"</f>
        <v>PR19000469</v>
      </c>
      <c r="E3963" t="str">
        <f>"Y"</f>
        <v>Y</v>
      </c>
      <c r="F3963" t="str">
        <f>"חשבוניות מרכזות"</f>
        <v>חשבוניות מרכזות</v>
      </c>
      <c r="G3963" t="str">
        <f>"700065"</f>
        <v>700065</v>
      </c>
      <c r="H3963" t="str">
        <f>"אלתא מערכות בע""מ"</f>
        <v>אלתא מערכות בע"מ</v>
      </c>
      <c r="I3963" t="str">
        <f>"10"</f>
        <v>10</v>
      </c>
      <c r="J3963" t="str">
        <f>"OP-PR00071"</f>
        <v>OP-PR00071</v>
      </c>
      <c r="K3963" t="str">
        <f>"תיקון HVJB"</f>
        <v>תיקון HVJB</v>
      </c>
      <c r="L3963">
        <v>1</v>
      </c>
      <c r="M3963" t="str">
        <f>"יח"</f>
        <v>יח</v>
      </c>
      <c r="N3963">
        <v>1</v>
      </c>
      <c r="O3963" t="str">
        <f>"יח"</f>
        <v>יח</v>
      </c>
      <c r="P3963">
        <v>600</v>
      </c>
      <c r="Q3963" t="str">
        <f>"$"</f>
        <v>$</v>
      </c>
      <c r="R3963" t="str">
        <f>"הזמנה"</f>
        <v>הזמנה</v>
      </c>
      <c r="S3963">
        <v>0</v>
      </c>
      <c r="T3963">
        <v>600</v>
      </c>
      <c r="U3963">
        <v>0</v>
      </c>
      <c r="V3963">
        <v>600</v>
      </c>
      <c r="W3963" t="str">
        <f>"$"</f>
        <v>$</v>
      </c>
      <c r="X3963">
        <v>0</v>
      </c>
      <c r="Y3963">
        <v>0</v>
      </c>
      <c r="Z3963">
        <v>0</v>
      </c>
      <c r="AA3963" t="str">
        <f>"Y"</f>
        <v>Y</v>
      </c>
      <c r="AB3963" t="str">
        <f>"SO19000358"</f>
        <v>SO19000358</v>
      </c>
      <c r="AC3963">
        <v>1</v>
      </c>
      <c r="AD3963" s="1">
        <v>43685</v>
      </c>
      <c r="AE3963" t="str">
        <f>"SH19001465"</f>
        <v>SH19001465</v>
      </c>
      <c r="AF3963" t="str">
        <f>"משלוחים ללקוח"</f>
        <v>משלוחים ללקוח</v>
      </c>
      <c r="AG3963" s="1">
        <v>43761</v>
      </c>
      <c r="AM3963" t="str">
        <f>"10"</f>
        <v>10</v>
      </c>
      <c r="AN3963" t="str">
        <f>"500000"</f>
        <v>500000</v>
      </c>
      <c r="AO3963" t="str">
        <f>"הכנסות  מלקוחות"</f>
        <v>הכנסות  מלקוחות</v>
      </c>
      <c r="AQ3963" t="str">
        <f>"034"</f>
        <v>034</v>
      </c>
      <c r="AR3963">
        <v>0</v>
      </c>
      <c r="AS3963">
        <v>0</v>
      </c>
      <c r="AT3963">
        <v>3.5390000000000001</v>
      </c>
      <c r="AX3963" t="str">
        <f>"E000292880"</f>
        <v>E000292880</v>
      </c>
      <c r="BD3963" t="str">
        <f>"ערן שלו"</f>
        <v>ערן שלו</v>
      </c>
    </row>
    <row r="3964" spans="1:56" x14ac:dyDescent="0.3">
      <c r="A3964" s="1">
        <v>43762</v>
      </c>
      <c r="B3964" t="str">
        <f>"CR197000037"</f>
        <v>CR197000037</v>
      </c>
      <c r="C3964" t="str">
        <f>"PR18000295"</f>
        <v>PR18000295</v>
      </c>
      <c r="D3964" t="str">
        <f>"PR18000295"</f>
        <v>PR18000295</v>
      </c>
      <c r="E3964" t="str">
        <f>"Y"</f>
        <v>Y</v>
      </c>
      <c r="F3964" t="str">
        <f>"חשבוניות זיכוי"</f>
        <v>חשבוניות זיכוי</v>
      </c>
      <c r="G3964" t="str">
        <f>"700065"</f>
        <v>700065</v>
      </c>
      <c r="H3964" t="str">
        <f>"אלתא מערכות בע""מ"</f>
        <v>אלתא מערכות בע"מ</v>
      </c>
      <c r="I3964" t="str">
        <f>"10"</f>
        <v>10</v>
      </c>
      <c r="J3964" t="str">
        <f>"000"</f>
        <v>000</v>
      </c>
      <c r="K3964" t="str">
        <f>"קנס בגין חש'SI196000919"</f>
        <v>קנס בגין חש'SI196000919</v>
      </c>
      <c r="L3964">
        <v>1</v>
      </c>
      <c r="M3964" t="str">
        <f>"יח"</f>
        <v>יח</v>
      </c>
      <c r="N3964">
        <v>1</v>
      </c>
      <c r="O3964" t="str">
        <f>"יח"</f>
        <v>יח</v>
      </c>
      <c r="P3964" s="2">
        <v>1667.57</v>
      </c>
      <c r="Q3964" t="str">
        <f>"$"</f>
        <v>$</v>
      </c>
      <c r="R3964" t="str">
        <f>"ידני"</f>
        <v>ידני</v>
      </c>
      <c r="S3964">
        <v>0</v>
      </c>
      <c r="T3964" s="2">
        <v>1667.57</v>
      </c>
      <c r="U3964">
        <v>0</v>
      </c>
      <c r="V3964" s="2">
        <v>1667.57</v>
      </c>
      <c r="W3964" t="str">
        <f>"$"</f>
        <v>$</v>
      </c>
      <c r="X3964">
        <v>0</v>
      </c>
      <c r="Y3964">
        <v>0</v>
      </c>
      <c r="Z3964">
        <v>0</v>
      </c>
      <c r="AA3964" t="str">
        <f>"Y"</f>
        <v>Y</v>
      </c>
      <c r="AB3964" t="str">
        <f>"SO19000452"</f>
        <v>SO19000452</v>
      </c>
      <c r="AC3964">
        <v>1</v>
      </c>
      <c r="AD3964" s="1">
        <v>43762</v>
      </c>
      <c r="AM3964" t="str">
        <f>"10"</f>
        <v>10</v>
      </c>
      <c r="AN3964" t="str">
        <f>"500000"</f>
        <v>500000</v>
      </c>
      <c r="AO3964" t="str">
        <f>"הכנסות  מלקוחות"</f>
        <v>הכנסות  מלקוחות</v>
      </c>
      <c r="AQ3964" t="str">
        <f>"034"</f>
        <v>034</v>
      </c>
      <c r="AR3964">
        <v>0</v>
      </c>
      <c r="AS3964">
        <v>0</v>
      </c>
      <c r="AT3964">
        <v>3.5208599999999999</v>
      </c>
      <c r="AX3964" t="str">
        <f>"E000259662"</f>
        <v>E000259662</v>
      </c>
      <c r="BD3964" t="str">
        <f>"ערן שלו"</f>
        <v>ערן שלו</v>
      </c>
    </row>
    <row r="3965" spans="1:56" x14ac:dyDescent="0.3">
      <c r="A3965" s="1">
        <v>43748</v>
      </c>
      <c r="B3965" t="str">
        <f>"SI196001181"</f>
        <v>SI196001181</v>
      </c>
      <c r="C3965" t="str">
        <f>"PR19000109"</f>
        <v>PR19000109</v>
      </c>
      <c r="E3965" t="str">
        <f>"Y"</f>
        <v>Y</v>
      </c>
      <c r="F3965" t="str">
        <f>"חשבוניות מרכזות"</f>
        <v>חשבוניות מרכזות</v>
      </c>
      <c r="G3965" t="str">
        <f>"700065"</f>
        <v>700065</v>
      </c>
      <c r="H3965" t="str">
        <f>"אלתא מערכות בע""מ"</f>
        <v>אלתא מערכות בע"מ</v>
      </c>
      <c r="I3965" t="str">
        <f>"05"</f>
        <v>05</v>
      </c>
      <c r="J3965" t="str">
        <f>"SH0100044"</f>
        <v>SH0100044</v>
      </c>
      <c r="K3965" t="str">
        <f>"שנאי 200KVA לפי מפרט"</f>
        <v>שנאי 200KVA לפי מפרט</v>
      </c>
      <c r="L3965">
        <v>1</v>
      </c>
      <c r="M3965" t="str">
        <f>"יח"</f>
        <v>יח</v>
      </c>
      <c r="N3965">
        <v>1</v>
      </c>
      <c r="O3965" t="str">
        <f>"יח"</f>
        <v>יח</v>
      </c>
      <c r="P3965" s="2">
        <v>38000</v>
      </c>
      <c r="Q3965" t="str">
        <f>"$"</f>
        <v>$</v>
      </c>
      <c r="R3965" t="str">
        <f>"הזמנה"</f>
        <v>הזמנה</v>
      </c>
      <c r="S3965">
        <v>0</v>
      </c>
      <c r="T3965" s="2">
        <v>38000</v>
      </c>
      <c r="U3965">
        <v>0</v>
      </c>
      <c r="V3965" s="2">
        <v>38000</v>
      </c>
      <c r="W3965" t="str">
        <f>"$"</f>
        <v>$</v>
      </c>
      <c r="X3965">
        <v>0</v>
      </c>
      <c r="Y3965">
        <v>0</v>
      </c>
      <c r="Z3965">
        <v>0</v>
      </c>
      <c r="AA3965" t="str">
        <f>"Y"</f>
        <v>Y</v>
      </c>
      <c r="AB3965" t="str">
        <f>"SO19000156"</f>
        <v>SO19000156</v>
      </c>
      <c r="AC3965">
        <v>12</v>
      </c>
      <c r="AD3965" s="1">
        <v>43562</v>
      </c>
      <c r="AE3965" t="str">
        <f>"SH19001427"</f>
        <v>SH19001427</v>
      </c>
      <c r="AF3965" t="str">
        <f>"משלוחים ללקוח"</f>
        <v>משלוחים ללקוח</v>
      </c>
      <c r="AG3965" s="1">
        <v>43745</v>
      </c>
      <c r="AM3965" t="str">
        <f>"10"</f>
        <v>10</v>
      </c>
      <c r="AN3965" t="str">
        <f>"500000"</f>
        <v>500000</v>
      </c>
      <c r="AO3965" t="str">
        <f>"הכנסות  מלקוחות"</f>
        <v>הכנסות  מלקוחות</v>
      </c>
      <c r="AQ3965" t="str">
        <f>"034"</f>
        <v>034</v>
      </c>
      <c r="AR3965">
        <v>0</v>
      </c>
      <c r="AS3965">
        <v>0</v>
      </c>
      <c r="AT3965">
        <v>3.504</v>
      </c>
      <c r="AX3965" t="str">
        <f>"E000270896"</f>
        <v>E000270896</v>
      </c>
      <c r="BD3965" t="str">
        <f>"ערן שלו"</f>
        <v>ערן שלו</v>
      </c>
    </row>
    <row r="3966" spans="1:56" x14ac:dyDescent="0.3">
      <c r="A3966" s="1">
        <v>43748</v>
      </c>
      <c r="B3966" t="str">
        <f>"SI196001181"</f>
        <v>SI196001181</v>
      </c>
      <c r="C3966" t="str">
        <f>"PR19000109"</f>
        <v>PR19000109</v>
      </c>
      <c r="E3966" t="str">
        <f>"Y"</f>
        <v>Y</v>
      </c>
      <c r="F3966" t="str">
        <f>"חשבוניות מרכזות"</f>
        <v>חשבוניות מרכזות</v>
      </c>
      <c r="G3966" t="str">
        <f>"700065"</f>
        <v>700065</v>
      </c>
      <c r="H3966" t="str">
        <f>"אלתא מערכות בע""מ"</f>
        <v>אלתא מערכות בע"מ</v>
      </c>
      <c r="I3966" t="str">
        <f>"05"</f>
        <v>05</v>
      </c>
      <c r="J3966" t="str">
        <f>"SH0100045"</f>
        <v>SH0100045</v>
      </c>
      <c r="K3966" t="str">
        <f>"שנאי לפי מפרט 70KVA"</f>
        <v>שנאי לפי מפרט 70KVA</v>
      </c>
      <c r="L3966">
        <v>1</v>
      </c>
      <c r="M3966" t="str">
        <f>"יח"</f>
        <v>יח</v>
      </c>
      <c r="N3966">
        <v>1</v>
      </c>
      <c r="O3966" t="str">
        <f>"יח"</f>
        <v>יח</v>
      </c>
      <c r="P3966" s="2">
        <v>19000</v>
      </c>
      <c r="Q3966" t="str">
        <f>"$"</f>
        <v>$</v>
      </c>
      <c r="R3966" t="str">
        <f>"הזמנה"</f>
        <v>הזמנה</v>
      </c>
      <c r="S3966">
        <v>0</v>
      </c>
      <c r="T3966" s="2">
        <v>19000</v>
      </c>
      <c r="U3966">
        <v>0</v>
      </c>
      <c r="V3966" s="2">
        <v>19000</v>
      </c>
      <c r="W3966" t="str">
        <f>"$"</f>
        <v>$</v>
      </c>
      <c r="X3966">
        <v>0</v>
      </c>
      <c r="Y3966">
        <v>0</v>
      </c>
      <c r="Z3966">
        <v>0</v>
      </c>
      <c r="AA3966" t="str">
        <f>"Y"</f>
        <v>Y</v>
      </c>
      <c r="AB3966" t="str">
        <f>"SO19000156"</f>
        <v>SO19000156</v>
      </c>
      <c r="AC3966">
        <v>17</v>
      </c>
      <c r="AD3966" s="1">
        <v>43562</v>
      </c>
      <c r="AE3966" t="str">
        <f>"SH19001427"</f>
        <v>SH19001427</v>
      </c>
      <c r="AF3966" t="str">
        <f>"משלוחים ללקוח"</f>
        <v>משלוחים ללקוח</v>
      </c>
      <c r="AG3966" s="1">
        <v>43745</v>
      </c>
      <c r="AM3966" t="str">
        <f>"10"</f>
        <v>10</v>
      </c>
      <c r="AN3966" t="str">
        <f>"500000"</f>
        <v>500000</v>
      </c>
      <c r="AO3966" t="str">
        <f>"הכנסות  מלקוחות"</f>
        <v>הכנסות  מלקוחות</v>
      </c>
      <c r="AQ3966" t="str">
        <f>"034"</f>
        <v>034</v>
      </c>
      <c r="AR3966">
        <v>0</v>
      </c>
      <c r="AS3966">
        <v>0</v>
      </c>
      <c r="AT3966">
        <v>3.504</v>
      </c>
      <c r="AX3966" t="str">
        <f>"E000270896"</f>
        <v>E000270896</v>
      </c>
      <c r="BD3966" t="str">
        <f>"ערן שלו"</f>
        <v>ערן שלו</v>
      </c>
    </row>
    <row r="3967" spans="1:56" x14ac:dyDescent="0.3">
      <c r="A3967" s="1">
        <v>43748</v>
      </c>
      <c r="B3967" t="str">
        <f>"SI196001180"</f>
        <v>SI196001180</v>
      </c>
      <c r="C3967" t="str">
        <f>"PR19000454"</f>
        <v>PR19000454</v>
      </c>
      <c r="E3967" t="str">
        <f>"Y"</f>
        <v>Y</v>
      </c>
      <c r="F3967" t="str">
        <f>"חשבוניות מרכזות"</f>
        <v>חשבוניות מרכזות</v>
      </c>
      <c r="G3967" t="str">
        <f>"700065"</f>
        <v>700065</v>
      </c>
      <c r="H3967" t="str">
        <f>"אלתא מערכות בע""מ"</f>
        <v>אלתא מערכות בע"מ</v>
      </c>
      <c r="I3967" t="str">
        <f>"10"</f>
        <v>10</v>
      </c>
      <c r="J3967" t="str">
        <f>"OP-AR01297"</f>
        <v>OP-AR01297</v>
      </c>
      <c r="K3967" t="str">
        <f>"שדרוג יחידה LB PDB"</f>
        <v>שדרוג יחידה LB PDB</v>
      </c>
      <c r="L3967">
        <v>1</v>
      </c>
      <c r="M3967" t="str">
        <f>"יח"</f>
        <v>יח</v>
      </c>
      <c r="N3967">
        <v>1</v>
      </c>
      <c r="O3967" t="str">
        <f>"יח"</f>
        <v>יח</v>
      </c>
      <c r="P3967" s="2">
        <v>1900</v>
      </c>
      <c r="Q3967" t="str">
        <f>"$"</f>
        <v>$</v>
      </c>
      <c r="R3967" t="str">
        <f>"הזמנה"</f>
        <v>הזמנה</v>
      </c>
      <c r="S3967">
        <v>0</v>
      </c>
      <c r="T3967" s="2">
        <v>1900</v>
      </c>
      <c r="U3967">
        <v>0</v>
      </c>
      <c r="V3967" s="2">
        <v>1900</v>
      </c>
      <c r="W3967" t="str">
        <f>"$"</f>
        <v>$</v>
      </c>
      <c r="X3967">
        <v>0</v>
      </c>
      <c r="Y3967">
        <v>0</v>
      </c>
      <c r="Z3967">
        <v>0</v>
      </c>
      <c r="AA3967" t="str">
        <f>"Y"</f>
        <v>Y</v>
      </c>
      <c r="AB3967" t="str">
        <f>"SO19000332"</f>
        <v>SO19000332</v>
      </c>
      <c r="AC3967">
        <v>2</v>
      </c>
      <c r="AD3967" s="1">
        <v>43670</v>
      </c>
      <c r="AE3967" t="str">
        <f>"SH19001440"</f>
        <v>SH19001440</v>
      </c>
      <c r="AF3967" t="str">
        <f>"משלוחים ללקוח"</f>
        <v>משלוחים ללקוח</v>
      </c>
      <c r="AG3967" s="1">
        <v>43748</v>
      </c>
      <c r="AM3967" t="str">
        <f>"10"</f>
        <v>10</v>
      </c>
      <c r="AN3967" t="str">
        <f>"500000"</f>
        <v>500000</v>
      </c>
      <c r="AO3967" t="str">
        <f>"הכנסות  מלקוחות"</f>
        <v>הכנסות  מלקוחות</v>
      </c>
      <c r="AQ3967" t="str">
        <f>"034"</f>
        <v>034</v>
      </c>
      <c r="AR3967">
        <v>0</v>
      </c>
      <c r="AS3967">
        <v>0</v>
      </c>
      <c r="AT3967">
        <v>3.504</v>
      </c>
      <c r="AX3967" t="str">
        <f>"E000291680"</f>
        <v>E000291680</v>
      </c>
      <c r="BD3967" t="str">
        <f>"ערן שלו"</f>
        <v>ערן שלו</v>
      </c>
    </row>
    <row r="3968" spans="1:56" x14ac:dyDescent="0.3">
      <c r="A3968" s="1">
        <v>43745</v>
      </c>
      <c r="B3968" t="str">
        <f>"SI196001178"</f>
        <v>SI196001178</v>
      </c>
      <c r="C3968" t="str">
        <f>"PR19000109"</f>
        <v>PR19000109</v>
      </c>
      <c r="E3968" t="str">
        <f>"Y"</f>
        <v>Y</v>
      </c>
      <c r="F3968" t="str">
        <f>"חשבוניות מרכזות"</f>
        <v>חשבוניות מרכזות</v>
      </c>
      <c r="G3968" t="str">
        <f>"700065"</f>
        <v>700065</v>
      </c>
      <c r="H3968" t="str">
        <f>"אלתא מערכות בע""מ"</f>
        <v>אלתא מערכות בע"מ</v>
      </c>
      <c r="I3968" t="str">
        <f>"05"</f>
        <v>05</v>
      </c>
      <c r="J3968" t="str">
        <f>"OP-PD02885"</f>
        <v>OP-PD02885</v>
      </c>
      <c r="K3968" t="str">
        <f>"MAIN EPS PLC CONTROL PANEL - P71A"</f>
        <v>MAIN EPS PLC CONTROL PANEL - P71A</v>
      </c>
      <c r="L3968">
        <v>1</v>
      </c>
      <c r="M3968" t="str">
        <f>"יח"</f>
        <v>יח</v>
      </c>
      <c r="N3968">
        <v>1</v>
      </c>
      <c r="O3968" t="str">
        <f>"יח"</f>
        <v>יח</v>
      </c>
      <c r="P3968" s="2">
        <v>25400</v>
      </c>
      <c r="Q3968" t="str">
        <f>"$"</f>
        <v>$</v>
      </c>
      <c r="R3968" t="str">
        <f>"הזמנה"</f>
        <v>הזמנה</v>
      </c>
      <c r="S3968">
        <v>0</v>
      </c>
      <c r="T3968" s="2">
        <v>25400</v>
      </c>
      <c r="U3968">
        <v>0</v>
      </c>
      <c r="V3968" s="2">
        <v>25400</v>
      </c>
      <c r="W3968" t="str">
        <f>"$"</f>
        <v>$</v>
      </c>
      <c r="X3968">
        <v>0</v>
      </c>
      <c r="Y3968">
        <v>0</v>
      </c>
      <c r="Z3968">
        <v>0</v>
      </c>
      <c r="AA3968" t="str">
        <f>"Y"</f>
        <v>Y</v>
      </c>
      <c r="AB3968" t="str">
        <f>"SO19000156"</f>
        <v>SO19000156</v>
      </c>
      <c r="AC3968">
        <v>23</v>
      </c>
      <c r="AD3968" s="1">
        <v>43562</v>
      </c>
      <c r="AE3968" t="str">
        <f>"SH19001430"</f>
        <v>SH19001430</v>
      </c>
      <c r="AF3968" t="str">
        <f>"משלוחים ללקוח"</f>
        <v>משלוחים ללקוח</v>
      </c>
      <c r="AG3968" s="1">
        <v>43745</v>
      </c>
      <c r="AM3968" t="str">
        <f>"10"</f>
        <v>10</v>
      </c>
      <c r="AN3968" t="str">
        <f>"500000"</f>
        <v>500000</v>
      </c>
      <c r="AO3968" t="str">
        <f>"הכנסות  מלקוחות"</f>
        <v>הכנסות  מלקוחות</v>
      </c>
      <c r="AQ3968" t="str">
        <f>"034"</f>
        <v>034</v>
      </c>
      <c r="AR3968">
        <v>0</v>
      </c>
      <c r="AS3968">
        <v>0</v>
      </c>
      <c r="AT3968">
        <v>3.4809999999999999</v>
      </c>
      <c r="AX3968" t="str">
        <f>"E000270896"</f>
        <v>E000270896</v>
      </c>
      <c r="BD3968" t="str">
        <f>"ערן שלו"</f>
        <v>ערן שלו</v>
      </c>
    </row>
    <row r="3969" spans="1:56" x14ac:dyDescent="0.3">
      <c r="A3969" s="1">
        <v>43744</v>
      </c>
      <c r="B3969" t="str">
        <f>"SI196001169"</f>
        <v>SI196001169</v>
      </c>
      <c r="C3969" t="str">
        <f>"PR19000109"</f>
        <v>PR19000109</v>
      </c>
      <c r="E3969" t="str">
        <f>"Y"</f>
        <v>Y</v>
      </c>
      <c r="F3969" t="str">
        <f>"חשבוניות מרכזות"</f>
        <v>חשבוניות מרכזות</v>
      </c>
      <c r="G3969" t="str">
        <f>"700065"</f>
        <v>700065</v>
      </c>
      <c r="H3969" t="str">
        <f>"אלתא מערכות בע""מ"</f>
        <v>אלתא מערכות בע"מ</v>
      </c>
      <c r="I3969" t="str">
        <f>"05"</f>
        <v>05</v>
      </c>
      <c r="J3969" t="str">
        <f>"ZV0280056"</f>
        <v>ZV0280056</v>
      </c>
      <c r="K3969" t="str">
        <f>"DRILLING JIG FOR PDB 9"</f>
        <v>DRILLING JIG FOR PDB 9</v>
      </c>
      <c r="L3969">
        <v>1</v>
      </c>
      <c r="M3969" t="str">
        <f>"יח"</f>
        <v>יח</v>
      </c>
      <c r="N3969">
        <v>1</v>
      </c>
      <c r="O3969" t="str">
        <f>"יח"</f>
        <v>יח</v>
      </c>
      <c r="P3969" s="2">
        <v>2650</v>
      </c>
      <c r="Q3969" t="str">
        <f>"$"</f>
        <v>$</v>
      </c>
      <c r="R3969" t="str">
        <f>"הזמנה"</f>
        <v>הזמנה</v>
      </c>
      <c r="S3969">
        <v>0</v>
      </c>
      <c r="T3969" s="2">
        <v>2650</v>
      </c>
      <c r="U3969">
        <v>0</v>
      </c>
      <c r="V3969" s="2">
        <v>2650</v>
      </c>
      <c r="W3969" t="str">
        <f>"$"</f>
        <v>$</v>
      </c>
      <c r="X3969">
        <v>0</v>
      </c>
      <c r="Y3969">
        <v>0</v>
      </c>
      <c r="Z3969">
        <v>0</v>
      </c>
      <c r="AA3969" t="str">
        <f>"Y"</f>
        <v>Y</v>
      </c>
      <c r="AB3969" t="str">
        <f>"SO19000156"</f>
        <v>SO19000156</v>
      </c>
      <c r="AC3969">
        <v>40</v>
      </c>
      <c r="AD3969" s="1">
        <v>43562</v>
      </c>
      <c r="AE3969" t="str">
        <f>"SH19001412"</f>
        <v>SH19001412</v>
      </c>
      <c r="AF3969" t="str">
        <f>"משלוחים ללקוח"</f>
        <v>משלוחים ללקוח</v>
      </c>
      <c r="AG3969" s="1">
        <v>43744</v>
      </c>
      <c r="AM3969" t="str">
        <f>"10"</f>
        <v>10</v>
      </c>
      <c r="AN3969" t="str">
        <f>"500000"</f>
        <v>500000</v>
      </c>
      <c r="AO3969" t="str">
        <f>"הכנסות  מלקוחות"</f>
        <v>הכנסות  מלקוחות</v>
      </c>
      <c r="AQ3969" t="str">
        <f>"034"</f>
        <v>034</v>
      </c>
      <c r="AR3969">
        <v>0</v>
      </c>
      <c r="AS3969">
        <v>0</v>
      </c>
      <c r="AT3969">
        <v>3.4809999999999999</v>
      </c>
      <c r="AX3969" t="str">
        <f>"E000270896"</f>
        <v>E000270896</v>
      </c>
      <c r="BD3969" t="str">
        <f>"ערן שלו"</f>
        <v>ערן שלו</v>
      </c>
    </row>
    <row r="3970" spans="1:56" x14ac:dyDescent="0.3">
      <c r="A3970" s="1">
        <v>43744</v>
      </c>
      <c r="B3970" t="str">
        <f>"SI196001169"</f>
        <v>SI196001169</v>
      </c>
      <c r="C3970" t="str">
        <f>"PR19000109"</f>
        <v>PR19000109</v>
      </c>
      <c r="E3970" t="str">
        <f>"Y"</f>
        <v>Y</v>
      </c>
      <c r="F3970" t="str">
        <f>"חשבוניות מרכזות"</f>
        <v>חשבוניות מרכזות</v>
      </c>
      <c r="G3970" t="str">
        <f>"700065"</f>
        <v>700065</v>
      </c>
      <c r="H3970" t="str">
        <f>"אלתא מערכות בע""מ"</f>
        <v>אלתא מערכות בע"מ</v>
      </c>
      <c r="I3970" t="str">
        <f>"05"</f>
        <v>05</v>
      </c>
      <c r="J3970" t="str">
        <f>"ZV0280057"</f>
        <v>ZV0280057</v>
      </c>
      <c r="K3970" t="str">
        <f>"DRILLING JIG FOR PDB 6/7"</f>
        <v>DRILLING JIG FOR PDB 6/7</v>
      </c>
      <c r="L3970">
        <v>1</v>
      </c>
      <c r="M3970" t="str">
        <f>"יח"</f>
        <v>יח</v>
      </c>
      <c r="N3970">
        <v>1</v>
      </c>
      <c r="O3970" t="str">
        <f>"יח"</f>
        <v>יח</v>
      </c>
      <c r="P3970" s="2">
        <v>2200</v>
      </c>
      <c r="Q3970" t="str">
        <f>"$"</f>
        <v>$</v>
      </c>
      <c r="R3970" t="str">
        <f>"הזמנה"</f>
        <v>הזמנה</v>
      </c>
      <c r="S3970">
        <v>0</v>
      </c>
      <c r="T3970" s="2">
        <v>2200</v>
      </c>
      <c r="U3970">
        <v>0</v>
      </c>
      <c r="V3970" s="2">
        <v>2200</v>
      </c>
      <c r="W3970" t="str">
        <f>"$"</f>
        <v>$</v>
      </c>
      <c r="X3970">
        <v>0</v>
      </c>
      <c r="Y3970">
        <v>0</v>
      </c>
      <c r="Z3970">
        <v>0</v>
      </c>
      <c r="AA3970" t="str">
        <f>"Y"</f>
        <v>Y</v>
      </c>
      <c r="AB3970" t="str">
        <f>"SO19000156"</f>
        <v>SO19000156</v>
      </c>
      <c r="AC3970">
        <v>41</v>
      </c>
      <c r="AD3970" s="1">
        <v>43562</v>
      </c>
      <c r="AE3970" t="str">
        <f>"SH19001412"</f>
        <v>SH19001412</v>
      </c>
      <c r="AF3970" t="str">
        <f>"משלוחים ללקוח"</f>
        <v>משלוחים ללקוח</v>
      </c>
      <c r="AG3970" s="1">
        <v>43744</v>
      </c>
      <c r="AM3970" t="str">
        <f>"10"</f>
        <v>10</v>
      </c>
      <c r="AN3970" t="str">
        <f>"500000"</f>
        <v>500000</v>
      </c>
      <c r="AO3970" t="str">
        <f>"הכנסות  מלקוחות"</f>
        <v>הכנסות  מלקוחות</v>
      </c>
      <c r="AQ3970" t="str">
        <f>"034"</f>
        <v>034</v>
      </c>
      <c r="AR3970">
        <v>0</v>
      </c>
      <c r="AS3970">
        <v>0</v>
      </c>
      <c r="AT3970">
        <v>3.4809999999999999</v>
      </c>
      <c r="AX3970" t="str">
        <f>"E000270896"</f>
        <v>E000270896</v>
      </c>
      <c r="BD3970" t="str">
        <f>"ערן שלו"</f>
        <v>ערן שלו</v>
      </c>
    </row>
    <row r="3971" spans="1:56" x14ac:dyDescent="0.3">
      <c r="A3971" s="1">
        <v>43744</v>
      </c>
      <c r="B3971" t="str">
        <f>"SI196001169"</f>
        <v>SI196001169</v>
      </c>
      <c r="C3971" t="str">
        <f>"PR19000109"</f>
        <v>PR19000109</v>
      </c>
      <c r="E3971" t="str">
        <f>"Y"</f>
        <v>Y</v>
      </c>
      <c r="F3971" t="str">
        <f>"חשבוניות מרכזות"</f>
        <v>חשבוניות מרכזות</v>
      </c>
      <c r="G3971" t="str">
        <f>"700065"</f>
        <v>700065</v>
      </c>
      <c r="H3971" t="str">
        <f>"אלתא מערכות בע""מ"</f>
        <v>אלתא מערכות בע"מ</v>
      </c>
      <c r="I3971" t="str">
        <f>"05"</f>
        <v>05</v>
      </c>
      <c r="J3971" t="str">
        <f>"ZV0280064"</f>
        <v>ZV0280064</v>
      </c>
      <c r="K3971" t="str">
        <f>"DRILLING JIG FOR PDB  12/13"</f>
        <v>DRILLING JIG FOR PDB  12/13</v>
      </c>
      <c r="L3971">
        <v>1</v>
      </c>
      <c r="M3971" t="str">
        <f>"יח"</f>
        <v>יח</v>
      </c>
      <c r="N3971">
        <v>1</v>
      </c>
      <c r="O3971" t="str">
        <f>"יח"</f>
        <v>יח</v>
      </c>
      <c r="P3971" s="2">
        <v>2650</v>
      </c>
      <c r="Q3971" t="str">
        <f>"$"</f>
        <v>$</v>
      </c>
      <c r="R3971" t="str">
        <f>"הזמנה"</f>
        <v>הזמנה</v>
      </c>
      <c r="S3971">
        <v>0</v>
      </c>
      <c r="T3971" s="2">
        <v>2650</v>
      </c>
      <c r="U3971">
        <v>0</v>
      </c>
      <c r="V3971" s="2">
        <v>2650</v>
      </c>
      <c r="W3971" t="str">
        <f>"$"</f>
        <v>$</v>
      </c>
      <c r="X3971">
        <v>0</v>
      </c>
      <c r="Y3971">
        <v>0</v>
      </c>
      <c r="Z3971">
        <v>0</v>
      </c>
      <c r="AA3971" t="str">
        <f>"Y"</f>
        <v>Y</v>
      </c>
      <c r="AB3971" t="str">
        <f>"SO19000156"</f>
        <v>SO19000156</v>
      </c>
      <c r="AC3971">
        <v>42</v>
      </c>
      <c r="AD3971" s="1">
        <v>43562</v>
      </c>
      <c r="AE3971" t="str">
        <f>"SH19001412"</f>
        <v>SH19001412</v>
      </c>
      <c r="AF3971" t="str">
        <f>"משלוחים ללקוח"</f>
        <v>משלוחים ללקוח</v>
      </c>
      <c r="AG3971" s="1">
        <v>43744</v>
      </c>
      <c r="AM3971" t="str">
        <f>"10"</f>
        <v>10</v>
      </c>
      <c r="AN3971" t="str">
        <f>"500000"</f>
        <v>500000</v>
      </c>
      <c r="AO3971" t="str">
        <f>"הכנסות  מלקוחות"</f>
        <v>הכנסות  מלקוחות</v>
      </c>
      <c r="AQ3971" t="str">
        <f>"034"</f>
        <v>034</v>
      </c>
      <c r="AR3971">
        <v>0</v>
      </c>
      <c r="AS3971">
        <v>0</v>
      </c>
      <c r="AT3971">
        <v>3.4809999999999999</v>
      </c>
      <c r="AX3971" t="str">
        <f>"E000270896"</f>
        <v>E000270896</v>
      </c>
      <c r="BD3971" t="str">
        <f>"ערן שלו"</f>
        <v>ערן שלו</v>
      </c>
    </row>
    <row r="3972" spans="1:56" x14ac:dyDescent="0.3">
      <c r="A3972" s="1">
        <v>43744</v>
      </c>
      <c r="B3972" t="str">
        <f>"SI196001169"</f>
        <v>SI196001169</v>
      </c>
      <c r="C3972" t="str">
        <f>"PR19000109"</f>
        <v>PR19000109</v>
      </c>
      <c r="E3972" t="str">
        <f>"Y"</f>
        <v>Y</v>
      </c>
      <c r="F3972" t="str">
        <f>"חשבוניות מרכזות"</f>
        <v>חשבוניות מרכזות</v>
      </c>
      <c r="G3972" t="str">
        <f>"700065"</f>
        <v>700065</v>
      </c>
      <c r="H3972" t="str">
        <f>"אלתא מערכות בע""מ"</f>
        <v>אלתא מערכות בע"מ</v>
      </c>
      <c r="I3972" t="str">
        <f>"05"</f>
        <v>05</v>
      </c>
      <c r="J3972" t="str">
        <f>"ZV0280059"</f>
        <v>ZV0280059</v>
      </c>
      <c r="K3972" t="str">
        <f>"DRILLING JIG FOR TRANSFORMER 200KVA"</f>
        <v>DRILLING JIG FOR TRANSFORMER 200KVA</v>
      </c>
      <c r="L3972">
        <v>1</v>
      </c>
      <c r="M3972" t="str">
        <f>"יח"</f>
        <v>יח</v>
      </c>
      <c r="N3972">
        <v>1</v>
      </c>
      <c r="O3972" t="str">
        <f>"יח"</f>
        <v>יח</v>
      </c>
      <c r="P3972" s="2">
        <v>2650</v>
      </c>
      <c r="Q3972" t="str">
        <f>"$"</f>
        <v>$</v>
      </c>
      <c r="R3972" t="str">
        <f>"הזמנה"</f>
        <v>הזמנה</v>
      </c>
      <c r="S3972">
        <v>0</v>
      </c>
      <c r="T3972" s="2">
        <v>2650</v>
      </c>
      <c r="U3972">
        <v>0</v>
      </c>
      <c r="V3972" s="2">
        <v>2650</v>
      </c>
      <c r="W3972" t="str">
        <f>"$"</f>
        <v>$</v>
      </c>
      <c r="X3972">
        <v>0</v>
      </c>
      <c r="Y3972">
        <v>0</v>
      </c>
      <c r="Z3972">
        <v>0</v>
      </c>
      <c r="AA3972" t="str">
        <f>"Y"</f>
        <v>Y</v>
      </c>
      <c r="AB3972" t="str">
        <f>"SO19000156"</f>
        <v>SO19000156</v>
      </c>
      <c r="AC3972">
        <v>43</v>
      </c>
      <c r="AD3972" s="1">
        <v>43562</v>
      </c>
      <c r="AE3972" t="str">
        <f>"SH19001412"</f>
        <v>SH19001412</v>
      </c>
      <c r="AF3972" t="str">
        <f>"משלוחים ללקוח"</f>
        <v>משלוחים ללקוח</v>
      </c>
      <c r="AG3972" s="1">
        <v>43744</v>
      </c>
      <c r="AM3972" t="str">
        <f>"10"</f>
        <v>10</v>
      </c>
      <c r="AN3972" t="str">
        <f>"500000"</f>
        <v>500000</v>
      </c>
      <c r="AO3972" t="str">
        <f>"הכנסות  מלקוחות"</f>
        <v>הכנסות  מלקוחות</v>
      </c>
      <c r="AQ3972" t="str">
        <f>"034"</f>
        <v>034</v>
      </c>
      <c r="AR3972">
        <v>0</v>
      </c>
      <c r="AS3972">
        <v>0</v>
      </c>
      <c r="AT3972">
        <v>3.4809999999999999</v>
      </c>
      <c r="AX3972" t="str">
        <f>"E000270896"</f>
        <v>E000270896</v>
      </c>
      <c r="BD3972" t="str">
        <f>"ערן שלו"</f>
        <v>ערן שלו</v>
      </c>
    </row>
    <row r="3973" spans="1:56" x14ac:dyDescent="0.3">
      <c r="A3973" s="1">
        <v>43744</v>
      </c>
      <c r="B3973" t="str">
        <f>"SI196001169"</f>
        <v>SI196001169</v>
      </c>
      <c r="C3973" t="str">
        <f>"PR19000109"</f>
        <v>PR19000109</v>
      </c>
      <c r="E3973" t="str">
        <f>"Y"</f>
        <v>Y</v>
      </c>
      <c r="F3973" t="str">
        <f>"חשבוניות מרכזות"</f>
        <v>חשבוניות מרכזות</v>
      </c>
      <c r="G3973" t="str">
        <f>"700065"</f>
        <v>700065</v>
      </c>
      <c r="H3973" t="str">
        <f>"אלתא מערכות בע""מ"</f>
        <v>אלתא מערכות בע"מ</v>
      </c>
      <c r="I3973" t="str">
        <f>"05"</f>
        <v>05</v>
      </c>
      <c r="J3973" t="str">
        <f>"ZV0280058"</f>
        <v>ZV0280058</v>
      </c>
      <c r="K3973" t="str">
        <f>"DRILLING JIG FOR TRANSFORMER 70KVA"</f>
        <v>DRILLING JIG FOR TRANSFORMER 70KVA</v>
      </c>
      <c r="L3973">
        <v>1</v>
      </c>
      <c r="M3973" t="str">
        <f>"יח"</f>
        <v>יח</v>
      </c>
      <c r="N3973">
        <v>1</v>
      </c>
      <c r="O3973" t="str">
        <f>"יח"</f>
        <v>יח</v>
      </c>
      <c r="P3973" s="2">
        <v>2650</v>
      </c>
      <c r="Q3973" t="str">
        <f>"$"</f>
        <v>$</v>
      </c>
      <c r="R3973" t="str">
        <f>"הזמנה"</f>
        <v>הזמנה</v>
      </c>
      <c r="S3973">
        <v>0</v>
      </c>
      <c r="T3973" s="2">
        <v>2650</v>
      </c>
      <c r="U3973">
        <v>0</v>
      </c>
      <c r="V3973" s="2">
        <v>2650</v>
      </c>
      <c r="W3973" t="str">
        <f>"$"</f>
        <v>$</v>
      </c>
      <c r="X3973">
        <v>0</v>
      </c>
      <c r="Y3973">
        <v>0</v>
      </c>
      <c r="Z3973">
        <v>0</v>
      </c>
      <c r="AA3973" t="str">
        <f>"Y"</f>
        <v>Y</v>
      </c>
      <c r="AB3973" t="str">
        <f>"SO19000156"</f>
        <v>SO19000156</v>
      </c>
      <c r="AC3973">
        <v>44</v>
      </c>
      <c r="AD3973" s="1">
        <v>43562</v>
      </c>
      <c r="AE3973" t="str">
        <f>"SH19001412"</f>
        <v>SH19001412</v>
      </c>
      <c r="AF3973" t="str">
        <f>"משלוחים ללקוח"</f>
        <v>משלוחים ללקוח</v>
      </c>
      <c r="AG3973" s="1">
        <v>43744</v>
      </c>
      <c r="AM3973" t="str">
        <f>"10"</f>
        <v>10</v>
      </c>
      <c r="AN3973" t="str">
        <f>"500000"</f>
        <v>500000</v>
      </c>
      <c r="AO3973" t="str">
        <f>"הכנסות  מלקוחות"</f>
        <v>הכנסות  מלקוחות</v>
      </c>
      <c r="AQ3973" t="str">
        <f>"034"</f>
        <v>034</v>
      </c>
      <c r="AR3973">
        <v>0</v>
      </c>
      <c r="AS3973">
        <v>0</v>
      </c>
      <c r="AT3973">
        <v>3.4809999999999999</v>
      </c>
      <c r="AX3973" t="str">
        <f>"E000270896"</f>
        <v>E000270896</v>
      </c>
      <c r="BD3973" t="str">
        <f>"ערן שלו"</f>
        <v>ערן שלו</v>
      </c>
    </row>
    <row r="3974" spans="1:56" x14ac:dyDescent="0.3">
      <c r="A3974" s="1">
        <v>43737</v>
      </c>
      <c r="B3974" t="str">
        <f>"SI196001157"</f>
        <v>SI196001157</v>
      </c>
      <c r="C3974" t="str">
        <f>"PR19000380"</f>
        <v>PR19000380</v>
      </c>
      <c r="E3974" t="str">
        <f>"Y"</f>
        <v>Y</v>
      </c>
      <c r="F3974" t="str">
        <f>"חשבוניות מרכזות"</f>
        <v>חשבוניות מרכזות</v>
      </c>
      <c r="G3974" t="str">
        <f>"700065"</f>
        <v>700065</v>
      </c>
      <c r="H3974" t="str">
        <f>"אלתא מערכות בע""מ"</f>
        <v>אלתא מערכות בע"מ</v>
      </c>
      <c r="I3974" t="str">
        <f>"10"</f>
        <v>10</v>
      </c>
      <c r="J3974" t="str">
        <f>"OP-AR00454"</f>
        <v>OP-AR00454</v>
      </c>
      <c r="K3974" t="str">
        <f>"PDU 380V/50HZ/3 PH AC POWER BOX"</f>
        <v>PDU 380V/50HZ/3 PH AC POWER BOX</v>
      </c>
      <c r="L3974">
        <v>1</v>
      </c>
      <c r="M3974" t="str">
        <f>"יח"</f>
        <v>יח</v>
      </c>
      <c r="N3974">
        <v>1</v>
      </c>
      <c r="O3974" t="str">
        <f>"יח"</f>
        <v>יח</v>
      </c>
      <c r="P3974" s="2">
        <v>1380</v>
      </c>
      <c r="Q3974" t="str">
        <f>"$"</f>
        <v>$</v>
      </c>
      <c r="R3974" t="str">
        <f>"הזמנה"</f>
        <v>הזמנה</v>
      </c>
      <c r="S3974">
        <v>0</v>
      </c>
      <c r="T3974" s="2">
        <v>1380</v>
      </c>
      <c r="U3974">
        <v>0</v>
      </c>
      <c r="V3974" s="2">
        <v>1380</v>
      </c>
      <c r="W3974" t="str">
        <f>"$"</f>
        <v>$</v>
      </c>
      <c r="X3974">
        <v>0</v>
      </c>
      <c r="Y3974">
        <v>0</v>
      </c>
      <c r="Z3974">
        <v>0</v>
      </c>
      <c r="AA3974" t="str">
        <f>"Y"</f>
        <v>Y</v>
      </c>
      <c r="AB3974" t="str">
        <f>"SO19000365"</f>
        <v>SO19000365</v>
      </c>
      <c r="AC3974">
        <v>2</v>
      </c>
      <c r="AD3974" s="1">
        <v>43690</v>
      </c>
      <c r="AE3974" t="str">
        <f>"SH19001391"</f>
        <v>SH19001391</v>
      </c>
      <c r="AF3974" t="str">
        <f>"משלוחים ללקוח"</f>
        <v>משלוחים ללקוח</v>
      </c>
      <c r="AG3974" s="1">
        <v>43734</v>
      </c>
      <c r="AM3974" t="str">
        <f>"10"</f>
        <v>10</v>
      </c>
      <c r="AN3974" t="str">
        <f>"500000"</f>
        <v>500000</v>
      </c>
      <c r="AO3974" t="str">
        <f>"הכנסות  מלקוחות"</f>
        <v>הכנסות  מלקוחות</v>
      </c>
      <c r="AQ3974" t="str">
        <f>"034"</f>
        <v>034</v>
      </c>
      <c r="AR3974">
        <v>0</v>
      </c>
      <c r="AS3974">
        <v>0</v>
      </c>
      <c r="AT3974">
        <v>3.4820000000000002</v>
      </c>
      <c r="AX3974" t="str">
        <f>"E000293882"</f>
        <v>E000293882</v>
      </c>
      <c r="BD3974" t="str">
        <f>"ערן שלו"</f>
        <v>ערן שלו</v>
      </c>
    </row>
    <row r="3975" spans="1:56" x14ac:dyDescent="0.3">
      <c r="A3975" s="1">
        <v>43724</v>
      </c>
      <c r="B3975" t="str">
        <f>"SI196001084"</f>
        <v>SI196001084</v>
      </c>
      <c r="C3975" t="str">
        <f>"PR18000548"</f>
        <v>PR18000548</v>
      </c>
      <c r="D3975" t="str">
        <f>"PR18000548"</f>
        <v>PR18000548</v>
      </c>
      <c r="E3975" t="str">
        <f>"Y"</f>
        <v>Y</v>
      </c>
      <c r="F3975" t="str">
        <f>"חשבוניות מרכזות"</f>
        <v>חשבוניות מרכזות</v>
      </c>
      <c r="G3975" t="str">
        <f>"700065"</f>
        <v>700065</v>
      </c>
      <c r="H3975" t="str">
        <f>"אלתא מערכות בע""מ"</f>
        <v>אלתא מערכות בע"מ</v>
      </c>
      <c r="I3975" t="str">
        <f>"10"</f>
        <v>10</v>
      </c>
      <c r="J3975" t="str">
        <f>"CB1100216"</f>
        <v>CB1100216</v>
      </c>
      <c r="K3975" t="str">
        <f>"10405−00−0 חוט 00#"</f>
        <v>10405−00−0 חוט 00#</v>
      </c>
      <c r="L3975">
        <v>150</v>
      </c>
      <c r="M3975" t="str">
        <f>"מטר"</f>
        <v>מטר</v>
      </c>
      <c r="N3975">
        <v>150</v>
      </c>
      <c r="O3975" t="str">
        <f>"מטר"</f>
        <v>מטר</v>
      </c>
      <c r="P3975">
        <v>28.71</v>
      </c>
      <c r="Q3975" t="str">
        <f>"$"</f>
        <v>$</v>
      </c>
      <c r="R3975" t="str">
        <f>"הזמנה"</f>
        <v>הזמנה</v>
      </c>
      <c r="S3975">
        <v>0</v>
      </c>
      <c r="T3975" s="2">
        <v>4306.5</v>
      </c>
      <c r="U3975">
        <v>0</v>
      </c>
      <c r="V3975" s="2">
        <v>4306.5</v>
      </c>
      <c r="W3975" t="str">
        <f>"$"</f>
        <v>$</v>
      </c>
      <c r="X3975">
        <v>0</v>
      </c>
      <c r="Y3975">
        <v>0</v>
      </c>
      <c r="Z3975">
        <v>0</v>
      </c>
      <c r="AA3975" t="str">
        <f>"Y"</f>
        <v>Y</v>
      </c>
      <c r="AB3975" t="str">
        <f>"SO18000440"</f>
        <v>SO18000440</v>
      </c>
      <c r="AC3975">
        <v>11</v>
      </c>
      <c r="AD3975" s="1">
        <v>43313</v>
      </c>
      <c r="AE3975" t="str">
        <f>"SH19001318"</f>
        <v>SH19001318</v>
      </c>
      <c r="AF3975" t="str">
        <f>"משלוחים ללקוח"</f>
        <v>משלוחים ללקוח</v>
      </c>
      <c r="AG3975" s="1">
        <v>43719</v>
      </c>
      <c r="AM3975" t="str">
        <f>"10"</f>
        <v>10</v>
      </c>
      <c r="AN3975" t="str">
        <f>"500000"</f>
        <v>500000</v>
      </c>
      <c r="AO3975" t="str">
        <f>"הכנסות  מלקוחות"</f>
        <v>הכנסות  מלקוחות</v>
      </c>
      <c r="AQ3975" t="str">
        <f>"017"</f>
        <v>017</v>
      </c>
      <c r="AR3975">
        <v>0</v>
      </c>
      <c r="AS3975">
        <v>0</v>
      </c>
      <c r="AT3975">
        <v>3.5379999999999998</v>
      </c>
      <c r="AX3975" t="str">
        <f>"E000265033"</f>
        <v>E000265033</v>
      </c>
      <c r="BD3975" t="str">
        <f>"שחר דאהמן"</f>
        <v>שחר דאהמן</v>
      </c>
    </row>
    <row r="3976" spans="1:56" x14ac:dyDescent="0.3">
      <c r="A3976" s="1">
        <v>43724</v>
      </c>
      <c r="B3976" t="str">
        <f>"SI196001084"</f>
        <v>SI196001084</v>
      </c>
      <c r="C3976" t="str">
        <f>"PR18000548"</f>
        <v>PR18000548</v>
      </c>
      <c r="D3976" t="str">
        <f>"PR18000548"</f>
        <v>PR18000548</v>
      </c>
      <c r="E3976" t="str">
        <f>"Y"</f>
        <v>Y</v>
      </c>
      <c r="F3976" t="str">
        <f>"חשבוניות מרכזות"</f>
        <v>חשבוניות מרכזות</v>
      </c>
      <c r="G3976" t="str">
        <f>"700065"</f>
        <v>700065</v>
      </c>
      <c r="H3976" t="str">
        <f>"אלתא מערכות בע""מ"</f>
        <v>אלתא מערכות בע"מ</v>
      </c>
      <c r="I3976" t="str">
        <f>"10"</f>
        <v>10</v>
      </c>
      <c r="J3976" t="str">
        <f>"CB1100223"</f>
        <v>CB1100223</v>
      </c>
      <c r="K3976" t="str">
        <f>"55A0141−12−3/5/6/9 חוט תעופתי 4 גידי"</f>
        <v>55A0141−12−3/5/6/9 חוט תעופתי 4 גידי</v>
      </c>
      <c r="L3976">
        <v>578</v>
      </c>
      <c r="M3976" t="str">
        <f>"מטר"</f>
        <v>מטר</v>
      </c>
      <c r="N3976">
        <v>578</v>
      </c>
      <c r="O3976" t="str">
        <f>"מטר"</f>
        <v>מטר</v>
      </c>
      <c r="P3976">
        <v>14.56</v>
      </c>
      <c r="Q3976" t="str">
        <f>"$"</f>
        <v>$</v>
      </c>
      <c r="R3976" t="str">
        <f>"הזמנה"</f>
        <v>הזמנה</v>
      </c>
      <c r="S3976">
        <v>0</v>
      </c>
      <c r="T3976" s="2">
        <v>8415.68</v>
      </c>
      <c r="U3976">
        <v>0</v>
      </c>
      <c r="V3976" s="2">
        <v>8415.68</v>
      </c>
      <c r="W3976" t="str">
        <f>"$"</f>
        <v>$</v>
      </c>
      <c r="X3976">
        <v>0</v>
      </c>
      <c r="Y3976">
        <v>0</v>
      </c>
      <c r="Z3976">
        <v>0</v>
      </c>
      <c r="AA3976" t="str">
        <f>"Y"</f>
        <v>Y</v>
      </c>
      <c r="AB3976" t="str">
        <f>"SO18000440"</f>
        <v>SO18000440</v>
      </c>
      <c r="AC3976">
        <v>12</v>
      </c>
      <c r="AD3976" s="1">
        <v>43313</v>
      </c>
      <c r="AE3976" t="str">
        <f>"SH19001318"</f>
        <v>SH19001318</v>
      </c>
      <c r="AF3976" t="str">
        <f>"משלוחים ללקוח"</f>
        <v>משלוחים ללקוח</v>
      </c>
      <c r="AG3976" s="1">
        <v>43719</v>
      </c>
      <c r="AM3976" t="str">
        <f>"10"</f>
        <v>10</v>
      </c>
      <c r="AN3976" t="str">
        <f>"500000"</f>
        <v>500000</v>
      </c>
      <c r="AO3976" t="str">
        <f>"הכנסות  מלקוחות"</f>
        <v>הכנסות  מלקוחות</v>
      </c>
      <c r="AQ3976" t="str">
        <f>"017"</f>
        <v>017</v>
      </c>
      <c r="AR3976">
        <v>0</v>
      </c>
      <c r="AS3976">
        <v>0</v>
      </c>
      <c r="AT3976">
        <v>3.5379999999999998</v>
      </c>
      <c r="AX3976" t="str">
        <f>"E000265033"</f>
        <v>E000265033</v>
      </c>
      <c r="BD3976" t="str">
        <f>"שחר דאהמן"</f>
        <v>שחר דאהמן</v>
      </c>
    </row>
    <row r="3977" spans="1:56" x14ac:dyDescent="0.3">
      <c r="A3977" s="1">
        <v>43724</v>
      </c>
      <c r="B3977" t="str">
        <f>"SI196001084"</f>
        <v>SI196001084</v>
      </c>
      <c r="C3977" t="str">
        <f>"PR18000548"</f>
        <v>PR18000548</v>
      </c>
      <c r="D3977" t="str">
        <f>"PR18000548"</f>
        <v>PR18000548</v>
      </c>
      <c r="E3977" t="str">
        <f>"Y"</f>
        <v>Y</v>
      </c>
      <c r="F3977" t="str">
        <f>"חשבוניות מרכזות"</f>
        <v>חשבוניות מרכזות</v>
      </c>
      <c r="G3977" t="str">
        <f>"700065"</f>
        <v>700065</v>
      </c>
      <c r="H3977" t="str">
        <f>"אלתא מערכות בע""מ"</f>
        <v>אלתא מערכות בע"מ</v>
      </c>
      <c r="I3977" t="str">
        <f>"10"</f>
        <v>10</v>
      </c>
      <c r="J3977" t="str">
        <f>"CO0500055"</f>
        <v>CO0500055</v>
      </c>
      <c r="K3977" t="str">
        <f>"RNF3000−18/6−2 שרוול מתכווץ אדום"</f>
        <v>RNF3000−18/6−2 שרוול מתכווץ אדום</v>
      </c>
      <c r="L3977">
        <v>29</v>
      </c>
      <c r="M3977" t="str">
        <f>"מטר"</f>
        <v>מטר</v>
      </c>
      <c r="N3977">
        <v>29</v>
      </c>
      <c r="O3977" t="str">
        <f>"מטר"</f>
        <v>מטר</v>
      </c>
      <c r="P3977">
        <v>2.56</v>
      </c>
      <c r="Q3977" t="str">
        <f>"$"</f>
        <v>$</v>
      </c>
      <c r="R3977" t="str">
        <f>"הזמנה"</f>
        <v>הזמנה</v>
      </c>
      <c r="S3977">
        <v>0</v>
      </c>
      <c r="T3977">
        <v>74.239999999999995</v>
      </c>
      <c r="U3977">
        <v>0</v>
      </c>
      <c r="V3977">
        <v>74.239999999999995</v>
      </c>
      <c r="W3977" t="str">
        <f>"$"</f>
        <v>$</v>
      </c>
      <c r="X3977">
        <v>0</v>
      </c>
      <c r="Y3977">
        <v>0</v>
      </c>
      <c r="Z3977">
        <v>0</v>
      </c>
      <c r="AA3977" t="str">
        <f>"Y"</f>
        <v>Y</v>
      </c>
      <c r="AB3977" t="str">
        <f>"SO18000440"</f>
        <v>SO18000440</v>
      </c>
      <c r="AC3977">
        <v>14</v>
      </c>
      <c r="AD3977" s="1">
        <v>43313</v>
      </c>
      <c r="AE3977" t="str">
        <f>"SH19001318"</f>
        <v>SH19001318</v>
      </c>
      <c r="AF3977" t="str">
        <f>"משלוחים ללקוח"</f>
        <v>משלוחים ללקוח</v>
      </c>
      <c r="AG3977" s="1">
        <v>43719</v>
      </c>
      <c r="AM3977" t="str">
        <f>"10"</f>
        <v>10</v>
      </c>
      <c r="AN3977" t="str">
        <f>"500000"</f>
        <v>500000</v>
      </c>
      <c r="AO3977" t="str">
        <f>"הכנסות  מלקוחות"</f>
        <v>הכנסות  מלקוחות</v>
      </c>
      <c r="AQ3977" t="str">
        <f>"017"</f>
        <v>017</v>
      </c>
      <c r="AR3977">
        <v>0</v>
      </c>
      <c r="AS3977">
        <v>0</v>
      </c>
      <c r="AT3977">
        <v>3.5379999999999998</v>
      </c>
      <c r="AX3977" t="str">
        <f>"E000265033"</f>
        <v>E000265033</v>
      </c>
      <c r="BD3977" t="str">
        <f>"שחר דאהמן"</f>
        <v>שחר דאהמן</v>
      </c>
    </row>
    <row r="3978" spans="1:56" x14ac:dyDescent="0.3">
      <c r="A3978" s="1">
        <v>43724</v>
      </c>
      <c r="B3978" t="str">
        <f>"SI196001084"</f>
        <v>SI196001084</v>
      </c>
      <c r="C3978" t="str">
        <f>"PR18000548"</f>
        <v>PR18000548</v>
      </c>
      <c r="D3978" t="str">
        <f>"PR18000548"</f>
        <v>PR18000548</v>
      </c>
      <c r="E3978" t="str">
        <f>"Y"</f>
        <v>Y</v>
      </c>
      <c r="F3978" t="str">
        <f>"חשבוניות מרכזות"</f>
        <v>חשבוניות מרכזות</v>
      </c>
      <c r="G3978" t="str">
        <f>"700065"</f>
        <v>700065</v>
      </c>
      <c r="H3978" t="str">
        <f>"אלתא מערכות בע""מ"</f>
        <v>אלתא מערכות בע"מ</v>
      </c>
      <c r="I3978" t="str">
        <f>"10"</f>
        <v>10</v>
      </c>
      <c r="J3978" t="str">
        <f>"CB1100218"</f>
        <v>CB1100218</v>
      </c>
      <c r="K3978" t="str">
        <f>"CMC0587−00−9 חוט אלומיניום 00#"</f>
        <v>CMC0587−00−9 חוט אלומיניום 00#</v>
      </c>
      <c r="L3978">
        <v>14.21</v>
      </c>
      <c r="M3978" t="str">
        <f>"מטר"</f>
        <v>מטר</v>
      </c>
      <c r="N3978">
        <v>14.21</v>
      </c>
      <c r="O3978" t="str">
        <f>"מטר"</f>
        <v>מטר</v>
      </c>
      <c r="P3978">
        <v>58.72</v>
      </c>
      <c r="Q3978" t="str">
        <f>"$"</f>
        <v>$</v>
      </c>
      <c r="R3978" t="str">
        <f>"הזמנה"</f>
        <v>הזמנה</v>
      </c>
      <c r="S3978">
        <v>0</v>
      </c>
      <c r="T3978">
        <v>834.41</v>
      </c>
      <c r="U3978">
        <v>0</v>
      </c>
      <c r="V3978">
        <v>834.41</v>
      </c>
      <c r="W3978" t="str">
        <f>"$"</f>
        <v>$</v>
      </c>
      <c r="X3978">
        <v>0</v>
      </c>
      <c r="Y3978">
        <v>0</v>
      </c>
      <c r="Z3978">
        <v>0</v>
      </c>
      <c r="AA3978" t="str">
        <f>"Y"</f>
        <v>Y</v>
      </c>
      <c r="AB3978" t="str">
        <f>"SO18000440"</f>
        <v>SO18000440</v>
      </c>
      <c r="AC3978">
        <v>15</v>
      </c>
      <c r="AD3978" s="1">
        <v>43313</v>
      </c>
      <c r="AE3978" t="str">
        <f>"SH19001318"</f>
        <v>SH19001318</v>
      </c>
      <c r="AF3978" t="str">
        <f>"משלוחים ללקוח"</f>
        <v>משלוחים ללקוח</v>
      </c>
      <c r="AG3978" s="1">
        <v>43719</v>
      </c>
      <c r="AM3978" t="str">
        <f>"10"</f>
        <v>10</v>
      </c>
      <c r="AN3978" t="str">
        <f>"500000"</f>
        <v>500000</v>
      </c>
      <c r="AO3978" t="str">
        <f>"הכנסות  מלקוחות"</f>
        <v>הכנסות  מלקוחות</v>
      </c>
      <c r="AQ3978" t="str">
        <f>"017"</f>
        <v>017</v>
      </c>
      <c r="AR3978">
        <v>0</v>
      </c>
      <c r="AS3978">
        <v>0</v>
      </c>
      <c r="AT3978">
        <v>3.5379999999999998</v>
      </c>
      <c r="AX3978" t="str">
        <f>"E000265033"</f>
        <v>E000265033</v>
      </c>
      <c r="BD3978" t="str">
        <f>"שחר דאהמן"</f>
        <v>שחר דאהמן</v>
      </c>
    </row>
    <row r="3979" spans="1:56" x14ac:dyDescent="0.3">
      <c r="A3979" s="1">
        <v>43724</v>
      </c>
      <c r="B3979" t="str">
        <f>"SI196001084"</f>
        <v>SI196001084</v>
      </c>
      <c r="C3979" t="str">
        <f>"PR18000548"</f>
        <v>PR18000548</v>
      </c>
      <c r="D3979" t="str">
        <f>"PR18000548"</f>
        <v>PR18000548</v>
      </c>
      <c r="E3979" t="str">
        <f>"Y"</f>
        <v>Y</v>
      </c>
      <c r="F3979" t="str">
        <f>"חשבוניות מרכזות"</f>
        <v>חשבוניות מרכזות</v>
      </c>
      <c r="G3979" t="str">
        <f>"700065"</f>
        <v>700065</v>
      </c>
      <c r="H3979" t="str">
        <f>"אלתא מערכות בע""מ"</f>
        <v>אלתא מערכות בע"מ</v>
      </c>
      <c r="I3979" t="str">
        <f>"10"</f>
        <v>10</v>
      </c>
      <c r="J3979" t="str">
        <f>"CB1100219"</f>
        <v>CB1100219</v>
      </c>
      <c r="K3979" t="str">
        <f>"CMC0587−2−9 חוט אלומיניום 2#"</f>
        <v>CMC0587−2−9 חוט אלומיניום 2#</v>
      </c>
      <c r="L3979">
        <v>44.03</v>
      </c>
      <c r="M3979" t="str">
        <f>"מטר"</f>
        <v>מטר</v>
      </c>
      <c r="N3979">
        <v>44.03</v>
      </c>
      <c r="O3979" t="str">
        <f>"מטר"</f>
        <v>מטר</v>
      </c>
      <c r="P3979">
        <v>40.07</v>
      </c>
      <c r="Q3979" t="str">
        <f>"$"</f>
        <v>$</v>
      </c>
      <c r="R3979" t="str">
        <f>"הזמנה"</f>
        <v>הזמנה</v>
      </c>
      <c r="S3979">
        <v>0</v>
      </c>
      <c r="T3979" s="2">
        <v>1764.28</v>
      </c>
      <c r="U3979">
        <v>0</v>
      </c>
      <c r="V3979" s="2">
        <v>1764.28</v>
      </c>
      <c r="W3979" t="str">
        <f>"$"</f>
        <v>$</v>
      </c>
      <c r="X3979">
        <v>0</v>
      </c>
      <c r="Y3979">
        <v>0</v>
      </c>
      <c r="Z3979">
        <v>0</v>
      </c>
      <c r="AA3979" t="str">
        <f>"Y"</f>
        <v>Y</v>
      </c>
      <c r="AB3979" t="str">
        <f>"SO18000440"</f>
        <v>SO18000440</v>
      </c>
      <c r="AC3979">
        <v>16</v>
      </c>
      <c r="AD3979" s="1">
        <v>43313</v>
      </c>
      <c r="AE3979" t="str">
        <f>"SH19001318"</f>
        <v>SH19001318</v>
      </c>
      <c r="AF3979" t="str">
        <f>"משלוחים ללקוח"</f>
        <v>משלוחים ללקוח</v>
      </c>
      <c r="AG3979" s="1">
        <v>43719</v>
      </c>
      <c r="AM3979" t="str">
        <f>"10"</f>
        <v>10</v>
      </c>
      <c r="AN3979" t="str">
        <f>"500000"</f>
        <v>500000</v>
      </c>
      <c r="AO3979" t="str">
        <f>"הכנסות  מלקוחות"</f>
        <v>הכנסות  מלקוחות</v>
      </c>
      <c r="AQ3979" t="str">
        <f>"017"</f>
        <v>017</v>
      </c>
      <c r="AR3979">
        <v>0</v>
      </c>
      <c r="AS3979">
        <v>0</v>
      </c>
      <c r="AT3979">
        <v>3.5379999999999998</v>
      </c>
      <c r="AX3979" t="str">
        <f>"E000265033"</f>
        <v>E000265033</v>
      </c>
      <c r="BD3979" t="str">
        <f>"שחר דאהמן"</f>
        <v>שחר דאהמן</v>
      </c>
    </row>
    <row r="3980" spans="1:56" x14ac:dyDescent="0.3">
      <c r="A3980" s="1">
        <v>43723</v>
      </c>
      <c r="B3980" t="str">
        <f>"SI196001081"</f>
        <v>SI196001081</v>
      </c>
      <c r="C3980" t="str">
        <f>"PR19000380"</f>
        <v>PR19000380</v>
      </c>
      <c r="E3980" t="str">
        <f>"Y"</f>
        <v>Y</v>
      </c>
      <c r="F3980" t="str">
        <f>"חשבוניות מרכזות"</f>
        <v>חשבוניות מרכזות</v>
      </c>
      <c r="G3980" t="str">
        <f>"700065"</f>
        <v>700065</v>
      </c>
      <c r="H3980" t="str">
        <f>"אלתא מערכות בע""מ"</f>
        <v>אלתא מערכות בע"מ</v>
      </c>
      <c r="I3980" t="str">
        <f>"10"</f>
        <v>10</v>
      </c>
      <c r="J3980" t="str">
        <f>"OP-AR00454"</f>
        <v>OP-AR00454</v>
      </c>
      <c r="K3980" t="str">
        <f>"PDU 380V/50HZ/3 PH AC POWER BOX"</f>
        <v>PDU 380V/50HZ/3 PH AC POWER BOX</v>
      </c>
      <c r="L3980">
        <v>2</v>
      </c>
      <c r="M3980" t="str">
        <f>"יח"</f>
        <v>יח</v>
      </c>
      <c r="N3980">
        <v>2</v>
      </c>
      <c r="O3980" t="str">
        <f>"יח"</f>
        <v>יח</v>
      </c>
      <c r="P3980" s="2">
        <v>1352.4</v>
      </c>
      <c r="Q3980" t="str">
        <f>"$"</f>
        <v>$</v>
      </c>
      <c r="R3980" t="str">
        <f>"הזמנה"</f>
        <v>הזמנה</v>
      </c>
      <c r="S3980">
        <v>0</v>
      </c>
      <c r="T3980" s="2">
        <v>2704.8</v>
      </c>
      <c r="U3980">
        <v>0</v>
      </c>
      <c r="V3980" s="2">
        <v>2704.8</v>
      </c>
      <c r="W3980" t="str">
        <f>"$"</f>
        <v>$</v>
      </c>
      <c r="X3980">
        <v>0</v>
      </c>
      <c r="Y3980">
        <v>0</v>
      </c>
      <c r="Z3980">
        <v>0</v>
      </c>
      <c r="AA3980" t="str">
        <f>"Y"</f>
        <v>Y</v>
      </c>
      <c r="AB3980" t="str">
        <f>"SO19000299"</f>
        <v>SO19000299</v>
      </c>
      <c r="AC3980">
        <v>2</v>
      </c>
      <c r="AD3980" s="1">
        <v>43648</v>
      </c>
      <c r="AE3980" t="str">
        <f>"SH19001326"</f>
        <v>SH19001326</v>
      </c>
      <c r="AF3980" t="str">
        <f>"משלוחים ללקוח"</f>
        <v>משלוחים ללקוח</v>
      </c>
      <c r="AG3980" s="1">
        <v>43720</v>
      </c>
      <c r="AM3980" t="str">
        <f>"10"</f>
        <v>10</v>
      </c>
      <c r="AN3980" t="str">
        <f>"500000"</f>
        <v>500000</v>
      </c>
      <c r="AO3980" t="str">
        <f>"הכנסות  מלקוחות"</f>
        <v>הכנסות  מלקוחות</v>
      </c>
      <c r="AQ3980" t="str">
        <f>"034"</f>
        <v>034</v>
      </c>
      <c r="AR3980">
        <v>0</v>
      </c>
      <c r="AS3980">
        <v>0</v>
      </c>
      <c r="AT3980">
        <v>3.5270000000000001</v>
      </c>
      <c r="AX3980" t="str">
        <f>"E000289321"</f>
        <v>E000289321</v>
      </c>
      <c r="BD3980" t="str">
        <f>"ערן שלו"</f>
        <v>ערן שלו</v>
      </c>
    </row>
    <row r="3981" spans="1:56" x14ac:dyDescent="0.3">
      <c r="A3981" s="1">
        <v>43723</v>
      </c>
      <c r="B3981" t="str">
        <f>"SI196001081"</f>
        <v>SI196001081</v>
      </c>
      <c r="C3981" t="str">
        <f>"PR19000380"</f>
        <v>PR19000380</v>
      </c>
      <c r="E3981" t="str">
        <f>"Y"</f>
        <v>Y</v>
      </c>
      <c r="F3981" t="str">
        <f>"חשבוניות מרכזות"</f>
        <v>חשבוניות מרכזות</v>
      </c>
      <c r="G3981" t="str">
        <f>"700065"</f>
        <v>700065</v>
      </c>
      <c r="H3981" t="str">
        <f>"אלתא מערכות בע""מ"</f>
        <v>אלתא מערכות בע"מ</v>
      </c>
      <c r="I3981" t="str">
        <f>"10"</f>
        <v>10</v>
      </c>
      <c r="J3981" t="str">
        <f>"OP-AR00454"</f>
        <v>OP-AR00454</v>
      </c>
      <c r="K3981" t="str">
        <f>"PDU 380V/50HZ/3 PH AC POWER BOX"</f>
        <v>PDU 380V/50HZ/3 PH AC POWER BOX</v>
      </c>
      <c r="L3981">
        <v>1</v>
      </c>
      <c r="M3981" t="str">
        <f>"יח"</f>
        <v>יח</v>
      </c>
      <c r="N3981">
        <v>1</v>
      </c>
      <c r="O3981" t="str">
        <f>"יח"</f>
        <v>יח</v>
      </c>
      <c r="P3981" s="2">
        <v>1352.4</v>
      </c>
      <c r="Q3981" t="str">
        <f>"$"</f>
        <v>$</v>
      </c>
      <c r="R3981" t="str">
        <f>"הזמנה"</f>
        <v>הזמנה</v>
      </c>
      <c r="S3981">
        <v>0</v>
      </c>
      <c r="T3981" s="2">
        <v>1352.4</v>
      </c>
      <c r="U3981">
        <v>0</v>
      </c>
      <c r="V3981" s="2">
        <v>1352.4</v>
      </c>
      <c r="W3981" t="str">
        <f>"$"</f>
        <v>$</v>
      </c>
      <c r="X3981">
        <v>0</v>
      </c>
      <c r="Y3981">
        <v>0</v>
      </c>
      <c r="Z3981">
        <v>0</v>
      </c>
      <c r="AA3981" t="str">
        <f>"Y"</f>
        <v>Y</v>
      </c>
      <c r="AB3981" t="str">
        <f>"SO19000299"</f>
        <v>SO19000299</v>
      </c>
      <c r="AC3981">
        <v>4</v>
      </c>
      <c r="AD3981" s="1">
        <v>43648</v>
      </c>
      <c r="AE3981" t="str">
        <f>"SH19001326"</f>
        <v>SH19001326</v>
      </c>
      <c r="AF3981" t="str">
        <f>"משלוחים ללקוח"</f>
        <v>משלוחים ללקוח</v>
      </c>
      <c r="AG3981" s="1">
        <v>43720</v>
      </c>
      <c r="AM3981" t="str">
        <f>"10"</f>
        <v>10</v>
      </c>
      <c r="AN3981" t="str">
        <f>"500000"</f>
        <v>500000</v>
      </c>
      <c r="AO3981" t="str">
        <f>"הכנסות  מלקוחות"</f>
        <v>הכנסות  מלקוחות</v>
      </c>
      <c r="AQ3981" t="str">
        <f>"034"</f>
        <v>034</v>
      </c>
      <c r="AR3981">
        <v>0</v>
      </c>
      <c r="AS3981">
        <v>0</v>
      </c>
      <c r="AT3981">
        <v>3.5270000000000001</v>
      </c>
      <c r="AX3981" t="str">
        <f>"E000289321"</f>
        <v>E000289321</v>
      </c>
      <c r="BD3981" t="str">
        <f>"ערן שלו"</f>
        <v>ערן שלו</v>
      </c>
    </row>
    <row r="3982" spans="1:56" x14ac:dyDescent="0.3">
      <c r="A3982" s="1">
        <v>43723</v>
      </c>
      <c r="B3982" t="str">
        <f>"SI196001080"</f>
        <v>SI196001080</v>
      </c>
      <c r="C3982" t="str">
        <f>"PR19000490"</f>
        <v>PR19000490</v>
      </c>
      <c r="E3982" t="str">
        <f>"Y"</f>
        <v>Y</v>
      </c>
      <c r="F3982" t="str">
        <f>"חשבוניות מרכזות"</f>
        <v>חשבוניות מרכזות</v>
      </c>
      <c r="G3982" t="str">
        <f>"700065"</f>
        <v>700065</v>
      </c>
      <c r="H3982" t="str">
        <f>"אלתא מערכות בע""מ"</f>
        <v>אלתא מערכות בע"מ</v>
      </c>
      <c r="I3982" t="str">
        <f>"10"</f>
        <v>10</v>
      </c>
      <c r="J3982" t="str">
        <f>"OP-AR00454"</f>
        <v>OP-AR00454</v>
      </c>
      <c r="K3982" t="str">
        <f>"PDU 380V/50HZ/3 PH AC POWER BOX"</f>
        <v>PDU 380V/50HZ/3 PH AC POWER BOX</v>
      </c>
      <c r="L3982">
        <v>1</v>
      </c>
      <c r="M3982" t="str">
        <f>"יח"</f>
        <v>יח</v>
      </c>
      <c r="N3982">
        <v>1</v>
      </c>
      <c r="O3982" t="str">
        <f>"יח"</f>
        <v>יח</v>
      </c>
      <c r="P3982" s="2">
        <v>1380</v>
      </c>
      <c r="Q3982" t="str">
        <f>"$"</f>
        <v>$</v>
      </c>
      <c r="R3982" t="str">
        <f>"הזמנה"</f>
        <v>הזמנה</v>
      </c>
      <c r="S3982">
        <v>0</v>
      </c>
      <c r="T3982" s="2">
        <v>1380</v>
      </c>
      <c r="U3982">
        <v>0</v>
      </c>
      <c r="V3982" s="2">
        <v>1380</v>
      </c>
      <c r="W3982" t="str">
        <f>"$"</f>
        <v>$</v>
      </c>
      <c r="X3982">
        <v>0</v>
      </c>
      <c r="Y3982">
        <v>0</v>
      </c>
      <c r="Z3982">
        <v>0</v>
      </c>
      <c r="AA3982" t="str">
        <f>"Y"</f>
        <v>Y</v>
      </c>
      <c r="AB3982" t="str">
        <f>"SO19000365"</f>
        <v>SO19000365</v>
      </c>
      <c r="AC3982">
        <v>1</v>
      </c>
      <c r="AD3982" s="1">
        <v>43690</v>
      </c>
      <c r="AE3982" t="str">
        <f>"SH19001327"</f>
        <v>SH19001327</v>
      </c>
      <c r="AF3982" t="str">
        <f>"משלוחים ללקוח"</f>
        <v>משלוחים ללקוח</v>
      </c>
      <c r="AG3982" s="1">
        <v>43720</v>
      </c>
      <c r="AM3982" t="str">
        <f>"10"</f>
        <v>10</v>
      </c>
      <c r="AN3982" t="str">
        <f>"500000"</f>
        <v>500000</v>
      </c>
      <c r="AO3982" t="str">
        <f>"הכנסות  מלקוחות"</f>
        <v>הכנסות  מלקוחות</v>
      </c>
      <c r="AQ3982" t="str">
        <f>"034"</f>
        <v>034</v>
      </c>
      <c r="AR3982">
        <v>0</v>
      </c>
      <c r="AS3982">
        <v>0</v>
      </c>
      <c r="AT3982">
        <v>3.5270000000000001</v>
      </c>
      <c r="AX3982" t="str">
        <f>"E000293882"</f>
        <v>E000293882</v>
      </c>
      <c r="BD3982" t="str">
        <f>"ערן שלו"</f>
        <v>ערן שלו</v>
      </c>
    </row>
    <row r="3983" spans="1:56" x14ac:dyDescent="0.3">
      <c r="A3983" s="1">
        <v>43720</v>
      </c>
      <c r="B3983" t="str">
        <f>"SI196001072"</f>
        <v>SI196001072</v>
      </c>
      <c r="C3983" t="str">
        <f>"PR18000548"</f>
        <v>PR18000548</v>
      </c>
      <c r="D3983" t="str">
        <f>"PR18000548"</f>
        <v>PR18000548</v>
      </c>
      <c r="E3983" t="str">
        <f>"Y"</f>
        <v>Y</v>
      </c>
      <c r="F3983" t="str">
        <f>"חשבוניות מרכזות"</f>
        <v>חשבוניות מרכזות</v>
      </c>
      <c r="G3983" t="str">
        <f>"700065"</f>
        <v>700065</v>
      </c>
      <c r="H3983" t="str">
        <f>"אלתא מערכות בע""מ"</f>
        <v>אלתא מערכות בע"מ</v>
      </c>
      <c r="I3983" t="str">
        <f>"10"</f>
        <v>10</v>
      </c>
      <c r="J3983" t="str">
        <f>"000"</f>
        <v>000</v>
      </c>
      <c r="K3983" t="str">
        <f>"NRE CABLES"</f>
        <v>NRE CABLES</v>
      </c>
      <c r="L3983">
        <v>1</v>
      </c>
      <c r="M3983" t="str">
        <f>"יח"</f>
        <v>יח</v>
      </c>
      <c r="N3983">
        <v>1</v>
      </c>
      <c r="O3983" t="str">
        <f>"יח"</f>
        <v>יח</v>
      </c>
      <c r="P3983" s="2">
        <v>2646.78</v>
      </c>
      <c r="Q3983" t="str">
        <f>"$"</f>
        <v>$</v>
      </c>
      <c r="R3983" t="str">
        <f>"הזמנה"</f>
        <v>הזמנה</v>
      </c>
      <c r="S3983">
        <v>0</v>
      </c>
      <c r="T3983" s="2">
        <v>2646.78</v>
      </c>
      <c r="U3983">
        <v>0</v>
      </c>
      <c r="V3983" s="2">
        <v>2646.78</v>
      </c>
      <c r="W3983" t="str">
        <f>"$"</f>
        <v>$</v>
      </c>
      <c r="X3983">
        <v>0</v>
      </c>
      <c r="Y3983">
        <v>0</v>
      </c>
      <c r="Z3983">
        <v>0</v>
      </c>
      <c r="AA3983" t="str">
        <f>"Y"</f>
        <v>Y</v>
      </c>
      <c r="AB3983" t="str">
        <f>"SO18000440"</f>
        <v>SO18000440</v>
      </c>
      <c r="AC3983">
        <v>13</v>
      </c>
      <c r="AD3983" s="1">
        <v>43313</v>
      </c>
      <c r="AE3983" t="str">
        <f>"SH19001323"</f>
        <v>SH19001323</v>
      </c>
      <c r="AF3983" t="str">
        <f>"משלוחים ללקוח"</f>
        <v>משלוחים ללקוח</v>
      </c>
      <c r="AG3983" s="1">
        <v>43720</v>
      </c>
      <c r="AM3983" t="str">
        <f>"10"</f>
        <v>10</v>
      </c>
      <c r="AN3983" t="str">
        <f>"500000"</f>
        <v>500000</v>
      </c>
      <c r="AO3983" t="str">
        <f>"הכנסות  מלקוחות"</f>
        <v>הכנסות  מלקוחות</v>
      </c>
      <c r="AQ3983" t="str">
        <f>"017"</f>
        <v>017</v>
      </c>
      <c r="AR3983">
        <v>0</v>
      </c>
      <c r="AS3983">
        <v>0</v>
      </c>
      <c r="AT3983">
        <v>3.5409999999999999</v>
      </c>
      <c r="AX3983" t="str">
        <f>"E000265033"</f>
        <v>E000265033</v>
      </c>
      <c r="BD3983" t="str">
        <f>"שחר דאהמן"</f>
        <v>שחר דאהמן</v>
      </c>
    </row>
    <row r="3984" spans="1:56" x14ac:dyDescent="0.3">
      <c r="A3984" s="1">
        <v>43720</v>
      </c>
      <c r="B3984" t="str">
        <f>"SI196001072"</f>
        <v>SI196001072</v>
      </c>
      <c r="C3984" t="str">
        <f>"PR18000548"</f>
        <v>PR18000548</v>
      </c>
      <c r="D3984" t="str">
        <f>"PR18000548"</f>
        <v>PR18000548</v>
      </c>
      <c r="E3984" t="str">
        <f>"Y"</f>
        <v>Y</v>
      </c>
      <c r="F3984" t="str">
        <f>"חשבוניות מרכזות"</f>
        <v>חשבוניות מרכזות</v>
      </c>
      <c r="G3984" t="str">
        <f>"700065"</f>
        <v>700065</v>
      </c>
      <c r="H3984" t="str">
        <f>"אלתא מערכות בע""מ"</f>
        <v>אלתא מערכות בע"מ</v>
      </c>
      <c r="I3984" t="str">
        <f>"10"</f>
        <v>10</v>
      </c>
      <c r="J3984" t="str">
        <f>"000"</f>
        <v>000</v>
      </c>
      <c r="K3984" t="str">
        <f>"תוספת MOQ"</f>
        <v>תוספת MOQ</v>
      </c>
      <c r="L3984">
        <v>1</v>
      </c>
      <c r="M3984" t="str">
        <f>"יח"</f>
        <v>יח</v>
      </c>
      <c r="N3984">
        <v>1</v>
      </c>
      <c r="O3984" t="str">
        <f>"יח"</f>
        <v>יח</v>
      </c>
      <c r="P3984">
        <v>813.69</v>
      </c>
      <c r="Q3984" t="str">
        <f>"$"</f>
        <v>$</v>
      </c>
      <c r="R3984" t="str">
        <f>"הזמנה"</f>
        <v>הזמנה</v>
      </c>
      <c r="S3984">
        <v>0</v>
      </c>
      <c r="T3984">
        <v>813.69</v>
      </c>
      <c r="U3984">
        <v>0</v>
      </c>
      <c r="V3984">
        <v>813.69</v>
      </c>
      <c r="W3984" t="str">
        <f>"$"</f>
        <v>$</v>
      </c>
      <c r="X3984">
        <v>0</v>
      </c>
      <c r="Y3984">
        <v>0</v>
      </c>
      <c r="Z3984">
        <v>0</v>
      </c>
      <c r="AA3984" t="str">
        <f>"Y"</f>
        <v>Y</v>
      </c>
      <c r="AB3984" t="str">
        <f>"SO18000440"</f>
        <v>SO18000440</v>
      </c>
      <c r="AC3984">
        <v>17</v>
      </c>
      <c r="AD3984" s="1">
        <v>43313</v>
      </c>
      <c r="AE3984" t="str">
        <f>"SH19001323"</f>
        <v>SH19001323</v>
      </c>
      <c r="AF3984" t="str">
        <f>"משלוחים ללקוח"</f>
        <v>משלוחים ללקוח</v>
      </c>
      <c r="AG3984" s="1">
        <v>43720</v>
      </c>
      <c r="AM3984" t="str">
        <f>"10"</f>
        <v>10</v>
      </c>
      <c r="AN3984" t="str">
        <f>"500000"</f>
        <v>500000</v>
      </c>
      <c r="AO3984" t="str">
        <f>"הכנסות  מלקוחות"</f>
        <v>הכנסות  מלקוחות</v>
      </c>
      <c r="AQ3984" t="str">
        <f>"017"</f>
        <v>017</v>
      </c>
      <c r="AR3984">
        <v>0</v>
      </c>
      <c r="AS3984">
        <v>0</v>
      </c>
      <c r="AT3984">
        <v>3.5409999999999999</v>
      </c>
      <c r="AX3984" t="str">
        <f>"E000265033"</f>
        <v>E000265033</v>
      </c>
      <c r="BD3984" t="str">
        <f>"שחר דאהמן"</f>
        <v>שחר דאהמן</v>
      </c>
    </row>
    <row r="3985" spans="1:56" x14ac:dyDescent="0.3">
      <c r="A3985" s="1">
        <v>43718</v>
      </c>
      <c r="B3985" t="str">
        <f>"SI196001062"</f>
        <v>SI196001062</v>
      </c>
      <c r="C3985" t="str">
        <f>"PR19000349"</f>
        <v>PR19000349</v>
      </c>
      <c r="E3985" t="str">
        <f>"Y"</f>
        <v>Y</v>
      </c>
      <c r="F3985" t="str">
        <f>"חשבוניות מרכזות"</f>
        <v>חשבוניות מרכזות</v>
      </c>
      <c r="G3985" t="str">
        <f>"700065"</f>
        <v>700065</v>
      </c>
      <c r="H3985" t="str">
        <f>"אלתא מערכות בע""מ"</f>
        <v>אלתא מערכות בע"מ</v>
      </c>
      <c r="I3985" t="str">
        <f>"05"</f>
        <v>05</v>
      </c>
      <c r="J3985" t="str">
        <f>"OP-PD02968"</f>
        <v>OP-PD02968</v>
      </c>
      <c r="K3985" t="str">
        <f>"לוח חשמל UPS 80KVA"</f>
        <v>לוח חשמל UPS 80KVA</v>
      </c>
      <c r="L3985">
        <v>1</v>
      </c>
      <c r="M3985" t="str">
        <f>"יח"</f>
        <v>יח</v>
      </c>
      <c r="N3985">
        <v>1</v>
      </c>
      <c r="O3985" t="str">
        <f>"יח"</f>
        <v>יח</v>
      </c>
      <c r="P3985" s="2">
        <v>9092</v>
      </c>
      <c r="Q3985" t="str">
        <f>"$"</f>
        <v>$</v>
      </c>
      <c r="R3985" t="str">
        <f>"הזמנה"</f>
        <v>הזמנה</v>
      </c>
      <c r="S3985">
        <v>0</v>
      </c>
      <c r="T3985" s="2">
        <v>9092</v>
      </c>
      <c r="U3985">
        <v>0</v>
      </c>
      <c r="V3985" s="2">
        <v>9092</v>
      </c>
      <c r="W3985" t="str">
        <f>"$"</f>
        <v>$</v>
      </c>
      <c r="X3985">
        <v>0</v>
      </c>
      <c r="Y3985">
        <v>0</v>
      </c>
      <c r="Z3985">
        <v>0</v>
      </c>
      <c r="AA3985" t="str">
        <f>"Y"</f>
        <v>Y</v>
      </c>
      <c r="AB3985" t="str">
        <f>"SO19000282"</f>
        <v>SO19000282</v>
      </c>
      <c r="AC3985">
        <v>1</v>
      </c>
      <c r="AD3985" s="1">
        <v>43634</v>
      </c>
      <c r="AE3985" t="str">
        <f>"SH19001063"</f>
        <v>SH19001063</v>
      </c>
      <c r="AF3985" t="str">
        <f>"משלוחים ללקוח"</f>
        <v>משלוחים ללקוח</v>
      </c>
      <c r="AG3985" s="1">
        <v>43663</v>
      </c>
      <c r="AM3985" t="str">
        <f>"10"</f>
        <v>10</v>
      </c>
      <c r="AN3985" t="str">
        <f>"500000"</f>
        <v>500000</v>
      </c>
      <c r="AO3985" t="str">
        <f>"הכנסות  מלקוחות"</f>
        <v>הכנסות  מלקוחות</v>
      </c>
      <c r="AQ3985" t="str">
        <f>"034"</f>
        <v>034</v>
      </c>
      <c r="AR3985">
        <v>0</v>
      </c>
      <c r="AS3985">
        <v>0</v>
      </c>
      <c r="AT3985">
        <v>3.5270000000000001</v>
      </c>
      <c r="AX3985" t="str">
        <f>"E000288957"</f>
        <v>E000288957</v>
      </c>
      <c r="BD3985" t="str">
        <f>"ערן שלו"</f>
        <v>ערן שלו</v>
      </c>
    </row>
    <row r="3986" spans="1:56" x14ac:dyDescent="0.3">
      <c r="A3986" s="1">
        <v>43718</v>
      </c>
      <c r="B3986" t="str">
        <f>"SI196001061"</f>
        <v>SI196001061</v>
      </c>
      <c r="C3986" t="str">
        <f>"PR19000350"</f>
        <v>PR19000350</v>
      </c>
      <c r="E3986" t="str">
        <f>"Y"</f>
        <v>Y</v>
      </c>
      <c r="F3986" t="str">
        <f>"חשבוניות מרכזות"</f>
        <v>חשבוניות מרכזות</v>
      </c>
      <c r="G3986" t="str">
        <f>"700065"</f>
        <v>700065</v>
      </c>
      <c r="H3986" t="str">
        <f>"אלתא מערכות בע""מ"</f>
        <v>אלתא מערכות בע"מ</v>
      </c>
      <c r="I3986" t="str">
        <f>"05"</f>
        <v>05</v>
      </c>
      <c r="J3986" t="str">
        <f>"SH0100048"</f>
        <v>SH0100048</v>
      </c>
      <c r="K3986" t="str">
        <f>"שנאי 3X240-400VD/3X400V Y+N/80KVA לפי מפרט מצורף"</f>
        <v>שנאי 3X240-400VD/3X400V Y+N/80KVA לפי מפרט מצורף</v>
      </c>
      <c r="L3986">
        <v>1</v>
      </c>
      <c r="M3986" t="str">
        <f>"יח"</f>
        <v>יח</v>
      </c>
      <c r="N3986">
        <v>1</v>
      </c>
      <c r="O3986" t="str">
        <f>"יח"</f>
        <v>יח</v>
      </c>
      <c r="P3986" s="2">
        <v>9536.2999999999993</v>
      </c>
      <c r="Q3986" t="str">
        <f>"$"</f>
        <v>$</v>
      </c>
      <c r="R3986" t="str">
        <f>"הזמנה"</f>
        <v>הזמנה</v>
      </c>
      <c r="S3986">
        <v>0</v>
      </c>
      <c r="T3986" s="2">
        <v>9536.2999999999993</v>
      </c>
      <c r="U3986">
        <v>0</v>
      </c>
      <c r="V3986" s="2">
        <v>9536.2999999999993</v>
      </c>
      <c r="W3986" t="str">
        <f>"$"</f>
        <v>$</v>
      </c>
      <c r="X3986">
        <v>0</v>
      </c>
      <c r="Y3986">
        <v>0</v>
      </c>
      <c r="Z3986">
        <v>0</v>
      </c>
      <c r="AA3986" t="str">
        <f>"Y"</f>
        <v>Y</v>
      </c>
      <c r="AB3986" t="str">
        <f>"SO19000282"</f>
        <v>SO19000282</v>
      </c>
      <c r="AC3986">
        <v>2</v>
      </c>
      <c r="AD3986" s="1">
        <v>43634</v>
      </c>
      <c r="AE3986" t="str">
        <f>"SH19001064"</f>
        <v>SH19001064</v>
      </c>
      <c r="AF3986" t="str">
        <f>"משלוחים ללקוח"</f>
        <v>משלוחים ללקוח</v>
      </c>
      <c r="AG3986" s="1">
        <v>43663</v>
      </c>
      <c r="AM3986" t="str">
        <f>"10"</f>
        <v>10</v>
      </c>
      <c r="AN3986" t="str">
        <f>"500000"</f>
        <v>500000</v>
      </c>
      <c r="AO3986" t="str">
        <f>"הכנסות  מלקוחות"</f>
        <v>הכנסות  מלקוחות</v>
      </c>
      <c r="AQ3986" t="str">
        <f>"034"</f>
        <v>034</v>
      </c>
      <c r="AR3986">
        <v>0</v>
      </c>
      <c r="AS3986">
        <v>0</v>
      </c>
      <c r="AT3986">
        <v>3.5270000000000001</v>
      </c>
      <c r="AX3986" t="str">
        <f>"E000288957"</f>
        <v>E000288957</v>
      </c>
      <c r="BD3986" t="str">
        <f>"ערן שלו"</f>
        <v>ערן שלו</v>
      </c>
    </row>
    <row r="3987" spans="1:56" x14ac:dyDescent="0.3">
      <c r="A3987" s="1">
        <v>43717</v>
      </c>
      <c r="B3987" t="str">
        <f>"SI196001057"</f>
        <v>SI196001057</v>
      </c>
      <c r="C3987" t="str">
        <f>"PR19000109"</f>
        <v>PR19000109</v>
      </c>
      <c r="E3987" t="str">
        <f>"Y"</f>
        <v>Y</v>
      </c>
      <c r="F3987" t="str">
        <f>"חשבוניות מרכזות"</f>
        <v>חשבוניות מרכזות</v>
      </c>
      <c r="G3987" t="str">
        <f>"700065"</f>
        <v>700065</v>
      </c>
      <c r="H3987" t="str">
        <f>"אלתא מערכות בע""מ"</f>
        <v>אלתא מערכות בע"מ</v>
      </c>
      <c r="I3987" t="str">
        <f>"05"</f>
        <v>05</v>
      </c>
      <c r="J3987" t="str">
        <f>"999"</f>
        <v>999</v>
      </c>
      <c r="K3987" t="str">
        <f>"COMPLETION OF CDR"</f>
        <v>COMPLETION OF CDR</v>
      </c>
      <c r="L3987">
        <v>1</v>
      </c>
      <c r="M3987" t="str">
        <f>"חל"</f>
        <v>חל</v>
      </c>
      <c r="N3987">
        <v>1</v>
      </c>
      <c r="O3987" t="str">
        <f>"חל"</f>
        <v>חל</v>
      </c>
      <c r="P3987" s="2">
        <v>73500</v>
      </c>
      <c r="Q3987" t="str">
        <f>"$"</f>
        <v>$</v>
      </c>
      <c r="R3987" t="str">
        <f>"הזמנה"</f>
        <v>הזמנה</v>
      </c>
      <c r="S3987">
        <v>0</v>
      </c>
      <c r="T3987" s="2">
        <v>73500</v>
      </c>
      <c r="U3987">
        <v>0</v>
      </c>
      <c r="V3987" s="2">
        <v>73500</v>
      </c>
      <c r="W3987" t="str">
        <f>"$"</f>
        <v>$</v>
      </c>
      <c r="X3987">
        <v>0</v>
      </c>
      <c r="Y3987">
        <v>0</v>
      </c>
      <c r="Z3987">
        <v>0</v>
      </c>
      <c r="AA3987" t="str">
        <f>"Y"</f>
        <v>Y</v>
      </c>
      <c r="AB3987" t="str">
        <f>"SO19000156"</f>
        <v>SO19000156</v>
      </c>
      <c r="AC3987">
        <v>32</v>
      </c>
      <c r="AD3987" s="1">
        <v>43562</v>
      </c>
      <c r="AE3987" t="str">
        <f>"SH19001308"</f>
        <v>SH19001308</v>
      </c>
      <c r="AF3987" t="str">
        <f>"משלוחים ללקוח"</f>
        <v>משלוחים ללקוח</v>
      </c>
      <c r="AG3987" s="1">
        <v>43717</v>
      </c>
      <c r="AM3987" t="str">
        <f>"10"</f>
        <v>10</v>
      </c>
      <c r="AN3987" t="str">
        <f>"500000"</f>
        <v>500000</v>
      </c>
      <c r="AO3987" t="str">
        <f>"הכנסות  מלקוחות"</f>
        <v>הכנסות  מלקוחות</v>
      </c>
      <c r="AQ3987" t="str">
        <f>"034"</f>
        <v>034</v>
      </c>
      <c r="AR3987">
        <v>0</v>
      </c>
      <c r="AS3987">
        <v>0</v>
      </c>
      <c r="AT3987">
        <v>3.5169999999999999</v>
      </c>
      <c r="AX3987" t="str">
        <f>"E000270896"</f>
        <v>E000270896</v>
      </c>
      <c r="BD3987" t="str">
        <f>"ערן שלו"</f>
        <v>ערן שלו</v>
      </c>
    </row>
    <row r="3988" spans="1:56" x14ac:dyDescent="0.3">
      <c r="A3988" s="1">
        <v>43717</v>
      </c>
      <c r="B3988" t="str">
        <f>"SI196001057"</f>
        <v>SI196001057</v>
      </c>
      <c r="C3988" t="str">
        <f>"PR19000109"</f>
        <v>PR19000109</v>
      </c>
      <c r="E3988" t="str">
        <f>"Y"</f>
        <v>Y</v>
      </c>
      <c r="F3988" t="str">
        <f>"חשבוניות מרכזות"</f>
        <v>חשבוניות מרכזות</v>
      </c>
      <c r="G3988" t="str">
        <f>"700065"</f>
        <v>700065</v>
      </c>
      <c r="H3988" t="str">
        <f>"אלתא מערכות בע""מ"</f>
        <v>אלתא מערכות בע"מ</v>
      </c>
      <c r="I3988" t="str">
        <f>"05"</f>
        <v>05</v>
      </c>
      <c r="J3988" t="str">
        <f>"GN9900099"</f>
        <v>GN9900099</v>
      </c>
      <c r="K3988" t="str">
        <f>"אנליזה לפרויקט ספינות"</f>
        <v>אנליזה לפרויקט ספינות</v>
      </c>
      <c r="L3988">
        <v>1</v>
      </c>
      <c r="M3988" t="str">
        <f>"יח"</f>
        <v>יח</v>
      </c>
      <c r="N3988">
        <v>1</v>
      </c>
      <c r="O3988" t="str">
        <f>"יח"</f>
        <v>יח</v>
      </c>
      <c r="P3988" s="2">
        <v>31600</v>
      </c>
      <c r="Q3988" t="str">
        <f>"$"</f>
        <v>$</v>
      </c>
      <c r="R3988" t="str">
        <f>"הזמנה"</f>
        <v>הזמנה</v>
      </c>
      <c r="S3988">
        <v>0</v>
      </c>
      <c r="T3988" s="2">
        <v>31600</v>
      </c>
      <c r="U3988">
        <v>0</v>
      </c>
      <c r="V3988" s="2">
        <v>31600</v>
      </c>
      <c r="W3988" t="str">
        <f>"$"</f>
        <v>$</v>
      </c>
      <c r="X3988">
        <v>0</v>
      </c>
      <c r="Y3988">
        <v>0</v>
      </c>
      <c r="Z3988">
        <v>0</v>
      </c>
      <c r="AA3988" t="str">
        <f>"Y"</f>
        <v>Y</v>
      </c>
      <c r="AB3988" t="str">
        <f>"SO19000156"</f>
        <v>SO19000156</v>
      </c>
      <c r="AC3988">
        <v>35</v>
      </c>
      <c r="AD3988" s="1">
        <v>43562</v>
      </c>
      <c r="AE3988" t="str">
        <f>"SH19001308"</f>
        <v>SH19001308</v>
      </c>
      <c r="AF3988" t="str">
        <f>"משלוחים ללקוח"</f>
        <v>משלוחים ללקוח</v>
      </c>
      <c r="AG3988" s="1">
        <v>43717</v>
      </c>
      <c r="AM3988" t="str">
        <f>"10"</f>
        <v>10</v>
      </c>
      <c r="AN3988" t="str">
        <f>"500000"</f>
        <v>500000</v>
      </c>
      <c r="AO3988" t="str">
        <f>"הכנסות  מלקוחות"</f>
        <v>הכנסות  מלקוחות</v>
      </c>
      <c r="AQ3988" t="str">
        <f>"034"</f>
        <v>034</v>
      </c>
      <c r="AR3988">
        <v>0</v>
      </c>
      <c r="AS3988">
        <v>0</v>
      </c>
      <c r="AT3988">
        <v>3.5169999999999999</v>
      </c>
      <c r="AX3988" t="str">
        <f>"E000270896"</f>
        <v>E000270896</v>
      </c>
      <c r="BD3988" t="str">
        <f>"ערן שלו"</f>
        <v>ערן שלו</v>
      </c>
    </row>
    <row r="3989" spans="1:56" x14ac:dyDescent="0.3">
      <c r="A3989" s="1">
        <v>43716</v>
      </c>
      <c r="B3989" t="str">
        <f>"SI196001050"</f>
        <v>SI196001050</v>
      </c>
      <c r="C3989" t="str">
        <f>"PR19000454"</f>
        <v>PR19000454</v>
      </c>
      <c r="E3989" t="str">
        <f>"Y"</f>
        <v>Y</v>
      </c>
      <c r="F3989" t="str">
        <f>"חשבוניות מרכזות"</f>
        <v>חשבוניות מרכזות</v>
      </c>
      <c r="G3989" t="str">
        <f>"700065"</f>
        <v>700065</v>
      </c>
      <c r="H3989" t="str">
        <f>"אלתא מערכות בע""מ"</f>
        <v>אלתא מערכות בע"מ</v>
      </c>
      <c r="I3989" t="str">
        <f>"10"</f>
        <v>10</v>
      </c>
      <c r="J3989" t="str">
        <f>"OP-AR01297"</f>
        <v>OP-AR01297</v>
      </c>
      <c r="K3989" t="str">
        <f>"שדרוג יחידה LB PDB"</f>
        <v>שדרוג יחידה LB PDB</v>
      </c>
      <c r="L3989">
        <v>1</v>
      </c>
      <c r="M3989" t="str">
        <f>"יח"</f>
        <v>יח</v>
      </c>
      <c r="N3989">
        <v>1</v>
      </c>
      <c r="O3989" t="str">
        <f>"יח"</f>
        <v>יח</v>
      </c>
      <c r="P3989" s="2">
        <v>1900</v>
      </c>
      <c r="Q3989" t="str">
        <f>"$"</f>
        <v>$</v>
      </c>
      <c r="R3989" t="str">
        <f>"הזמנה"</f>
        <v>הזמנה</v>
      </c>
      <c r="S3989">
        <v>0</v>
      </c>
      <c r="T3989" s="2">
        <v>1900</v>
      </c>
      <c r="U3989">
        <v>0</v>
      </c>
      <c r="V3989" s="2">
        <v>1900</v>
      </c>
      <c r="W3989" t="str">
        <f>"$"</f>
        <v>$</v>
      </c>
      <c r="X3989">
        <v>0</v>
      </c>
      <c r="Y3989">
        <v>0</v>
      </c>
      <c r="Z3989">
        <v>0</v>
      </c>
      <c r="AA3989" t="str">
        <f>"Y"</f>
        <v>Y</v>
      </c>
      <c r="AB3989" t="str">
        <f>"SO19000332"</f>
        <v>SO19000332</v>
      </c>
      <c r="AC3989">
        <v>1</v>
      </c>
      <c r="AD3989" s="1">
        <v>43670</v>
      </c>
      <c r="AE3989" t="str">
        <f>"SH19001277"</f>
        <v>SH19001277</v>
      </c>
      <c r="AF3989" t="str">
        <f>"משלוחים ללקוח"</f>
        <v>משלוחים ללקוח</v>
      </c>
      <c r="AG3989" s="1">
        <v>43711</v>
      </c>
      <c r="AM3989" t="str">
        <f>"10"</f>
        <v>10</v>
      </c>
      <c r="AN3989" t="str">
        <f>"500000"</f>
        <v>500000</v>
      </c>
      <c r="AO3989" t="str">
        <f>"הכנסות  מלקוחות"</f>
        <v>הכנסות  מלקוחות</v>
      </c>
      <c r="AQ3989" t="str">
        <f>"034"</f>
        <v>034</v>
      </c>
      <c r="AR3989">
        <v>0</v>
      </c>
      <c r="AS3989">
        <v>0</v>
      </c>
      <c r="AT3989">
        <v>3.5169999999999999</v>
      </c>
      <c r="AX3989" t="str">
        <f>"E000291680"</f>
        <v>E000291680</v>
      </c>
      <c r="BD3989" t="str">
        <f>"ערן שלו"</f>
        <v>ערן שלו</v>
      </c>
    </row>
    <row r="3990" spans="1:56" x14ac:dyDescent="0.3">
      <c r="A3990" s="1">
        <v>43716</v>
      </c>
      <c r="B3990" t="str">
        <f>"SI196001049"</f>
        <v>SI196001049</v>
      </c>
      <c r="C3990" t="str">
        <f>"PR19000450"</f>
        <v>PR19000450</v>
      </c>
      <c r="D3990" t="str">
        <f>"PR19000450"</f>
        <v>PR19000450</v>
      </c>
      <c r="E3990" t="str">
        <f>"Y"</f>
        <v>Y</v>
      </c>
      <c r="F3990" t="str">
        <f>"חשבוניות מרכזות"</f>
        <v>חשבוניות מרכזות</v>
      </c>
      <c r="G3990" t="str">
        <f>"700065"</f>
        <v>700065</v>
      </c>
      <c r="H3990" t="str">
        <f>"אלתא מערכות בע""מ"</f>
        <v>אלתא מערכות בע"מ</v>
      </c>
      <c r="I3990" t="str">
        <f>"10"</f>
        <v>10</v>
      </c>
      <c r="J3990" t="str">
        <f>"PS0200013"</f>
        <v>PS0200013</v>
      </c>
      <c r="K3990" t="str">
        <f>"DPR6000B-48"</f>
        <v>DPR6000B-48</v>
      </c>
      <c r="L3990">
        <v>1</v>
      </c>
      <c r="M3990" t="str">
        <f>"יח"</f>
        <v>יח</v>
      </c>
      <c r="N3990">
        <v>1</v>
      </c>
      <c r="O3990" t="str">
        <f>"יח"</f>
        <v>יח</v>
      </c>
      <c r="P3990" s="2">
        <v>1525.2</v>
      </c>
      <c r="Q3990" t="str">
        <f>"$"</f>
        <v>$</v>
      </c>
      <c r="R3990" t="str">
        <f>"הזמנה"</f>
        <v>הזמנה</v>
      </c>
      <c r="S3990">
        <v>0</v>
      </c>
      <c r="T3990" s="2">
        <v>1525.2</v>
      </c>
      <c r="U3990">
        <v>0</v>
      </c>
      <c r="V3990" s="2">
        <v>1525.2</v>
      </c>
      <c r="W3990" t="str">
        <f>"$"</f>
        <v>$</v>
      </c>
      <c r="X3990">
        <v>0</v>
      </c>
      <c r="Y3990">
        <v>0</v>
      </c>
      <c r="Z3990">
        <v>0</v>
      </c>
      <c r="AA3990" t="str">
        <f>"Y"</f>
        <v>Y</v>
      </c>
      <c r="AB3990" t="str">
        <f>"SO19000375"</f>
        <v>SO19000375</v>
      </c>
      <c r="AC3990">
        <v>1</v>
      </c>
      <c r="AD3990" s="1">
        <v>43702</v>
      </c>
      <c r="AE3990" t="str">
        <f>"SH19001284"</f>
        <v>SH19001284</v>
      </c>
      <c r="AF3990" t="str">
        <f>"משלוחים ללקוח"</f>
        <v>משלוחים ללקוח</v>
      </c>
      <c r="AG3990" s="1">
        <v>43712</v>
      </c>
      <c r="AM3990" t="str">
        <f>"10"</f>
        <v>10</v>
      </c>
      <c r="AN3990" t="str">
        <f>"500000"</f>
        <v>500000</v>
      </c>
      <c r="AO3990" t="str">
        <f>"הכנסות  מלקוחות"</f>
        <v>הכנסות  מלקוחות</v>
      </c>
      <c r="AQ3990" t="str">
        <f>"034"</f>
        <v>034</v>
      </c>
      <c r="AR3990">
        <v>0</v>
      </c>
      <c r="AS3990">
        <v>0</v>
      </c>
      <c r="AT3990">
        <v>3.5169999999999999</v>
      </c>
      <c r="AX3990" t="str">
        <f>"E000294513"</f>
        <v>E000294513</v>
      </c>
      <c r="BD3990" t="str">
        <f>"ערן שלו"</f>
        <v>ערן שלו</v>
      </c>
    </row>
    <row r="3991" spans="1:56" x14ac:dyDescent="0.3">
      <c r="A3991" s="1">
        <v>43716</v>
      </c>
      <c r="B3991" t="str">
        <f>"SI196001048"</f>
        <v>SI196001048</v>
      </c>
      <c r="C3991" t="str">
        <f>"PR19000304"</f>
        <v>PR19000304</v>
      </c>
      <c r="E3991" t="str">
        <f>"Y"</f>
        <v>Y</v>
      </c>
      <c r="F3991" t="str">
        <f>"חשבוניות מרכזות"</f>
        <v>חשבוניות מרכזות</v>
      </c>
      <c r="G3991" t="str">
        <f>"700065"</f>
        <v>700065</v>
      </c>
      <c r="H3991" t="str">
        <f>"אלתא מערכות בע""מ"</f>
        <v>אלתא מערכות בע"מ</v>
      </c>
      <c r="I3991" t="str">
        <f>"10"</f>
        <v>10</v>
      </c>
      <c r="J3991" t="str">
        <f>"OP-ML00095"</f>
        <v>OP-ML00095</v>
      </c>
      <c r="K3991" t="str">
        <f>"רתמה 1038R273-002 PEDESTAL LIGHT CABLE"</f>
        <v>רתמה 1038R273-002 PEDESTAL LIGHT CABLE</v>
      </c>
      <c r="L3991">
        <v>1</v>
      </c>
      <c r="M3991" t="str">
        <f>"יח"</f>
        <v>יח</v>
      </c>
      <c r="N3991">
        <v>1</v>
      </c>
      <c r="O3991" t="str">
        <f>"יח"</f>
        <v>יח</v>
      </c>
      <c r="P3991">
        <v>340</v>
      </c>
      <c r="Q3991" t="str">
        <f>"$"</f>
        <v>$</v>
      </c>
      <c r="R3991" t="str">
        <f>"הזמנה"</f>
        <v>הזמנה</v>
      </c>
      <c r="S3991">
        <v>0</v>
      </c>
      <c r="T3991">
        <v>340</v>
      </c>
      <c r="U3991">
        <v>0</v>
      </c>
      <c r="V3991">
        <v>340</v>
      </c>
      <c r="W3991" t="str">
        <f>"$"</f>
        <v>$</v>
      </c>
      <c r="X3991">
        <v>0</v>
      </c>
      <c r="Y3991">
        <v>0</v>
      </c>
      <c r="Z3991">
        <v>0</v>
      </c>
      <c r="AA3991" t="str">
        <f>"Y"</f>
        <v>Y</v>
      </c>
      <c r="AB3991" t="str">
        <f>"SO19000244"</f>
        <v>SO19000244</v>
      </c>
      <c r="AC3991">
        <v>1</v>
      </c>
      <c r="AD3991" s="1">
        <v>43618</v>
      </c>
      <c r="AE3991" t="str">
        <f>"SH19001285"</f>
        <v>SH19001285</v>
      </c>
      <c r="AF3991" t="str">
        <f>"משלוחים ללקוח"</f>
        <v>משלוחים ללקוח</v>
      </c>
      <c r="AG3991" s="1">
        <v>43712</v>
      </c>
      <c r="AM3991" t="str">
        <f>"10"</f>
        <v>10</v>
      </c>
      <c r="AN3991" t="str">
        <f>"500000"</f>
        <v>500000</v>
      </c>
      <c r="AO3991" t="str">
        <f>"הכנסות  מלקוחות"</f>
        <v>הכנסות  מלקוחות</v>
      </c>
      <c r="AQ3991" t="str">
        <f>"034"</f>
        <v>034</v>
      </c>
      <c r="AR3991">
        <v>0</v>
      </c>
      <c r="AS3991">
        <v>0</v>
      </c>
      <c r="AT3991">
        <v>3.5169999999999999</v>
      </c>
      <c r="AX3991" t="str">
        <f>"E000288239"</f>
        <v>E000288239</v>
      </c>
      <c r="BD3991" t="str">
        <f>"ערן שלו"</f>
        <v>ערן שלו</v>
      </c>
    </row>
    <row r="3992" spans="1:56" x14ac:dyDescent="0.3">
      <c r="A3992" s="1">
        <v>43703</v>
      </c>
      <c r="B3992" t="str">
        <f>"SI196001010"</f>
        <v>SI196001010</v>
      </c>
      <c r="C3992" t="str">
        <f>"PR19000254"</f>
        <v>PR19000254</v>
      </c>
      <c r="E3992" t="str">
        <f>"Y"</f>
        <v>Y</v>
      </c>
      <c r="F3992" t="str">
        <f>"חשבוניות מרכזות"</f>
        <v>חשבוניות מרכזות</v>
      </c>
      <c r="G3992" t="str">
        <f>"700065"</f>
        <v>700065</v>
      </c>
      <c r="H3992" t="str">
        <f>"אלתא מערכות בע""מ"</f>
        <v>אלתא מערכות בע"מ</v>
      </c>
      <c r="I3992" t="str">
        <f>"10"</f>
        <v>10</v>
      </c>
      <c r="J3992" t="str">
        <f>"OP-AR00454"</f>
        <v>OP-AR00454</v>
      </c>
      <c r="K3992" t="str">
        <f>"PDU 380V/50HZ/3 PH AC POWER BOX"</f>
        <v>PDU 380V/50HZ/3 PH AC POWER BOX</v>
      </c>
      <c r="L3992">
        <v>1</v>
      </c>
      <c r="M3992" t="str">
        <f>"יח"</f>
        <v>יח</v>
      </c>
      <c r="N3992">
        <v>1</v>
      </c>
      <c r="O3992" t="str">
        <f>"יח"</f>
        <v>יח</v>
      </c>
      <c r="P3992" s="2">
        <v>1380</v>
      </c>
      <c r="Q3992" t="str">
        <f>"$"</f>
        <v>$</v>
      </c>
      <c r="R3992" t="str">
        <f>"הזמנה"</f>
        <v>הזמנה</v>
      </c>
      <c r="S3992">
        <v>0</v>
      </c>
      <c r="T3992" s="2">
        <v>1380</v>
      </c>
      <c r="U3992">
        <v>0</v>
      </c>
      <c r="V3992" s="2">
        <v>1380</v>
      </c>
      <c r="W3992" t="str">
        <f>"$"</f>
        <v>$</v>
      </c>
      <c r="X3992">
        <v>0</v>
      </c>
      <c r="Y3992">
        <v>0</v>
      </c>
      <c r="Z3992">
        <v>0</v>
      </c>
      <c r="AA3992" t="str">
        <f>"Y"</f>
        <v>Y</v>
      </c>
      <c r="AB3992" t="str">
        <f>"SO19000212"</f>
        <v>SO19000212</v>
      </c>
      <c r="AC3992">
        <v>2</v>
      </c>
      <c r="AD3992" s="1">
        <v>43600</v>
      </c>
      <c r="AE3992" t="str">
        <f>"SH19001242"</f>
        <v>SH19001242</v>
      </c>
      <c r="AF3992" t="str">
        <f>"משלוחים ללקוח"</f>
        <v>משלוחים ללקוח</v>
      </c>
      <c r="AG3992" s="1">
        <v>43702</v>
      </c>
      <c r="AM3992" t="str">
        <f>"10"</f>
        <v>10</v>
      </c>
      <c r="AN3992" t="str">
        <f>"500000"</f>
        <v>500000</v>
      </c>
      <c r="AO3992" t="str">
        <f>"הכנסות  מלקוחות"</f>
        <v>הכנסות  מלקוחות</v>
      </c>
      <c r="AQ3992" t="str">
        <f>"034"</f>
        <v>034</v>
      </c>
      <c r="AR3992">
        <v>0</v>
      </c>
      <c r="AS3992">
        <v>0</v>
      </c>
      <c r="AT3992">
        <v>3.5110000000000001</v>
      </c>
      <c r="AX3992" t="str">
        <f>"E000286341"</f>
        <v>E000286341</v>
      </c>
      <c r="BD3992" t="str">
        <f>"ערן שלו"</f>
        <v>ערן שלו</v>
      </c>
    </row>
    <row r="3993" spans="1:56" x14ac:dyDescent="0.3">
      <c r="A3993" s="1">
        <v>43703</v>
      </c>
      <c r="B3993" t="str">
        <f>"SI196001010"</f>
        <v>SI196001010</v>
      </c>
      <c r="C3993" t="str">
        <f>"PR19000254"</f>
        <v>PR19000254</v>
      </c>
      <c r="E3993" t="str">
        <f>"Y"</f>
        <v>Y</v>
      </c>
      <c r="F3993" t="str">
        <f>"חשבוניות מרכזות"</f>
        <v>חשבוניות מרכזות</v>
      </c>
      <c r="G3993" t="str">
        <f>"700065"</f>
        <v>700065</v>
      </c>
      <c r="H3993" t="str">
        <f>"אלתא מערכות בע""מ"</f>
        <v>אלתא מערכות בע"מ</v>
      </c>
      <c r="I3993" t="str">
        <f>"10"</f>
        <v>10</v>
      </c>
      <c r="J3993" t="str">
        <f>"OP-AR00454"</f>
        <v>OP-AR00454</v>
      </c>
      <c r="K3993" t="str">
        <f>"PDU 380V/50HZ/3 PH AC POWER BOX"</f>
        <v>PDU 380V/50HZ/3 PH AC POWER BOX</v>
      </c>
      <c r="L3993">
        <v>1</v>
      </c>
      <c r="M3993" t="str">
        <f>"יח"</f>
        <v>יח</v>
      </c>
      <c r="N3993">
        <v>1</v>
      </c>
      <c r="O3993" t="str">
        <f>"יח"</f>
        <v>יח</v>
      </c>
      <c r="P3993" s="2">
        <v>1380</v>
      </c>
      <c r="Q3993" t="str">
        <f>"$"</f>
        <v>$</v>
      </c>
      <c r="R3993" t="str">
        <f>"הזמנה"</f>
        <v>הזמנה</v>
      </c>
      <c r="S3993">
        <v>0</v>
      </c>
      <c r="T3993" s="2">
        <v>1380</v>
      </c>
      <c r="U3993">
        <v>0</v>
      </c>
      <c r="V3993" s="2">
        <v>1380</v>
      </c>
      <c r="W3993" t="str">
        <f>"$"</f>
        <v>$</v>
      </c>
      <c r="X3993">
        <v>0</v>
      </c>
      <c r="Y3993">
        <v>0</v>
      </c>
      <c r="Z3993">
        <v>0</v>
      </c>
      <c r="AA3993" t="str">
        <f>"Y"</f>
        <v>Y</v>
      </c>
      <c r="AB3993" t="str">
        <f>"SO19000212"</f>
        <v>SO19000212</v>
      </c>
      <c r="AC3993">
        <v>3</v>
      </c>
      <c r="AD3993" s="1">
        <v>43600</v>
      </c>
      <c r="AE3993" t="str">
        <f>"SH19001242"</f>
        <v>SH19001242</v>
      </c>
      <c r="AF3993" t="str">
        <f>"משלוחים ללקוח"</f>
        <v>משלוחים ללקוח</v>
      </c>
      <c r="AG3993" s="1">
        <v>43702</v>
      </c>
      <c r="AM3993" t="str">
        <f>"10"</f>
        <v>10</v>
      </c>
      <c r="AN3993" t="str">
        <f>"500000"</f>
        <v>500000</v>
      </c>
      <c r="AO3993" t="str">
        <f>"הכנסות  מלקוחות"</f>
        <v>הכנסות  מלקוחות</v>
      </c>
      <c r="AQ3993" t="str">
        <f>"034"</f>
        <v>034</v>
      </c>
      <c r="AR3993">
        <v>0</v>
      </c>
      <c r="AS3993">
        <v>0</v>
      </c>
      <c r="AT3993">
        <v>3.5110000000000001</v>
      </c>
      <c r="AX3993" t="str">
        <f>"E000286341"</f>
        <v>E000286341</v>
      </c>
      <c r="BD3993" t="str">
        <f>"ערן שלו"</f>
        <v>ערן שלו</v>
      </c>
    </row>
    <row r="3994" spans="1:56" x14ac:dyDescent="0.3">
      <c r="A3994" s="1">
        <v>43703</v>
      </c>
      <c r="B3994" t="str">
        <f>"SI196001009"</f>
        <v>SI196001009</v>
      </c>
      <c r="C3994" t="str">
        <f>"PR19000254"</f>
        <v>PR19000254</v>
      </c>
      <c r="E3994" t="str">
        <f>"Y"</f>
        <v>Y</v>
      </c>
      <c r="F3994" t="str">
        <f>"חשבוניות מרכזות"</f>
        <v>חשבוניות מרכזות</v>
      </c>
      <c r="G3994" t="str">
        <f>"700065"</f>
        <v>700065</v>
      </c>
      <c r="H3994" t="str">
        <f>"אלתא מערכות בע""מ"</f>
        <v>אלתא מערכות בע"מ</v>
      </c>
      <c r="I3994" t="str">
        <f>"10"</f>
        <v>10</v>
      </c>
      <c r="J3994" t="str">
        <f>"OP-AR00454"</f>
        <v>OP-AR00454</v>
      </c>
      <c r="K3994" t="str">
        <f>"PDU 380V/50HZ/3 PH AC POWER BOX"</f>
        <v>PDU 380V/50HZ/3 PH AC POWER BOX</v>
      </c>
      <c r="L3994">
        <v>1</v>
      </c>
      <c r="M3994" t="str">
        <f>"יח"</f>
        <v>יח</v>
      </c>
      <c r="N3994">
        <v>1</v>
      </c>
      <c r="O3994" t="str">
        <f>"יח"</f>
        <v>יח</v>
      </c>
      <c r="P3994" s="2">
        <v>1352.4</v>
      </c>
      <c r="Q3994" t="str">
        <f>"$"</f>
        <v>$</v>
      </c>
      <c r="R3994" t="str">
        <f>"הזמנה"</f>
        <v>הזמנה</v>
      </c>
      <c r="S3994">
        <v>0</v>
      </c>
      <c r="T3994" s="2">
        <v>1352.4</v>
      </c>
      <c r="U3994">
        <v>0</v>
      </c>
      <c r="V3994" s="2">
        <v>1352.4</v>
      </c>
      <c r="W3994" t="str">
        <f>"$"</f>
        <v>$</v>
      </c>
      <c r="X3994">
        <v>0</v>
      </c>
      <c r="Y3994">
        <v>0</v>
      </c>
      <c r="Z3994">
        <v>0</v>
      </c>
      <c r="AA3994" t="str">
        <f>"Y"</f>
        <v>Y</v>
      </c>
      <c r="AB3994" t="str">
        <f>"SO19000299"</f>
        <v>SO19000299</v>
      </c>
      <c r="AC3994">
        <v>1</v>
      </c>
      <c r="AD3994" s="1">
        <v>43648</v>
      </c>
      <c r="AE3994" t="str">
        <f>"SH19001241"</f>
        <v>SH19001241</v>
      </c>
      <c r="AF3994" t="str">
        <f>"משלוחים ללקוח"</f>
        <v>משלוחים ללקוח</v>
      </c>
      <c r="AG3994" s="1">
        <v>43702</v>
      </c>
      <c r="AM3994" t="str">
        <f>"10"</f>
        <v>10</v>
      </c>
      <c r="AN3994" t="str">
        <f>"500000"</f>
        <v>500000</v>
      </c>
      <c r="AO3994" t="str">
        <f>"הכנסות  מלקוחות"</f>
        <v>הכנסות  מלקוחות</v>
      </c>
      <c r="AQ3994" t="str">
        <f>"034"</f>
        <v>034</v>
      </c>
      <c r="AR3994">
        <v>0</v>
      </c>
      <c r="AS3994">
        <v>0</v>
      </c>
      <c r="AT3994">
        <v>3.5110000000000001</v>
      </c>
      <c r="AX3994" t="str">
        <f>"E000289321"</f>
        <v>E000289321</v>
      </c>
      <c r="BD3994" t="str">
        <f>"ערן שלו"</f>
        <v>ערן שלו</v>
      </c>
    </row>
    <row r="3995" spans="1:56" x14ac:dyDescent="0.3">
      <c r="A3995" s="1">
        <v>43703</v>
      </c>
      <c r="B3995" t="str">
        <f>"SI196001008"</f>
        <v>SI196001008</v>
      </c>
      <c r="E3995" t="str">
        <f>"Y"</f>
        <v>Y</v>
      </c>
      <c r="F3995" t="str">
        <f>"חשבוניות מרכזות"</f>
        <v>חשבוניות מרכזות</v>
      </c>
      <c r="G3995" t="str">
        <f>"700065"</f>
        <v>700065</v>
      </c>
      <c r="H3995" t="str">
        <f>"אלתא מערכות בע""מ"</f>
        <v>אלתא מערכות בע"מ</v>
      </c>
      <c r="I3995" t="str">
        <f>"10"</f>
        <v>10</v>
      </c>
      <c r="J3995" t="str">
        <f>"000"</f>
        <v>000</v>
      </c>
      <c r="K3995" t="str">
        <f>"תיקון מחבר במסובב של טל שמים"</f>
        <v>תיקון מחבר במסובב של טל שמים</v>
      </c>
      <c r="L3995">
        <v>1</v>
      </c>
      <c r="M3995" t="str">
        <f>"יח"</f>
        <v>יח</v>
      </c>
      <c r="N3995">
        <v>1</v>
      </c>
      <c r="O3995" t="str">
        <f>"יח"</f>
        <v>יח</v>
      </c>
      <c r="P3995">
        <v>600</v>
      </c>
      <c r="Q3995" t="str">
        <f>"$"</f>
        <v>$</v>
      </c>
      <c r="R3995" t="str">
        <f>"הזמנה"</f>
        <v>הזמנה</v>
      </c>
      <c r="S3995">
        <v>0</v>
      </c>
      <c r="T3995">
        <v>600</v>
      </c>
      <c r="U3995">
        <v>0</v>
      </c>
      <c r="V3995">
        <v>600</v>
      </c>
      <c r="W3995" t="str">
        <f>"$"</f>
        <v>$</v>
      </c>
      <c r="X3995">
        <v>0</v>
      </c>
      <c r="Y3995">
        <v>0</v>
      </c>
      <c r="Z3995">
        <v>0</v>
      </c>
      <c r="AA3995" t="str">
        <f>"Y"</f>
        <v>Y</v>
      </c>
      <c r="AB3995" t="str">
        <f>"SO19000134"</f>
        <v>SO19000134</v>
      </c>
      <c r="AC3995">
        <v>1</v>
      </c>
      <c r="AD3995" s="1">
        <v>43550</v>
      </c>
      <c r="AM3995" t="str">
        <f>"10"</f>
        <v>10</v>
      </c>
      <c r="AN3995" t="str">
        <f>"500000"</f>
        <v>500000</v>
      </c>
      <c r="AO3995" t="str">
        <f>"הכנסות  מלקוחות"</f>
        <v>הכנסות  מלקוחות</v>
      </c>
      <c r="AQ3995" t="str">
        <f>"034"</f>
        <v>034</v>
      </c>
      <c r="AR3995">
        <v>0</v>
      </c>
      <c r="AS3995">
        <v>0</v>
      </c>
      <c r="AT3995">
        <v>3.5110000000000001</v>
      </c>
      <c r="AX3995" t="str">
        <f>"E000283346"</f>
        <v>E000283346</v>
      </c>
      <c r="BD3995" t="str">
        <f>"ערן שלו"</f>
        <v>ערן שלו</v>
      </c>
    </row>
    <row r="3996" spans="1:56" x14ac:dyDescent="0.3">
      <c r="A3996" s="1">
        <v>43702</v>
      </c>
      <c r="B3996" t="str">
        <f>"CR197000032"</f>
        <v>CR197000032</v>
      </c>
      <c r="E3996" t="str">
        <f>"Y"</f>
        <v>Y</v>
      </c>
      <c r="F3996" t="str">
        <f>"חשבוניות זיכוי"</f>
        <v>חשבוניות זיכוי</v>
      </c>
      <c r="G3996" t="str">
        <f>"700065"</f>
        <v>700065</v>
      </c>
      <c r="H3996" t="str">
        <f>"אלתא מערכות בע""מ"</f>
        <v>אלתא מערכות בע"מ</v>
      </c>
      <c r="I3996" t="str">
        <f>"10"</f>
        <v>10</v>
      </c>
      <c r="J3996" t="str">
        <f>"000"</f>
        <v>000</v>
      </c>
      <c r="K3996" t="str">
        <f>"קנס בגין חש' SI196000485 הו""ח 5111749560"</f>
        <v>קנס בגין חש' SI196000485 הו"ח 5111749560</v>
      </c>
      <c r="L3996">
        <v>1</v>
      </c>
      <c r="M3996" t="str">
        <f>"יח"</f>
        <v>יח</v>
      </c>
      <c r="N3996">
        <v>1</v>
      </c>
      <c r="O3996" t="str">
        <f>"יח"</f>
        <v>יח</v>
      </c>
      <c r="P3996" s="2">
        <v>2334.64</v>
      </c>
      <c r="Q3996" t="str">
        <f>"$"</f>
        <v>$</v>
      </c>
      <c r="R3996" t="str">
        <f>"הזמנה"</f>
        <v>הזמנה</v>
      </c>
      <c r="S3996">
        <v>0</v>
      </c>
      <c r="T3996" s="2">
        <v>2334.64</v>
      </c>
      <c r="U3996">
        <v>0</v>
      </c>
      <c r="V3996" s="2">
        <v>2334.64</v>
      </c>
      <c r="W3996" t="str">
        <f>"$"</f>
        <v>$</v>
      </c>
      <c r="X3996">
        <v>0</v>
      </c>
      <c r="Y3996">
        <v>0</v>
      </c>
      <c r="Z3996">
        <v>0</v>
      </c>
      <c r="AA3996" t="str">
        <f>"Y"</f>
        <v>Y</v>
      </c>
      <c r="AB3996" t="str">
        <f>"SO19000376"</f>
        <v>SO19000376</v>
      </c>
      <c r="AC3996">
        <v>1</v>
      </c>
      <c r="AD3996" s="1">
        <v>43702</v>
      </c>
      <c r="AM3996" t="str">
        <f>"10"</f>
        <v>10</v>
      </c>
      <c r="AN3996" t="str">
        <f>"500000"</f>
        <v>500000</v>
      </c>
      <c r="AO3996" t="str">
        <f>"הכנסות  מלקוחות"</f>
        <v>הכנסות  מלקוחות</v>
      </c>
      <c r="AQ3996" t="str">
        <f>"034"</f>
        <v>034</v>
      </c>
      <c r="AR3996">
        <v>0</v>
      </c>
      <c r="AS3996">
        <v>0</v>
      </c>
      <c r="AT3996">
        <v>3.5110000000000001</v>
      </c>
      <c r="AX3996" t="str">
        <f>"E000261186"</f>
        <v>E000261186</v>
      </c>
      <c r="BD3996" t="str">
        <f>"ערן שלו"</f>
        <v>ערן שלו</v>
      </c>
    </row>
    <row r="3997" spans="1:56" x14ac:dyDescent="0.3">
      <c r="A3997" s="1">
        <v>43702</v>
      </c>
      <c r="B3997" t="str">
        <f>"CR197000032"</f>
        <v>CR197000032</v>
      </c>
      <c r="E3997" t="str">
        <f>"Y"</f>
        <v>Y</v>
      </c>
      <c r="F3997" t="str">
        <f>"חשבוניות זיכוי"</f>
        <v>חשבוניות זיכוי</v>
      </c>
      <c r="G3997" t="str">
        <f>"700065"</f>
        <v>700065</v>
      </c>
      <c r="H3997" t="str">
        <f>"אלתא מערכות בע""מ"</f>
        <v>אלתא מערכות בע"מ</v>
      </c>
      <c r="I3997" t="str">
        <f>"10"</f>
        <v>10</v>
      </c>
      <c r="J3997" t="str">
        <f>"000"</f>
        <v>000</v>
      </c>
      <c r="K3997" t="str">
        <f>"קנס בגין חש' SI196000485 הו""ח 5111749560"</f>
        <v>קנס בגין חש' SI196000485 הו"ח 5111749560</v>
      </c>
      <c r="L3997">
        <v>1</v>
      </c>
      <c r="M3997" t="str">
        <f>"יח"</f>
        <v>יח</v>
      </c>
      <c r="N3997">
        <v>1</v>
      </c>
      <c r="O3997" t="str">
        <f>"יח"</f>
        <v>יח</v>
      </c>
      <c r="P3997">
        <v>424.48</v>
      </c>
      <c r="Q3997" t="str">
        <f>"$"</f>
        <v>$</v>
      </c>
      <c r="R3997" t="str">
        <f>"הזמנה"</f>
        <v>הזמנה</v>
      </c>
      <c r="S3997">
        <v>0</v>
      </c>
      <c r="T3997">
        <v>424.48</v>
      </c>
      <c r="U3997">
        <v>0</v>
      </c>
      <c r="V3997">
        <v>424.48</v>
      </c>
      <c r="W3997" t="str">
        <f>"$"</f>
        <v>$</v>
      </c>
      <c r="X3997">
        <v>0</v>
      </c>
      <c r="Y3997">
        <v>0</v>
      </c>
      <c r="Z3997">
        <v>0</v>
      </c>
      <c r="AA3997" t="str">
        <f>"Y"</f>
        <v>Y</v>
      </c>
      <c r="AB3997" t="str">
        <f>"SO19000376"</f>
        <v>SO19000376</v>
      </c>
      <c r="AC3997">
        <v>2</v>
      </c>
      <c r="AD3997" s="1">
        <v>43702</v>
      </c>
      <c r="AM3997" t="str">
        <f>"10"</f>
        <v>10</v>
      </c>
      <c r="AN3997" t="str">
        <f>"500000"</f>
        <v>500000</v>
      </c>
      <c r="AO3997" t="str">
        <f>"הכנסות  מלקוחות"</f>
        <v>הכנסות  מלקוחות</v>
      </c>
      <c r="AQ3997" t="str">
        <f>"034"</f>
        <v>034</v>
      </c>
      <c r="AR3997">
        <v>0</v>
      </c>
      <c r="AS3997">
        <v>0</v>
      </c>
      <c r="AT3997">
        <v>3.5110000000000001</v>
      </c>
      <c r="AX3997" t="str">
        <f>"E000261186"</f>
        <v>E000261186</v>
      </c>
      <c r="BD3997" t="str">
        <f>"ערן שלו"</f>
        <v>ערן שלו</v>
      </c>
    </row>
    <row r="3998" spans="1:56" x14ac:dyDescent="0.3">
      <c r="A3998" s="1">
        <v>43699</v>
      </c>
      <c r="B3998" t="str">
        <f>"CR197000031"</f>
        <v>CR197000031</v>
      </c>
      <c r="C3998" t="str">
        <f>"PR18000364"</f>
        <v>PR18000364</v>
      </c>
      <c r="D3998" t="str">
        <f>"PR18000364"</f>
        <v>PR18000364</v>
      </c>
      <c r="E3998" t="str">
        <f>"Y"</f>
        <v>Y</v>
      </c>
      <c r="F3998" t="str">
        <f>"חשבוניות זיכוי"</f>
        <v>חשבוניות זיכוי</v>
      </c>
      <c r="G3998" t="str">
        <f>"700065"</f>
        <v>700065</v>
      </c>
      <c r="H3998" t="str">
        <f>"אלתא מערכות בע""מ"</f>
        <v>אלתא מערכות בע"מ</v>
      </c>
      <c r="I3998" t="str">
        <f>"10"</f>
        <v>10</v>
      </c>
      <c r="J3998" t="str">
        <f>"000"</f>
        <v>000</v>
      </c>
      <c r="K3998" t="str">
        <f>"קנס בגין חש' SI196000487 הו""ח 5111749591"</f>
        <v>קנס בגין חש' SI196000487 הו"ח 5111749591</v>
      </c>
      <c r="L3998">
        <v>1</v>
      </c>
      <c r="M3998" t="str">
        <f>"יח"</f>
        <v>יח</v>
      </c>
      <c r="N3998">
        <v>1</v>
      </c>
      <c r="O3998" t="str">
        <f>"יח"</f>
        <v>יח</v>
      </c>
      <c r="P3998">
        <v>213.75</v>
      </c>
      <c r="Q3998" t="str">
        <f>"$"</f>
        <v>$</v>
      </c>
      <c r="R3998" t="str">
        <f>"ידני"</f>
        <v>ידני</v>
      </c>
      <c r="S3998">
        <v>0</v>
      </c>
      <c r="T3998">
        <v>213.75</v>
      </c>
      <c r="U3998">
        <v>0</v>
      </c>
      <c r="V3998">
        <v>213.75</v>
      </c>
      <c r="W3998" t="str">
        <f>"$"</f>
        <v>$</v>
      </c>
      <c r="X3998">
        <v>0</v>
      </c>
      <c r="Y3998">
        <v>0</v>
      </c>
      <c r="Z3998">
        <v>0</v>
      </c>
      <c r="AA3998" t="str">
        <f>"Y"</f>
        <v>Y</v>
      </c>
      <c r="AB3998" t="str">
        <f>"SO19000374"</f>
        <v>SO19000374</v>
      </c>
      <c r="AC3998">
        <v>1</v>
      </c>
      <c r="AD3998" s="1">
        <v>43699</v>
      </c>
      <c r="AM3998" t="str">
        <f>"10"</f>
        <v>10</v>
      </c>
      <c r="AN3998" t="str">
        <f>"500000"</f>
        <v>500000</v>
      </c>
      <c r="AO3998" t="str">
        <f>"הכנסות  מלקוחות"</f>
        <v>הכנסות  מלקוחות</v>
      </c>
      <c r="AQ3998" t="str">
        <f>"034"</f>
        <v>034</v>
      </c>
      <c r="AR3998">
        <v>0</v>
      </c>
      <c r="AS3998">
        <v>0</v>
      </c>
      <c r="AT3998">
        <v>3.5748479999999998</v>
      </c>
      <c r="AX3998" t="str">
        <f>"E000261186"</f>
        <v>E000261186</v>
      </c>
      <c r="BD3998" t="str">
        <f>"ערן שלו"</f>
        <v>ערן שלו</v>
      </c>
    </row>
    <row r="3999" spans="1:56" x14ac:dyDescent="0.3">
      <c r="A3999" s="1">
        <v>43699</v>
      </c>
      <c r="B3999" t="str">
        <f>"CR197000030"</f>
        <v>CR197000030</v>
      </c>
      <c r="C3999" t="str">
        <f>"PR18000296"</f>
        <v>PR18000296</v>
      </c>
      <c r="D3999" t="str">
        <f>"PR18000296"</f>
        <v>PR18000296</v>
      </c>
      <c r="E3999" t="str">
        <f>"Y"</f>
        <v>Y</v>
      </c>
      <c r="F3999" t="str">
        <f>"חשבוניות זיכוי"</f>
        <v>חשבוניות זיכוי</v>
      </c>
      <c r="G3999" t="str">
        <f>"700065"</f>
        <v>700065</v>
      </c>
      <c r="H3999" t="str">
        <f>"אלתא מערכות בע""מ"</f>
        <v>אלתא מערכות בע"מ</v>
      </c>
      <c r="I3999" t="str">
        <f>"10"</f>
        <v>10</v>
      </c>
      <c r="J3999" t="str">
        <f>"000"</f>
        <v>000</v>
      </c>
      <c r="K3999" t="str">
        <f>"קנס בגין חש' SI196000578 הו""ח 5111770896"</f>
        <v>קנס בגין חש' SI196000578 הו"ח 5111770896</v>
      </c>
      <c r="L3999">
        <v>1</v>
      </c>
      <c r="M3999" t="str">
        <f>"יח"</f>
        <v>יח</v>
      </c>
      <c r="N3999">
        <v>1</v>
      </c>
      <c r="O3999" t="str">
        <f>"יח"</f>
        <v>יח</v>
      </c>
      <c r="P3999" s="2">
        <v>1160</v>
      </c>
      <c r="Q3999" t="str">
        <f>"$"</f>
        <v>$</v>
      </c>
      <c r="R3999" t="str">
        <f>"ידני"</f>
        <v>ידני</v>
      </c>
      <c r="S3999">
        <v>0</v>
      </c>
      <c r="T3999" s="2">
        <v>1160</v>
      </c>
      <c r="U3999">
        <v>0</v>
      </c>
      <c r="V3999" s="2">
        <v>1160</v>
      </c>
      <c r="W3999" t="str">
        <f>"$"</f>
        <v>$</v>
      </c>
      <c r="X3999">
        <v>0</v>
      </c>
      <c r="Y3999">
        <v>0</v>
      </c>
      <c r="Z3999">
        <v>0</v>
      </c>
      <c r="AA3999" t="str">
        <f>"Y"</f>
        <v>Y</v>
      </c>
      <c r="AB3999" t="str">
        <f>"SO19000373"</f>
        <v>SO19000373</v>
      </c>
      <c r="AC3999">
        <v>1</v>
      </c>
      <c r="AD3999" s="1">
        <v>43699</v>
      </c>
      <c r="AM3999" t="str">
        <f>"10"</f>
        <v>10</v>
      </c>
      <c r="AN3999" t="str">
        <f>"500000"</f>
        <v>500000</v>
      </c>
      <c r="AO3999" t="str">
        <f>"הכנסות  מלקוחות"</f>
        <v>הכנסות  מלקוחות</v>
      </c>
      <c r="AQ3999" t="str">
        <f>"034"</f>
        <v>034</v>
      </c>
      <c r="AR3999">
        <v>0</v>
      </c>
      <c r="AS3999">
        <v>0</v>
      </c>
      <c r="AT3999">
        <v>3.5794619999999999</v>
      </c>
      <c r="AX3999" t="str">
        <f>"E000259662"</f>
        <v>E000259662</v>
      </c>
      <c r="BD3999" t="str">
        <f>"ערן שלו"</f>
        <v>ערן שלו</v>
      </c>
    </row>
    <row r="4000" spans="1:56" x14ac:dyDescent="0.3">
      <c r="A4000" s="1">
        <v>43696</v>
      </c>
      <c r="B4000" t="str">
        <f>"SI196000981"</f>
        <v>SI196000981</v>
      </c>
      <c r="C4000" t="str">
        <f>"PR19000109"</f>
        <v>PR19000109</v>
      </c>
      <c r="E4000" t="str">
        <f>"Y"</f>
        <v>Y</v>
      </c>
      <c r="F4000" t="str">
        <f>"חשבוניות מרכזות"</f>
        <v>חשבוניות מרכזות</v>
      </c>
      <c r="G4000" t="str">
        <f>"700065"</f>
        <v>700065</v>
      </c>
      <c r="H4000" t="str">
        <f>"אלתא מערכות בע""מ"</f>
        <v>אלתא מערכות בע"מ</v>
      </c>
      <c r="I4000" t="str">
        <f>"11"</f>
        <v>11</v>
      </c>
      <c r="J4000" t="str">
        <f>"OP-KT00091"</f>
        <v>OP-KT00091</v>
      </c>
      <c r="K4000" t="str">
        <f>"P15 EPS CABLE KIT"</f>
        <v>P15 EPS CABLE KIT</v>
      </c>
      <c r="L4000">
        <v>1</v>
      </c>
      <c r="M4000" t="str">
        <f>"יח"</f>
        <v>יח</v>
      </c>
      <c r="N4000">
        <v>1</v>
      </c>
      <c r="O4000" t="str">
        <f>"יח"</f>
        <v>יח</v>
      </c>
      <c r="P4000" s="2">
        <v>27600</v>
      </c>
      <c r="Q4000" t="str">
        <f>"$"</f>
        <v>$</v>
      </c>
      <c r="R4000" t="str">
        <f>"הזמנה"</f>
        <v>הזמנה</v>
      </c>
      <c r="S4000">
        <v>0</v>
      </c>
      <c r="T4000" s="2">
        <v>27600</v>
      </c>
      <c r="U4000">
        <v>0</v>
      </c>
      <c r="V4000" s="2">
        <v>27600</v>
      </c>
      <c r="W4000" t="str">
        <f>"$"</f>
        <v>$</v>
      </c>
      <c r="X4000">
        <v>0</v>
      </c>
      <c r="Y4000">
        <v>0</v>
      </c>
      <c r="Z4000">
        <v>0</v>
      </c>
      <c r="AA4000" t="str">
        <f>"Y"</f>
        <v>Y</v>
      </c>
      <c r="AB4000" t="str">
        <f>"SO19000156"</f>
        <v>SO19000156</v>
      </c>
      <c r="AC4000">
        <v>25</v>
      </c>
      <c r="AD4000" s="1">
        <v>43562</v>
      </c>
      <c r="AE4000" t="str">
        <f>"SH19001214"</f>
        <v>SH19001214</v>
      </c>
      <c r="AF4000" t="str">
        <f>"משלוחים ללקוח"</f>
        <v>משלוחים ללקוח</v>
      </c>
      <c r="AG4000" s="1">
        <v>43692</v>
      </c>
      <c r="AM4000" t="str">
        <f>"10"</f>
        <v>10</v>
      </c>
      <c r="AN4000" t="str">
        <f>"500000"</f>
        <v>500000</v>
      </c>
      <c r="AO4000" t="str">
        <f>"הכנסות  מלקוחות"</f>
        <v>הכנסות  מלקוחות</v>
      </c>
      <c r="AQ4000" t="str">
        <f>"034"</f>
        <v>034</v>
      </c>
      <c r="AR4000">
        <v>0</v>
      </c>
      <c r="AS4000">
        <v>0</v>
      </c>
      <c r="AT4000">
        <v>3.5409999999999999</v>
      </c>
      <c r="AX4000" t="str">
        <f>"E000270896"</f>
        <v>E000270896</v>
      </c>
      <c r="BD4000" t="str">
        <f>"ערן שלו"</f>
        <v>ערן שלו</v>
      </c>
    </row>
    <row r="4001" spans="1:56" x14ac:dyDescent="0.3">
      <c r="A4001" s="1">
        <v>43683</v>
      </c>
      <c r="B4001" t="str">
        <f>"SI196000943"</f>
        <v>SI196000943</v>
      </c>
      <c r="C4001" t="str">
        <f>"PR19000393"</f>
        <v>PR19000393</v>
      </c>
      <c r="E4001" t="str">
        <f>"Y"</f>
        <v>Y</v>
      </c>
      <c r="F4001" t="str">
        <f>"חשבוניות מרכזות"</f>
        <v>חשבוניות מרכזות</v>
      </c>
      <c r="G4001" t="str">
        <f>"700065"</f>
        <v>700065</v>
      </c>
      <c r="H4001" t="str">
        <f>"אלתא מערכות בע""מ"</f>
        <v>אלתא מערכות בע"מ</v>
      </c>
      <c r="I4001" t="str">
        <f>"05"</f>
        <v>05</v>
      </c>
      <c r="J4001" t="str">
        <f>"OP-PD02943"</f>
        <v>OP-PD02943</v>
      </c>
      <c r="K4001" t="str">
        <f>"UPS 6KVA PANEL CB"</f>
        <v>UPS 6KVA PANEL CB</v>
      </c>
      <c r="L4001">
        <v>2</v>
      </c>
      <c r="M4001" t="str">
        <f>"יח"</f>
        <v>יח</v>
      </c>
      <c r="N4001">
        <v>2</v>
      </c>
      <c r="O4001" t="str">
        <f>"יח"</f>
        <v>יח</v>
      </c>
      <c r="P4001" s="2">
        <v>1420</v>
      </c>
      <c r="Q4001" t="str">
        <f>"$"</f>
        <v>$</v>
      </c>
      <c r="R4001" t="str">
        <f>"הזמנה"</f>
        <v>הזמנה</v>
      </c>
      <c r="S4001">
        <v>0</v>
      </c>
      <c r="T4001" s="2">
        <v>2840</v>
      </c>
      <c r="U4001">
        <v>0</v>
      </c>
      <c r="V4001" s="2">
        <v>2840</v>
      </c>
      <c r="W4001" t="str">
        <f>"$"</f>
        <v>$</v>
      </c>
      <c r="X4001">
        <v>0</v>
      </c>
      <c r="Y4001">
        <v>0</v>
      </c>
      <c r="Z4001">
        <v>0</v>
      </c>
      <c r="AA4001" t="str">
        <f>"Y"</f>
        <v>Y</v>
      </c>
      <c r="AB4001" t="str">
        <f>"SO19000221"</f>
        <v>SO19000221</v>
      </c>
      <c r="AC4001">
        <v>2</v>
      </c>
      <c r="AD4001" s="1">
        <v>43606</v>
      </c>
      <c r="AE4001" t="str">
        <f>"SH19001163"</f>
        <v>SH19001163</v>
      </c>
      <c r="AF4001" t="str">
        <f>"משלוחים ללקוח"</f>
        <v>משלוחים ללקוח</v>
      </c>
      <c r="AG4001" s="1">
        <v>43682</v>
      </c>
      <c r="AM4001" t="str">
        <f>"27"</f>
        <v>27</v>
      </c>
      <c r="AN4001" t="str">
        <f>"500000"</f>
        <v>500000</v>
      </c>
      <c r="AO4001" t="str">
        <f>"הכנסות  מלקוחות"</f>
        <v>הכנסות  מלקוחות</v>
      </c>
      <c r="AQ4001" t="str">
        <f>"034"</f>
        <v>034</v>
      </c>
      <c r="AR4001">
        <v>0</v>
      </c>
      <c r="AS4001">
        <v>0</v>
      </c>
      <c r="AT4001">
        <v>3.5089999999999999</v>
      </c>
      <c r="AX4001" t="str">
        <f>"E000290635"</f>
        <v>E000290635</v>
      </c>
      <c r="BD4001" t="str">
        <f>"ערן שלו"</f>
        <v>ערן שלו</v>
      </c>
    </row>
    <row r="4002" spans="1:56" x14ac:dyDescent="0.3">
      <c r="A4002" s="1">
        <v>43678</v>
      </c>
      <c r="B4002" t="str">
        <f>"SI196001053"</f>
        <v>SI196001053</v>
      </c>
      <c r="C4002" t="str">
        <f>"PR19000349"</f>
        <v>PR19000349</v>
      </c>
      <c r="E4002" t="str">
        <f>"Y"</f>
        <v>Y</v>
      </c>
      <c r="F4002" t="str">
        <f>"חשבוניות מרכזות"</f>
        <v>חשבוניות מרכזות</v>
      </c>
      <c r="G4002" t="str">
        <f>"700065"</f>
        <v>700065</v>
      </c>
      <c r="H4002" t="str">
        <f>"אלתא מערכות בע""מ"</f>
        <v>אלתא מערכות בע"מ</v>
      </c>
      <c r="I4002" t="str">
        <f>"05"</f>
        <v>05</v>
      </c>
      <c r="J4002" t="str">
        <f>"OP-PD02968"</f>
        <v>OP-PD02968</v>
      </c>
      <c r="K4002" t="str">
        <f>"לוח חשמל UPS 80KVA"</f>
        <v>לוח חשמל UPS 80KVA</v>
      </c>
      <c r="L4002">
        <v>-1</v>
      </c>
      <c r="M4002" t="str">
        <f>"יח"</f>
        <v>יח</v>
      </c>
      <c r="N4002">
        <v>-1</v>
      </c>
      <c r="O4002" t="str">
        <f>"יח"</f>
        <v>יח</v>
      </c>
      <c r="P4002" s="2">
        <v>9092</v>
      </c>
      <c r="Q4002" t="str">
        <f>"$"</f>
        <v>$</v>
      </c>
      <c r="R4002" t="str">
        <f>"הזמנה"</f>
        <v>הזמנה</v>
      </c>
      <c r="S4002">
        <v>0</v>
      </c>
      <c r="T4002" s="2">
        <v>-9092</v>
      </c>
      <c r="U4002">
        <v>6</v>
      </c>
      <c r="V4002" s="2">
        <v>-8546.48</v>
      </c>
      <c r="W4002" t="str">
        <f>"$"</f>
        <v>$</v>
      </c>
      <c r="X4002">
        <v>0</v>
      </c>
      <c r="Y4002">
        <v>0</v>
      </c>
      <c r="Z4002">
        <v>0</v>
      </c>
      <c r="AA4002" t="str">
        <f>"Y"</f>
        <v>Y</v>
      </c>
      <c r="AC4002">
        <v>0</v>
      </c>
      <c r="AM4002" t="str">
        <f>"10"</f>
        <v>10</v>
      </c>
      <c r="AN4002" t="str">
        <f>"500000"</f>
        <v>500000</v>
      </c>
      <c r="AO4002" t="str">
        <f>"הכנסות  מלקוחות"</f>
        <v>הכנסות  מלקוחות</v>
      </c>
      <c r="AQ4002" t="str">
        <f>"034"</f>
        <v>034</v>
      </c>
      <c r="AR4002">
        <v>0</v>
      </c>
      <c r="AS4002">
        <v>0</v>
      </c>
      <c r="AT4002">
        <v>3.5209999999999999</v>
      </c>
      <c r="BB4002" t="str">
        <f>"Y"</f>
        <v>Y</v>
      </c>
      <c r="BD4002" t="str">
        <f>"ערן שלו"</f>
        <v>ערן שלו</v>
      </c>
    </row>
    <row r="4003" spans="1:56" x14ac:dyDescent="0.3">
      <c r="A4003" s="1">
        <v>43678</v>
      </c>
      <c r="B4003" t="str">
        <f>"SI196001052"</f>
        <v>SI196001052</v>
      </c>
      <c r="C4003" t="str">
        <f>"PR19000350"</f>
        <v>PR19000350</v>
      </c>
      <c r="E4003" t="str">
        <f>"Y"</f>
        <v>Y</v>
      </c>
      <c r="F4003" t="str">
        <f>"חשבוניות מרכזות"</f>
        <v>חשבוניות מרכזות</v>
      </c>
      <c r="G4003" t="str">
        <f>"700065"</f>
        <v>700065</v>
      </c>
      <c r="H4003" t="str">
        <f>"אלתא מערכות בע""מ"</f>
        <v>אלתא מערכות בע"מ</v>
      </c>
      <c r="I4003" t="str">
        <f>"05"</f>
        <v>05</v>
      </c>
      <c r="J4003" t="str">
        <f>"SH0100048"</f>
        <v>SH0100048</v>
      </c>
      <c r="K4003" t="str">
        <f>"שנאי 3X240-400VD/3X400V Y+N/80KVA לפי מפרט מצורף"</f>
        <v>שנאי 3X240-400VD/3X400V Y+N/80KVA לפי מפרט מצורף</v>
      </c>
      <c r="L4003">
        <v>-1</v>
      </c>
      <c r="M4003" t="str">
        <f>"יח"</f>
        <v>יח</v>
      </c>
      <c r="N4003">
        <v>-1</v>
      </c>
      <c r="O4003" t="str">
        <f>"יח"</f>
        <v>יח</v>
      </c>
      <c r="P4003" s="2">
        <v>9536.2999999999993</v>
      </c>
      <c r="Q4003" t="str">
        <f>"$"</f>
        <v>$</v>
      </c>
      <c r="R4003" t="str">
        <f>"הזמנה"</f>
        <v>הזמנה</v>
      </c>
      <c r="S4003">
        <v>0</v>
      </c>
      <c r="T4003" s="2">
        <v>-9536.2999999999993</v>
      </c>
      <c r="U4003">
        <v>6</v>
      </c>
      <c r="V4003" s="2">
        <v>-8964.1200000000008</v>
      </c>
      <c r="W4003" t="str">
        <f>"$"</f>
        <v>$</v>
      </c>
      <c r="X4003">
        <v>0</v>
      </c>
      <c r="Y4003">
        <v>0</v>
      </c>
      <c r="Z4003">
        <v>0</v>
      </c>
      <c r="AA4003" t="str">
        <f>"Y"</f>
        <v>Y</v>
      </c>
      <c r="AC4003">
        <v>0</v>
      </c>
      <c r="AM4003" t="str">
        <f>"10"</f>
        <v>10</v>
      </c>
      <c r="AN4003" t="str">
        <f>"500000"</f>
        <v>500000</v>
      </c>
      <c r="AO4003" t="str">
        <f>"הכנסות  מלקוחות"</f>
        <v>הכנסות  מלקוחות</v>
      </c>
      <c r="AQ4003" t="str">
        <f>"034"</f>
        <v>034</v>
      </c>
      <c r="AR4003">
        <v>0</v>
      </c>
      <c r="AS4003">
        <v>0</v>
      </c>
      <c r="AT4003">
        <v>3.5209999999999999</v>
      </c>
      <c r="BB4003" t="str">
        <f>"Y"</f>
        <v>Y</v>
      </c>
      <c r="BD4003" t="str">
        <f>"ערן שלו"</f>
        <v>ערן שלו</v>
      </c>
    </row>
    <row r="4004" spans="1:56" x14ac:dyDescent="0.3">
      <c r="A4004" s="1">
        <v>43677</v>
      </c>
      <c r="B4004" t="str">
        <f>"SI196000933"</f>
        <v>SI196000933</v>
      </c>
      <c r="C4004" t="str">
        <f>"PR19000286"</f>
        <v>PR19000286</v>
      </c>
      <c r="E4004" t="str">
        <f>"Y"</f>
        <v>Y</v>
      </c>
      <c r="F4004" t="str">
        <f>"חשבוניות מרכזות"</f>
        <v>חשבוניות מרכזות</v>
      </c>
      <c r="G4004" t="str">
        <f>"700065"</f>
        <v>700065</v>
      </c>
      <c r="H4004" t="str">
        <f>"אלתא מערכות בע""מ"</f>
        <v>אלתא מערכות בע"מ</v>
      </c>
      <c r="I4004" t="str">
        <f>"10"</f>
        <v>10</v>
      </c>
      <c r="J4004" t="str">
        <f>"OP-AR00454"</f>
        <v>OP-AR00454</v>
      </c>
      <c r="K4004" t="str">
        <f>"PDU 380V/50HZ/3 PH AC POWER BOX"</f>
        <v>PDU 380V/50HZ/3 PH AC POWER BOX</v>
      </c>
      <c r="L4004">
        <v>1</v>
      </c>
      <c r="M4004" t="str">
        <f>"יח"</f>
        <v>יח</v>
      </c>
      <c r="N4004">
        <v>1</v>
      </c>
      <c r="O4004" t="str">
        <f>"יח"</f>
        <v>יח</v>
      </c>
      <c r="P4004" s="2">
        <v>1380</v>
      </c>
      <c r="Q4004" t="str">
        <f>"$"</f>
        <v>$</v>
      </c>
      <c r="R4004" t="str">
        <f>"הזמנה"</f>
        <v>הזמנה</v>
      </c>
      <c r="S4004">
        <v>0</v>
      </c>
      <c r="T4004" s="2">
        <v>1380</v>
      </c>
      <c r="U4004">
        <v>0</v>
      </c>
      <c r="V4004" s="2">
        <v>1380</v>
      </c>
      <c r="W4004" t="str">
        <f>"$"</f>
        <v>$</v>
      </c>
      <c r="X4004">
        <v>0</v>
      </c>
      <c r="Y4004">
        <v>0</v>
      </c>
      <c r="Z4004">
        <v>0</v>
      </c>
      <c r="AA4004" t="str">
        <f>"Y"</f>
        <v>Y</v>
      </c>
      <c r="AB4004" t="str">
        <f>"SO19000212"</f>
        <v>SO19000212</v>
      </c>
      <c r="AC4004">
        <v>1</v>
      </c>
      <c r="AD4004" s="1">
        <v>43600</v>
      </c>
      <c r="AE4004" t="str">
        <f>"SH19001135"</f>
        <v>SH19001135</v>
      </c>
      <c r="AF4004" t="str">
        <f>"משלוחים ללקוח"</f>
        <v>משלוחים ללקוח</v>
      </c>
      <c r="AG4004" s="1">
        <v>43675</v>
      </c>
      <c r="AM4004" t="str">
        <f>"10"</f>
        <v>10</v>
      </c>
      <c r="AN4004" t="str">
        <f>"500000"</f>
        <v>500000</v>
      </c>
      <c r="AO4004" t="str">
        <f>"הכנסות  מלקוחות"</f>
        <v>הכנסות  מלקוחות</v>
      </c>
      <c r="AQ4004" t="str">
        <f>"034"</f>
        <v>034</v>
      </c>
      <c r="AR4004">
        <v>0</v>
      </c>
      <c r="AS4004">
        <v>0</v>
      </c>
      <c r="AT4004">
        <v>3.5</v>
      </c>
      <c r="AX4004" t="str">
        <f>"E000286341"</f>
        <v>E000286341</v>
      </c>
      <c r="BD4004" t="str">
        <f>"ערן שלו"</f>
        <v>ערן שלו</v>
      </c>
    </row>
    <row r="4005" spans="1:56" x14ac:dyDescent="0.3">
      <c r="A4005" s="1">
        <v>43677</v>
      </c>
      <c r="B4005" t="str">
        <f>"SI196000933"</f>
        <v>SI196000933</v>
      </c>
      <c r="C4005" t="str">
        <f>"PR19000286"</f>
        <v>PR19000286</v>
      </c>
      <c r="E4005" t="str">
        <f>"Y"</f>
        <v>Y</v>
      </c>
      <c r="F4005" t="str">
        <f>"חשבוניות מרכזות"</f>
        <v>חשבוניות מרכזות</v>
      </c>
      <c r="G4005" t="str">
        <f>"700065"</f>
        <v>700065</v>
      </c>
      <c r="H4005" t="str">
        <f>"אלתא מערכות בע""מ"</f>
        <v>אלתא מערכות בע"מ</v>
      </c>
      <c r="I4005" t="str">
        <f>"10"</f>
        <v>10</v>
      </c>
      <c r="J4005" t="str">
        <f>"OP-AR00454"</f>
        <v>OP-AR00454</v>
      </c>
      <c r="K4005" t="str">
        <f>"PDU 380V/50HZ/3 PH AC POWER BOX"</f>
        <v>PDU 380V/50HZ/3 PH AC POWER BOX</v>
      </c>
      <c r="L4005">
        <v>1</v>
      </c>
      <c r="M4005" t="str">
        <f>"יח"</f>
        <v>יח</v>
      </c>
      <c r="N4005">
        <v>1</v>
      </c>
      <c r="O4005" t="str">
        <f>"יח"</f>
        <v>יח</v>
      </c>
      <c r="P4005" s="2">
        <v>1380</v>
      </c>
      <c r="Q4005" t="str">
        <f>"$"</f>
        <v>$</v>
      </c>
      <c r="R4005" t="str">
        <f>"הזמנה"</f>
        <v>הזמנה</v>
      </c>
      <c r="S4005">
        <v>0</v>
      </c>
      <c r="T4005" s="2">
        <v>1380</v>
      </c>
      <c r="U4005">
        <v>0</v>
      </c>
      <c r="V4005" s="2">
        <v>1380</v>
      </c>
      <c r="W4005" t="str">
        <f>"$"</f>
        <v>$</v>
      </c>
      <c r="X4005">
        <v>0</v>
      </c>
      <c r="Y4005">
        <v>0</v>
      </c>
      <c r="Z4005">
        <v>0</v>
      </c>
      <c r="AA4005" t="str">
        <f>"Y"</f>
        <v>Y</v>
      </c>
      <c r="AB4005" t="str">
        <f>"SO19000212"</f>
        <v>SO19000212</v>
      </c>
      <c r="AC4005">
        <v>2</v>
      </c>
      <c r="AD4005" s="1">
        <v>43600</v>
      </c>
      <c r="AE4005" t="str">
        <f>"SH19001135"</f>
        <v>SH19001135</v>
      </c>
      <c r="AF4005" t="str">
        <f>"משלוחים ללקוח"</f>
        <v>משלוחים ללקוח</v>
      </c>
      <c r="AG4005" s="1">
        <v>43675</v>
      </c>
      <c r="AM4005" t="str">
        <f>"10"</f>
        <v>10</v>
      </c>
      <c r="AN4005" t="str">
        <f>"500000"</f>
        <v>500000</v>
      </c>
      <c r="AO4005" t="str">
        <f>"הכנסות  מלקוחות"</f>
        <v>הכנסות  מלקוחות</v>
      </c>
      <c r="AQ4005" t="str">
        <f>"034"</f>
        <v>034</v>
      </c>
      <c r="AR4005">
        <v>0</v>
      </c>
      <c r="AS4005">
        <v>0</v>
      </c>
      <c r="AT4005">
        <v>3.5</v>
      </c>
      <c r="AX4005" t="str">
        <f>"E000286341"</f>
        <v>E000286341</v>
      </c>
      <c r="BD4005" t="str">
        <f>"ערן שלו"</f>
        <v>ערן שלו</v>
      </c>
    </row>
    <row r="4006" spans="1:56" x14ac:dyDescent="0.3">
      <c r="A4006" s="1">
        <v>43677</v>
      </c>
      <c r="B4006" t="str">
        <f>"SI196000932"</f>
        <v>SI196000932</v>
      </c>
      <c r="C4006" t="str">
        <f>"PR19000253"</f>
        <v>PR19000253</v>
      </c>
      <c r="D4006" t="str">
        <f>"PR19000253"</f>
        <v>PR19000253</v>
      </c>
      <c r="E4006" t="str">
        <f>"Y"</f>
        <v>Y</v>
      </c>
      <c r="F4006" t="str">
        <f>"חשבוניות מרכזות"</f>
        <v>חשבוניות מרכזות</v>
      </c>
      <c r="G4006" t="str">
        <f>"700065"</f>
        <v>700065</v>
      </c>
      <c r="H4006" t="str">
        <f>"אלתא מערכות בע""מ"</f>
        <v>אלתא מערכות בע"מ</v>
      </c>
      <c r="I4006" t="str">
        <f>"10"</f>
        <v>10</v>
      </c>
      <c r="J4006" t="str">
        <f>"OP-UP00010"</f>
        <v>OP-UP00010</v>
      </c>
      <c r="K4006" t="str">
        <f>"מארז סוללות GES161B105700-N"</f>
        <v>מארז סוללות GES161B105700-N</v>
      </c>
      <c r="L4006">
        <v>15</v>
      </c>
      <c r="M4006" t="str">
        <f>"יח"</f>
        <v>יח</v>
      </c>
      <c r="N4006">
        <v>15</v>
      </c>
      <c r="O4006" t="str">
        <f>"יח"</f>
        <v>יח</v>
      </c>
      <c r="P4006">
        <v>820.5</v>
      </c>
      <c r="Q4006" t="str">
        <f>"$"</f>
        <v>$</v>
      </c>
      <c r="R4006" t="str">
        <f>"הזמנה"</f>
        <v>הזמנה</v>
      </c>
      <c r="S4006">
        <v>0</v>
      </c>
      <c r="T4006" s="2">
        <v>12307.5</v>
      </c>
      <c r="U4006">
        <v>0</v>
      </c>
      <c r="V4006" s="2">
        <v>12307.5</v>
      </c>
      <c r="W4006" t="str">
        <f>"$"</f>
        <v>$</v>
      </c>
      <c r="X4006">
        <v>0</v>
      </c>
      <c r="Y4006">
        <v>0</v>
      </c>
      <c r="Z4006">
        <v>0</v>
      </c>
      <c r="AA4006" t="str">
        <f>"Y"</f>
        <v>Y</v>
      </c>
      <c r="AB4006" t="str">
        <f>"SO19000211"</f>
        <v>SO19000211</v>
      </c>
      <c r="AC4006">
        <v>1</v>
      </c>
      <c r="AD4006" s="1">
        <v>43600</v>
      </c>
      <c r="AE4006" t="str">
        <f>"SH19001144"</f>
        <v>SH19001144</v>
      </c>
      <c r="AF4006" t="str">
        <f>"משלוחים ללקוח"</f>
        <v>משלוחים ללקוח</v>
      </c>
      <c r="AG4006" s="1">
        <v>43677</v>
      </c>
      <c r="AM4006" t="str">
        <f>"10"</f>
        <v>10</v>
      </c>
      <c r="AN4006" t="str">
        <f>"500000"</f>
        <v>500000</v>
      </c>
      <c r="AO4006" t="str">
        <f>"הכנסות  מלקוחות"</f>
        <v>הכנסות  מלקוחות</v>
      </c>
      <c r="AQ4006" t="str">
        <f>"034"</f>
        <v>034</v>
      </c>
      <c r="AR4006">
        <v>0</v>
      </c>
      <c r="AS4006">
        <v>0</v>
      </c>
      <c r="AT4006">
        <v>3.5</v>
      </c>
      <c r="AX4006" t="str">
        <f>"E000285772"</f>
        <v>E000285772</v>
      </c>
      <c r="BD4006" t="str">
        <f>"ערן שלו"</f>
        <v>ערן שלו</v>
      </c>
    </row>
    <row r="4007" spans="1:56" x14ac:dyDescent="0.3">
      <c r="A4007" s="1">
        <v>43676</v>
      </c>
      <c r="B4007" t="str">
        <f>"SI196000930"</f>
        <v>SI196000930</v>
      </c>
      <c r="C4007" t="str">
        <f>"PR19000450"</f>
        <v>PR19000450</v>
      </c>
      <c r="E4007" t="str">
        <f>"Y"</f>
        <v>Y</v>
      </c>
      <c r="F4007" t="str">
        <f>"חשבוניות מרכזות"</f>
        <v>חשבוניות מרכזות</v>
      </c>
      <c r="G4007" t="str">
        <f>"700065"</f>
        <v>700065</v>
      </c>
      <c r="H4007" t="str">
        <f>"אלתא מערכות בע""מ"</f>
        <v>אלתא מערכות בע"מ</v>
      </c>
      <c r="I4007" t="str">
        <f>"10"</f>
        <v>10</v>
      </c>
      <c r="J4007" t="str">
        <f>"PS0200013"</f>
        <v>PS0200013</v>
      </c>
      <c r="K4007" t="str">
        <f>"DPR6000B-48"</f>
        <v>DPR6000B-48</v>
      </c>
      <c r="L4007">
        <v>2</v>
      </c>
      <c r="M4007" t="str">
        <f>"יח"</f>
        <v>יח</v>
      </c>
      <c r="N4007">
        <v>2</v>
      </c>
      <c r="O4007" t="str">
        <f>"יח"</f>
        <v>יח</v>
      </c>
      <c r="P4007" s="2">
        <v>1525.2</v>
      </c>
      <c r="Q4007" t="str">
        <f>"$"</f>
        <v>$</v>
      </c>
      <c r="R4007" t="str">
        <f>"הזמנה"</f>
        <v>הזמנה</v>
      </c>
      <c r="S4007">
        <v>0</v>
      </c>
      <c r="T4007" s="2">
        <v>3050.4</v>
      </c>
      <c r="U4007">
        <v>0</v>
      </c>
      <c r="V4007" s="2">
        <v>3050.4</v>
      </c>
      <c r="W4007" t="str">
        <f>"$"</f>
        <v>$</v>
      </c>
      <c r="X4007">
        <v>0</v>
      </c>
      <c r="Y4007">
        <v>0</v>
      </c>
      <c r="Z4007">
        <v>0</v>
      </c>
      <c r="AA4007" t="str">
        <f>"Y"</f>
        <v>Y</v>
      </c>
      <c r="AB4007" t="str">
        <f>"SO19000319"</f>
        <v>SO19000319</v>
      </c>
      <c r="AC4007">
        <v>1</v>
      </c>
      <c r="AD4007" s="1">
        <v>43667</v>
      </c>
      <c r="AE4007" t="str">
        <f>"SH19001132"</f>
        <v>SH19001132</v>
      </c>
      <c r="AF4007" t="str">
        <f>"משלוחים ללקוח"</f>
        <v>משלוחים ללקוח</v>
      </c>
      <c r="AG4007" s="1">
        <v>43675</v>
      </c>
      <c r="AM4007" t="str">
        <f>"10"</f>
        <v>10</v>
      </c>
      <c r="AN4007" t="str">
        <f>"500000"</f>
        <v>500000</v>
      </c>
      <c r="AO4007" t="str">
        <f>"הכנסות  מלקוחות"</f>
        <v>הכנסות  מלקוחות</v>
      </c>
      <c r="AQ4007" t="str">
        <f>"034"</f>
        <v>034</v>
      </c>
      <c r="AR4007">
        <v>0</v>
      </c>
      <c r="AS4007">
        <v>0</v>
      </c>
      <c r="AT4007">
        <v>3.5249999999999999</v>
      </c>
      <c r="AX4007" t="str">
        <f>"E000290250"</f>
        <v>E000290250</v>
      </c>
      <c r="BD4007" t="str">
        <f>"ערן שלו"</f>
        <v>ערן שלו</v>
      </c>
    </row>
    <row r="4008" spans="1:56" x14ac:dyDescent="0.3">
      <c r="A4008" s="1">
        <v>43676</v>
      </c>
      <c r="B4008" t="str">
        <f>"SI196000930"</f>
        <v>SI196000930</v>
      </c>
      <c r="C4008" t="str">
        <f>"PR19000450"</f>
        <v>PR19000450</v>
      </c>
      <c r="E4008" t="str">
        <f>"Y"</f>
        <v>Y</v>
      </c>
      <c r="F4008" t="str">
        <f>"חשבוניות מרכזות"</f>
        <v>חשבוניות מרכזות</v>
      </c>
      <c r="G4008" t="str">
        <f>"700065"</f>
        <v>700065</v>
      </c>
      <c r="H4008" t="str">
        <f>"אלתא מערכות בע""מ"</f>
        <v>אלתא מערכות בע"מ</v>
      </c>
      <c r="I4008" t="str">
        <f>"10"</f>
        <v>10</v>
      </c>
      <c r="J4008" t="str">
        <f>"PS0400019"</f>
        <v>PS0400019</v>
      </c>
      <c r="K4008" t="str">
        <f>"S33A73E0912SN0000001"</f>
        <v>S33A73E0912SN0000001</v>
      </c>
      <c r="L4008">
        <v>5</v>
      </c>
      <c r="M4008" t="str">
        <f>"יח"</f>
        <v>יח</v>
      </c>
      <c r="N4008">
        <v>5</v>
      </c>
      <c r="O4008" t="str">
        <f>"יח"</f>
        <v>יח</v>
      </c>
      <c r="P4008" s="2">
        <v>3301.5</v>
      </c>
      <c r="Q4008" t="str">
        <f>"$"</f>
        <v>$</v>
      </c>
      <c r="R4008" t="str">
        <f>"הזמנה"</f>
        <v>הזמנה</v>
      </c>
      <c r="S4008">
        <v>0</v>
      </c>
      <c r="T4008" s="2">
        <v>16507.5</v>
      </c>
      <c r="U4008">
        <v>0</v>
      </c>
      <c r="V4008" s="2">
        <v>16507.5</v>
      </c>
      <c r="W4008" t="str">
        <f>"$"</f>
        <v>$</v>
      </c>
      <c r="X4008">
        <v>0</v>
      </c>
      <c r="Y4008">
        <v>0</v>
      </c>
      <c r="Z4008">
        <v>0</v>
      </c>
      <c r="AA4008" t="str">
        <f>"Y"</f>
        <v>Y</v>
      </c>
      <c r="AB4008" t="str">
        <f>"SO19000319"</f>
        <v>SO19000319</v>
      </c>
      <c r="AC4008">
        <v>2</v>
      </c>
      <c r="AD4008" s="1">
        <v>43667</v>
      </c>
      <c r="AE4008" t="str">
        <f>"SH19001132"</f>
        <v>SH19001132</v>
      </c>
      <c r="AF4008" t="str">
        <f>"משלוחים ללקוח"</f>
        <v>משלוחים ללקוח</v>
      </c>
      <c r="AG4008" s="1">
        <v>43675</v>
      </c>
      <c r="AM4008" t="str">
        <f>"10"</f>
        <v>10</v>
      </c>
      <c r="AN4008" t="str">
        <f>"500000"</f>
        <v>500000</v>
      </c>
      <c r="AO4008" t="str">
        <f>"הכנסות  מלקוחות"</f>
        <v>הכנסות  מלקוחות</v>
      </c>
      <c r="AQ4008" t="str">
        <f>"034"</f>
        <v>034</v>
      </c>
      <c r="AR4008">
        <v>0</v>
      </c>
      <c r="AS4008">
        <v>0</v>
      </c>
      <c r="AT4008">
        <v>3.5249999999999999</v>
      </c>
      <c r="AX4008" t="str">
        <f>"E000290250"</f>
        <v>E000290250</v>
      </c>
      <c r="BD4008" t="str">
        <f>"ערן שלו"</f>
        <v>ערן שלו</v>
      </c>
    </row>
    <row r="4009" spans="1:56" x14ac:dyDescent="0.3">
      <c r="A4009" s="1">
        <v>43671</v>
      </c>
      <c r="B4009" t="str">
        <f>"SI196000919"</f>
        <v>SI196000919</v>
      </c>
      <c r="C4009" t="str">
        <f>"PR18000295"</f>
        <v>PR18000295</v>
      </c>
      <c r="E4009" t="str">
        <f>"Y"</f>
        <v>Y</v>
      </c>
      <c r="F4009" t="str">
        <f>"חשבוניות מרכזות"</f>
        <v>חשבוניות מרכזות</v>
      </c>
      <c r="G4009" t="str">
        <f>"700065"</f>
        <v>700065</v>
      </c>
      <c r="H4009" t="str">
        <f>"אלתא מערכות בע""מ"</f>
        <v>אלתא מערכות בע"מ</v>
      </c>
      <c r="I4009" t="str">
        <f>"10"</f>
        <v>10</v>
      </c>
      <c r="J4009" t="str">
        <f>"OP-AR09107-1"</f>
        <v>OP-AR09107-1</v>
      </c>
      <c r="K4009" t="str">
        <f>"לוח AUX BOX מק""ט לקוח 1036V320 001"</f>
        <v>לוח AUX BOX מק"ט לקוח 1036V320 001</v>
      </c>
      <c r="L4009">
        <v>1</v>
      </c>
      <c r="M4009" t="str">
        <f>"יח"</f>
        <v>יח</v>
      </c>
      <c r="N4009">
        <v>1</v>
      </c>
      <c r="O4009" t="str">
        <f>"יח"</f>
        <v>יח</v>
      </c>
      <c r="P4009" s="2">
        <v>27792</v>
      </c>
      <c r="Q4009" t="str">
        <f>"$"</f>
        <v>$</v>
      </c>
      <c r="R4009" t="str">
        <f>"הזמנה"</f>
        <v>הזמנה</v>
      </c>
      <c r="S4009">
        <v>0</v>
      </c>
      <c r="T4009" s="2">
        <v>27792</v>
      </c>
      <c r="U4009">
        <v>0</v>
      </c>
      <c r="V4009" s="2">
        <v>27792</v>
      </c>
      <c r="W4009" t="str">
        <f>"$"</f>
        <v>$</v>
      </c>
      <c r="X4009">
        <v>0</v>
      </c>
      <c r="Y4009">
        <v>0</v>
      </c>
      <c r="Z4009">
        <v>0</v>
      </c>
      <c r="AA4009" t="str">
        <f>"Y"</f>
        <v>Y</v>
      </c>
      <c r="AB4009" t="str">
        <f>"SO18000235"</f>
        <v>SO18000235</v>
      </c>
      <c r="AC4009">
        <v>2</v>
      </c>
      <c r="AD4009" s="1">
        <v>43207</v>
      </c>
      <c r="AE4009" t="str">
        <f>"SH19001109"</f>
        <v>SH19001109</v>
      </c>
      <c r="AF4009" t="str">
        <f>"משלוחים ללקוח"</f>
        <v>משלוחים ללקוח</v>
      </c>
      <c r="AG4009" s="1">
        <v>43671</v>
      </c>
      <c r="AM4009" t="str">
        <f>"10"</f>
        <v>10</v>
      </c>
      <c r="AN4009" t="str">
        <f>"500000"</f>
        <v>500000</v>
      </c>
      <c r="AO4009" t="str">
        <f>"הכנסות  מלקוחות"</f>
        <v>הכנסות  מלקוחות</v>
      </c>
      <c r="AQ4009" t="str">
        <f>"007"</f>
        <v>007</v>
      </c>
      <c r="AR4009">
        <v>0</v>
      </c>
      <c r="AS4009">
        <v>0</v>
      </c>
      <c r="AT4009">
        <v>3.5209999999999999</v>
      </c>
      <c r="AX4009" t="str">
        <f>"E000259662"</f>
        <v>E000259662</v>
      </c>
      <c r="BD4009" t="str">
        <f>"רוני דידי"</f>
        <v>רוני דידי</v>
      </c>
    </row>
    <row r="4010" spans="1:56" x14ac:dyDescent="0.3">
      <c r="A4010" s="1">
        <v>43671</v>
      </c>
      <c r="B4010" t="str">
        <f>"SI196000918"</f>
        <v>SI196000918</v>
      </c>
      <c r="C4010" t="str">
        <f>"PR19000349"</f>
        <v>PR19000349</v>
      </c>
      <c r="E4010" t="str">
        <f>"Y"</f>
        <v>Y</v>
      </c>
      <c r="F4010" t="str">
        <f>"חשבוניות מרכזות"</f>
        <v>חשבוניות מרכזות</v>
      </c>
      <c r="G4010" t="str">
        <f>"700065"</f>
        <v>700065</v>
      </c>
      <c r="H4010" t="str">
        <f>"אלתא מערכות בע""מ"</f>
        <v>אלתא מערכות בע"מ</v>
      </c>
      <c r="I4010" t="str">
        <f>"05"</f>
        <v>05</v>
      </c>
      <c r="J4010" t="str">
        <f>"OP-PD02968"</f>
        <v>OP-PD02968</v>
      </c>
      <c r="K4010" t="str">
        <f>"לוח חשמל UPS 80KVA"</f>
        <v>לוח חשמל UPS 80KVA</v>
      </c>
      <c r="L4010">
        <v>1</v>
      </c>
      <c r="M4010" t="str">
        <f>"יח"</f>
        <v>יח</v>
      </c>
      <c r="N4010">
        <v>1</v>
      </c>
      <c r="O4010" t="str">
        <f>"יח"</f>
        <v>יח</v>
      </c>
      <c r="P4010" s="2">
        <v>9092</v>
      </c>
      <c r="Q4010" t="str">
        <f>"$"</f>
        <v>$</v>
      </c>
      <c r="R4010" t="str">
        <f>"הזמנה"</f>
        <v>הזמנה</v>
      </c>
      <c r="S4010">
        <v>0</v>
      </c>
      <c r="T4010" s="2">
        <v>9092</v>
      </c>
      <c r="U4010">
        <v>6</v>
      </c>
      <c r="V4010" s="2">
        <v>8546.48</v>
      </c>
      <c r="W4010" t="str">
        <f>"$"</f>
        <v>$</v>
      </c>
      <c r="X4010">
        <v>0</v>
      </c>
      <c r="Y4010">
        <v>0</v>
      </c>
      <c r="Z4010">
        <v>0</v>
      </c>
      <c r="AA4010" t="str">
        <f>"Y"</f>
        <v>Y</v>
      </c>
      <c r="AC4010">
        <v>0</v>
      </c>
      <c r="AM4010" t="str">
        <f>"10"</f>
        <v>10</v>
      </c>
      <c r="AN4010" t="str">
        <f>"500000"</f>
        <v>500000</v>
      </c>
      <c r="AO4010" t="str">
        <f>"הכנסות  מלקוחות"</f>
        <v>הכנסות  מלקוחות</v>
      </c>
      <c r="AQ4010" t="str">
        <f>"034"</f>
        <v>034</v>
      </c>
      <c r="AR4010">
        <v>0</v>
      </c>
      <c r="AS4010">
        <v>0</v>
      </c>
      <c r="AT4010">
        <v>3.5209999999999999</v>
      </c>
      <c r="BB4010" t="str">
        <f>"Y"</f>
        <v>Y</v>
      </c>
      <c r="BD4010" t="str">
        <f>"ערן שלו"</f>
        <v>ערן שלו</v>
      </c>
    </row>
    <row r="4011" spans="1:56" x14ac:dyDescent="0.3">
      <c r="A4011" s="1">
        <v>43671</v>
      </c>
      <c r="B4011" t="str">
        <f>"SI196000917"</f>
        <v>SI196000917</v>
      </c>
      <c r="C4011" t="str">
        <f>"PR19000350"</f>
        <v>PR19000350</v>
      </c>
      <c r="E4011" t="str">
        <f>"Y"</f>
        <v>Y</v>
      </c>
      <c r="F4011" t="str">
        <f>"חשבוניות מרכזות"</f>
        <v>חשבוניות מרכזות</v>
      </c>
      <c r="G4011" t="str">
        <f>"700065"</f>
        <v>700065</v>
      </c>
      <c r="H4011" t="str">
        <f>"אלתא מערכות בע""מ"</f>
        <v>אלתא מערכות בע"מ</v>
      </c>
      <c r="I4011" t="str">
        <f>"05"</f>
        <v>05</v>
      </c>
      <c r="J4011" t="str">
        <f>"SH0100048"</f>
        <v>SH0100048</v>
      </c>
      <c r="K4011" t="str">
        <f>"שנאי 3X240-400VD/3X400V Y+N/80KVA לפי מפרט מצורף"</f>
        <v>שנאי 3X240-400VD/3X400V Y+N/80KVA לפי מפרט מצורף</v>
      </c>
      <c r="L4011">
        <v>1</v>
      </c>
      <c r="M4011" t="str">
        <f>"יח"</f>
        <v>יח</v>
      </c>
      <c r="N4011">
        <v>1</v>
      </c>
      <c r="O4011" t="str">
        <f>"יח"</f>
        <v>יח</v>
      </c>
      <c r="P4011" s="2">
        <v>9536.2999999999993</v>
      </c>
      <c r="Q4011" t="str">
        <f>"$"</f>
        <v>$</v>
      </c>
      <c r="R4011" t="str">
        <f>"הזמנה"</f>
        <v>הזמנה</v>
      </c>
      <c r="S4011">
        <v>0</v>
      </c>
      <c r="T4011" s="2">
        <v>9536.2999999999993</v>
      </c>
      <c r="U4011">
        <v>6</v>
      </c>
      <c r="V4011" s="2">
        <v>8964.1200000000008</v>
      </c>
      <c r="W4011" t="str">
        <f>"$"</f>
        <v>$</v>
      </c>
      <c r="X4011">
        <v>0</v>
      </c>
      <c r="Y4011">
        <v>0</v>
      </c>
      <c r="Z4011">
        <v>0</v>
      </c>
      <c r="AA4011" t="str">
        <f>"Y"</f>
        <v>Y</v>
      </c>
      <c r="AC4011">
        <v>0</v>
      </c>
      <c r="AM4011" t="str">
        <f>"10"</f>
        <v>10</v>
      </c>
      <c r="AN4011" t="str">
        <f>"500000"</f>
        <v>500000</v>
      </c>
      <c r="AO4011" t="str">
        <f>"הכנסות  מלקוחות"</f>
        <v>הכנסות  מלקוחות</v>
      </c>
      <c r="AQ4011" t="str">
        <f>"034"</f>
        <v>034</v>
      </c>
      <c r="AR4011">
        <v>0</v>
      </c>
      <c r="AS4011">
        <v>0</v>
      </c>
      <c r="AT4011">
        <v>3.5209999999999999</v>
      </c>
      <c r="BB4011" t="str">
        <f>"Y"</f>
        <v>Y</v>
      </c>
      <c r="BD4011" t="str">
        <f>"ערן שלו"</f>
        <v>ערן שלו</v>
      </c>
    </row>
    <row r="4012" spans="1:56" x14ac:dyDescent="0.3">
      <c r="A4012" s="1">
        <v>43670</v>
      </c>
      <c r="B4012" t="str">
        <f>"SI196000915"</f>
        <v>SI196000915</v>
      </c>
      <c r="C4012" t="str">
        <f>"PR19000372"</f>
        <v>PR19000372</v>
      </c>
      <c r="E4012" t="str">
        <f>"Y"</f>
        <v>Y</v>
      </c>
      <c r="F4012" t="str">
        <f>"חשבוניות מרכזות"</f>
        <v>חשבוניות מרכזות</v>
      </c>
      <c r="G4012" t="str">
        <f>"700065"</f>
        <v>700065</v>
      </c>
      <c r="H4012" t="str">
        <f>"אלתא מערכות בע""מ"</f>
        <v>אלתא מערכות בע"מ</v>
      </c>
      <c r="I4012" t="str">
        <f>"14"</f>
        <v>14</v>
      </c>
      <c r="J4012" t="str">
        <f>"PS0230062"</f>
        <v>PS0230062</v>
      </c>
      <c r="K4012" t="str">
        <f>"ספק כוח דגם Rectifier DPR 4000B-48 (TPS1010016A)"</f>
        <v>ספק כוח דגם Rectifier DPR 4000B-48 (TPS1010016A)</v>
      </c>
      <c r="L4012">
        <v>2</v>
      </c>
      <c r="M4012" t="str">
        <f>"יח"</f>
        <v>יח</v>
      </c>
      <c r="N4012">
        <v>2</v>
      </c>
      <c r="O4012" t="str">
        <f>"יח"</f>
        <v>יח</v>
      </c>
      <c r="P4012">
        <v>522.5</v>
      </c>
      <c r="Q4012" t="str">
        <f>"$"</f>
        <v>$</v>
      </c>
      <c r="R4012" t="str">
        <f>"הזמנה"</f>
        <v>הזמנה</v>
      </c>
      <c r="S4012">
        <v>0</v>
      </c>
      <c r="T4012" s="2">
        <v>1045</v>
      </c>
      <c r="U4012">
        <v>0</v>
      </c>
      <c r="V4012" s="2">
        <v>1045</v>
      </c>
      <c r="W4012" t="str">
        <f>"$"</f>
        <v>$</v>
      </c>
      <c r="X4012">
        <v>0</v>
      </c>
      <c r="Y4012">
        <v>0</v>
      </c>
      <c r="Z4012">
        <v>0</v>
      </c>
      <c r="AA4012" t="str">
        <f>"Y"</f>
        <v>Y</v>
      </c>
      <c r="AB4012" t="str">
        <f>"SO19000290"</f>
        <v>SO19000290</v>
      </c>
      <c r="AC4012">
        <v>1</v>
      </c>
      <c r="AD4012" s="1">
        <v>43639</v>
      </c>
      <c r="AE4012" t="str">
        <f>"SH19001090"</f>
        <v>SH19001090</v>
      </c>
      <c r="AF4012" t="str">
        <f>"משלוחים ללקוח"</f>
        <v>משלוחים ללקוח</v>
      </c>
      <c r="AG4012" s="1">
        <v>43668</v>
      </c>
      <c r="AM4012" t="str">
        <f>"10"</f>
        <v>10</v>
      </c>
      <c r="AN4012" t="str">
        <f>"500000"</f>
        <v>500000</v>
      </c>
      <c r="AO4012" t="str">
        <f>"הכנסות  מלקוחות"</f>
        <v>הכנסות  מלקוחות</v>
      </c>
      <c r="AQ4012" t="str">
        <f>"034"</f>
        <v>034</v>
      </c>
      <c r="AR4012">
        <v>0</v>
      </c>
      <c r="AS4012">
        <v>0</v>
      </c>
      <c r="AT4012">
        <v>3.5369999999999999</v>
      </c>
      <c r="AX4012" t="str">
        <f>"E000289117"</f>
        <v>E000289117</v>
      </c>
      <c r="BD4012" t="str">
        <f>"ערן שלו"</f>
        <v>ערן שלו</v>
      </c>
    </row>
    <row r="4013" spans="1:56" x14ac:dyDescent="0.3">
      <c r="A4013" s="1">
        <v>43670</v>
      </c>
      <c r="B4013" t="str">
        <f>"SI196000914"</f>
        <v>SI196000914</v>
      </c>
      <c r="C4013" t="str">
        <f>"PR19000372"</f>
        <v>PR19000372</v>
      </c>
      <c r="E4013" t="str">
        <f>"Y"</f>
        <v>Y</v>
      </c>
      <c r="F4013" t="str">
        <f>"חשבוניות מרכזות"</f>
        <v>חשבוניות מרכזות</v>
      </c>
      <c r="G4013" t="str">
        <f>"700065"</f>
        <v>700065</v>
      </c>
      <c r="H4013" t="str">
        <f>"אלתא מערכות בע""מ"</f>
        <v>אלתא מערכות בע"מ</v>
      </c>
      <c r="I4013" t="str">
        <f>"14"</f>
        <v>14</v>
      </c>
      <c r="J4013" t="str">
        <f>"PS0230062"</f>
        <v>PS0230062</v>
      </c>
      <c r="K4013" t="str">
        <f>"ספק כוח דגם Rectifier DPR 4000B-48 (TPS1010016A)"</f>
        <v>ספק כוח דגם Rectifier DPR 4000B-48 (TPS1010016A)</v>
      </c>
      <c r="L4013">
        <v>-2</v>
      </c>
      <c r="M4013" t="str">
        <f>"יח"</f>
        <v>יח</v>
      </c>
      <c r="N4013">
        <v>-2</v>
      </c>
      <c r="O4013" t="str">
        <f>"יח"</f>
        <v>יח</v>
      </c>
      <c r="P4013">
        <v>522.5</v>
      </c>
      <c r="Q4013" t="str">
        <f>"$"</f>
        <v>$</v>
      </c>
      <c r="R4013" t="str">
        <f>"הזמנה"</f>
        <v>הזמנה</v>
      </c>
      <c r="S4013">
        <v>0</v>
      </c>
      <c r="T4013" s="2">
        <v>-1045</v>
      </c>
      <c r="U4013">
        <v>5</v>
      </c>
      <c r="V4013">
        <v>-992.75</v>
      </c>
      <c r="W4013" t="str">
        <f>"$"</f>
        <v>$</v>
      </c>
      <c r="X4013">
        <v>0</v>
      </c>
      <c r="Y4013">
        <v>0</v>
      </c>
      <c r="Z4013">
        <v>0</v>
      </c>
      <c r="AA4013" t="str">
        <f>"Y"</f>
        <v>Y</v>
      </c>
      <c r="AC4013">
        <v>0</v>
      </c>
      <c r="AM4013" t="str">
        <f>"10"</f>
        <v>10</v>
      </c>
      <c r="AN4013" t="str">
        <f>"500000"</f>
        <v>500000</v>
      </c>
      <c r="AO4013" t="str">
        <f>"הכנסות  מלקוחות"</f>
        <v>הכנסות  מלקוחות</v>
      </c>
      <c r="AQ4013" t="str">
        <f>"034"</f>
        <v>034</v>
      </c>
      <c r="AR4013">
        <v>0</v>
      </c>
      <c r="AS4013">
        <v>0</v>
      </c>
      <c r="AT4013">
        <v>3.5369999999999999</v>
      </c>
      <c r="BB4013" t="str">
        <f>"Y"</f>
        <v>Y</v>
      </c>
      <c r="BD4013" t="str">
        <f>"ערן שלו"</f>
        <v>ערן שלו</v>
      </c>
    </row>
    <row r="4014" spans="1:56" x14ac:dyDescent="0.3">
      <c r="A4014" s="1">
        <v>43670</v>
      </c>
      <c r="B4014" t="str">
        <f>"SI196000913"</f>
        <v>SI196000913</v>
      </c>
      <c r="C4014" t="str">
        <f>"PR19000372"</f>
        <v>PR19000372</v>
      </c>
      <c r="E4014" t="str">
        <f>"Y"</f>
        <v>Y</v>
      </c>
      <c r="F4014" t="str">
        <f>"חשבוניות מרכזות"</f>
        <v>חשבוניות מרכזות</v>
      </c>
      <c r="G4014" t="str">
        <f>"700065"</f>
        <v>700065</v>
      </c>
      <c r="H4014" t="str">
        <f>"אלתא מערכות בע""מ"</f>
        <v>אלתא מערכות בע"מ</v>
      </c>
      <c r="I4014" t="str">
        <f>"14"</f>
        <v>14</v>
      </c>
      <c r="J4014" t="str">
        <f>"PS0230062"</f>
        <v>PS0230062</v>
      </c>
      <c r="K4014" t="str">
        <f>"ספק כוח דגם Rectifier DPR 4000B-48 (TPS1010016A)"</f>
        <v>ספק כוח דגם Rectifier DPR 4000B-48 (TPS1010016A)</v>
      </c>
      <c r="L4014">
        <v>2</v>
      </c>
      <c r="M4014" t="str">
        <f>"יח"</f>
        <v>יח</v>
      </c>
      <c r="N4014">
        <v>2</v>
      </c>
      <c r="O4014" t="str">
        <f>"יח"</f>
        <v>יח</v>
      </c>
      <c r="P4014">
        <v>522.5</v>
      </c>
      <c r="Q4014" t="str">
        <f>"$"</f>
        <v>$</v>
      </c>
      <c r="R4014" t="str">
        <f>"הזמנה"</f>
        <v>הזמנה</v>
      </c>
      <c r="S4014">
        <v>0</v>
      </c>
      <c r="T4014" s="2">
        <v>1045</v>
      </c>
      <c r="U4014">
        <v>5</v>
      </c>
      <c r="V4014">
        <v>992.75</v>
      </c>
      <c r="W4014" t="str">
        <f>"$"</f>
        <v>$</v>
      </c>
      <c r="X4014">
        <v>0</v>
      </c>
      <c r="Y4014">
        <v>0</v>
      </c>
      <c r="Z4014">
        <v>0</v>
      </c>
      <c r="AA4014" t="str">
        <f>"Y"</f>
        <v>Y</v>
      </c>
      <c r="AC4014">
        <v>0</v>
      </c>
      <c r="AM4014" t="str">
        <f>"10"</f>
        <v>10</v>
      </c>
      <c r="AN4014" t="str">
        <f>"500000"</f>
        <v>500000</v>
      </c>
      <c r="AO4014" t="str">
        <f>"הכנסות  מלקוחות"</f>
        <v>הכנסות  מלקוחות</v>
      </c>
      <c r="AQ4014" t="str">
        <f>"034"</f>
        <v>034</v>
      </c>
      <c r="AR4014">
        <v>0</v>
      </c>
      <c r="AS4014">
        <v>0</v>
      </c>
      <c r="AT4014">
        <v>3.5369999999999999</v>
      </c>
      <c r="BB4014" t="str">
        <f>"Y"</f>
        <v>Y</v>
      </c>
      <c r="BD4014" t="str">
        <f>"ערן שלו"</f>
        <v>ערן שלו</v>
      </c>
    </row>
    <row r="4015" spans="1:56" x14ac:dyDescent="0.3">
      <c r="A4015" s="1">
        <v>43669</v>
      </c>
      <c r="B4015" t="str">
        <f>"SI196000906"</f>
        <v>SI196000906</v>
      </c>
      <c r="C4015" t="str">
        <f>"PR18000547"</f>
        <v>PR18000547</v>
      </c>
      <c r="D4015" t="str">
        <f>"PR18000547"</f>
        <v>PR18000547</v>
      </c>
      <c r="E4015" t="str">
        <f>"Y"</f>
        <v>Y</v>
      </c>
      <c r="F4015" t="str">
        <f>"חשבוניות מרכזות"</f>
        <v>חשבוניות מרכזות</v>
      </c>
      <c r="G4015" t="str">
        <f>"700065"</f>
        <v>700065</v>
      </c>
      <c r="H4015" t="str">
        <f>"אלתא מערכות בע""מ"</f>
        <v>אלתא מערכות בע"מ</v>
      </c>
      <c r="I4015" t="str">
        <f>"10"</f>
        <v>10</v>
      </c>
      <c r="J4015" t="str">
        <f>"OP-AR01088"</f>
        <v>OP-AR01088</v>
      </c>
      <c r="K4015" t="str">
        <f>"1038H185-001 SRASR POWER DISTRIUTION UNIT"</f>
        <v>1038H185-001 SRASR POWER DISTRIUTION UNIT</v>
      </c>
      <c r="L4015">
        <v>1</v>
      </c>
      <c r="M4015" t="str">
        <f>"יח"</f>
        <v>יח</v>
      </c>
      <c r="N4015">
        <v>1</v>
      </c>
      <c r="O4015" t="str">
        <f>"יח"</f>
        <v>יח</v>
      </c>
      <c r="P4015" s="2">
        <v>13598</v>
      </c>
      <c r="Q4015" t="str">
        <f>"$"</f>
        <v>$</v>
      </c>
      <c r="R4015" t="str">
        <f>"הזמנה"</f>
        <v>הזמנה</v>
      </c>
      <c r="S4015">
        <v>0</v>
      </c>
      <c r="T4015" s="2">
        <v>13598</v>
      </c>
      <c r="U4015">
        <v>0</v>
      </c>
      <c r="V4015" s="2">
        <v>13598</v>
      </c>
      <c r="W4015" t="str">
        <f>"$"</f>
        <v>$</v>
      </c>
      <c r="X4015">
        <v>0</v>
      </c>
      <c r="Y4015">
        <v>0</v>
      </c>
      <c r="Z4015">
        <v>0</v>
      </c>
      <c r="AA4015" t="str">
        <f>"Y"</f>
        <v>Y</v>
      </c>
      <c r="AB4015" t="str">
        <f>"SO18000439"</f>
        <v>SO18000439</v>
      </c>
      <c r="AC4015">
        <v>5</v>
      </c>
      <c r="AD4015" s="1">
        <v>43313</v>
      </c>
      <c r="AE4015" t="str">
        <f>"SH19001086"</f>
        <v>SH19001086</v>
      </c>
      <c r="AF4015" t="str">
        <f>"משלוחים ללקוח"</f>
        <v>משלוחים ללקוח</v>
      </c>
      <c r="AG4015" s="1">
        <v>43668</v>
      </c>
      <c r="AM4015" t="str">
        <f>"10"</f>
        <v>10</v>
      </c>
      <c r="AN4015" t="str">
        <f>"500000"</f>
        <v>500000</v>
      </c>
      <c r="AO4015" t="str">
        <f>"הכנסות  מלקוחות"</f>
        <v>הכנסות  מלקוחות</v>
      </c>
      <c r="AQ4015" t="str">
        <f>"007"</f>
        <v>007</v>
      </c>
      <c r="AR4015">
        <v>0</v>
      </c>
      <c r="AS4015">
        <v>0</v>
      </c>
      <c r="AT4015">
        <v>3.5339999999999998</v>
      </c>
      <c r="AX4015" t="str">
        <f>"E000266274"</f>
        <v>E000266274</v>
      </c>
      <c r="BD4015" t="str">
        <f>"רוני דידי"</f>
        <v>רוני דידי</v>
      </c>
    </row>
    <row r="4016" spans="1:56" x14ac:dyDescent="0.3">
      <c r="A4016" s="1">
        <v>43669</v>
      </c>
      <c r="B4016" t="str">
        <f>"SI196000905"</f>
        <v>SI196000905</v>
      </c>
      <c r="C4016" t="str">
        <f>"PR18000543"</f>
        <v>PR18000543</v>
      </c>
      <c r="D4016" t="str">
        <f>"PR18000543"</f>
        <v>PR18000543</v>
      </c>
      <c r="E4016" t="str">
        <f>"Y"</f>
        <v>Y</v>
      </c>
      <c r="F4016" t="str">
        <f>"חשבוניות מרכזות"</f>
        <v>חשבוניות מרכזות</v>
      </c>
      <c r="G4016" t="str">
        <f>"700065"</f>
        <v>700065</v>
      </c>
      <c r="H4016" t="str">
        <f>"אלתא מערכות בע""מ"</f>
        <v>אלתא מערכות בע"מ</v>
      </c>
      <c r="I4016" t="str">
        <f>"10"</f>
        <v>10</v>
      </c>
      <c r="J4016" t="str">
        <f>"OP-AR01083"</f>
        <v>OP-AR01083</v>
      </c>
      <c r="K4016" t="str">
        <f>"1036C960-001 HVJB_N"</f>
        <v>1036C960-001 HVJB_N</v>
      </c>
      <c r="L4016">
        <v>2</v>
      </c>
      <c r="M4016" t="str">
        <f>"יח"</f>
        <v>יח</v>
      </c>
      <c r="N4016">
        <v>2</v>
      </c>
      <c r="O4016" t="str">
        <f>"יח"</f>
        <v>יח</v>
      </c>
      <c r="P4016" s="2">
        <v>6500</v>
      </c>
      <c r="Q4016" t="str">
        <f>"$"</f>
        <v>$</v>
      </c>
      <c r="R4016" t="str">
        <f>"הזמנה"</f>
        <v>הזמנה</v>
      </c>
      <c r="S4016">
        <v>0</v>
      </c>
      <c r="T4016" s="2">
        <v>13000</v>
      </c>
      <c r="U4016">
        <v>0</v>
      </c>
      <c r="V4016" s="2">
        <v>13000</v>
      </c>
      <c r="W4016" t="str">
        <f>"$"</f>
        <v>$</v>
      </c>
      <c r="X4016">
        <v>0</v>
      </c>
      <c r="Y4016">
        <v>0</v>
      </c>
      <c r="Z4016">
        <v>0</v>
      </c>
      <c r="AA4016" t="str">
        <f>"Y"</f>
        <v>Y</v>
      </c>
      <c r="AB4016" t="str">
        <f>"SO18000429"</f>
        <v>SO18000429</v>
      </c>
      <c r="AC4016">
        <v>3</v>
      </c>
      <c r="AD4016" s="1">
        <v>43311</v>
      </c>
      <c r="AE4016" t="str">
        <f>"SH19001087"</f>
        <v>SH19001087</v>
      </c>
      <c r="AF4016" t="str">
        <f>"משלוחים ללקוח"</f>
        <v>משלוחים ללקוח</v>
      </c>
      <c r="AG4016" s="1">
        <v>43668</v>
      </c>
      <c r="AM4016" t="str">
        <f>"10"</f>
        <v>10</v>
      </c>
      <c r="AN4016" t="str">
        <f>"500000"</f>
        <v>500000</v>
      </c>
      <c r="AO4016" t="str">
        <f>"הכנסות  מלקוחות"</f>
        <v>הכנסות  מלקוחות</v>
      </c>
      <c r="AQ4016" t="str">
        <f>"007"</f>
        <v>007</v>
      </c>
      <c r="AR4016">
        <v>0</v>
      </c>
      <c r="AS4016">
        <v>0</v>
      </c>
      <c r="AT4016">
        <v>3.5339999999999998</v>
      </c>
      <c r="AX4016" t="str">
        <f>"E000266439"</f>
        <v>E000266439</v>
      </c>
      <c r="BD4016" t="str">
        <f>"רוני דידי"</f>
        <v>רוני דידי</v>
      </c>
    </row>
    <row r="4017" spans="1:56" x14ac:dyDescent="0.3">
      <c r="A4017" s="1">
        <v>43660</v>
      </c>
      <c r="B4017" t="str">
        <f>"SI196000821"</f>
        <v>SI196000821</v>
      </c>
      <c r="C4017" t="str">
        <f>"PR19000199"</f>
        <v>PR19000199</v>
      </c>
      <c r="E4017" t="str">
        <f>"Y"</f>
        <v>Y</v>
      </c>
      <c r="F4017" t="str">
        <f>"חשבוניות מרכזות"</f>
        <v>חשבוניות מרכזות</v>
      </c>
      <c r="G4017" t="str">
        <f>"700065"</f>
        <v>700065</v>
      </c>
      <c r="H4017" t="str">
        <f>"אלתא מערכות בע""מ"</f>
        <v>אלתא מערכות בע"מ</v>
      </c>
      <c r="I4017" t="str">
        <f>"10"</f>
        <v>10</v>
      </c>
      <c r="J4017" t="str">
        <f>"OP-AR00454"</f>
        <v>OP-AR00454</v>
      </c>
      <c r="K4017" t="str">
        <f>"PDU 380V/50HZ/3 PH AC POWER BOX"</f>
        <v>PDU 380V/50HZ/3 PH AC POWER BOX</v>
      </c>
      <c r="L4017">
        <v>1</v>
      </c>
      <c r="M4017" t="str">
        <f>"יח"</f>
        <v>יח</v>
      </c>
      <c r="N4017">
        <v>1</v>
      </c>
      <c r="O4017" t="str">
        <f>"יח"</f>
        <v>יח</v>
      </c>
      <c r="P4017" s="2">
        <v>1380</v>
      </c>
      <c r="Q4017" t="str">
        <f>"$"</f>
        <v>$</v>
      </c>
      <c r="R4017" t="str">
        <f>"הזמנה"</f>
        <v>הזמנה</v>
      </c>
      <c r="S4017">
        <v>0</v>
      </c>
      <c r="T4017" s="2">
        <v>1380</v>
      </c>
      <c r="U4017">
        <v>0</v>
      </c>
      <c r="V4017" s="2">
        <v>1380</v>
      </c>
      <c r="W4017" t="str">
        <f>"$"</f>
        <v>$</v>
      </c>
      <c r="X4017">
        <v>0</v>
      </c>
      <c r="Y4017">
        <v>0</v>
      </c>
      <c r="Z4017">
        <v>0</v>
      </c>
      <c r="AA4017" t="str">
        <f>"Y"</f>
        <v>Y</v>
      </c>
      <c r="AB4017" t="str">
        <f>"SO19000096"</f>
        <v>SO19000096</v>
      </c>
      <c r="AC4017">
        <v>1</v>
      </c>
      <c r="AD4017" s="1">
        <v>43521</v>
      </c>
      <c r="AE4017" t="str">
        <f>"SH19001029"</f>
        <v>SH19001029</v>
      </c>
      <c r="AF4017" t="str">
        <f>"משלוחים ללקוח"</f>
        <v>משלוחים ללקוח</v>
      </c>
      <c r="AG4017" s="1">
        <v>43655</v>
      </c>
      <c r="AM4017" t="str">
        <f>"10"</f>
        <v>10</v>
      </c>
      <c r="AN4017" t="str">
        <f>"500000"</f>
        <v>500000</v>
      </c>
      <c r="AO4017" t="str">
        <f>"הכנסות  מלקוחות"</f>
        <v>הכנסות  מלקוחות</v>
      </c>
      <c r="AQ4017" t="str">
        <f>"034"</f>
        <v>034</v>
      </c>
      <c r="AR4017">
        <v>0</v>
      </c>
      <c r="AS4017">
        <v>0</v>
      </c>
      <c r="AT4017">
        <v>3.5510000000000002</v>
      </c>
      <c r="AX4017" t="str">
        <f>"E000281029"</f>
        <v>E000281029</v>
      </c>
      <c r="BD4017" t="str">
        <f>"ערן שלו"</f>
        <v>ערן שלו</v>
      </c>
    </row>
    <row r="4018" spans="1:56" x14ac:dyDescent="0.3">
      <c r="A4018" s="1">
        <v>43660</v>
      </c>
      <c r="B4018" t="str">
        <f>"SI196000819"</f>
        <v>SI196000819</v>
      </c>
      <c r="C4018" t="str">
        <f>"PR18000543"</f>
        <v>PR18000543</v>
      </c>
      <c r="D4018" t="str">
        <f>"PR18000543"</f>
        <v>PR18000543</v>
      </c>
      <c r="E4018" t="str">
        <f>"Y"</f>
        <v>Y</v>
      </c>
      <c r="F4018" t="str">
        <f>"חשבוניות מרכזות"</f>
        <v>חשבוניות מרכזות</v>
      </c>
      <c r="G4018" t="str">
        <f>"700065"</f>
        <v>700065</v>
      </c>
      <c r="H4018" t="str">
        <f>"אלתא מערכות בע""מ"</f>
        <v>אלתא מערכות בע"מ</v>
      </c>
      <c r="I4018" t="str">
        <f>"10"</f>
        <v>10</v>
      </c>
      <c r="J4018" t="str">
        <f>"000"</f>
        <v>000</v>
      </c>
      <c r="K4018" t="str">
        <f>"ניסוי מלח HVJV"</f>
        <v>ניסוי מלח HVJV</v>
      </c>
      <c r="L4018">
        <v>1</v>
      </c>
      <c r="M4018" t="str">
        <f>"יח"</f>
        <v>יח</v>
      </c>
      <c r="N4018">
        <v>1</v>
      </c>
      <c r="O4018" t="str">
        <f>"יח"</f>
        <v>יח</v>
      </c>
      <c r="P4018" s="2">
        <v>3300</v>
      </c>
      <c r="Q4018" t="str">
        <f>"$"</f>
        <v>$</v>
      </c>
      <c r="R4018" t="str">
        <f>"הזמנה"</f>
        <v>הזמנה</v>
      </c>
      <c r="S4018">
        <v>0</v>
      </c>
      <c r="T4018" s="2">
        <v>3300</v>
      </c>
      <c r="U4018">
        <v>0</v>
      </c>
      <c r="V4018" s="2">
        <v>3300</v>
      </c>
      <c r="W4018" t="str">
        <f>"$"</f>
        <v>$</v>
      </c>
      <c r="X4018">
        <v>0</v>
      </c>
      <c r="Y4018">
        <v>0</v>
      </c>
      <c r="Z4018">
        <v>0</v>
      </c>
      <c r="AA4018" t="str">
        <f>"Y"</f>
        <v>Y</v>
      </c>
      <c r="AB4018" t="str">
        <f>"SO19000195"</f>
        <v>SO19000195</v>
      </c>
      <c r="AC4018">
        <v>4</v>
      </c>
      <c r="AD4018" s="1">
        <v>43591</v>
      </c>
      <c r="AE4018" t="str">
        <f>"SH19001034"</f>
        <v>SH19001034</v>
      </c>
      <c r="AF4018" t="str">
        <f>"משלוחים ללקוח"</f>
        <v>משלוחים ללקוח</v>
      </c>
      <c r="AG4018" s="1">
        <v>43657</v>
      </c>
      <c r="AM4018" t="str">
        <f>"10"</f>
        <v>10</v>
      </c>
      <c r="AN4018" t="str">
        <f>"500000"</f>
        <v>500000</v>
      </c>
      <c r="AO4018" t="str">
        <f>"הכנסות  מלקוחות"</f>
        <v>הכנסות  מלקוחות</v>
      </c>
      <c r="AQ4018" t="str">
        <f>"034"</f>
        <v>034</v>
      </c>
      <c r="AR4018">
        <v>0</v>
      </c>
      <c r="AS4018">
        <v>0</v>
      </c>
      <c r="AT4018">
        <v>3.5510000000000002</v>
      </c>
      <c r="AX4018" t="str">
        <f>"E000285209"</f>
        <v>E000285209</v>
      </c>
      <c r="BD4018" t="str">
        <f>"ערן שלו"</f>
        <v>ערן שלו</v>
      </c>
    </row>
    <row r="4019" spans="1:56" x14ac:dyDescent="0.3">
      <c r="A4019" s="1">
        <v>43660</v>
      </c>
      <c r="B4019" t="str">
        <f>"SI196000819"</f>
        <v>SI196000819</v>
      </c>
      <c r="C4019" t="str">
        <f>"PR18000543"</f>
        <v>PR18000543</v>
      </c>
      <c r="D4019" t="str">
        <f>"PR18000543"</f>
        <v>PR18000543</v>
      </c>
      <c r="E4019" t="str">
        <f>"Y"</f>
        <v>Y</v>
      </c>
      <c r="F4019" t="str">
        <f>"חשבוניות מרכזות"</f>
        <v>חשבוניות מרכזות</v>
      </c>
      <c r="G4019" t="str">
        <f>"700065"</f>
        <v>700065</v>
      </c>
      <c r="H4019" t="str">
        <f>"אלתא מערכות בע""מ"</f>
        <v>אלתא מערכות בע"מ</v>
      </c>
      <c r="I4019" t="str">
        <f>"10"</f>
        <v>10</v>
      </c>
      <c r="J4019" t="str">
        <f>"000"</f>
        <v>000</v>
      </c>
      <c r="K4019" t="str">
        <f>"ניסוי רעידות HVJV"</f>
        <v>ניסוי רעידות HVJV</v>
      </c>
      <c r="L4019">
        <v>1</v>
      </c>
      <c r="M4019" t="str">
        <f>"יח"</f>
        <v>יח</v>
      </c>
      <c r="N4019">
        <v>1</v>
      </c>
      <c r="O4019" t="str">
        <f>"יח"</f>
        <v>יח</v>
      </c>
      <c r="P4019" s="2">
        <v>6500</v>
      </c>
      <c r="Q4019" t="str">
        <f>"$"</f>
        <v>$</v>
      </c>
      <c r="R4019" t="str">
        <f>"הזמנה"</f>
        <v>הזמנה</v>
      </c>
      <c r="S4019">
        <v>0</v>
      </c>
      <c r="T4019" s="2">
        <v>6500</v>
      </c>
      <c r="U4019">
        <v>0</v>
      </c>
      <c r="V4019" s="2">
        <v>6500</v>
      </c>
      <c r="W4019" t="str">
        <f>"$"</f>
        <v>$</v>
      </c>
      <c r="X4019">
        <v>0</v>
      </c>
      <c r="Y4019">
        <v>0</v>
      </c>
      <c r="Z4019">
        <v>0</v>
      </c>
      <c r="AA4019" t="str">
        <f>"Y"</f>
        <v>Y</v>
      </c>
      <c r="AB4019" t="str">
        <f>"SO19000195"</f>
        <v>SO19000195</v>
      </c>
      <c r="AC4019">
        <v>5</v>
      </c>
      <c r="AD4019" s="1">
        <v>43591</v>
      </c>
      <c r="AE4019" t="str">
        <f>"SH19001034"</f>
        <v>SH19001034</v>
      </c>
      <c r="AF4019" t="str">
        <f>"משלוחים ללקוח"</f>
        <v>משלוחים ללקוח</v>
      </c>
      <c r="AG4019" s="1">
        <v>43657</v>
      </c>
      <c r="AM4019" t="str">
        <f>"10"</f>
        <v>10</v>
      </c>
      <c r="AN4019" t="str">
        <f>"500000"</f>
        <v>500000</v>
      </c>
      <c r="AO4019" t="str">
        <f>"הכנסות  מלקוחות"</f>
        <v>הכנסות  מלקוחות</v>
      </c>
      <c r="AQ4019" t="str">
        <f>"034"</f>
        <v>034</v>
      </c>
      <c r="AR4019">
        <v>0</v>
      </c>
      <c r="AS4019">
        <v>0</v>
      </c>
      <c r="AT4019">
        <v>3.5510000000000002</v>
      </c>
      <c r="AX4019" t="str">
        <f>"E000285209"</f>
        <v>E000285209</v>
      </c>
      <c r="BD4019" t="str">
        <f>"ערן שלו"</f>
        <v>ערן שלו</v>
      </c>
    </row>
    <row r="4020" spans="1:56" x14ac:dyDescent="0.3">
      <c r="A4020" s="1">
        <v>43660</v>
      </c>
      <c r="B4020" t="str">
        <f>"SI196000819"</f>
        <v>SI196000819</v>
      </c>
      <c r="C4020" t="str">
        <f>"PR18000543"</f>
        <v>PR18000543</v>
      </c>
      <c r="D4020" t="str">
        <f>"PR18000543"</f>
        <v>PR18000543</v>
      </c>
      <c r="E4020" t="str">
        <f>"Y"</f>
        <v>Y</v>
      </c>
      <c r="F4020" t="str">
        <f>"חשבוניות מרכזות"</f>
        <v>חשבוניות מרכזות</v>
      </c>
      <c r="G4020" t="str">
        <f>"700065"</f>
        <v>700065</v>
      </c>
      <c r="H4020" t="str">
        <f>"אלתא מערכות בע""מ"</f>
        <v>אלתא מערכות בע"מ</v>
      </c>
      <c r="I4020" t="str">
        <f>"10"</f>
        <v>10</v>
      </c>
      <c r="J4020" t="str">
        <f>"000"</f>
        <v>000</v>
      </c>
      <c r="K4020" t="str">
        <f>"ניסוי רעידות בהובלה HVJV"</f>
        <v>ניסוי רעידות בהובלה HVJV</v>
      </c>
      <c r="L4020">
        <v>1</v>
      </c>
      <c r="M4020" t="str">
        <f>"יח"</f>
        <v>יח</v>
      </c>
      <c r="N4020">
        <v>1</v>
      </c>
      <c r="O4020" t="str">
        <f>"יח"</f>
        <v>יח</v>
      </c>
      <c r="P4020" s="2">
        <v>2500</v>
      </c>
      <c r="Q4020" t="str">
        <f>"$"</f>
        <v>$</v>
      </c>
      <c r="R4020" t="str">
        <f>"הזמנה"</f>
        <v>הזמנה</v>
      </c>
      <c r="S4020">
        <v>0</v>
      </c>
      <c r="T4020" s="2">
        <v>2500</v>
      </c>
      <c r="U4020">
        <v>0</v>
      </c>
      <c r="V4020" s="2">
        <v>2500</v>
      </c>
      <c r="W4020" t="str">
        <f>"$"</f>
        <v>$</v>
      </c>
      <c r="X4020">
        <v>0</v>
      </c>
      <c r="Y4020">
        <v>0</v>
      </c>
      <c r="Z4020">
        <v>0</v>
      </c>
      <c r="AA4020" t="str">
        <f>"Y"</f>
        <v>Y</v>
      </c>
      <c r="AB4020" t="str">
        <f>"SO19000195"</f>
        <v>SO19000195</v>
      </c>
      <c r="AC4020">
        <v>6</v>
      </c>
      <c r="AD4020" s="1">
        <v>43591</v>
      </c>
      <c r="AE4020" t="str">
        <f>"SH19001034"</f>
        <v>SH19001034</v>
      </c>
      <c r="AF4020" t="str">
        <f>"משלוחים ללקוח"</f>
        <v>משלוחים ללקוח</v>
      </c>
      <c r="AG4020" s="1">
        <v>43657</v>
      </c>
      <c r="AM4020" t="str">
        <f>"10"</f>
        <v>10</v>
      </c>
      <c r="AN4020" t="str">
        <f>"500000"</f>
        <v>500000</v>
      </c>
      <c r="AO4020" t="str">
        <f>"הכנסות  מלקוחות"</f>
        <v>הכנסות  מלקוחות</v>
      </c>
      <c r="AQ4020" t="str">
        <f>"034"</f>
        <v>034</v>
      </c>
      <c r="AR4020">
        <v>0</v>
      </c>
      <c r="AS4020">
        <v>0</v>
      </c>
      <c r="AT4020">
        <v>3.5510000000000002</v>
      </c>
      <c r="AX4020" t="str">
        <f>"E000285209"</f>
        <v>E000285209</v>
      </c>
      <c r="BD4020" t="str">
        <f>"ערן שלו"</f>
        <v>ערן שלו</v>
      </c>
    </row>
    <row r="4021" spans="1:56" x14ac:dyDescent="0.3">
      <c r="A4021" s="1">
        <v>43660</v>
      </c>
      <c r="B4021" t="str">
        <f>"SI196000819"</f>
        <v>SI196000819</v>
      </c>
      <c r="C4021" t="str">
        <f>"PR18000543"</f>
        <v>PR18000543</v>
      </c>
      <c r="D4021" t="str">
        <f>"PR18000543"</f>
        <v>PR18000543</v>
      </c>
      <c r="E4021" t="str">
        <f>"Y"</f>
        <v>Y</v>
      </c>
      <c r="F4021" t="str">
        <f>"חשבוניות מרכזות"</f>
        <v>חשבוניות מרכזות</v>
      </c>
      <c r="G4021" t="str">
        <f>"700065"</f>
        <v>700065</v>
      </c>
      <c r="H4021" t="str">
        <f>"אלתא מערכות בע""מ"</f>
        <v>אלתא מערכות בע"מ</v>
      </c>
      <c r="I4021" t="str">
        <f>"10"</f>
        <v>10</v>
      </c>
      <c r="J4021" t="str">
        <f>"000"</f>
        <v>000</v>
      </c>
      <c r="K4021" t="str">
        <f>"ניסוי הלמים HVJV"</f>
        <v>ניסוי הלמים HVJV</v>
      </c>
      <c r="L4021">
        <v>1</v>
      </c>
      <c r="M4021" t="str">
        <f>"יח"</f>
        <v>יח</v>
      </c>
      <c r="N4021">
        <v>1</v>
      </c>
      <c r="O4021" t="str">
        <f>"יח"</f>
        <v>יח</v>
      </c>
      <c r="P4021" s="2">
        <v>4500</v>
      </c>
      <c r="Q4021" t="str">
        <f>"$"</f>
        <v>$</v>
      </c>
      <c r="R4021" t="str">
        <f>"הזמנה"</f>
        <v>הזמנה</v>
      </c>
      <c r="S4021">
        <v>0</v>
      </c>
      <c r="T4021" s="2">
        <v>4500</v>
      </c>
      <c r="U4021">
        <v>0</v>
      </c>
      <c r="V4021" s="2">
        <v>4500</v>
      </c>
      <c r="W4021" t="str">
        <f>"$"</f>
        <v>$</v>
      </c>
      <c r="X4021">
        <v>0</v>
      </c>
      <c r="Y4021">
        <v>0</v>
      </c>
      <c r="Z4021">
        <v>0</v>
      </c>
      <c r="AA4021" t="str">
        <f>"Y"</f>
        <v>Y</v>
      </c>
      <c r="AB4021" t="str">
        <f>"SO19000195"</f>
        <v>SO19000195</v>
      </c>
      <c r="AC4021">
        <v>7</v>
      </c>
      <c r="AD4021" s="1">
        <v>43591</v>
      </c>
      <c r="AE4021" t="str">
        <f>"SH19001034"</f>
        <v>SH19001034</v>
      </c>
      <c r="AF4021" t="str">
        <f>"משלוחים ללקוח"</f>
        <v>משלוחים ללקוח</v>
      </c>
      <c r="AG4021" s="1">
        <v>43657</v>
      </c>
      <c r="AM4021" t="str">
        <f>"10"</f>
        <v>10</v>
      </c>
      <c r="AN4021" t="str">
        <f>"500000"</f>
        <v>500000</v>
      </c>
      <c r="AO4021" t="str">
        <f>"הכנסות  מלקוחות"</f>
        <v>הכנסות  מלקוחות</v>
      </c>
      <c r="AQ4021" t="str">
        <f>"034"</f>
        <v>034</v>
      </c>
      <c r="AR4021">
        <v>0</v>
      </c>
      <c r="AS4021">
        <v>0</v>
      </c>
      <c r="AT4021">
        <v>3.5510000000000002</v>
      </c>
      <c r="AX4021" t="str">
        <f>"E000285209"</f>
        <v>E000285209</v>
      </c>
      <c r="BD4021" t="str">
        <f>"ערן שלו"</f>
        <v>ערן שלו</v>
      </c>
    </row>
    <row r="4022" spans="1:56" x14ac:dyDescent="0.3">
      <c r="A4022" s="1">
        <v>43660</v>
      </c>
      <c r="B4022" t="str">
        <f>"SI196000819"</f>
        <v>SI196000819</v>
      </c>
      <c r="C4022" t="str">
        <f>"PR18000543"</f>
        <v>PR18000543</v>
      </c>
      <c r="D4022" t="str">
        <f>"PR18000543"</f>
        <v>PR18000543</v>
      </c>
      <c r="E4022" t="str">
        <f>"Y"</f>
        <v>Y</v>
      </c>
      <c r="F4022" t="str">
        <f>"חשבוניות מרכזות"</f>
        <v>חשבוניות מרכזות</v>
      </c>
      <c r="G4022" t="str">
        <f>"700065"</f>
        <v>700065</v>
      </c>
      <c r="H4022" t="str">
        <f>"אלתא מערכות בע""מ"</f>
        <v>אלתא מערכות בע"מ</v>
      </c>
      <c r="I4022" t="str">
        <f>"10"</f>
        <v>10</v>
      </c>
      <c r="J4022" t="str">
        <f>"000"</f>
        <v>000</v>
      </c>
      <c r="K4022" t="str">
        <f>"דוחות HVJB"</f>
        <v>דוחות HVJB</v>
      </c>
      <c r="L4022">
        <v>1</v>
      </c>
      <c r="M4022" t="str">
        <f>"יח"</f>
        <v>יח</v>
      </c>
      <c r="N4022">
        <v>1</v>
      </c>
      <c r="O4022" t="str">
        <f>"יח"</f>
        <v>יח</v>
      </c>
      <c r="P4022">
        <v>400</v>
      </c>
      <c r="Q4022" t="str">
        <f>"$"</f>
        <v>$</v>
      </c>
      <c r="R4022" t="str">
        <f>"הזמנה"</f>
        <v>הזמנה</v>
      </c>
      <c r="S4022">
        <v>0</v>
      </c>
      <c r="T4022">
        <v>400</v>
      </c>
      <c r="U4022">
        <v>0</v>
      </c>
      <c r="V4022">
        <v>400</v>
      </c>
      <c r="W4022" t="str">
        <f>"$"</f>
        <v>$</v>
      </c>
      <c r="X4022">
        <v>0</v>
      </c>
      <c r="Y4022">
        <v>0</v>
      </c>
      <c r="Z4022">
        <v>0</v>
      </c>
      <c r="AA4022" t="str">
        <f>"Y"</f>
        <v>Y</v>
      </c>
      <c r="AB4022" t="str">
        <f>"SO19000195"</f>
        <v>SO19000195</v>
      </c>
      <c r="AC4022">
        <v>8</v>
      </c>
      <c r="AD4022" s="1">
        <v>43591</v>
      </c>
      <c r="AE4022" t="str">
        <f>"SH19001034"</f>
        <v>SH19001034</v>
      </c>
      <c r="AF4022" t="str">
        <f>"משלוחים ללקוח"</f>
        <v>משלוחים ללקוח</v>
      </c>
      <c r="AG4022" s="1">
        <v>43657</v>
      </c>
      <c r="AM4022" t="str">
        <f>"10"</f>
        <v>10</v>
      </c>
      <c r="AN4022" t="str">
        <f>"500000"</f>
        <v>500000</v>
      </c>
      <c r="AO4022" t="str">
        <f>"הכנסות  מלקוחות"</f>
        <v>הכנסות  מלקוחות</v>
      </c>
      <c r="AQ4022" t="str">
        <f>"034"</f>
        <v>034</v>
      </c>
      <c r="AR4022">
        <v>0</v>
      </c>
      <c r="AS4022">
        <v>0</v>
      </c>
      <c r="AT4022">
        <v>3.5510000000000002</v>
      </c>
      <c r="AX4022" t="str">
        <f>"E000285209"</f>
        <v>E000285209</v>
      </c>
      <c r="BD4022" t="str">
        <f>"ערן שלו"</f>
        <v>ערן שלו</v>
      </c>
    </row>
    <row r="4023" spans="1:56" x14ac:dyDescent="0.3">
      <c r="A4023" s="1">
        <v>43660</v>
      </c>
      <c r="B4023" t="str">
        <f>"SI196000818"</f>
        <v>SI196000818</v>
      </c>
      <c r="C4023" t="str">
        <f>"PR18000547"</f>
        <v>PR18000547</v>
      </c>
      <c r="D4023" t="str">
        <f>"PR18000547"</f>
        <v>PR18000547</v>
      </c>
      <c r="E4023" t="str">
        <f>"Y"</f>
        <v>Y</v>
      </c>
      <c r="F4023" t="str">
        <f>"חשבוניות מרכזות"</f>
        <v>חשבוניות מרכזות</v>
      </c>
      <c r="G4023" t="str">
        <f>"700065"</f>
        <v>700065</v>
      </c>
      <c r="H4023" t="str">
        <f>"אלתא מערכות בע""מ"</f>
        <v>אלתא מערכות בע"מ</v>
      </c>
      <c r="I4023" t="str">
        <f>"10"</f>
        <v>10</v>
      </c>
      <c r="J4023" t="str">
        <f>"000"</f>
        <v>000</v>
      </c>
      <c r="K4023" t="str">
        <f>"NRE"</f>
        <v>NRE</v>
      </c>
      <c r="L4023">
        <v>1</v>
      </c>
      <c r="M4023" t="str">
        <f>"יח"</f>
        <v>יח</v>
      </c>
      <c r="N4023">
        <v>1</v>
      </c>
      <c r="O4023" t="str">
        <f>"יח"</f>
        <v>יח</v>
      </c>
      <c r="P4023" s="2">
        <v>14000</v>
      </c>
      <c r="Q4023" t="str">
        <f>"$"</f>
        <v>$</v>
      </c>
      <c r="R4023" t="str">
        <f>"הזמנה"</f>
        <v>הזמנה</v>
      </c>
      <c r="S4023">
        <v>0</v>
      </c>
      <c r="T4023" s="2">
        <v>14000</v>
      </c>
      <c r="U4023">
        <v>0</v>
      </c>
      <c r="V4023" s="2">
        <v>14000</v>
      </c>
      <c r="W4023" t="str">
        <f>"$"</f>
        <v>$</v>
      </c>
      <c r="X4023">
        <v>0</v>
      </c>
      <c r="Y4023">
        <v>0</v>
      </c>
      <c r="Z4023">
        <v>0</v>
      </c>
      <c r="AA4023" t="str">
        <f>"Y"</f>
        <v>Y</v>
      </c>
      <c r="AB4023" t="str">
        <f>"SO18000439"</f>
        <v>SO18000439</v>
      </c>
      <c r="AC4023">
        <v>1</v>
      </c>
      <c r="AD4023" s="1">
        <v>43313</v>
      </c>
      <c r="AE4023" t="str">
        <f>"SH19001035"</f>
        <v>SH19001035</v>
      </c>
      <c r="AF4023" t="str">
        <f>"משלוחים ללקוח"</f>
        <v>משלוחים ללקוח</v>
      </c>
      <c r="AG4023" s="1">
        <v>43657</v>
      </c>
      <c r="AM4023" t="str">
        <f>"10"</f>
        <v>10</v>
      </c>
      <c r="AN4023" t="str">
        <f>"500000"</f>
        <v>500000</v>
      </c>
      <c r="AO4023" t="str">
        <f>"הכנסות  מלקוחות"</f>
        <v>הכנסות  מלקוחות</v>
      </c>
      <c r="AQ4023" t="str">
        <f>"007"</f>
        <v>007</v>
      </c>
      <c r="AR4023">
        <v>0</v>
      </c>
      <c r="AS4023">
        <v>0</v>
      </c>
      <c r="AT4023">
        <v>3.5510000000000002</v>
      </c>
      <c r="AX4023" t="str">
        <f>"E000266274"</f>
        <v>E000266274</v>
      </c>
      <c r="BD4023" t="str">
        <f>"רוני דידי"</f>
        <v>רוני דידי</v>
      </c>
    </row>
    <row r="4024" spans="1:56" x14ac:dyDescent="0.3">
      <c r="A4024" s="1">
        <v>43660</v>
      </c>
      <c r="B4024" t="str">
        <f>"SI196000818"</f>
        <v>SI196000818</v>
      </c>
      <c r="C4024" t="str">
        <f>"PR18000547"</f>
        <v>PR18000547</v>
      </c>
      <c r="D4024" t="str">
        <f>"PR18000547"</f>
        <v>PR18000547</v>
      </c>
      <c r="E4024" t="str">
        <f>"Y"</f>
        <v>Y</v>
      </c>
      <c r="F4024" t="str">
        <f>"חשבוניות מרכזות"</f>
        <v>חשבוניות מרכזות</v>
      </c>
      <c r="G4024" t="str">
        <f>"700065"</f>
        <v>700065</v>
      </c>
      <c r="H4024" t="str">
        <f>"אלתא מערכות בע""מ"</f>
        <v>אלתא מערכות בע"מ</v>
      </c>
      <c r="I4024" t="str">
        <f>"10"</f>
        <v>10</v>
      </c>
      <c r="J4024" t="str">
        <f>"000"</f>
        <v>000</v>
      </c>
      <c r="K4024" t="str">
        <f>"ניסוי טמפרטורה"</f>
        <v>ניסוי טמפרטורה</v>
      </c>
      <c r="L4024">
        <v>1</v>
      </c>
      <c r="M4024" t="str">
        <f>"יח"</f>
        <v>יח</v>
      </c>
      <c r="N4024">
        <v>1</v>
      </c>
      <c r="O4024" t="str">
        <f>"יח"</f>
        <v>יח</v>
      </c>
      <c r="P4024" s="2">
        <v>1150</v>
      </c>
      <c r="Q4024" t="str">
        <f>"$"</f>
        <v>$</v>
      </c>
      <c r="R4024" t="str">
        <f>"הזמנה"</f>
        <v>הזמנה</v>
      </c>
      <c r="S4024">
        <v>0</v>
      </c>
      <c r="T4024" s="2">
        <v>1150</v>
      </c>
      <c r="U4024">
        <v>0</v>
      </c>
      <c r="V4024" s="2">
        <v>1150</v>
      </c>
      <c r="W4024" t="str">
        <f>"$"</f>
        <v>$</v>
      </c>
      <c r="X4024">
        <v>0</v>
      </c>
      <c r="Y4024">
        <v>0</v>
      </c>
      <c r="Z4024">
        <v>0</v>
      </c>
      <c r="AA4024" t="str">
        <f>"Y"</f>
        <v>Y</v>
      </c>
      <c r="AB4024" t="str">
        <f>"SO18000439"</f>
        <v>SO18000439</v>
      </c>
      <c r="AC4024">
        <v>2</v>
      </c>
      <c r="AD4024" s="1">
        <v>43313</v>
      </c>
      <c r="AE4024" t="str">
        <f>"SH19001035"</f>
        <v>SH19001035</v>
      </c>
      <c r="AF4024" t="str">
        <f>"משלוחים ללקוח"</f>
        <v>משלוחים ללקוח</v>
      </c>
      <c r="AG4024" s="1">
        <v>43657</v>
      </c>
      <c r="AM4024" t="str">
        <f>"10"</f>
        <v>10</v>
      </c>
      <c r="AN4024" t="str">
        <f>"500000"</f>
        <v>500000</v>
      </c>
      <c r="AO4024" t="str">
        <f>"הכנסות  מלקוחות"</f>
        <v>הכנסות  מלקוחות</v>
      </c>
      <c r="AQ4024" t="str">
        <f>"007"</f>
        <v>007</v>
      </c>
      <c r="AR4024">
        <v>0</v>
      </c>
      <c r="AS4024">
        <v>0</v>
      </c>
      <c r="AT4024">
        <v>3.5510000000000002</v>
      </c>
      <c r="AX4024" t="str">
        <f>"E000266274"</f>
        <v>E000266274</v>
      </c>
      <c r="BD4024" t="str">
        <f>"רוני דידי"</f>
        <v>רוני דידי</v>
      </c>
    </row>
    <row r="4025" spans="1:56" x14ac:dyDescent="0.3">
      <c r="A4025" s="1">
        <v>43656</v>
      </c>
      <c r="B4025" t="str">
        <f>"SI196000815"</f>
        <v>SI196000815</v>
      </c>
      <c r="C4025" t="str">
        <f>"PR19000155"</f>
        <v>PR19000155</v>
      </c>
      <c r="E4025" t="str">
        <f>"Y"</f>
        <v>Y</v>
      </c>
      <c r="F4025" t="str">
        <f>"חשבוניות מרכזות"</f>
        <v>חשבוניות מרכזות</v>
      </c>
      <c r="G4025" t="str">
        <f>"700065"</f>
        <v>700065</v>
      </c>
      <c r="H4025" t="str">
        <f>"אלתא מערכות בע""מ"</f>
        <v>אלתא מערכות בע"מ</v>
      </c>
      <c r="I4025" t="str">
        <f>"10"</f>
        <v>10</v>
      </c>
      <c r="J4025" t="str">
        <f>"OP-AR00454"</f>
        <v>OP-AR00454</v>
      </c>
      <c r="K4025" t="str">
        <f>"PDU 380V/50HZ/3 PH AC POWER BOX"</f>
        <v>PDU 380V/50HZ/3 PH AC POWER BOX</v>
      </c>
      <c r="L4025">
        <v>1</v>
      </c>
      <c r="M4025" t="str">
        <f>"יח"</f>
        <v>יח</v>
      </c>
      <c r="N4025">
        <v>1</v>
      </c>
      <c r="O4025" t="str">
        <f>"יח"</f>
        <v>יח</v>
      </c>
      <c r="P4025" s="2">
        <v>1380</v>
      </c>
      <c r="Q4025" t="str">
        <f>"$"</f>
        <v>$</v>
      </c>
      <c r="R4025" t="str">
        <f>"הזמנה"</f>
        <v>הזמנה</v>
      </c>
      <c r="S4025">
        <v>0</v>
      </c>
      <c r="T4025" s="2">
        <v>1380</v>
      </c>
      <c r="U4025">
        <v>0</v>
      </c>
      <c r="V4025" s="2">
        <v>1380</v>
      </c>
      <c r="W4025" t="str">
        <f>"$"</f>
        <v>$</v>
      </c>
      <c r="X4025">
        <v>0</v>
      </c>
      <c r="Y4025">
        <v>0</v>
      </c>
      <c r="Z4025">
        <v>0</v>
      </c>
      <c r="AA4025" t="str">
        <f>"Y"</f>
        <v>Y</v>
      </c>
      <c r="AC4025">
        <v>0</v>
      </c>
      <c r="AM4025" t="str">
        <f>"10"</f>
        <v>10</v>
      </c>
      <c r="AN4025" t="str">
        <f>"500000"</f>
        <v>500000</v>
      </c>
      <c r="AO4025" t="str">
        <f>"הכנסות  מלקוחות"</f>
        <v>הכנסות  מלקוחות</v>
      </c>
      <c r="AQ4025" t="str">
        <f>"034"</f>
        <v>034</v>
      </c>
      <c r="AR4025">
        <v>0</v>
      </c>
      <c r="AS4025">
        <v>0</v>
      </c>
      <c r="AT4025">
        <v>3.5680000000000001</v>
      </c>
      <c r="BB4025" t="str">
        <f>"Y"</f>
        <v>Y</v>
      </c>
      <c r="BD4025" t="str">
        <f>"ערן שלו"</f>
        <v>ערן שלו</v>
      </c>
    </row>
    <row r="4026" spans="1:56" x14ac:dyDescent="0.3">
      <c r="A4026" s="1">
        <v>43656</v>
      </c>
      <c r="B4026" t="str">
        <f>"SI196000814"</f>
        <v>SI196000814</v>
      </c>
      <c r="C4026" t="str">
        <f>"PR19000155"</f>
        <v>PR19000155</v>
      </c>
      <c r="E4026" t="str">
        <f>"Y"</f>
        <v>Y</v>
      </c>
      <c r="F4026" t="str">
        <f>"חשבוניות מרכזות"</f>
        <v>חשבוניות מרכזות</v>
      </c>
      <c r="G4026" t="str">
        <f>"700065"</f>
        <v>700065</v>
      </c>
      <c r="H4026" t="str">
        <f>"אלתא מערכות בע""מ"</f>
        <v>אלתא מערכות בע"מ</v>
      </c>
      <c r="I4026" t="str">
        <f>"10"</f>
        <v>10</v>
      </c>
      <c r="J4026" t="str">
        <f>"OP-AR00454"</f>
        <v>OP-AR00454</v>
      </c>
      <c r="K4026" t="str">
        <f>"PDU 380V/50HZ/3 PH AC POWER BOX"</f>
        <v>PDU 380V/50HZ/3 PH AC POWER BOX</v>
      </c>
      <c r="L4026">
        <v>1</v>
      </c>
      <c r="M4026" t="str">
        <f>"יח"</f>
        <v>יח</v>
      </c>
      <c r="N4026">
        <v>1</v>
      </c>
      <c r="O4026" t="str">
        <f>"יח"</f>
        <v>יח</v>
      </c>
      <c r="P4026" s="2">
        <v>1380</v>
      </c>
      <c r="Q4026" t="str">
        <f>"$"</f>
        <v>$</v>
      </c>
      <c r="R4026" t="str">
        <f>"הזמנה"</f>
        <v>הזמנה</v>
      </c>
      <c r="S4026">
        <v>0</v>
      </c>
      <c r="T4026" s="2">
        <v>1380</v>
      </c>
      <c r="U4026">
        <v>0</v>
      </c>
      <c r="V4026" s="2">
        <v>1380</v>
      </c>
      <c r="W4026" t="str">
        <f>"$"</f>
        <v>$</v>
      </c>
      <c r="X4026">
        <v>0</v>
      </c>
      <c r="Y4026">
        <v>0</v>
      </c>
      <c r="Z4026">
        <v>0</v>
      </c>
      <c r="AA4026" t="str">
        <f>"Y"</f>
        <v>Y</v>
      </c>
      <c r="AB4026" t="str">
        <f>"SO19000116"</f>
        <v>SO19000116</v>
      </c>
      <c r="AC4026">
        <v>2</v>
      </c>
      <c r="AD4026" s="1">
        <v>43536</v>
      </c>
      <c r="AE4026" t="str">
        <f>"SH19001023"</f>
        <v>SH19001023</v>
      </c>
      <c r="AF4026" t="str">
        <f>"משלוחים ללקוח"</f>
        <v>משלוחים ללקוח</v>
      </c>
      <c r="AG4026" s="1">
        <v>43655</v>
      </c>
      <c r="AM4026" t="str">
        <f>"10"</f>
        <v>10</v>
      </c>
      <c r="AN4026" t="str">
        <f>"500000"</f>
        <v>500000</v>
      </c>
      <c r="AO4026" t="str">
        <f>"הכנסות  מלקוחות"</f>
        <v>הכנסות  מלקוחות</v>
      </c>
      <c r="AQ4026" t="str">
        <f>"034"</f>
        <v>034</v>
      </c>
      <c r="AR4026">
        <v>0</v>
      </c>
      <c r="AS4026">
        <v>0</v>
      </c>
      <c r="AT4026">
        <v>3.5680000000000001</v>
      </c>
      <c r="AX4026" t="str">
        <f>"E000281930"</f>
        <v>E000281930</v>
      </c>
      <c r="BD4026" t="str">
        <f>"ערן שלו"</f>
        <v>ערן שלו</v>
      </c>
    </row>
    <row r="4027" spans="1:56" x14ac:dyDescent="0.3">
      <c r="A4027" s="1">
        <v>43656</v>
      </c>
      <c r="B4027" t="str">
        <f>"SI196000814"</f>
        <v>SI196000814</v>
      </c>
      <c r="C4027" t="str">
        <f>"PR19000155"</f>
        <v>PR19000155</v>
      </c>
      <c r="E4027" t="str">
        <f>"Y"</f>
        <v>Y</v>
      </c>
      <c r="F4027" t="str">
        <f>"חשבוניות מרכזות"</f>
        <v>חשבוניות מרכזות</v>
      </c>
      <c r="G4027" t="str">
        <f>"700065"</f>
        <v>700065</v>
      </c>
      <c r="H4027" t="str">
        <f>"אלתא מערכות בע""מ"</f>
        <v>אלתא מערכות בע"מ</v>
      </c>
      <c r="I4027" t="str">
        <f>"10"</f>
        <v>10</v>
      </c>
      <c r="J4027" t="str">
        <f>"OP-AR00454"</f>
        <v>OP-AR00454</v>
      </c>
      <c r="K4027" t="str">
        <f>"PDU 380V/50HZ/3 PH AC POWER BOX"</f>
        <v>PDU 380V/50HZ/3 PH AC POWER BOX</v>
      </c>
      <c r="L4027">
        <v>2</v>
      </c>
      <c r="M4027" t="str">
        <f>"יח"</f>
        <v>יח</v>
      </c>
      <c r="N4027">
        <v>2</v>
      </c>
      <c r="O4027" t="str">
        <f>"יח"</f>
        <v>יח</v>
      </c>
      <c r="P4027" s="2">
        <v>1380</v>
      </c>
      <c r="Q4027" t="str">
        <f>"$"</f>
        <v>$</v>
      </c>
      <c r="R4027" t="str">
        <f>"הזמנה"</f>
        <v>הזמנה</v>
      </c>
      <c r="S4027">
        <v>0</v>
      </c>
      <c r="T4027" s="2">
        <v>2760</v>
      </c>
      <c r="U4027">
        <v>0</v>
      </c>
      <c r="V4027" s="2">
        <v>2760</v>
      </c>
      <c r="W4027" t="str">
        <f>"$"</f>
        <v>$</v>
      </c>
      <c r="X4027">
        <v>0</v>
      </c>
      <c r="Y4027">
        <v>0</v>
      </c>
      <c r="Z4027">
        <v>0</v>
      </c>
      <c r="AA4027" t="str">
        <f>"Y"</f>
        <v>Y</v>
      </c>
      <c r="AB4027" t="str">
        <f>"SO19000116"</f>
        <v>SO19000116</v>
      </c>
      <c r="AC4027">
        <v>3</v>
      </c>
      <c r="AD4027" s="1">
        <v>43536</v>
      </c>
      <c r="AE4027" t="str">
        <f>"SH19001023"</f>
        <v>SH19001023</v>
      </c>
      <c r="AF4027" t="str">
        <f>"משלוחים ללקוח"</f>
        <v>משלוחים ללקוח</v>
      </c>
      <c r="AG4027" s="1">
        <v>43655</v>
      </c>
      <c r="AM4027" t="str">
        <f>"10"</f>
        <v>10</v>
      </c>
      <c r="AN4027" t="str">
        <f>"500000"</f>
        <v>500000</v>
      </c>
      <c r="AO4027" t="str">
        <f>"הכנסות  מלקוחות"</f>
        <v>הכנסות  מלקוחות</v>
      </c>
      <c r="AQ4027" t="str">
        <f>"034"</f>
        <v>034</v>
      </c>
      <c r="AR4027">
        <v>0</v>
      </c>
      <c r="AS4027">
        <v>0</v>
      </c>
      <c r="AT4027">
        <v>3.5680000000000001</v>
      </c>
      <c r="AX4027" t="str">
        <f>"E000281930"</f>
        <v>E000281930</v>
      </c>
      <c r="BD4027" t="str">
        <f>"ערן שלו"</f>
        <v>ערן שלו</v>
      </c>
    </row>
    <row r="4028" spans="1:56" x14ac:dyDescent="0.3">
      <c r="A4028" s="1">
        <v>43656</v>
      </c>
      <c r="B4028" t="str">
        <f>"SI196000812"</f>
        <v>SI196000812</v>
      </c>
      <c r="C4028" t="str">
        <f>"PR18000548"</f>
        <v>PR18000548</v>
      </c>
      <c r="D4028" t="str">
        <f>"PR18000548"</f>
        <v>PR18000548</v>
      </c>
      <c r="E4028" t="str">
        <f>"Y"</f>
        <v>Y</v>
      </c>
      <c r="F4028" t="str">
        <f>"חשבוניות מרכזות"</f>
        <v>חשבוניות מרכזות</v>
      </c>
      <c r="G4028" t="str">
        <f>"700065"</f>
        <v>700065</v>
      </c>
      <c r="H4028" t="str">
        <f>"אלתא מערכות בע""מ"</f>
        <v>אלתא מערכות בע"מ</v>
      </c>
      <c r="I4028" t="str">
        <f>"10"</f>
        <v>10</v>
      </c>
      <c r="J4028" t="str">
        <f>"OP-AR01093"</f>
        <v>OP-AR01093</v>
      </c>
      <c r="K4028" t="str">
        <f>"1035E003-001"</f>
        <v>1035E003-001</v>
      </c>
      <c r="L4028">
        <v>1</v>
      </c>
      <c r="M4028" t="str">
        <f>"יח"</f>
        <v>יח</v>
      </c>
      <c r="N4028">
        <v>1</v>
      </c>
      <c r="O4028" t="str">
        <f>"יח"</f>
        <v>יח</v>
      </c>
      <c r="P4028" s="2">
        <v>6687.3</v>
      </c>
      <c r="Q4028" t="str">
        <f>"$"</f>
        <v>$</v>
      </c>
      <c r="R4028" t="str">
        <f>"הזמנה"</f>
        <v>הזמנה</v>
      </c>
      <c r="S4028">
        <v>0</v>
      </c>
      <c r="T4028" s="2">
        <v>6687.3</v>
      </c>
      <c r="U4028">
        <v>0</v>
      </c>
      <c r="V4028" s="2">
        <v>6687.3</v>
      </c>
      <c r="W4028" t="str">
        <f>"$"</f>
        <v>$</v>
      </c>
      <c r="X4028">
        <v>0</v>
      </c>
      <c r="Y4028">
        <v>0</v>
      </c>
      <c r="Z4028">
        <v>0</v>
      </c>
      <c r="AA4028" t="str">
        <f>"Y"</f>
        <v>Y</v>
      </c>
      <c r="AB4028" t="str">
        <f>"SO18000440"</f>
        <v>SO18000440</v>
      </c>
      <c r="AC4028">
        <v>3</v>
      </c>
      <c r="AD4028" s="1">
        <v>43313</v>
      </c>
      <c r="AE4028" t="str">
        <f>"SH19001007"</f>
        <v>SH19001007</v>
      </c>
      <c r="AF4028" t="str">
        <f>"משלוחים ללקוח"</f>
        <v>משלוחים ללקוח</v>
      </c>
      <c r="AG4028" s="1">
        <v>43650</v>
      </c>
      <c r="AM4028" t="str">
        <f>"10"</f>
        <v>10</v>
      </c>
      <c r="AN4028" t="str">
        <f>"500000"</f>
        <v>500000</v>
      </c>
      <c r="AO4028" t="str">
        <f>"הכנסות  מלקוחות"</f>
        <v>הכנסות  מלקוחות</v>
      </c>
      <c r="AQ4028" t="str">
        <f>"017"</f>
        <v>017</v>
      </c>
      <c r="AR4028">
        <v>0</v>
      </c>
      <c r="AS4028">
        <v>0</v>
      </c>
      <c r="AT4028">
        <v>3.5680000000000001</v>
      </c>
      <c r="AX4028" t="str">
        <f>"E000265033"</f>
        <v>E000265033</v>
      </c>
      <c r="BD4028" t="str">
        <f>"שחר דאהמן"</f>
        <v>שחר דאהמן</v>
      </c>
    </row>
    <row r="4029" spans="1:56" x14ac:dyDescent="0.3">
      <c r="A4029" s="1">
        <v>43656</v>
      </c>
      <c r="B4029" t="str">
        <f>"SI196000811"</f>
        <v>SI196000811</v>
      </c>
      <c r="C4029" t="str">
        <f>"PR19000109"</f>
        <v>PR19000109</v>
      </c>
      <c r="E4029" t="str">
        <f>"Y"</f>
        <v>Y</v>
      </c>
      <c r="F4029" t="str">
        <f>"חשבוניות מרכזות"</f>
        <v>חשבוניות מרכזות</v>
      </c>
      <c r="G4029" t="str">
        <f>"700065"</f>
        <v>700065</v>
      </c>
      <c r="H4029" t="str">
        <f>"אלתא מערכות בע""מ"</f>
        <v>אלתא מערכות בע"מ</v>
      </c>
      <c r="I4029" t="str">
        <f>"05"</f>
        <v>05</v>
      </c>
      <c r="J4029" t="str">
        <f>"ZV0280057"</f>
        <v>ZV0280057</v>
      </c>
      <c r="K4029" t="str">
        <f>"DRILLING JIG FOR PDB 6/7"</f>
        <v>DRILLING JIG FOR PDB 6/7</v>
      </c>
      <c r="L4029">
        <v>1</v>
      </c>
      <c r="M4029" t="str">
        <f>"יח"</f>
        <v>יח</v>
      </c>
      <c r="N4029">
        <v>1</v>
      </c>
      <c r="O4029" t="str">
        <f>"יח"</f>
        <v>יח</v>
      </c>
      <c r="P4029" s="2">
        <v>2650</v>
      </c>
      <c r="Q4029" t="str">
        <f>"$"</f>
        <v>$</v>
      </c>
      <c r="R4029" t="str">
        <f>"הזמנה"</f>
        <v>הזמנה</v>
      </c>
      <c r="S4029">
        <v>0</v>
      </c>
      <c r="T4029" s="2">
        <v>2650</v>
      </c>
      <c r="U4029">
        <v>0</v>
      </c>
      <c r="V4029" s="2">
        <v>2650</v>
      </c>
      <c r="W4029" t="str">
        <f>"$"</f>
        <v>$</v>
      </c>
      <c r="X4029">
        <v>0</v>
      </c>
      <c r="Y4029">
        <v>0</v>
      </c>
      <c r="Z4029">
        <v>0</v>
      </c>
      <c r="AA4029" t="str">
        <f>"Y"</f>
        <v>Y</v>
      </c>
      <c r="AB4029" t="str">
        <f>"SO19000156"</f>
        <v>SO19000156</v>
      </c>
      <c r="AC4029">
        <v>36</v>
      </c>
      <c r="AD4029" s="1">
        <v>43562</v>
      </c>
      <c r="AE4029" t="str">
        <f>"SH19001008"</f>
        <v>SH19001008</v>
      </c>
      <c r="AF4029" t="str">
        <f>"משלוחים ללקוח"</f>
        <v>משלוחים ללקוח</v>
      </c>
      <c r="AG4029" s="1">
        <v>43650</v>
      </c>
      <c r="AM4029" t="str">
        <f>"10"</f>
        <v>10</v>
      </c>
      <c r="AN4029" t="str">
        <f>"500000"</f>
        <v>500000</v>
      </c>
      <c r="AO4029" t="str">
        <f>"הכנסות  מלקוחות"</f>
        <v>הכנסות  מלקוחות</v>
      </c>
      <c r="AQ4029" t="str">
        <f>"034"</f>
        <v>034</v>
      </c>
      <c r="AR4029">
        <v>0</v>
      </c>
      <c r="AS4029">
        <v>0</v>
      </c>
      <c r="AT4029">
        <v>3.5680000000000001</v>
      </c>
      <c r="AX4029" t="str">
        <f>"E000270896"</f>
        <v>E000270896</v>
      </c>
      <c r="BD4029" t="str">
        <f>"ערן שלו"</f>
        <v>ערן שלו</v>
      </c>
    </row>
    <row r="4030" spans="1:56" x14ac:dyDescent="0.3">
      <c r="A4030" s="1">
        <v>43656</v>
      </c>
      <c r="B4030" t="str">
        <f>"SI196000811"</f>
        <v>SI196000811</v>
      </c>
      <c r="C4030" t="str">
        <f>"PR19000109"</f>
        <v>PR19000109</v>
      </c>
      <c r="E4030" t="str">
        <f>"Y"</f>
        <v>Y</v>
      </c>
      <c r="F4030" t="str">
        <f>"חשבוניות מרכזות"</f>
        <v>חשבוניות מרכזות</v>
      </c>
      <c r="G4030" t="str">
        <f>"700065"</f>
        <v>700065</v>
      </c>
      <c r="H4030" t="str">
        <f>"אלתא מערכות בע""מ"</f>
        <v>אלתא מערכות בע"מ</v>
      </c>
      <c r="I4030" t="str">
        <f>"05"</f>
        <v>05</v>
      </c>
      <c r="J4030" t="str">
        <f>"ZV0280056"</f>
        <v>ZV0280056</v>
      </c>
      <c r="K4030" t="str">
        <f>"DRILLING JIG FOR PDB 9"</f>
        <v>DRILLING JIG FOR PDB 9</v>
      </c>
      <c r="L4030">
        <v>1</v>
      </c>
      <c r="M4030" t="str">
        <f>"יח"</f>
        <v>יח</v>
      </c>
      <c r="N4030">
        <v>1</v>
      </c>
      <c r="O4030" t="str">
        <f>"יח"</f>
        <v>יח</v>
      </c>
      <c r="P4030" s="2">
        <v>2650</v>
      </c>
      <c r="Q4030" t="str">
        <f>"$"</f>
        <v>$</v>
      </c>
      <c r="R4030" t="str">
        <f>"הזמנה"</f>
        <v>הזמנה</v>
      </c>
      <c r="S4030">
        <v>0</v>
      </c>
      <c r="T4030" s="2">
        <v>2650</v>
      </c>
      <c r="U4030">
        <v>0</v>
      </c>
      <c r="V4030" s="2">
        <v>2650</v>
      </c>
      <c r="W4030" t="str">
        <f>"$"</f>
        <v>$</v>
      </c>
      <c r="X4030">
        <v>0</v>
      </c>
      <c r="Y4030">
        <v>0</v>
      </c>
      <c r="Z4030">
        <v>0</v>
      </c>
      <c r="AA4030" t="str">
        <f>"Y"</f>
        <v>Y</v>
      </c>
      <c r="AB4030" t="str">
        <f>"SO19000156"</f>
        <v>SO19000156</v>
      </c>
      <c r="AC4030">
        <v>37</v>
      </c>
      <c r="AD4030" s="1">
        <v>43562</v>
      </c>
      <c r="AE4030" t="str">
        <f>"SH19001008"</f>
        <v>SH19001008</v>
      </c>
      <c r="AF4030" t="str">
        <f>"משלוחים ללקוח"</f>
        <v>משלוחים ללקוח</v>
      </c>
      <c r="AG4030" s="1">
        <v>43650</v>
      </c>
      <c r="AM4030" t="str">
        <f>"10"</f>
        <v>10</v>
      </c>
      <c r="AN4030" t="str">
        <f>"500000"</f>
        <v>500000</v>
      </c>
      <c r="AO4030" t="str">
        <f>"הכנסות  מלקוחות"</f>
        <v>הכנסות  מלקוחות</v>
      </c>
      <c r="AQ4030" t="str">
        <f>"034"</f>
        <v>034</v>
      </c>
      <c r="AR4030">
        <v>0</v>
      </c>
      <c r="AS4030">
        <v>0</v>
      </c>
      <c r="AT4030">
        <v>3.5680000000000001</v>
      </c>
      <c r="AX4030" t="str">
        <f>"E000270896"</f>
        <v>E000270896</v>
      </c>
      <c r="BD4030" t="str">
        <f>"ערן שלו"</f>
        <v>ערן שלו</v>
      </c>
    </row>
    <row r="4031" spans="1:56" x14ac:dyDescent="0.3">
      <c r="A4031" s="1">
        <v>43656</v>
      </c>
      <c r="B4031" t="str">
        <f>"SI196000811"</f>
        <v>SI196000811</v>
      </c>
      <c r="C4031" t="str">
        <f>"PR19000109"</f>
        <v>PR19000109</v>
      </c>
      <c r="E4031" t="str">
        <f>"Y"</f>
        <v>Y</v>
      </c>
      <c r="F4031" t="str">
        <f>"חשבוניות מרכזות"</f>
        <v>חשבוניות מרכזות</v>
      </c>
      <c r="G4031" t="str">
        <f>"700065"</f>
        <v>700065</v>
      </c>
      <c r="H4031" t="str">
        <f>"אלתא מערכות בע""מ"</f>
        <v>אלתא מערכות בע"מ</v>
      </c>
      <c r="I4031" t="str">
        <f>"05"</f>
        <v>05</v>
      </c>
      <c r="J4031" t="str">
        <f>"ZV0280059"</f>
        <v>ZV0280059</v>
      </c>
      <c r="K4031" t="str">
        <f>"DRILLING JIG FOR TRANSFORMER 200KVA"</f>
        <v>DRILLING JIG FOR TRANSFORMER 200KVA</v>
      </c>
      <c r="L4031">
        <v>1</v>
      </c>
      <c r="M4031" t="str">
        <f>"יח"</f>
        <v>יח</v>
      </c>
      <c r="N4031">
        <v>1</v>
      </c>
      <c r="O4031" t="str">
        <f>"יח"</f>
        <v>יח</v>
      </c>
      <c r="P4031" s="2">
        <v>2650</v>
      </c>
      <c r="Q4031" t="str">
        <f>"$"</f>
        <v>$</v>
      </c>
      <c r="R4031" t="str">
        <f>"הזמנה"</f>
        <v>הזמנה</v>
      </c>
      <c r="S4031">
        <v>0</v>
      </c>
      <c r="T4031" s="2">
        <v>2650</v>
      </c>
      <c r="U4031">
        <v>0</v>
      </c>
      <c r="V4031" s="2">
        <v>2650</v>
      </c>
      <c r="W4031" t="str">
        <f>"$"</f>
        <v>$</v>
      </c>
      <c r="X4031">
        <v>0</v>
      </c>
      <c r="Y4031">
        <v>0</v>
      </c>
      <c r="Z4031">
        <v>0</v>
      </c>
      <c r="AA4031" t="str">
        <f>"Y"</f>
        <v>Y</v>
      </c>
      <c r="AB4031" t="str">
        <f>"SO19000156"</f>
        <v>SO19000156</v>
      </c>
      <c r="AC4031">
        <v>38</v>
      </c>
      <c r="AD4031" s="1">
        <v>43562</v>
      </c>
      <c r="AE4031" t="str">
        <f>"SH19001008"</f>
        <v>SH19001008</v>
      </c>
      <c r="AF4031" t="str">
        <f>"משלוחים ללקוח"</f>
        <v>משלוחים ללקוח</v>
      </c>
      <c r="AG4031" s="1">
        <v>43650</v>
      </c>
      <c r="AM4031" t="str">
        <f>"10"</f>
        <v>10</v>
      </c>
      <c r="AN4031" t="str">
        <f>"500000"</f>
        <v>500000</v>
      </c>
      <c r="AO4031" t="str">
        <f>"הכנסות  מלקוחות"</f>
        <v>הכנסות  מלקוחות</v>
      </c>
      <c r="AQ4031" t="str">
        <f>"034"</f>
        <v>034</v>
      </c>
      <c r="AR4031">
        <v>0</v>
      </c>
      <c r="AS4031">
        <v>0</v>
      </c>
      <c r="AT4031">
        <v>3.5680000000000001</v>
      </c>
      <c r="AX4031" t="str">
        <f>"E000270896"</f>
        <v>E000270896</v>
      </c>
      <c r="BD4031" t="str">
        <f>"ערן שלו"</f>
        <v>ערן שלו</v>
      </c>
    </row>
    <row r="4032" spans="1:56" x14ac:dyDescent="0.3">
      <c r="A4032" s="1">
        <v>43656</v>
      </c>
      <c r="B4032" t="str">
        <f>"SI196000811"</f>
        <v>SI196000811</v>
      </c>
      <c r="C4032" t="str">
        <f>"PR19000109"</f>
        <v>PR19000109</v>
      </c>
      <c r="E4032" t="str">
        <f>"Y"</f>
        <v>Y</v>
      </c>
      <c r="F4032" t="str">
        <f>"חשבוניות מרכזות"</f>
        <v>חשבוניות מרכזות</v>
      </c>
      <c r="G4032" t="str">
        <f>"700065"</f>
        <v>700065</v>
      </c>
      <c r="H4032" t="str">
        <f>"אלתא מערכות בע""מ"</f>
        <v>אלתא מערכות בע"מ</v>
      </c>
      <c r="I4032" t="str">
        <f>"05"</f>
        <v>05</v>
      </c>
      <c r="J4032" t="str">
        <f>"ZV0280058"</f>
        <v>ZV0280058</v>
      </c>
      <c r="K4032" t="str">
        <f>"DRILLING JIG FOR TRANSFORMER 70KVA"</f>
        <v>DRILLING JIG FOR TRANSFORMER 70KVA</v>
      </c>
      <c r="L4032">
        <v>1</v>
      </c>
      <c r="M4032" t="str">
        <f>"יח"</f>
        <v>יח</v>
      </c>
      <c r="N4032">
        <v>1</v>
      </c>
      <c r="O4032" t="str">
        <f>"יח"</f>
        <v>יח</v>
      </c>
      <c r="P4032" s="2">
        <v>2650</v>
      </c>
      <c r="Q4032" t="str">
        <f>"$"</f>
        <v>$</v>
      </c>
      <c r="R4032" t="str">
        <f>"הזמנה"</f>
        <v>הזמנה</v>
      </c>
      <c r="S4032">
        <v>0</v>
      </c>
      <c r="T4032" s="2">
        <v>2650</v>
      </c>
      <c r="U4032">
        <v>0</v>
      </c>
      <c r="V4032" s="2">
        <v>2650</v>
      </c>
      <c r="W4032" t="str">
        <f>"$"</f>
        <v>$</v>
      </c>
      <c r="X4032">
        <v>0</v>
      </c>
      <c r="Y4032">
        <v>0</v>
      </c>
      <c r="Z4032">
        <v>0</v>
      </c>
      <c r="AA4032" t="str">
        <f>"Y"</f>
        <v>Y</v>
      </c>
      <c r="AB4032" t="str">
        <f>"SO19000156"</f>
        <v>SO19000156</v>
      </c>
      <c r="AC4032">
        <v>39</v>
      </c>
      <c r="AD4032" s="1">
        <v>43562</v>
      </c>
      <c r="AE4032" t="str">
        <f>"SH19001008"</f>
        <v>SH19001008</v>
      </c>
      <c r="AF4032" t="str">
        <f>"משלוחים ללקוח"</f>
        <v>משלוחים ללקוח</v>
      </c>
      <c r="AG4032" s="1">
        <v>43650</v>
      </c>
      <c r="AM4032" t="str">
        <f>"10"</f>
        <v>10</v>
      </c>
      <c r="AN4032" t="str">
        <f>"500000"</f>
        <v>500000</v>
      </c>
      <c r="AO4032" t="str">
        <f>"הכנסות  מלקוחות"</f>
        <v>הכנסות  מלקוחות</v>
      </c>
      <c r="AQ4032" t="str">
        <f>"034"</f>
        <v>034</v>
      </c>
      <c r="AR4032">
        <v>0</v>
      </c>
      <c r="AS4032">
        <v>0</v>
      </c>
      <c r="AT4032">
        <v>3.5680000000000001</v>
      </c>
      <c r="AX4032" t="str">
        <f>"E000270896"</f>
        <v>E000270896</v>
      </c>
      <c r="BD4032" t="str">
        <f>"ערן שלו"</f>
        <v>ערן שלו</v>
      </c>
    </row>
    <row r="4033" spans="1:56" x14ac:dyDescent="0.3">
      <c r="A4033" s="1">
        <v>43656</v>
      </c>
      <c r="B4033" t="str">
        <f>"SI196000809"</f>
        <v>SI196000809</v>
      </c>
      <c r="C4033" t="str">
        <f>"PR19000272"</f>
        <v>PR19000272</v>
      </c>
      <c r="E4033" t="str">
        <f>"Y"</f>
        <v>Y</v>
      </c>
      <c r="F4033" t="str">
        <f>"חשבוניות מרכזות"</f>
        <v>חשבוניות מרכזות</v>
      </c>
      <c r="G4033" t="str">
        <f>"700065"</f>
        <v>700065</v>
      </c>
      <c r="H4033" t="str">
        <f>"אלתא מערכות בע""מ"</f>
        <v>אלתא מערכות בע"מ</v>
      </c>
      <c r="I4033" t="str">
        <f>"05"</f>
        <v>05</v>
      </c>
      <c r="J4033" t="str">
        <f>"OP-PD02943"</f>
        <v>OP-PD02943</v>
      </c>
      <c r="K4033" t="str">
        <f>"UPS 6KVA PANEL CB"</f>
        <v>UPS 6KVA PANEL CB</v>
      </c>
      <c r="L4033">
        <v>1</v>
      </c>
      <c r="M4033" t="str">
        <f>"יח"</f>
        <v>יח</v>
      </c>
      <c r="N4033">
        <v>1</v>
      </c>
      <c r="O4033" t="str">
        <f>"יח"</f>
        <v>יח</v>
      </c>
      <c r="P4033" s="2">
        <v>1420</v>
      </c>
      <c r="Q4033" t="str">
        <f>"$"</f>
        <v>$</v>
      </c>
      <c r="R4033" t="str">
        <f>"הזמנה"</f>
        <v>הזמנה</v>
      </c>
      <c r="S4033">
        <v>0</v>
      </c>
      <c r="T4033" s="2">
        <v>1420</v>
      </c>
      <c r="U4033">
        <v>0</v>
      </c>
      <c r="V4033" s="2">
        <v>1420</v>
      </c>
      <c r="W4033" t="str">
        <f>"$"</f>
        <v>$</v>
      </c>
      <c r="X4033">
        <v>0</v>
      </c>
      <c r="Y4033">
        <v>0</v>
      </c>
      <c r="Z4033">
        <v>0</v>
      </c>
      <c r="AA4033" t="str">
        <f>"Y"</f>
        <v>Y</v>
      </c>
      <c r="AB4033" t="str">
        <f>"SO19000221"</f>
        <v>SO19000221</v>
      </c>
      <c r="AC4033">
        <v>1</v>
      </c>
      <c r="AD4033" s="1">
        <v>43606</v>
      </c>
      <c r="AE4033" t="str">
        <f>"SH19000850"</f>
        <v>SH19000850</v>
      </c>
      <c r="AF4033" t="str">
        <f>"משלוחים ללקוח"</f>
        <v>משלוחים ללקוח</v>
      </c>
      <c r="AG4033" s="1">
        <v>43626</v>
      </c>
      <c r="AM4033" t="str">
        <f>"27"</f>
        <v>27</v>
      </c>
      <c r="AN4033" t="str">
        <f>"500000"</f>
        <v>500000</v>
      </c>
      <c r="AO4033" t="str">
        <f>"הכנסות  מלקוחות"</f>
        <v>הכנסות  מלקוחות</v>
      </c>
      <c r="AQ4033" t="str">
        <f>"034"</f>
        <v>034</v>
      </c>
      <c r="AR4033">
        <v>0</v>
      </c>
      <c r="AS4033">
        <v>0</v>
      </c>
      <c r="AT4033">
        <v>3.5680000000000001</v>
      </c>
      <c r="AX4033" t="str">
        <f>"E000290635"</f>
        <v>E000290635</v>
      </c>
      <c r="BD4033" t="str">
        <f>"ערן שלו"</f>
        <v>ערן שלו</v>
      </c>
    </row>
    <row r="4034" spans="1:56" x14ac:dyDescent="0.3">
      <c r="A4034" s="1">
        <v>43656</v>
      </c>
      <c r="B4034" t="str">
        <f>"SI196000809"</f>
        <v>SI196000809</v>
      </c>
      <c r="C4034" t="str">
        <f>"PR19000272"</f>
        <v>PR19000272</v>
      </c>
      <c r="E4034" t="str">
        <f>"Y"</f>
        <v>Y</v>
      </c>
      <c r="F4034" t="str">
        <f>"חשבוניות מרכזות"</f>
        <v>חשבוניות מרכזות</v>
      </c>
      <c r="G4034" t="str">
        <f>"700065"</f>
        <v>700065</v>
      </c>
      <c r="H4034" t="str">
        <f>"אלתא מערכות בע""מ"</f>
        <v>אלתא מערכות בע"מ</v>
      </c>
      <c r="I4034" t="str">
        <f>"05"</f>
        <v>05</v>
      </c>
      <c r="J4034" t="str">
        <f>"OP-PD02943"</f>
        <v>OP-PD02943</v>
      </c>
      <c r="K4034" t="str">
        <f>"UPS 6KVA PANEL CB"</f>
        <v>UPS 6KVA PANEL CB</v>
      </c>
      <c r="L4034">
        <v>2</v>
      </c>
      <c r="M4034" t="str">
        <f>"יח"</f>
        <v>יח</v>
      </c>
      <c r="N4034">
        <v>2</v>
      </c>
      <c r="O4034" t="str">
        <f>"יח"</f>
        <v>יח</v>
      </c>
      <c r="P4034" s="2">
        <v>1420</v>
      </c>
      <c r="Q4034" t="str">
        <f>"$"</f>
        <v>$</v>
      </c>
      <c r="R4034" t="str">
        <f>"הזמנה"</f>
        <v>הזמנה</v>
      </c>
      <c r="S4034">
        <v>0</v>
      </c>
      <c r="T4034" s="2">
        <v>2840</v>
      </c>
      <c r="U4034">
        <v>0</v>
      </c>
      <c r="V4034" s="2">
        <v>2840</v>
      </c>
      <c r="W4034" t="str">
        <f>"$"</f>
        <v>$</v>
      </c>
      <c r="X4034">
        <v>0</v>
      </c>
      <c r="Y4034">
        <v>0</v>
      </c>
      <c r="Z4034">
        <v>0</v>
      </c>
      <c r="AA4034" t="str">
        <f>"Y"</f>
        <v>Y</v>
      </c>
      <c r="AB4034" t="str">
        <f>"SO19000221"</f>
        <v>SO19000221</v>
      </c>
      <c r="AC4034">
        <v>1</v>
      </c>
      <c r="AD4034" s="1">
        <v>43606</v>
      </c>
      <c r="AE4034" t="str">
        <f>"SH19000987"</f>
        <v>SH19000987</v>
      </c>
      <c r="AF4034" t="str">
        <f>"משלוחים ללקוח"</f>
        <v>משלוחים ללקוח</v>
      </c>
      <c r="AG4034" s="1">
        <v>43648</v>
      </c>
      <c r="AM4034" t="str">
        <f>"27"</f>
        <v>27</v>
      </c>
      <c r="AN4034" t="str">
        <f>"500000"</f>
        <v>500000</v>
      </c>
      <c r="AO4034" t="str">
        <f>"הכנסות  מלקוחות"</f>
        <v>הכנסות  מלקוחות</v>
      </c>
      <c r="AQ4034" t="str">
        <f>"034"</f>
        <v>034</v>
      </c>
      <c r="AR4034">
        <v>0</v>
      </c>
      <c r="AS4034">
        <v>0</v>
      </c>
      <c r="AT4034">
        <v>3.5680000000000001</v>
      </c>
      <c r="AX4034" t="str">
        <f>"E000290635"</f>
        <v>E000290635</v>
      </c>
      <c r="BD4034" t="str">
        <f>"ערן שלו"</f>
        <v>ערן שלו</v>
      </c>
    </row>
    <row r="4035" spans="1:56" x14ac:dyDescent="0.3">
      <c r="A4035" s="1">
        <v>43647</v>
      </c>
      <c r="B4035" t="str">
        <f>"SI196000788"</f>
        <v>SI196000788</v>
      </c>
      <c r="C4035" t="str">
        <f>"PR18000543"</f>
        <v>PR18000543</v>
      </c>
      <c r="D4035" t="str">
        <f>"PR18000543"</f>
        <v>PR18000543</v>
      </c>
      <c r="E4035" t="str">
        <f>"Y"</f>
        <v>Y</v>
      </c>
      <c r="F4035" t="str">
        <f>"חשבוניות מרכזות"</f>
        <v>חשבוניות מרכזות</v>
      </c>
      <c r="G4035" t="str">
        <f>"700065"</f>
        <v>700065</v>
      </c>
      <c r="H4035" t="str">
        <f>"אלתא מערכות בע""מ"</f>
        <v>אלתא מערכות בע"מ</v>
      </c>
      <c r="I4035" t="str">
        <f>"10"</f>
        <v>10</v>
      </c>
      <c r="J4035" t="str">
        <f>"000"</f>
        <v>000</v>
      </c>
      <c r="K4035" t="str">
        <f>"ניסוי טמפרטורה HVJV"</f>
        <v>ניסוי טמפרטורה HVJV</v>
      </c>
      <c r="L4035">
        <v>1</v>
      </c>
      <c r="M4035" t="str">
        <f>"יח"</f>
        <v>יח</v>
      </c>
      <c r="N4035">
        <v>1</v>
      </c>
      <c r="O4035" t="str">
        <f>"יח"</f>
        <v>יח</v>
      </c>
      <c r="P4035" s="2">
        <v>4700</v>
      </c>
      <c r="Q4035" t="str">
        <f>"$"</f>
        <v>$</v>
      </c>
      <c r="R4035" t="str">
        <f>"הזמנה"</f>
        <v>הזמנה</v>
      </c>
      <c r="S4035">
        <v>0</v>
      </c>
      <c r="T4035" s="2">
        <v>4700</v>
      </c>
      <c r="U4035">
        <v>0</v>
      </c>
      <c r="V4035" s="2">
        <v>4700</v>
      </c>
      <c r="W4035" t="str">
        <f>"$"</f>
        <v>$</v>
      </c>
      <c r="X4035">
        <v>0</v>
      </c>
      <c r="Y4035">
        <v>0</v>
      </c>
      <c r="Z4035">
        <v>0</v>
      </c>
      <c r="AA4035" t="str">
        <f>"Y"</f>
        <v>Y</v>
      </c>
      <c r="AB4035" t="str">
        <f>"SO19000195"</f>
        <v>SO19000195</v>
      </c>
      <c r="AC4035">
        <v>1</v>
      </c>
      <c r="AD4035" s="1">
        <v>43591</v>
      </c>
      <c r="AE4035" t="str">
        <f>"SH19000981"</f>
        <v>SH19000981</v>
      </c>
      <c r="AF4035" t="str">
        <f>"משלוחים ללקוח"</f>
        <v>משלוחים ללקוח</v>
      </c>
      <c r="AG4035" s="1">
        <v>43647</v>
      </c>
      <c r="AM4035" t="str">
        <f>"10"</f>
        <v>10</v>
      </c>
      <c r="AN4035" t="str">
        <f>"500000"</f>
        <v>500000</v>
      </c>
      <c r="AO4035" t="str">
        <f>"הכנסות  מלקוחות"</f>
        <v>הכנסות  מלקוחות</v>
      </c>
      <c r="AQ4035" t="str">
        <f>"034"</f>
        <v>034</v>
      </c>
      <c r="AR4035">
        <v>0</v>
      </c>
      <c r="AS4035">
        <v>0</v>
      </c>
      <c r="AT4035">
        <v>3.5739999999999998</v>
      </c>
      <c r="AX4035" t="str">
        <f>"E000285209"</f>
        <v>E000285209</v>
      </c>
      <c r="BD4035" t="str">
        <f>"ערן שלו"</f>
        <v>ערן שלו</v>
      </c>
    </row>
    <row r="4036" spans="1:56" x14ac:dyDescent="0.3">
      <c r="A4036" s="1">
        <v>43647</v>
      </c>
      <c r="B4036" t="str">
        <f>"SI196000788"</f>
        <v>SI196000788</v>
      </c>
      <c r="C4036" t="str">
        <f>"PR18000543"</f>
        <v>PR18000543</v>
      </c>
      <c r="D4036" t="str">
        <f>"PR18000543"</f>
        <v>PR18000543</v>
      </c>
      <c r="E4036" t="str">
        <f>"Y"</f>
        <v>Y</v>
      </c>
      <c r="F4036" t="str">
        <f>"חשבוניות מרכזות"</f>
        <v>חשבוניות מרכזות</v>
      </c>
      <c r="G4036" t="str">
        <f>"700065"</f>
        <v>700065</v>
      </c>
      <c r="H4036" t="str">
        <f>"אלתא מערכות בע""מ"</f>
        <v>אלתא מערכות בע"מ</v>
      </c>
      <c r="I4036" t="str">
        <f>"10"</f>
        <v>10</v>
      </c>
      <c r="J4036" t="str">
        <f>"000"</f>
        <v>000</v>
      </c>
      <c r="K4036" t="str">
        <f>"ניסוי אטימות HVJV"</f>
        <v>ניסוי אטימות HVJV</v>
      </c>
      <c r="L4036">
        <v>1</v>
      </c>
      <c r="M4036" t="str">
        <f>"יח"</f>
        <v>יח</v>
      </c>
      <c r="N4036">
        <v>1</v>
      </c>
      <c r="O4036" t="str">
        <f>"יח"</f>
        <v>יח</v>
      </c>
      <c r="P4036" s="2">
        <v>3000</v>
      </c>
      <c r="Q4036" t="str">
        <f>"$"</f>
        <v>$</v>
      </c>
      <c r="R4036" t="str">
        <f>"הזמנה"</f>
        <v>הזמנה</v>
      </c>
      <c r="S4036">
        <v>0</v>
      </c>
      <c r="T4036" s="2">
        <v>3000</v>
      </c>
      <c r="U4036">
        <v>0</v>
      </c>
      <c r="V4036" s="2">
        <v>3000</v>
      </c>
      <c r="W4036" t="str">
        <f>"$"</f>
        <v>$</v>
      </c>
      <c r="X4036">
        <v>0</v>
      </c>
      <c r="Y4036">
        <v>0</v>
      </c>
      <c r="Z4036">
        <v>0</v>
      </c>
      <c r="AA4036" t="str">
        <f>"Y"</f>
        <v>Y</v>
      </c>
      <c r="AB4036" t="str">
        <f>"SO19000195"</f>
        <v>SO19000195</v>
      </c>
      <c r="AC4036">
        <v>2</v>
      </c>
      <c r="AD4036" s="1">
        <v>43591</v>
      </c>
      <c r="AE4036" t="str">
        <f>"SH19000981"</f>
        <v>SH19000981</v>
      </c>
      <c r="AF4036" t="str">
        <f>"משלוחים ללקוח"</f>
        <v>משלוחים ללקוח</v>
      </c>
      <c r="AG4036" s="1">
        <v>43647</v>
      </c>
      <c r="AM4036" t="str">
        <f>"10"</f>
        <v>10</v>
      </c>
      <c r="AN4036" t="str">
        <f>"500000"</f>
        <v>500000</v>
      </c>
      <c r="AO4036" t="str">
        <f>"הכנסות  מלקוחות"</f>
        <v>הכנסות  מלקוחות</v>
      </c>
      <c r="AQ4036" t="str">
        <f>"034"</f>
        <v>034</v>
      </c>
      <c r="AR4036">
        <v>0</v>
      </c>
      <c r="AS4036">
        <v>0</v>
      </c>
      <c r="AT4036">
        <v>3.5739999999999998</v>
      </c>
      <c r="AX4036" t="str">
        <f>"E000285209"</f>
        <v>E000285209</v>
      </c>
      <c r="BD4036" t="str">
        <f>"ערן שלו"</f>
        <v>ערן שלו</v>
      </c>
    </row>
    <row r="4037" spans="1:56" x14ac:dyDescent="0.3">
      <c r="A4037" s="1">
        <v>43647</v>
      </c>
      <c r="B4037" t="str">
        <f>"SI196000788"</f>
        <v>SI196000788</v>
      </c>
      <c r="C4037" t="str">
        <f>"PR18000543"</f>
        <v>PR18000543</v>
      </c>
      <c r="D4037" t="str">
        <f>"PR18000543"</f>
        <v>PR18000543</v>
      </c>
      <c r="E4037" t="str">
        <f>"Y"</f>
        <v>Y</v>
      </c>
      <c r="F4037" t="str">
        <f>"חשבוניות מרכזות"</f>
        <v>חשבוניות מרכזות</v>
      </c>
      <c r="G4037" t="str">
        <f>"700065"</f>
        <v>700065</v>
      </c>
      <c r="H4037" t="str">
        <f>"אלתא מערכות בע""מ"</f>
        <v>אלתא מערכות בע"מ</v>
      </c>
      <c r="I4037" t="str">
        <f>"10"</f>
        <v>10</v>
      </c>
      <c r="J4037" t="str">
        <f>"000"</f>
        <v>000</v>
      </c>
      <c r="K4037" t="str">
        <f>"ניסוי לחות HVJV"</f>
        <v>ניסוי לחות HVJV</v>
      </c>
      <c r="L4037">
        <v>1</v>
      </c>
      <c r="M4037" t="str">
        <f>"יח"</f>
        <v>יח</v>
      </c>
      <c r="N4037">
        <v>1</v>
      </c>
      <c r="O4037" t="str">
        <f>"יח"</f>
        <v>יח</v>
      </c>
      <c r="P4037" s="2">
        <v>6600</v>
      </c>
      <c r="Q4037" t="str">
        <f>"$"</f>
        <v>$</v>
      </c>
      <c r="R4037" t="str">
        <f>"הזמנה"</f>
        <v>הזמנה</v>
      </c>
      <c r="S4037">
        <v>0</v>
      </c>
      <c r="T4037" s="2">
        <v>6600</v>
      </c>
      <c r="U4037">
        <v>0</v>
      </c>
      <c r="V4037" s="2">
        <v>6600</v>
      </c>
      <c r="W4037" t="str">
        <f>"$"</f>
        <v>$</v>
      </c>
      <c r="X4037">
        <v>0</v>
      </c>
      <c r="Y4037">
        <v>0</v>
      </c>
      <c r="Z4037">
        <v>0</v>
      </c>
      <c r="AA4037" t="str">
        <f>"Y"</f>
        <v>Y</v>
      </c>
      <c r="AB4037" t="str">
        <f>"SO19000195"</f>
        <v>SO19000195</v>
      </c>
      <c r="AC4037">
        <v>3</v>
      </c>
      <c r="AD4037" s="1">
        <v>43591</v>
      </c>
      <c r="AE4037" t="str">
        <f>"SH19000981"</f>
        <v>SH19000981</v>
      </c>
      <c r="AF4037" t="str">
        <f>"משלוחים ללקוח"</f>
        <v>משלוחים ללקוח</v>
      </c>
      <c r="AG4037" s="1">
        <v>43647</v>
      </c>
      <c r="AM4037" t="str">
        <f>"10"</f>
        <v>10</v>
      </c>
      <c r="AN4037" t="str">
        <f>"500000"</f>
        <v>500000</v>
      </c>
      <c r="AO4037" t="str">
        <f>"הכנסות  מלקוחות"</f>
        <v>הכנסות  מלקוחות</v>
      </c>
      <c r="AQ4037" t="str">
        <f>"034"</f>
        <v>034</v>
      </c>
      <c r="AR4037">
        <v>0</v>
      </c>
      <c r="AS4037">
        <v>0</v>
      </c>
      <c r="AT4037">
        <v>3.5739999999999998</v>
      </c>
      <c r="AX4037" t="str">
        <f>"E000285209"</f>
        <v>E000285209</v>
      </c>
      <c r="BD4037" t="str">
        <f>"ערן שלו"</f>
        <v>ערן שלו</v>
      </c>
    </row>
    <row r="4038" spans="1:56" x14ac:dyDescent="0.3">
      <c r="A4038" s="1">
        <v>43647</v>
      </c>
      <c r="B4038" t="str">
        <f>"SI196000788"</f>
        <v>SI196000788</v>
      </c>
      <c r="C4038" t="str">
        <f>"PR18000543"</f>
        <v>PR18000543</v>
      </c>
      <c r="D4038" t="str">
        <f>"PR18000543"</f>
        <v>PR18000543</v>
      </c>
      <c r="E4038" t="str">
        <f>"Y"</f>
        <v>Y</v>
      </c>
      <c r="F4038" t="str">
        <f>"חשבוניות מרכזות"</f>
        <v>חשבוניות מרכזות</v>
      </c>
      <c r="G4038" t="str">
        <f>"700065"</f>
        <v>700065</v>
      </c>
      <c r="H4038" t="str">
        <f>"אלתא מערכות בע""מ"</f>
        <v>אלתא מערכות בע"מ</v>
      </c>
      <c r="I4038" t="str">
        <f>"10"</f>
        <v>10</v>
      </c>
      <c r="J4038" t="str">
        <f>"000"</f>
        <v>000</v>
      </c>
      <c r="K4038" t="str">
        <f>"תיכנון ואיצור ג'יג"</f>
        <v>תיכנון ואיצור ג'יג</v>
      </c>
      <c r="L4038">
        <v>1</v>
      </c>
      <c r="M4038" t="str">
        <f>"יח"</f>
        <v>יח</v>
      </c>
      <c r="N4038">
        <v>1</v>
      </c>
      <c r="O4038" t="str">
        <f>"יח"</f>
        <v>יח</v>
      </c>
      <c r="P4038" s="2">
        <v>5000</v>
      </c>
      <c r="Q4038" t="str">
        <f>"$"</f>
        <v>$</v>
      </c>
      <c r="R4038" t="str">
        <f>"הזמנה"</f>
        <v>הזמנה</v>
      </c>
      <c r="S4038">
        <v>0</v>
      </c>
      <c r="T4038" s="2">
        <v>5000</v>
      </c>
      <c r="U4038">
        <v>0</v>
      </c>
      <c r="V4038" s="2">
        <v>5000</v>
      </c>
      <c r="W4038" t="str">
        <f>"$"</f>
        <v>$</v>
      </c>
      <c r="X4038">
        <v>0</v>
      </c>
      <c r="Y4038">
        <v>0</v>
      </c>
      <c r="Z4038">
        <v>0</v>
      </c>
      <c r="AA4038" t="str">
        <f>"Y"</f>
        <v>Y</v>
      </c>
      <c r="AB4038" t="str">
        <f>"SO19000195"</f>
        <v>SO19000195</v>
      </c>
      <c r="AC4038">
        <v>9</v>
      </c>
      <c r="AD4038" s="1">
        <v>43591</v>
      </c>
      <c r="AE4038" t="str">
        <f>"SH19000981"</f>
        <v>SH19000981</v>
      </c>
      <c r="AF4038" t="str">
        <f>"משלוחים ללקוח"</f>
        <v>משלוחים ללקוח</v>
      </c>
      <c r="AG4038" s="1">
        <v>43647</v>
      </c>
      <c r="AM4038" t="str">
        <f>"10"</f>
        <v>10</v>
      </c>
      <c r="AN4038" t="str">
        <f>"500000"</f>
        <v>500000</v>
      </c>
      <c r="AO4038" t="str">
        <f>"הכנסות  מלקוחות"</f>
        <v>הכנסות  מלקוחות</v>
      </c>
      <c r="AQ4038" t="str">
        <f>"034"</f>
        <v>034</v>
      </c>
      <c r="AR4038">
        <v>0</v>
      </c>
      <c r="AS4038">
        <v>0</v>
      </c>
      <c r="AT4038">
        <v>3.5739999999999998</v>
      </c>
      <c r="AX4038" t="str">
        <f>"E000285209"</f>
        <v>E000285209</v>
      </c>
      <c r="BD4038" t="str">
        <f>"ערן שלו"</f>
        <v>ערן שלו</v>
      </c>
    </row>
    <row r="4039" spans="1:56" x14ac:dyDescent="0.3">
      <c r="A4039" s="1">
        <v>43646</v>
      </c>
      <c r="B4039" t="str">
        <f>"SI196000847"</f>
        <v>SI196000847</v>
      </c>
      <c r="C4039" t="str">
        <f>"PR18000904"</f>
        <v>PR18000904</v>
      </c>
      <c r="E4039" t="str">
        <f>"Y"</f>
        <v>Y</v>
      </c>
      <c r="F4039" t="str">
        <f>"חשבוניות מרכזות"</f>
        <v>חשבוניות מרכזות</v>
      </c>
      <c r="G4039" t="str">
        <f>"700065"</f>
        <v>700065</v>
      </c>
      <c r="H4039" t="str">
        <f>"אלתא מערכות בע""מ"</f>
        <v>אלתא מערכות בע"מ</v>
      </c>
      <c r="I4039" t="str">
        <f>"10"</f>
        <v>10</v>
      </c>
      <c r="J4039" t="str">
        <f>"OP-AR00454"</f>
        <v>OP-AR00454</v>
      </c>
      <c r="K4039" t="str">
        <f>"PDU 380V/50HZ/3 PH AC POWER BOX"</f>
        <v>PDU 380V/50HZ/3 PH AC POWER BOX</v>
      </c>
      <c r="L4039">
        <v>-1</v>
      </c>
      <c r="M4039" t="str">
        <f>"יח"</f>
        <v>יח</v>
      </c>
      <c r="N4039">
        <v>-1</v>
      </c>
      <c r="O4039" t="str">
        <f>"יח"</f>
        <v>יח</v>
      </c>
      <c r="P4039" s="2">
        <v>1380</v>
      </c>
      <c r="Q4039" t="str">
        <f>"$"</f>
        <v>$</v>
      </c>
      <c r="R4039" t="str">
        <f>"הזמנה"</f>
        <v>הזמנה</v>
      </c>
      <c r="S4039">
        <v>0</v>
      </c>
      <c r="T4039" s="2">
        <v>-1380</v>
      </c>
      <c r="U4039">
        <v>0</v>
      </c>
      <c r="V4039" s="2">
        <v>-1380</v>
      </c>
      <c r="W4039" t="str">
        <f>"$"</f>
        <v>$</v>
      </c>
      <c r="X4039">
        <v>0</v>
      </c>
      <c r="Y4039">
        <v>0</v>
      </c>
      <c r="Z4039">
        <v>0</v>
      </c>
      <c r="AA4039" t="str">
        <f>"Y"</f>
        <v>Y</v>
      </c>
      <c r="AC4039">
        <v>0</v>
      </c>
      <c r="AM4039" t="str">
        <f>"10"</f>
        <v>10</v>
      </c>
      <c r="AN4039" t="str">
        <f>"500000"</f>
        <v>500000</v>
      </c>
      <c r="AO4039" t="str">
        <f>"הכנסות  מלקוחות"</f>
        <v>הכנסות  מלקוחות</v>
      </c>
      <c r="AQ4039" t="str">
        <f>"007"</f>
        <v>007</v>
      </c>
      <c r="AR4039">
        <v>0</v>
      </c>
      <c r="AS4039">
        <v>0</v>
      </c>
      <c r="AT4039">
        <v>3.605</v>
      </c>
      <c r="BB4039" t="str">
        <f>"Y"</f>
        <v>Y</v>
      </c>
      <c r="BD4039" t="str">
        <f>"רוני דידי"</f>
        <v>רוני דידי</v>
      </c>
    </row>
    <row r="4040" spans="1:56" x14ac:dyDescent="0.3">
      <c r="A4040" s="1">
        <v>43646</v>
      </c>
      <c r="B4040" t="str">
        <f>"SI196000847"</f>
        <v>SI196000847</v>
      </c>
      <c r="C4040" t="str">
        <f>"PR18000904"</f>
        <v>PR18000904</v>
      </c>
      <c r="E4040" t="str">
        <f>"Y"</f>
        <v>Y</v>
      </c>
      <c r="F4040" t="str">
        <f>"חשבוניות מרכזות"</f>
        <v>חשבוניות מרכזות</v>
      </c>
      <c r="G4040" t="str">
        <f>"700065"</f>
        <v>700065</v>
      </c>
      <c r="H4040" t="str">
        <f>"אלתא מערכות בע""מ"</f>
        <v>אלתא מערכות בע"מ</v>
      </c>
      <c r="I4040" t="str">
        <f>"10"</f>
        <v>10</v>
      </c>
      <c r="J4040" t="str">
        <f>"OP-AR00454"</f>
        <v>OP-AR00454</v>
      </c>
      <c r="K4040" t="str">
        <f>"PDU 380V/50HZ/3 PH AC POWER BOX"</f>
        <v>PDU 380V/50HZ/3 PH AC POWER BOX</v>
      </c>
      <c r="L4040">
        <v>-1</v>
      </c>
      <c r="M4040" t="str">
        <f>"יח"</f>
        <v>יח</v>
      </c>
      <c r="N4040">
        <v>-1</v>
      </c>
      <c r="O4040" t="str">
        <f>"יח"</f>
        <v>יח</v>
      </c>
      <c r="P4040" s="2">
        <v>1380</v>
      </c>
      <c r="Q4040" t="str">
        <f>"$"</f>
        <v>$</v>
      </c>
      <c r="R4040" t="str">
        <f>"הזמנה"</f>
        <v>הזמנה</v>
      </c>
      <c r="S4040">
        <v>0</v>
      </c>
      <c r="T4040" s="2">
        <v>-1380</v>
      </c>
      <c r="U4040">
        <v>0</v>
      </c>
      <c r="V4040" s="2">
        <v>-1380</v>
      </c>
      <c r="W4040" t="str">
        <f>"$"</f>
        <v>$</v>
      </c>
      <c r="X4040">
        <v>0</v>
      </c>
      <c r="Y4040">
        <v>0</v>
      </c>
      <c r="Z4040">
        <v>0</v>
      </c>
      <c r="AA4040" t="str">
        <f>"Y"</f>
        <v>Y</v>
      </c>
      <c r="AC4040">
        <v>0</v>
      </c>
      <c r="AM4040" t="str">
        <f>"10"</f>
        <v>10</v>
      </c>
      <c r="AN4040" t="str">
        <f>"500000"</f>
        <v>500000</v>
      </c>
      <c r="AO4040" t="str">
        <f>"הכנסות  מלקוחות"</f>
        <v>הכנסות  מלקוחות</v>
      </c>
      <c r="AQ4040" t="str">
        <f>"007"</f>
        <v>007</v>
      </c>
      <c r="AR4040">
        <v>0</v>
      </c>
      <c r="AS4040">
        <v>0</v>
      </c>
      <c r="AT4040">
        <v>3.605</v>
      </c>
      <c r="BB4040" t="str">
        <f>"Y"</f>
        <v>Y</v>
      </c>
      <c r="BD4040" t="str">
        <f>"רוני דידי"</f>
        <v>רוני דידי</v>
      </c>
    </row>
    <row r="4041" spans="1:56" x14ac:dyDescent="0.3">
      <c r="A4041" s="1">
        <v>43646</v>
      </c>
      <c r="B4041" t="str">
        <f>"SI196000846"</f>
        <v>SI196000846</v>
      </c>
      <c r="C4041" t="str">
        <f>"PR18000547"</f>
        <v>PR18000547</v>
      </c>
      <c r="E4041" t="str">
        <f>"Y"</f>
        <v>Y</v>
      </c>
      <c r="F4041" t="str">
        <f>"חשבוניות מרכזות"</f>
        <v>חשבוניות מרכזות</v>
      </c>
      <c r="G4041" t="str">
        <f>"700065"</f>
        <v>700065</v>
      </c>
      <c r="H4041" t="str">
        <f>"אלתא מערכות בע""מ"</f>
        <v>אלתא מערכות בע"מ</v>
      </c>
      <c r="I4041" t="str">
        <f>"10"</f>
        <v>10</v>
      </c>
      <c r="J4041" t="str">
        <f>"OP-AR01088"</f>
        <v>OP-AR01088</v>
      </c>
      <c r="K4041" t="str">
        <f>"1038H185-001 SRASR POWER DISTRIUTION UNIT"</f>
        <v>1038H185-001 SRASR POWER DISTRIUTION UNIT</v>
      </c>
      <c r="L4041">
        <v>-1</v>
      </c>
      <c r="M4041" t="str">
        <f>"יח"</f>
        <v>יח</v>
      </c>
      <c r="N4041">
        <v>-1</v>
      </c>
      <c r="O4041" t="str">
        <f>"יח"</f>
        <v>יח</v>
      </c>
      <c r="P4041" s="2">
        <v>13598</v>
      </c>
      <c r="Q4041" t="str">
        <f>"$"</f>
        <v>$</v>
      </c>
      <c r="R4041" t="str">
        <f>"הזמנה"</f>
        <v>הזמנה</v>
      </c>
      <c r="S4041">
        <v>0</v>
      </c>
      <c r="T4041" s="2">
        <v>-13598</v>
      </c>
      <c r="U4041">
        <v>0</v>
      </c>
      <c r="V4041" s="2">
        <v>-13598</v>
      </c>
      <c r="W4041" t="str">
        <f>"$"</f>
        <v>$</v>
      </c>
      <c r="X4041">
        <v>0</v>
      </c>
      <c r="Y4041">
        <v>0</v>
      </c>
      <c r="Z4041">
        <v>0</v>
      </c>
      <c r="AA4041" t="str">
        <f>"Y"</f>
        <v>Y</v>
      </c>
      <c r="AC4041">
        <v>0</v>
      </c>
      <c r="AM4041" t="str">
        <f>"10"</f>
        <v>10</v>
      </c>
      <c r="AN4041" t="str">
        <f>"500000"</f>
        <v>500000</v>
      </c>
      <c r="AO4041" t="str">
        <f>"הכנסות  מלקוחות"</f>
        <v>הכנסות  מלקוחות</v>
      </c>
      <c r="AQ4041" t="str">
        <f>"007"</f>
        <v>007</v>
      </c>
      <c r="AR4041">
        <v>0</v>
      </c>
      <c r="AS4041">
        <v>0</v>
      </c>
      <c r="AT4041">
        <v>3.67</v>
      </c>
      <c r="BB4041" t="str">
        <f>"Y"</f>
        <v>Y</v>
      </c>
      <c r="BD4041" t="str">
        <f>"רוני דידי"</f>
        <v>רוני דידי</v>
      </c>
    </row>
    <row r="4042" spans="1:56" x14ac:dyDescent="0.3">
      <c r="A4042" s="1">
        <v>43646</v>
      </c>
      <c r="B4042" t="str">
        <f>"SI196000767"</f>
        <v>SI196000767</v>
      </c>
      <c r="C4042" t="str">
        <f>"PR18000543"</f>
        <v>PR18000543</v>
      </c>
      <c r="D4042" t="str">
        <f>"PR18000543"</f>
        <v>PR18000543</v>
      </c>
      <c r="E4042" t="str">
        <f>"Y"</f>
        <v>Y</v>
      </c>
      <c r="F4042" t="str">
        <f>"חשבוניות מרכזות"</f>
        <v>חשבוניות מרכזות</v>
      </c>
      <c r="G4042" t="str">
        <f>"700065"</f>
        <v>700065</v>
      </c>
      <c r="H4042" t="str">
        <f>"אלתא מערכות בע""מ"</f>
        <v>אלתא מערכות בע"מ</v>
      </c>
      <c r="I4042" t="str">
        <f>"10"</f>
        <v>10</v>
      </c>
      <c r="J4042" t="str">
        <f>"OP-AR01083"</f>
        <v>OP-AR01083</v>
      </c>
      <c r="K4042" t="str">
        <f>"1036C960-001 HVJB_N"</f>
        <v>1036C960-001 HVJB_N</v>
      </c>
      <c r="L4042">
        <v>1</v>
      </c>
      <c r="M4042" t="str">
        <f>"יח"</f>
        <v>יח</v>
      </c>
      <c r="N4042">
        <v>1</v>
      </c>
      <c r="O4042" t="str">
        <f>"יח"</f>
        <v>יח</v>
      </c>
      <c r="P4042" s="2">
        <v>6500</v>
      </c>
      <c r="Q4042" t="str">
        <f>"$"</f>
        <v>$</v>
      </c>
      <c r="R4042" t="str">
        <f>"הזמנה"</f>
        <v>הזמנה</v>
      </c>
      <c r="S4042">
        <v>0</v>
      </c>
      <c r="T4042" s="2">
        <v>6500</v>
      </c>
      <c r="U4042">
        <v>0</v>
      </c>
      <c r="V4042" s="2">
        <v>6500</v>
      </c>
      <c r="W4042" t="str">
        <f>"$"</f>
        <v>$</v>
      </c>
      <c r="X4042">
        <v>0</v>
      </c>
      <c r="Y4042">
        <v>0</v>
      </c>
      <c r="Z4042">
        <v>0</v>
      </c>
      <c r="AA4042" t="str">
        <f>"Y"</f>
        <v>Y</v>
      </c>
      <c r="AB4042" t="str">
        <f>"SO18000429"</f>
        <v>SO18000429</v>
      </c>
      <c r="AC4042">
        <v>3</v>
      </c>
      <c r="AD4042" s="1">
        <v>43311</v>
      </c>
      <c r="AE4042" t="str">
        <f>"SH19000940"</f>
        <v>SH19000940</v>
      </c>
      <c r="AF4042" t="str">
        <f>"משלוחים ללקוח"</f>
        <v>משלוחים ללקוח</v>
      </c>
      <c r="AG4042" s="1">
        <v>43643</v>
      </c>
      <c r="AM4042" t="str">
        <f>"10"</f>
        <v>10</v>
      </c>
      <c r="AN4042" t="str">
        <f>"500000"</f>
        <v>500000</v>
      </c>
      <c r="AO4042" t="str">
        <f>"הכנסות  מלקוחות"</f>
        <v>הכנסות  מלקוחות</v>
      </c>
      <c r="AQ4042" t="str">
        <f>"007"</f>
        <v>007</v>
      </c>
      <c r="AR4042">
        <v>0</v>
      </c>
      <c r="AS4042">
        <v>0</v>
      </c>
      <c r="AT4042">
        <v>3.5659999999999998</v>
      </c>
      <c r="AX4042" t="str">
        <f>"E000266439"</f>
        <v>E000266439</v>
      </c>
      <c r="BD4042" t="str">
        <f>"רוני דידי"</f>
        <v>רוני דידי</v>
      </c>
    </row>
    <row r="4043" spans="1:56" x14ac:dyDescent="0.3">
      <c r="A4043" s="1">
        <v>43646</v>
      </c>
      <c r="B4043" t="str">
        <f>"SI196000766"</f>
        <v>SI196000766</v>
      </c>
      <c r="C4043" t="str">
        <f>"PR18000547"</f>
        <v>PR18000547</v>
      </c>
      <c r="D4043" t="str">
        <f>"PR18000547"</f>
        <v>PR18000547</v>
      </c>
      <c r="E4043" t="str">
        <f>"Y"</f>
        <v>Y</v>
      </c>
      <c r="F4043" t="str">
        <f>"חשבוניות מרכזות"</f>
        <v>חשבוניות מרכזות</v>
      </c>
      <c r="G4043" t="str">
        <f>"700065"</f>
        <v>700065</v>
      </c>
      <c r="H4043" t="str">
        <f>"אלתא מערכות בע""מ"</f>
        <v>אלתא מערכות בע"מ</v>
      </c>
      <c r="I4043" t="str">
        <f>"10"</f>
        <v>10</v>
      </c>
      <c r="J4043" t="str">
        <f>"OP-AR01088"</f>
        <v>OP-AR01088</v>
      </c>
      <c r="K4043" t="str">
        <f>"1038H185-001 SRASR POWER DISTRIUTION UNIT"</f>
        <v>1038H185-001 SRASR POWER DISTRIUTION UNIT</v>
      </c>
      <c r="L4043">
        <v>1</v>
      </c>
      <c r="M4043" t="str">
        <f>"יח"</f>
        <v>יח</v>
      </c>
      <c r="N4043">
        <v>1</v>
      </c>
      <c r="O4043" t="str">
        <f>"יח"</f>
        <v>יח</v>
      </c>
      <c r="P4043" s="2">
        <v>13598</v>
      </c>
      <c r="Q4043" t="str">
        <f>"$"</f>
        <v>$</v>
      </c>
      <c r="R4043" t="str">
        <f>"הזמנה"</f>
        <v>הזמנה</v>
      </c>
      <c r="S4043">
        <v>0</v>
      </c>
      <c r="T4043" s="2">
        <v>13598</v>
      </c>
      <c r="U4043">
        <v>0</v>
      </c>
      <c r="V4043" s="2">
        <v>13598</v>
      </c>
      <c r="W4043" t="str">
        <f>"$"</f>
        <v>$</v>
      </c>
      <c r="X4043">
        <v>0</v>
      </c>
      <c r="Y4043">
        <v>0</v>
      </c>
      <c r="Z4043">
        <v>0</v>
      </c>
      <c r="AA4043" t="str">
        <f>"Y"</f>
        <v>Y</v>
      </c>
      <c r="AB4043" t="str">
        <f>"SO18000439"</f>
        <v>SO18000439</v>
      </c>
      <c r="AC4043">
        <v>5</v>
      </c>
      <c r="AD4043" s="1">
        <v>43313</v>
      </c>
      <c r="AE4043" t="str">
        <f>"SH19000938"</f>
        <v>SH19000938</v>
      </c>
      <c r="AF4043" t="str">
        <f>"משלוחים ללקוח"</f>
        <v>משלוחים ללקוח</v>
      </c>
      <c r="AG4043" s="1">
        <v>43643</v>
      </c>
      <c r="AM4043" t="str">
        <f>"10"</f>
        <v>10</v>
      </c>
      <c r="AN4043" t="str">
        <f>"500000"</f>
        <v>500000</v>
      </c>
      <c r="AO4043" t="str">
        <f>"הכנסות  מלקוחות"</f>
        <v>הכנסות  מלקוחות</v>
      </c>
      <c r="AQ4043" t="str">
        <f>"007"</f>
        <v>007</v>
      </c>
      <c r="AR4043">
        <v>0</v>
      </c>
      <c r="AS4043">
        <v>0</v>
      </c>
      <c r="AT4043">
        <v>3.5659999999999998</v>
      </c>
      <c r="AX4043" t="str">
        <f>"E000266274"</f>
        <v>E000266274</v>
      </c>
      <c r="BD4043" t="str">
        <f>"רוני דידי"</f>
        <v>רוני דידי</v>
      </c>
    </row>
    <row r="4044" spans="1:56" x14ac:dyDescent="0.3">
      <c r="A4044" s="1">
        <v>43646</v>
      </c>
      <c r="B4044" t="str">
        <f>"SI196000765"</f>
        <v>SI196000765</v>
      </c>
      <c r="C4044" t="str">
        <f>"PR19000002"</f>
        <v>PR19000002</v>
      </c>
      <c r="D4044" t="str">
        <f>"PR19000002"</f>
        <v>PR19000002</v>
      </c>
      <c r="E4044" t="str">
        <f>"Y"</f>
        <v>Y</v>
      </c>
      <c r="F4044" t="str">
        <f>"חשבוניות מרכזות"</f>
        <v>חשבוניות מרכזות</v>
      </c>
      <c r="G4044" t="str">
        <f>"700065"</f>
        <v>700065</v>
      </c>
      <c r="H4044" t="str">
        <f>"אלתא מערכות בע""מ"</f>
        <v>אלתא מערכות בע"מ</v>
      </c>
      <c r="I4044" t="str">
        <f>"10"</f>
        <v>10</v>
      </c>
      <c r="J4044" t="str">
        <f>"OP-AR01183"</f>
        <v>OP-AR01183</v>
      </c>
      <c r="K4044" t="str">
        <f>"VOLTAGE EQUALIZING UNIT 1038B590-001"</f>
        <v>VOLTAGE EQUALIZING UNIT 1038B590-001</v>
      </c>
      <c r="L4044">
        <v>3</v>
      </c>
      <c r="M4044" t="str">
        <f>"יח"</f>
        <v>יח</v>
      </c>
      <c r="N4044">
        <v>3</v>
      </c>
      <c r="O4044" t="str">
        <f>"יח"</f>
        <v>יח</v>
      </c>
      <c r="P4044" s="2">
        <v>7780</v>
      </c>
      <c r="Q4044" t="str">
        <f>"$"</f>
        <v>$</v>
      </c>
      <c r="R4044" t="str">
        <f>"הזמנה"</f>
        <v>הזמנה</v>
      </c>
      <c r="S4044">
        <v>0</v>
      </c>
      <c r="T4044" s="2">
        <v>23340</v>
      </c>
      <c r="U4044">
        <v>0</v>
      </c>
      <c r="V4044" s="2">
        <v>23340</v>
      </c>
      <c r="W4044" t="str">
        <f>"$"</f>
        <v>$</v>
      </c>
      <c r="X4044">
        <v>0</v>
      </c>
      <c r="Y4044">
        <v>0</v>
      </c>
      <c r="Z4044">
        <v>0</v>
      </c>
      <c r="AA4044" t="str">
        <f>"Y"</f>
        <v>Y</v>
      </c>
      <c r="AB4044" t="str">
        <f>"SO18000715"</f>
        <v>SO18000715</v>
      </c>
      <c r="AC4044">
        <v>1</v>
      </c>
      <c r="AD4044" s="1">
        <v>43460</v>
      </c>
      <c r="AE4044" t="str">
        <f>"SH19000933"</f>
        <v>SH19000933</v>
      </c>
      <c r="AF4044" t="str">
        <f>"משלוחים ללקוח"</f>
        <v>משלוחים ללקוח</v>
      </c>
      <c r="AG4044" s="1">
        <v>43643</v>
      </c>
      <c r="AM4044" t="str">
        <f>"10"</f>
        <v>10</v>
      </c>
      <c r="AN4044" t="str">
        <f>"500000"</f>
        <v>500000</v>
      </c>
      <c r="AO4044" t="str">
        <f>"הכנסות  מלקוחות"</f>
        <v>הכנסות  מלקוחות</v>
      </c>
      <c r="AQ4044" t="str">
        <f>"007"</f>
        <v>007</v>
      </c>
      <c r="AR4044">
        <v>0</v>
      </c>
      <c r="AS4044">
        <v>0</v>
      </c>
      <c r="AT4044">
        <v>3.5659999999999998</v>
      </c>
      <c r="AX4044" t="str">
        <f>"E000275794"</f>
        <v>E000275794</v>
      </c>
      <c r="BD4044" t="str">
        <f>"רוני דידי"</f>
        <v>רוני דידי</v>
      </c>
    </row>
    <row r="4045" spans="1:56" x14ac:dyDescent="0.3">
      <c r="A4045" s="1">
        <v>43646</v>
      </c>
      <c r="B4045" t="str">
        <f>"SI196000764"</f>
        <v>SI196000764</v>
      </c>
      <c r="C4045" t="str">
        <f>"PR19000002"</f>
        <v>PR19000002</v>
      </c>
      <c r="D4045" t="str">
        <f>"PR19000002"</f>
        <v>PR19000002</v>
      </c>
      <c r="E4045" t="str">
        <f>"Y"</f>
        <v>Y</v>
      </c>
      <c r="F4045" t="str">
        <f>"חשבוניות מרכזות"</f>
        <v>חשבוניות מרכזות</v>
      </c>
      <c r="G4045" t="str">
        <f>"700065"</f>
        <v>700065</v>
      </c>
      <c r="H4045" t="str">
        <f>"אלתא מערכות בע""מ"</f>
        <v>אלתא מערכות בע"מ</v>
      </c>
      <c r="I4045" t="str">
        <f>"10"</f>
        <v>10</v>
      </c>
      <c r="J4045" t="str">
        <f>"000"</f>
        <v>000</v>
      </c>
      <c r="K4045" t="str">
        <f>"NRE"</f>
        <v>NRE</v>
      </c>
      <c r="L4045">
        <v>1</v>
      </c>
      <c r="M4045" t="str">
        <f>"יח"</f>
        <v>יח</v>
      </c>
      <c r="N4045">
        <v>1</v>
      </c>
      <c r="O4045" t="str">
        <f>"יח"</f>
        <v>יח</v>
      </c>
      <c r="P4045" s="2">
        <v>3150</v>
      </c>
      <c r="Q4045" t="str">
        <f>"$"</f>
        <v>$</v>
      </c>
      <c r="R4045" t="str">
        <f>"הזמנה"</f>
        <v>הזמנה</v>
      </c>
      <c r="S4045">
        <v>0</v>
      </c>
      <c r="T4045" s="2">
        <v>3150</v>
      </c>
      <c r="U4045">
        <v>0</v>
      </c>
      <c r="V4045" s="2">
        <v>3150</v>
      </c>
      <c r="W4045" t="str">
        <f>"$"</f>
        <v>$</v>
      </c>
      <c r="X4045">
        <v>0</v>
      </c>
      <c r="Y4045">
        <v>0</v>
      </c>
      <c r="Z4045">
        <v>0</v>
      </c>
      <c r="AA4045" t="str">
        <f>"Y"</f>
        <v>Y</v>
      </c>
      <c r="AB4045" t="str">
        <f>"SO18000715"</f>
        <v>SO18000715</v>
      </c>
      <c r="AC4045">
        <v>2</v>
      </c>
      <c r="AD4045" s="1">
        <v>43460</v>
      </c>
      <c r="AE4045" t="str">
        <f>"SH19000952"</f>
        <v>SH19000952</v>
      </c>
      <c r="AF4045" t="str">
        <f>"משלוחים ללקוח"</f>
        <v>משלוחים ללקוח</v>
      </c>
      <c r="AG4045" s="1">
        <v>43646</v>
      </c>
      <c r="AM4045" t="str">
        <f>"10"</f>
        <v>10</v>
      </c>
      <c r="AN4045" t="str">
        <f>"500000"</f>
        <v>500000</v>
      </c>
      <c r="AO4045" t="str">
        <f>"הכנסות  מלקוחות"</f>
        <v>הכנסות  מלקוחות</v>
      </c>
      <c r="AQ4045" t="str">
        <f>"007"</f>
        <v>007</v>
      </c>
      <c r="AR4045">
        <v>0</v>
      </c>
      <c r="AS4045">
        <v>0</v>
      </c>
      <c r="AT4045">
        <v>3.5659999999999998</v>
      </c>
      <c r="AX4045" t="str">
        <f>"E000275794"</f>
        <v>E000275794</v>
      </c>
      <c r="BD4045" t="str">
        <f>"רוני דידי"</f>
        <v>רוני דידי</v>
      </c>
    </row>
    <row r="4046" spans="1:56" x14ac:dyDescent="0.3">
      <c r="A4046" s="1">
        <v>43641</v>
      </c>
      <c r="B4046" t="str">
        <f>"SI196000757"</f>
        <v>SI196000757</v>
      </c>
      <c r="C4046" t="str">
        <f>"PR18000344"</f>
        <v>PR18000344</v>
      </c>
      <c r="E4046" t="str">
        <f>"Y"</f>
        <v>Y</v>
      </c>
      <c r="F4046" t="str">
        <f>"חשבוניות מרכזות"</f>
        <v>חשבוניות מרכזות</v>
      </c>
      <c r="G4046" t="str">
        <f>"700065"</f>
        <v>700065</v>
      </c>
      <c r="H4046" t="str">
        <f>"אלתא מערכות בע""מ"</f>
        <v>אלתא מערכות בע"מ</v>
      </c>
      <c r="I4046" t="str">
        <f>"05"</f>
        <v>05</v>
      </c>
      <c r="J4046" t="str">
        <f>"OP-PS00112"</f>
        <v>OP-PS00112</v>
      </c>
      <c r="K4046" t="str">
        <f>"RADAR POWER SYSTEM 1039R555-001"</f>
        <v>RADAR POWER SYSTEM 1039R555-001</v>
      </c>
      <c r="L4046">
        <v>1</v>
      </c>
      <c r="M4046" t="str">
        <f>"יח"</f>
        <v>יח</v>
      </c>
      <c r="N4046">
        <v>1</v>
      </c>
      <c r="O4046" t="str">
        <f>"יח"</f>
        <v>יח</v>
      </c>
      <c r="P4046" s="2">
        <v>203000</v>
      </c>
      <c r="Q4046" t="str">
        <f>"$"</f>
        <v>$</v>
      </c>
      <c r="R4046" t="str">
        <f>"הזמנה"</f>
        <v>הזמנה</v>
      </c>
      <c r="S4046">
        <v>0</v>
      </c>
      <c r="T4046" s="2">
        <v>203000</v>
      </c>
      <c r="U4046">
        <v>0</v>
      </c>
      <c r="V4046" s="2">
        <v>203000</v>
      </c>
      <c r="W4046" t="str">
        <f>"$"</f>
        <v>$</v>
      </c>
      <c r="X4046">
        <v>0</v>
      </c>
      <c r="Y4046">
        <v>0</v>
      </c>
      <c r="Z4046">
        <v>0</v>
      </c>
      <c r="AA4046" t="str">
        <f>"Y"</f>
        <v>Y</v>
      </c>
      <c r="AB4046" t="str">
        <f>"SO18000279"</f>
        <v>SO18000279</v>
      </c>
      <c r="AC4046">
        <v>2</v>
      </c>
      <c r="AD4046" s="1">
        <v>43226</v>
      </c>
      <c r="AE4046" t="str">
        <f>"SH19000920"</f>
        <v>SH19000920</v>
      </c>
      <c r="AF4046" t="str">
        <f>"משלוחים ללקוח"</f>
        <v>משלוחים ללקוח</v>
      </c>
      <c r="AG4046" s="1">
        <v>43641</v>
      </c>
      <c r="AM4046" t="str">
        <f>"10"</f>
        <v>10</v>
      </c>
      <c r="AN4046" t="str">
        <f>"500000"</f>
        <v>500000</v>
      </c>
      <c r="AO4046" t="str">
        <f>"הכנסות  מלקוחות"</f>
        <v>הכנסות  מלקוחות</v>
      </c>
      <c r="AQ4046" t="str">
        <f>"007"</f>
        <v>007</v>
      </c>
      <c r="AR4046">
        <v>0</v>
      </c>
      <c r="AS4046">
        <v>0</v>
      </c>
      <c r="AT4046">
        <v>3.6040000000000001</v>
      </c>
      <c r="AX4046" t="str">
        <f>"E000261104"</f>
        <v>E000261104</v>
      </c>
      <c r="BD4046" t="str">
        <f>"רוני דידי"</f>
        <v>רוני דידי</v>
      </c>
    </row>
    <row r="4047" spans="1:56" x14ac:dyDescent="0.3">
      <c r="A4047" s="1">
        <v>43636</v>
      </c>
      <c r="B4047" t="str">
        <f>"SI196000742"</f>
        <v>SI196000742</v>
      </c>
      <c r="C4047" t="str">
        <f>"PR17001952"</f>
        <v>PR17001952</v>
      </c>
      <c r="D4047" t="str">
        <f>"PR17001952"</f>
        <v>PR17001952</v>
      </c>
      <c r="E4047" t="str">
        <f>"Y"</f>
        <v>Y</v>
      </c>
      <c r="F4047" t="str">
        <f>"חשבוניות מרכזות"</f>
        <v>חשבוניות מרכזות</v>
      </c>
      <c r="G4047" t="str">
        <f>"700065"</f>
        <v>700065</v>
      </c>
      <c r="H4047" t="str">
        <f>"אלתא מערכות בע""מ"</f>
        <v>אלתא מערכות בע"מ</v>
      </c>
      <c r="I4047" t="str">
        <f>"10"</f>
        <v>10</v>
      </c>
      <c r="J4047" t="str">
        <f>"OP-AR00387"</f>
        <v>OP-AR00387</v>
      </c>
      <c r="K4047" t="str">
        <f>"PDU 4061D220-001"</f>
        <v>PDU 4061D220-001</v>
      </c>
      <c r="L4047">
        <v>1</v>
      </c>
      <c r="M4047" t="str">
        <f>"יח"</f>
        <v>יח</v>
      </c>
      <c r="N4047">
        <v>1</v>
      </c>
      <c r="O4047" t="str">
        <f>"יח"</f>
        <v>יח</v>
      </c>
      <c r="P4047" s="2">
        <v>23000</v>
      </c>
      <c r="Q4047" t="str">
        <f>"$"</f>
        <v>$</v>
      </c>
      <c r="R4047" t="str">
        <f>"הזמנה"</f>
        <v>הזמנה</v>
      </c>
      <c r="S4047">
        <v>0</v>
      </c>
      <c r="T4047" s="2">
        <v>23000</v>
      </c>
      <c r="U4047">
        <v>0</v>
      </c>
      <c r="V4047" s="2">
        <v>23000</v>
      </c>
      <c r="W4047" t="str">
        <f>"$"</f>
        <v>$</v>
      </c>
      <c r="X4047">
        <v>0</v>
      </c>
      <c r="Y4047">
        <v>0</v>
      </c>
      <c r="Z4047">
        <v>0</v>
      </c>
      <c r="AA4047" t="str">
        <f>"Y"</f>
        <v>Y</v>
      </c>
      <c r="AB4047" t="str">
        <f>"SO17000518"</f>
        <v>SO17000518</v>
      </c>
      <c r="AC4047">
        <v>1</v>
      </c>
      <c r="AD4047" s="1">
        <v>42941</v>
      </c>
      <c r="AE4047" t="str">
        <f>"SH19000900"</f>
        <v>SH19000900</v>
      </c>
      <c r="AF4047" t="str">
        <f>"משלוחים ללקוח"</f>
        <v>משלוחים ללקוח</v>
      </c>
      <c r="AG4047" s="1">
        <v>43636</v>
      </c>
      <c r="AM4047" t="str">
        <f>"10"</f>
        <v>10</v>
      </c>
      <c r="AN4047" t="str">
        <f>"500000"</f>
        <v>500000</v>
      </c>
      <c r="AO4047" t="str">
        <f>"הכנסות  מלקוחות"</f>
        <v>הכנסות  מלקוחות</v>
      </c>
      <c r="AQ4047" t="str">
        <f>"007"</f>
        <v>007</v>
      </c>
      <c r="AR4047">
        <v>0</v>
      </c>
      <c r="AS4047">
        <v>0</v>
      </c>
      <c r="AT4047">
        <v>3.609</v>
      </c>
      <c r="AX4047" t="str">
        <f>"E000242643"</f>
        <v>E000242643</v>
      </c>
      <c r="BD4047" t="str">
        <f>"רוני דידי"</f>
        <v>רוני דידי</v>
      </c>
    </row>
    <row r="4048" spans="1:56" x14ac:dyDescent="0.3">
      <c r="A4048" s="1">
        <v>43636</v>
      </c>
      <c r="B4048" t="str">
        <f>"SI196000741"</f>
        <v>SI196000741</v>
      </c>
      <c r="C4048" t="str">
        <f>"PR18000547"</f>
        <v>PR18000547</v>
      </c>
      <c r="D4048" t="str">
        <f>"PR18000547"</f>
        <v>PR18000547</v>
      </c>
      <c r="E4048" t="str">
        <f>"Y"</f>
        <v>Y</v>
      </c>
      <c r="F4048" t="str">
        <f>"חשבוניות מרכזות"</f>
        <v>חשבוניות מרכזות</v>
      </c>
      <c r="G4048" t="str">
        <f>"700065"</f>
        <v>700065</v>
      </c>
      <c r="H4048" t="str">
        <f>"אלתא מערכות בע""מ"</f>
        <v>אלתא מערכות בע"מ</v>
      </c>
      <c r="I4048" t="str">
        <f>"10"</f>
        <v>10</v>
      </c>
      <c r="J4048" t="str">
        <f>"OP-AR01088"</f>
        <v>OP-AR01088</v>
      </c>
      <c r="K4048" t="str">
        <f>"1038H185-001 SRASR POWER DISTRIUTION UNIT"</f>
        <v>1038H185-001 SRASR POWER DISTRIUTION UNIT</v>
      </c>
      <c r="L4048">
        <v>1</v>
      </c>
      <c r="M4048" t="str">
        <f>"יח"</f>
        <v>יח</v>
      </c>
      <c r="N4048">
        <v>1</v>
      </c>
      <c r="O4048" t="str">
        <f>"יח"</f>
        <v>יח</v>
      </c>
      <c r="P4048" s="2">
        <v>13598</v>
      </c>
      <c r="Q4048" t="str">
        <f>"$"</f>
        <v>$</v>
      </c>
      <c r="R4048" t="str">
        <f>"הזמנה"</f>
        <v>הזמנה</v>
      </c>
      <c r="S4048">
        <v>0</v>
      </c>
      <c r="T4048" s="2">
        <v>13598</v>
      </c>
      <c r="U4048">
        <v>0</v>
      </c>
      <c r="V4048" s="2">
        <v>13598</v>
      </c>
      <c r="W4048" t="str">
        <f>"$"</f>
        <v>$</v>
      </c>
      <c r="X4048">
        <v>0</v>
      </c>
      <c r="Y4048">
        <v>0</v>
      </c>
      <c r="Z4048">
        <v>0</v>
      </c>
      <c r="AA4048" t="str">
        <f>"Y"</f>
        <v>Y</v>
      </c>
      <c r="AB4048" t="str">
        <f>"SO18000439"</f>
        <v>SO18000439</v>
      </c>
      <c r="AC4048">
        <v>5</v>
      </c>
      <c r="AD4048" s="1">
        <v>43313</v>
      </c>
      <c r="AE4048" t="str">
        <f>"SH19000901"</f>
        <v>SH19000901</v>
      </c>
      <c r="AF4048" t="str">
        <f>"משלוחים ללקוח"</f>
        <v>משלוחים ללקוח</v>
      </c>
      <c r="AG4048" s="1">
        <v>43636</v>
      </c>
      <c r="AM4048" t="str">
        <f>"10"</f>
        <v>10</v>
      </c>
      <c r="AN4048" t="str">
        <f>"500000"</f>
        <v>500000</v>
      </c>
      <c r="AO4048" t="str">
        <f>"הכנסות  מלקוחות"</f>
        <v>הכנסות  מלקוחות</v>
      </c>
      <c r="AQ4048" t="str">
        <f>"007"</f>
        <v>007</v>
      </c>
      <c r="AR4048">
        <v>0</v>
      </c>
      <c r="AS4048">
        <v>0</v>
      </c>
      <c r="AT4048">
        <v>3.609</v>
      </c>
      <c r="AX4048" t="str">
        <f>"E000266274"</f>
        <v>E000266274</v>
      </c>
      <c r="BD4048" t="str">
        <f>"רוני דידי"</f>
        <v>רוני דידי</v>
      </c>
    </row>
    <row r="4049" spans="1:56" x14ac:dyDescent="0.3">
      <c r="A4049" s="1">
        <v>43636</v>
      </c>
      <c r="B4049" t="str">
        <f>"SI196000740"</f>
        <v>SI196000740</v>
      </c>
      <c r="C4049" t="str">
        <f>"PR18000548"</f>
        <v>PR18000548</v>
      </c>
      <c r="D4049" t="str">
        <f>"PR18000548"</f>
        <v>PR18000548</v>
      </c>
      <c r="E4049" t="str">
        <f>"Y"</f>
        <v>Y</v>
      </c>
      <c r="F4049" t="str">
        <f>"חשבוניות מרכזות"</f>
        <v>חשבוניות מרכזות</v>
      </c>
      <c r="G4049" t="str">
        <f>"700065"</f>
        <v>700065</v>
      </c>
      <c r="H4049" t="str">
        <f>"אלתא מערכות בע""מ"</f>
        <v>אלתא מערכות בע"מ</v>
      </c>
      <c r="I4049" t="str">
        <f>"10"</f>
        <v>10</v>
      </c>
      <c r="J4049" t="str">
        <f>"OP-AR01091"</f>
        <v>OP-AR01091</v>
      </c>
      <c r="K4049" t="str">
        <f>"1035E001-001"</f>
        <v>1035E001-001</v>
      </c>
      <c r="L4049">
        <v>1</v>
      </c>
      <c r="M4049" t="str">
        <f>"יח"</f>
        <v>יח</v>
      </c>
      <c r="N4049">
        <v>1</v>
      </c>
      <c r="O4049" t="str">
        <f>"יח"</f>
        <v>יח</v>
      </c>
      <c r="P4049" s="2">
        <v>6768.89</v>
      </c>
      <c r="Q4049" t="str">
        <f>"$"</f>
        <v>$</v>
      </c>
      <c r="R4049" t="str">
        <f>"הזמנה"</f>
        <v>הזמנה</v>
      </c>
      <c r="S4049">
        <v>0</v>
      </c>
      <c r="T4049" s="2">
        <v>6768.89</v>
      </c>
      <c r="U4049">
        <v>0</v>
      </c>
      <c r="V4049" s="2">
        <v>6768.89</v>
      </c>
      <c r="W4049" t="str">
        <f>"$"</f>
        <v>$</v>
      </c>
      <c r="X4049">
        <v>0</v>
      </c>
      <c r="Y4049">
        <v>0</v>
      </c>
      <c r="Z4049">
        <v>0</v>
      </c>
      <c r="AA4049" t="str">
        <f>"Y"</f>
        <v>Y</v>
      </c>
      <c r="AB4049" t="str">
        <f>"SO18000440"</f>
        <v>SO18000440</v>
      </c>
      <c r="AC4049">
        <v>1</v>
      </c>
      <c r="AD4049" s="1">
        <v>43313</v>
      </c>
      <c r="AE4049" t="str">
        <f>"SH19000902"</f>
        <v>SH19000902</v>
      </c>
      <c r="AF4049" t="str">
        <f>"משלוחים ללקוח"</f>
        <v>משלוחים ללקוח</v>
      </c>
      <c r="AG4049" s="1">
        <v>43636</v>
      </c>
      <c r="AM4049" t="str">
        <f>"10"</f>
        <v>10</v>
      </c>
      <c r="AN4049" t="str">
        <f>"500000"</f>
        <v>500000</v>
      </c>
      <c r="AO4049" t="str">
        <f>"הכנסות  מלקוחות"</f>
        <v>הכנסות  מלקוחות</v>
      </c>
      <c r="AQ4049" t="str">
        <f>"017"</f>
        <v>017</v>
      </c>
      <c r="AR4049">
        <v>0</v>
      </c>
      <c r="AS4049">
        <v>0</v>
      </c>
      <c r="AT4049">
        <v>3.609</v>
      </c>
      <c r="AX4049" t="str">
        <f>"E000265033"</f>
        <v>E000265033</v>
      </c>
      <c r="BD4049" t="str">
        <f>"שחר דאהמן"</f>
        <v>שחר דאהמן</v>
      </c>
    </row>
    <row r="4050" spans="1:56" x14ac:dyDescent="0.3">
      <c r="A4050" s="1">
        <v>43636</v>
      </c>
      <c r="B4050" t="str">
        <f>"SI196000740"</f>
        <v>SI196000740</v>
      </c>
      <c r="C4050" t="str">
        <f>"PR18000548"</f>
        <v>PR18000548</v>
      </c>
      <c r="D4050" t="str">
        <f>"PR18000548"</f>
        <v>PR18000548</v>
      </c>
      <c r="E4050" t="str">
        <f>"Y"</f>
        <v>Y</v>
      </c>
      <c r="F4050" t="str">
        <f>"חשבוניות מרכזות"</f>
        <v>חשבוניות מרכזות</v>
      </c>
      <c r="G4050" t="str">
        <f>"700065"</f>
        <v>700065</v>
      </c>
      <c r="H4050" t="str">
        <f>"אלתא מערכות בע""מ"</f>
        <v>אלתא מערכות בע"מ</v>
      </c>
      <c r="I4050" t="str">
        <f>"10"</f>
        <v>10</v>
      </c>
      <c r="J4050" t="str">
        <f>"OP-AR01092"</f>
        <v>OP-AR01092</v>
      </c>
      <c r="K4050" t="str">
        <f>"1035E002-001"</f>
        <v>1035E002-001</v>
      </c>
      <c r="L4050">
        <v>1</v>
      </c>
      <c r="M4050" t="str">
        <f>"יח"</f>
        <v>יח</v>
      </c>
      <c r="N4050">
        <v>1</v>
      </c>
      <c r="O4050" t="str">
        <f>"יח"</f>
        <v>יח</v>
      </c>
      <c r="P4050" s="2">
        <v>7530.04</v>
      </c>
      <c r="Q4050" t="str">
        <f>"$"</f>
        <v>$</v>
      </c>
      <c r="R4050" t="str">
        <f>"הזמנה"</f>
        <v>הזמנה</v>
      </c>
      <c r="S4050">
        <v>0</v>
      </c>
      <c r="T4050" s="2">
        <v>7530.04</v>
      </c>
      <c r="U4050">
        <v>0</v>
      </c>
      <c r="V4050" s="2">
        <v>7530.04</v>
      </c>
      <c r="W4050" t="str">
        <f>"$"</f>
        <v>$</v>
      </c>
      <c r="X4050">
        <v>0</v>
      </c>
      <c r="Y4050">
        <v>0</v>
      </c>
      <c r="Z4050">
        <v>0</v>
      </c>
      <c r="AA4050" t="str">
        <f>"Y"</f>
        <v>Y</v>
      </c>
      <c r="AB4050" t="str">
        <f>"SO18000440"</f>
        <v>SO18000440</v>
      </c>
      <c r="AC4050">
        <v>2</v>
      </c>
      <c r="AD4050" s="1">
        <v>43313</v>
      </c>
      <c r="AE4050" t="str">
        <f>"SH19000902"</f>
        <v>SH19000902</v>
      </c>
      <c r="AF4050" t="str">
        <f>"משלוחים ללקוח"</f>
        <v>משלוחים ללקוח</v>
      </c>
      <c r="AG4050" s="1">
        <v>43636</v>
      </c>
      <c r="AM4050" t="str">
        <f>"10"</f>
        <v>10</v>
      </c>
      <c r="AN4050" t="str">
        <f>"500000"</f>
        <v>500000</v>
      </c>
      <c r="AO4050" t="str">
        <f>"הכנסות  מלקוחות"</f>
        <v>הכנסות  מלקוחות</v>
      </c>
      <c r="AQ4050" t="str">
        <f>"017"</f>
        <v>017</v>
      </c>
      <c r="AR4050">
        <v>0</v>
      </c>
      <c r="AS4050">
        <v>0</v>
      </c>
      <c r="AT4050">
        <v>3.609</v>
      </c>
      <c r="AX4050" t="str">
        <f>"E000265033"</f>
        <v>E000265033</v>
      </c>
      <c r="BD4050" t="str">
        <f>"שחר דאהמן"</f>
        <v>שחר דאהמן</v>
      </c>
    </row>
    <row r="4051" spans="1:56" x14ac:dyDescent="0.3">
      <c r="A4051" s="1">
        <v>43636</v>
      </c>
      <c r="B4051" t="str">
        <f>"SI196000740"</f>
        <v>SI196000740</v>
      </c>
      <c r="C4051" t="str">
        <f>"PR18000548"</f>
        <v>PR18000548</v>
      </c>
      <c r="D4051" t="str">
        <f>"PR18000548"</f>
        <v>PR18000548</v>
      </c>
      <c r="E4051" t="str">
        <f>"Y"</f>
        <v>Y</v>
      </c>
      <c r="F4051" t="str">
        <f>"חשבוניות מרכזות"</f>
        <v>חשבוניות מרכזות</v>
      </c>
      <c r="G4051" t="str">
        <f>"700065"</f>
        <v>700065</v>
      </c>
      <c r="H4051" t="str">
        <f>"אלתא מערכות בע""מ"</f>
        <v>אלתא מערכות בע"מ</v>
      </c>
      <c r="I4051" t="str">
        <f>"10"</f>
        <v>10</v>
      </c>
      <c r="J4051" t="str">
        <f>"OP-AR01094"</f>
        <v>OP-AR01094</v>
      </c>
      <c r="K4051" t="str">
        <f>"1035E004-001"</f>
        <v>1035E004-001</v>
      </c>
      <c r="L4051">
        <v>1</v>
      </c>
      <c r="M4051" t="str">
        <f>"יח"</f>
        <v>יח</v>
      </c>
      <c r="N4051">
        <v>1</v>
      </c>
      <c r="O4051" t="str">
        <f>"יח"</f>
        <v>יח</v>
      </c>
      <c r="P4051" s="2">
        <v>6451.82</v>
      </c>
      <c r="Q4051" t="str">
        <f>"$"</f>
        <v>$</v>
      </c>
      <c r="R4051" t="str">
        <f>"הזמנה"</f>
        <v>הזמנה</v>
      </c>
      <c r="S4051">
        <v>0</v>
      </c>
      <c r="T4051" s="2">
        <v>6451.82</v>
      </c>
      <c r="U4051">
        <v>0</v>
      </c>
      <c r="V4051" s="2">
        <v>6451.82</v>
      </c>
      <c r="W4051" t="str">
        <f>"$"</f>
        <v>$</v>
      </c>
      <c r="X4051">
        <v>0</v>
      </c>
      <c r="Y4051">
        <v>0</v>
      </c>
      <c r="Z4051">
        <v>0</v>
      </c>
      <c r="AA4051" t="str">
        <f>"Y"</f>
        <v>Y</v>
      </c>
      <c r="AB4051" t="str">
        <f>"SO18000440"</f>
        <v>SO18000440</v>
      </c>
      <c r="AC4051">
        <v>4</v>
      </c>
      <c r="AD4051" s="1">
        <v>43313</v>
      </c>
      <c r="AE4051" t="str">
        <f>"SH19000902"</f>
        <v>SH19000902</v>
      </c>
      <c r="AF4051" t="str">
        <f>"משלוחים ללקוח"</f>
        <v>משלוחים ללקוח</v>
      </c>
      <c r="AG4051" s="1">
        <v>43636</v>
      </c>
      <c r="AM4051" t="str">
        <f>"10"</f>
        <v>10</v>
      </c>
      <c r="AN4051" t="str">
        <f>"500000"</f>
        <v>500000</v>
      </c>
      <c r="AO4051" t="str">
        <f>"הכנסות  מלקוחות"</f>
        <v>הכנסות  מלקוחות</v>
      </c>
      <c r="AQ4051" t="str">
        <f>"017"</f>
        <v>017</v>
      </c>
      <c r="AR4051">
        <v>0</v>
      </c>
      <c r="AS4051">
        <v>0</v>
      </c>
      <c r="AT4051">
        <v>3.609</v>
      </c>
      <c r="AX4051" t="str">
        <f>"E000265033"</f>
        <v>E000265033</v>
      </c>
      <c r="BD4051" t="str">
        <f>"שחר דאהמן"</f>
        <v>שחר דאהמן</v>
      </c>
    </row>
    <row r="4052" spans="1:56" x14ac:dyDescent="0.3">
      <c r="A4052" s="1">
        <v>43636</v>
      </c>
      <c r="B4052" t="str">
        <f>"SI196000740"</f>
        <v>SI196000740</v>
      </c>
      <c r="C4052" t="str">
        <f>"PR18000548"</f>
        <v>PR18000548</v>
      </c>
      <c r="D4052" t="str">
        <f>"PR18000548"</f>
        <v>PR18000548</v>
      </c>
      <c r="E4052" t="str">
        <f>"Y"</f>
        <v>Y</v>
      </c>
      <c r="F4052" t="str">
        <f>"חשבוניות מרכזות"</f>
        <v>חשבוניות מרכזות</v>
      </c>
      <c r="G4052" t="str">
        <f>"700065"</f>
        <v>700065</v>
      </c>
      <c r="H4052" t="str">
        <f>"אלתא מערכות בע""מ"</f>
        <v>אלתא מערכות בע"מ</v>
      </c>
      <c r="I4052" t="str">
        <f>"10"</f>
        <v>10</v>
      </c>
      <c r="J4052" t="str">
        <f>"OP-AR01095"</f>
        <v>OP-AR01095</v>
      </c>
      <c r="K4052" t="str">
        <f>"1035E005-001"</f>
        <v>1035E005-001</v>
      </c>
      <c r="L4052">
        <v>1</v>
      </c>
      <c r="M4052" t="str">
        <f>"יח"</f>
        <v>יח</v>
      </c>
      <c r="N4052">
        <v>1</v>
      </c>
      <c r="O4052" t="str">
        <f>"יח"</f>
        <v>יח</v>
      </c>
      <c r="P4052" s="2">
        <v>8357.3799999999992</v>
      </c>
      <c r="Q4052" t="str">
        <f>"$"</f>
        <v>$</v>
      </c>
      <c r="R4052" t="str">
        <f>"הזמנה"</f>
        <v>הזמנה</v>
      </c>
      <c r="S4052">
        <v>0</v>
      </c>
      <c r="T4052" s="2">
        <v>8357.3799999999992</v>
      </c>
      <c r="U4052">
        <v>0</v>
      </c>
      <c r="V4052" s="2">
        <v>8357.3799999999992</v>
      </c>
      <c r="W4052" t="str">
        <f>"$"</f>
        <v>$</v>
      </c>
      <c r="X4052">
        <v>0</v>
      </c>
      <c r="Y4052">
        <v>0</v>
      </c>
      <c r="Z4052">
        <v>0</v>
      </c>
      <c r="AA4052" t="str">
        <f>"Y"</f>
        <v>Y</v>
      </c>
      <c r="AB4052" t="str">
        <f>"SO18000440"</f>
        <v>SO18000440</v>
      </c>
      <c r="AC4052">
        <v>5</v>
      </c>
      <c r="AD4052" s="1">
        <v>43313</v>
      </c>
      <c r="AE4052" t="str">
        <f>"SH19000902"</f>
        <v>SH19000902</v>
      </c>
      <c r="AF4052" t="str">
        <f>"משלוחים ללקוח"</f>
        <v>משלוחים ללקוח</v>
      </c>
      <c r="AG4052" s="1">
        <v>43636</v>
      </c>
      <c r="AM4052" t="str">
        <f>"10"</f>
        <v>10</v>
      </c>
      <c r="AN4052" t="str">
        <f>"500000"</f>
        <v>500000</v>
      </c>
      <c r="AO4052" t="str">
        <f>"הכנסות  מלקוחות"</f>
        <v>הכנסות  מלקוחות</v>
      </c>
      <c r="AQ4052" t="str">
        <f>"017"</f>
        <v>017</v>
      </c>
      <c r="AR4052">
        <v>0</v>
      </c>
      <c r="AS4052">
        <v>0</v>
      </c>
      <c r="AT4052">
        <v>3.609</v>
      </c>
      <c r="AX4052" t="str">
        <f>"E000265033"</f>
        <v>E000265033</v>
      </c>
      <c r="BD4052" t="str">
        <f>"שחר דאהמן"</f>
        <v>שחר דאהמן</v>
      </c>
    </row>
    <row r="4053" spans="1:56" x14ac:dyDescent="0.3">
      <c r="A4053" s="1">
        <v>43636</v>
      </c>
      <c r="B4053" t="str">
        <f>"SI196000740"</f>
        <v>SI196000740</v>
      </c>
      <c r="C4053" t="str">
        <f>"PR18000548"</f>
        <v>PR18000548</v>
      </c>
      <c r="D4053" t="str">
        <f>"PR18000548"</f>
        <v>PR18000548</v>
      </c>
      <c r="E4053" t="str">
        <f>"Y"</f>
        <v>Y</v>
      </c>
      <c r="F4053" t="str">
        <f>"חשבוניות מרכזות"</f>
        <v>חשבוניות מרכזות</v>
      </c>
      <c r="G4053" t="str">
        <f>"700065"</f>
        <v>700065</v>
      </c>
      <c r="H4053" t="str">
        <f>"אלתא מערכות בע""מ"</f>
        <v>אלתא מערכות בע"מ</v>
      </c>
      <c r="I4053" t="str">
        <f>"10"</f>
        <v>10</v>
      </c>
      <c r="J4053" t="str">
        <f>"OP-AR01096"</f>
        <v>OP-AR01096</v>
      </c>
      <c r="K4053" t="str">
        <f>"1035E006-001"</f>
        <v>1035E006-001</v>
      </c>
      <c r="L4053">
        <v>1</v>
      </c>
      <c r="M4053" t="str">
        <f>"יח"</f>
        <v>יח</v>
      </c>
      <c r="N4053">
        <v>1</v>
      </c>
      <c r="O4053" t="str">
        <f>"יח"</f>
        <v>יח</v>
      </c>
      <c r="P4053" s="2">
        <v>1757.41</v>
      </c>
      <c r="Q4053" t="str">
        <f>"$"</f>
        <v>$</v>
      </c>
      <c r="R4053" t="str">
        <f>"הזמנה"</f>
        <v>הזמנה</v>
      </c>
      <c r="S4053">
        <v>0</v>
      </c>
      <c r="T4053" s="2">
        <v>1757.41</v>
      </c>
      <c r="U4053">
        <v>0</v>
      </c>
      <c r="V4053" s="2">
        <v>1757.41</v>
      </c>
      <c r="W4053" t="str">
        <f>"$"</f>
        <v>$</v>
      </c>
      <c r="X4053">
        <v>0</v>
      </c>
      <c r="Y4053">
        <v>0</v>
      </c>
      <c r="Z4053">
        <v>0</v>
      </c>
      <c r="AA4053" t="str">
        <f>"Y"</f>
        <v>Y</v>
      </c>
      <c r="AB4053" t="str">
        <f>"SO18000440"</f>
        <v>SO18000440</v>
      </c>
      <c r="AC4053">
        <v>6</v>
      </c>
      <c r="AD4053" s="1">
        <v>43313</v>
      </c>
      <c r="AE4053" t="str">
        <f>"SH19000902"</f>
        <v>SH19000902</v>
      </c>
      <c r="AF4053" t="str">
        <f>"משלוחים ללקוח"</f>
        <v>משלוחים ללקוח</v>
      </c>
      <c r="AG4053" s="1">
        <v>43636</v>
      </c>
      <c r="AM4053" t="str">
        <f>"10"</f>
        <v>10</v>
      </c>
      <c r="AN4053" t="str">
        <f>"500000"</f>
        <v>500000</v>
      </c>
      <c r="AO4053" t="str">
        <f>"הכנסות  מלקוחות"</f>
        <v>הכנסות  מלקוחות</v>
      </c>
      <c r="AQ4053" t="str">
        <f>"017"</f>
        <v>017</v>
      </c>
      <c r="AR4053">
        <v>0</v>
      </c>
      <c r="AS4053">
        <v>0</v>
      </c>
      <c r="AT4053">
        <v>3.609</v>
      </c>
      <c r="AX4053" t="str">
        <f>"E000265033"</f>
        <v>E000265033</v>
      </c>
      <c r="BD4053" t="str">
        <f>"שחר דאהמן"</f>
        <v>שחר דאהמן</v>
      </c>
    </row>
    <row r="4054" spans="1:56" x14ac:dyDescent="0.3">
      <c r="A4054" s="1">
        <v>43636</v>
      </c>
      <c r="B4054" t="str">
        <f>"SI196000740"</f>
        <v>SI196000740</v>
      </c>
      <c r="C4054" t="str">
        <f>"PR18000548"</f>
        <v>PR18000548</v>
      </c>
      <c r="D4054" t="str">
        <f>"PR18000548"</f>
        <v>PR18000548</v>
      </c>
      <c r="E4054" t="str">
        <f>"Y"</f>
        <v>Y</v>
      </c>
      <c r="F4054" t="str">
        <f>"חשבוניות מרכזות"</f>
        <v>חשבוניות מרכזות</v>
      </c>
      <c r="G4054" t="str">
        <f>"700065"</f>
        <v>700065</v>
      </c>
      <c r="H4054" t="str">
        <f>"אלתא מערכות בע""מ"</f>
        <v>אלתא מערכות בע"מ</v>
      </c>
      <c r="I4054" t="str">
        <f>"10"</f>
        <v>10</v>
      </c>
      <c r="J4054" t="str">
        <f>"OP-AR01097"</f>
        <v>OP-AR01097</v>
      </c>
      <c r="K4054" t="str">
        <f>"1035E007-001"</f>
        <v>1035E007-001</v>
      </c>
      <c r="L4054">
        <v>1</v>
      </c>
      <c r="M4054" t="str">
        <f>"יח"</f>
        <v>יח</v>
      </c>
      <c r="N4054">
        <v>1</v>
      </c>
      <c r="O4054" t="str">
        <f>"יח"</f>
        <v>יח</v>
      </c>
      <c r="P4054" s="2">
        <v>5519.68</v>
      </c>
      <c r="Q4054" t="str">
        <f>"$"</f>
        <v>$</v>
      </c>
      <c r="R4054" t="str">
        <f>"הזמנה"</f>
        <v>הזמנה</v>
      </c>
      <c r="S4054">
        <v>0</v>
      </c>
      <c r="T4054" s="2">
        <v>5519.68</v>
      </c>
      <c r="U4054">
        <v>0</v>
      </c>
      <c r="V4054" s="2">
        <v>5519.68</v>
      </c>
      <c r="W4054" t="str">
        <f>"$"</f>
        <v>$</v>
      </c>
      <c r="X4054">
        <v>0</v>
      </c>
      <c r="Y4054">
        <v>0</v>
      </c>
      <c r="Z4054">
        <v>0</v>
      </c>
      <c r="AA4054" t="str">
        <f>"Y"</f>
        <v>Y</v>
      </c>
      <c r="AB4054" t="str">
        <f>"SO18000440"</f>
        <v>SO18000440</v>
      </c>
      <c r="AC4054">
        <v>7</v>
      </c>
      <c r="AD4054" s="1">
        <v>43313</v>
      </c>
      <c r="AE4054" t="str">
        <f>"SH19000902"</f>
        <v>SH19000902</v>
      </c>
      <c r="AF4054" t="str">
        <f>"משלוחים ללקוח"</f>
        <v>משלוחים ללקוח</v>
      </c>
      <c r="AG4054" s="1">
        <v>43636</v>
      </c>
      <c r="AM4054" t="str">
        <f>"10"</f>
        <v>10</v>
      </c>
      <c r="AN4054" t="str">
        <f>"500000"</f>
        <v>500000</v>
      </c>
      <c r="AO4054" t="str">
        <f>"הכנסות  מלקוחות"</f>
        <v>הכנסות  מלקוחות</v>
      </c>
      <c r="AQ4054" t="str">
        <f>"017"</f>
        <v>017</v>
      </c>
      <c r="AR4054">
        <v>0</v>
      </c>
      <c r="AS4054">
        <v>0</v>
      </c>
      <c r="AT4054">
        <v>3.609</v>
      </c>
      <c r="AX4054" t="str">
        <f>"E000265033"</f>
        <v>E000265033</v>
      </c>
      <c r="BD4054" t="str">
        <f>"שחר דאהמן"</f>
        <v>שחר דאהמן</v>
      </c>
    </row>
    <row r="4055" spans="1:56" x14ac:dyDescent="0.3">
      <c r="A4055" s="1">
        <v>43636</v>
      </c>
      <c r="B4055" t="str">
        <f>"SI196000740"</f>
        <v>SI196000740</v>
      </c>
      <c r="C4055" t="str">
        <f>"PR18000548"</f>
        <v>PR18000548</v>
      </c>
      <c r="D4055" t="str">
        <f>"PR18000548"</f>
        <v>PR18000548</v>
      </c>
      <c r="E4055" t="str">
        <f>"Y"</f>
        <v>Y</v>
      </c>
      <c r="F4055" t="str">
        <f>"חשבוניות מרכזות"</f>
        <v>חשבוניות מרכזות</v>
      </c>
      <c r="G4055" t="str">
        <f>"700065"</f>
        <v>700065</v>
      </c>
      <c r="H4055" t="str">
        <f>"אלתא מערכות בע""מ"</f>
        <v>אלתא מערכות בע"מ</v>
      </c>
      <c r="I4055" t="str">
        <f>"10"</f>
        <v>10</v>
      </c>
      <c r="J4055" t="str">
        <f>"OP-AR01098"</f>
        <v>OP-AR01098</v>
      </c>
      <c r="K4055" t="str">
        <f>"1035E008-001"</f>
        <v>1035E008-001</v>
      </c>
      <c r="L4055">
        <v>1</v>
      </c>
      <c r="M4055" t="str">
        <f>"יח"</f>
        <v>יח</v>
      </c>
      <c r="N4055">
        <v>1</v>
      </c>
      <c r="O4055" t="str">
        <f>"יח"</f>
        <v>יח</v>
      </c>
      <c r="P4055" s="2">
        <v>5520.54</v>
      </c>
      <c r="Q4055" t="str">
        <f>"$"</f>
        <v>$</v>
      </c>
      <c r="R4055" t="str">
        <f>"הזמנה"</f>
        <v>הזמנה</v>
      </c>
      <c r="S4055">
        <v>0</v>
      </c>
      <c r="T4055" s="2">
        <v>5520.54</v>
      </c>
      <c r="U4055">
        <v>0</v>
      </c>
      <c r="V4055" s="2">
        <v>5520.54</v>
      </c>
      <c r="W4055" t="str">
        <f>"$"</f>
        <v>$</v>
      </c>
      <c r="X4055">
        <v>0</v>
      </c>
      <c r="Y4055">
        <v>0</v>
      </c>
      <c r="Z4055">
        <v>0</v>
      </c>
      <c r="AA4055" t="str">
        <f>"Y"</f>
        <v>Y</v>
      </c>
      <c r="AB4055" t="str">
        <f>"SO18000440"</f>
        <v>SO18000440</v>
      </c>
      <c r="AC4055">
        <v>8</v>
      </c>
      <c r="AD4055" s="1">
        <v>43313</v>
      </c>
      <c r="AE4055" t="str">
        <f>"SH19000902"</f>
        <v>SH19000902</v>
      </c>
      <c r="AF4055" t="str">
        <f>"משלוחים ללקוח"</f>
        <v>משלוחים ללקוח</v>
      </c>
      <c r="AG4055" s="1">
        <v>43636</v>
      </c>
      <c r="AM4055" t="str">
        <f>"10"</f>
        <v>10</v>
      </c>
      <c r="AN4055" t="str">
        <f>"500000"</f>
        <v>500000</v>
      </c>
      <c r="AO4055" t="str">
        <f>"הכנסות  מלקוחות"</f>
        <v>הכנסות  מלקוחות</v>
      </c>
      <c r="AQ4055" t="str">
        <f>"017"</f>
        <v>017</v>
      </c>
      <c r="AR4055">
        <v>0</v>
      </c>
      <c r="AS4055">
        <v>0</v>
      </c>
      <c r="AT4055">
        <v>3.609</v>
      </c>
      <c r="AX4055" t="str">
        <f>"E000265033"</f>
        <v>E000265033</v>
      </c>
      <c r="BD4055" t="str">
        <f>"שחר דאהמן"</f>
        <v>שחר דאהמן</v>
      </c>
    </row>
    <row r="4056" spans="1:56" x14ac:dyDescent="0.3">
      <c r="A4056" s="1">
        <v>43636</v>
      </c>
      <c r="B4056" t="str">
        <f>"SI196000740"</f>
        <v>SI196000740</v>
      </c>
      <c r="C4056" t="str">
        <f>"PR18000548"</f>
        <v>PR18000548</v>
      </c>
      <c r="D4056" t="str">
        <f>"PR18000548"</f>
        <v>PR18000548</v>
      </c>
      <c r="E4056" t="str">
        <f>"Y"</f>
        <v>Y</v>
      </c>
      <c r="F4056" t="str">
        <f>"חשבוניות מרכזות"</f>
        <v>חשבוניות מרכזות</v>
      </c>
      <c r="G4056" t="str">
        <f>"700065"</f>
        <v>700065</v>
      </c>
      <c r="H4056" t="str">
        <f>"אלתא מערכות בע""מ"</f>
        <v>אלתא מערכות בע"מ</v>
      </c>
      <c r="I4056" t="str">
        <f>"10"</f>
        <v>10</v>
      </c>
      <c r="J4056" t="str">
        <f>"OP-AR01099"</f>
        <v>OP-AR01099</v>
      </c>
      <c r="K4056" t="str">
        <f>"1035E009-001"</f>
        <v>1035E009-001</v>
      </c>
      <c r="L4056">
        <v>1</v>
      </c>
      <c r="M4056" t="str">
        <f>"יח"</f>
        <v>יח</v>
      </c>
      <c r="N4056">
        <v>1</v>
      </c>
      <c r="O4056" t="str">
        <f>"יח"</f>
        <v>יח</v>
      </c>
      <c r="P4056" s="2">
        <v>5520.54</v>
      </c>
      <c r="Q4056" t="str">
        <f>"$"</f>
        <v>$</v>
      </c>
      <c r="R4056" t="str">
        <f>"הזמנה"</f>
        <v>הזמנה</v>
      </c>
      <c r="S4056">
        <v>0</v>
      </c>
      <c r="T4056" s="2">
        <v>5520.54</v>
      </c>
      <c r="U4056">
        <v>0</v>
      </c>
      <c r="V4056" s="2">
        <v>5520.54</v>
      </c>
      <c r="W4056" t="str">
        <f>"$"</f>
        <v>$</v>
      </c>
      <c r="X4056">
        <v>0</v>
      </c>
      <c r="Y4056">
        <v>0</v>
      </c>
      <c r="Z4056">
        <v>0</v>
      </c>
      <c r="AA4056" t="str">
        <f>"Y"</f>
        <v>Y</v>
      </c>
      <c r="AB4056" t="str">
        <f>"SO18000440"</f>
        <v>SO18000440</v>
      </c>
      <c r="AC4056">
        <v>9</v>
      </c>
      <c r="AD4056" s="1">
        <v>43313</v>
      </c>
      <c r="AE4056" t="str">
        <f>"SH19000902"</f>
        <v>SH19000902</v>
      </c>
      <c r="AF4056" t="str">
        <f>"משלוחים ללקוח"</f>
        <v>משלוחים ללקוח</v>
      </c>
      <c r="AG4056" s="1">
        <v>43636</v>
      </c>
      <c r="AM4056" t="str">
        <f>"10"</f>
        <v>10</v>
      </c>
      <c r="AN4056" t="str">
        <f>"500000"</f>
        <v>500000</v>
      </c>
      <c r="AO4056" t="str">
        <f>"הכנסות  מלקוחות"</f>
        <v>הכנסות  מלקוחות</v>
      </c>
      <c r="AQ4056" t="str">
        <f>"017"</f>
        <v>017</v>
      </c>
      <c r="AR4056">
        <v>0</v>
      </c>
      <c r="AS4056">
        <v>0</v>
      </c>
      <c r="AT4056">
        <v>3.609</v>
      </c>
      <c r="AX4056" t="str">
        <f>"E000265033"</f>
        <v>E000265033</v>
      </c>
      <c r="BD4056" t="str">
        <f>"שחר דאהמן"</f>
        <v>שחר דאהמן</v>
      </c>
    </row>
    <row r="4057" spans="1:56" x14ac:dyDescent="0.3">
      <c r="A4057" s="1">
        <v>43636</v>
      </c>
      <c r="B4057" t="str">
        <f>"SI196000740"</f>
        <v>SI196000740</v>
      </c>
      <c r="C4057" t="str">
        <f>"PR18000548"</f>
        <v>PR18000548</v>
      </c>
      <c r="D4057" t="str">
        <f>"PR18000548"</f>
        <v>PR18000548</v>
      </c>
      <c r="E4057" t="str">
        <f>"Y"</f>
        <v>Y</v>
      </c>
      <c r="F4057" t="str">
        <f>"חשבוניות מרכזות"</f>
        <v>חשבוניות מרכזות</v>
      </c>
      <c r="G4057" t="str">
        <f>"700065"</f>
        <v>700065</v>
      </c>
      <c r="H4057" t="str">
        <f>"אלתא מערכות בע""מ"</f>
        <v>אלתא מערכות בע"מ</v>
      </c>
      <c r="I4057" t="str">
        <f>"10"</f>
        <v>10</v>
      </c>
      <c r="J4057" t="str">
        <f>"OP-AR01100"</f>
        <v>OP-AR01100</v>
      </c>
      <c r="K4057" t="str">
        <f>"1035E010-001"</f>
        <v>1035E010-001</v>
      </c>
      <c r="L4057">
        <v>1</v>
      </c>
      <c r="M4057" t="str">
        <f>"יח"</f>
        <v>יח</v>
      </c>
      <c r="N4057">
        <v>1</v>
      </c>
      <c r="O4057" t="str">
        <f>"יח"</f>
        <v>יח</v>
      </c>
      <c r="P4057" s="2">
        <v>5519.17</v>
      </c>
      <c r="Q4057" t="str">
        <f>"$"</f>
        <v>$</v>
      </c>
      <c r="R4057" t="str">
        <f>"הזמנה"</f>
        <v>הזמנה</v>
      </c>
      <c r="S4057">
        <v>0</v>
      </c>
      <c r="T4057" s="2">
        <v>5519.17</v>
      </c>
      <c r="U4057">
        <v>0</v>
      </c>
      <c r="V4057" s="2">
        <v>5519.17</v>
      </c>
      <c r="W4057" t="str">
        <f>"$"</f>
        <v>$</v>
      </c>
      <c r="X4057">
        <v>0</v>
      </c>
      <c r="Y4057">
        <v>0</v>
      </c>
      <c r="Z4057">
        <v>0</v>
      </c>
      <c r="AA4057" t="str">
        <f>"Y"</f>
        <v>Y</v>
      </c>
      <c r="AB4057" t="str">
        <f>"SO18000440"</f>
        <v>SO18000440</v>
      </c>
      <c r="AC4057">
        <v>10</v>
      </c>
      <c r="AD4057" s="1">
        <v>43313</v>
      </c>
      <c r="AE4057" t="str">
        <f>"SH19000902"</f>
        <v>SH19000902</v>
      </c>
      <c r="AF4057" t="str">
        <f>"משלוחים ללקוח"</f>
        <v>משלוחים ללקוח</v>
      </c>
      <c r="AG4057" s="1">
        <v>43636</v>
      </c>
      <c r="AM4057" t="str">
        <f>"10"</f>
        <v>10</v>
      </c>
      <c r="AN4057" t="str">
        <f>"500000"</f>
        <v>500000</v>
      </c>
      <c r="AO4057" t="str">
        <f>"הכנסות  מלקוחות"</f>
        <v>הכנסות  מלקוחות</v>
      </c>
      <c r="AQ4057" t="str">
        <f>"017"</f>
        <v>017</v>
      </c>
      <c r="AR4057">
        <v>0</v>
      </c>
      <c r="AS4057">
        <v>0</v>
      </c>
      <c r="AT4057">
        <v>3.609</v>
      </c>
      <c r="AX4057" t="str">
        <f>"E000265033"</f>
        <v>E000265033</v>
      </c>
      <c r="BD4057" t="str">
        <f>"שחר דאהמן"</f>
        <v>שחר דאהמן</v>
      </c>
    </row>
    <row r="4058" spans="1:56" x14ac:dyDescent="0.3">
      <c r="A4058" s="1">
        <v>43636</v>
      </c>
      <c r="B4058" t="str">
        <f>"SI196000740"</f>
        <v>SI196000740</v>
      </c>
      <c r="C4058" t="str">
        <f>"PR18000548"</f>
        <v>PR18000548</v>
      </c>
      <c r="D4058" t="str">
        <f>"PR18000548"</f>
        <v>PR18000548</v>
      </c>
      <c r="E4058" t="str">
        <f>"Y"</f>
        <v>Y</v>
      </c>
      <c r="F4058" t="str">
        <f>"חשבוניות מרכזות"</f>
        <v>חשבוניות מרכזות</v>
      </c>
      <c r="G4058" t="str">
        <f>"700065"</f>
        <v>700065</v>
      </c>
      <c r="H4058" t="str">
        <f>"אלתא מערכות בע""מ"</f>
        <v>אלתא מערכות בע"מ</v>
      </c>
      <c r="I4058" t="str">
        <f>"10"</f>
        <v>10</v>
      </c>
      <c r="J4058" t="str">
        <f>"OP-AR01091"</f>
        <v>OP-AR01091</v>
      </c>
      <c r="K4058" t="str">
        <f>"1035E001-001"</f>
        <v>1035E001-001</v>
      </c>
      <c r="L4058">
        <v>1</v>
      </c>
      <c r="M4058" t="str">
        <f>"יח"</f>
        <v>יח</v>
      </c>
      <c r="N4058">
        <v>1</v>
      </c>
      <c r="O4058" t="str">
        <f>"יח"</f>
        <v>יח</v>
      </c>
      <c r="P4058" s="2">
        <v>6768.89</v>
      </c>
      <c r="Q4058" t="str">
        <f>"$"</f>
        <v>$</v>
      </c>
      <c r="R4058" t="str">
        <f>"הזמנה"</f>
        <v>הזמנה</v>
      </c>
      <c r="S4058">
        <v>0</v>
      </c>
      <c r="T4058" s="2">
        <v>6768.89</v>
      </c>
      <c r="U4058">
        <v>0</v>
      </c>
      <c r="V4058" s="2">
        <v>6768.89</v>
      </c>
      <c r="W4058" t="str">
        <f>"$"</f>
        <v>$</v>
      </c>
      <c r="X4058">
        <v>0</v>
      </c>
      <c r="Y4058">
        <v>0</v>
      </c>
      <c r="Z4058">
        <v>0</v>
      </c>
      <c r="AA4058" t="str">
        <f>"Y"</f>
        <v>Y</v>
      </c>
      <c r="AB4058" t="str">
        <f>"SO18000440"</f>
        <v>SO18000440</v>
      </c>
      <c r="AC4058">
        <v>18</v>
      </c>
      <c r="AD4058" s="1">
        <v>43313</v>
      </c>
      <c r="AE4058" t="str">
        <f>"SH19000902"</f>
        <v>SH19000902</v>
      </c>
      <c r="AF4058" t="str">
        <f>"משלוחים ללקוח"</f>
        <v>משלוחים ללקוח</v>
      </c>
      <c r="AG4058" s="1">
        <v>43636</v>
      </c>
      <c r="AM4058" t="str">
        <f>"10"</f>
        <v>10</v>
      </c>
      <c r="AN4058" t="str">
        <f>"500000"</f>
        <v>500000</v>
      </c>
      <c r="AO4058" t="str">
        <f>"הכנסות  מלקוחות"</f>
        <v>הכנסות  מלקוחות</v>
      </c>
      <c r="AQ4058" t="str">
        <f>"017"</f>
        <v>017</v>
      </c>
      <c r="AR4058">
        <v>0</v>
      </c>
      <c r="AS4058">
        <v>0</v>
      </c>
      <c r="AT4058">
        <v>3.609</v>
      </c>
      <c r="AX4058" t="str">
        <f>"E000265033"</f>
        <v>E000265033</v>
      </c>
      <c r="BD4058" t="str">
        <f>"שחר דאהמן"</f>
        <v>שחר דאהמן</v>
      </c>
    </row>
    <row r="4059" spans="1:56" x14ac:dyDescent="0.3">
      <c r="A4059" s="1">
        <v>43636</v>
      </c>
      <c r="B4059" t="str">
        <f>"SI196000740"</f>
        <v>SI196000740</v>
      </c>
      <c r="C4059" t="str">
        <f>"PR18000548"</f>
        <v>PR18000548</v>
      </c>
      <c r="D4059" t="str">
        <f>"PR18000548"</f>
        <v>PR18000548</v>
      </c>
      <c r="E4059" t="str">
        <f>"Y"</f>
        <v>Y</v>
      </c>
      <c r="F4059" t="str">
        <f>"חשבוניות מרכזות"</f>
        <v>חשבוניות מרכזות</v>
      </c>
      <c r="G4059" t="str">
        <f>"700065"</f>
        <v>700065</v>
      </c>
      <c r="H4059" t="str">
        <f>"אלתא מערכות בע""מ"</f>
        <v>אלתא מערכות בע"מ</v>
      </c>
      <c r="I4059" t="str">
        <f>"10"</f>
        <v>10</v>
      </c>
      <c r="J4059" t="str">
        <f>"OP-AR01092"</f>
        <v>OP-AR01092</v>
      </c>
      <c r="K4059" t="str">
        <f>"1035E002-001"</f>
        <v>1035E002-001</v>
      </c>
      <c r="L4059">
        <v>1</v>
      </c>
      <c r="M4059" t="str">
        <f>"יח"</f>
        <v>יח</v>
      </c>
      <c r="N4059">
        <v>1</v>
      </c>
      <c r="O4059" t="str">
        <f>"יח"</f>
        <v>יח</v>
      </c>
      <c r="P4059" s="2">
        <v>7530.04</v>
      </c>
      <c r="Q4059" t="str">
        <f>"$"</f>
        <v>$</v>
      </c>
      <c r="R4059" t="str">
        <f>"הזמנה"</f>
        <v>הזמנה</v>
      </c>
      <c r="S4059">
        <v>0</v>
      </c>
      <c r="T4059" s="2">
        <v>7530.04</v>
      </c>
      <c r="U4059">
        <v>0</v>
      </c>
      <c r="V4059" s="2">
        <v>7530.04</v>
      </c>
      <c r="W4059" t="str">
        <f>"$"</f>
        <v>$</v>
      </c>
      <c r="X4059">
        <v>0</v>
      </c>
      <c r="Y4059">
        <v>0</v>
      </c>
      <c r="Z4059">
        <v>0</v>
      </c>
      <c r="AA4059" t="str">
        <f>"Y"</f>
        <v>Y</v>
      </c>
      <c r="AB4059" t="str">
        <f>"SO18000440"</f>
        <v>SO18000440</v>
      </c>
      <c r="AC4059">
        <v>19</v>
      </c>
      <c r="AD4059" s="1">
        <v>43313</v>
      </c>
      <c r="AE4059" t="str">
        <f>"SH19000902"</f>
        <v>SH19000902</v>
      </c>
      <c r="AF4059" t="str">
        <f>"משלוחים ללקוח"</f>
        <v>משלוחים ללקוח</v>
      </c>
      <c r="AG4059" s="1">
        <v>43636</v>
      </c>
      <c r="AM4059" t="str">
        <f>"10"</f>
        <v>10</v>
      </c>
      <c r="AN4059" t="str">
        <f>"500000"</f>
        <v>500000</v>
      </c>
      <c r="AO4059" t="str">
        <f>"הכנסות  מלקוחות"</f>
        <v>הכנסות  מלקוחות</v>
      </c>
      <c r="AQ4059" t="str">
        <f>"017"</f>
        <v>017</v>
      </c>
      <c r="AR4059">
        <v>0</v>
      </c>
      <c r="AS4059">
        <v>0</v>
      </c>
      <c r="AT4059">
        <v>3.609</v>
      </c>
      <c r="AX4059" t="str">
        <f>"E000265033"</f>
        <v>E000265033</v>
      </c>
      <c r="BD4059" t="str">
        <f>"שחר דאהמן"</f>
        <v>שחר דאהמן</v>
      </c>
    </row>
    <row r="4060" spans="1:56" x14ac:dyDescent="0.3">
      <c r="A4060" s="1">
        <v>43636</v>
      </c>
      <c r="B4060" t="str">
        <f>"SI196000740"</f>
        <v>SI196000740</v>
      </c>
      <c r="C4060" t="str">
        <f>"PR18000548"</f>
        <v>PR18000548</v>
      </c>
      <c r="D4060" t="str">
        <f>"PR18000548"</f>
        <v>PR18000548</v>
      </c>
      <c r="E4060" t="str">
        <f>"Y"</f>
        <v>Y</v>
      </c>
      <c r="F4060" t="str">
        <f>"חשבוניות מרכזות"</f>
        <v>חשבוניות מרכזות</v>
      </c>
      <c r="G4060" t="str">
        <f>"700065"</f>
        <v>700065</v>
      </c>
      <c r="H4060" t="str">
        <f>"אלתא מערכות בע""מ"</f>
        <v>אלתא מערכות בע"מ</v>
      </c>
      <c r="I4060" t="str">
        <f>"10"</f>
        <v>10</v>
      </c>
      <c r="J4060" t="str">
        <f>"OP-AR01094"</f>
        <v>OP-AR01094</v>
      </c>
      <c r="K4060" t="str">
        <f>"1035E004-001"</f>
        <v>1035E004-001</v>
      </c>
      <c r="L4060">
        <v>1</v>
      </c>
      <c r="M4060" t="str">
        <f>"יח"</f>
        <v>יח</v>
      </c>
      <c r="N4060">
        <v>1</v>
      </c>
      <c r="O4060" t="str">
        <f>"יח"</f>
        <v>יח</v>
      </c>
      <c r="P4060" s="2">
        <v>6451.82</v>
      </c>
      <c r="Q4060" t="str">
        <f>"$"</f>
        <v>$</v>
      </c>
      <c r="R4060" t="str">
        <f>"הזמנה"</f>
        <v>הזמנה</v>
      </c>
      <c r="S4060">
        <v>0</v>
      </c>
      <c r="T4060" s="2">
        <v>6451.82</v>
      </c>
      <c r="U4060">
        <v>0</v>
      </c>
      <c r="V4060" s="2">
        <v>6451.82</v>
      </c>
      <c r="W4060" t="str">
        <f>"$"</f>
        <v>$</v>
      </c>
      <c r="X4060">
        <v>0</v>
      </c>
      <c r="Y4060">
        <v>0</v>
      </c>
      <c r="Z4060">
        <v>0</v>
      </c>
      <c r="AA4060" t="str">
        <f>"Y"</f>
        <v>Y</v>
      </c>
      <c r="AB4060" t="str">
        <f>"SO18000440"</f>
        <v>SO18000440</v>
      </c>
      <c r="AC4060">
        <v>20</v>
      </c>
      <c r="AD4060" s="1">
        <v>43313</v>
      </c>
      <c r="AE4060" t="str">
        <f>"SH19000902"</f>
        <v>SH19000902</v>
      </c>
      <c r="AF4060" t="str">
        <f>"משלוחים ללקוח"</f>
        <v>משלוחים ללקוח</v>
      </c>
      <c r="AG4060" s="1">
        <v>43636</v>
      </c>
      <c r="AM4060" t="str">
        <f>"10"</f>
        <v>10</v>
      </c>
      <c r="AN4060" t="str">
        <f>"500000"</f>
        <v>500000</v>
      </c>
      <c r="AO4060" t="str">
        <f>"הכנסות  מלקוחות"</f>
        <v>הכנסות  מלקוחות</v>
      </c>
      <c r="AQ4060" t="str">
        <f>"017"</f>
        <v>017</v>
      </c>
      <c r="AR4060">
        <v>0</v>
      </c>
      <c r="AS4060">
        <v>0</v>
      </c>
      <c r="AT4060">
        <v>3.609</v>
      </c>
      <c r="AX4060" t="str">
        <f>"E000265033"</f>
        <v>E000265033</v>
      </c>
      <c r="BD4060" t="str">
        <f>"שחר דאהמן"</f>
        <v>שחר דאהמן</v>
      </c>
    </row>
    <row r="4061" spans="1:56" x14ac:dyDescent="0.3">
      <c r="A4061" s="1">
        <v>43635</v>
      </c>
      <c r="B4061" t="str">
        <f>"SI196000732"</f>
        <v>SI196000732</v>
      </c>
      <c r="C4061" t="str">
        <f>"PR19000075"</f>
        <v>PR19000075</v>
      </c>
      <c r="E4061" t="str">
        <f>"Y"</f>
        <v>Y</v>
      </c>
      <c r="F4061" t="str">
        <f>"חשבוניות מרכזות"</f>
        <v>חשבוניות מרכזות</v>
      </c>
      <c r="G4061" t="str">
        <f>"700065"</f>
        <v>700065</v>
      </c>
      <c r="H4061" t="str">
        <f>"אלתא מערכות בע""מ"</f>
        <v>אלתא מערכות בע"מ</v>
      </c>
      <c r="I4061" t="str">
        <f>"10"</f>
        <v>10</v>
      </c>
      <c r="J4061" t="str">
        <f>"OP-ML00141"</f>
        <v>OP-ML00141</v>
      </c>
      <c r="K4061" t="str">
        <f>"ספק כוח 2CH POWER SUPPLY 6V, 15V 1U"</f>
        <v>ספק כוח 2CH POWER SUPPLY 6V, 15V 1U</v>
      </c>
      <c r="L4061">
        <v>1</v>
      </c>
      <c r="M4061" t="str">
        <f>"יח"</f>
        <v>יח</v>
      </c>
      <c r="N4061">
        <v>1</v>
      </c>
      <c r="O4061" t="str">
        <f>"יח"</f>
        <v>יח</v>
      </c>
      <c r="P4061" s="2">
        <v>2650</v>
      </c>
      <c r="Q4061" t="str">
        <f>"$"</f>
        <v>$</v>
      </c>
      <c r="R4061" t="str">
        <f>"הזמנה"</f>
        <v>הזמנה</v>
      </c>
      <c r="S4061">
        <v>0</v>
      </c>
      <c r="T4061" s="2">
        <v>2650</v>
      </c>
      <c r="U4061">
        <v>0</v>
      </c>
      <c r="V4061" s="2">
        <v>2650</v>
      </c>
      <c r="W4061" t="str">
        <f>"$"</f>
        <v>$</v>
      </c>
      <c r="X4061">
        <v>0</v>
      </c>
      <c r="Y4061">
        <v>0</v>
      </c>
      <c r="Z4061">
        <v>0</v>
      </c>
      <c r="AA4061" t="str">
        <f>"Y"</f>
        <v>Y</v>
      </c>
      <c r="AB4061" t="str">
        <f>"SO18000702"</f>
        <v>SO18000702</v>
      </c>
      <c r="AC4061">
        <v>1</v>
      </c>
      <c r="AD4061" s="1">
        <v>43452</v>
      </c>
      <c r="AE4061" t="str">
        <f>"SH19000887"</f>
        <v>SH19000887</v>
      </c>
      <c r="AF4061" t="str">
        <f>"משלוחים ללקוח"</f>
        <v>משלוחים ללקוח</v>
      </c>
      <c r="AG4061" s="1">
        <v>43632</v>
      </c>
      <c r="AM4061" t="str">
        <f>"10"</f>
        <v>10</v>
      </c>
      <c r="AN4061" t="str">
        <f>"500000"</f>
        <v>500000</v>
      </c>
      <c r="AO4061" t="str">
        <f>"הכנסות  מלקוחות"</f>
        <v>הכנסות  מלקוחות</v>
      </c>
      <c r="AQ4061" t="str">
        <f>"007"</f>
        <v>007</v>
      </c>
      <c r="AR4061">
        <v>0</v>
      </c>
      <c r="AS4061">
        <v>0</v>
      </c>
      <c r="AT4061">
        <v>3.6120000000000001</v>
      </c>
      <c r="AX4061" t="str">
        <f>"E000275915"</f>
        <v>E000275915</v>
      </c>
      <c r="BD4061" t="str">
        <f>"רוני דידי"</f>
        <v>רוני דידי</v>
      </c>
    </row>
    <row r="4062" spans="1:56" x14ac:dyDescent="0.3">
      <c r="A4062" s="1">
        <v>43620</v>
      </c>
      <c r="B4062" t="str">
        <f>"SI196000665"</f>
        <v>SI196000665</v>
      </c>
      <c r="C4062" t="str">
        <f>"PR19000182"</f>
        <v>PR19000182</v>
      </c>
      <c r="E4062" t="str">
        <f>"Y"</f>
        <v>Y</v>
      </c>
      <c r="F4062" t="str">
        <f>"חשבוניות מרכזות"</f>
        <v>חשבוניות מרכזות</v>
      </c>
      <c r="G4062" t="str">
        <f>"700065"</f>
        <v>700065</v>
      </c>
      <c r="H4062" t="str">
        <f>"אלתא מערכות בע""מ"</f>
        <v>אלתא מערכות בע"מ</v>
      </c>
      <c r="I4062" t="str">
        <f>"10"</f>
        <v>10</v>
      </c>
      <c r="J4062" t="str">
        <f>"UP9900016"</f>
        <v>UP9900016</v>
      </c>
      <c r="K4062" t="str">
        <f>"F RAIL KITS ASSY DELTA STD תושבת למצבריה"</f>
        <v>F RAIL KITS ASSY DELTA STD תושבת למצבריה</v>
      </c>
      <c r="L4062">
        <v>17</v>
      </c>
      <c r="M4062" t="str">
        <f>"יח"</f>
        <v>יח</v>
      </c>
      <c r="N4062">
        <v>17</v>
      </c>
      <c r="O4062" t="str">
        <f>"יח"</f>
        <v>יח</v>
      </c>
      <c r="P4062">
        <v>77</v>
      </c>
      <c r="Q4062" t="str">
        <f>"$"</f>
        <v>$</v>
      </c>
      <c r="R4062" t="str">
        <f>"הזמנה"</f>
        <v>הזמנה</v>
      </c>
      <c r="S4062">
        <v>0</v>
      </c>
      <c r="T4062" s="2">
        <v>1309</v>
      </c>
      <c r="U4062">
        <v>0</v>
      </c>
      <c r="V4062" s="2">
        <v>1309</v>
      </c>
      <c r="W4062" t="str">
        <f>"$"</f>
        <v>$</v>
      </c>
      <c r="X4062">
        <v>0</v>
      </c>
      <c r="Y4062">
        <v>0</v>
      </c>
      <c r="Z4062">
        <v>0</v>
      </c>
      <c r="AA4062" t="str">
        <f>"Y"</f>
        <v>Y</v>
      </c>
      <c r="AB4062" t="str">
        <f>"SO19000138"</f>
        <v>SO19000138</v>
      </c>
      <c r="AC4062">
        <v>1</v>
      </c>
      <c r="AD4062" s="1">
        <v>43551</v>
      </c>
      <c r="AE4062" t="str">
        <f>"SH19000823"</f>
        <v>SH19000823</v>
      </c>
      <c r="AF4062" t="str">
        <f>"משלוחים ללקוח"</f>
        <v>משלוחים ללקוח</v>
      </c>
      <c r="AG4062" s="1">
        <v>43620</v>
      </c>
      <c r="AM4062" t="str">
        <f>"10"</f>
        <v>10</v>
      </c>
      <c r="AN4062" t="str">
        <f>"500000"</f>
        <v>500000</v>
      </c>
      <c r="AO4062" t="str">
        <f>"הכנסות  מלקוחות"</f>
        <v>הכנסות  מלקוחות</v>
      </c>
      <c r="AQ4062" t="str">
        <f>"034"</f>
        <v>034</v>
      </c>
      <c r="AR4062">
        <v>0</v>
      </c>
      <c r="AS4062">
        <v>0</v>
      </c>
      <c r="AT4062">
        <v>3.633</v>
      </c>
      <c r="AX4062" t="str">
        <f>"E000283432"</f>
        <v>E000283432</v>
      </c>
      <c r="BD4062" t="str">
        <f>"ערן שלו"</f>
        <v>ערן שלו</v>
      </c>
    </row>
    <row r="4063" spans="1:56" x14ac:dyDescent="0.3">
      <c r="A4063" s="1">
        <v>43619</v>
      </c>
      <c r="B4063" t="str">
        <f>"SI196000662"</f>
        <v>SI196000662</v>
      </c>
      <c r="C4063" t="str">
        <f>"PR19000118"</f>
        <v>PR19000118</v>
      </c>
      <c r="D4063" t="str">
        <f>"PR19000118"</f>
        <v>PR19000118</v>
      </c>
      <c r="E4063" t="str">
        <f>"Y"</f>
        <v>Y</v>
      </c>
      <c r="F4063" t="str">
        <f>"חשבוניות מרכזות"</f>
        <v>חשבוניות מרכזות</v>
      </c>
      <c r="G4063" t="str">
        <f>"700065"</f>
        <v>700065</v>
      </c>
      <c r="H4063" t="str">
        <f>"אלתא מערכות בע""מ"</f>
        <v>אלתא מערכות בע"מ</v>
      </c>
      <c r="I4063" t="str">
        <f>"10"</f>
        <v>10</v>
      </c>
      <c r="J4063" t="str">
        <f>"000"</f>
        <v>000</v>
      </c>
      <c r="K4063" t="str">
        <f>"תמיכה בחיבור ובדיקות חשמל באת"</f>
        <v>תמיכה בחיבור ובדיקות חשמל באת</v>
      </c>
      <c r="L4063">
        <v>1</v>
      </c>
      <c r="M4063" t="str">
        <f>"יח"</f>
        <v>יח</v>
      </c>
      <c r="N4063">
        <v>1</v>
      </c>
      <c r="O4063" t="str">
        <f>"יח"</f>
        <v>יח</v>
      </c>
      <c r="P4063" s="2">
        <v>9622</v>
      </c>
      <c r="Q4063" t="str">
        <f>"$"</f>
        <v>$</v>
      </c>
      <c r="R4063" t="str">
        <f>"הזמנה"</f>
        <v>הזמנה</v>
      </c>
      <c r="S4063">
        <v>0</v>
      </c>
      <c r="T4063" s="2">
        <v>9622</v>
      </c>
      <c r="U4063">
        <v>0</v>
      </c>
      <c r="V4063" s="2">
        <v>9622</v>
      </c>
      <c r="W4063" t="str">
        <f>"$"</f>
        <v>$</v>
      </c>
      <c r="X4063">
        <v>0</v>
      </c>
      <c r="Y4063">
        <v>0</v>
      </c>
      <c r="Z4063">
        <v>0</v>
      </c>
      <c r="AA4063" t="str">
        <f>"Y"</f>
        <v>Y</v>
      </c>
      <c r="AB4063" t="str">
        <f>"SO19000128"</f>
        <v>SO19000128</v>
      </c>
      <c r="AC4063">
        <v>1</v>
      </c>
      <c r="AD4063" s="1">
        <v>43541</v>
      </c>
      <c r="AM4063" t="str">
        <f>"10"</f>
        <v>10</v>
      </c>
      <c r="AN4063" t="str">
        <f>"500000"</f>
        <v>500000</v>
      </c>
      <c r="AO4063" t="str">
        <f>"הכנסות  מלקוחות"</f>
        <v>הכנסות  מלקוחות</v>
      </c>
      <c r="AQ4063" t="str">
        <f>"034"</f>
        <v>034</v>
      </c>
      <c r="AR4063">
        <v>0</v>
      </c>
      <c r="AS4063">
        <v>0</v>
      </c>
      <c r="AT4063">
        <v>3.6339999999999999</v>
      </c>
      <c r="AX4063" t="str">
        <f>"E000280556"</f>
        <v>E000280556</v>
      </c>
      <c r="BD4063" t="str">
        <f>"ערן שלו"</f>
        <v>ערן שלו</v>
      </c>
    </row>
    <row r="4064" spans="1:56" x14ac:dyDescent="0.3">
      <c r="A4064" s="1">
        <v>43611</v>
      </c>
      <c r="B4064" t="str">
        <f>"SI196000618"</f>
        <v>SI196000618</v>
      </c>
      <c r="C4064" t="str">
        <f>"PR19000149"</f>
        <v>PR19000149</v>
      </c>
      <c r="E4064" t="str">
        <f>"Y"</f>
        <v>Y</v>
      </c>
      <c r="F4064" t="str">
        <f>"חשבוניות מרכזות"</f>
        <v>חשבוניות מרכזות</v>
      </c>
      <c r="G4064" t="str">
        <f>"700065"</f>
        <v>700065</v>
      </c>
      <c r="H4064" t="str">
        <f>"אלתא מערכות בע""מ"</f>
        <v>אלתא מערכות בע"מ</v>
      </c>
      <c r="I4064" t="str">
        <f>"10"</f>
        <v>10</v>
      </c>
      <c r="J4064" t="str">
        <f>"OP-AR00454"</f>
        <v>OP-AR00454</v>
      </c>
      <c r="K4064" t="str">
        <f>"PDU 380V/50HZ/3 PH AC POWER BOX"</f>
        <v>PDU 380V/50HZ/3 PH AC POWER BOX</v>
      </c>
      <c r="L4064">
        <v>1</v>
      </c>
      <c r="M4064" t="str">
        <f>"יח"</f>
        <v>יח</v>
      </c>
      <c r="N4064">
        <v>1</v>
      </c>
      <c r="O4064" t="str">
        <f>"יח"</f>
        <v>יח</v>
      </c>
      <c r="P4064" s="2">
        <v>1380</v>
      </c>
      <c r="Q4064" t="str">
        <f>"$"</f>
        <v>$</v>
      </c>
      <c r="R4064" t="str">
        <f>"הזמנה"</f>
        <v>הזמנה</v>
      </c>
      <c r="S4064">
        <v>0</v>
      </c>
      <c r="T4064" s="2">
        <v>1380</v>
      </c>
      <c r="U4064">
        <v>0</v>
      </c>
      <c r="V4064" s="2">
        <v>1380</v>
      </c>
      <c r="W4064" t="str">
        <f>"$"</f>
        <v>$</v>
      </c>
      <c r="X4064">
        <v>0</v>
      </c>
      <c r="Y4064">
        <v>0</v>
      </c>
      <c r="Z4064">
        <v>0</v>
      </c>
      <c r="AA4064" t="str">
        <f>"Y"</f>
        <v>Y</v>
      </c>
      <c r="AB4064" t="str">
        <f>"SO19000116"</f>
        <v>SO19000116</v>
      </c>
      <c r="AC4064">
        <v>1</v>
      </c>
      <c r="AD4064" s="1">
        <v>43536</v>
      </c>
      <c r="AE4064" t="str">
        <f>"SH19000765"</f>
        <v>SH19000765</v>
      </c>
      <c r="AF4064" t="str">
        <f>"משלוחים ללקוח"</f>
        <v>משלוחים ללקוח</v>
      </c>
      <c r="AG4064" s="1">
        <v>43607</v>
      </c>
      <c r="AM4064" t="str">
        <f>"10"</f>
        <v>10</v>
      </c>
      <c r="AN4064" t="str">
        <f>"500000"</f>
        <v>500000</v>
      </c>
      <c r="AO4064" t="str">
        <f>"הכנסות  מלקוחות"</f>
        <v>הכנסות  מלקוחות</v>
      </c>
      <c r="AQ4064" t="str">
        <f>"034"</f>
        <v>034</v>
      </c>
      <c r="AR4064">
        <v>0</v>
      </c>
      <c r="AS4064">
        <v>0</v>
      </c>
      <c r="AT4064">
        <v>3.605</v>
      </c>
      <c r="AX4064" t="str">
        <f>"E000281930"</f>
        <v>E000281930</v>
      </c>
      <c r="BD4064" t="str">
        <f>"ערן שלו"</f>
        <v>ערן שלו</v>
      </c>
    </row>
    <row r="4065" spans="1:56" x14ac:dyDescent="0.3">
      <c r="A4065" s="1">
        <v>43604</v>
      </c>
      <c r="B4065" t="str">
        <f>"SI196000601"</f>
        <v>SI196000601</v>
      </c>
      <c r="C4065" t="str">
        <f>"PR19000126"</f>
        <v>PR19000126</v>
      </c>
      <c r="D4065" t="str">
        <f>"PR19000126"</f>
        <v>PR19000126</v>
      </c>
      <c r="E4065" t="str">
        <f>"Y"</f>
        <v>Y</v>
      </c>
      <c r="F4065" t="str">
        <f>"חשבוניות מרכזות"</f>
        <v>חשבוניות מרכזות</v>
      </c>
      <c r="G4065" t="str">
        <f>"700065"</f>
        <v>700065</v>
      </c>
      <c r="H4065" t="str">
        <f>"אלתא מערכות בע""מ"</f>
        <v>אלתא מערכות בע"מ</v>
      </c>
      <c r="I4065" t="str">
        <f>"10"</f>
        <v>10</v>
      </c>
      <c r="J4065" t="str">
        <f>"OP-AR00454"</f>
        <v>OP-AR00454</v>
      </c>
      <c r="K4065" t="str">
        <f>"PDU 380V/50HZ/3 PH AC POWER BOX"</f>
        <v>PDU 380V/50HZ/3 PH AC POWER BOX</v>
      </c>
      <c r="L4065">
        <v>1</v>
      </c>
      <c r="M4065" t="str">
        <f>"יח"</f>
        <v>יח</v>
      </c>
      <c r="N4065">
        <v>1</v>
      </c>
      <c r="O4065" t="str">
        <f>"יח"</f>
        <v>יח</v>
      </c>
      <c r="P4065" s="2">
        <v>1380</v>
      </c>
      <c r="Q4065" t="str">
        <f>"$"</f>
        <v>$</v>
      </c>
      <c r="R4065" t="str">
        <f>"הזמנה"</f>
        <v>הזמנה</v>
      </c>
      <c r="S4065">
        <v>0</v>
      </c>
      <c r="T4065" s="2">
        <v>1380</v>
      </c>
      <c r="U4065">
        <v>0</v>
      </c>
      <c r="V4065" s="2">
        <v>1380</v>
      </c>
      <c r="W4065" t="str">
        <f>"$"</f>
        <v>$</v>
      </c>
      <c r="X4065">
        <v>0</v>
      </c>
      <c r="Y4065">
        <v>0</v>
      </c>
      <c r="Z4065">
        <v>0</v>
      </c>
      <c r="AA4065" t="str">
        <f>"Y"</f>
        <v>Y</v>
      </c>
      <c r="AB4065" t="str">
        <f>"SO19000100"</f>
        <v>SO19000100</v>
      </c>
      <c r="AC4065">
        <v>1</v>
      </c>
      <c r="AD4065" s="1">
        <v>43524</v>
      </c>
      <c r="AE4065" t="str">
        <f>"SH19000721"</f>
        <v>SH19000721</v>
      </c>
      <c r="AF4065" t="str">
        <f>"משלוחים ללקוח"</f>
        <v>משלוחים ללקוח</v>
      </c>
      <c r="AG4065" s="1">
        <v>43600</v>
      </c>
      <c r="AM4065" t="str">
        <f>"10"</f>
        <v>10</v>
      </c>
      <c r="AN4065" t="str">
        <f>"500000"</f>
        <v>500000</v>
      </c>
      <c r="AO4065" t="str">
        <f>"הכנסות  מלקוחות"</f>
        <v>הכנסות  מלקוחות</v>
      </c>
      <c r="AQ4065" t="str">
        <f>"034"</f>
        <v>034</v>
      </c>
      <c r="AR4065">
        <v>0</v>
      </c>
      <c r="AS4065">
        <v>0</v>
      </c>
      <c r="AT4065">
        <v>3.5750000000000002</v>
      </c>
      <c r="AX4065" t="str">
        <f>"E000281133"</f>
        <v>E000281133</v>
      </c>
      <c r="BD4065" t="str">
        <f>"ערן שלו"</f>
        <v>ערן שלו</v>
      </c>
    </row>
    <row r="4066" spans="1:56" x14ac:dyDescent="0.3">
      <c r="A4066" s="1">
        <v>43600</v>
      </c>
      <c r="B4066" t="str">
        <f>"SI196000580"</f>
        <v>SI196000580</v>
      </c>
      <c r="C4066" t="str">
        <f>"PR18000547"</f>
        <v>PR18000547</v>
      </c>
      <c r="D4066" t="str">
        <f>"PR18000547"</f>
        <v>PR18000547</v>
      </c>
      <c r="E4066" t="str">
        <f>"Y"</f>
        <v>Y</v>
      </c>
      <c r="F4066" t="str">
        <f>"חשבוניות מרכזות"</f>
        <v>חשבוניות מרכזות</v>
      </c>
      <c r="G4066" t="str">
        <f>"700065"</f>
        <v>700065</v>
      </c>
      <c r="H4066" t="str">
        <f>"אלתא מערכות בע""מ"</f>
        <v>אלתא מערכות בע"מ</v>
      </c>
      <c r="I4066" t="str">
        <f>"10"</f>
        <v>10</v>
      </c>
      <c r="J4066" t="str">
        <f>"OP-AR01088"</f>
        <v>OP-AR01088</v>
      </c>
      <c r="K4066" t="str">
        <f>"1038H185-001 SRASR POWER DISTRIUTION UNIT"</f>
        <v>1038H185-001 SRASR POWER DISTRIUTION UNIT</v>
      </c>
      <c r="L4066">
        <v>2</v>
      </c>
      <c r="M4066" t="str">
        <f>"יח"</f>
        <v>יח</v>
      </c>
      <c r="N4066">
        <v>2</v>
      </c>
      <c r="O4066" t="str">
        <f>"יח"</f>
        <v>יח</v>
      </c>
      <c r="P4066" s="2">
        <v>13598</v>
      </c>
      <c r="Q4066" t="str">
        <f>"$"</f>
        <v>$</v>
      </c>
      <c r="R4066" t="str">
        <f>"הזמנה"</f>
        <v>הזמנה</v>
      </c>
      <c r="S4066">
        <v>0</v>
      </c>
      <c r="T4066" s="2">
        <v>27196</v>
      </c>
      <c r="U4066">
        <v>0</v>
      </c>
      <c r="V4066" s="2">
        <v>27196</v>
      </c>
      <c r="W4066" t="str">
        <f>"$"</f>
        <v>$</v>
      </c>
      <c r="X4066">
        <v>0</v>
      </c>
      <c r="Y4066">
        <v>0</v>
      </c>
      <c r="Z4066">
        <v>0</v>
      </c>
      <c r="AA4066" t="str">
        <f>"Y"</f>
        <v>Y</v>
      </c>
      <c r="AB4066" t="str">
        <f>"SO18000439"</f>
        <v>SO18000439</v>
      </c>
      <c r="AC4066">
        <v>4</v>
      </c>
      <c r="AD4066" s="1">
        <v>43313</v>
      </c>
      <c r="AE4066" t="str">
        <f>"SH19000696"</f>
        <v>SH19000696</v>
      </c>
      <c r="AF4066" t="str">
        <f>"משלוחים ללקוח"</f>
        <v>משלוחים ללקוח</v>
      </c>
      <c r="AG4066" s="1">
        <v>43597</v>
      </c>
      <c r="AM4066" t="str">
        <f>"10"</f>
        <v>10</v>
      </c>
      <c r="AN4066" t="str">
        <f>"500000"</f>
        <v>500000</v>
      </c>
      <c r="AO4066" t="str">
        <f>"הכנסות  מלקוחות"</f>
        <v>הכנסות  מלקוחות</v>
      </c>
      <c r="AQ4066" t="str">
        <f>"007"</f>
        <v>007</v>
      </c>
      <c r="AR4066">
        <v>0</v>
      </c>
      <c r="AS4066">
        <v>0</v>
      </c>
      <c r="AT4066">
        <v>3.577</v>
      </c>
      <c r="AX4066" t="str">
        <f>"E000266274"</f>
        <v>E000266274</v>
      </c>
      <c r="BD4066" t="str">
        <f>"רוני דידי"</f>
        <v>רוני דידי</v>
      </c>
    </row>
    <row r="4067" spans="1:56" x14ac:dyDescent="0.3">
      <c r="A4067" s="1">
        <v>43600</v>
      </c>
      <c r="B4067" t="str">
        <f>"SI196000579"</f>
        <v>SI196000579</v>
      </c>
      <c r="C4067" t="str">
        <f>"PR17001952"</f>
        <v>PR17001952</v>
      </c>
      <c r="D4067" t="str">
        <f>"PR17001952"</f>
        <v>PR17001952</v>
      </c>
      <c r="E4067" t="str">
        <f>"Y"</f>
        <v>Y</v>
      </c>
      <c r="F4067" t="str">
        <f>"חשבוניות מרכזות"</f>
        <v>חשבוניות מרכזות</v>
      </c>
      <c r="G4067" t="str">
        <f>"700065"</f>
        <v>700065</v>
      </c>
      <c r="H4067" t="str">
        <f>"אלתא מערכות בע""מ"</f>
        <v>אלתא מערכות בע"מ</v>
      </c>
      <c r="I4067" t="str">
        <f>"10"</f>
        <v>10</v>
      </c>
      <c r="J4067" t="str">
        <f>"OP-AR00387"</f>
        <v>OP-AR00387</v>
      </c>
      <c r="K4067" t="str">
        <f>"PDU 4061D220-001"</f>
        <v>PDU 4061D220-001</v>
      </c>
      <c r="L4067">
        <v>1</v>
      </c>
      <c r="M4067" t="str">
        <f>"יח"</f>
        <v>יח</v>
      </c>
      <c r="N4067">
        <v>1</v>
      </c>
      <c r="O4067" t="str">
        <f>"יח"</f>
        <v>יח</v>
      </c>
      <c r="P4067" s="2">
        <v>23000</v>
      </c>
      <c r="Q4067" t="str">
        <f>"$"</f>
        <v>$</v>
      </c>
      <c r="R4067" t="str">
        <f>"הזמנה"</f>
        <v>הזמנה</v>
      </c>
      <c r="S4067">
        <v>0</v>
      </c>
      <c r="T4067" s="2">
        <v>23000</v>
      </c>
      <c r="U4067">
        <v>0</v>
      </c>
      <c r="V4067" s="2">
        <v>23000</v>
      </c>
      <c r="W4067" t="str">
        <f>"$"</f>
        <v>$</v>
      </c>
      <c r="X4067">
        <v>0</v>
      </c>
      <c r="Y4067">
        <v>0</v>
      </c>
      <c r="Z4067">
        <v>0</v>
      </c>
      <c r="AA4067" t="str">
        <f>"Y"</f>
        <v>Y</v>
      </c>
      <c r="AB4067" t="str">
        <f>"SO17000518"</f>
        <v>SO17000518</v>
      </c>
      <c r="AC4067">
        <v>1</v>
      </c>
      <c r="AD4067" s="1">
        <v>42941</v>
      </c>
      <c r="AE4067" t="str">
        <f>"SH19000695"</f>
        <v>SH19000695</v>
      </c>
      <c r="AF4067" t="str">
        <f>"משלוחים ללקוח"</f>
        <v>משלוחים ללקוח</v>
      </c>
      <c r="AG4067" s="1">
        <v>43597</v>
      </c>
      <c r="AM4067" t="str">
        <f>"10"</f>
        <v>10</v>
      </c>
      <c r="AN4067" t="str">
        <f>"500000"</f>
        <v>500000</v>
      </c>
      <c r="AO4067" t="str">
        <f>"הכנסות  מלקוחות"</f>
        <v>הכנסות  מלקוחות</v>
      </c>
      <c r="AQ4067" t="str">
        <f>"007"</f>
        <v>007</v>
      </c>
      <c r="AR4067">
        <v>0</v>
      </c>
      <c r="AS4067">
        <v>0</v>
      </c>
      <c r="AT4067">
        <v>3.577</v>
      </c>
      <c r="AX4067" t="str">
        <f>"E000242643"</f>
        <v>E000242643</v>
      </c>
      <c r="BD4067" t="str">
        <f>"רוני דידי"</f>
        <v>רוני דידי</v>
      </c>
    </row>
    <row r="4068" spans="1:56" x14ac:dyDescent="0.3">
      <c r="A4068" s="1">
        <v>43600</v>
      </c>
      <c r="B4068" t="str">
        <f>"SI196000578"</f>
        <v>SI196000578</v>
      </c>
      <c r="C4068" t="str">
        <f>"PR18000296"</f>
        <v>PR18000296</v>
      </c>
      <c r="E4068" t="str">
        <f>"Y"</f>
        <v>Y</v>
      </c>
      <c r="F4068" t="str">
        <f>"חשבוניות מרכזות"</f>
        <v>חשבוניות מרכזות</v>
      </c>
      <c r="G4068" t="str">
        <f>"700065"</f>
        <v>700065</v>
      </c>
      <c r="H4068" t="str">
        <f>"אלתא מערכות בע""מ"</f>
        <v>אלתא מערכות בע"מ</v>
      </c>
      <c r="I4068" t="str">
        <f>"10"</f>
        <v>10</v>
      </c>
      <c r="J4068" t="str">
        <f>"OP-AR09105-1"</f>
        <v>OP-AR09105-1</v>
      </c>
      <c r="K4068" t="str">
        <f>"לוח ARMY מק""ט לקוח 1036V310-001"</f>
        <v>לוח ARMY מק"ט לקוח 1036V310-001</v>
      </c>
      <c r="L4068">
        <v>1</v>
      </c>
      <c r="M4068" t="str">
        <f>"יח"</f>
        <v>יח</v>
      </c>
      <c r="N4068">
        <v>1</v>
      </c>
      <c r="O4068" t="str">
        <f>"יח"</f>
        <v>יח</v>
      </c>
      <c r="P4068" s="2">
        <v>38693</v>
      </c>
      <c r="Q4068" t="str">
        <f>"$"</f>
        <v>$</v>
      </c>
      <c r="R4068" t="str">
        <f>"הזמנה"</f>
        <v>הזמנה</v>
      </c>
      <c r="S4068">
        <v>0</v>
      </c>
      <c r="T4068" s="2">
        <v>38693</v>
      </c>
      <c r="U4068">
        <v>0</v>
      </c>
      <c r="V4068" s="2">
        <v>38693</v>
      </c>
      <c r="W4068" t="str">
        <f>"$"</f>
        <v>$</v>
      </c>
      <c r="X4068">
        <v>0</v>
      </c>
      <c r="Y4068">
        <v>0</v>
      </c>
      <c r="Z4068">
        <v>0</v>
      </c>
      <c r="AA4068" t="str">
        <f>"Y"</f>
        <v>Y</v>
      </c>
      <c r="AB4068" t="str">
        <f>"SO18000235"</f>
        <v>SO18000235</v>
      </c>
      <c r="AC4068">
        <v>5</v>
      </c>
      <c r="AD4068" s="1">
        <v>43207</v>
      </c>
      <c r="AE4068" t="str">
        <f>"SH19000694"</f>
        <v>SH19000694</v>
      </c>
      <c r="AF4068" t="str">
        <f>"משלוחים ללקוח"</f>
        <v>משלוחים ללקוח</v>
      </c>
      <c r="AG4068" s="1">
        <v>43597</v>
      </c>
      <c r="AM4068" t="str">
        <f>"10"</f>
        <v>10</v>
      </c>
      <c r="AN4068" t="str">
        <f>"500000"</f>
        <v>500000</v>
      </c>
      <c r="AO4068" t="str">
        <f>"הכנסות  מלקוחות"</f>
        <v>הכנסות  מלקוחות</v>
      </c>
      <c r="AQ4068" t="str">
        <f>"007"</f>
        <v>007</v>
      </c>
      <c r="AR4068">
        <v>0</v>
      </c>
      <c r="AS4068">
        <v>0</v>
      </c>
      <c r="AT4068">
        <v>3.577</v>
      </c>
      <c r="AX4068" t="str">
        <f>"E000259662"</f>
        <v>E000259662</v>
      </c>
      <c r="BD4068" t="str">
        <f>"רוני דידי"</f>
        <v>רוני דידי</v>
      </c>
    </row>
    <row r="4069" spans="1:56" x14ac:dyDescent="0.3">
      <c r="A4069" s="1">
        <v>43585</v>
      </c>
      <c r="B4069" t="str">
        <f>"SI196000516"</f>
        <v>SI196000516</v>
      </c>
      <c r="C4069" t="str">
        <f>"PR18000062"</f>
        <v>PR18000062</v>
      </c>
      <c r="D4069" t="str">
        <f>"PR18000062"</f>
        <v>PR18000062</v>
      </c>
      <c r="E4069" t="str">
        <f>"Y"</f>
        <v>Y</v>
      </c>
      <c r="F4069" t="str">
        <f>"חשבוניות מרכזות"</f>
        <v>חשבוניות מרכזות</v>
      </c>
      <c r="G4069" t="str">
        <f>"700065"</f>
        <v>700065</v>
      </c>
      <c r="H4069" t="str">
        <f>"אלתא מערכות בע""מ"</f>
        <v>אלתא מערכות בע"מ</v>
      </c>
      <c r="I4069" t="str">
        <f>"10"</f>
        <v>10</v>
      </c>
      <c r="J4069" t="str">
        <f>"999"</f>
        <v>999</v>
      </c>
      <c r="K4069" t="str">
        <f>"יום עבודה של צוות טכנאים - התקנת כבלים"</f>
        <v>יום עבודה של צוות טכנאים - התקנת כבלים</v>
      </c>
      <c r="L4069">
        <v>1</v>
      </c>
      <c r="M4069" t="str">
        <f>"חל"</f>
        <v>חל</v>
      </c>
      <c r="N4069">
        <v>1</v>
      </c>
      <c r="O4069" t="str">
        <f>"חל"</f>
        <v>חל</v>
      </c>
      <c r="P4069" s="2">
        <v>1700</v>
      </c>
      <c r="Q4069" t="str">
        <f>"$"</f>
        <v>$</v>
      </c>
      <c r="R4069" t="str">
        <f>"הזמנה"</f>
        <v>הזמנה</v>
      </c>
      <c r="S4069">
        <v>0</v>
      </c>
      <c r="T4069" s="2">
        <v>1700</v>
      </c>
      <c r="U4069">
        <v>2</v>
      </c>
      <c r="V4069" s="2">
        <v>1666</v>
      </c>
      <c r="W4069" t="str">
        <f>"$"</f>
        <v>$</v>
      </c>
      <c r="X4069">
        <v>0</v>
      </c>
      <c r="Y4069">
        <v>0</v>
      </c>
      <c r="Z4069">
        <v>0</v>
      </c>
      <c r="AA4069" t="str">
        <f>"Y"</f>
        <v>Y</v>
      </c>
      <c r="AB4069" t="str">
        <f>"SO18000046"</f>
        <v>SO18000046</v>
      </c>
      <c r="AC4069">
        <v>1</v>
      </c>
      <c r="AD4069" s="1">
        <v>43121</v>
      </c>
      <c r="AM4069" t="str">
        <f>"10"</f>
        <v>10</v>
      </c>
      <c r="AN4069" t="str">
        <f>"500000"</f>
        <v>500000</v>
      </c>
      <c r="AO4069" t="str">
        <f>"הכנסות  מלקוחות"</f>
        <v>הכנסות  מלקוחות</v>
      </c>
      <c r="AQ4069" t="str">
        <f>"007"</f>
        <v>007</v>
      </c>
      <c r="AR4069">
        <v>0</v>
      </c>
      <c r="AS4069">
        <v>0</v>
      </c>
      <c r="AT4069">
        <v>3.6179999999999999</v>
      </c>
      <c r="AX4069" t="str">
        <f>"E000251429"</f>
        <v>E000251429</v>
      </c>
      <c r="BD4069" t="str">
        <f>"רוני דידי"</f>
        <v>רוני דידי</v>
      </c>
    </row>
    <row r="4070" spans="1:56" x14ac:dyDescent="0.3">
      <c r="A4070" s="1">
        <v>43583</v>
      </c>
      <c r="B4070" t="str">
        <f>"SI196000504"</f>
        <v>SI196000504</v>
      </c>
      <c r="C4070" t="str">
        <f>"PR18000547"</f>
        <v>PR18000547</v>
      </c>
      <c r="D4070" t="str">
        <f>"PR18000547"</f>
        <v>PR18000547</v>
      </c>
      <c r="E4070" t="str">
        <f>"Y"</f>
        <v>Y</v>
      </c>
      <c r="F4070" t="str">
        <f>"חשבוניות מרכזות"</f>
        <v>חשבוניות מרכזות</v>
      </c>
      <c r="G4070" t="str">
        <f>"700065"</f>
        <v>700065</v>
      </c>
      <c r="H4070" t="str">
        <f>"אלתא מערכות בע""מ"</f>
        <v>אלתא מערכות בע"מ</v>
      </c>
      <c r="I4070" t="str">
        <f>"10"</f>
        <v>10</v>
      </c>
      <c r="J4070" t="str">
        <f>"OP-AR01088"</f>
        <v>OP-AR01088</v>
      </c>
      <c r="K4070" t="str">
        <f>"1038H185-001 SRASR POWER DISTRIUTION UNIT"</f>
        <v>1038H185-001 SRASR POWER DISTRIUTION UNIT</v>
      </c>
      <c r="L4070">
        <v>3</v>
      </c>
      <c r="M4070" t="str">
        <f>"יח"</f>
        <v>יח</v>
      </c>
      <c r="N4070">
        <v>3</v>
      </c>
      <c r="O4070" t="str">
        <f>"יח"</f>
        <v>יח</v>
      </c>
      <c r="P4070" s="2">
        <v>13598</v>
      </c>
      <c r="Q4070" t="str">
        <f>"$"</f>
        <v>$</v>
      </c>
      <c r="R4070" t="str">
        <f>"הזמנה"</f>
        <v>הזמנה</v>
      </c>
      <c r="S4070">
        <v>0</v>
      </c>
      <c r="T4070" s="2">
        <v>40794</v>
      </c>
      <c r="U4070">
        <v>0</v>
      </c>
      <c r="V4070" s="2">
        <v>40794</v>
      </c>
      <c r="W4070" t="str">
        <f>"$"</f>
        <v>$</v>
      </c>
      <c r="X4070">
        <v>0</v>
      </c>
      <c r="Y4070">
        <v>0</v>
      </c>
      <c r="Z4070">
        <v>0</v>
      </c>
      <c r="AA4070" t="str">
        <f>"Y"</f>
        <v>Y</v>
      </c>
      <c r="AB4070" t="str">
        <f>"SO18000439"</f>
        <v>SO18000439</v>
      </c>
      <c r="AC4070">
        <v>4</v>
      </c>
      <c r="AD4070" s="1">
        <v>43313</v>
      </c>
      <c r="AE4070" t="str">
        <f>"SH19000614"</f>
        <v>SH19000614</v>
      </c>
      <c r="AF4070" t="str">
        <f>"משלוחים ללקוח"</f>
        <v>משלוחים ללקוח</v>
      </c>
      <c r="AG4070" s="1">
        <v>43573</v>
      </c>
      <c r="AM4070" t="str">
        <f>"10"</f>
        <v>10</v>
      </c>
      <c r="AN4070" t="str">
        <f>"500000"</f>
        <v>500000</v>
      </c>
      <c r="AO4070" t="str">
        <f>"הכנסות  מלקוחות"</f>
        <v>הכנסות  מלקוחות</v>
      </c>
      <c r="AQ4070" t="str">
        <f>"007"</f>
        <v>007</v>
      </c>
      <c r="AR4070">
        <v>0</v>
      </c>
      <c r="AS4070">
        <v>0</v>
      </c>
      <c r="AT4070">
        <v>3.6280000000000001</v>
      </c>
      <c r="AX4070" t="str">
        <f>"E000266274"</f>
        <v>E000266274</v>
      </c>
      <c r="BD4070" t="str">
        <f>"רוני דידי"</f>
        <v>רוני דידי</v>
      </c>
    </row>
    <row r="4071" spans="1:56" x14ac:dyDescent="0.3">
      <c r="A4071" s="1">
        <v>43577</v>
      </c>
      <c r="B4071" t="str">
        <f>"SI196000498"</f>
        <v>SI196000498</v>
      </c>
      <c r="E4071" t="str">
        <f>"Y"</f>
        <v>Y</v>
      </c>
      <c r="F4071" t="str">
        <f>"חשבוניות מרכזות"</f>
        <v>חשבוניות מרכזות</v>
      </c>
      <c r="G4071" t="str">
        <f>"700065"</f>
        <v>700065</v>
      </c>
      <c r="H4071" t="str">
        <f>"אלתא מערכות בע""מ"</f>
        <v>אלתא מערכות בע"מ</v>
      </c>
      <c r="I4071" t="str">
        <f>"10"</f>
        <v>10</v>
      </c>
      <c r="J4071" t="str">
        <f>"999"</f>
        <v>999</v>
      </c>
      <c r="K4071" t="str">
        <f>"בדיקת HASS ל 1039V517-001 למצברים"</f>
        <v>בדיקת HASS ל 1039V517-001 למצברים</v>
      </c>
      <c r="L4071">
        <v>1</v>
      </c>
      <c r="M4071" t="str">
        <f>"חל"</f>
        <v>חל</v>
      </c>
      <c r="N4071">
        <v>1</v>
      </c>
      <c r="O4071" t="str">
        <f>"חל"</f>
        <v>חל</v>
      </c>
      <c r="P4071" s="2">
        <v>5100</v>
      </c>
      <c r="Q4071" t="str">
        <f>"$"</f>
        <v>$</v>
      </c>
      <c r="R4071" t="str">
        <f>"הזמנה"</f>
        <v>הזמנה</v>
      </c>
      <c r="S4071">
        <v>0</v>
      </c>
      <c r="T4071" s="2">
        <v>5100</v>
      </c>
      <c r="U4071">
        <v>0</v>
      </c>
      <c r="V4071" s="2">
        <v>5100</v>
      </c>
      <c r="W4071" t="str">
        <f>"$"</f>
        <v>$</v>
      </c>
      <c r="X4071">
        <v>0</v>
      </c>
      <c r="Y4071">
        <v>0</v>
      </c>
      <c r="Z4071">
        <v>0</v>
      </c>
      <c r="AA4071" t="str">
        <f>"Y"</f>
        <v>Y</v>
      </c>
      <c r="AB4071" t="str">
        <f>"SO18000291"</f>
        <v>SO18000291</v>
      </c>
      <c r="AC4071">
        <v>5</v>
      </c>
      <c r="AD4071" s="1">
        <v>43230</v>
      </c>
      <c r="AM4071" t="str">
        <f>"10"</f>
        <v>10</v>
      </c>
      <c r="AN4071" t="str">
        <f>"500000"</f>
        <v>500000</v>
      </c>
      <c r="AO4071" t="str">
        <f>"הכנסות  מלקוחות"</f>
        <v>הכנסות  מלקוחות</v>
      </c>
      <c r="AQ4071" t="str">
        <f>"007"</f>
        <v>007</v>
      </c>
      <c r="AR4071">
        <v>0</v>
      </c>
      <c r="AS4071">
        <v>0</v>
      </c>
      <c r="AT4071">
        <v>3.589</v>
      </c>
      <c r="AX4071" t="str">
        <f>"E000261186"</f>
        <v>E000261186</v>
      </c>
      <c r="BD4071" t="str">
        <f>"רוני דידי"</f>
        <v>רוני דידי</v>
      </c>
    </row>
    <row r="4072" spans="1:56" x14ac:dyDescent="0.3">
      <c r="A4072" s="1">
        <v>43573</v>
      </c>
      <c r="B4072" t="str">
        <f>"SI196000487"</f>
        <v>SI196000487</v>
      </c>
      <c r="C4072" t="str">
        <f>"PR18000364"</f>
        <v>PR18000364</v>
      </c>
      <c r="E4072" t="str">
        <f>"Y"</f>
        <v>Y</v>
      </c>
      <c r="F4072" t="str">
        <f>"חשבוניות מרכזות"</f>
        <v>חשבוניות מרכזות</v>
      </c>
      <c r="G4072" t="str">
        <f>"700065"</f>
        <v>700065</v>
      </c>
      <c r="H4072" t="str">
        <f>"אלתא מערכות בע""מ"</f>
        <v>אלתא מערכות בע"מ</v>
      </c>
      <c r="I4072" t="str">
        <f>"10"</f>
        <v>10</v>
      </c>
      <c r="J4072" t="str">
        <f>"OP-AR01025"</f>
        <v>OP-AR01025</v>
      </c>
      <c r="K4072" t="str">
        <f>"BATTERY BOX 1039V520-001"</f>
        <v>BATTERY BOX 1039V520-001</v>
      </c>
      <c r="L4072">
        <v>1</v>
      </c>
      <c r="M4072" t="str">
        <f>"יח"</f>
        <v>יח</v>
      </c>
      <c r="N4072">
        <v>1</v>
      </c>
      <c r="O4072" t="str">
        <f>"יח"</f>
        <v>יח</v>
      </c>
      <c r="P4072" s="2">
        <v>4750</v>
      </c>
      <c r="Q4072" t="str">
        <f>"$"</f>
        <v>$</v>
      </c>
      <c r="R4072" t="str">
        <f>"הזמנה"</f>
        <v>הזמנה</v>
      </c>
      <c r="S4072">
        <v>0</v>
      </c>
      <c r="T4072" s="2">
        <v>4750</v>
      </c>
      <c r="U4072">
        <v>0</v>
      </c>
      <c r="V4072" s="2">
        <v>4750</v>
      </c>
      <c r="W4072" t="str">
        <f>"$"</f>
        <v>$</v>
      </c>
      <c r="X4072">
        <v>0</v>
      </c>
      <c r="Y4072">
        <v>0</v>
      </c>
      <c r="Z4072">
        <v>0</v>
      </c>
      <c r="AA4072" t="str">
        <f>"Y"</f>
        <v>Y</v>
      </c>
      <c r="AB4072" t="str">
        <f>"SO18000291"</f>
        <v>SO18000291</v>
      </c>
      <c r="AC4072">
        <v>2</v>
      </c>
      <c r="AD4072" s="1">
        <v>43230</v>
      </c>
      <c r="AE4072" t="str">
        <f>"SH19000581"</f>
        <v>SH19000581</v>
      </c>
      <c r="AF4072" t="str">
        <f>"משלוחים ללקוח"</f>
        <v>משלוחים ללקוח</v>
      </c>
      <c r="AG4072" s="1">
        <v>43571</v>
      </c>
      <c r="AM4072" t="str">
        <f>"10"</f>
        <v>10</v>
      </c>
      <c r="AN4072" t="str">
        <f>"500000"</f>
        <v>500000</v>
      </c>
      <c r="AO4072" t="str">
        <f>"הכנסות  מלקוחות"</f>
        <v>הכנסות  מלקוחות</v>
      </c>
      <c r="AQ4072" t="str">
        <f>"007"</f>
        <v>007</v>
      </c>
      <c r="AR4072">
        <v>0</v>
      </c>
      <c r="AS4072">
        <v>0</v>
      </c>
      <c r="AT4072">
        <v>3.5750000000000002</v>
      </c>
      <c r="AX4072" t="str">
        <f>"E000261186"</f>
        <v>E000261186</v>
      </c>
      <c r="BD4072" t="str">
        <f>"רוני דידי"</f>
        <v>רוני דידי</v>
      </c>
    </row>
    <row r="4073" spans="1:56" x14ac:dyDescent="0.3">
      <c r="A4073" s="1">
        <v>43572</v>
      </c>
      <c r="B4073" t="str">
        <f>"SI196000485"</f>
        <v>SI196000485</v>
      </c>
      <c r="C4073" t="str">
        <f>"PR18000364"</f>
        <v>PR18000364</v>
      </c>
      <c r="E4073" t="str">
        <f>"Y"</f>
        <v>Y</v>
      </c>
      <c r="F4073" t="str">
        <f>"חשבוניות מרכזות"</f>
        <v>חשבוניות מרכזות</v>
      </c>
      <c r="G4073" t="str">
        <f>"700065"</f>
        <v>700065</v>
      </c>
      <c r="H4073" t="str">
        <f>"אלתא מערכות בע""מ"</f>
        <v>אלתא מערכות בע"מ</v>
      </c>
      <c r="I4073" t="str">
        <f>"10"</f>
        <v>10</v>
      </c>
      <c r="J4073" t="str">
        <f>"PS9900081"</f>
        <v>PS9900081</v>
      </c>
      <c r="K4073" t="str">
        <f>"מטען מצברים 1039V517-001 ירוק"</f>
        <v>מטען מצברים 1039V517-001 ירוק</v>
      </c>
      <c r="L4073">
        <v>4</v>
      </c>
      <c r="M4073" t="str">
        <f>"יח"</f>
        <v>יח</v>
      </c>
      <c r="N4073">
        <v>4</v>
      </c>
      <c r="O4073" t="str">
        <f>"יח"</f>
        <v>יח</v>
      </c>
      <c r="P4073" s="2">
        <v>5306</v>
      </c>
      <c r="Q4073" t="str">
        <f>"$"</f>
        <v>$</v>
      </c>
      <c r="R4073" t="str">
        <f>"הזמנה"</f>
        <v>הזמנה</v>
      </c>
      <c r="S4073">
        <v>0</v>
      </c>
      <c r="T4073" s="2">
        <v>21224</v>
      </c>
      <c r="U4073">
        <v>0</v>
      </c>
      <c r="V4073" s="2">
        <v>21224</v>
      </c>
      <c r="W4073" t="str">
        <f>"$"</f>
        <v>$</v>
      </c>
      <c r="X4073">
        <v>0</v>
      </c>
      <c r="Y4073">
        <v>0</v>
      </c>
      <c r="Z4073">
        <v>0</v>
      </c>
      <c r="AA4073" t="str">
        <f>"Y"</f>
        <v>Y</v>
      </c>
      <c r="AB4073" t="str">
        <f>"SO18000291"</f>
        <v>SO18000291</v>
      </c>
      <c r="AC4073">
        <v>3</v>
      </c>
      <c r="AD4073" s="1">
        <v>43230</v>
      </c>
      <c r="AE4073" t="str">
        <f>"SH19000577"</f>
        <v>SH19000577</v>
      </c>
      <c r="AF4073" t="str">
        <f>"משלוחים ללקוח"</f>
        <v>משלוחים ללקוח</v>
      </c>
      <c r="AG4073" s="1">
        <v>43566</v>
      </c>
      <c r="AM4073" t="str">
        <f>"10"</f>
        <v>10</v>
      </c>
      <c r="AN4073" t="str">
        <f>"500000"</f>
        <v>500000</v>
      </c>
      <c r="AO4073" t="str">
        <f>"הכנסות  מלקוחות"</f>
        <v>הכנסות  מלקוחות</v>
      </c>
      <c r="AQ4073" t="str">
        <f>"007"</f>
        <v>007</v>
      </c>
      <c r="AR4073">
        <v>0</v>
      </c>
      <c r="AS4073">
        <v>0</v>
      </c>
      <c r="AT4073">
        <v>3.5579999999999998</v>
      </c>
      <c r="AX4073" t="str">
        <f>"E000261186"</f>
        <v>E000261186</v>
      </c>
      <c r="BD4073" t="str">
        <f>"רוני דידי"</f>
        <v>רוני דידי</v>
      </c>
    </row>
    <row r="4074" spans="1:56" x14ac:dyDescent="0.3">
      <c r="A4074" s="1">
        <v>43572</v>
      </c>
      <c r="B4074" t="str">
        <f>"SI196000485"</f>
        <v>SI196000485</v>
      </c>
      <c r="C4074" t="str">
        <f>"PR18000364"</f>
        <v>PR18000364</v>
      </c>
      <c r="E4074" t="str">
        <f>"Y"</f>
        <v>Y</v>
      </c>
      <c r="F4074" t="str">
        <f>"חשבוניות מרכזות"</f>
        <v>חשבוניות מרכזות</v>
      </c>
      <c r="G4074" t="str">
        <f>"700065"</f>
        <v>700065</v>
      </c>
      <c r="H4074" t="str">
        <f>"אלתא מערכות בע""מ"</f>
        <v>אלתא מערכות בע"מ</v>
      </c>
      <c r="I4074" t="str">
        <f>"10"</f>
        <v>10</v>
      </c>
      <c r="J4074" t="str">
        <f>"PS9900081"</f>
        <v>PS9900081</v>
      </c>
      <c r="K4074" t="str">
        <f>"מטען מצברים 1039V517-001 ירוק"</f>
        <v>מטען מצברים 1039V517-001 ירוק</v>
      </c>
      <c r="L4074">
        <v>2</v>
      </c>
      <c r="M4074" t="str">
        <f>"יח"</f>
        <v>יח</v>
      </c>
      <c r="N4074">
        <v>2</v>
      </c>
      <c r="O4074" t="str">
        <f>"יח"</f>
        <v>יח</v>
      </c>
      <c r="P4074" s="2">
        <v>5306</v>
      </c>
      <c r="Q4074" t="str">
        <f>"$"</f>
        <v>$</v>
      </c>
      <c r="R4074" t="str">
        <f>"הזמנה"</f>
        <v>הזמנה</v>
      </c>
      <c r="S4074">
        <v>0</v>
      </c>
      <c r="T4074" s="2">
        <v>10612</v>
      </c>
      <c r="U4074">
        <v>0</v>
      </c>
      <c r="V4074" s="2">
        <v>10612</v>
      </c>
      <c r="W4074" t="str">
        <f>"$"</f>
        <v>$</v>
      </c>
      <c r="X4074">
        <v>0</v>
      </c>
      <c r="Y4074">
        <v>0</v>
      </c>
      <c r="Z4074">
        <v>0</v>
      </c>
      <c r="AA4074" t="str">
        <f>"Y"</f>
        <v>Y</v>
      </c>
      <c r="AB4074" t="str">
        <f>"SO18000291"</f>
        <v>SO18000291</v>
      </c>
      <c r="AC4074">
        <v>4</v>
      </c>
      <c r="AD4074" s="1">
        <v>43230</v>
      </c>
      <c r="AE4074" t="str">
        <f>"SH19000577"</f>
        <v>SH19000577</v>
      </c>
      <c r="AF4074" t="str">
        <f>"משלוחים ללקוח"</f>
        <v>משלוחים ללקוח</v>
      </c>
      <c r="AG4074" s="1">
        <v>43566</v>
      </c>
      <c r="AM4074" t="str">
        <f>"10"</f>
        <v>10</v>
      </c>
      <c r="AN4074" t="str">
        <f>"500000"</f>
        <v>500000</v>
      </c>
      <c r="AO4074" t="str">
        <f>"הכנסות  מלקוחות"</f>
        <v>הכנסות  מלקוחות</v>
      </c>
      <c r="AQ4074" t="str">
        <f>"007"</f>
        <v>007</v>
      </c>
      <c r="AR4074">
        <v>0</v>
      </c>
      <c r="AS4074">
        <v>0</v>
      </c>
      <c r="AT4074">
        <v>3.5579999999999998</v>
      </c>
      <c r="AX4074" t="str">
        <f>"E000261186"</f>
        <v>E000261186</v>
      </c>
      <c r="BD4074" t="str">
        <f>"רוני דידי"</f>
        <v>רוני דידי</v>
      </c>
    </row>
    <row r="4075" spans="1:56" x14ac:dyDescent="0.3">
      <c r="A4075" s="1">
        <v>43569</v>
      </c>
      <c r="B4075" t="str">
        <f>"SI196000462"</f>
        <v>SI196000462</v>
      </c>
      <c r="E4075" t="str">
        <f>"Y"</f>
        <v>Y</v>
      </c>
      <c r="F4075" t="str">
        <f>"חשבוניות מרכזות"</f>
        <v>חשבוניות מרכזות</v>
      </c>
      <c r="G4075" t="str">
        <f>"700065"</f>
        <v>700065</v>
      </c>
      <c r="H4075" t="str">
        <f>"אלתא מערכות בע""מ"</f>
        <v>אלתא מערכות בע"מ</v>
      </c>
      <c r="I4075" t="str">
        <f>"10"</f>
        <v>10</v>
      </c>
      <c r="J4075" t="str">
        <f>"000"</f>
        <v>000</v>
      </c>
      <c r="K4075" t="str">
        <f>"ATP+SHIPPING"</f>
        <v>ATP+SHIPPING</v>
      </c>
      <c r="L4075">
        <v>1</v>
      </c>
      <c r="M4075" t="str">
        <f>"יח"</f>
        <v>יח</v>
      </c>
      <c r="N4075">
        <v>1</v>
      </c>
      <c r="O4075" t="str">
        <f>"יח"</f>
        <v>יח</v>
      </c>
      <c r="P4075">
        <v>600</v>
      </c>
      <c r="Q4075" t="str">
        <f>"$"</f>
        <v>$</v>
      </c>
      <c r="R4075" t="str">
        <f>"הזמנה"</f>
        <v>הזמנה</v>
      </c>
      <c r="S4075">
        <v>0</v>
      </c>
      <c r="T4075">
        <v>600</v>
      </c>
      <c r="U4075">
        <v>0</v>
      </c>
      <c r="V4075">
        <v>600</v>
      </c>
      <c r="W4075" t="str">
        <f>"$"</f>
        <v>$</v>
      </c>
      <c r="X4075">
        <v>0</v>
      </c>
      <c r="Y4075">
        <v>0</v>
      </c>
      <c r="Z4075">
        <v>0</v>
      </c>
      <c r="AA4075" t="str">
        <f>"Y"</f>
        <v>Y</v>
      </c>
      <c r="AB4075" t="str">
        <f>"SO19000072"</f>
        <v>SO19000072</v>
      </c>
      <c r="AC4075">
        <v>3</v>
      </c>
      <c r="AD4075" s="1">
        <v>43500</v>
      </c>
      <c r="AM4075" t="str">
        <f>"10"</f>
        <v>10</v>
      </c>
      <c r="AN4075" t="str">
        <f>"500000"</f>
        <v>500000</v>
      </c>
      <c r="AO4075" t="str">
        <f>"הכנסות  מלקוחות"</f>
        <v>הכנסות  מלקוחות</v>
      </c>
      <c r="AQ4075" t="str">
        <f>"007"</f>
        <v>007</v>
      </c>
      <c r="AR4075">
        <v>0</v>
      </c>
      <c r="AS4075">
        <v>0</v>
      </c>
      <c r="AT4075">
        <v>3.5779999999999998</v>
      </c>
      <c r="AX4075" t="str">
        <f>"E000258766"</f>
        <v>E000258766</v>
      </c>
      <c r="BD4075" t="str">
        <f>"רוני דידי"</f>
        <v>רוני דידי</v>
      </c>
    </row>
    <row r="4076" spans="1:56" x14ac:dyDescent="0.3">
      <c r="A4076" s="1">
        <v>43569</v>
      </c>
      <c r="B4076" t="str">
        <f>"SI196000458"</f>
        <v>SI196000458</v>
      </c>
      <c r="C4076" t="str">
        <f>"PR18000881"</f>
        <v>PR18000881</v>
      </c>
      <c r="E4076" t="str">
        <f>"Y"</f>
        <v>Y</v>
      </c>
      <c r="F4076" t="str">
        <f>"חשבוניות מרכזות"</f>
        <v>חשבוניות מרכזות</v>
      </c>
      <c r="G4076" t="str">
        <f>"700065"</f>
        <v>700065</v>
      </c>
      <c r="H4076" t="str">
        <f>"אלתא מערכות בע""מ"</f>
        <v>אלתא מערכות בע"מ</v>
      </c>
      <c r="I4076" t="str">
        <f>"10"</f>
        <v>10</v>
      </c>
      <c r="J4076" t="str">
        <f>"000"</f>
        <v>000</v>
      </c>
      <c r="K4076" t="str">
        <f>"אריזת עץ ייעודית הפעלת אופצ"</f>
        <v>אריזת עץ ייעודית הפעלת אופצ</v>
      </c>
      <c r="L4076">
        <v>1</v>
      </c>
      <c r="M4076" t="str">
        <f>"יח"</f>
        <v>יח</v>
      </c>
      <c r="N4076">
        <v>1</v>
      </c>
      <c r="O4076" t="str">
        <f>"יח"</f>
        <v>יח</v>
      </c>
      <c r="P4076">
        <v>500</v>
      </c>
      <c r="Q4076" t="str">
        <f>"$"</f>
        <v>$</v>
      </c>
      <c r="R4076" t="str">
        <f>"הזמנה"</f>
        <v>הזמנה</v>
      </c>
      <c r="S4076">
        <v>0</v>
      </c>
      <c r="T4076">
        <v>500</v>
      </c>
      <c r="U4076">
        <v>0</v>
      </c>
      <c r="V4076">
        <v>500</v>
      </c>
      <c r="W4076" t="str">
        <f>"$"</f>
        <v>$</v>
      </c>
      <c r="X4076">
        <v>0</v>
      </c>
      <c r="Y4076">
        <v>0</v>
      </c>
      <c r="Z4076">
        <v>0</v>
      </c>
      <c r="AA4076" t="str">
        <f>"Y"</f>
        <v>Y</v>
      </c>
      <c r="AB4076" t="str">
        <f>"SO19000141"</f>
        <v>SO19000141</v>
      </c>
      <c r="AC4076">
        <v>2</v>
      </c>
      <c r="AD4076" s="1">
        <v>43555</v>
      </c>
      <c r="AE4076" t="str">
        <f>"SH19000544"</f>
        <v>SH19000544</v>
      </c>
      <c r="AF4076" t="str">
        <f>"משלוחים ללקוח"</f>
        <v>משלוחים ללקוח</v>
      </c>
      <c r="AG4076" s="1">
        <v>43563</v>
      </c>
      <c r="AM4076" t="str">
        <f>"10"</f>
        <v>10</v>
      </c>
      <c r="AN4076" t="str">
        <f>"500000"</f>
        <v>500000</v>
      </c>
      <c r="AO4076" t="str">
        <f>"הכנסות  מלקוחות"</f>
        <v>הכנסות  מלקוחות</v>
      </c>
      <c r="AQ4076" t="str">
        <f>"034"</f>
        <v>034</v>
      </c>
      <c r="AR4076">
        <v>0</v>
      </c>
      <c r="AS4076">
        <v>0</v>
      </c>
      <c r="AT4076">
        <v>3.5779999999999998</v>
      </c>
      <c r="AX4076" t="str">
        <f>"E000273756"</f>
        <v>E000273756</v>
      </c>
      <c r="BD4076" t="str">
        <f>"ערן שלו"</f>
        <v>ערן שלו</v>
      </c>
    </row>
    <row r="4077" spans="1:56" x14ac:dyDescent="0.3">
      <c r="A4077" s="1">
        <v>43569</v>
      </c>
      <c r="B4077" t="str">
        <f>"SI196000457"</f>
        <v>SI196000457</v>
      </c>
      <c r="C4077" t="str">
        <f>"PR18000664"</f>
        <v>PR18000664</v>
      </c>
      <c r="D4077" t="str">
        <f>"PR18000664"</f>
        <v>PR18000664</v>
      </c>
      <c r="E4077" t="str">
        <f>"Y"</f>
        <v>Y</v>
      </c>
      <c r="F4077" t="str">
        <f>"חשבוניות מרכזות"</f>
        <v>חשבוניות מרכזות</v>
      </c>
      <c r="G4077" t="str">
        <f>"700065"</f>
        <v>700065</v>
      </c>
      <c r="H4077" t="str">
        <f>"אלתא מערכות בע""מ"</f>
        <v>אלתא מערכות בע"מ</v>
      </c>
      <c r="I4077" t="str">
        <f>"10"</f>
        <v>10</v>
      </c>
      <c r="J4077" t="str">
        <f>"CB1100205"</f>
        <v>CB1100205</v>
      </c>
      <c r="K4077" t="str">
        <f>"כבל הזנה 20 H07RNF 5X35מ', 5X125A IP67 , נעל כבל"</f>
        <v>כבל הזנה 20 H07RNF 5X35מ', 5X125A IP67 , נעל כבל</v>
      </c>
      <c r="L4077">
        <v>1</v>
      </c>
      <c r="M4077" t="str">
        <f>"יח"</f>
        <v>יח</v>
      </c>
      <c r="N4077">
        <v>1</v>
      </c>
      <c r="O4077" t="str">
        <f>"יח"</f>
        <v>יח</v>
      </c>
      <c r="P4077" s="2">
        <v>1092.7</v>
      </c>
      <c r="Q4077" t="str">
        <f>"$"</f>
        <v>$</v>
      </c>
      <c r="R4077" t="str">
        <f>"הזמנה"</f>
        <v>הזמנה</v>
      </c>
      <c r="S4077">
        <v>0</v>
      </c>
      <c r="T4077" s="2">
        <v>1092.7</v>
      </c>
      <c r="U4077">
        <v>0</v>
      </c>
      <c r="V4077" s="2">
        <v>1092.7</v>
      </c>
      <c r="W4077" t="str">
        <f>"$"</f>
        <v>$</v>
      </c>
      <c r="X4077">
        <v>0</v>
      </c>
      <c r="Y4077">
        <v>0</v>
      </c>
      <c r="Z4077">
        <v>0</v>
      </c>
      <c r="AA4077" t="str">
        <f>"Y"</f>
        <v>Y</v>
      </c>
      <c r="AB4077" t="str">
        <f>"SO18000549"</f>
        <v>SO18000549</v>
      </c>
      <c r="AC4077">
        <v>1</v>
      </c>
      <c r="AD4077" s="1">
        <v>43376</v>
      </c>
      <c r="AE4077" t="str">
        <f>"SH19000541"</f>
        <v>SH19000541</v>
      </c>
      <c r="AF4077" t="str">
        <f>"משלוחים ללקוח"</f>
        <v>משלוחים ללקוח</v>
      </c>
      <c r="AG4077" s="1">
        <v>43563</v>
      </c>
      <c r="AM4077" t="str">
        <f>"10"</f>
        <v>10</v>
      </c>
      <c r="AN4077" t="str">
        <f>"500000"</f>
        <v>500000</v>
      </c>
      <c r="AO4077" t="str">
        <f>"הכנסות  מלקוחות"</f>
        <v>הכנסות  מלקוחות</v>
      </c>
      <c r="AQ4077" t="str">
        <f>"004"</f>
        <v>004</v>
      </c>
      <c r="AR4077">
        <v>0</v>
      </c>
      <c r="AS4077">
        <v>0</v>
      </c>
      <c r="AT4077">
        <v>3.5779999999999998</v>
      </c>
      <c r="AX4077" t="str">
        <f>"E000269124"</f>
        <v>E000269124</v>
      </c>
      <c r="BD4077" t="str">
        <f>"איציק חדד"</f>
        <v>איציק חדד</v>
      </c>
    </row>
    <row r="4078" spans="1:56" x14ac:dyDescent="0.3">
      <c r="A4078" s="1">
        <v>43569</v>
      </c>
      <c r="B4078" t="str">
        <f>"SI196000457"</f>
        <v>SI196000457</v>
      </c>
      <c r="C4078" t="str">
        <f>"PR18000664"</f>
        <v>PR18000664</v>
      </c>
      <c r="D4078" t="str">
        <f>"PR18000664"</f>
        <v>PR18000664</v>
      </c>
      <c r="E4078" t="str">
        <f>"Y"</f>
        <v>Y</v>
      </c>
      <c r="F4078" t="str">
        <f>"חשבוניות מרכזות"</f>
        <v>חשבוניות מרכזות</v>
      </c>
      <c r="G4078" t="str">
        <f>"700065"</f>
        <v>700065</v>
      </c>
      <c r="H4078" t="str">
        <f>"אלתא מערכות בע""מ"</f>
        <v>אלתא מערכות בע"מ</v>
      </c>
      <c r="I4078" t="str">
        <f>"10"</f>
        <v>10</v>
      </c>
      <c r="J4078" t="str">
        <f>"OP-AR22723"</f>
        <v>OP-AR22723</v>
      </c>
      <c r="K4078" t="str">
        <f>"CB1100206"</f>
        <v>CB1100206</v>
      </c>
      <c r="L4078">
        <v>1</v>
      </c>
      <c r="M4078" t="str">
        <f>"יח"</f>
        <v>יח</v>
      </c>
      <c r="N4078">
        <v>1</v>
      </c>
      <c r="O4078" t="str">
        <f>"יח"</f>
        <v>יח</v>
      </c>
      <c r="P4078" s="2">
        <v>3136</v>
      </c>
      <c r="Q4078" t="str">
        <f>"$"</f>
        <v>$</v>
      </c>
      <c r="R4078" t="str">
        <f>"הזמנה"</f>
        <v>הזמנה</v>
      </c>
      <c r="S4078">
        <v>0</v>
      </c>
      <c r="T4078" s="2">
        <v>3136</v>
      </c>
      <c r="U4078">
        <v>0</v>
      </c>
      <c r="V4078" s="2">
        <v>3136</v>
      </c>
      <c r="W4078" t="str">
        <f>"$"</f>
        <v>$</v>
      </c>
      <c r="X4078">
        <v>0</v>
      </c>
      <c r="Y4078">
        <v>0</v>
      </c>
      <c r="Z4078">
        <v>0</v>
      </c>
      <c r="AA4078" t="str">
        <f>"Y"</f>
        <v>Y</v>
      </c>
      <c r="AB4078" t="str">
        <f>"SO18000549"</f>
        <v>SO18000549</v>
      </c>
      <c r="AC4078">
        <v>2</v>
      </c>
      <c r="AD4078" s="1">
        <v>43376</v>
      </c>
      <c r="AE4078" t="str">
        <f>"SH19000541"</f>
        <v>SH19000541</v>
      </c>
      <c r="AF4078" t="str">
        <f>"משלוחים ללקוח"</f>
        <v>משלוחים ללקוח</v>
      </c>
      <c r="AG4078" s="1">
        <v>43563</v>
      </c>
      <c r="AM4078" t="str">
        <f>"10"</f>
        <v>10</v>
      </c>
      <c r="AN4078" t="str">
        <f>"500000"</f>
        <v>500000</v>
      </c>
      <c r="AO4078" t="str">
        <f>"הכנסות  מלקוחות"</f>
        <v>הכנסות  מלקוחות</v>
      </c>
      <c r="AQ4078" t="str">
        <f>"004"</f>
        <v>004</v>
      </c>
      <c r="AR4078">
        <v>0</v>
      </c>
      <c r="AS4078">
        <v>0</v>
      </c>
      <c r="AT4078">
        <v>3.5779999999999998</v>
      </c>
      <c r="AX4078" t="str">
        <f>"E000269124"</f>
        <v>E000269124</v>
      </c>
      <c r="BD4078" t="str">
        <f>"איציק חדד"</f>
        <v>איציק חדד</v>
      </c>
    </row>
    <row r="4079" spans="1:56" x14ac:dyDescent="0.3">
      <c r="A4079" s="1">
        <v>43569</v>
      </c>
      <c r="B4079" t="str">
        <f>"SI196000457"</f>
        <v>SI196000457</v>
      </c>
      <c r="C4079" t="str">
        <f>"PR18000664"</f>
        <v>PR18000664</v>
      </c>
      <c r="D4079" t="str">
        <f>"PR18000664"</f>
        <v>PR18000664</v>
      </c>
      <c r="E4079" t="str">
        <f>"Y"</f>
        <v>Y</v>
      </c>
      <c r="F4079" t="str">
        <f>"חשבוניות מרכזות"</f>
        <v>חשבוניות מרכזות</v>
      </c>
      <c r="G4079" t="str">
        <f>"700065"</f>
        <v>700065</v>
      </c>
      <c r="H4079" t="str">
        <f>"אלתא מערכות בע""מ"</f>
        <v>אלתא מערכות בע"מ</v>
      </c>
      <c r="I4079" t="str">
        <f>"10"</f>
        <v>10</v>
      </c>
      <c r="J4079" t="str">
        <f>"CB1100207"</f>
        <v>CB1100207</v>
      </c>
      <c r="K4079" t="str">
        <f>"כבל 50 H07RNF 1X95 -320מ', 2 מחברי ITS4106A5C36"</f>
        <v>כבל 50 H07RNF 1X95 -320מ', 2 מחברי ITS4106A5C36</v>
      </c>
      <c r="L4079">
        <v>1</v>
      </c>
      <c r="M4079" t="str">
        <f>"יח"</f>
        <v>יח</v>
      </c>
      <c r="N4079">
        <v>1</v>
      </c>
      <c r="O4079" t="str">
        <f>"יח"</f>
        <v>יח</v>
      </c>
      <c r="P4079" s="2">
        <v>3253.6</v>
      </c>
      <c r="Q4079" t="str">
        <f>"$"</f>
        <v>$</v>
      </c>
      <c r="R4079" t="str">
        <f>"הזמנה"</f>
        <v>הזמנה</v>
      </c>
      <c r="S4079">
        <v>0</v>
      </c>
      <c r="T4079" s="2">
        <v>3253.6</v>
      </c>
      <c r="U4079">
        <v>0</v>
      </c>
      <c r="V4079" s="2">
        <v>3253.6</v>
      </c>
      <c r="W4079" t="str">
        <f>"$"</f>
        <v>$</v>
      </c>
      <c r="X4079">
        <v>0</v>
      </c>
      <c r="Y4079">
        <v>0</v>
      </c>
      <c r="Z4079">
        <v>0</v>
      </c>
      <c r="AA4079" t="str">
        <f>"Y"</f>
        <v>Y</v>
      </c>
      <c r="AB4079" t="str">
        <f>"SO18000549"</f>
        <v>SO18000549</v>
      </c>
      <c r="AC4079">
        <v>3</v>
      </c>
      <c r="AD4079" s="1">
        <v>43376</v>
      </c>
      <c r="AE4079" t="str">
        <f>"SH19000541"</f>
        <v>SH19000541</v>
      </c>
      <c r="AF4079" t="str">
        <f>"משלוחים ללקוח"</f>
        <v>משלוחים ללקוח</v>
      </c>
      <c r="AG4079" s="1">
        <v>43563</v>
      </c>
      <c r="AM4079" t="str">
        <f>"10"</f>
        <v>10</v>
      </c>
      <c r="AN4079" t="str">
        <f>"500000"</f>
        <v>500000</v>
      </c>
      <c r="AO4079" t="str">
        <f>"הכנסות  מלקוחות"</f>
        <v>הכנסות  מלקוחות</v>
      </c>
      <c r="AQ4079" t="str">
        <f>"004"</f>
        <v>004</v>
      </c>
      <c r="AR4079">
        <v>0</v>
      </c>
      <c r="AS4079">
        <v>0</v>
      </c>
      <c r="AT4079">
        <v>3.5779999999999998</v>
      </c>
      <c r="AX4079" t="str">
        <f>"E000269124"</f>
        <v>E000269124</v>
      </c>
      <c r="BD4079" t="str">
        <f>"איציק חדד"</f>
        <v>איציק חדד</v>
      </c>
    </row>
    <row r="4080" spans="1:56" x14ac:dyDescent="0.3">
      <c r="A4080" s="1">
        <v>43569</v>
      </c>
      <c r="B4080" t="str">
        <f>"SI196000456"</f>
        <v>SI196000456</v>
      </c>
      <c r="C4080" t="str">
        <f>"PR16000728"</f>
        <v>PR16000728</v>
      </c>
      <c r="D4080" t="str">
        <f>"PR16000728"</f>
        <v>PR16000728</v>
      </c>
      <c r="E4080" t="str">
        <f>"Y"</f>
        <v>Y</v>
      </c>
      <c r="F4080" t="str">
        <f>"חשבוניות מרכזות"</f>
        <v>חשבוניות מרכזות</v>
      </c>
      <c r="G4080" t="str">
        <f>"700065"</f>
        <v>700065</v>
      </c>
      <c r="H4080" t="str">
        <f>"אלתא מערכות בע""מ"</f>
        <v>אלתא מערכות בע"מ</v>
      </c>
      <c r="I4080" t="str">
        <f>"10"</f>
        <v>10</v>
      </c>
      <c r="J4080" t="str">
        <f>"OP-AR00387"</f>
        <v>OP-AR00387</v>
      </c>
      <c r="K4080" t="str">
        <f>"PDU 4061D220-001"</f>
        <v>PDU 4061D220-001</v>
      </c>
      <c r="L4080">
        <v>1</v>
      </c>
      <c r="M4080" t="str">
        <f>"יח"</f>
        <v>יח</v>
      </c>
      <c r="N4080">
        <v>1</v>
      </c>
      <c r="O4080" t="str">
        <f>"יח"</f>
        <v>יח</v>
      </c>
      <c r="P4080" s="2">
        <v>23000</v>
      </c>
      <c r="Q4080" t="str">
        <f>"$"</f>
        <v>$</v>
      </c>
      <c r="R4080" t="str">
        <f>"הזמנה"</f>
        <v>הזמנה</v>
      </c>
      <c r="S4080">
        <v>0</v>
      </c>
      <c r="T4080" s="2">
        <v>23000</v>
      </c>
      <c r="U4080">
        <v>0</v>
      </c>
      <c r="V4080" s="2">
        <v>23000</v>
      </c>
      <c r="W4080" t="str">
        <f>"$"</f>
        <v>$</v>
      </c>
      <c r="X4080">
        <v>0</v>
      </c>
      <c r="Y4080">
        <v>0</v>
      </c>
      <c r="Z4080">
        <v>0</v>
      </c>
      <c r="AA4080" t="str">
        <f>"Y"</f>
        <v>Y</v>
      </c>
      <c r="AB4080" t="str">
        <f>"SO160000558"</f>
        <v>SO160000558</v>
      </c>
      <c r="AC4080">
        <v>4</v>
      </c>
      <c r="AD4080" s="1">
        <v>42576</v>
      </c>
      <c r="AE4080" t="str">
        <f>"SH19000553"</f>
        <v>SH19000553</v>
      </c>
      <c r="AF4080" t="str">
        <f>"משלוחים ללקוח"</f>
        <v>משלוחים ללקוח</v>
      </c>
      <c r="AG4080" s="1">
        <v>43563</v>
      </c>
      <c r="AM4080" t="str">
        <f>"10"</f>
        <v>10</v>
      </c>
      <c r="AN4080" t="str">
        <f>"500000"</f>
        <v>500000</v>
      </c>
      <c r="AO4080" t="str">
        <f>"הכנסות  מלקוחות"</f>
        <v>הכנסות  מלקוחות</v>
      </c>
      <c r="AQ4080" t="str">
        <f>"007"</f>
        <v>007</v>
      </c>
      <c r="AR4080">
        <v>0</v>
      </c>
      <c r="AS4080">
        <v>0</v>
      </c>
      <c r="AT4080">
        <v>3.5779999999999998</v>
      </c>
      <c r="AX4080" t="str">
        <f>"E000220880"</f>
        <v>E000220880</v>
      </c>
      <c r="BD4080" t="str">
        <f>"רוני דידי"</f>
        <v>רוני דידי</v>
      </c>
    </row>
    <row r="4081" spans="1:56" x14ac:dyDescent="0.3">
      <c r="A4081" s="1">
        <v>43569</v>
      </c>
      <c r="B4081" t="str">
        <f>"SI196000453"</f>
        <v>SI196000453</v>
      </c>
      <c r="C4081" t="str">
        <f>"PR16000728"</f>
        <v>PR16000728</v>
      </c>
      <c r="D4081" t="str">
        <f>"PR16000728"</f>
        <v>PR16000728</v>
      </c>
      <c r="E4081" t="str">
        <f>"Y"</f>
        <v>Y</v>
      </c>
      <c r="F4081" t="str">
        <f>"חשבוניות מרכזות"</f>
        <v>חשבוניות מרכזות</v>
      </c>
      <c r="G4081" t="str">
        <f>"700065"</f>
        <v>700065</v>
      </c>
      <c r="H4081" t="str">
        <f>"אלתא מערכות בע""מ"</f>
        <v>אלתא מערכות בע"מ</v>
      </c>
      <c r="I4081" t="str">
        <f>"10"</f>
        <v>10</v>
      </c>
      <c r="J4081" t="str">
        <f>"000"</f>
        <v>000</v>
      </c>
      <c r="K4081" t="str">
        <f>"NRE PDU"</f>
        <v>NRE PDU</v>
      </c>
      <c r="L4081">
        <v>1</v>
      </c>
      <c r="M4081" t="str">
        <f>"יח"</f>
        <v>יח</v>
      </c>
      <c r="N4081">
        <v>1</v>
      </c>
      <c r="O4081" t="str">
        <f>"יח"</f>
        <v>יח</v>
      </c>
      <c r="P4081" s="2">
        <v>12000</v>
      </c>
      <c r="Q4081" t="str">
        <f>"$"</f>
        <v>$</v>
      </c>
      <c r="R4081" t="str">
        <f>"הזמנה"</f>
        <v>הזמנה</v>
      </c>
      <c r="S4081">
        <v>0</v>
      </c>
      <c r="T4081" s="2">
        <v>12000</v>
      </c>
      <c r="U4081">
        <v>0</v>
      </c>
      <c r="V4081" s="2">
        <v>12000</v>
      </c>
      <c r="W4081" t="str">
        <f>"$"</f>
        <v>$</v>
      </c>
      <c r="X4081">
        <v>0</v>
      </c>
      <c r="Y4081">
        <v>0</v>
      </c>
      <c r="Z4081">
        <v>0</v>
      </c>
      <c r="AA4081" t="str">
        <f>"Y"</f>
        <v>Y</v>
      </c>
      <c r="AB4081" t="str">
        <f>"SO160000558"</f>
        <v>SO160000558</v>
      </c>
      <c r="AC4081">
        <v>1</v>
      </c>
      <c r="AD4081" s="1">
        <v>42576</v>
      </c>
      <c r="AM4081" t="str">
        <f>"10"</f>
        <v>10</v>
      </c>
      <c r="AN4081" t="str">
        <f>"500000"</f>
        <v>500000</v>
      </c>
      <c r="AO4081" t="str">
        <f>"הכנסות  מלקוחות"</f>
        <v>הכנסות  מלקוחות</v>
      </c>
      <c r="AQ4081" t="str">
        <f>"007"</f>
        <v>007</v>
      </c>
      <c r="AR4081">
        <v>0</v>
      </c>
      <c r="AS4081">
        <v>0</v>
      </c>
      <c r="AT4081">
        <v>3.5779999999999998</v>
      </c>
      <c r="AX4081" t="str">
        <f>"E000220880"</f>
        <v>E000220880</v>
      </c>
      <c r="BD4081" t="str">
        <f>"רוני דידי"</f>
        <v>רוני דידי</v>
      </c>
    </row>
    <row r="4082" spans="1:56" x14ac:dyDescent="0.3">
      <c r="A4082" s="1">
        <v>43569</v>
      </c>
      <c r="B4082" t="str">
        <f>"SI196000453"</f>
        <v>SI196000453</v>
      </c>
      <c r="C4082" t="str">
        <f>"PR16000728"</f>
        <v>PR16000728</v>
      </c>
      <c r="D4082" t="str">
        <f>"PR16000728"</f>
        <v>PR16000728</v>
      </c>
      <c r="E4082" t="str">
        <f>"Y"</f>
        <v>Y</v>
      </c>
      <c r="F4082" t="str">
        <f>"חשבוניות מרכזות"</f>
        <v>חשבוניות מרכזות</v>
      </c>
      <c r="G4082" t="str">
        <f>"700065"</f>
        <v>700065</v>
      </c>
      <c r="H4082" t="str">
        <f>"אלתא מערכות בע""מ"</f>
        <v>אלתא מערכות בע"מ</v>
      </c>
      <c r="I4082" t="str">
        <f>"10"</f>
        <v>10</v>
      </c>
      <c r="J4082" t="str">
        <f>"000"</f>
        <v>000</v>
      </c>
      <c r="K4082" t="str">
        <f>"QUAL PDU"</f>
        <v>QUAL PDU</v>
      </c>
      <c r="L4082">
        <v>1</v>
      </c>
      <c r="M4082" t="str">
        <f>"יח"</f>
        <v>יח</v>
      </c>
      <c r="N4082">
        <v>1</v>
      </c>
      <c r="O4082" t="str">
        <f>"יח"</f>
        <v>יח</v>
      </c>
      <c r="P4082" s="2">
        <v>27000</v>
      </c>
      <c r="Q4082" t="str">
        <f>"$"</f>
        <v>$</v>
      </c>
      <c r="R4082" t="str">
        <f>"הזמנה"</f>
        <v>הזמנה</v>
      </c>
      <c r="S4082">
        <v>0</v>
      </c>
      <c r="T4082" s="2">
        <v>27000</v>
      </c>
      <c r="U4082">
        <v>0</v>
      </c>
      <c r="V4082" s="2">
        <v>27000</v>
      </c>
      <c r="W4082" t="str">
        <f>"$"</f>
        <v>$</v>
      </c>
      <c r="X4082">
        <v>0</v>
      </c>
      <c r="Y4082">
        <v>0</v>
      </c>
      <c r="Z4082">
        <v>0</v>
      </c>
      <c r="AA4082" t="str">
        <f>"Y"</f>
        <v>Y</v>
      </c>
      <c r="AB4082" t="str">
        <f>"SO160000558"</f>
        <v>SO160000558</v>
      </c>
      <c r="AC4082">
        <v>2</v>
      </c>
      <c r="AD4082" s="1">
        <v>42576</v>
      </c>
      <c r="AM4082" t="str">
        <f>"10"</f>
        <v>10</v>
      </c>
      <c r="AN4082" t="str">
        <f>"500000"</f>
        <v>500000</v>
      </c>
      <c r="AO4082" t="str">
        <f>"הכנסות  מלקוחות"</f>
        <v>הכנסות  מלקוחות</v>
      </c>
      <c r="AQ4082" t="str">
        <f>"007"</f>
        <v>007</v>
      </c>
      <c r="AR4082">
        <v>0</v>
      </c>
      <c r="AS4082">
        <v>0</v>
      </c>
      <c r="AT4082">
        <v>3.5779999999999998</v>
      </c>
      <c r="AX4082" t="str">
        <f>"E000220880"</f>
        <v>E000220880</v>
      </c>
      <c r="BD4082" t="str">
        <f>"רוני דידי"</f>
        <v>רוני דידי</v>
      </c>
    </row>
    <row r="4083" spans="1:56" x14ac:dyDescent="0.3">
      <c r="A4083" s="1">
        <v>43559</v>
      </c>
      <c r="B4083" t="str">
        <f>"SI196000420"</f>
        <v>SI196000420</v>
      </c>
      <c r="C4083" t="str">
        <f>"PR19000101"</f>
        <v>PR19000101</v>
      </c>
      <c r="E4083" t="str">
        <f>"Y"</f>
        <v>Y</v>
      </c>
      <c r="F4083" t="str">
        <f>"חשבוניות מרכזות"</f>
        <v>חשבוניות מרכזות</v>
      </c>
      <c r="G4083" t="str">
        <f>"700065"</f>
        <v>700065</v>
      </c>
      <c r="H4083" t="str">
        <f>"אלתא מערכות בע""מ"</f>
        <v>אלתא מערכות בע"מ</v>
      </c>
      <c r="I4083" t="str">
        <f>"10"</f>
        <v>10</v>
      </c>
      <c r="J4083" t="str">
        <f>"ZV0200104"</f>
        <v>ZV0200104</v>
      </c>
      <c r="K4083" t="str">
        <f>"מסד ""24U 19 עומק מטר כולל אביזרים ע""פ דרישה"</f>
        <v>מסד "24U 19 עומק מטר כולל אביזרים ע"פ דרישה</v>
      </c>
      <c r="L4083">
        <v>2</v>
      </c>
      <c r="M4083" t="str">
        <f>"יח"</f>
        <v>יח</v>
      </c>
      <c r="N4083">
        <v>2</v>
      </c>
      <c r="O4083" t="str">
        <f>"יח"</f>
        <v>יח</v>
      </c>
      <c r="P4083" s="2">
        <v>1080</v>
      </c>
      <c r="Q4083" t="str">
        <f>"$"</f>
        <v>$</v>
      </c>
      <c r="R4083" t="str">
        <f>"הזמנה"</f>
        <v>הזמנה</v>
      </c>
      <c r="S4083">
        <v>0</v>
      </c>
      <c r="T4083" s="2">
        <v>2160</v>
      </c>
      <c r="U4083">
        <v>0</v>
      </c>
      <c r="V4083" s="2">
        <v>2160</v>
      </c>
      <c r="W4083" t="str">
        <f>"$"</f>
        <v>$</v>
      </c>
      <c r="X4083">
        <v>0</v>
      </c>
      <c r="Y4083">
        <v>0</v>
      </c>
      <c r="Z4083">
        <v>0</v>
      </c>
      <c r="AA4083" t="str">
        <f>"Y"</f>
        <v>Y</v>
      </c>
      <c r="AB4083" t="str">
        <f>"SO19000072"</f>
        <v>SO19000072</v>
      </c>
      <c r="AC4083">
        <v>1</v>
      </c>
      <c r="AD4083" s="1">
        <v>43500</v>
      </c>
      <c r="AE4083" t="str">
        <f>"SH19000534"</f>
        <v>SH19000534</v>
      </c>
      <c r="AF4083" t="str">
        <f>"משלוחים ללקוח"</f>
        <v>משלוחים ללקוח</v>
      </c>
      <c r="AG4083" s="1">
        <v>43559</v>
      </c>
      <c r="AM4083" t="str">
        <f>"10"</f>
        <v>10</v>
      </c>
      <c r="AN4083" t="str">
        <f>"500000"</f>
        <v>500000</v>
      </c>
      <c r="AO4083" t="str">
        <f>"הכנסות  מלקוחות"</f>
        <v>הכנסות  מלקוחות</v>
      </c>
      <c r="AQ4083" t="str">
        <f>"007"</f>
        <v>007</v>
      </c>
      <c r="AR4083">
        <v>0</v>
      </c>
      <c r="AS4083">
        <v>0</v>
      </c>
      <c r="AT4083">
        <v>3.6</v>
      </c>
      <c r="AX4083" t="str">
        <f>"E000258766"</f>
        <v>E000258766</v>
      </c>
      <c r="BD4083" t="str">
        <f>"רוני דידי"</f>
        <v>רוני דידי</v>
      </c>
    </row>
    <row r="4084" spans="1:56" x14ac:dyDescent="0.3">
      <c r="A4084" s="1">
        <v>43559</v>
      </c>
      <c r="B4084" t="str">
        <f>"SI196000420"</f>
        <v>SI196000420</v>
      </c>
      <c r="C4084" t="str">
        <f>"PR19000101"</f>
        <v>PR19000101</v>
      </c>
      <c r="E4084" t="str">
        <f>"Y"</f>
        <v>Y</v>
      </c>
      <c r="F4084" t="str">
        <f>"חשבוניות מרכזות"</f>
        <v>חשבוניות מרכזות</v>
      </c>
      <c r="G4084" t="str">
        <f>"700065"</f>
        <v>700065</v>
      </c>
      <c r="H4084" t="str">
        <f>"אלתא מערכות בע""מ"</f>
        <v>אלתא מערכות בע"מ</v>
      </c>
      <c r="I4084" t="str">
        <f>"10"</f>
        <v>10</v>
      </c>
      <c r="J4084" t="str">
        <f>"ZV0200104"</f>
        <v>ZV0200104</v>
      </c>
      <c r="K4084" t="str">
        <f>"מסד ""24U 19 עומק מטר כולל אביזרים ע""פ דרישה"</f>
        <v>מסד "24U 19 עומק מטר כולל אביזרים ע"פ דרישה</v>
      </c>
      <c r="L4084">
        <v>1</v>
      </c>
      <c r="M4084" t="str">
        <f>"יח"</f>
        <v>יח</v>
      </c>
      <c r="N4084">
        <v>1</v>
      </c>
      <c r="O4084" t="str">
        <f>"יח"</f>
        <v>יח</v>
      </c>
      <c r="P4084" s="2">
        <v>1080</v>
      </c>
      <c r="Q4084" t="str">
        <f>"$"</f>
        <v>$</v>
      </c>
      <c r="R4084" t="str">
        <f>"הזמנה"</f>
        <v>הזמנה</v>
      </c>
      <c r="S4084">
        <v>0</v>
      </c>
      <c r="T4084" s="2">
        <v>1080</v>
      </c>
      <c r="U4084">
        <v>0</v>
      </c>
      <c r="V4084" s="2">
        <v>1080</v>
      </c>
      <c r="W4084" t="str">
        <f>"$"</f>
        <v>$</v>
      </c>
      <c r="X4084">
        <v>0</v>
      </c>
      <c r="Y4084">
        <v>0</v>
      </c>
      <c r="Z4084">
        <v>0</v>
      </c>
      <c r="AA4084" t="str">
        <f>"Y"</f>
        <v>Y</v>
      </c>
      <c r="AB4084" t="str">
        <f>"SO19000072"</f>
        <v>SO19000072</v>
      </c>
      <c r="AC4084">
        <v>2</v>
      </c>
      <c r="AD4084" s="1">
        <v>43500</v>
      </c>
      <c r="AE4084" t="str">
        <f>"SH19000534"</f>
        <v>SH19000534</v>
      </c>
      <c r="AF4084" t="str">
        <f>"משלוחים ללקוח"</f>
        <v>משלוחים ללקוח</v>
      </c>
      <c r="AG4084" s="1">
        <v>43559</v>
      </c>
      <c r="AM4084" t="str">
        <f>"10"</f>
        <v>10</v>
      </c>
      <c r="AN4084" t="str">
        <f>"500000"</f>
        <v>500000</v>
      </c>
      <c r="AO4084" t="str">
        <f>"הכנסות  מלקוחות"</f>
        <v>הכנסות  מלקוחות</v>
      </c>
      <c r="AQ4084" t="str">
        <f>"007"</f>
        <v>007</v>
      </c>
      <c r="AR4084">
        <v>0</v>
      </c>
      <c r="AS4084">
        <v>0</v>
      </c>
      <c r="AT4084">
        <v>3.6</v>
      </c>
      <c r="AX4084" t="str">
        <f>"E000258766"</f>
        <v>E000258766</v>
      </c>
      <c r="BD4084" t="str">
        <f>"רוני דידי"</f>
        <v>רוני דידי</v>
      </c>
    </row>
    <row r="4085" spans="1:56" x14ac:dyDescent="0.3">
      <c r="A4085" s="1">
        <v>43548</v>
      </c>
      <c r="B4085" t="str">
        <f>"SI196000381"</f>
        <v>SI196000381</v>
      </c>
      <c r="E4085" t="str">
        <f>"Y"</f>
        <v>Y</v>
      </c>
      <c r="F4085" t="str">
        <f>"חשבוניות מרכזות"</f>
        <v>חשבוניות מרכזות</v>
      </c>
      <c r="G4085" t="str">
        <f>"700065"</f>
        <v>700065</v>
      </c>
      <c r="H4085" t="str">
        <f>"אלתא מערכות בע""מ"</f>
        <v>אלתא מערכות בע"מ</v>
      </c>
      <c r="I4085" t="str">
        <f>"10"</f>
        <v>10</v>
      </c>
      <c r="J4085" t="str">
        <f>"000"</f>
        <v>000</v>
      </c>
      <c r="K4085" t="str">
        <f>"התקנת מערכת כח בחול"</f>
        <v>התקנת מערכת כח בחול</v>
      </c>
      <c r="L4085">
        <v>1</v>
      </c>
      <c r="M4085" t="str">
        <f>"יח"</f>
        <v>יח</v>
      </c>
      <c r="N4085">
        <v>1</v>
      </c>
      <c r="O4085" t="str">
        <f>"יח"</f>
        <v>יח</v>
      </c>
      <c r="P4085" s="2">
        <v>20000</v>
      </c>
      <c r="Q4085" t="str">
        <f>"$"</f>
        <v>$</v>
      </c>
      <c r="R4085" t="str">
        <f>"הזמנה"</f>
        <v>הזמנה</v>
      </c>
      <c r="S4085">
        <v>0</v>
      </c>
      <c r="T4085" s="2">
        <v>20000</v>
      </c>
      <c r="U4085">
        <v>0</v>
      </c>
      <c r="V4085" s="2">
        <v>20000</v>
      </c>
      <c r="W4085" t="str">
        <f>"$"</f>
        <v>$</v>
      </c>
      <c r="X4085">
        <v>0</v>
      </c>
      <c r="Y4085">
        <v>0</v>
      </c>
      <c r="Z4085">
        <v>0</v>
      </c>
      <c r="AA4085" t="str">
        <f>"Y"</f>
        <v>Y</v>
      </c>
      <c r="AB4085" t="str">
        <f>"SO18000279"</f>
        <v>SO18000279</v>
      </c>
      <c r="AC4085">
        <v>4</v>
      </c>
      <c r="AD4085" s="1">
        <v>43226</v>
      </c>
      <c r="AE4085" t="str">
        <f>"SH19000501"</f>
        <v>SH19000501</v>
      </c>
      <c r="AF4085" t="str">
        <f>"משלוחים ללקוח"</f>
        <v>משלוחים ללקוח</v>
      </c>
      <c r="AG4085" s="1">
        <v>43552</v>
      </c>
      <c r="AM4085" t="str">
        <f>"10"</f>
        <v>10</v>
      </c>
      <c r="AN4085" t="str">
        <f>"500000"</f>
        <v>500000</v>
      </c>
      <c r="AO4085" t="str">
        <f>"הכנסות  מלקוחות"</f>
        <v>הכנסות  מלקוחות</v>
      </c>
      <c r="AQ4085" t="str">
        <f>"007"</f>
        <v>007</v>
      </c>
      <c r="AR4085">
        <v>0</v>
      </c>
      <c r="AS4085">
        <v>0</v>
      </c>
      <c r="AT4085">
        <v>3.6080000000000001</v>
      </c>
      <c r="AX4085" t="str">
        <f>"E000261104"</f>
        <v>E000261104</v>
      </c>
      <c r="BD4085" t="str">
        <f>"רוני דידי"</f>
        <v>רוני דידי</v>
      </c>
    </row>
    <row r="4086" spans="1:56" x14ac:dyDescent="0.3">
      <c r="A4086" s="1">
        <v>43542</v>
      </c>
      <c r="B4086" t="str">
        <f>"SI196000307"</f>
        <v>SI196000307</v>
      </c>
      <c r="C4086" t="str">
        <f>"PR18000707"</f>
        <v>PR18000707</v>
      </c>
      <c r="D4086" t="str">
        <f>"PR18000707"</f>
        <v>PR18000707</v>
      </c>
      <c r="E4086" t="str">
        <f>"Y"</f>
        <v>Y</v>
      </c>
      <c r="F4086" t="str">
        <f>"חשבוניות מרכזות"</f>
        <v>חשבוניות מרכזות</v>
      </c>
      <c r="G4086" t="str">
        <f>"700065"</f>
        <v>700065</v>
      </c>
      <c r="H4086" t="str">
        <f>"אלתא מערכות בע""מ"</f>
        <v>אלתא מערכות בע"מ</v>
      </c>
      <c r="I4086" t="str">
        <f>"10"</f>
        <v>10</v>
      </c>
      <c r="J4086" t="str">
        <f>"000"</f>
        <v>000</v>
      </c>
      <c r="K4086" t="str">
        <f>"NRE"</f>
        <v>NRE</v>
      </c>
      <c r="L4086">
        <v>1</v>
      </c>
      <c r="M4086" t="str">
        <f>"יח"</f>
        <v>יח</v>
      </c>
      <c r="N4086">
        <v>1</v>
      </c>
      <c r="O4086" t="str">
        <f>"יח"</f>
        <v>יח</v>
      </c>
      <c r="P4086">
        <v>400</v>
      </c>
      <c r="Q4086" t="str">
        <f>"$"</f>
        <v>$</v>
      </c>
      <c r="R4086" t="str">
        <f>"הזמנה"</f>
        <v>הזמנה</v>
      </c>
      <c r="S4086">
        <v>0</v>
      </c>
      <c r="T4086">
        <v>400</v>
      </c>
      <c r="U4086">
        <v>0</v>
      </c>
      <c r="V4086">
        <v>400</v>
      </c>
      <c r="W4086" t="str">
        <f>"$"</f>
        <v>$</v>
      </c>
      <c r="X4086">
        <v>0</v>
      </c>
      <c r="Y4086">
        <v>0</v>
      </c>
      <c r="Z4086">
        <v>0</v>
      </c>
      <c r="AA4086" t="str">
        <f>"Y"</f>
        <v>Y</v>
      </c>
      <c r="AB4086" t="str">
        <f>"SO18000573"</f>
        <v>SO18000573</v>
      </c>
      <c r="AC4086">
        <v>3</v>
      </c>
      <c r="AD4086" s="1">
        <v>43388</v>
      </c>
      <c r="AM4086" t="str">
        <f>"10"</f>
        <v>10</v>
      </c>
      <c r="AN4086" t="str">
        <f>"500000"</f>
        <v>500000</v>
      </c>
      <c r="AO4086" t="str">
        <f>"הכנסות  מלקוחות"</f>
        <v>הכנסות  מלקוחות</v>
      </c>
      <c r="AQ4086" t="str">
        <f>"007"</f>
        <v>007</v>
      </c>
      <c r="AR4086">
        <v>0</v>
      </c>
      <c r="AS4086">
        <v>0</v>
      </c>
      <c r="AT4086">
        <v>3.6040000000000001</v>
      </c>
      <c r="AX4086" t="str">
        <f>"E000269450"</f>
        <v>E000269450</v>
      </c>
      <c r="BD4086" t="str">
        <f>"רוני דידי"</f>
        <v>רוני דידי</v>
      </c>
    </row>
    <row r="4087" spans="1:56" x14ac:dyDescent="0.3">
      <c r="A4087" s="1">
        <v>43537</v>
      </c>
      <c r="B4087" t="str">
        <f>"SI196000289"</f>
        <v>SI196000289</v>
      </c>
      <c r="C4087" t="str">
        <f>"PR15003502"</f>
        <v>PR15003502</v>
      </c>
      <c r="E4087" t="str">
        <f>"Y"</f>
        <v>Y</v>
      </c>
      <c r="F4087" t="str">
        <f>"חשבוניות מרכזות"</f>
        <v>חשבוניות מרכזות</v>
      </c>
      <c r="G4087" t="str">
        <f>"700065"</f>
        <v>700065</v>
      </c>
      <c r="H4087" t="str">
        <f>"אלתא מערכות בע""מ"</f>
        <v>אלתא מערכות בע"מ</v>
      </c>
      <c r="I4087" t="str">
        <f>"10"</f>
        <v>10</v>
      </c>
      <c r="J4087" t="str">
        <f>"OP-AR09105"</f>
        <v>OP-AR09105</v>
      </c>
      <c r="K4087" t="str">
        <f>"לוח LB-PDB מק""ט לקוח 1026L310-002"</f>
        <v>לוח LB-PDB מק"ט לקוח 1026L310-002</v>
      </c>
      <c r="L4087">
        <v>1</v>
      </c>
      <c r="M4087" t="str">
        <f>"יח"</f>
        <v>יח</v>
      </c>
      <c r="N4087">
        <v>1</v>
      </c>
      <c r="O4087" t="str">
        <f>"יח"</f>
        <v>יח</v>
      </c>
      <c r="P4087" s="2">
        <v>25450</v>
      </c>
      <c r="Q4087" t="str">
        <f>"$"</f>
        <v>$</v>
      </c>
      <c r="R4087" t="str">
        <f>"הזמנה"</f>
        <v>הזמנה</v>
      </c>
      <c r="S4087">
        <v>0</v>
      </c>
      <c r="T4087" s="2">
        <v>25450</v>
      </c>
      <c r="U4087">
        <v>0</v>
      </c>
      <c r="V4087" s="2">
        <v>25450</v>
      </c>
      <c r="W4087" t="str">
        <f>"$"</f>
        <v>$</v>
      </c>
      <c r="X4087">
        <v>0</v>
      </c>
      <c r="Y4087">
        <v>0</v>
      </c>
      <c r="Z4087">
        <v>0</v>
      </c>
      <c r="AA4087" t="str">
        <f>"Y"</f>
        <v>Y</v>
      </c>
      <c r="AB4087" t="str">
        <f>"SO12T000001"</f>
        <v>SO12T000001</v>
      </c>
      <c r="AC4087">
        <v>48</v>
      </c>
      <c r="AD4087" s="1">
        <v>41256</v>
      </c>
      <c r="AE4087" t="str">
        <f>"SH19000274"</f>
        <v>SH19000274</v>
      </c>
      <c r="AF4087" t="str">
        <f>"משלוחים ללקוח"</f>
        <v>משלוחים ללקוח</v>
      </c>
      <c r="AG4087" s="1">
        <v>43513</v>
      </c>
      <c r="AM4087" t="str">
        <f>"10"</f>
        <v>10</v>
      </c>
      <c r="AN4087" t="str">
        <f>"500000"</f>
        <v>500000</v>
      </c>
      <c r="AO4087" t="str">
        <f>"הכנסות  מלקוחות"</f>
        <v>הכנסות  מלקוחות</v>
      </c>
      <c r="AQ4087" t="str">
        <f>"007"</f>
        <v>007</v>
      </c>
      <c r="AR4087">
        <v>0</v>
      </c>
      <c r="AS4087">
        <v>0</v>
      </c>
      <c r="AT4087">
        <v>3.6230000000000002</v>
      </c>
      <c r="AX4087" t="str">
        <f>"E000093662"</f>
        <v>E000093662</v>
      </c>
      <c r="BD4087" t="str">
        <f>"רוני דידי"</f>
        <v>רוני דידי</v>
      </c>
    </row>
    <row r="4088" spans="1:56" x14ac:dyDescent="0.3">
      <c r="A4088" s="1">
        <v>43537</v>
      </c>
      <c r="B4088" t="str">
        <f>"SI196000289"</f>
        <v>SI196000289</v>
      </c>
      <c r="C4088" t="str">
        <f>"PR15003502"</f>
        <v>PR15003502</v>
      </c>
      <c r="E4088" t="str">
        <f>"Y"</f>
        <v>Y</v>
      </c>
      <c r="F4088" t="str">
        <f>"חשבוניות מרכזות"</f>
        <v>חשבוניות מרכזות</v>
      </c>
      <c r="G4088" t="str">
        <f>"700065"</f>
        <v>700065</v>
      </c>
      <c r="H4088" t="str">
        <f>"אלתא מערכות בע""מ"</f>
        <v>אלתא מערכות בע"מ</v>
      </c>
      <c r="I4088" t="str">
        <f>"10"</f>
        <v>10</v>
      </c>
      <c r="J4088" t="str">
        <f>"OP-AR09105"</f>
        <v>OP-AR09105</v>
      </c>
      <c r="K4088" t="str">
        <f>"לוח LB-PDB מק""ט לקוח 1026L310-002"</f>
        <v>לוח LB-PDB מק"ט לקוח 1026L310-002</v>
      </c>
      <c r="L4088">
        <v>1</v>
      </c>
      <c r="M4088" t="str">
        <f>"יח"</f>
        <v>יח</v>
      </c>
      <c r="N4088">
        <v>1</v>
      </c>
      <c r="O4088" t="str">
        <f>"יח"</f>
        <v>יח</v>
      </c>
      <c r="P4088" s="2">
        <v>25450</v>
      </c>
      <c r="Q4088" t="str">
        <f>"$"</f>
        <v>$</v>
      </c>
      <c r="R4088" t="str">
        <f>"הזמנה"</f>
        <v>הזמנה</v>
      </c>
      <c r="S4088">
        <v>0</v>
      </c>
      <c r="T4088" s="2">
        <v>25450</v>
      </c>
      <c r="U4088">
        <v>0</v>
      </c>
      <c r="V4088" s="2">
        <v>25450</v>
      </c>
      <c r="W4088" t="str">
        <f>"$"</f>
        <v>$</v>
      </c>
      <c r="X4088">
        <v>0</v>
      </c>
      <c r="Y4088">
        <v>0</v>
      </c>
      <c r="Z4088">
        <v>0</v>
      </c>
      <c r="AA4088" t="str">
        <f>"Y"</f>
        <v>Y</v>
      </c>
      <c r="AB4088" t="str">
        <f>"SO12T000001"</f>
        <v>SO12T000001</v>
      </c>
      <c r="AC4088">
        <v>54</v>
      </c>
      <c r="AD4088" s="1">
        <v>41256</v>
      </c>
      <c r="AE4088" t="str">
        <f>"SH19000274"</f>
        <v>SH19000274</v>
      </c>
      <c r="AF4088" t="str">
        <f>"משלוחים ללקוח"</f>
        <v>משלוחים ללקוח</v>
      </c>
      <c r="AG4088" s="1">
        <v>43513</v>
      </c>
      <c r="AM4088" t="str">
        <f>"10"</f>
        <v>10</v>
      </c>
      <c r="AN4088" t="str">
        <f>"500000"</f>
        <v>500000</v>
      </c>
      <c r="AO4088" t="str">
        <f>"הכנסות  מלקוחות"</f>
        <v>הכנסות  מלקוחות</v>
      </c>
      <c r="AQ4088" t="str">
        <f>"007"</f>
        <v>007</v>
      </c>
      <c r="AR4088">
        <v>0</v>
      </c>
      <c r="AS4088">
        <v>0</v>
      </c>
      <c r="AT4088">
        <v>3.6230000000000002</v>
      </c>
      <c r="AX4088" t="str">
        <f>"E000093662"</f>
        <v>E000093662</v>
      </c>
      <c r="BD4088" t="str">
        <f>"רוני דידי"</f>
        <v>רוני דידי</v>
      </c>
    </row>
    <row r="4089" spans="1:56" x14ac:dyDescent="0.3">
      <c r="A4089" s="1">
        <v>43536</v>
      </c>
      <c r="B4089" t="str">
        <f>"SI196000291"</f>
        <v>SI196000291</v>
      </c>
      <c r="C4089" t="str">
        <f>"PR15003503"</f>
        <v>PR15003503</v>
      </c>
      <c r="E4089" t="str">
        <f>"Y"</f>
        <v>Y</v>
      </c>
      <c r="F4089" t="str">
        <f>"חשבוניות מרכזות"</f>
        <v>חשבוניות מרכזות</v>
      </c>
      <c r="G4089" t="str">
        <f>"700065"</f>
        <v>700065</v>
      </c>
      <c r="H4089" t="str">
        <f>"אלתא מערכות בע""מ"</f>
        <v>אלתא מערכות בע"מ</v>
      </c>
      <c r="I4089" t="str">
        <f>"10"</f>
        <v>10</v>
      </c>
      <c r="J4089" t="str">
        <f>"OP-AR09105"</f>
        <v>OP-AR09105</v>
      </c>
      <c r="K4089" t="str">
        <f>"לוח LB-PDB מק""ט לקוח 1026L310-002"</f>
        <v>לוח LB-PDB מק"ט לקוח 1026L310-002</v>
      </c>
      <c r="L4089">
        <v>1</v>
      </c>
      <c r="M4089" t="str">
        <f>"יח"</f>
        <v>יח</v>
      </c>
      <c r="N4089">
        <v>1</v>
      </c>
      <c r="O4089" t="str">
        <f>"יח"</f>
        <v>יח</v>
      </c>
      <c r="P4089" s="2">
        <v>25450</v>
      </c>
      <c r="Q4089" t="str">
        <f>"$"</f>
        <v>$</v>
      </c>
      <c r="R4089" t="str">
        <f>"הזמנה"</f>
        <v>הזמנה</v>
      </c>
      <c r="S4089">
        <v>0</v>
      </c>
      <c r="T4089" s="2">
        <v>25450</v>
      </c>
      <c r="U4089">
        <v>0</v>
      </c>
      <c r="V4089" s="2">
        <v>25450</v>
      </c>
      <c r="W4089" t="str">
        <f>"$"</f>
        <v>$</v>
      </c>
      <c r="X4089">
        <v>0</v>
      </c>
      <c r="Y4089">
        <v>0</v>
      </c>
      <c r="Z4089">
        <v>0</v>
      </c>
      <c r="AA4089" t="str">
        <f>"Y"</f>
        <v>Y</v>
      </c>
      <c r="AB4089" t="str">
        <f>"SO12T000001"</f>
        <v>SO12T000001</v>
      </c>
      <c r="AC4089">
        <v>16</v>
      </c>
      <c r="AD4089" s="1">
        <v>41256</v>
      </c>
      <c r="AM4089" t="str">
        <f>"10"</f>
        <v>10</v>
      </c>
      <c r="AN4089" t="str">
        <f>"500000"</f>
        <v>500000</v>
      </c>
      <c r="AO4089" t="str">
        <f>"הכנסות  מלקוחות"</f>
        <v>הכנסות  מלקוחות</v>
      </c>
      <c r="AQ4089" t="str">
        <f>"007"</f>
        <v>007</v>
      </c>
      <c r="AR4089">
        <v>0</v>
      </c>
      <c r="AS4089">
        <v>0</v>
      </c>
      <c r="AT4089">
        <v>3.621</v>
      </c>
      <c r="AX4089" t="str">
        <f>"E000093662"</f>
        <v>E000093662</v>
      </c>
      <c r="BD4089" t="str">
        <f>"רוני דידי"</f>
        <v>רוני דידי</v>
      </c>
    </row>
    <row r="4090" spans="1:56" x14ac:dyDescent="0.3">
      <c r="A4090" s="1">
        <v>43536</v>
      </c>
      <c r="B4090" t="str">
        <f>"SI196000291"</f>
        <v>SI196000291</v>
      </c>
      <c r="C4090" t="str">
        <f>"PR15003503"</f>
        <v>PR15003503</v>
      </c>
      <c r="E4090" t="str">
        <f>"Y"</f>
        <v>Y</v>
      </c>
      <c r="F4090" t="str">
        <f>"חשבוניות מרכזות"</f>
        <v>חשבוניות מרכזות</v>
      </c>
      <c r="G4090" t="str">
        <f>"700065"</f>
        <v>700065</v>
      </c>
      <c r="H4090" t="str">
        <f>"אלתא מערכות בע""מ"</f>
        <v>אלתא מערכות בע"מ</v>
      </c>
      <c r="I4090" t="str">
        <f>"10"</f>
        <v>10</v>
      </c>
      <c r="J4090" t="str">
        <f>"OP-AR09105"</f>
        <v>OP-AR09105</v>
      </c>
      <c r="K4090" t="str">
        <f>"ת.מ"</f>
        <v>ת.מ</v>
      </c>
      <c r="L4090">
        <v>1</v>
      </c>
      <c r="M4090" t="str">
        <f>"יח"</f>
        <v>יח</v>
      </c>
      <c r="N4090">
        <v>1</v>
      </c>
      <c r="O4090" t="str">
        <f>"יח"</f>
        <v>יח</v>
      </c>
      <c r="P4090">
        <v>0</v>
      </c>
      <c r="Q4090" t="str">
        <f>"$"</f>
        <v>$</v>
      </c>
      <c r="S4090">
        <v>0</v>
      </c>
      <c r="T4090">
        <v>0</v>
      </c>
      <c r="U4090">
        <v>0</v>
      </c>
      <c r="V4090">
        <v>0</v>
      </c>
      <c r="W4090" t="str">
        <f>"$"</f>
        <v>$</v>
      </c>
      <c r="X4090">
        <v>0</v>
      </c>
      <c r="Y4090">
        <v>0</v>
      </c>
      <c r="Z4090">
        <v>0</v>
      </c>
      <c r="AA4090" t="str">
        <f>"Y"</f>
        <v>Y</v>
      </c>
      <c r="AC4090">
        <v>0</v>
      </c>
      <c r="AE4090" t="str">
        <f>"SH19000341"</f>
        <v>SH19000341</v>
      </c>
      <c r="AF4090" t="str">
        <f>"משלוחים ללקוח"</f>
        <v>משלוחים ללקוח</v>
      </c>
      <c r="AG4090" s="1">
        <v>43523</v>
      </c>
      <c r="AM4090" t="str">
        <f>"10"</f>
        <v>10</v>
      </c>
      <c r="AN4090" t="str">
        <f>"500000"</f>
        <v>500000</v>
      </c>
      <c r="AO4090" t="str">
        <f>"הכנסות  מלקוחות"</f>
        <v>הכנסות  מלקוחות</v>
      </c>
      <c r="AQ4090" t="str">
        <f>"007"</f>
        <v>007</v>
      </c>
      <c r="AR4090">
        <v>0</v>
      </c>
      <c r="AS4090">
        <v>0</v>
      </c>
      <c r="AT4090">
        <v>3.621</v>
      </c>
      <c r="BD4090" t="str">
        <f>"רוני דידי"</f>
        <v>רוני דידי</v>
      </c>
    </row>
    <row r="4091" spans="1:56" x14ac:dyDescent="0.3">
      <c r="A4091" s="1">
        <v>43536</v>
      </c>
      <c r="B4091" t="str">
        <f>"SI196000288"</f>
        <v>SI196000288</v>
      </c>
      <c r="C4091" t="str">
        <f>"PR18000453"</f>
        <v>PR18000453</v>
      </c>
      <c r="D4091" t="str">
        <f>"PR18000453"</f>
        <v>PR18000453</v>
      </c>
      <c r="E4091" t="str">
        <f>"Y"</f>
        <v>Y</v>
      </c>
      <c r="F4091" t="str">
        <f>"חשבוניות מרכזות"</f>
        <v>חשבוניות מרכזות</v>
      </c>
      <c r="G4091" t="str">
        <f>"700065"</f>
        <v>700065</v>
      </c>
      <c r="H4091" t="str">
        <f>"אלתא מערכות בע""מ"</f>
        <v>אלתא מערכות בע"מ</v>
      </c>
      <c r="I4091" t="str">
        <f>"10"</f>
        <v>10</v>
      </c>
      <c r="J4091" t="str">
        <f>"CB9900030"</f>
        <v>CB9900030</v>
      </c>
      <c r="K4091" t="str">
        <f>"כבל 4x10mm 7364410 GENERAL CABLE"</f>
        <v>כבל 4x10mm 7364410 GENERAL CABLE</v>
      </c>
      <c r="L4091">
        <v>450</v>
      </c>
      <c r="M4091" t="str">
        <f>"מטר"</f>
        <v>מטר</v>
      </c>
      <c r="N4091">
        <v>450</v>
      </c>
      <c r="O4091" t="str">
        <f>"מטר"</f>
        <v>מטר</v>
      </c>
      <c r="P4091">
        <v>8.1231000000000009</v>
      </c>
      <c r="Q4091" t="str">
        <f>"$"</f>
        <v>$</v>
      </c>
      <c r="R4091" t="str">
        <f>"הזמנה"</f>
        <v>הזמנה</v>
      </c>
      <c r="S4091">
        <v>0</v>
      </c>
      <c r="T4091" s="2">
        <v>3655.4</v>
      </c>
      <c r="U4091">
        <v>0</v>
      </c>
      <c r="V4091" s="2">
        <v>3655.4</v>
      </c>
      <c r="W4091" t="str">
        <f>"$"</f>
        <v>$</v>
      </c>
      <c r="X4091">
        <v>0</v>
      </c>
      <c r="Y4091">
        <v>0</v>
      </c>
      <c r="Z4091">
        <v>0</v>
      </c>
      <c r="AA4091" t="str">
        <f>"Y"</f>
        <v>Y</v>
      </c>
      <c r="AB4091" t="str">
        <f>"SO18000351"</f>
        <v>SO18000351</v>
      </c>
      <c r="AC4091">
        <v>4</v>
      </c>
      <c r="AD4091" s="1">
        <v>43264</v>
      </c>
      <c r="AM4091" t="str">
        <f>"10"</f>
        <v>10</v>
      </c>
      <c r="AN4091" t="str">
        <f>"500000"</f>
        <v>500000</v>
      </c>
      <c r="AO4091" t="str">
        <f>"הכנסות  מלקוחות"</f>
        <v>הכנסות  מלקוחות</v>
      </c>
      <c r="AQ4091" t="str">
        <f>"017"</f>
        <v>017</v>
      </c>
      <c r="AR4091">
        <v>0</v>
      </c>
      <c r="AS4091">
        <v>0</v>
      </c>
      <c r="AT4091">
        <v>3.621</v>
      </c>
      <c r="AX4091" t="str">
        <f>"E000262645"</f>
        <v>E000262645</v>
      </c>
      <c r="BD4091" t="str">
        <f>"שחר דאהמן"</f>
        <v>שחר דאהמן</v>
      </c>
    </row>
    <row r="4092" spans="1:56" x14ac:dyDescent="0.3">
      <c r="A4092" s="1">
        <v>43534</v>
      </c>
      <c r="B4092" t="str">
        <f>"SI196000276"</f>
        <v>SI196000276</v>
      </c>
      <c r="C4092" t="str">
        <f>"PR18000881"</f>
        <v>PR18000881</v>
      </c>
      <c r="D4092" t="str">
        <f>"PR18000881"</f>
        <v>PR18000881</v>
      </c>
      <c r="E4092" t="str">
        <f>"Y"</f>
        <v>Y</v>
      </c>
      <c r="F4092" t="str">
        <f>"חשבוניות מרכזות"</f>
        <v>חשבוניות מרכזות</v>
      </c>
      <c r="G4092" t="str">
        <f>"700065"</f>
        <v>700065</v>
      </c>
      <c r="H4092" t="str">
        <f>"אלתא מערכות בע""מ"</f>
        <v>אלתא מערכות בע"מ</v>
      </c>
      <c r="I4092" t="str">
        <f>"11"</f>
        <v>11</v>
      </c>
      <c r="J4092" t="str">
        <f>"OP-KT00089"</f>
        <v>OP-KT00089</v>
      </c>
      <c r="K4092" t="str">
        <f>"SPARE PARTS PDB"</f>
        <v>SPARE PARTS PDB</v>
      </c>
      <c r="L4092">
        <v>1</v>
      </c>
      <c r="M4092" t="str">
        <f>"יח"</f>
        <v>יח</v>
      </c>
      <c r="N4092">
        <v>1</v>
      </c>
      <c r="O4092" t="str">
        <f>"יח"</f>
        <v>יח</v>
      </c>
      <c r="P4092" s="2">
        <v>15892.8</v>
      </c>
      <c r="Q4092" t="str">
        <f>"$"</f>
        <v>$</v>
      </c>
      <c r="R4092" t="str">
        <f>"הזמנה"</f>
        <v>הזמנה</v>
      </c>
      <c r="S4092">
        <v>0</v>
      </c>
      <c r="T4092" s="2">
        <v>15892.8</v>
      </c>
      <c r="U4092">
        <v>0</v>
      </c>
      <c r="V4092" s="2">
        <v>15892.8</v>
      </c>
      <c r="W4092" t="str">
        <f>"$"</f>
        <v>$</v>
      </c>
      <c r="X4092">
        <v>0</v>
      </c>
      <c r="Y4092">
        <v>0</v>
      </c>
      <c r="Z4092">
        <v>0</v>
      </c>
      <c r="AA4092" t="str">
        <f>"Y"</f>
        <v>Y</v>
      </c>
      <c r="AB4092" t="str">
        <f>"SO18000685"</f>
        <v>SO18000685</v>
      </c>
      <c r="AC4092">
        <v>1</v>
      </c>
      <c r="AD4092" s="1">
        <v>43443</v>
      </c>
      <c r="AE4092" t="str">
        <f>"SH19000347"</f>
        <v>SH19000347</v>
      </c>
      <c r="AF4092" t="str">
        <f>"משלוחים ללקוח"</f>
        <v>משלוחים ללקוח</v>
      </c>
      <c r="AG4092" s="1">
        <v>43524</v>
      </c>
      <c r="AM4092" t="str">
        <f>"10"</f>
        <v>10</v>
      </c>
      <c r="AN4092" t="str">
        <f>"500000"</f>
        <v>500000</v>
      </c>
      <c r="AO4092" t="str">
        <f>"הכנסות  מלקוחות"</f>
        <v>הכנסות  מלקוחות</v>
      </c>
      <c r="AQ4092" t="str">
        <f>"007"</f>
        <v>007</v>
      </c>
      <c r="AR4092">
        <v>0</v>
      </c>
      <c r="AS4092">
        <v>0</v>
      </c>
      <c r="AT4092">
        <v>3.6309999999999998</v>
      </c>
      <c r="AX4092" t="str">
        <f>"E000273756"</f>
        <v>E000273756</v>
      </c>
      <c r="BD4092" t="str">
        <f>"רוני דידי"</f>
        <v>רוני דידי</v>
      </c>
    </row>
    <row r="4093" spans="1:56" x14ac:dyDescent="0.3">
      <c r="A4093" s="1">
        <v>43524</v>
      </c>
      <c r="B4093" t="str">
        <f>"SI196000255"</f>
        <v>SI196000255</v>
      </c>
      <c r="C4093" t="str">
        <f>"PR18000364"</f>
        <v>PR18000364</v>
      </c>
      <c r="E4093" t="str">
        <f>"Y"</f>
        <v>Y</v>
      </c>
      <c r="F4093" t="str">
        <f>"חשבוניות מרכזות"</f>
        <v>חשבוניות מרכזות</v>
      </c>
      <c r="G4093" t="str">
        <f>"700065"</f>
        <v>700065</v>
      </c>
      <c r="H4093" t="str">
        <f>"אלתא מערכות בע""מ"</f>
        <v>אלתא מערכות בע"מ</v>
      </c>
      <c r="I4093" t="str">
        <f>"10"</f>
        <v>10</v>
      </c>
      <c r="J4093" t="str">
        <f>"OP-AR01025"</f>
        <v>OP-AR01025</v>
      </c>
      <c r="K4093" t="str">
        <f>"BATTERY BOX 1039V520-001"</f>
        <v>BATTERY BOX 1039V520-001</v>
      </c>
      <c r="L4093">
        <v>2</v>
      </c>
      <c r="M4093" t="str">
        <f>"יח"</f>
        <v>יח</v>
      </c>
      <c r="N4093">
        <v>2</v>
      </c>
      <c r="O4093" t="str">
        <f>"יח"</f>
        <v>יח</v>
      </c>
      <c r="P4093" s="2">
        <v>4750</v>
      </c>
      <c r="Q4093" t="str">
        <f>"$"</f>
        <v>$</v>
      </c>
      <c r="R4093" t="str">
        <f>"הזמנה"</f>
        <v>הזמנה</v>
      </c>
      <c r="S4093">
        <v>0</v>
      </c>
      <c r="T4093" s="2">
        <v>9500</v>
      </c>
      <c r="U4093">
        <v>0</v>
      </c>
      <c r="V4093" s="2">
        <v>9500</v>
      </c>
      <c r="W4093" t="str">
        <f>"$"</f>
        <v>$</v>
      </c>
      <c r="X4093">
        <v>0</v>
      </c>
      <c r="Y4093">
        <v>0</v>
      </c>
      <c r="Z4093">
        <v>0</v>
      </c>
      <c r="AA4093" t="str">
        <f>"Y"</f>
        <v>Y</v>
      </c>
      <c r="AB4093" t="str">
        <f>"SO18000291"</f>
        <v>SO18000291</v>
      </c>
      <c r="AC4093">
        <v>1</v>
      </c>
      <c r="AD4093" s="1">
        <v>43230</v>
      </c>
      <c r="AE4093" t="str">
        <f>"SH19000340"</f>
        <v>SH19000340</v>
      </c>
      <c r="AF4093" t="str">
        <f>"משלוחים ללקוח"</f>
        <v>משלוחים ללקוח</v>
      </c>
      <c r="AG4093" s="1">
        <v>43523</v>
      </c>
      <c r="AM4093" t="str">
        <f>"10"</f>
        <v>10</v>
      </c>
      <c r="AN4093" t="str">
        <f>"500000"</f>
        <v>500000</v>
      </c>
      <c r="AO4093" t="str">
        <f>"הכנסות  מלקוחות"</f>
        <v>הכנסות  מלקוחות</v>
      </c>
      <c r="AQ4093" t="str">
        <f>"007"</f>
        <v>007</v>
      </c>
      <c r="AR4093">
        <v>0</v>
      </c>
      <c r="AS4093">
        <v>0</v>
      </c>
      <c r="AT4093">
        <v>3.6190000000000002</v>
      </c>
      <c r="AX4093" t="str">
        <f>"E000261186"</f>
        <v>E000261186</v>
      </c>
      <c r="BD4093" t="str">
        <f>"רוני דידי"</f>
        <v>רוני דידי</v>
      </c>
    </row>
    <row r="4094" spans="1:56" x14ac:dyDescent="0.3">
      <c r="A4094" s="1">
        <v>43522</v>
      </c>
      <c r="B4094" t="str">
        <f>"SI196000243"</f>
        <v>SI196000243</v>
      </c>
      <c r="C4094" t="str">
        <f>"PR18000904"</f>
        <v>PR18000904</v>
      </c>
      <c r="E4094" t="str">
        <f>"Y"</f>
        <v>Y</v>
      </c>
      <c r="F4094" t="str">
        <f>"חשבוניות מרכזות"</f>
        <v>חשבוניות מרכזות</v>
      </c>
      <c r="G4094" t="str">
        <f>"700065"</f>
        <v>700065</v>
      </c>
      <c r="H4094" t="str">
        <f>"אלתא מערכות בע""מ"</f>
        <v>אלתא מערכות בע"מ</v>
      </c>
      <c r="I4094" t="str">
        <f>"10"</f>
        <v>10</v>
      </c>
      <c r="J4094" t="str">
        <f>"OP-AR00454"</f>
        <v>OP-AR00454</v>
      </c>
      <c r="K4094" t="str">
        <f>"PDU 380V/50HZ/3 PH AC POWER BOX"</f>
        <v>PDU 380V/50HZ/3 PH AC POWER BOX</v>
      </c>
      <c r="L4094">
        <v>1</v>
      </c>
      <c r="M4094" t="str">
        <f>"יח"</f>
        <v>יח</v>
      </c>
      <c r="N4094">
        <v>1</v>
      </c>
      <c r="O4094" t="str">
        <f>"יח"</f>
        <v>יח</v>
      </c>
      <c r="P4094" s="2">
        <v>1380</v>
      </c>
      <c r="Q4094" t="str">
        <f>"$"</f>
        <v>$</v>
      </c>
      <c r="R4094" t="str">
        <f>"הזמנה"</f>
        <v>הזמנה</v>
      </c>
      <c r="S4094">
        <v>0</v>
      </c>
      <c r="T4094" s="2">
        <v>1380</v>
      </c>
      <c r="U4094">
        <v>0</v>
      </c>
      <c r="V4094" s="2">
        <v>1380</v>
      </c>
      <c r="W4094" t="str">
        <f>"$"</f>
        <v>$</v>
      </c>
      <c r="X4094">
        <v>0</v>
      </c>
      <c r="Y4094">
        <v>0</v>
      </c>
      <c r="Z4094">
        <v>0</v>
      </c>
      <c r="AA4094" t="str">
        <f>"Y"</f>
        <v>Y</v>
      </c>
      <c r="AC4094">
        <v>0</v>
      </c>
      <c r="AM4094" t="str">
        <f>"10"</f>
        <v>10</v>
      </c>
      <c r="AN4094" t="str">
        <f>"500000"</f>
        <v>500000</v>
      </c>
      <c r="AO4094" t="str">
        <f>"הכנסות  מלקוחות"</f>
        <v>הכנסות  מלקוחות</v>
      </c>
      <c r="AQ4094" t="str">
        <f>"007"</f>
        <v>007</v>
      </c>
      <c r="AR4094">
        <v>0</v>
      </c>
      <c r="AS4094">
        <v>0</v>
      </c>
      <c r="AT4094">
        <v>3.605</v>
      </c>
      <c r="BB4094" t="str">
        <f>"Y"</f>
        <v>Y</v>
      </c>
      <c r="BD4094" t="str">
        <f>"רוני דידי"</f>
        <v>רוני דידי</v>
      </c>
    </row>
    <row r="4095" spans="1:56" x14ac:dyDescent="0.3">
      <c r="A4095" s="1">
        <v>43522</v>
      </c>
      <c r="B4095" t="str">
        <f>"SI196000243"</f>
        <v>SI196000243</v>
      </c>
      <c r="C4095" t="str">
        <f>"PR18000904"</f>
        <v>PR18000904</v>
      </c>
      <c r="E4095" t="str">
        <f>"Y"</f>
        <v>Y</v>
      </c>
      <c r="F4095" t="str">
        <f>"חשבוניות מרכזות"</f>
        <v>חשבוניות מרכזות</v>
      </c>
      <c r="G4095" t="str">
        <f>"700065"</f>
        <v>700065</v>
      </c>
      <c r="H4095" t="str">
        <f>"אלתא מערכות בע""מ"</f>
        <v>אלתא מערכות בע"מ</v>
      </c>
      <c r="I4095" t="str">
        <f>"10"</f>
        <v>10</v>
      </c>
      <c r="J4095" t="str">
        <f>"OP-AR00454"</f>
        <v>OP-AR00454</v>
      </c>
      <c r="K4095" t="str">
        <f>"PDU 380V/50HZ/3 PH AC POWER BOX"</f>
        <v>PDU 380V/50HZ/3 PH AC POWER BOX</v>
      </c>
      <c r="L4095">
        <v>1</v>
      </c>
      <c r="M4095" t="str">
        <f>"יח"</f>
        <v>יח</v>
      </c>
      <c r="N4095">
        <v>1</v>
      </c>
      <c r="O4095" t="str">
        <f>"יח"</f>
        <v>יח</v>
      </c>
      <c r="P4095" s="2">
        <v>1380</v>
      </c>
      <c r="Q4095" t="str">
        <f>"$"</f>
        <v>$</v>
      </c>
      <c r="R4095" t="str">
        <f>"הזמנה"</f>
        <v>הזמנה</v>
      </c>
      <c r="S4095">
        <v>0</v>
      </c>
      <c r="T4095" s="2">
        <v>1380</v>
      </c>
      <c r="U4095">
        <v>0</v>
      </c>
      <c r="V4095" s="2">
        <v>1380</v>
      </c>
      <c r="W4095" t="str">
        <f>"$"</f>
        <v>$</v>
      </c>
      <c r="X4095">
        <v>0</v>
      </c>
      <c r="Y4095">
        <v>0</v>
      </c>
      <c r="Z4095">
        <v>0</v>
      </c>
      <c r="AA4095" t="str">
        <f>"Y"</f>
        <v>Y</v>
      </c>
      <c r="AC4095">
        <v>0</v>
      </c>
      <c r="AM4095" t="str">
        <f>"10"</f>
        <v>10</v>
      </c>
      <c r="AN4095" t="str">
        <f>"500000"</f>
        <v>500000</v>
      </c>
      <c r="AO4095" t="str">
        <f>"הכנסות  מלקוחות"</f>
        <v>הכנסות  מלקוחות</v>
      </c>
      <c r="AQ4095" t="str">
        <f>"007"</f>
        <v>007</v>
      </c>
      <c r="AR4095">
        <v>0</v>
      </c>
      <c r="AS4095">
        <v>0</v>
      </c>
      <c r="AT4095">
        <v>3.605</v>
      </c>
      <c r="BB4095" t="str">
        <f>"Y"</f>
        <v>Y</v>
      </c>
      <c r="BD4095" t="str">
        <f>"רוני דידי"</f>
        <v>רוני דידי</v>
      </c>
    </row>
    <row r="4096" spans="1:56" x14ac:dyDescent="0.3">
      <c r="A4096" s="1">
        <v>43522</v>
      </c>
      <c r="B4096" t="str">
        <f>"SI196000242"</f>
        <v>SI196000242</v>
      </c>
      <c r="C4096" t="str">
        <f>"PR18000904"</f>
        <v>PR18000904</v>
      </c>
      <c r="E4096" t="str">
        <f>"Y"</f>
        <v>Y</v>
      </c>
      <c r="F4096" t="str">
        <f>"חשבוניות מרכזות"</f>
        <v>חשבוניות מרכזות</v>
      </c>
      <c r="G4096" t="str">
        <f>"700065"</f>
        <v>700065</v>
      </c>
      <c r="H4096" t="str">
        <f>"אלתא מערכות בע""מ"</f>
        <v>אלתא מערכות בע"מ</v>
      </c>
      <c r="I4096" t="str">
        <f>"10"</f>
        <v>10</v>
      </c>
      <c r="J4096" t="str">
        <f>"OP-AR00454"</f>
        <v>OP-AR00454</v>
      </c>
      <c r="K4096" t="str">
        <f>"PDU 380V/50HZ/3 PH AC POWER BOX"</f>
        <v>PDU 380V/50HZ/3 PH AC POWER BOX</v>
      </c>
      <c r="L4096">
        <v>-1</v>
      </c>
      <c r="M4096" t="str">
        <f>"יח"</f>
        <v>יח</v>
      </c>
      <c r="N4096">
        <v>-1</v>
      </c>
      <c r="O4096" t="str">
        <f>"יח"</f>
        <v>יח</v>
      </c>
      <c r="P4096" s="2">
        <v>1150</v>
      </c>
      <c r="Q4096" t="str">
        <f>"$"</f>
        <v>$</v>
      </c>
      <c r="R4096" t="str">
        <f>"הזמנה"</f>
        <v>הזמנה</v>
      </c>
      <c r="S4096">
        <v>0</v>
      </c>
      <c r="T4096" s="2">
        <v>-1150</v>
      </c>
      <c r="U4096">
        <v>0</v>
      </c>
      <c r="V4096" s="2">
        <v>-1150</v>
      </c>
      <c r="W4096" t="str">
        <f>"$"</f>
        <v>$</v>
      </c>
      <c r="X4096">
        <v>0</v>
      </c>
      <c r="Y4096">
        <v>0</v>
      </c>
      <c r="Z4096">
        <v>0</v>
      </c>
      <c r="AA4096" t="str">
        <f>"Y"</f>
        <v>Y</v>
      </c>
      <c r="AC4096">
        <v>0</v>
      </c>
      <c r="AM4096" t="str">
        <f>"10"</f>
        <v>10</v>
      </c>
      <c r="AN4096" t="str">
        <f>"500000"</f>
        <v>500000</v>
      </c>
      <c r="AO4096" t="str">
        <f>"הכנסות  מלקוחות"</f>
        <v>הכנסות  מלקוחות</v>
      </c>
      <c r="AQ4096" t="str">
        <f>"007"</f>
        <v>007</v>
      </c>
      <c r="AR4096">
        <v>0</v>
      </c>
      <c r="AS4096">
        <v>0</v>
      </c>
      <c r="AT4096">
        <v>3.613</v>
      </c>
      <c r="BB4096" t="str">
        <f>"Y"</f>
        <v>Y</v>
      </c>
      <c r="BD4096" t="str">
        <f>"רוני דידי"</f>
        <v>רוני דידי</v>
      </c>
    </row>
    <row r="4097" spans="1:56" x14ac:dyDescent="0.3">
      <c r="A4097" s="1">
        <v>43522</v>
      </c>
      <c r="B4097" t="str">
        <f>"SI196000242"</f>
        <v>SI196000242</v>
      </c>
      <c r="C4097" t="str">
        <f>"PR18000904"</f>
        <v>PR18000904</v>
      </c>
      <c r="E4097" t="str">
        <f>"Y"</f>
        <v>Y</v>
      </c>
      <c r="F4097" t="str">
        <f>"חשבוניות מרכזות"</f>
        <v>חשבוניות מרכזות</v>
      </c>
      <c r="G4097" t="str">
        <f>"700065"</f>
        <v>700065</v>
      </c>
      <c r="H4097" t="str">
        <f>"אלתא מערכות בע""מ"</f>
        <v>אלתא מערכות בע"מ</v>
      </c>
      <c r="I4097" t="str">
        <f>"10"</f>
        <v>10</v>
      </c>
      <c r="J4097" t="str">
        <f>"OP-AR00454"</f>
        <v>OP-AR00454</v>
      </c>
      <c r="K4097" t="str">
        <f>"PDU 380V/50HZ/3 PH AC POWER BOX"</f>
        <v>PDU 380V/50HZ/3 PH AC POWER BOX</v>
      </c>
      <c r="L4097">
        <v>-1</v>
      </c>
      <c r="M4097" t="str">
        <f>"יח"</f>
        <v>יח</v>
      </c>
      <c r="N4097">
        <v>-1</v>
      </c>
      <c r="O4097" t="str">
        <f>"יח"</f>
        <v>יח</v>
      </c>
      <c r="P4097" s="2">
        <v>1150</v>
      </c>
      <c r="Q4097" t="str">
        <f>"$"</f>
        <v>$</v>
      </c>
      <c r="R4097" t="str">
        <f>"הזמנה"</f>
        <v>הזמנה</v>
      </c>
      <c r="S4097">
        <v>0</v>
      </c>
      <c r="T4097" s="2">
        <v>-1150</v>
      </c>
      <c r="U4097">
        <v>0</v>
      </c>
      <c r="V4097" s="2">
        <v>-1150</v>
      </c>
      <c r="W4097" t="str">
        <f>"$"</f>
        <v>$</v>
      </c>
      <c r="X4097">
        <v>0</v>
      </c>
      <c r="Y4097">
        <v>0</v>
      </c>
      <c r="Z4097">
        <v>0</v>
      </c>
      <c r="AA4097" t="str">
        <f>"Y"</f>
        <v>Y</v>
      </c>
      <c r="AC4097">
        <v>0</v>
      </c>
      <c r="AM4097" t="str">
        <f>"10"</f>
        <v>10</v>
      </c>
      <c r="AN4097" t="str">
        <f>"500000"</f>
        <v>500000</v>
      </c>
      <c r="AO4097" t="str">
        <f>"הכנסות  מלקוחות"</f>
        <v>הכנסות  מלקוחות</v>
      </c>
      <c r="AQ4097" t="str">
        <f>"007"</f>
        <v>007</v>
      </c>
      <c r="AR4097">
        <v>0</v>
      </c>
      <c r="AS4097">
        <v>0</v>
      </c>
      <c r="AT4097">
        <v>3.613</v>
      </c>
      <c r="BB4097" t="str">
        <f>"Y"</f>
        <v>Y</v>
      </c>
      <c r="BD4097" t="str">
        <f>"רוני דידי"</f>
        <v>רוני דידי</v>
      </c>
    </row>
    <row r="4098" spans="1:56" x14ac:dyDescent="0.3">
      <c r="A4098" s="1">
        <v>43520</v>
      </c>
      <c r="B4098" t="str">
        <f>"SI196000234"</f>
        <v>SI196000234</v>
      </c>
      <c r="C4098" t="str">
        <f>"PR18000904"</f>
        <v>PR18000904</v>
      </c>
      <c r="E4098" t="str">
        <f>"Y"</f>
        <v>Y</v>
      </c>
      <c r="F4098" t="str">
        <f>"חשבוניות מרכזות"</f>
        <v>חשבוניות מרכזות</v>
      </c>
      <c r="G4098" t="str">
        <f>"700065"</f>
        <v>700065</v>
      </c>
      <c r="H4098" t="str">
        <f>"אלתא מערכות בע""מ"</f>
        <v>אלתא מערכות בע"מ</v>
      </c>
      <c r="I4098" t="str">
        <f>"10"</f>
        <v>10</v>
      </c>
      <c r="J4098" t="str">
        <f>"OP-ML00119"</f>
        <v>OP-ML00119</v>
      </c>
      <c r="K4098" t="str">
        <f>"PDU 1U 230VAC 1PH"</f>
        <v>PDU 1U 230VAC 1PH</v>
      </c>
      <c r="L4098">
        <v>1</v>
      </c>
      <c r="M4098" t="str">
        <f>"יח"</f>
        <v>יח</v>
      </c>
      <c r="N4098">
        <v>1</v>
      </c>
      <c r="O4098" t="str">
        <f>"יח"</f>
        <v>יח</v>
      </c>
      <c r="P4098" s="2">
        <v>2848</v>
      </c>
      <c r="Q4098" t="str">
        <f>"$"</f>
        <v>$</v>
      </c>
      <c r="R4098" t="str">
        <f>"הזמנה"</f>
        <v>הזמנה</v>
      </c>
      <c r="S4098">
        <v>0</v>
      </c>
      <c r="T4098" s="2">
        <v>2848</v>
      </c>
      <c r="U4098">
        <v>0</v>
      </c>
      <c r="V4098" s="2">
        <v>2848</v>
      </c>
      <c r="W4098" t="str">
        <f>"$"</f>
        <v>$</v>
      </c>
      <c r="X4098">
        <v>0</v>
      </c>
      <c r="Y4098">
        <v>0</v>
      </c>
      <c r="Z4098">
        <v>0</v>
      </c>
      <c r="AA4098" t="str">
        <f>"Y"</f>
        <v>Y</v>
      </c>
      <c r="AB4098" t="str">
        <f>"SO18000702"</f>
        <v>SO18000702</v>
      </c>
      <c r="AC4098">
        <v>2</v>
      </c>
      <c r="AD4098" s="1">
        <v>43452</v>
      </c>
      <c r="AE4098" t="str">
        <f>"SH19000299"</f>
        <v>SH19000299</v>
      </c>
      <c r="AF4098" t="str">
        <f>"משלוחים ללקוח"</f>
        <v>משלוחים ללקוח</v>
      </c>
      <c r="AG4098" s="1">
        <v>43517</v>
      </c>
      <c r="AM4098" t="str">
        <f>"10"</f>
        <v>10</v>
      </c>
      <c r="AN4098" t="str">
        <f>"500000"</f>
        <v>500000</v>
      </c>
      <c r="AO4098" t="str">
        <f>"הכנסות  מלקוחות"</f>
        <v>הכנסות  מלקוחות</v>
      </c>
      <c r="AQ4098" t="str">
        <f>"007"</f>
        <v>007</v>
      </c>
      <c r="AR4098">
        <v>0</v>
      </c>
      <c r="AS4098">
        <v>0</v>
      </c>
      <c r="AT4098">
        <v>3.613</v>
      </c>
      <c r="AX4098" t="str">
        <f>"E000275915"</f>
        <v>E000275915</v>
      </c>
      <c r="BD4098" t="str">
        <f>"רוני דידי"</f>
        <v>רוני דידי</v>
      </c>
    </row>
    <row r="4099" spans="1:56" x14ac:dyDescent="0.3">
      <c r="A4099" s="1">
        <v>43520</v>
      </c>
      <c r="B4099" t="str">
        <f>"SI196000233"</f>
        <v>SI196000233</v>
      </c>
      <c r="C4099" t="str">
        <f>"PR18000904"</f>
        <v>PR18000904</v>
      </c>
      <c r="E4099" t="str">
        <f>"Y"</f>
        <v>Y</v>
      </c>
      <c r="F4099" t="str">
        <f>"חשבוניות מרכזות"</f>
        <v>חשבוניות מרכזות</v>
      </c>
      <c r="G4099" t="str">
        <f>"700065"</f>
        <v>700065</v>
      </c>
      <c r="H4099" t="str">
        <f>"אלתא מערכות בע""מ"</f>
        <v>אלתא מערכות בע"מ</v>
      </c>
      <c r="I4099" t="str">
        <f>"10"</f>
        <v>10</v>
      </c>
      <c r="J4099" t="str">
        <f>"OP-AR00454"</f>
        <v>OP-AR00454</v>
      </c>
      <c r="K4099" t="str">
        <f>"PDU 380V/50HZ/3 PH AC POWER BOX"</f>
        <v>PDU 380V/50HZ/3 PH AC POWER BOX</v>
      </c>
      <c r="L4099">
        <v>1</v>
      </c>
      <c r="M4099" t="str">
        <f>"יח"</f>
        <v>יח</v>
      </c>
      <c r="N4099">
        <v>1</v>
      </c>
      <c r="O4099" t="str">
        <f>"יח"</f>
        <v>יח</v>
      </c>
      <c r="P4099" s="2">
        <v>1150</v>
      </c>
      <c r="Q4099" t="str">
        <f>"$"</f>
        <v>$</v>
      </c>
      <c r="R4099" t="str">
        <f>"הזמנה"</f>
        <v>הזמנה</v>
      </c>
      <c r="S4099">
        <v>0</v>
      </c>
      <c r="T4099" s="2">
        <v>1150</v>
      </c>
      <c r="U4099">
        <v>0</v>
      </c>
      <c r="V4099" s="2">
        <v>1150</v>
      </c>
      <c r="W4099" t="str">
        <f>"$"</f>
        <v>$</v>
      </c>
      <c r="X4099">
        <v>0</v>
      </c>
      <c r="Y4099">
        <v>0</v>
      </c>
      <c r="Z4099">
        <v>0</v>
      </c>
      <c r="AA4099" t="str">
        <f>"Y"</f>
        <v>Y</v>
      </c>
      <c r="AC4099">
        <v>0</v>
      </c>
      <c r="AM4099" t="str">
        <f>"10"</f>
        <v>10</v>
      </c>
      <c r="AN4099" t="str">
        <f>"500000"</f>
        <v>500000</v>
      </c>
      <c r="AO4099" t="str">
        <f>"הכנסות  מלקוחות"</f>
        <v>הכנסות  מלקוחות</v>
      </c>
      <c r="AQ4099" t="str">
        <f>"007"</f>
        <v>007</v>
      </c>
      <c r="AR4099">
        <v>0</v>
      </c>
      <c r="AS4099">
        <v>0</v>
      </c>
      <c r="AT4099">
        <v>3.613</v>
      </c>
      <c r="BB4099" t="str">
        <f>"Y"</f>
        <v>Y</v>
      </c>
      <c r="BD4099" t="str">
        <f>"רוני דידי"</f>
        <v>רוני דידי</v>
      </c>
    </row>
    <row r="4100" spans="1:56" x14ac:dyDescent="0.3">
      <c r="A4100" s="1">
        <v>43520</v>
      </c>
      <c r="B4100" t="str">
        <f>"SI196000233"</f>
        <v>SI196000233</v>
      </c>
      <c r="C4100" t="str">
        <f>"PR18000904"</f>
        <v>PR18000904</v>
      </c>
      <c r="E4100" t="str">
        <f>"Y"</f>
        <v>Y</v>
      </c>
      <c r="F4100" t="str">
        <f>"חשבוניות מרכזות"</f>
        <v>חשבוניות מרכזות</v>
      </c>
      <c r="G4100" t="str">
        <f>"700065"</f>
        <v>700065</v>
      </c>
      <c r="H4100" t="str">
        <f>"אלתא מערכות בע""מ"</f>
        <v>אלתא מערכות בע"מ</v>
      </c>
      <c r="I4100" t="str">
        <f>"10"</f>
        <v>10</v>
      </c>
      <c r="J4100" t="str">
        <f>"OP-AR00454"</f>
        <v>OP-AR00454</v>
      </c>
      <c r="K4100" t="str">
        <f>"PDU 380V/50HZ/3 PH AC POWER BOX"</f>
        <v>PDU 380V/50HZ/3 PH AC POWER BOX</v>
      </c>
      <c r="L4100">
        <v>1</v>
      </c>
      <c r="M4100" t="str">
        <f>"יח"</f>
        <v>יח</v>
      </c>
      <c r="N4100">
        <v>1</v>
      </c>
      <c r="O4100" t="str">
        <f>"יח"</f>
        <v>יח</v>
      </c>
      <c r="P4100" s="2">
        <v>1150</v>
      </c>
      <c r="Q4100" t="str">
        <f>"$"</f>
        <v>$</v>
      </c>
      <c r="R4100" t="str">
        <f>"הזמנה"</f>
        <v>הזמנה</v>
      </c>
      <c r="S4100">
        <v>0</v>
      </c>
      <c r="T4100" s="2">
        <v>1150</v>
      </c>
      <c r="U4100">
        <v>0</v>
      </c>
      <c r="V4100" s="2">
        <v>1150</v>
      </c>
      <c r="W4100" t="str">
        <f>"$"</f>
        <v>$</v>
      </c>
      <c r="X4100">
        <v>0</v>
      </c>
      <c r="Y4100">
        <v>0</v>
      </c>
      <c r="Z4100">
        <v>0</v>
      </c>
      <c r="AA4100" t="str">
        <f>"Y"</f>
        <v>Y</v>
      </c>
      <c r="AC4100">
        <v>0</v>
      </c>
      <c r="AM4100" t="str">
        <f>"10"</f>
        <v>10</v>
      </c>
      <c r="AN4100" t="str">
        <f>"500000"</f>
        <v>500000</v>
      </c>
      <c r="AO4100" t="str">
        <f>"הכנסות  מלקוחות"</f>
        <v>הכנסות  מלקוחות</v>
      </c>
      <c r="AQ4100" t="str">
        <f>"007"</f>
        <v>007</v>
      </c>
      <c r="AR4100">
        <v>0</v>
      </c>
      <c r="AS4100">
        <v>0</v>
      </c>
      <c r="AT4100">
        <v>3.613</v>
      </c>
      <c r="BB4100" t="str">
        <f>"Y"</f>
        <v>Y</v>
      </c>
      <c r="BD4100" t="str">
        <f>"רוני דידי"</f>
        <v>רוני דידי</v>
      </c>
    </row>
    <row r="4101" spans="1:56" x14ac:dyDescent="0.3">
      <c r="A4101" s="1">
        <v>43516</v>
      </c>
      <c r="B4101" t="str">
        <f>"CR197000006"</f>
        <v>CR197000006</v>
      </c>
      <c r="C4101" t="str">
        <f>"PR16000776"</f>
        <v>PR16000776</v>
      </c>
      <c r="E4101" t="str">
        <f>"Y"</f>
        <v>Y</v>
      </c>
      <c r="F4101" t="str">
        <f>"חשבוניות זיכוי"</f>
        <v>חשבוניות זיכוי</v>
      </c>
      <c r="G4101" t="str">
        <f>"700065"</f>
        <v>700065</v>
      </c>
      <c r="H4101" t="str">
        <f>"אלתא מערכות בע""מ"</f>
        <v>אלתא מערכות בע"מ</v>
      </c>
      <c r="I4101" t="str">
        <f>"10"</f>
        <v>10</v>
      </c>
      <c r="J4101" t="str">
        <f>"000"</f>
        <v>000</v>
      </c>
      <c r="K4101" t="str">
        <f>"זיכוי לחשבונית SI186001422"</f>
        <v>זיכוי לחשבונית SI186001422</v>
      </c>
      <c r="L4101">
        <v>1</v>
      </c>
      <c r="M4101" t="str">
        <f>"יח"</f>
        <v>יח</v>
      </c>
      <c r="N4101">
        <v>1</v>
      </c>
      <c r="O4101" t="str">
        <f>"יח"</f>
        <v>יח</v>
      </c>
      <c r="P4101" s="2">
        <v>3923.85</v>
      </c>
      <c r="Q4101" t="str">
        <f>"$"</f>
        <v>$</v>
      </c>
      <c r="R4101" t="str">
        <f>"ידני"</f>
        <v>ידני</v>
      </c>
      <c r="S4101">
        <v>0</v>
      </c>
      <c r="T4101" s="2">
        <v>3923.85</v>
      </c>
      <c r="U4101">
        <v>0</v>
      </c>
      <c r="V4101" s="2">
        <v>3923.85</v>
      </c>
      <c r="W4101" t="str">
        <f>"$"</f>
        <v>$</v>
      </c>
      <c r="X4101">
        <v>0</v>
      </c>
      <c r="Y4101">
        <v>0</v>
      </c>
      <c r="Z4101">
        <v>0</v>
      </c>
      <c r="AA4101" t="str">
        <f>"Y"</f>
        <v>Y</v>
      </c>
      <c r="AB4101" t="str">
        <f>"SO18000637"</f>
        <v>SO18000637</v>
      </c>
      <c r="AC4101">
        <v>2</v>
      </c>
      <c r="AD4101" s="1">
        <v>43419</v>
      </c>
      <c r="AM4101" t="str">
        <f>"10"</f>
        <v>10</v>
      </c>
      <c r="AN4101" t="str">
        <f>"500000"</f>
        <v>500000</v>
      </c>
      <c r="AO4101" t="str">
        <f>"הכנסות  מלקוחות"</f>
        <v>הכנסות  מלקוחות</v>
      </c>
      <c r="AQ4101" t="str">
        <f>"007"</f>
        <v>007</v>
      </c>
      <c r="AR4101">
        <v>0</v>
      </c>
      <c r="AS4101">
        <v>0</v>
      </c>
      <c r="AT4101">
        <v>3.6829999999999998</v>
      </c>
      <c r="AX4101" t="str">
        <f>"E000272778"</f>
        <v>E000272778</v>
      </c>
      <c r="BD4101" t="str">
        <f>"רוני דידי"</f>
        <v>רוני דידי</v>
      </c>
    </row>
    <row r="4102" spans="1:56" x14ac:dyDescent="0.3">
      <c r="A4102" s="1">
        <v>43513</v>
      </c>
      <c r="B4102" t="str">
        <f>"SI196000212"</f>
        <v>SI196000212</v>
      </c>
      <c r="C4102" t="str">
        <f>"PR18000543"</f>
        <v>PR18000543</v>
      </c>
      <c r="D4102" t="str">
        <f>"PR18000543"</f>
        <v>PR18000543</v>
      </c>
      <c r="E4102" t="str">
        <f>"Y"</f>
        <v>Y</v>
      </c>
      <c r="F4102" t="str">
        <f>"חשבוניות מרכזות"</f>
        <v>חשבוניות מרכזות</v>
      </c>
      <c r="G4102" t="str">
        <f>"700065"</f>
        <v>700065</v>
      </c>
      <c r="H4102" t="str">
        <f>"אלתא מערכות בע""מ"</f>
        <v>אלתא מערכות בע"מ</v>
      </c>
      <c r="I4102" t="str">
        <f>"10"</f>
        <v>10</v>
      </c>
      <c r="J4102" t="str">
        <f>"OP-AR01083"</f>
        <v>OP-AR01083</v>
      </c>
      <c r="K4102" t="str">
        <f>"1036C960-001 HVJB_N"</f>
        <v>1036C960-001 HVJB_N</v>
      </c>
      <c r="L4102">
        <v>1</v>
      </c>
      <c r="M4102" t="str">
        <f>"יח"</f>
        <v>יח</v>
      </c>
      <c r="N4102">
        <v>1</v>
      </c>
      <c r="O4102" t="str">
        <f>"יח"</f>
        <v>יח</v>
      </c>
      <c r="P4102" s="2">
        <v>6500</v>
      </c>
      <c r="Q4102" t="str">
        <f>"$"</f>
        <v>$</v>
      </c>
      <c r="R4102" t="str">
        <f>"הזמנה"</f>
        <v>הזמנה</v>
      </c>
      <c r="S4102">
        <v>0</v>
      </c>
      <c r="T4102" s="2">
        <v>6500</v>
      </c>
      <c r="U4102">
        <v>0</v>
      </c>
      <c r="V4102" s="2">
        <v>6500</v>
      </c>
      <c r="W4102" t="str">
        <f>"$"</f>
        <v>$</v>
      </c>
      <c r="X4102">
        <v>0</v>
      </c>
      <c r="Y4102">
        <v>0</v>
      </c>
      <c r="Z4102">
        <v>0</v>
      </c>
      <c r="AA4102" t="str">
        <f>"Y"</f>
        <v>Y</v>
      </c>
      <c r="AB4102" t="str">
        <f>"SO18000429"</f>
        <v>SO18000429</v>
      </c>
      <c r="AC4102">
        <v>1</v>
      </c>
      <c r="AD4102" s="1">
        <v>43311</v>
      </c>
      <c r="AE4102" t="str">
        <f>"SH19000275"</f>
        <v>SH19000275</v>
      </c>
      <c r="AF4102" t="str">
        <f>"משלוחים ללקוח"</f>
        <v>משלוחים ללקוח</v>
      </c>
      <c r="AG4102" s="1">
        <v>43513</v>
      </c>
      <c r="AM4102" t="str">
        <f>"10"</f>
        <v>10</v>
      </c>
      <c r="AN4102" t="str">
        <f>"500000"</f>
        <v>500000</v>
      </c>
      <c r="AO4102" t="str">
        <f>"הכנסות  מלקוחות"</f>
        <v>הכנסות  מלקוחות</v>
      </c>
      <c r="AQ4102" t="str">
        <f>"007"</f>
        <v>007</v>
      </c>
      <c r="AR4102">
        <v>0</v>
      </c>
      <c r="AS4102">
        <v>0</v>
      </c>
      <c r="AT4102">
        <v>3.641</v>
      </c>
      <c r="AX4102" t="str">
        <f>"E000266439"</f>
        <v>E000266439</v>
      </c>
      <c r="BD4102" t="str">
        <f>"רוני דידי"</f>
        <v>רוני דידי</v>
      </c>
    </row>
    <row r="4103" spans="1:56" x14ac:dyDescent="0.3">
      <c r="A4103" s="1">
        <v>43513</v>
      </c>
      <c r="B4103" t="str">
        <f>"SI196000212"</f>
        <v>SI196000212</v>
      </c>
      <c r="C4103" t="str">
        <f>"PR18000543"</f>
        <v>PR18000543</v>
      </c>
      <c r="D4103" t="str">
        <f>"PR18000543"</f>
        <v>PR18000543</v>
      </c>
      <c r="E4103" t="str">
        <f>"Y"</f>
        <v>Y</v>
      </c>
      <c r="F4103" t="str">
        <f>"חשבוניות מרכזות"</f>
        <v>חשבוניות מרכזות</v>
      </c>
      <c r="G4103" t="str">
        <f>"700065"</f>
        <v>700065</v>
      </c>
      <c r="H4103" t="str">
        <f>"אלתא מערכות בע""מ"</f>
        <v>אלתא מערכות בע"מ</v>
      </c>
      <c r="I4103" t="str">
        <f>"10"</f>
        <v>10</v>
      </c>
      <c r="J4103" t="str">
        <f>"OP-AR01083"</f>
        <v>OP-AR01083</v>
      </c>
      <c r="K4103" t="str">
        <f>"1036C960-001 HVJB_N"</f>
        <v>1036C960-001 HVJB_N</v>
      </c>
      <c r="L4103">
        <v>4</v>
      </c>
      <c r="M4103" t="str">
        <f>"יח"</f>
        <v>יח</v>
      </c>
      <c r="N4103">
        <v>4</v>
      </c>
      <c r="O4103" t="str">
        <f>"יח"</f>
        <v>יח</v>
      </c>
      <c r="P4103" s="2">
        <v>6500</v>
      </c>
      <c r="Q4103" t="str">
        <f>"$"</f>
        <v>$</v>
      </c>
      <c r="R4103" t="str">
        <f>"הזמנה"</f>
        <v>הזמנה</v>
      </c>
      <c r="S4103">
        <v>0</v>
      </c>
      <c r="T4103" s="2">
        <v>26000</v>
      </c>
      <c r="U4103">
        <v>0</v>
      </c>
      <c r="V4103" s="2">
        <v>26000</v>
      </c>
      <c r="W4103" t="str">
        <f>"$"</f>
        <v>$</v>
      </c>
      <c r="X4103">
        <v>0</v>
      </c>
      <c r="Y4103">
        <v>0</v>
      </c>
      <c r="Z4103">
        <v>0</v>
      </c>
      <c r="AA4103" t="str">
        <f>"Y"</f>
        <v>Y</v>
      </c>
      <c r="AB4103" t="str">
        <f>"SO18000429"</f>
        <v>SO18000429</v>
      </c>
      <c r="AC4103">
        <v>2</v>
      </c>
      <c r="AD4103" s="1">
        <v>43311</v>
      </c>
      <c r="AE4103" t="str">
        <f>"SH19000275"</f>
        <v>SH19000275</v>
      </c>
      <c r="AF4103" t="str">
        <f>"משלוחים ללקוח"</f>
        <v>משלוחים ללקוח</v>
      </c>
      <c r="AG4103" s="1">
        <v>43513</v>
      </c>
      <c r="AM4103" t="str">
        <f>"10"</f>
        <v>10</v>
      </c>
      <c r="AN4103" t="str">
        <f>"500000"</f>
        <v>500000</v>
      </c>
      <c r="AO4103" t="str">
        <f>"הכנסות  מלקוחות"</f>
        <v>הכנסות  מלקוחות</v>
      </c>
      <c r="AQ4103" t="str">
        <f>"007"</f>
        <v>007</v>
      </c>
      <c r="AR4103">
        <v>0</v>
      </c>
      <c r="AS4103">
        <v>0</v>
      </c>
      <c r="AT4103">
        <v>3.641</v>
      </c>
      <c r="AX4103" t="str">
        <f>"E000266439"</f>
        <v>E000266439</v>
      </c>
      <c r="BD4103" t="str">
        <f>"רוני דידי"</f>
        <v>רוני דידי</v>
      </c>
    </row>
    <row r="4104" spans="1:56" x14ac:dyDescent="0.3">
      <c r="A4104" s="1">
        <v>43513</v>
      </c>
      <c r="B4104" t="str">
        <f>"SI196000210"</f>
        <v>SI196000210</v>
      </c>
      <c r="C4104" t="str">
        <f>"PR18000547"</f>
        <v>PR18000547</v>
      </c>
      <c r="D4104" t="str">
        <f>"PR18000547"</f>
        <v>PR18000547</v>
      </c>
      <c r="E4104" t="str">
        <f>"Y"</f>
        <v>Y</v>
      </c>
      <c r="F4104" t="str">
        <f>"חשבוניות מרכזות"</f>
        <v>חשבוניות מרכזות</v>
      </c>
      <c r="G4104" t="str">
        <f>"700065"</f>
        <v>700065</v>
      </c>
      <c r="H4104" t="str">
        <f>"אלתא מערכות בע""מ"</f>
        <v>אלתא מערכות בע"מ</v>
      </c>
      <c r="I4104" t="str">
        <f>"10"</f>
        <v>10</v>
      </c>
      <c r="J4104" t="str">
        <f>"OP-AR01088"</f>
        <v>OP-AR01088</v>
      </c>
      <c r="K4104" t="str">
        <f>"1038H185-001 SRASR POWER DISTRIUTION UNIT"</f>
        <v>1038H185-001 SRASR POWER DISTRIUTION UNIT</v>
      </c>
      <c r="L4104">
        <v>2</v>
      </c>
      <c r="M4104" t="str">
        <f>"יח"</f>
        <v>יח</v>
      </c>
      <c r="N4104">
        <v>2</v>
      </c>
      <c r="O4104" t="str">
        <f>"יח"</f>
        <v>יח</v>
      </c>
      <c r="P4104" s="2">
        <v>13598</v>
      </c>
      <c r="Q4104" t="str">
        <f>"$"</f>
        <v>$</v>
      </c>
      <c r="R4104" t="str">
        <f>"הזמנה"</f>
        <v>הזמנה</v>
      </c>
      <c r="S4104">
        <v>0</v>
      </c>
      <c r="T4104" s="2">
        <v>27196</v>
      </c>
      <c r="U4104">
        <v>0</v>
      </c>
      <c r="V4104" s="2">
        <v>27196</v>
      </c>
      <c r="W4104" t="str">
        <f>"$"</f>
        <v>$</v>
      </c>
      <c r="X4104">
        <v>0</v>
      </c>
      <c r="Y4104">
        <v>0</v>
      </c>
      <c r="Z4104">
        <v>0</v>
      </c>
      <c r="AA4104" t="str">
        <f>"Y"</f>
        <v>Y</v>
      </c>
      <c r="AB4104" t="str">
        <f>"SO18000439"</f>
        <v>SO18000439</v>
      </c>
      <c r="AC4104">
        <v>4</v>
      </c>
      <c r="AD4104" s="1">
        <v>43313</v>
      </c>
      <c r="AE4104" t="str">
        <f>"SH19000259"</f>
        <v>SH19000259</v>
      </c>
      <c r="AF4104" t="str">
        <f>"משלוחים ללקוח"</f>
        <v>משלוחים ללקוח</v>
      </c>
      <c r="AG4104" s="1">
        <v>43509</v>
      </c>
      <c r="AM4104" t="str">
        <f>"10"</f>
        <v>10</v>
      </c>
      <c r="AN4104" t="str">
        <f>"500000"</f>
        <v>500000</v>
      </c>
      <c r="AO4104" t="str">
        <f>"הכנסות  מלקוחות"</f>
        <v>הכנסות  מלקוחות</v>
      </c>
      <c r="AQ4104" t="str">
        <f>"007"</f>
        <v>007</v>
      </c>
      <c r="AR4104">
        <v>0</v>
      </c>
      <c r="AS4104">
        <v>0</v>
      </c>
      <c r="AT4104">
        <v>3.641</v>
      </c>
      <c r="AX4104" t="str">
        <f>"E000266274"</f>
        <v>E000266274</v>
      </c>
      <c r="BD4104" t="str">
        <f>"רוני דידי"</f>
        <v>רוני דידי</v>
      </c>
    </row>
    <row r="4105" spans="1:56" x14ac:dyDescent="0.3">
      <c r="A4105" s="1">
        <v>43506</v>
      </c>
      <c r="B4105" t="str">
        <f>"SI196000176"</f>
        <v>SI196000176</v>
      </c>
      <c r="C4105" t="str">
        <f>"PR18000707"</f>
        <v>PR18000707</v>
      </c>
      <c r="D4105" t="str">
        <f>"PR18000707"</f>
        <v>PR18000707</v>
      </c>
      <c r="E4105" t="str">
        <f>"Y"</f>
        <v>Y</v>
      </c>
      <c r="F4105" t="str">
        <f>"חשבוניות מרכזות"</f>
        <v>חשבוניות מרכזות</v>
      </c>
      <c r="G4105" t="str">
        <f>"700065"</f>
        <v>700065</v>
      </c>
      <c r="H4105" t="str">
        <f>"אלתא מערכות בע""מ"</f>
        <v>אלתא מערכות בע"מ</v>
      </c>
      <c r="I4105" t="str">
        <f>"10"</f>
        <v>10</v>
      </c>
      <c r="J4105" t="str">
        <f>"OP-AR01163"</f>
        <v>OP-AR01163</v>
      </c>
      <c r="K4105" t="str">
        <f>"PANEL 1U CONNECTOR FOR UPS DELTA"</f>
        <v>PANEL 1U CONNECTOR FOR UPS DELTA</v>
      </c>
      <c r="L4105">
        <v>5</v>
      </c>
      <c r="M4105" t="str">
        <f>"יח"</f>
        <v>יח</v>
      </c>
      <c r="N4105">
        <v>5</v>
      </c>
      <c r="O4105" t="str">
        <f>"יח"</f>
        <v>יח</v>
      </c>
      <c r="P4105">
        <v>135</v>
      </c>
      <c r="Q4105" t="str">
        <f>"$"</f>
        <v>$</v>
      </c>
      <c r="R4105" t="str">
        <f>"הזמנה"</f>
        <v>הזמנה</v>
      </c>
      <c r="S4105">
        <v>0</v>
      </c>
      <c r="T4105">
        <v>675</v>
      </c>
      <c r="U4105">
        <v>0</v>
      </c>
      <c r="V4105">
        <v>675</v>
      </c>
      <c r="W4105" t="str">
        <f>"$"</f>
        <v>$</v>
      </c>
      <c r="X4105">
        <v>0</v>
      </c>
      <c r="Y4105">
        <v>0</v>
      </c>
      <c r="Z4105">
        <v>0</v>
      </c>
      <c r="AA4105" t="str">
        <f>"Y"</f>
        <v>Y</v>
      </c>
      <c r="AB4105" t="str">
        <f>"SO18000573"</f>
        <v>SO18000573</v>
      </c>
      <c r="AC4105">
        <v>1</v>
      </c>
      <c r="AD4105" s="1">
        <v>43388</v>
      </c>
      <c r="AE4105" t="str">
        <f>"SH19000224"</f>
        <v>SH19000224</v>
      </c>
      <c r="AF4105" t="str">
        <f>"משלוחים ללקוח"</f>
        <v>משלוחים ללקוח</v>
      </c>
      <c r="AG4105" s="1">
        <v>43503</v>
      </c>
      <c r="AM4105" t="str">
        <f>"10"</f>
        <v>10</v>
      </c>
      <c r="AN4105" t="str">
        <f>"500000"</f>
        <v>500000</v>
      </c>
      <c r="AO4105" t="str">
        <f>"הכנסות  מלקוחות"</f>
        <v>הכנסות  מלקוחות</v>
      </c>
      <c r="AQ4105" t="str">
        <f>"007"</f>
        <v>007</v>
      </c>
      <c r="AR4105">
        <v>0</v>
      </c>
      <c r="AS4105">
        <v>0</v>
      </c>
      <c r="AT4105">
        <v>3.6339999999999999</v>
      </c>
      <c r="AX4105" t="str">
        <f>"E000269450"</f>
        <v>E000269450</v>
      </c>
      <c r="BD4105" t="str">
        <f>"רוני דידי"</f>
        <v>רוני דידי</v>
      </c>
    </row>
    <row r="4106" spans="1:56" x14ac:dyDescent="0.3">
      <c r="A4106" s="1">
        <v>43506</v>
      </c>
      <c r="B4106" t="str">
        <f>"SI196000176"</f>
        <v>SI196000176</v>
      </c>
      <c r="C4106" t="str">
        <f>"PR18000707"</f>
        <v>PR18000707</v>
      </c>
      <c r="D4106" t="str">
        <f>"PR18000707"</f>
        <v>PR18000707</v>
      </c>
      <c r="E4106" t="str">
        <f>"Y"</f>
        <v>Y</v>
      </c>
      <c r="F4106" t="str">
        <f>"חשבוניות מרכזות"</f>
        <v>חשבוניות מרכזות</v>
      </c>
      <c r="G4106" t="str">
        <f>"700065"</f>
        <v>700065</v>
      </c>
      <c r="H4106" t="str">
        <f>"אלתא מערכות בע""מ"</f>
        <v>אלתא מערכות בע"מ</v>
      </c>
      <c r="I4106" t="str">
        <f>"10"</f>
        <v>10</v>
      </c>
      <c r="J4106" t="str">
        <f>"OP-AR01162"</f>
        <v>OP-AR01162</v>
      </c>
      <c r="K4106" t="str">
        <f>"PANEL 1U CONNECTOR 3X FOR UPS DELTA"</f>
        <v>PANEL 1U CONNECTOR 3X FOR UPS DELTA</v>
      </c>
      <c r="L4106">
        <v>6</v>
      </c>
      <c r="M4106" t="str">
        <f>"יח"</f>
        <v>יח</v>
      </c>
      <c r="N4106">
        <v>6</v>
      </c>
      <c r="O4106" t="str">
        <f>"יח"</f>
        <v>יח</v>
      </c>
      <c r="P4106">
        <v>170</v>
      </c>
      <c r="Q4106" t="str">
        <f>"$"</f>
        <v>$</v>
      </c>
      <c r="R4106" t="str">
        <f>"הזמנה"</f>
        <v>הזמנה</v>
      </c>
      <c r="S4106">
        <v>0</v>
      </c>
      <c r="T4106" s="2">
        <v>1020</v>
      </c>
      <c r="U4106">
        <v>0</v>
      </c>
      <c r="V4106" s="2">
        <v>1020</v>
      </c>
      <c r="W4106" t="str">
        <f>"$"</f>
        <v>$</v>
      </c>
      <c r="X4106">
        <v>0</v>
      </c>
      <c r="Y4106">
        <v>0</v>
      </c>
      <c r="Z4106">
        <v>0</v>
      </c>
      <c r="AA4106" t="str">
        <f>"Y"</f>
        <v>Y</v>
      </c>
      <c r="AB4106" t="str">
        <f>"SO18000573"</f>
        <v>SO18000573</v>
      </c>
      <c r="AC4106">
        <v>2</v>
      </c>
      <c r="AD4106" s="1">
        <v>43388</v>
      </c>
      <c r="AE4106" t="str">
        <f>"SH19000224"</f>
        <v>SH19000224</v>
      </c>
      <c r="AF4106" t="str">
        <f>"משלוחים ללקוח"</f>
        <v>משלוחים ללקוח</v>
      </c>
      <c r="AG4106" s="1">
        <v>43503</v>
      </c>
      <c r="AM4106" t="str">
        <f>"10"</f>
        <v>10</v>
      </c>
      <c r="AN4106" t="str">
        <f>"500000"</f>
        <v>500000</v>
      </c>
      <c r="AO4106" t="str">
        <f>"הכנסות  מלקוחות"</f>
        <v>הכנסות  מלקוחות</v>
      </c>
      <c r="AQ4106" t="str">
        <f>"007"</f>
        <v>007</v>
      </c>
      <c r="AR4106">
        <v>0</v>
      </c>
      <c r="AS4106">
        <v>0</v>
      </c>
      <c r="AT4106">
        <v>3.6339999999999999</v>
      </c>
      <c r="AX4106" t="str">
        <f>"E000269450"</f>
        <v>E000269450</v>
      </c>
      <c r="BD4106" t="str">
        <f>"רוני דידי"</f>
        <v>רוני דידי</v>
      </c>
    </row>
    <row r="4107" spans="1:56" x14ac:dyDescent="0.3">
      <c r="A4107" s="1">
        <v>43506</v>
      </c>
      <c r="B4107" t="str">
        <f>"SI196000176"</f>
        <v>SI196000176</v>
      </c>
      <c r="C4107" t="str">
        <f>"PR18000707"</f>
        <v>PR18000707</v>
      </c>
      <c r="D4107" t="str">
        <f>"PR18000707"</f>
        <v>PR18000707</v>
      </c>
      <c r="E4107" t="str">
        <f>"Y"</f>
        <v>Y</v>
      </c>
      <c r="F4107" t="str">
        <f>"חשבוניות מרכזות"</f>
        <v>חשבוניות מרכזות</v>
      </c>
      <c r="G4107" t="str">
        <f>"700065"</f>
        <v>700065</v>
      </c>
      <c r="H4107" t="str">
        <f>"אלתא מערכות בע""מ"</f>
        <v>אלתא מערכות בע"מ</v>
      </c>
      <c r="I4107" t="str">
        <f>"10"</f>
        <v>10</v>
      </c>
      <c r="J4107" t="str">
        <f>"OP-AR01160"</f>
        <v>OP-AR01160</v>
      </c>
      <c r="K4107" t="str">
        <f>"CONNECTOR BOX ASSY"</f>
        <v>CONNECTOR BOX ASSY</v>
      </c>
      <c r="L4107">
        <v>26</v>
      </c>
      <c r="M4107" t="str">
        <f>"יח"</f>
        <v>יח</v>
      </c>
      <c r="N4107">
        <v>26</v>
      </c>
      <c r="O4107" t="str">
        <f>"יח"</f>
        <v>יח</v>
      </c>
      <c r="P4107">
        <v>230</v>
      </c>
      <c r="Q4107" t="str">
        <f>"$"</f>
        <v>$</v>
      </c>
      <c r="R4107" t="str">
        <f>"הזמנה"</f>
        <v>הזמנה</v>
      </c>
      <c r="S4107">
        <v>0</v>
      </c>
      <c r="T4107" s="2">
        <v>5980</v>
      </c>
      <c r="U4107">
        <v>0</v>
      </c>
      <c r="V4107" s="2">
        <v>5980</v>
      </c>
      <c r="W4107" t="str">
        <f>"$"</f>
        <v>$</v>
      </c>
      <c r="X4107">
        <v>0</v>
      </c>
      <c r="Y4107">
        <v>0</v>
      </c>
      <c r="Z4107">
        <v>0</v>
      </c>
      <c r="AA4107" t="str">
        <f>"Y"</f>
        <v>Y</v>
      </c>
      <c r="AB4107" t="str">
        <f>"SO18000573"</f>
        <v>SO18000573</v>
      </c>
      <c r="AC4107">
        <v>4</v>
      </c>
      <c r="AD4107" s="1">
        <v>43388</v>
      </c>
      <c r="AE4107" t="str">
        <f>"SH19000224"</f>
        <v>SH19000224</v>
      </c>
      <c r="AF4107" t="str">
        <f>"משלוחים ללקוח"</f>
        <v>משלוחים ללקוח</v>
      </c>
      <c r="AG4107" s="1">
        <v>43503</v>
      </c>
      <c r="AM4107" t="str">
        <f>"10"</f>
        <v>10</v>
      </c>
      <c r="AN4107" t="str">
        <f>"500000"</f>
        <v>500000</v>
      </c>
      <c r="AO4107" t="str">
        <f>"הכנסות  מלקוחות"</f>
        <v>הכנסות  מלקוחות</v>
      </c>
      <c r="AQ4107" t="str">
        <f>"007"</f>
        <v>007</v>
      </c>
      <c r="AR4107">
        <v>0</v>
      </c>
      <c r="AS4107">
        <v>0</v>
      </c>
      <c r="AT4107">
        <v>3.6339999999999999</v>
      </c>
      <c r="AX4107" t="str">
        <f>"E000269450"</f>
        <v>E000269450</v>
      </c>
      <c r="BD4107" t="str">
        <f>"רוני דידי"</f>
        <v>רוני דידי</v>
      </c>
    </row>
    <row r="4108" spans="1:56" x14ac:dyDescent="0.3">
      <c r="A4108" s="1">
        <v>43506</v>
      </c>
      <c r="B4108" t="str">
        <f>"SI196000176"</f>
        <v>SI196000176</v>
      </c>
      <c r="C4108" t="str">
        <f>"PR18000707"</f>
        <v>PR18000707</v>
      </c>
      <c r="D4108" t="str">
        <f>"PR18000707"</f>
        <v>PR18000707</v>
      </c>
      <c r="E4108" t="str">
        <f>"Y"</f>
        <v>Y</v>
      </c>
      <c r="F4108" t="str">
        <f>"חשבוניות מרכזות"</f>
        <v>חשבוניות מרכזות</v>
      </c>
      <c r="G4108" t="str">
        <f>"700065"</f>
        <v>700065</v>
      </c>
      <c r="H4108" t="str">
        <f>"אלתא מערכות בע""מ"</f>
        <v>אלתא מערכות בע"מ</v>
      </c>
      <c r="I4108" t="str">
        <f>"10"</f>
        <v>10</v>
      </c>
      <c r="J4108" t="str">
        <f>"CB1100212"</f>
        <v>CB1100212</v>
      </c>
      <c r="K4108" t="str">
        <f>"רתמת פיצול UPS RT6"</f>
        <v>רתמת פיצול UPS RT6</v>
      </c>
      <c r="L4108">
        <v>15</v>
      </c>
      <c r="M4108" t="str">
        <f>"יח"</f>
        <v>יח</v>
      </c>
      <c r="N4108">
        <v>15</v>
      </c>
      <c r="O4108" t="str">
        <f>"יח"</f>
        <v>יח</v>
      </c>
      <c r="P4108">
        <v>434</v>
      </c>
      <c r="Q4108" t="str">
        <f>"$"</f>
        <v>$</v>
      </c>
      <c r="R4108" t="str">
        <f>"הזמנה"</f>
        <v>הזמנה</v>
      </c>
      <c r="S4108">
        <v>0</v>
      </c>
      <c r="T4108" s="2">
        <v>6510</v>
      </c>
      <c r="U4108">
        <v>0</v>
      </c>
      <c r="V4108" s="2">
        <v>6510</v>
      </c>
      <c r="W4108" t="str">
        <f>"$"</f>
        <v>$</v>
      </c>
      <c r="X4108">
        <v>0</v>
      </c>
      <c r="Y4108">
        <v>0</v>
      </c>
      <c r="Z4108">
        <v>0</v>
      </c>
      <c r="AA4108" t="str">
        <f>"Y"</f>
        <v>Y</v>
      </c>
      <c r="AB4108" t="str">
        <f>"SO18000573"</f>
        <v>SO18000573</v>
      </c>
      <c r="AC4108">
        <v>5</v>
      </c>
      <c r="AD4108" s="1">
        <v>43388</v>
      </c>
      <c r="AE4108" t="str">
        <f>"SH19000224"</f>
        <v>SH19000224</v>
      </c>
      <c r="AF4108" t="str">
        <f>"משלוחים ללקוח"</f>
        <v>משלוחים ללקוח</v>
      </c>
      <c r="AG4108" s="1">
        <v>43503</v>
      </c>
      <c r="AM4108" t="str">
        <f>"10"</f>
        <v>10</v>
      </c>
      <c r="AN4108" t="str">
        <f>"500000"</f>
        <v>500000</v>
      </c>
      <c r="AO4108" t="str">
        <f>"הכנסות  מלקוחות"</f>
        <v>הכנסות  מלקוחות</v>
      </c>
      <c r="AQ4108" t="str">
        <f>"007"</f>
        <v>007</v>
      </c>
      <c r="AR4108">
        <v>0</v>
      </c>
      <c r="AS4108">
        <v>0</v>
      </c>
      <c r="AT4108">
        <v>3.6339999999999999</v>
      </c>
      <c r="AX4108" t="str">
        <f>"E000269450"</f>
        <v>E000269450</v>
      </c>
      <c r="BD4108" t="str">
        <f>"רוני דידי"</f>
        <v>רוני דידי</v>
      </c>
    </row>
    <row r="4109" spans="1:56" x14ac:dyDescent="0.3">
      <c r="A4109" s="1">
        <v>43503</v>
      </c>
      <c r="B4109" t="str">
        <f>"SI196000175"</f>
        <v>SI196000175</v>
      </c>
      <c r="C4109" t="str">
        <f>"PR18000707"</f>
        <v>PR18000707</v>
      </c>
      <c r="E4109" t="str">
        <f>"Y"</f>
        <v>Y</v>
      </c>
      <c r="F4109" t="str">
        <f>"חשבוניות מרכזות"</f>
        <v>חשבוניות מרכזות</v>
      </c>
      <c r="G4109" t="str">
        <f>"700065"</f>
        <v>700065</v>
      </c>
      <c r="H4109" t="str">
        <f>"אלתא מערכות בע""מ"</f>
        <v>אלתא מערכות בע"מ</v>
      </c>
      <c r="I4109" t="str">
        <f>"10"</f>
        <v>10</v>
      </c>
      <c r="J4109" t="str">
        <f>"OP-AR01163"</f>
        <v>OP-AR01163</v>
      </c>
      <c r="K4109" t="str">
        <f>"PANEL 1U CONNECTOR FOR UPS DELTA"</f>
        <v>PANEL 1U CONNECTOR FOR UPS DELTA</v>
      </c>
      <c r="L4109">
        <v>-5</v>
      </c>
      <c r="M4109" t="str">
        <f>"יח"</f>
        <v>יח</v>
      </c>
      <c r="N4109">
        <v>-5</v>
      </c>
      <c r="O4109" t="str">
        <f>"יח"</f>
        <v>יח</v>
      </c>
      <c r="P4109">
        <v>170</v>
      </c>
      <c r="Q4109" t="str">
        <f>"$"</f>
        <v>$</v>
      </c>
      <c r="R4109" t="str">
        <f>"הזמנה"</f>
        <v>הזמנה</v>
      </c>
      <c r="S4109">
        <v>0</v>
      </c>
      <c r="T4109">
        <v>-850</v>
      </c>
      <c r="U4109">
        <v>0</v>
      </c>
      <c r="V4109">
        <v>-850</v>
      </c>
      <c r="W4109" t="str">
        <f>"$"</f>
        <v>$</v>
      </c>
      <c r="X4109">
        <v>0</v>
      </c>
      <c r="Y4109">
        <v>0</v>
      </c>
      <c r="Z4109">
        <v>0</v>
      </c>
      <c r="AA4109" t="str">
        <f>"Y"</f>
        <v>Y</v>
      </c>
      <c r="AC4109">
        <v>0</v>
      </c>
      <c r="AM4109" t="str">
        <f>"10"</f>
        <v>10</v>
      </c>
      <c r="AN4109" t="str">
        <f>"500000"</f>
        <v>500000</v>
      </c>
      <c r="AO4109" t="str">
        <f>"הכנסות  מלקוחות"</f>
        <v>הכנסות  מלקוחות</v>
      </c>
      <c r="AQ4109" t="str">
        <f>"007"</f>
        <v>007</v>
      </c>
      <c r="AR4109">
        <v>0</v>
      </c>
      <c r="AS4109">
        <v>0</v>
      </c>
      <c r="AT4109">
        <v>3.6269999999999998</v>
      </c>
      <c r="BB4109" t="str">
        <f>"Y"</f>
        <v>Y</v>
      </c>
      <c r="BD4109" t="str">
        <f>"רוני דידי"</f>
        <v>רוני דידי</v>
      </c>
    </row>
    <row r="4110" spans="1:56" x14ac:dyDescent="0.3">
      <c r="A4110" s="1">
        <v>43503</v>
      </c>
      <c r="B4110" t="str">
        <f>"SI196000175"</f>
        <v>SI196000175</v>
      </c>
      <c r="C4110" t="str">
        <f>"PR18000707"</f>
        <v>PR18000707</v>
      </c>
      <c r="E4110" t="str">
        <f>"Y"</f>
        <v>Y</v>
      </c>
      <c r="F4110" t="str">
        <f>"חשבוניות מרכזות"</f>
        <v>חשבוניות מרכזות</v>
      </c>
      <c r="G4110" t="str">
        <f>"700065"</f>
        <v>700065</v>
      </c>
      <c r="H4110" t="str">
        <f>"אלתא מערכות בע""מ"</f>
        <v>אלתא מערכות בע"מ</v>
      </c>
      <c r="I4110" t="str">
        <f>"10"</f>
        <v>10</v>
      </c>
      <c r="J4110" t="str">
        <f>"OP-AR01162"</f>
        <v>OP-AR01162</v>
      </c>
      <c r="K4110" t="str">
        <f>"PANEL 1U CONNECTOR 3X FOR UPS DELTA"</f>
        <v>PANEL 1U CONNECTOR 3X FOR UPS DELTA</v>
      </c>
      <c r="L4110">
        <v>-6</v>
      </c>
      <c r="M4110" t="str">
        <f>"יח"</f>
        <v>יח</v>
      </c>
      <c r="N4110">
        <v>-6</v>
      </c>
      <c r="O4110" t="str">
        <f>"יח"</f>
        <v>יח</v>
      </c>
      <c r="P4110">
        <v>135</v>
      </c>
      <c r="Q4110" t="str">
        <f>"$"</f>
        <v>$</v>
      </c>
      <c r="R4110" t="str">
        <f>"הזמנה"</f>
        <v>הזמנה</v>
      </c>
      <c r="S4110">
        <v>0</v>
      </c>
      <c r="T4110">
        <v>-810</v>
      </c>
      <c r="U4110">
        <v>0</v>
      </c>
      <c r="V4110">
        <v>-810</v>
      </c>
      <c r="W4110" t="str">
        <f>"$"</f>
        <v>$</v>
      </c>
      <c r="X4110">
        <v>0</v>
      </c>
      <c r="Y4110">
        <v>0</v>
      </c>
      <c r="Z4110">
        <v>0</v>
      </c>
      <c r="AA4110" t="str">
        <f>"Y"</f>
        <v>Y</v>
      </c>
      <c r="AC4110">
        <v>0</v>
      </c>
      <c r="AM4110" t="str">
        <f>"10"</f>
        <v>10</v>
      </c>
      <c r="AN4110" t="str">
        <f>"500000"</f>
        <v>500000</v>
      </c>
      <c r="AO4110" t="str">
        <f>"הכנסות  מלקוחות"</f>
        <v>הכנסות  מלקוחות</v>
      </c>
      <c r="AQ4110" t="str">
        <f>"007"</f>
        <v>007</v>
      </c>
      <c r="AR4110">
        <v>0</v>
      </c>
      <c r="AS4110">
        <v>0</v>
      </c>
      <c r="AT4110">
        <v>3.6269999999999998</v>
      </c>
      <c r="BB4110" t="str">
        <f>"Y"</f>
        <v>Y</v>
      </c>
      <c r="BD4110" t="str">
        <f>"רוני דידי"</f>
        <v>רוני דידי</v>
      </c>
    </row>
    <row r="4111" spans="1:56" x14ac:dyDescent="0.3">
      <c r="A4111" s="1">
        <v>43503</v>
      </c>
      <c r="B4111" t="str">
        <f>"SI196000175"</f>
        <v>SI196000175</v>
      </c>
      <c r="C4111" t="str">
        <f>"PR18000707"</f>
        <v>PR18000707</v>
      </c>
      <c r="E4111" t="str">
        <f>"Y"</f>
        <v>Y</v>
      </c>
      <c r="F4111" t="str">
        <f>"חשבוניות מרכזות"</f>
        <v>חשבוניות מרכזות</v>
      </c>
      <c r="G4111" t="str">
        <f>"700065"</f>
        <v>700065</v>
      </c>
      <c r="H4111" t="str">
        <f>"אלתא מערכות בע""מ"</f>
        <v>אלתא מערכות בע"מ</v>
      </c>
      <c r="I4111" t="str">
        <f>"10"</f>
        <v>10</v>
      </c>
      <c r="J4111" t="str">
        <f>"OP-AR01160"</f>
        <v>OP-AR01160</v>
      </c>
      <c r="K4111" t="str">
        <f>"CONNECTOR BOX ASSY"</f>
        <v>CONNECTOR BOX ASSY</v>
      </c>
      <c r="L4111">
        <v>-26</v>
      </c>
      <c r="M4111" t="str">
        <f>"יח"</f>
        <v>יח</v>
      </c>
      <c r="N4111">
        <v>-26</v>
      </c>
      <c r="O4111" t="str">
        <f>"יח"</f>
        <v>יח</v>
      </c>
      <c r="P4111">
        <v>230</v>
      </c>
      <c r="Q4111" t="str">
        <f>"$"</f>
        <v>$</v>
      </c>
      <c r="R4111" t="str">
        <f>"הזמנה"</f>
        <v>הזמנה</v>
      </c>
      <c r="S4111">
        <v>0</v>
      </c>
      <c r="T4111" s="2">
        <v>-5980</v>
      </c>
      <c r="U4111">
        <v>0</v>
      </c>
      <c r="V4111" s="2">
        <v>-5980</v>
      </c>
      <c r="W4111" t="str">
        <f>"$"</f>
        <v>$</v>
      </c>
      <c r="X4111">
        <v>0</v>
      </c>
      <c r="Y4111">
        <v>0</v>
      </c>
      <c r="Z4111">
        <v>0</v>
      </c>
      <c r="AA4111" t="str">
        <f>"Y"</f>
        <v>Y</v>
      </c>
      <c r="AC4111">
        <v>0</v>
      </c>
      <c r="AM4111" t="str">
        <f>"10"</f>
        <v>10</v>
      </c>
      <c r="AN4111" t="str">
        <f>"500000"</f>
        <v>500000</v>
      </c>
      <c r="AO4111" t="str">
        <f>"הכנסות  מלקוחות"</f>
        <v>הכנסות  מלקוחות</v>
      </c>
      <c r="AQ4111" t="str">
        <f>"007"</f>
        <v>007</v>
      </c>
      <c r="AR4111">
        <v>0</v>
      </c>
      <c r="AS4111">
        <v>0</v>
      </c>
      <c r="AT4111">
        <v>3.6269999999999998</v>
      </c>
      <c r="BB4111" t="str">
        <f>"Y"</f>
        <v>Y</v>
      </c>
      <c r="BD4111" t="str">
        <f>"רוני דידי"</f>
        <v>רוני דידי</v>
      </c>
    </row>
    <row r="4112" spans="1:56" x14ac:dyDescent="0.3">
      <c r="A4112" s="1">
        <v>43503</v>
      </c>
      <c r="B4112" t="str">
        <f>"SI196000175"</f>
        <v>SI196000175</v>
      </c>
      <c r="C4112" t="str">
        <f>"PR18000707"</f>
        <v>PR18000707</v>
      </c>
      <c r="E4112" t="str">
        <f>"Y"</f>
        <v>Y</v>
      </c>
      <c r="F4112" t="str">
        <f>"חשבוניות מרכזות"</f>
        <v>חשבוניות מרכזות</v>
      </c>
      <c r="G4112" t="str">
        <f>"700065"</f>
        <v>700065</v>
      </c>
      <c r="H4112" t="str">
        <f>"אלתא מערכות בע""מ"</f>
        <v>אלתא מערכות בע"מ</v>
      </c>
      <c r="I4112" t="str">
        <f>"10"</f>
        <v>10</v>
      </c>
      <c r="J4112" t="str">
        <f>"CB1100212"</f>
        <v>CB1100212</v>
      </c>
      <c r="K4112" t="str">
        <f>"רתמת פיצול UPS RT6"</f>
        <v>רתמת פיצול UPS RT6</v>
      </c>
      <c r="L4112">
        <v>-15</v>
      </c>
      <c r="M4112" t="str">
        <f>"יח"</f>
        <v>יח</v>
      </c>
      <c r="N4112">
        <v>-15</v>
      </c>
      <c r="O4112" t="str">
        <f>"יח"</f>
        <v>יח</v>
      </c>
      <c r="P4112">
        <v>434</v>
      </c>
      <c r="Q4112" t="str">
        <f>"$"</f>
        <v>$</v>
      </c>
      <c r="R4112" t="str">
        <f>"הזמנה"</f>
        <v>הזמנה</v>
      </c>
      <c r="S4112">
        <v>0</v>
      </c>
      <c r="T4112" s="2">
        <v>-6510</v>
      </c>
      <c r="U4112">
        <v>0</v>
      </c>
      <c r="V4112" s="2">
        <v>-6510</v>
      </c>
      <c r="W4112" t="str">
        <f>"$"</f>
        <v>$</v>
      </c>
      <c r="X4112">
        <v>0</v>
      </c>
      <c r="Y4112">
        <v>0</v>
      </c>
      <c r="Z4112">
        <v>0</v>
      </c>
      <c r="AA4112" t="str">
        <f>"Y"</f>
        <v>Y</v>
      </c>
      <c r="AC4112">
        <v>0</v>
      </c>
      <c r="AM4112" t="str">
        <f>"10"</f>
        <v>10</v>
      </c>
      <c r="AN4112" t="str">
        <f>"500000"</f>
        <v>500000</v>
      </c>
      <c r="AO4112" t="str">
        <f>"הכנסות  מלקוחות"</f>
        <v>הכנסות  מלקוחות</v>
      </c>
      <c r="AQ4112" t="str">
        <f>"007"</f>
        <v>007</v>
      </c>
      <c r="AR4112">
        <v>0</v>
      </c>
      <c r="AS4112">
        <v>0</v>
      </c>
      <c r="AT4112">
        <v>3.6269999999999998</v>
      </c>
      <c r="BB4112" t="str">
        <f>"Y"</f>
        <v>Y</v>
      </c>
      <c r="BD4112" t="str">
        <f>"רוני דידי"</f>
        <v>רוני דידי</v>
      </c>
    </row>
    <row r="4113" spans="1:56" x14ac:dyDescent="0.3">
      <c r="A4113" s="1">
        <v>43503</v>
      </c>
      <c r="B4113" t="str">
        <f>"SI196000165"</f>
        <v>SI196000165</v>
      </c>
      <c r="C4113" t="str">
        <f>"PR18000707"</f>
        <v>PR18000707</v>
      </c>
      <c r="E4113" t="str">
        <f>"Y"</f>
        <v>Y</v>
      </c>
      <c r="F4113" t="str">
        <f>"חשבוניות מרכזות"</f>
        <v>חשבוניות מרכזות</v>
      </c>
      <c r="G4113" t="str">
        <f>"700065"</f>
        <v>700065</v>
      </c>
      <c r="H4113" t="str">
        <f>"אלתא מערכות בע""מ"</f>
        <v>אלתא מערכות בע"מ</v>
      </c>
      <c r="I4113" t="str">
        <f>"10"</f>
        <v>10</v>
      </c>
      <c r="J4113" t="str">
        <f>"OP-AR01163"</f>
        <v>OP-AR01163</v>
      </c>
      <c r="K4113" t="str">
        <f>"PANEL 1U CONNECTOR FOR UPS DELTA"</f>
        <v>PANEL 1U CONNECTOR FOR UPS DELTA</v>
      </c>
      <c r="L4113">
        <v>5</v>
      </c>
      <c r="M4113" t="str">
        <f>"יח"</f>
        <v>יח</v>
      </c>
      <c r="N4113">
        <v>5</v>
      </c>
      <c r="O4113" t="str">
        <f>"יח"</f>
        <v>יח</v>
      </c>
      <c r="P4113">
        <v>170</v>
      </c>
      <c r="Q4113" t="str">
        <f>"$"</f>
        <v>$</v>
      </c>
      <c r="R4113" t="str">
        <f>"הזמנה"</f>
        <v>הזמנה</v>
      </c>
      <c r="S4113">
        <v>0</v>
      </c>
      <c r="T4113">
        <v>850</v>
      </c>
      <c r="U4113">
        <v>0</v>
      </c>
      <c r="V4113">
        <v>850</v>
      </c>
      <c r="W4113" t="str">
        <f>"$"</f>
        <v>$</v>
      </c>
      <c r="X4113">
        <v>0</v>
      </c>
      <c r="Y4113">
        <v>0</v>
      </c>
      <c r="Z4113">
        <v>0</v>
      </c>
      <c r="AA4113" t="str">
        <f>"Y"</f>
        <v>Y</v>
      </c>
      <c r="AC4113">
        <v>0</v>
      </c>
      <c r="AM4113" t="str">
        <f>"10"</f>
        <v>10</v>
      </c>
      <c r="AN4113" t="str">
        <f>"500000"</f>
        <v>500000</v>
      </c>
      <c r="AO4113" t="str">
        <f>"הכנסות  מלקוחות"</f>
        <v>הכנסות  מלקוחות</v>
      </c>
      <c r="AQ4113" t="str">
        <f>"007"</f>
        <v>007</v>
      </c>
      <c r="AR4113">
        <v>0</v>
      </c>
      <c r="AS4113">
        <v>0</v>
      </c>
      <c r="AT4113">
        <v>3.6269999999999998</v>
      </c>
      <c r="BB4113" t="str">
        <f>"Y"</f>
        <v>Y</v>
      </c>
      <c r="BD4113" t="str">
        <f>"רוני דידי"</f>
        <v>רוני דידי</v>
      </c>
    </row>
    <row r="4114" spans="1:56" x14ac:dyDescent="0.3">
      <c r="A4114" s="1">
        <v>43503</v>
      </c>
      <c r="B4114" t="str">
        <f>"SI196000165"</f>
        <v>SI196000165</v>
      </c>
      <c r="C4114" t="str">
        <f>"PR18000707"</f>
        <v>PR18000707</v>
      </c>
      <c r="E4114" t="str">
        <f>"Y"</f>
        <v>Y</v>
      </c>
      <c r="F4114" t="str">
        <f>"חשבוניות מרכזות"</f>
        <v>חשבוניות מרכזות</v>
      </c>
      <c r="G4114" t="str">
        <f>"700065"</f>
        <v>700065</v>
      </c>
      <c r="H4114" t="str">
        <f>"אלתא מערכות בע""מ"</f>
        <v>אלתא מערכות בע"מ</v>
      </c>
      <c r="I4114" t="str">
        <f>"10"</f>
        <v>10</v>
      </c>
      <c r="J4114" t="str">
        <f>"OP-AR01162"</f>
        <v>OP-AR01162</v>
      </c>
      <c r="K4114" t="str">
        <f>"PANEL 1U CONNECTOR 3X FOR UPS DELTA"</f>
        <v>PANEL 1U CONNECTOR 3X FOR UPS DELTA</v>
      </c>
      <c r="L4114">
        <v>6</v>
      </c>
      <c r="M4114" t="str">
        <f>"יח"</f>
        <v>יח</v>
      </c>
      <c r="N4114">
        <v>6</v>
      </c>
      <c r="O4114" t="str">
        <f>"יח"</f>
        <v>יח</v>
      </c>
      <c r="P4114">
        <v>135</v>
      </c>
      <c r="Q4114" t="str">
        <f>"$"</f>
        <v>$</v>
      </c>
      <c r="R4114" t="str">
        <f>"הזמנה"</f>
        <v>הזמנה</v>
      </c>
      <c r="S4114">
        <v>0</v>
      </c>
      <c r="T4114">
        <v>810</v>
      </c>
      <c r="U4114">
        <v>0</v>
      </c>
      <c r="V4114">
        <v>810</v>
      </c>
      <c r="W4114" t="str">
        <f>"$"</f>
        <v>$</v>
      </c>
      <c r="X4114">
        <v>0</v>
      </c>
      <c r="Y4114">
        <v>0</v>
      </c>
      <c r="Z4114">
        <v>0</v>
      </c>
      <c r="AA4114" t="str">
        <f>"Y"</f>
        <v>Y</v>
      </c>
      <c r="AC4114">
        <v>0</v>
      </c>
      <c r="AM4114" t="str">
        <f>"10"</f>
        <v>10</v>
      </c>
      <c r="AN4114" t="str">
        <f>"500000"</f>
        <v>500000</v>
      </c>
      <c r="AO4114" t="str">
        <f>"הכנסות  מלקוחות"</f>
        <v>הכנסות  מלקוחות</v>
      </c>
      <c r="AQ4114" t="str">
        <f>"007"</f>
        <v>007</v>
      </c>
      <c r="AR4114">
        <v>0</v>
      </c>
      <c r="AS4114">
        <v>0</v>
      </c>
      <c r="AT4114">
        <v>3.6269999999999998</v>
      </c>
      <c r="BB4114" t="str">
        <f>"Y"</f>
        <v>Y</v>
      </c>
      <c r="BD4114" t="str">
        <f>"רוני דידי"</f>
        <v>רוני דידי</v>
      </c>
    </row>
    <row r="4115" spans="1:56" x14ac:dyDescent="0.3">
      <c r="A4115" s="1">
        <v>43503</v>
      </c>
      <c r="B4115" t="str">
        <f>"SI196000165"</f>
        <v>SI196000165</v>
      </c>
      <c r="C4115" t="str">
        <f>"PR18000707"</f>
        <v>PR18000707</v>
      </c>
      <c r="E4115" t="str">
        <f>"Y"</f>
        <v>Y</v>
      </c>
      <c r="F4115" t="str">
        <f>"חשבוניות מרכזות"</f>
        <v>חשבוניות מרכזות</v>
      </c>
      <c r="G4115" t="str">
        <f>"700065"</f>
        <v>700065</v>
      </c>
      <c r="H4115" t="str">
        <f>"אלתא מערכות בע""מ"</f>
        <v>אלתא מערכות בע"מ</v>
      </c>
      <c r="I4115" t="str">
        <f>"10"</f>
        <v>10</v>
      </c>
      <c r="J4115" t="str">
        <f>"OP-AR01160"</f>
        <v>OP-AR01160</v>
      </c>
      <c r="K4115" t="str">
        <f>"CONNECTOR BOX ASSY"</f>
        <v>CONNECTOR BOX ASSY</v>
      </c>
      <c r="L4115">
        <v>26</v>
      </c>
      <c r="M4115" t="str">
        <f>"יח"</f>
        <v>יח</v>
      </c>
      <c r="N4115">
        <v>26</v>
      </c>
      <c r="O4115" t="str">
        <f>"יח"</f>
        <v>יח</v>
      </c>
      <c r="P4115">
        <v>230</v>
      </c>
      <c r="Q4115" t="str">
        <f>"$"</f>
        <v>$</v>
      </c>
      <c r="R4115" t="str">
        <f>"הזמנה"</f>
        <v>הזמנה</v>
      </c>
      <c r="S4115">
        <v>0</v>
      </c>
      <c r="T4115" s="2">
        <v>5980</v>
      </c>
      <c r="U4115">
        <v>0</v>
      </c>
      <c r="V4115" s="2">
        <v>5980</v>
      </c>
      <c r="W4115" t="str">
        <f>"$"</f>
        <v>$</v>
      </c>
      <c r="X4115">
        <v>0</v>
      </c>
      <c r="Y4115">
        <v>0</v>
      </c>
      <c r="Z4115">
        <v>0</v>
      </c>
      <c r="AA4115" t="str">
        <f>"Y"</f>
        <v>Y</v>
      </c>
      <c r="AC4115">
        <v>0</v>
      </c>
      <c r="AM4115" t="str">
        <f>"10"</f>
        <v>10</v>
      </c>
      <c r="AN4115" t="str">
        <f>"500000"</f>
        <v>500000</v>
      </c>
      <c r="AO4115" t="str">
        <f>"הכנסות  מלקוחות"</f>
        <v>הכנסות  מלקוחות</v>
      </c>
      <c r="AQ4115" t="str">
        <f>"007"</f>
        <v>007</v>
      </c>
      <c r="AR4115">
        <v>0</v>
      </c>
      <c r="AS4115">
        <v>0</v>
      </c>
      <c r="AT4115">
        <v>3.6269999999999998</v>
      </c>
      <c r="BB4115" t="str">
        <f>"Y"</f>
        <v>Y</v>
      </c>
      <c r="BD4115" t="str">
        <f>"רוני דידי"</f>
        <v>רוני דידי</v>
      </c>
    </row>
    <row r="4116" spans="1:56" x14ac:dyDescent="0.3">
      <c r="A4116" s="1">
        <v>43503</v>
      </c>
      <c r="B4116" t="str">
        <f>"SI196000165"</f>
        <v>SI196000165</v>
      </c>
      <c r="C4116" t="str">
        <f>"PR18000707"</f>
        <v>PR18000707</v>
      </c>
      <c r="E4116" t="str">
        <f>"Y"</f>
        <v>Y</v>
      </c>
      <c r="F4116" t="str">
        <f>"חשבוניות מרכזות"</f>
        <v>חשבוניות מרכזות</v>
      </c>
      <c r="G4116" t="str">
        <f>"700065"</f>
        <v>700065</v>
      </c>
      <c r="H4116" t="str">
        <f>"אלתא מערכות בע""מ"</f>
        <v>אלתא מערכות בע"מ</v>
      </c>
      <c r="I4116" t="str">
        <f>"10"</f>
        <v>10</v>
      </c>
      <c r="J4116" t="str">
        <f>"CB1100212"</f>
        <v>CB1100212</v>
      </c>
      <c r="K4116" t="str">
        <f>"רתמת פיצול UPS RT6"</f>
        <v>רתמת פיצול UPS RT6</v>
      </c>
      <c r="L4116">
        <v>15</v>
      </c>
      <c r="M4116" t="str">
        <f>"יח"</f>
        <v>יח</v>
      </c>
      <c r="N4116">
        <v>15</v>
      </c>
      <c r="O4116" t="str">
        <f>"יח"</f>
        <v>יח</v>
      </c>
      <c r="P4116">
        <v>434</v>
      </c>
      <c r="Q4116" t="str">
        <f>"$"</f>
        <v>$</v>
      </c>
      <c r="R4116" t="str">
        <f>"הזמנה"</f>
        <v>הזמנה</v>
      </c>
      <c r="S4116">
        <v>0</v>
      </c>
      <c r="T4116" s="2">
        <v>6510</v>
      </c>
      <c r="U4116">
        <v>0</v>
      </c>
      <c r="V4116" s="2">
        <v>6510</v>
      </c>
      <c r="W4116" t="str">
        <f>"$"</f>
        <v>$</v>
      </c>
      <c r="X4116">
        <v>0</v>
      </c>
      <c r="Y4116">
        <v>0</v>
      </c>
      <c r="Z4116">
        <v>0</v>
      </c>
      <c r="AA4116" t="str">
        <f>"Y"</f>
        <v>Y</v>
      </c>
      <c r="AC4116">
        <v>0</v>
      </c>
      <c r="AM4116" t="str">
        <f>"10"</f>
        <v>10</v>
      </c>
      <c r="AN4116" t="str">
        <f>"500000"</f>
        <v>500000</v>
      </c>
      <c r="AO4116" t="str">
        <f>"הכנסות  מלקוחות"</f>
        <v>הכנסות  מלקוחות</v>
      </c>
      <c r="AQ4116" t="str">
        <f>"007"</f>
        <v>007</v>
      </c>
      <c r="AR4116">
        <v>0</v>
      </c>
      <c r="AS4116">
        <v>0</v>
      </c>
      <c r="AT4116">
        <v>3.6269999999999998</v>
      </c>
      <c r="BB4116" t="str">
        <f>"Y"</f>
        <v>Y</v>
      </c>
      <c r="BD4116" t="str">
        <f>"רוני דידי"</f>
        <v>רוני דידי</v>
      </c>
    </row>
    <row r="4117" spans="1:56" x14ac:dyDescent="0.3">
      <c r="A4117" s="1">
        <v>43496</v>
      </c>
      <c r="B4117" t="str">
        <f>"SI196000149"</f>
        <v>SI196000149</v>
      </c>
      <c r="E4117" t="str">
        <f>"Y"</f>
        <v>Y</v>
      </c>
      <c r="F4117" t="str">
        <f>"חשבוניות מרכזות"</f>
        <v>חשבוניות מרכזות</v>
      </c>
      <c r="G4117" t="str">
        <f>"700065"</f>
        <v>700065</v>
      </c>
      <c r="H4117" t="str">
        <f>"אלתא מערכות בע""מ"</f>
        <v>אלתא מערכות בע"מ</v>
      </c>
      <c r="I4117" t="str">
        <f>"10"</f>
        <v>10</v>
      </c>
      <c r="J4117" t="str">
        <f>"000"</f>
        <v>000</v>
      </c>
      <c r="K4117" t="str">
        <f>"חיבורי חשמל ואישור סטאפ קרקעי"</f>
        <v>חיבורי חשמל ואישור סטאפ קרקעי</v>
      </c>
      <c r="L4117">
        <v>-1</v>
      </c>
      <c r="M4117" t="str">
        <f>"יח"</f>
        <v>יח</v>
      </c>
      <c r="N4117">
        <v>-1</v>
      </c>
      <c r="O4117" t="str">
        <f>"יח"</f>
        <v>יח</v>
      </c>
      <c r="P4117" s="2">
        <v>2300</v>
      </c>
      <c r="Q4117" t="str">
        <f>"$"</f>
        <v>$</v>
      </c>
      <c r="R4117" t="str">
        <f>"הזמנה"</f>
        <v>הזמנה</v>
      </c>
      <c r="S4117">
        <v>0</v>
      </c>
      <c r="T4117" s="2">
        <v>-2300</v>
      </c>
      <c r="U4117">
        <v>0</v>
      </c>
      <c r="V4117" s="2">
        <v>-2300</v>
      </c>
      <c r="W4117" t="str">
        <f>"$"</f>
        <v>$</v>
      </c>
      <c r="X4117">
        <v>0</v>
      </c>
      <c r="Y4117">
        <v>0</v>
      </c>
      <c r="Z4117">
        <v>0</v>
      </c>
      <c r="AA4117" t="str">
        <f>"Y"</f>
        <v>Y</v>
      </c>
      <c r="AC4117">
        <v>0</v>
      </c>
      <c r="AM4117" t="str">
        <f>"10"</f>
        <v>10</v>
      </c>
      <c r="AN4117" t="str">
        <f>"500000"</f>
        <v>500000</v>
      </c>
      <c r="AO4117" t="str">
        <f>"הכנסות  מלקוחות"</f>
        <v>הכנסות  מלקוחות</v>
      </c>
      <c r="AQ4117" t="str">
        <f>"007"</f>
        <v>007</v>
      </c>
      <c r="AR4117">
        <v>0</v>
      </c>
      <c r="AS4117">
        <v>0</v>
      </c>
      <c r="AT4117">
        <v>3.6419999999999999</v>
      </c>
      <c r="BB4117" t="str">
        <f>"Y"</f>
        <v>Y</v>
      </c>
      <c r="BD4117" t="str">
        <f>"רוני דידי"</f>
        <v>רוני דידי</v>
      </c>
    </row>
    <row r="4118" spans="1:56" x14ac:dyDescent="0.3">
      <c r="A4118" s="1">
        <v>43496</v>
      </c>
      <c r="B4118" t="str">
        <f>"SI196000144"</f>
        <v>SI196000144</v>
      </c>
      <c r="E4118" t="str">
        <f>"Y"</f>
        <v>Y</v>
      </c>
      <c r="F4118" t="str">
        <f>"חשבוניות מרכזות"</f>
        <v>חשבוניות מרכזות</v>
      </c>
      <c r="G4118" t="str">
        <f>"700065"</f>
        <v>700065</v>
      </c>
      <c r="H4118" t="str">
        <f>"אלתא מערכות בע""מ"</f>
        <v>אלתא מערכות בע"מ</v>
      </c>
      <c r="I4118" t="str">
        <f>"10"</f>
        <v>10</v>
      </c>
      <c r="J4118" t="str">
        <f>"000"</f>
        <v>000</v>
      </c>
      <c r="K4118" t="str">
        <f>"חיבורי חשמל ואישור סטאפ קרקעי"</f>
        <v>חיבורי חשמל ואישור סטאפ קרקעי</v>
      </c>
      <c r="L4118">
        <v>1</v>
      </c>
      <c r="M4118" t="str">
        <f>"יח"</f>
        <v>יח</v>
      </c>
      <c r="N4118">
        <v>1</v>
      </c>
      <c r="O4118" t="str">
        <f>"יח"</f>
        <v>יח</v>
      </c>
      <c r="P4118" s="2">
        <v>2300</v>
      </c>
      <c r="Q4118" t="str">
        <f>"$"</f>
        <v>$</v>
      </c>
      <c r="R4118" t="str">
        <f>"הזמנה"</f>
        <v>הזמנה</v>
      </c>
      <c r="S4118">
        <v>0</v>
      </c>
      <c r="T4118" s="2">
        <v>2300</v>
      </c>
      <c r="U4118">
        <v>0</v>
      </c>
      <c r="V4118" s="2">
        <v>2300</v>
      </c>
      <c r="W4118" t="str">
        <f>"$"</f>
        <v>$</v>
      </c>
      <c r="X4118">
        <v>0</v>
      </c>
      <c r="Y4118">
        <v>0</v>
      </c>
      <c r="Z4118">
        <v>0</v>
      </c>
      <c r="AA4118" t="str">
        <f>"Y"</f>
        <v>Y</v>
      </c>
      <c r="AC4118">
        <v>0</v>
      </c>
      <c r="AM4118" t="str">
        <f>"10"</f>
        <v>10</v>
      </c>
      <c r="AN4118" t="str">
        <f>"500000"</f>
        <v>500000</v>
      </c>
      <c r="AO4118" t="str">
        <f>"הכנסות  מלקוחות"</f>
        <v>הכנסות  מלקוחות</v>
      </c>
      <c r="AQ4118" t="str">
        <f>"007"</f>
        <v>007</v>
      </c>
      <c r="AR4118">
        <v>0</v>
      </c>
      <c r="AS4118">
        <v>0</v>
      </c>
      <c r="AT4118">
        <v>3.6419999999999999</v>
      </c>
      <c r="BB4118" t="str">
        <f>"Y"</f>
        <v>Y</v>
      </c>
      <c r="BD4118" t="str">
        <f>"רוני דידי"</f>
        <v>רוני דידי</v>
      </c>
    </row>
    <row r="4119" spans="1:56" x14ac:dyDescent="0.3">
      <c r="A4119" s="1">
        <v>43496</v>
      </c>
      <c r="B4119" t="str">
        <f>"SI196000118"</f>
        <v>SI196000118</v>
      </c>
      <c r="E4119" t="str">
        <f>"Y"</f>
        <v>Y</v>
      </c>
      <c r="F4119" t="str">
        <f>"חשבוניות מרכזות"</f>
        <v>חשבוניות מרכזות</v>
      </c>
      <c r="G4119" t="str">
        <f>"700065"</f>
        <v>700065</v>
      </c>
      <c r="H4119" t="str">
        <f>"אלתא מערכות בע""מ"</f>
        <v>אלתא מערכות בע"מ</v>
      </c>
      <c r="I4119" t="str">
        <f>"10"</f>
        <v>10</v>
      </c>
      <c r="J4119" t="str">
        <f>"000"</f>
        <v>000</v>
      </c>
      <c r="K4119" t="str">
        <f>"חיבורי חשמל ואישור סטאפ קרקעי"</f>
        <v>חיבורי חשמל ואישור סטאפ קרקעי</v>
      </c>
      <c r="L4119">
        <v>1</v>
      </c>
      <c r="M4119" t="str">
        <f>"יח"</f>
        <v>יח</v>
      </c>
      <c r="N4119">
        <v>1</v>
      </c>
      <c r="O4119" t="str">
        <f>"יח"</f>
        <v>יח</v>
      </c>
      <c r="P4119" s="2">
        <v>2300</v>
      </c>
      <c r="Q4119" t="str">
        <f>"$"</f>
        <v>$</v>
      </c>
      <c r="R4119" t="str">
        <f>"הזמנה"</f>
        <v>הזמנה</v>
      </c>
      <c r="S4119">
        <v>0</v>
      </c>
      <c r="T4119" s="2">
        <v>2300</v>
      </c>
      <c r="U4119">
        <v>0</v>
      </c>
      <c r="V4119" s="2">
        <v>2300</v>
      </c>
      <c r="W4119" t="str">
        <f>"$"</f>
        <v>$</v>
      </c>
      <c r="X4119">
        <v>0</v>
      </c>
      <c r="Y4119">
        <v>0</v>
      </c>
      <c r="Z4119">
        <v>0</v>
      </c>
      <c r="AA4119" t="str">
        <f>"Y"</f>
        <v>Y</v>
      </c>
      <c r="AB4119" t="str">
        <f>"SO19000051"</f>
        <v>SO19000051</v>
      </c>
      <c r="AC4119">
        <v>1</v>
      </c>
      <c r="AD4119" s="1">
        <v>43493</v>
      </c>
      <c r="AM4119" t="str">
        <f>"10"</f>
        <v>10</v>
      </c>
      <c r="AN4119" t="str">
        <f>"500000"</f>
        <v>500000</v>
      </c>
      <c r="AO4119" t="str">
        <f>"הכנסות  מלקוחות"</f>
        <v>הכנסות  מלקוחות</v>
      </c>
      <c r="AQ4119" t="str">
        <f>"007"</f>
        <v>007</v>
      </c>
      <c r="AR4119">
        <v>0</v>
      </c>
      <c r="AS4119">
        <v>0</v>
      </c>
      <c r="AT4119">
        <v>3.6419999999999999</v>
      </c>
      <c r="AX4119" t="str">
        <f>"E000277299"</f>
        <v>E000277299</v>
      </c>
      <c r="BD4119" t="str">
        <f>"רוני דידי"</f>
        <v>רוני דידי</v>
      </c>
    </row>
    <row r="4120" spans="1:56" x14ac:dyDescent="0.3">
      <c r="A4120" s="1">
        <v>43493</v>
      </c>
      <c r="B4120" t="str">
        <f>"SI196000078"</f>
        <v>SI196000078</v>
      </c>
      <c r="C4120" t="str">
        <f>"PR18000764"</f>
        <v>PR18000764</v>
      </c>
      <c r="D4120" t="str">
        <f>"PR18000764"</f>
        <v>PR18000764</v>
      </c>
      <c r="E4120" t="str">
        <f>"Y"</f>
        <v>Y</v>
      </c>
      <c r="F4120" t="str">
        <f>"חשבוניות מרכזות"</f>
        <v>חשבוניות מרכזות</v>
      </c>
      <c r="G4120" t="str">
        <f>"700065"</f>
        <v>700065</v>
      </c>
      <c r="H4120" t="str">
        <f>"אלתא מערכות בע""מ"</f>
        <v>אלתא מערכות בע"מ</v>
      </c>
      <c r="I4120" t="str">
        <f>"10"</f>
        <v>10</v>
      </c>
      <c r="J4120" t="str">
        <f>"OP-AR00454"</f>
        <v>OP-AR00454</v>
      </c>
      <c r="K4120" t="str">
        <f>"PDU 380V/50HZ/3 PH AC POWER BOX"</f>
        <v>PDU 380V/50HZ/3 PH AC POWER BOX</v>
      </c>
      <c r="L4120">
        <v>1</v>
      </c>
      <c r="M4120" t="str">
        <f>"יח"</f>
        <v>יח</v>
      </c>
      <c r="N4120">
        <v>1</v>
      </c>
      <c r="O4120" t="str">
        <f>"יח"</f>
        <v>יח</v>
      </c>
      <c r="P4120" s="2">
        <v>1150</v>
      </c>
      <c r="Q4120" t="str">
        <f>"$"</f>
        <v>$</v>
      </c>
      <c r="R4120" t="str">
        <f>"הזמנה"</f>
        <v>הזמנה</v>
      </c>
      <c r="S4120">
        <v>0</v>
      </c>
      <c r="T4120" s="2">
        <v>1150</v>
      </c>
      <c r="U4120">
        <v>0</v>
      </c>
      <c r="V4120" s="2">
        <v>1150</v>
      </c>
      <c r="W4120" t="str">
        <f>"$"</f>
        <v>$</v>
      </c>
      <c r="X4120">
        <v>0</v>
      </c>
      <c r="Y4120">
        <v>0</v>
      </c>
      <c r="Z4120">
        <v>0</v>
      </c>
      <c r="AA4120" t="str">
        <f>"Y"</f>
        <v>Y</v>
      </c>
      <c r="AB4120" t="str">
        <f>"SO18000627"</f>
        <v>SO18000627</v>
      </c>
      <c r="AC4120">
        <v>1</v>
      </c>
      <c r="AD4120" s="1">
        <v>43412</v>
      </c>
      <c r="AE4120" t="str">
        <f>"SH19000141"</f>
        <v>SH19000141</v>
      </c>
      <c r="AF4120" t="str">
        <f>"משלוחים ללקוח"</f>
        <v>משלוחים ללקוח</v>
      </c>
      <c r="AG4120" s="1">
        <v>43488</v>
      </c>
      <c r="AM4120" t="str">
        <f>"10"</f>
        <v>10</v>
      </c>
      <c r="AN4120" t="str">
        <f>"500000"</f>
        <v>500000</v>
      </c>
      <c r="AO4120" t="str">
        <f>"הכנסות  מלקוחות"</f>
        <v>הכנסות  מלקוחות</v>
      </c>
      <c r="AQ4120" t="str">
        <f>"007"</f>
        <v>007</v>
      </c>
      <c r="AR4120">
        <v>0</v>
      </c>
      <c r="AS4120">
        <v>0</v>
      </c>
      <c r="AT4120">
        <v>3.6850000000000001</v>
      </c>
      <c r="AX4120" t="str">
        <f>"E000271741"</f>
        <v>E000271741</v>
      </c>
      <c r="BD4120" t="str">
        <f>"רוני דידי"</f>
        <v>רוני דידי</v>
      </c>
    </row>
    <row r="4121" spans="1:56" x14ac:dyDescent="0.3">
      <c r="A4121" s="1">
        <v>43493</v>
      </c>
      <c r="B4121" t="str">
        <f>"SI196000078"</f>
        <v>SI196000078</v>
      </c>
      <c r="C4121" t="str">
        <f>"PR18000764"</f>
        <v>PR18000764</v>
      </c>
      <c r="D4121" t="str">
        <f>"PR18000764"</f>
        <v>PR18000764</v>
      </c>
      <c r="E4121" t="str">
        <f>"Y"</f>
        <v>Y</v>
      </c>
      <c r="F4121" t="str">
        <f>"חשבוניות מרכזות"</f>
        <v>חשבוניות מרכזות</v>
      </c>
      <c r="G4121" t="str">
        <f>"700065"</f>
        <v>700065</v>
      </c>
      <c r="H4121" t="str">
        <f>"אלתא מערכות בע""מ"</f>
        <v>אלתא מערכות בע"מ</v>
      </c>
      <c r="I4121" t="str">
        <f>"10"</f>
        <v>10</v>
      </c>
      <c r="J4121" t="str">
        <f>"OP-AR00454"</f>
        <v>OP-AR00454</v>
      </c>
      <c r="K4121" t="str">
        <f>"PDU 380V/50HZ/3 PH AC POWER BOX"</f>
        <v>PDU 380V/50HZ/3 PH AC POWER BOX</v>
      </c>
      <c r="L4121">
        <v>1</v>
      </c>
      <c r="M4121" t="str">
        <f>"יח"</f>
        <v>יח</v>
      </c>
      <c r="N4121">
        <v>1</v>
      </c>
      <c r="O4121" t="str">
        <f>"יח"</f>
        <v>יח</v>
      </c>
      <c r="P4121" s="2">
        <v>1150</v>
      </c>
      <c r="Q4121" t="str">
        <f>"$"</f>
        <v>$</v>
      </c>
      <c r="R4121" t="str">
        <f>"הזמנה"</f>
        <v>הזמנה</v>
      </c>
      <c r="S4121">
        <v>0</v>
      </c>
      <c r="T4121" s="2">
        <v>1150</v>
      </c>
      <c r="U4121">
        <v>0</v>
      </c>
      <c r="V4121" s="2">
        <v>1150</v>
      </c>
      <c r="W4121" t="str">
        <f>"$"</f>
        <v>$</v>
      </c>
      <c r="X4121">
        <v>0</v>
      </c>
      <c r="Y4121">
        <v>0</v>
      </c>
      <c r="Z4121">
        <v>0</v>
      </c>
      <c r="AA4121" t="str">
        <f>"Y"</f>
        <v>Y</v>
      </c>
      <c r="AB4121" t="str">
        <f>"SO18000627"</f>
        <v>SO18000627</v>
      </c>
      <c r="AC4121">
        <v>2</v>
      </c>
      <c r="AD4121" s="1">
        <v>43412</v>
      </c>
      <c r="AE4121" t="str">
        <f>"SH19000141"</f>
        <v>SH19000141</v>
      </c>
      <c r="AF4121" t="str">
        <f>"משלוחים ללקוח"</f>
        <v>משלוחים ללקוח</v>
      </c>
      <c r="AG4121" s="1">
        <v>43488</v>
      </c>
      <c r="AM4121" t="str">
        <f>"10"</f>
        <v>10</v>
      </c>
      <c r="AN4121" t="str">
        <f>"500000"</f>
        <v>500000</v>
      </c>
      <c r="AO4121" t="str">
        <f>"הכנסות  מלקוחות"</f>
        <v>הכנסות  מלקוחות</v>
      </c>
      <c r="AQ4121" t="str">
        <f>"007"</f>
        <v>007</v>
      </c>
      <c r="AR4121">
        <v>0</v>
      </c>
      <c r="AS4121">
        <v>0</v>
      </c>
      <c r="AT4121">
        <v>3.6850000000000001</v>
      </c>
      <c r="AX4121" t="str">
        <f>"E000271741"</f>
        <v>E000271741</v>
      </c>
      <c r="BD4121" t="str">
        <f>"רוני דידי"</f>
        <v>רוני דידי</v>
      </c>
    </row>
    <row r="4122" spans="1:56" x14ac:dyDescent="0.3">
      <c r="A4122" s="1">
        <v>43493</v>
      </c>
      <c r="B4122" t="str">
        <f>"SI196000078"</f>
        <v>SI196000078</v>
      </c>
      <c r="C4122" t="str">
        <f>"PR18000764"</f>
        <v>PR18000764</v>
      </c>
      <c r="D4122" t="str">
        <f>"PR18000764"</f>
        <v>PR18000764</v>
      </c>
      <c r="E4122" t="str">
        <f>"Y"</f>
        <v>Y</v>
      </c>
      <c r="F4122" t="str">
        <f>"חשבוניות מרכזות"</f>
        <v>חשבוניות מרכזות</v>
      </c>
      <c r="G4122" t="str">
        <f>"700065"</f>
        <v>700065</v>
      </c>
      <c r="H4122" t="str">
        <f>"אלתא מערכות בע""מ"</f>
        <v>אלתא מערכות בע"מ</v>
      </c>
      <c r="I4122" t="str">
        <f>"10"</f>
        <v>10</v>
      </c>
      <c r="J4122" t="str">
        <f>"OP-AR00454"</f>
        <v>OP-AR00454</v>
      </c>
      <c r="K4122" t="str">
        <f>"PDU 380V/50HZ/3 PH AC POWER BOX"</f>
        <v>PDU 380V/50HZ/3 PH AC POWER BOX</v>
      </c>
      <c r="L4122">
        <v>1</v>
      </c>
      <c r="M4122" t="str">
        <f>"יח"</f>
        <v>יח</v>
      </c>
      <c r="N4122">
        <v>1</v>
      </c>
      <c r="O4122" t="str">
        <f>"יח"</f>
        <v>יח</v>
      </c>
      <c r="P4122" s="2">
        <v>1150</v>
      </c>
      <c r="Q4122" t="str">
        <f>"$"</f>
        <v>$</v>
      </c>
      <c r="R4122" t="str">
        <f>"הזמנה"</f>
        <v>הזמנה</v>
      </c>
      <c r="S4122">
        <v>0</v>
      </c>
      <c r="T4122" s="2">
        <v>1150</v>
      </c>
      <c r="U4122">
        <v>0</v>
      </c>
      <c r="V4122" s="2">
        <v>1150</v>
      </c>
      <c r="W4122" t="str">
        <f>"$"</f>
        <v>$</v>
      </c>
      <c r="X4122">
        <v>0</v>
      </c>
      <c r="Y4122">
        <v>0</v>
      </c>
      <c r="Z4122">
        <v>0</v>
      </c>
      <c r="AA4122" t="str">
        <f>"Y"</f>
        <v>Y</v>
      </c>
      <c r="AB4122" t="str">
        <f>"SO18000627"</f>
        <v>SO18000627</v>
      </c>
      <c r="AC4122">
        <v>3</v>
      </c>
      <c r="AD4122" s="1">
        <v>43412</v>
      </c>
      <c r="AE4122" t="str">
        <f>"SH19000141"</f>
        <v>SH19000141</v>
      </c>
      <c r="AF4122" t="str">
        <f>"משלוחים ללקוח"</f>
        <v>משלוחים ללקוח</v>
      </c>
      <c r="AG4122" s="1">
        <v>43488</v>
      </c>
      <c r="AM4122" t="str">
        <f>"10"</f>
        <v>10</v>
      </c>
      <c r="AN4122" t="str">
        <f>"500000"</f>
        <v>500000</v>
      </c>
      <c r="AO4122" t="str">
        <f>"הכנסות  מלקוחות"</f>
        <v>הכנסות  מלקוחות</v>
      </c>
      <c r="AQ4122" t="str">
        <f>"007"</f>
        <v>007</v>
      </c>
      <c r="AR4122">
        <v>0</v>
      </c>
      <c r="AS4122">
        <v>0</v>
      </c>
      <c r="AT4122">
        <v>3.6850000000000001</v>
      </c>
      <c r="AX4122" t="str">
        <f>"E000271741"</f>
        <v>E000271741</v>
      </c>
      <c r="BD4122" t="str">
        <f>"רוני דידי"</f>
        <v>רוני דידי</v>
      </c>
    </row>
    <row r="4123" spans="1:56" x14ac:dyDescent="0.3">
      <c r="A4123" s="1">
        <v>43493</v>
      </c>
      <c r="B4123" t="str">
        <f>"SI196000078"</f>
        <v>SI196000078</v>
      </c>
      <c r="C4123" t="str">
        <f>"PR18000764"</f>
        <v>PR18000764</v>
      </c>
      <c r="D4123" t="str">
        <f>"PR18000764"</f>
        <v>PR18000764</v>
      </c>
      <c r="E4123" t="str">
        <f>"Y"</f>
        <v>Y</v>
      </c>
      <c r="F4123" t="str">
        <f>"חשבוניות מרכזות"</f>
        <v>חשבוניות מרכזות</v>
      </c>
      <c r="G4123" t="str">
        <f>"700065"</f>
        <v>700065</v>
      </c>
      <c r="H4123" t="str">
        <f>"אלתא מערכות בע""מ"</f>
        <v>אלתא מערכות בע"מ</v>
      </c>
      <c r="I4123" t="str">
        <f>"10"</f>
        <v>10</v>
      </c>
      <c r="J4123" t="str">
        <f>"OP-AR00454"</f>
        <v>OP-AR00454</v>
      </c>
      <c r="K4123" t="str">
        <f>"PDU 380V/50HZ/3 PH AC POWER BOX"</f>
        <v>PDU 380V/50HZ/3 PH AC POWER BOX</v>
      </c>
      <c r="L4123">
        <v>1</v>
      </c>
      <c r="M4123" t="str">
        <f>"יח"</f>
        <v>יח</v>
      </c>
      <c r="N4123">
        <v>1</v>
      </c>
      <c r="O4123" t="str">
        <f>"יח"</f>
        <v>יח</v>
      </c>
      <c r="P4123" s="2">
        <v>1150</v>
      </c>
      <c r="Q4123" t="str">
        <f>"$"</f>
        <v>$</v>
      </c>
      <c r="R4123" t="str">
        <f>"הזמנה"</f>
        <v>הזמנה</v>
      </c>
      <c r="S4123">
        <v>0</v>
      </c>
      <c r="T4123" s="2">
        <v>1150</v>
      </c>
      <c r="U4123">
        <v>0</v>
      </c>
      <c r="V4123" s="2">
        <v>1150</v>
      </c>
      <c r="W4123" t="str">
        <f>"$"</f>
        <v>$</v>
      </c>
      <c r="X4123">
        <v>0</v>
      </c>
      <c r="Y4123">
        <v>0</v>
      </c>
      <c r="Z4123">
        <v>0</v>
      </c>
      <c r="AA4123" t="str">
        <f>"Y"</f>
        <v>Y</v>
      </c>
      <c r="AB4123" t="str">
        <f>"SO18000627"</f>
        <v>SO18000627</v>
      </c>
      <c r="AC4123">
        <v>4</v>
      </c>
      <c r="AD4123" s="1">
        <v>43412</v>
      </c>
      <c r="AE4123" t="str">
        <f>"SH19000141"</f>
        <v>SH19000141</v>
      </c>
      <c r="AF4123" t="str">
        <f>"משלוחים ללקוח"</f>
        <v>משלוחים ללקוח</v>
      </c>
      <c r="AG4123" s="1">
        <v>43488</v>
      </c>
      <c r="AM4123" t="str">
        <f>"10"</f>
        <v>10</v>
      </c>
      <c r="AN4123" t="str">
        <f>"500000"</f>
        <v>500000</v>
      </c>
      <c r="AO4123" t="str">
        <f>"הכנסות  מלקוחות"</f>
        <v>הכנסות  מלקוחות</v>
      </c>
      <c r="AQ4123" t="str">
        <f>"007"</f>
        <v>007</v>
      </c>
      <c r="AR4123">
        <v>0</v>
      </c>
      <c r="AS4123">
        <v>0</v>
      </c>
      <c r="AT4123">
        <v>3.6850000000000001</v>
      </c>
      <c r="AX4123" t="str">
        <f>"E000271741"</f>
        <v>E000271741</v>
      </c>
      <c r="BD4123" t="str">
        <f>"רוני דידי"</f>
        <v>רוני דידי</v>
      </c>
    </row>
    <row r="4124" spans="1:56" x14ac:dyDescent="0.3">
      <c r="A4124" s="1">
        <v>43493</v>
      </c>
      <c r="B4124" t="str">
        <f>"SI196000077"</f>
        <v>SI196000077</v>
      </c>
      <c r="C4124" t="str">
        <f>"PR18000665"</f>
        <v>PR18000665</v>
      </c>
      <c r="D4124" t="str">
        <f>"PR18000665"</f>
        <v>PR18000665</v>
      </c>
      <c r="E4124" t="str">
        <f>"Y"</f>
        <v>Y</v>
      </c>
      <c r="F4124" t="str">
        <f>"חשבוניות מרכזות"</f>
        <v>חשבוניות מרכזות</v>
      </c>
      <c r="G4124" t="str">
        <f>"700065"</f>
        <v>700065</v>
      </c>
      <c r="H4124" t="str">
        <f>"אלתא מערכות בע""מ"</f>
        <v>אלתא מערכות בע"מ</v>
      </c>
      <c r="I4124" t="str">
        <f>"10"</f>
        <v>10</v>
      </c>
      <c r="J4124" t="str">
        <f>"OP-AR00995"</f>
        <v>OP-AR00995</v>
      </c>
      <c r="K4124" t="str">
        <f>"320VDC 60KW SYSTEM"</f>
        <v>320VDC 60KW SYSTEM</v>
      </c>
      <c r="L4124">
        <v>1</v>
      </c>
      <c r="M4124" t="str">
        <f>"יח"</f>
        <v>יח</v>
      </c>
      <c r="N4124">
        <v>1</v>
      </c>
      <c r="O4124" t="str">
        <f>"יח"</f>
        <v>יח</v>
      </c>
      <c r="P4124" s="2">
        <v>21546</v>
      </c>
      <c r="Q4124" t="str">
        <f>"$"</f>
        <v>$</v>
      </c>
      <c r="R4124" t="str">
        <f>"הזמנה"</f>
        <v>הזמנה</v>
      </c>
      <c r="S4124">
        <v>10</v>
      </c>
      <c r="T4124" s="2">
        <v>19391.400000000001</v>
      </c>
      <c r="U4124">
        <v>0</v>
      </c>
      <c r="V4124" s="2">
        <v>19391.400000000001</v>
      </c>
      <c r="W4124" t="str">
        <f>"$"</f>
        <v>$</v>
      </c>
      <c r="X4124">
        <v>0</v>
      </c>
      <c r="Y4124">
        <v>0</v>
      </c>
      <c r="Z4124">
        <v>0</v>
      </c>
      <c r="AA4124" t="str">
        <f>"Y"</f>
        <v>Y</v>
      </c>
      <c r="AB4124" t="str">
        <f>"SO18000544"</f>
        <v>SO18000544</v>
      </c>
      <c r="AC4124">
        <v>1</v>
      </c>
      <c r="AD4124" s="1">
        <v>43375</v>
      </c>
      <c r="AE4124" t="str">
        <f>"SH19000143"</f>
        <v>SH19000143</v>
      </c>
      <c r="AF4124" t="str">
        <f>"משלוחים ללקוח"</f>
        <v>משלוחים ללקוח</v>
      </c>
      <c r="AG4124" s="1">
        <v>43489</v>
      </c>
      <c r="AM4124" t="str">
        <f>"10"</f>
        <v>10</v>
      </c>
      <c r="AN4124" t="str">
        <f>"500000"</f>
        <v>500000</v>
      </c>
      <c r="AO4124" t="str">
        <f>"הכנסות  מלקוחות"</f>
        <v>הכנסות  מלקוחות</v>
      </c>
      <c r="AQ4124" t="str">
        <f>"007"</f>
        <v>007</v>
      </c>
      <c r="AR4124">
        <v>0</v>
      </c>
      <c r="AS4124">
        <v>0</v>
      </c>
      <c r="AT4124">
        <v>3.6850000000000001</v>
      </c>
      <c r="AX4124" t="str">
        <f>"E000269805"</f>
        <v>E000269805</v>
      </c>
      <c r="BD4124" t="str">
        <f>"רוני דידי"</f>
        <v>רוני דידי</v>
      </c>
    </row>
    <row r="4125" spans="1:56" x14ac:dyDescent="0.3">
      <c r="A4125" s="1">
        <v>43483</v>
      </c>
      <c r="B4125" t="str">
        <f>"SI196000053"</f>
        <v>SI196000053</v>
      </c>
      <c r="C4125" t="str">
        <f>"PR18000882"</f>
        <v>PR18000882</v>
      </c>
      <c r="D4125" t="str">
        <f>"PR18000882"</f>
        <v>PR18000882</v>
      </c>
      <c r="E4125" t="str">
        <f>"Y"</f>
        <v>Y</v>
      </c>
      <c r="F4125" t="str">
        <f>"חשבוניות מרכזות"</f>
        <v>חשבוניות מרכזות</v>
      </c>
      <c r="G4125" t="str">
        <f>"700065"</f>
        <v>700065</v>
      </c>
      <c r="H4125" t="str">
        <f>"אלתא מערכות בע""מ"</f>
        <v>אלתא מערכות בע"מ</v>
      </c>
      <c r="I4125" t="str">
        <f>"10"</f>
        <v>10</v>
      </c>
      <c r="J4125" t="str">
        <f>"ZV0280009"</f>
        <v>ZV0280009</v>
      </c>
      <c r="K4125" t="str">
        <f>"מסד מאובטח ""19 גובה 42U-1100 כולל צירים"</f>
        <v>מסד מאובטח "19 גובה 42U-1100 כולל צירים</v>
      </c>
      <c r="L4125">
        <v>1</v>
      </c>
      <c r="M4125" t="str">
        <f>"יח"</f>
        <v>יח</v>
      </c>
      <c r="N4125">
        <v>1</v>
      </c>
      <c r="O4125" t="str">
        <f>"יח"</f>
        <v>יח</v>
      </c>
      <c r="P4125">
        <v>590</v>
      </c>
      <c r="Q4125" t="str">
        <f>"$"</f>
        <v>$</v>
      </c>
      <c r="R4125" t="str">
        <f>"הזמנה"</f>
        <v>הזמנה</v>
      </c>
      <c r="S4125">
        <v>0</v>
      </c>
      <c r="T4125">
        <v>590</v>
      </c>
      <c r="U4125">
        <v>0</v>
      </c>
      <c r="V4125">
        <v>590</v>
      </c>
      <c r="W4125" t="str">
        <f>"$"</f>
        <v>$</v>
      </c>
      <c r="X4125">
        <v>0</v>
      </c>
      <c r="Y4125">
        <v>0</v>
      </c>
      <c r="Z4125">
        <v>0</v>
      </c>
      <c r="AA4125" t="str">
        <f>"Y"</f>
        <v>Y</v>
      </c>
      <c r="AB4125" t="str">
        <f>"SO18000686"</f>
        <v>SO18000686</v>
      </c>
      <c r="AC4125">
        <v>1</v>
      </c>
      <c r="AD4125" s="1">
        <v>43443</v>
      </c>
      <c r="AE4125" t="str">
        <f>"SH19000054"</f>
        <v>SH19000054</v>
      </c>
      <c r="AF4125" t="str">
        <f>"משלוחים ללקוח"</f>
        <v>משלוחים ללקוח</v>
      </c>
      <c r="AG4125" s="1">
        <v>43475</v>
      </c>
      <c r="AM4125" t="str">
        <f>"10"</f>
        <v>10</v>
      </c>
      <c r="AN4125" t="str">
        <f>"500000"</f>
        <v>500000</v>
      </c>
      <c r="AO4125" t="str">
        <f>"הכנסות  מלקוחות"</f>
        <v>הכנסות  מלקוחות</v>
      </c>
      <c r="AQ4125" t="str">
        <f>"007"</f>
        <v>007</v>
      </c>
      <c r="AR4125">
        <v>0</v>
      </c>
      <c r="AS4125">
        <v>0</v>
      </c>
      <c r="AT4125">
        <v>3.6920000000000002</v>
      </c>
      <c r="AX4125" t="str">
        <f>"E000274362"</f>
        <v>E000274362</v>
      </c>
      <c r="BD4125" t="str">
        <f>"רוני דידי"</f>
        <v>רוני דידי</v>
      </c>
    </row>
    <row r="4126" spans="1:56" x14ac:dyDescent="0.3">
      <c r="A4126" s="1">
        <v>43483</v>
      </c>
      <c r="B4126" t="str">
        <f>"SI196000051"</f>
        <v>SI196000051</v>
      </c>
      <c r="E4126" t="str">
        <f>"Y"</f>
        <v>Y</v>
      </c>
      <c r="F4126" t="str">
        <f>"חשבוניות מרכזות"</f>
        <v>חשבוניות מרכזות</v>
      </c>
      <c r="G4126" t="str">
        <f>"700065"</f>
        <v>700065</v>
      </c>
      <c r="H4126" t="str">
        <f>"אלתא מערכות בע""מ"</f>
        <v>אלתא מערכות בע"מ</v>
      </c>
      <c r="I4126" t="str">
        <f>"10"</f>
        <v>10</v>
      </c>
      <c r="J4126" t="str">
        <f>"999"</f>
        <v>999</v>
      </c>
      <c r="K4126" t="str">
        <f>"שינויים במכלולים להז' E00093662"</f>
        <v>שינויים במכלולים להז' E00093662</v>
      </c>
      <c r="L4126">
        <v>1</v>
      </c>
      <c r="M4126" t="str">
        <f>"חל"</f>
        <v>חל</v>
      </c>
      <c r="N4126">
        <v>1</v>
      </c>
      <c r="O4126" t="str">
        <f>"חל"</f>
        <v>חל</v>
      </c>
      <c r="P4126" s="2">
        <v>11570</v>
      </c>
      <c r="Q4126" t="str">
        <f>"$"</f>
        <v>$</v>
      </c>
      <c r="R4126" t="str">
        <f>"הזמנה"</f>
        <v>הזמנה</v>
      </c>
      <c r="S4126">
        <v>0</v>
      </c>
      <c r="T4126" s="2">
        <v>11570</v>
      </c>
      <c r="U4126">
        <v>0</v>
      </c>
      <c r="V4126" s="2">
        <v>11570</v>
      </c>
      <c r="W4126" t="str">
        <f>"$"</f>
        <v>$</v>
      </c>
      <c r="X4126">
        <v>0</v>
      </c>
      <c r="Y4126">
        <v>0</v>
      </c>
      <c r="Z4126">
        <v>0</v>
      </c>
      <c r="AA4126" t="str">
        <f>"Y"</f>
        <v>Y</v>
      </c>
      <c r="AB4126" t="str">
        <f>"SO140001911"</f>
        <v>SO140001911</v>
      </c>
      <c r="AC4126">
        <v>4</v>
      </c>
      <c r="AD4126" s="1">
        <v>41758</v>
      </c>
      <c r="AM4126" t="str">
        <f>"10"</f>
        <v>10</v>
      </c>
      <c r="AN4126" t="str">
        <f>"500000"</f>
        <v>500000</v>
      </c>
      <c r="AO4126" t="str">
        <f>"הכנסות  מלקוחות"</f>
        <v>הכנסות  מלקוחות</v>
      </c>
      <c r="AQ4126" t="str">
        <f>"007"</f>
        <v>007</v>
      </c>
      <c r="AR4126">
        <v>0</v>
      </c>
      <c r="AS4126">
        <v>0</v>
      </c>
      <c r="AT4126">
        <v>3.6920000000000002</v>
      </c>
      <c r="AX4126" t="str">
        <f>"E000172960"</f>
        <v>E000172960</v>
      </c>
      <c r="BD4126" t="str">
        <f>"רוני דידי"</f>
        <v>רוני דידי</v>
      </c>
    </row>
    <row r="4127" spans="1:56" x14ac:dyDescent="0.3">
      <c r="A4127" s="1">
        <v>43481</v>
      </c>
      <c r="B4127" t="str">
        <f>"SI196000043"</f>
        <v>SI196000043</v>
      </c>
      <c r="C4127" t="str">
        <f>"PR18000547"</f>
        <v>PR18000547</v>
      </c>
      <c r="E4127" t="str">
        <f>"Y"</f>
        <v>Y</v>
      </c>
      <c r="F4127" t="str">
        <f>"חשבוניות מרכזות"</f>
        <v>חשבוניות מרכזות</v>
      </c>
      <c r="G4127" t="str">
        <f>"700065"</f>
        <v>700065</v>
      </c>
      <c r="H4127" t="str">
        <f>"אלתא מערכות בע""מ"</f>
        <v>אלתא מערכות בע"מ</v>
      </c>
      <c r="I4127" t="str">
        <f>"10"</f>
        <v>10</v>
      </c>
      <c r="J4127" t="str">
        <f>"OP-AR01088"</f>
        <v>OP-AR01088</v>
      </c>
      <c r="K4127" t="str">
        <f>"1038H185-001 SRASR POWER DISTRIUTION UNIT"</f>
        <v>1038H185-001 SRASR POWER DISTRIUTION UNIT</v>
      </c>
      <c r="L4127">
        <v>1</v>
      </c>
      <c r="M4127" t="str">
        <f>"יח"</f>
        <v>יח</v>
      </c>
      <c r="N4127">
        <v>1</v>
      </c>
      <c r="O4127" t="str">
        <f>"יח"</f>
        <v>יח</v>
      </c>
      <c r="P4127" s="2">
        <v>13598</v>
      </c>
      <c r="Q4127" t="str">
        <f>"$"</f>
        <v>$</v>
      </c>
      <c r="R4127" t="str">
        <f>"הזמנה"</f>
        <v>הזמנה</v>
      </c>
      <c r="S4127">
        <v>0</v>
      </c>
      <c r="T4127" s="2">
        <v>13598</v>
      </c>
      <c r="U4127">
        <v>0</v>
      </c>
      <c r="V4127" s="2">
        <v>13598</v>
      </c>
      <c r="W4127" t="str">
        <f>"$"</f>
        <v>$</v>
      </c>
      <c r="X4127">
        <v>0</v>
      </c>
      <c r="Y4127">
        <v>0</v>
      </c>
      <c r="Z4127">
        <v>0</v>
      </c>
      <c r="AA4127" t="str">
        <f>"Y"</f>
        <v>Y</v>
      </c>
      <c r="AC4127">
        <v>0</v>
      </c>
      <c r="AM4127" t="str">
        <f>"10"</f>
        <v>10</v>
      </c>
      <c r="AN4127" t="str">
        <f>"500000"</f>
        <v>500000</v>
      </c>
      <c r="AO4127" t="str">
        <f>"הכנסות  מלקוחות"</f>
        <v>הכנסות  מלקוחות</v>
      </c>
      <c r="AQ4127" t="str">
        <f>"007"</f>
        <v>007</v>
      </c>
      <c r="AR4127">
        <v>0</v>
      </c>
      <c r="AS4127">
        <v>0</v>
      </c>
      <c r="AT4127">
        <v>3.67</v>
      </c>
      <c r="BB4127" t="str">
        <f>"Y"</f>
        <v>Y</v>
      </c>
      <c r="BD4127" t="str">
        <f>"רוני דידי"</f>
        <v>רוני דידי</v>
      </c>
    </row>
    <row r="4128" spans="1:56" x14ac:dyDescent="0.3">
      <c r="A4128" s="1">
        <v>43481</v>
      </c>
      <c r="B4128" t="str">
        <f>"SI196000042"</f>
        <v>SI196000042</v>
      </c>
      <c r="C4128" t="str">
        <f>"PR17001533"</f>
        <v>PR17001533</v>
      </c>
      <c r="D4128" t="str">
        <f>"PR17001533"</f>
        <v>PR17001533</v>
      </c>
      <c r="E4128" t="str">
        <f>"Y"</f>
        <v>Y</v>
      </c>
      <c r="F4128" t="str">
        <f>"חשבוניות מרכזות"</f>
        <v>חשבוניות מרכזות</v>
      </c>
      <c r="G4128" t="str">
        <f>"700065"</f>
        <v>700065</v>
      </c>
      <c r="H4128" t="str">
        <f>"אלתא מערכות בע""מ"</f>
        <v>אלתא מערכות בע"מ</v>
      </c>
      <c r="I4128" t="str">
        <f>"10"</f>
        <v>10</v>
      </c>
      <c r="J4128" t="str">
        <f>"OP-AR00559"</f>
        <v>OP-AR00559</v>
      </c>
      <c r="K4128" t="str">
        <f>"Remote Control Box 1038N250-001"</f>
        <v>Remote Control Box 1038N250-001</v>
      </c>
      <c r="L4128">
        <v>1</v>
      </c>
      <c r="M4128" t="str">
        <f>"יח"</f>
        <v>יח</v>
      </c>
      <c r="N4128">
        <v>1</v>
      </c>
      <c r="O4128" t="str">
        <f>"יח"</f>
        <v>יח</v>
      </c>
      <c r="P4128" s="2">
        <v>4601</v>
      </c>
      <c r="Q4128" t="str">
        <f>"$"</f>
        <v>$</v>
      </c>
      <c r="R4128" t="str">
        <f>"הזמנה"</f>
        <v>הזמנה</v>
      </c>
      <c r="S4128">
        <v>0</v>
      </c>
      <c r="T4128" s="2">
        <v>4601</v>
      </c>
      <c r="U4128">
        <v>0</v>
      </c>
      <c r="V4128" s="2">
        <v>4601</v>
      </c>
      <c r="W4128" t="str">
        <f>"$"</f>
        <v>$</v>
      </c>
      <c r="X4128">
        <v>0</v>
      </c>
      <c r="Y4128">
        <v>0</v>
      </c>
      <c r="Z4128">
        <v>0</v>
      </c>
      <c r="AA4128" t="str">
        <f>"Y"</f>
        <v>Y</v>
      </c>
      <c r="AB4128" t="str">
        <f>"SO17000195"</f>
        <v>SO17000195</v>
      </c>
      <c r="AC4128">
        <v>3</v>
      </c>
      <c r="AD4128" s="1">
        <v>42803</v>
      </c>
      <c r="AE4128" t="str">
        <f>"SH19000031"</f>
        <v>SH19000031</v>
      </c>
      <c r="AF4128" t="str">
        <f>"משלוחים ללקוח"</f>
        <v>משלוחים ללקוח</v>
      </c>
      <c r="AG4128" s="1">
        <v>43472</v>
      </c>
      <c r="AM4128" t="str">
        <f>"10"</f>
        <v>10</v>
      </c>
      <c r="AN4128" t="str">
        <f>"500000"</f>
        <v>500000</v>
      </c>
      <c r="AO4128" t="str">
        <f>"הכנסות  מלקוחות"</f>
        <v>הכנסות  מלקוחות</v>
      </c>
      <c r="AQ4128" t="str">
        <f>"007"</f>
        <v>007</v>
      </c>
      <c r="AR4128">
        <v>0</v>
      </c>
      <c r="AS4128">
        <v>0</v>
      </c>
      <c r="AT4128">
        <v>3.67</v>
      </c>
      <c r="AX4128" t="str">
        <f>"E000234665"</f>
        <v>E000234665</v>
      </c>
      <c r="BD4128" t="str">
        <f>"רוני דידי"</f>
        <v>רוני דידי</v>
      </c>
    </row>
    <row r="4129" spans="1:56" x14ac:dyDescent="0.3">
      <c r="A4129" s="1">
        <v>43481</v>
      </c>
      <c r="B4129" t="str">
        <f>"SI196000042"</f>
        <v>SI196000042</v>
      </c>
      <c r="C4129" t="str">
        <f>"PR17001533"</f>
        <v>PR17001533</v>
      </c>
      <c r="D4129" t="str">
        <f>"PR17001533"</f>
        <v>PR17001533</v>
      </c>
      <c r="E4129" t="str">
        <f>"Y"</f>
        <v>Y</v>
      </c>
      <c r="F4129" t="str">
        <f>"חשבוניות מרכזות"</f>
        <v>חשבוניות מרכזות</v>
      </c>
      <c r="G4129" t="str">
        <f>"700065"</f>
        <v>700065</v>
      </c>
      <c r="H4129" t="str">
        <f>"אלתא מערכות בע""מ"</f>
        <v>אלתא מערכות בע"מ</v>
      </c>
      <c r="I4129" t="str">
        <f>"10"</f>
        <v>10</v>
      </c>
      <c r="J4129" t="str">
        <f>"PA0900030"</f>
        <v>PA0900030</v>
      </c>
      <c r="K4129" t="str">
        <f>"מזוודה HPRC2600 + ספוג קוביות"</f>
        <v>מזוודה HPRC2600 + ספוג קוביות</v>
      </c>
      <c r="L4129">
        <v>1</v>
      </c>
      <c r="M4129" t="str">
        <f>"יח"</f>
        <v>יח</v>
      </c>
      <c r="N4129">
        <v>1</v>
      </c>
      <c r="O4129" t="str">
        <f>"יח"</f>
        <v>יח</v>
      </c>
      <c r="P4129">
        <v>0</v>
      </c>
      <c r="Q4129" t="str">
        <f>"$"</f>
        <v>$</v>
      </c>
      <c r="R4129" t="str">
        <f>"הזמנה"</f>
        <v>הזמנה</v>
      </c>
      <c r="S4129">
        <v>0</v>
      </c>
      <c r="T4129">
        <v>0</v>
      </c>
      <c r="U4129">
        <v>0</v>
      </c>
      <c r="V4129">
        <v>0</v>
      </c>
      <c r="W4129" t="str">
        <f>"$"</f>
        <v>$</v>
      </c>
      <c r="X4129">
        <v>0</v>
      </c>
      <c r="Y4129">
        <v>0</v>
      </c>
      <c r="Z4129">
        <v>0</v>
      </c>
      <c r="AA4129" t="str">
        <f>"Y"</f>
        <v>Y</v>
      </c>
      <c r="AB4129" t="str">
        <f>"SO17000195"</f>
        <v>SO17000195</v>
      </c>
      <c r="AC4129">
        <v>7</v>
      </c>
      <c r="AD4129" s="1">
        <v>42803</v>
      </c>
      <c r="AE4129" t="str">
        <f>"SH19000031"</f>
        <v>SH19000031</v>
      </c>
      <c r="AF4129" t="str">
        <f>"משלוחים ללקוח"</f>
        <v>משלוחים ללקוח</v>
      </c>
      <c r="AG4129" s="1">
        <v>43472</v>
      </c>
      <c r="AM4129" t="str">
        <f>"10"</f>
        <v>10</v>
      </c>
      <c r="AN4129" t="str">
        <f>"500000"</f>
        <v>500000</v>
      </c>
      <c r="AO4129" t="str">
        <f>"הכנסות  מלקוחות"</f>
        <v>הכנסות  מלקוחות</v>
      </c>
      <c r="AQ4129" t="str">
        <f>"007"</f>
        <v>007</v>
      </c>
      <c r="AR4129">
        <v>0</v>
      </c>
      <c r="AS4129">
        <v>0</v>
      </c>
      <c r="AT4129">
        <v>3.67</v>
      </c>
      <c r="AX4129" t="str">
        <f>"E000234665"</f>
        <v>E000234665</v>
      </c>
      <c r="BD4129" t="str">
        <f>"רוני דידי"</f>
        <v>רוני דידי</v>
      </c>
    </row>
    <row r="4130" spans="1:56" x14ac:dyDescent="0.3">
      <c r="A4130" s="1">
        <v>43474</v>
      </c>
      <c r="B4130" t="str">
        <f>"SI196000046"</f>
        <v>SI196000046</v>
      </c>
      <c r="C4130" t="str">
        <f>"PR18000453"</f>
        <v>PR18000453</v>
      </c>
      <c r="D4130" t="str">
        <f>"PR18000453"</f>
        <v>PR18000453</v>
      </c>
      <c r="E4130" t="str">
        <f>"Y"</f>
        <v>Y</v>
      </c>
      <c r="F4130" t="str">
        <f>"חשבוניות מרכזות"</f>
        <v>חשבוניות מרכזות</v>
      </c>
      <c r="G4130" t="str">
        <f>"700065"</f>
        <v>700065</v>
      </c>
      <c r="H4130" t="str">
        <f>"אלתא מערכות בע""מ"</f>
        <v>אלתא מערכות בע"מ</v>
      </c>
      <c r="I4130" t="str">
        <f>"10"</f>
        <v>10</v>
      </c>
      <c r="J4130" t="str">
        <f>"OP-AR01030"</f>
        <v>OP-AR01030</v>
      </c>
      <c r="K4130" t="str">
        <f>"W94-55m DC CABLE   4023N494-001"</f>
        <v>W94-55m DC CABLE   4023N494-001</v>
      </c>
      <c r="L4130">
        <v>1</v>
      </c>
      <c r="M4130" t="str">
        <f>"יח"</f>
        <v>יח</v>
      </c>
      <c r="N4130">
        <v>1</v>
      </c>
      <c r="O4130" t="str">
        <f>"יח"</f>
        <v>יח</v>
      </c>
      <c r="P4130">
        <v>851.45</v>
      </c>
      <c r="Q4130" t="str">
        <f>"$"</f>
        <v>$</v>
      </c>
      <c r="R4130" t="str">
        <f>"הזמנה"</f>
        <v>הזמנה</v>
      </c>
      <c r="S4130">
        <v>0</v>
      </c>
      <c r="T4130">
        <v>851.45</v>
      </c>
      <c r="U4130">
        <v>0</v>
      </c>
      <c r="V4130">
        <v>851.45</v>
      </c>
      <c r="W4130" t="str">
        <f>"$"</f>
        <v>$</v>
      </c>
      <c r="X4130">
        <v>0</v>
      </c>
      <c r="Y4130">
        <v>0</v>
      </c>
      <c r="Z4130">
        <v>0</v>
      </c>
      <c r="AA4130" t="str">
        <f>"Y"</f>
        <v>Y</v>
      </c>
      <c r="AB4130" t="str">
        <f>"SO18000351"</f>
        <v>SO18000351</v>
      </c>
      <c r="AC4130">
        <v>1</v>
      </c>
      <c r="AD4130" s="1">
        <v>43264</v>
      </c>
      <c r="AE4130" t="str">
        <f>"SH19000034"</f>
        <v>SH19000034</v>
      </c>
      <c r="AF4130" t="str">
        <f>"משלוחים ללקוח"</f>
        <v>משלוחים ללקוח</v>
      </c>
      <c r="AG4130" s="1">
        <v>43473</v>
      </c>
      <c r="AM4130" t="str">
        <f>"10"</f>
        <v>10</v>
      </c>
      <c r="AN4130" t="str">
        <f>"500000"</f>
        <v>500000</v>
      </c>
      <c r="AO4130" t="str">
        <f>"הכנסות  מלקוחות"</f>
        <v>הכנסות  מלקוחות</v>
      </c>
      <c r="AQ4130" t="str">
        <f>"017"</f>
        <v>017</v>
      </c>
      <c r="AR4130">
        <v>0</v>
      </c>
      <c r="AS4130">
        <v>0</v>
      </c>
      <c r="AT4130">
        <v>3.6989999999999998</v>
      </c>
      <c r="AX4130" t="str">
        <f>"E000262645"</f>
        <v>E000262645</v>
      </c>
      <c r="BD4130" t="str">
        <f>"שחר דאהמן"</f>
        <v>שחר דאהמן</v>
      </c>
    </row>
    <row r="4131" spans="1:56" x14ac:dyDescent="0.3">
      <c r="A4131" s="1">
        <v>43474</v>
      </c>
      <c r="B4131" t="str">
        <f>"SI196000045"</f>
        <v>SI196000045</v>
      </c>
      <c r="C4131" t="str">
        <f>"PR18000297"</f>
        <v>PR18000297</v>
      </c>
      <c r="E4131" t="str">
        <f>"Y"</f>
        <v>Y</v>
      </c>
      <c r="F4131" t="str">
        <f>"חשבוניות מרכזות"</f>
        <v>חשבוניות מרכזות</v>
      </c>
      <c r="G4131" t="str">
        <f>"700065"</f>
        <v>700065</v>
      </c>
      <c r="H4131" t="str">
        <f>"אלתא מערכות בע""מ"</f>
        <v>אלתא מערכות בע"מ</v>
      </c>
      <c r="I4131" t="str">
        <f>"10"</f>
        <v>10</v>
      </c>
      <c r="J4131" t="str">
        <f>"OP-AR09105-1"</f>
        <v>OP-AR09105-1</v>
      </c>
      <c r="K4131" t="str">
        <f>"לוח ARMY מק""ט לקוח 1036V310-001"</f>
        <v>לוח ARMY מק"ט לקוח 1036V310-001</v>
      </c>
      <c r="L4131">
        <v>1</v>
      </c>
      <c r="M4131" t="str">
        <f>"יח"</f>
        <v>יח</v>
      </c>
      <c r="N4131">
        <v>1</v>
      </c>
      <c r="O4131" t="str">
        <f>"יח"</f>
        <v>יח</v>
      </c>
      <c r="P4131" s="2">
        <v>38693</v>
      </c>
      <c r="Q4131" t="str">
        <f>"$"</f>
        <v>$</v>
      </c>
      <c r="R4131" t="str">
        <f>"הזמנה"</f>
        <v>הזמנה</v>
      </c>
      <c r="S4131">
        <v>0</v>
      </c>
      <c r="T4131" s="2">
        <v>38693</v>
      </c>
      <c r="U4131">
        <v>0</v>
      </c>
      <c r="V4131" s="2">
        <v>38693</v>
      </c>
      <c r="W4131" t="str">
        <f>"$"</f>
        <v>$</v>
      </c>
      <c r="X4131">
        <v>0</v>
      </c>
      <c r="Y4131">
        <v>0</v>
      </c>
      <c r="Z4131">
        <v>0</v>
      </c>
      <c r="AA4131" t="str">
        <f>"Y"</f>
        <v>Y</v>
      </c>
      <c r="AB4131" t="str">
        <f>"SO18000235"</f>
        <v>SO18000235</v>
      </c>
      <c r="AC4131">
        <v>4</v>
      </c>
      <c r="AD4131" s="1">
        <v>43207</v>
      </c>
      <c r="AE4131" t="str">
        <f>"SH19000036"</f>
        <v>SH19000036</v>
      </c>
      <c r="AF4131" t="str">
        <f>"משלוחים ללקוח"</f>
        <v>משלוחים ללקוח</v>
      </c>
      <c r="AG4131" s="1">
        <v>43473</v>
      </c>
      <c r="AM4131" t="str">
        <f>"10"</f>
        <v>10</v>
      </c>
      <c r="AN4131" t="str">
        <f>"500000"</f>
        <v>500000</v>
      </c>
      <c r="AO4131" t="str">
        <f>"הכנסות  מלקוחות"</f>
        <v>הכנסות  מלקוחות</v>
      </c>
      <c r="AQ4131" t="str">
        <f>"007"</f>
        <v>007</v>
      </c>
      <c r="AR4131">
        <v>0</v>
      </c>
      <c r="AS4131">
        <v>0</v>
      </c>
      <c r="AT4131">
        <v>3.6989999999999998</v>
      </c>
      <c r="AX4131" t="str">
        <f>"E000259662"</f>
        <v>E000259662</v>
      </c>
      <c r="BD4131" t="str">
        <f>"רוני דידי"</f>
        <v>רוני דידי</v>
      </c>
    </row>
    <row r="4132" spans="1:56" x14ac:dyDescent="0.3">
      <c r="A4132" s="1">
        <v>43474</v>
      </c>
      <c r="B4132" t="str">
        <f>"SI196000044"</f>
        <v>SI196000044</v>
      </c>
      <c r="C4132" t="str">
        <f>"PR19000004"</f>
        <v>PR19000004</v>
      </c>
      <c r="D4132" t="str">
        <f>"PR19000004"</f>
        <v>PR19000004</v>
      </c>
      <c r="E4132" t="str">
        <f>"Y"</f>
        <v>Y</v>
      </c>
      <c r="F4132" t="str">
        <f>"חשבוניות מרכזות"</f>
        <v>חשבוניות מרכזות</v>
      </c>
      <c r="G4132" t="str">
        <f>"700065"</f>
        <v>700065</v>
      </c>
      <c r="H4132" t="str">
        <f>"אלתא מערכות בע""מ"</f>
        <v>אלתא מערכות בע"מ</v>
      </c>
      <c r="I4132" t="str">
        <f>"05"</f>
        <v>05</v>
      </c>
      <c r="J4132" t="str">
        <f>"OP-PD02865"</f>
        <v>OP-PD02865</v>
      </c>
      <c r="K4132" t="str">
        <f>"מערכת כח מודולארית 20KW 270VDC"</f>
        <v>מערכת כח מודולארית 20KW 270VDC</v>
      </c>
      <c r="L4132">
        <v>1</v>
      </c>
      <c r="M4132" t="str">
        <f>"יח"</f>
        <v>יח</v>
      </c>
      <c r="N4132">
        <v>1</v>
      </c>
      <c r="O4132" t="str">
        <f>"יח"</f>
        <v>יח</v>
      </c>
      <c r="P4132" s="2">
        <v>14038</v>
      </c>
      <c r="Q4132" t="str">
        <f>"$"</f>
        <v>$</v>
      </c>
      <c r="R4132" t="str">
        <f>"הזמנה"</f>
        <v>הזמנה</v>
      </c>
      <c r="S4132">
        <v>0</v>
      </c>
      <c r="T4132" s="2">
        <v>14038</v>
      </c>
      <c r="U4132">
        <v>0</v>
      </c>
      <c r="V4132" s="2">
        <v>14038</v>
      </c>
      <c r="W4132" t="str">
        <f>"$"</f>
        <v>$</v>
      </c>
      <c r="X4132">
        <v>0</v>
      </c>
      <c r="Y4132">
        <v>0</v>
      </c>
      <c r="Z4132">
        <v>0</v>
      </c>
      <c r="AA4132" t="str">
        <f>"Y"</f>
        <v>Y</v>
      </c>
      <c r="AB4132" t="str">
        <f>"SO19000006"</f>
        <v>SO19000006</v>
      </c>
      <c r="AC4132">
        <v>1</v>
      </c>
      <c r="AD4132" s="1">
        <v>43467</v>
      </c>
      <c r="AE4132" t="str">
        <f>"SH19000037"</f>
        <v>SH19000037</v>
      </c>
      <c r="AF4132" t="str">
        <f>"משלוחים ללקוח"</f>
        <v>משלוחים ללקוח</v>
      </c>
      <c r="AG4132" s="1">
        <v>43473</v>
      </c>
      <c r="AM4132" t="str">
        <f>"10"</f>
        <v>10</v>
      </c>
      <c r="AN4132" t="str">
        <f>"500000"</f>
        <v>500000</v>
      </c>
      <c r="AO4132" t="str">
        <f>"הכנסות  מלקוחות"</f>
        <v>הכנסות  מלקוחות</v>
      </c>
      <c r="AQ4132" t="str">
        <f>"007"</f>
        <v>007</v>
      </c>
      <c r="AR4132">
        <v>0</v>
      </c>
      <c r="AS4132">
        <v>0</v>
      </c>
      <c r="AT4132">
        <v>3.6989999999999998</v>
      </c>
      <c r="AX4132" t="str">
        <f>"E000276926"</f>
        <v>E000276926</v>
      </c>
      <c r="BD4132" t="str">
        <f>"רוני דידי"</f>
        <v>רוני דידי</v>
      </c>
    </row>
    <row r="4133" spans="1:56" x14ac:dyDescent="0.3">
      <c r="A4133" s="1">
        <v>43465</v>
      </c>
      <c r="B4133" t="str">
        <f>"SI186001613"</f>
        <v>SI186001613</v>
      </c>
      <c r="C4133" t="str">
        <f>"PR16000776"</f>
        <v>PR16000776</v>
      </c>
      <c r="D4133" t="str">
        <f>"PR16000776"</f>
        <v>PR16000776</v>
      </c>
      <c r="E4133" t="str">
        <f>"Y"</f>
        <v>Y</v>
      </c>
      <c r="F4133" t="str">
        <f>"חשבוניות מרכזות"</f>
        <v>חשבוניות מרכזות</v>
      </c>
      <c r="G4133" t="str">
        <f>"700065"</f>
        <v>700065</v>
      </c>
      <c r="H4133" t="str">
        <f>"אלתא מערכות בע""מ"</f>
        <v>אלתא מערכות בע"מ</v>
      </c>
      <c r="I4133" t="str">
        <f>"10"</f>
        <v>10</v>
      </c>
      <c r="J4133" t="str">
        <f>"000"</f>
        <v>000</v>
      </c>
      <c r="K4133" t="str">
        <f>"התקנת מערכת כוח באלתא"</f>
        <v>התקנת מערכת כוח באלתא</v>
      </c>
      <c r="L4133">
        <v>1</v>
      </c>
      <c r="M4133" t="str">
        <f>"יח"</f>
        <v>יח</v>
      </c>
      <c r="N4133">
        <v>1</v>
      </c>
      <c r="O4133" t="str">
        <f>"יח"</f>
        <v>יח</v>
      </c>
      <c r="P4133" s="2">
        <v>2700</v>
      </c>
      <c r="Q4133" t="str">
        <f>"$"</f>
        <v>$</v>
      </c>
      <c r="R4133" t="str">
        <f>"הזמנה"</f>
        <v>הזמנה</v>
      </c>
      <c r="S4133">
        <v>0</v>
      </c>
      <c r="T4133" s="2">
        <v>2700</v>
      </c>
      <c r="U4133">
        <v>0</v>
      </c>
      <c r="V4133" s="2">
        <v>2700</v>
      </c>
      <c r="W4133" t="str">
        <f>"$"</f>
        <v>$</v>
      </c>
      <c r="X4133">
        <v>0</v>
      </c>
      <c r="Y4133">
        <v>0</v>
      </c>
      <c r="Z4133">
        <v>0</v>
      </c>
      <c r="AA4133" t="str">
        <f>"Y"</f>
        <v>Y</v>
      </c>
      <c r="AB4133" t="str">
        <f>"SO160000582"</f>
        <v>SO160000582</v>
      </c>
      <c r="AC4133">
        <v>8</v>
      </c>
      <c r="AD4133" s="1">
        <v>42590</v>
      </c>
      <c r="AM4133" t="str">
        <f>"10"</f>
        <v>10</v>
      </c>
      <c r="AN4133" t="str">
        <f>"500000"</f>
        <v>500000</v>
      </c>
      <c r="AO4133" t="str">
        <f>"הכנסות  מלקוחות"</f>
        <v>הכנסות  מלקוחות</v>
      </c>
      <c r="AQ4133" t="str">
        <f>"007"</f>
        <v>007</v>
      </c>
      <c r="AR4133">
        <v>0</v>
      </c>
      <c r="AS4133">
        <v>0</v>
      </c>
      <c r="AT4133">
        <v>3.7709999999999999</v>
      </c>
      <c r="AX4133" t="str">
        <f>"E000221675"</f>
        <v>E000221675</v>
      </c>
      <c r="BD4133" t="str">
        <f>"רוני דידי"</f>
        <v>רוני דידי</v>
      </c>
    </row>
    <row r="4134" spans="1:56" x14ac:dyDescent="0.3">
      <c r="A4134" s="1">
        <v>43454</v>
      </c>
      <c r="B4134" t="str">
        <f>"SI186001562"</f>
        <v>SI186001562</v>
      </c>
      <c r="C4134" t="str">
        <f>"PR18000288"</f>
        <v>PR18000288</v>
      </c>
      <c r="E4134" t="str">
        <f>"Y"</f>
        <v>Y</v>
      </c>
      <c r="F4134" t="str">
        <f>"חשבוניות מרכזות"</f>
        <v>חשבוניות מרכזות</v>
      </c>
      <c r="G4134" t="str">
        <f>"700065"</f>
        <v>700065</v>
      </c>
      <c r="H4134" t="str">
        <f>"אלתא מערכות בע""מ"</f>
        <v>אלתא מערכות בע"מ</v>
      </c>
      <c r="I4134" t="str">
        <f>"10"</f>
        <v>10</v>
      </c>
      <c r="J4134" t="str">
        <f>"OP-AR09107-1"</f>
        <v>OP-AR09107-1</v>
      </c>
      <c r="K4134" t="str">
        <f>"לוח AUX BOX מק""ט לקוח 1036V320 001"</f>
        <v>לוח AUX BOX מק"ט לקוח 1036V320 001</v>
      </c>
      <c r="L4134">
        <v>1</v>
      </c>
      <c r="M4134" t="str">
        <f>"יח"</f>
        <v>יח</v>
      </c>
      <c r="N4134">
        <v>1</v>
      </c>
      <c r="O4134" t="str">
        <f>"יח"</f>
        <v>יח</v>
      </c>
      <c r="P4134" s="2">
        <v>27792</v>
      </c>
      <c r="Q4134" t="str">
        <f>"$"</f>
        <v>$</v>
      </c>
      <c r="R4134" t="str">
        <f>"הזמנה"</f>
        <v>הזמנה</v>
      </c>
      <c r="S4134">
        <v>0</v>
      </c>
      <c r="T4134" s="2">
        <v>27792</v>
      </c>
      <c r="U4134">
        <v>0</v>
      </c>
      <c r="V4134" s="2">
        <v>27792</v>
      </c>
      <c r="W4134" t="str">
        <f>"$"</f>
        <v>$</v>
      </c>
      <c r="X4134">
        <v>0</v>
      </c>
      <c r="Y4134">
        <v>0</v>
      </c>
      <c r="Z4134">
        <v>0</v>
      </c>
      <c r="AA4134" t="str">
        <f>"Y"</f>
        <v>Y</v>
      </c>
      <c r="AB4134" t="str">
        <f>"SO18000235"</f>
        <v>SO18000235</v>
      </c>
      <c r="AC4134">
        <v>1</v>
      </c>
      <c r="AD4134" s="1">
        <v>43207</v>
      </c>
      <c r="AE4134" t="str">
        <f>"SH18002054"</f>
        <v>SH18002054</v>
      </c>
      <c r="AF4134" t="str">
        <f>"משלוחים ללקוח"</f>
        <v>משלוחים ללקוח</v>
      </c>
      <c r="AG4134" s="1">
        <v>43454</v>
      </c>
      <c r="AM4134" t="str">
        <f>"10"</f>
        <v>10</v>
      </c>
      <c r="AN4134" t="str">
        <f>"500000"</f>
        <v>500000</v>
      </c>
      <c r="AO4134" t="str">
        <f>"הכנסות  מלקוחות"</f>
        <v>הכנסות  מלקוחות</v>
      </c>
      <c r="AQ4134" t="str">
        <f>"007"</f>
        <v>007</v>
      </c>
      <c r="AR4134">
        <v>0</v>
      </c>
      <c r="AS4134">
        <v>0</v>
      </c>
      <c r="AT4134">
        <v>3.7570000000000001</v>
      </c>
      <c r="AX4134" t="str">
        <f>"E000259662"</f>
        <v>E000259662</v>
      </c>
      <c r="BD4134" t="str">
        <f>"רוני דידי"</f>
        <v>רוני דידי</v>
      </c>
    </row>
    <row r="4135" spans="1:56" x14ac:dyDescent="0.3">
      <c r="A4135" s="1">
        <v>43454</v>
      </c>
      <c r="B4135" t="str">
        <f>"SI186001560"</f>
        <v>SI186001560</v>
      </c>
      <c r="E4135" t="str">
        <f>"Y"</f>
        <v>Y</v>
      </c>
      <c r="F4135" t="str">
        <f>"חשבוניות מרכזות"</f>
        <v>חשבוניות מרכזות</v>
      </c>
      <c r="G4135" t="str">
        <f>"700065"</f>
        <v>700065</v>
      </c>
      <c r="H4135" t="str">
        <f>"אלתא מערכות בע""מ"</f>
        <v>אלתא מערכות בע"מ</v>
      </c>
      <c r="I4135" t="str">
        <f>"10"</f>
        <v>10</v>
      </c>
      <c r="J4135" t="str">
        <f>"000"</f>
        <v>000</v>
      </c>
      <c r="K4135" t="str">
        <f>"סט אביזרים מכאניים SMV/CSV הכולל:"</f>
        <v>סט אביזרים מכאניים SMV/CSV הכולל:</v>
      </c>
      <c r="L4135">
        <v>1</v>
      </c>
      <c r="M4135" t="str">
        <f>"יח"</f>
        <v>יח</v>
      </c>
      <c r="N4135">
        <v>1</v>
      </c>
      <c r="O4135" t="str">
        <f>"יח"</f>
        <v>יח</v>
      </c>
      <c r="P4135" s="2">
        <v>1395</v>
      </c>
      <c r="Q4135" t="str">
        <f>"$"</f>
        <v>$</v>
      </c>
      <c r="R4135" t="str">
        <f>"הזמנה"</f>
        <v>הזמנה</v>
      </c>
      <c r="S4135">
        <v>0</v>
      </c>
      <c r="T4135" s="2">
        <v>1395</v>
      </c>
      <c r="U4135">
        <v>0</v>
      </c>
      <c r="V4135" s="2">
        <v>1395</v>
      </c>
      <c r="W4135" t="str">
        <f>"$"</f>
        <v>$</v>
      </c>
      <c r="X4135">
        <v>0</v>
      </c>
      <c r="Y4135">
        <v>0</v>
      </c>
      <c r="Z4135">
        <v>0</v>
      </c>
      <c r="AA4135" t="str">
        <f>"Y"</f>
        <v>Y</v>
      </c>
      <c r="AB4135" t="str">
        <f>"SO18000658"</f>
        <v>SO18000658</v>
      </c>
      <c r="AC4135">
        <v>1</v>
      </c>
      <c r="AD4135" s="1">
        <v>43430</v>
      </c>
      <c r="AM4135" t="str">
        <f>"10"</f>
        <v>10</v>
      </c>
      <c r="AN4135" t="str">
        <f>"500000"</f>
        <v>500000</v>
      </c>
      <c r="AO4135" t="str">
        <f>"הכנסות  מלקוחות"</f>
        <v>הכנסות  מלקוחות</v>
      </c>
      <c r="AQ4135" t="str">
        <f>"007"</f>
        <v>007</v>
      </c>
      <c r="AR4135">
        <v>0</v>
      </c>
      <c r="AS4135">
        <v>0</v>
      </c>
      <c r="AT4135">
        <v>3.7570000000000001</v>
      </c>
      <c r="AX4135" t="str">
        <f>"E000262189"</f>
        <v>E000262189</v>
      </c>
      <c r="BD4135" t="str">
        <f>"רוני דידי"</f>
        <v>רוני דידי</v>
      </c>
    </row>
    <row r="4136" spans="1:56" x14ac:dyDescent="0.3">
      <c r="A4136" s="1">
        <v>43453</v>
      </c>
      <c r="B4136" t="str">
        <f>"SI186001555"</f>
        <v>SI186001555</v>
      </c>
      <c r="E4136" t="str">
        <f>"Y"</f>
        <v>Y</v>
      </c>
      <c r="F4136" t="str">
        <f>"חשבוניות מרכזות"</f>
        <v>חשבוניות מרכזות</v>
      </c>
      <c r="G4136" t="str">
        <f>"700065"</f>
        <v>700065</v>
      </c>
      <c r="H4136" t="str">
        <f>"אלתא מערכות בע""מ"</f>
        <v>אלתא מערכות בע"מ</v>
      </c>
      <c r="I4136" t="str">
        <f>"05"</f>
        <v>05</v>
      </c>
      <c r="J4136" t="str">
        <f>"000"</f>
        <v>000</v>
      </c>
      <c r="K4136" t="str">
        <f>"תמיכה בהתקנת המערכת באלתא"</f>
        <v>תמיכה בהתקנת המערכת באלתא</v>
      </c>
      <c r="L4136">
        <v>1</v>
      </c>
      <c r="M4136" t="str">
        <f>"יח"</f>
        <v>יח</v>
      </c>
      <c r="N4136">
        <v>1</v>
      </c>
      <c r="O4136" t="str">
        <f>"יח"</f>
        <v>יח</v>
      </c>
      <c r="P4136" s="2">
        <v>2000</v>
      </c>
      <c r="Q4136" t="str">
        <f>"$"</f>
        <v>$</v>
      </c>
      <c r="R4136" t="str">
        <f>"הזמנה"</f>
        <v>הזמנה</v>
      </c>
      <c r="S4136">
        <v>0</v>
      </c>
      <c r="T4136" s="2">
        <v>2000</v>
      </c>
      <c r="U4136">
        <v>0</v>
      </c>
      <c r="V4136" s="2">
        <v>2000</v>
      </c>
      <c r="W4136" t="str">
        <f>"$"</f>
        <v>$</v>
      </c>
      <c r="X4136">
        <v>0</v>
      </c>
      <c r="Y4136">
        <v>0</v>
      </c>
      <c r="Z4136">
        <v>0</v>
      </c>
      <c r="AA4136" t="str">
        <f>"Y"</f>
        <v>Y</v>
      </c>
      <c r="AB4136" t="str">
        <f>"SO18000279"</f>
        <v>SO18000279</v>
      </c>
      <c r="AC4136">
        <v>3</v>
      </c>
      <c r="AD4136" s="1">
        <v>43226</v>
      </c>
      <c r="AM4136" t="str">
        <f>"10"</f>
        <v>10</v>
      </c>
      <c r="AN4136" t="str">
        <f>"500000"</f>
        <v>500000</v>
      </c>
      <c r="AO4136" t="str">
        <f>"הכנסות  מלקוחות"</f>
        <v>הכנסות  מלקוחות</v>
      </c>
      <c r="AQ4136" t="str">
        <f>"007"</f>
        <v>007</v>
      </c>
      <c r="AR4136">
        <v>0</v>
      </c>
      <c r="AS4136">
        <v>0</v>
      </c>
      <c r="AT4136">
        <v>3.7629999999999999</v>
      </c>
      <c r="AX4136" t="str">
        <f>"E000261104"</f>
        <v>E000261104</v>
      </c>
      <c r="BD4136" t="str">
        <f>"רוני דידי"</f>
        <v>רוני דידי</v>
      </c>
    </row>
    <row r="4137" spans="1:56" x14ac:dyDescent="0.3">
      <c r="A4137" s="1">
        <v>43452</v>
      </c>
      <c r="B4137" t="str">
        <f>"SI186001547"</f>
        <v>SI186001547</v>
      </c>
      <c r="C4137" t="str">
        <f>"PR18000453"</f>
        <v>PR18000453</v>
      </c>
      <c r="D4137" t="str">
        <f>"PR18000453"</f>
        <v>PR18000453</v>
      </c>
      <c r="E4137" t="str">
        <f>"Y"</f>
        <v>Y</v>
      </c>
      <c r="F4137" t="str">
        <f>"חשבוניות מרכזות"</f>
        <v>חשבוניות מרכזות</v>
      </c>
      <c r="G4137" t="str">
        <f>"700065"</f>
        <v>700065</v>
      </c>
      <c r="H4137" t="str">
        <f>"אלתא מערכות בע""מ"</f>
        <v>אלתא מערכות בע"מ</v>
      </c>
      <c r="I4137" t="str">
        <f>"10"</f>
        <v>10</v>
      </c>
      <c r="J4137" t="str">
        <f>"OP-AR01030"</f>
        <v>OP-AR01030</v>
      </c>
      <c r="K4137" t="str">
        <f>"W94-55m DC CABLE   4023N494-001"</f>
        <v>W94-55m DC CABLE   4023N494-001</v>
      </c>
      <c r="L4137">
        <v>4</v>
      </c>
      <c r="M4137" t="str">
        <f>"יח"</f>
        <v>יח</v>
      </c>
      <c r="N4137">
        <v>4</v>
      </c>
      <c r="O4137" t="str">
        <f>"יח"</f>
        <v>יח</v>
      </c>
      <c r="P4137">
        <v>851.45</v>
      </c>
      <c r="Q4137" t="str">
        <f>"$"</f>
        <v>$</v>
      </c>
      <c r="R4137" t="str">
        <f>"הזמנה"</f>
        <v>הזמנה</v>
      </c>
      <c r="S4137">
        <v>0</v>
      </c>
      <c r="T4137" s="2">
        <v>3405.8</v>
      </c>
      <c r="U4137">
        <v>0</v>
      </c>
      <c r="V4137" s="2">
        <v>3405.8</v>
      </c>
      <c r="W4137" t="str">
        <f>"$"</f>
        <v>$</v>
      </c>
      <c r="X4137">
        <v>0</v>
      </c>
      <c r="Y4137">
        <v>0</v>
      </c>
      <c r="Z4137">
        <v>0</v>
      </c>
      <c r="AA4137" t="str">
        <f>"Y"</f>
        <v>Y</v>
      </c>
      <c r="AB4137" t="str">
        <f>"SO18000351"</f>
        <v>SO18000351</v>
      </c>
      <c r="AC4137">
        <v>1</v>
      </c>
      <c r="AD4137" s="1">
        <v>43264</v>
      </c>
      <c r="AE4137" t="str">
        <f>"SH18002006"</f>
        <v>SH18002006</v>
      </c>
      <c r="AF4137" t="str">
        <f>"משלוחים ללקוח"</f>
        <v>משלוחים ללקוח</v>
      </c>
      <c r="AG4137" s="1">
        <v>43446</v>
      </c>
      <c r="AM4137" t="str">
        <f>"10"</f>
        <v>10</v>
      </c>
      <c r="AN4137" t="str">
        <f>"500000"</f>
        <v>500000</v>
      </c>
      <c r="AO4137" t="str">
        <f>"הכנסות  מלקוחות"</f>
        <v>הכנסות  מלקוחות</v>
      </c>
      <c r="AQ4137" t="str">
        <f>"017"</f>
        <v>017</v>
      </c>
      <c r="AR4137">
        <v>0</v>
      </c>
      <c r="AS4137">
        <v>0</v>
      </c>
      <c r="AT4137">
        <v>3.778</v>
      </c>
      <c r="AX4137" t="str">
        <f>"E000262645"</f>
        <v>E000262645</v>
      </c>
      <c r="BD4137" t="str">
        <f>"שחר דאהמן"</f>
        <v>שחר דאהמן</v>
      </c>
    </row>
    <row r="4138" spans="1:56" x14ac:dyDescent="0.3">
      <c r="A4138" s="1">
        <v>43452</v>
      </c>
      <c r="B4138" t="str">
        <f>"SI186001547"</f>
        <v>SI186001547</v>
      </c>
      <c r="C4138" t="str">
        <f>"PR18000453"</f>
        <v>PR18000453</v>
      </c>
      <c r="D4138" t="str">
        <f>"PR18000453"</f>
        <v>PR18000453</v>
      </c>
      <c r="E4138" t="str">
        <f>"Y"</f>
        <v>Y</v>
      </c>
      <c r="F4138" t="str">
        <f>"חשבוניות מרכזות"</f>
        <v>חשבוניות מרכזות</v>
      </c>
      <c r="G4138" t="str">
        <f>"700065"</f>
        <v>700065</v>
      </c>
      <c r="H4138" t="str">
        <f>"אלתא מערכות בע""מ"</f>
        <v>אלתא מערכות בע"מ</v>
      </c>
      <c r="I4138" t="str">
        <f>"10"</f>
        <v>10</v>
      </c>
      <c r="J4138" t="str">
        <f>"OP-AR01029"</f>
        <v>OP-AR01029</v>
      </c>
      <c r="K4138" t="str">
        <f>"W93-55m DC CABLE   4023N493-001"</f>
        <v>W93-55m DC CABLE   4023N493-001</v>
      </c>
      <c r="L4138">
        <v>5</v>
      </c>
      <c r="M4138" t="str">
        <f>"יח"</f>
        <v>יח</v>
      </c>
      <c r="N4138">
        <v>5</v>
      </c>
      <c r="O4138" t="str">
        <f>"יח"</f>
        <v>יח</v>
      </c>
      <c r="P4138">
        <v>851.45</v>
      </c>
      <c r="Q4138" t="str">
        <f>"$"</f>
        <v>$</v>
      </c>
      <c r="R4138" t="str">
        <f>"הזמנה"</f>
        <v>הזמנה</v>
      </c>
      <c r="S4138">
        <v>0</v>
      </c>
      <c r="T4138" s="2">
        <v>4257.25</v>
      </c>
      <c r="U4138">
        <v>0</v>
      </c>
      <c r="V4138" s="2">
        <v>4257.25</v>
      </c>
      <c r="W4138" t="str">
        <f>"$"</f>
        <v>$</v>
      </c>
      <c r="X4138">
        <v>0</v>
      </c>
      <c r="Y4138">
        <v>0</v>
      </c>
      <c r="Z4138">
        <v>0</v>
      </c>
      <c r="AA4138" t="str">
        <f>"Y"</f>
        <v>Y</v>
      </c>
      <c r="AB4138" t="str">
        <f>"SO18000351"</f>
        <v>SO18000351</v>
      </c>
      <c r="AC4138">
        <v>2</v>
      </c>
      <c r="AD4138" s="1">
        <v>43264</v>
      </c>
      <c r="AE4138" t="str">
        <f>"SH18002006"</f>
        <v>SH18002006</v>
      </c>
      <c r="AF4138" t="str">
        <f>"משלוחים ללקוח"</f>
        <v>משלוחים ללקוח</v>
      </c>
      <c r="AG4138" s="1">
        <v>43446</v>
      </c>
      <c r="AM4138" t="str">
        <f>"10"</f>
        <v>10</v>
      </c>
      <c r="AN4138" t="str">
        <f>"500000"</f>
        <v>500000</v>
      </c>
      <c r="AO4138" t="str">
        <f>"הכנסות  מלקוחות"</f>
        <v>הכנסות  מלקוחות</v>
      </c>
      <c r="AQ4138" t="str">
        <f>"017"</f>
        <v>017</v>
      </c>
      <c r="AR4138">
        <v>0</v>
      </c>
      <c r="AS4138">
        <v>0</v>
      </c>
      <c r="AT4138">
        <v>3.778</v>
      </c>
      <c r="AX4138" t="str">
        <f>"E000262645"</f>
        <v>E000262645</v>
      </c>
      <c r="BD4138" t="str">
        <f>"שחר דאהמן"</f>
        <v>שחר דאהמן</v>
      </c>
    </row>
    <row r="4139" spans="1:56" x14ac:dyDescent="0.3">
      <c r="A4139" s="1">
        <v>43444</v>
      </c>
      <c r="B4139" t="str">
        <f>"SI186001492"</f>
        <v>SI186001492</v>
      </c>
      <c r="C4139" t="str">
        <f>"PR18000288"</f>
        <v>PR18000288</v>
      </c>
      <c r="E4139" t="str">
        <f>"Y"</f>
        <v>Y</v>
      </c>
      <c r="F4139" t="str">
        <f>"חשבוניות מרכזות"</f>
        <v>חשבוניות מרכזות</v>
      </c>
      <c r="G4139" t="str">
        <f>"700065"</f>
        <v>700065</v>
      </c>
      <c r="H4139" t="str">
        <f>"אלתא מערכות בע""מ"</f>
        <v>אלתא מערכות בע"מ</v>
      </c>
      <c r="I4139" t="str">
        <f>"10"</f>
        <v>10</v>
      </c>
      <c r="J4139" t="str">
        <f>"OP-AR09107-1"</f>
        <v>OP-AR09107-1</v>
      </c>
      <c r="K4139" t="str">
        <f>"לוח AUX BOX מק""ט לקוח 1036V320 001"</f>
        <v>לוח AUX BOX מק"ט לקוח 1036V320 001</v>
      </c>
      <c r="L4139">
        <v>1</v>
      </c>
      <c r="M4139" t="str">
        <f>"יח"</f>
        <v>יח</v>
      </c>
      <c r="N4139">
        <v>1</v>
      </c>
      <c r="O4139" t="str">
        <f>"יח"</f>
        <v>יח</v>
      </c>
      <c r="P4139" s="2">
        <v>27792</v>
      </c>
      <c r="Q4139" t="str">
        <f>"$"</f>
        <v>$</v>
      </c>
      <c r="R4139" t="str">
        <f>"הזמנה"</f>
        <v>הזמנה</v>
      </c>
      <c r="S4139">
        <v>0</v>
      </c>
      <c r="T4139" s="2">
        <v>27792</v>
      </c>
      <c r="U4139">
        <v>0</v>
      </c>
      <c r="V4139" s="2">
        <v>27792</v>
      </c>
      <c r="W4139" t="str">
        <f>"$"</f>
        <v>$</v>
      </c>
      <c r="X4139">
        <v>0</v>
      </c>
      <c r="Y4139">
        <v>0</v>
      </c>
      <c r="Z4139">
        <v>0</v>
      </c>
      <c r="AA4139" t="str">
        <f>"Y"</f>
        <v>Y</v>
      </c>
      <c r="AB4139" t="str">
        <f>"SO18000235"</f>
        <v>SO18000235</v>
      </c>
      <c r="AC4139">
        <v>1</v>
      </c>
      <c r="AD4139" s="1">
        <v>43207</v>
      </c>
      <c r="AE4139" t="str">
        <f>"SH18001969"</f>
        <v>SH18001969</v>
      </c>
      <c r="AF4139" t="str">
        <f>"משלוחים ללקוח"</f>
        <v>משלוחים ללקוח</v>
      </c>
      <c r="AG4139" s="1">
        <v>43439</v>
      </c>
      <c r="AM4139" t="str">
        <f>"10"</f>
        <v>10</v>
      </c>
      <c r="AN4139" t="str">
        <f>"500000"</f>
        <v>500000</v>
      </c>
      <c r="AO4139" t="str">
        <f>"הכנסות  מלקוחות"</f>
        <v>הכנסות  מלקוחות</v>
      </c>
      <c r="AQ4139" t="str">
        <f>"007"</f>
        <v>007</v>
      </c>
      <c r="AR4139">
        <v>0</v>
      </c>
      <c r="AS4139">
        <v>0</v>
      </c>
      <c r="AT4139">
        <v>3.738</v>
      </c>
      <c r="AX4139" t="str">
        <f>"E000259662"</f>
        <v>E000259662</v>
      </c>
      <c r="BD4139" t="str">
        <f>"רוני דידי"</f>
        <v>רוני דידי</v>
      </c>
    </row>
    <row r="4140" spans="1:56" x14ac:dyDescent="0.3">
      <c r="A4140" s="1">
        <v>43444</v>
      </c>
      <c r="B4140" t="str">
        <f>"SI186001491"</f>
        <v>SI186001491</v>
      </c>
      <c r="C4140" t="str">
        <f>"PR18000297"</f>
        <v>PR18000297</v>
      </c>
      <c r="E4140" t="str">
        <f>"Y"</f>
        <v>Y</v>
      </c>
      <c r="F4140" t="str">
        <f>"חשבוניות מרכזות"</f>
        <v>חשבוניות מרכזות</v>
      </c>
      <c r="G4140" t="str">
        <f>"700065"</f>
        <v>700065</v>
      </c>
      <c r="H4140" t="str">
        <f>"אלתא מערכות בע""מ"</f>
        <v>אלתא מערכות בע"מ</v>
      </c>
      <c r="I4140" t="str">
        <f>"10"</f>
        <v>10</v>
      </c>
      <c r="J4140" t="str">
        <f>"OP-AR09105-1"</f>
        <v>OP-AR09105-1</v>
      </c>
      <c r="K4140" t="str">
        <f>"לוח ARMY מק""ט לקוח 1036V310-001"</f>
        <v>לוח ARMY מק"ט לקוח 1036V310-001</v>
      </c>
      <c r="L4140">
        <v>1</v>
      </c>
      <c r="M4140" t="str">
        <f>"יח"</f>
        <v>יח</v>
      </c>
      <c r="N4140">
        <v>1</v>
      </c>
      <c r="O4140" t="str">
        <f>"יח"</f>
        <v>יח</v>
      </c>
      <c r="P4140" s="2">
        <v>38693</v>
      </c>
      <c r="Q4140" t="str">
        <f>"$"</f>
        <v>$</v>
      </c>
      <c r="R4140" t="str">
        <f>"הזמנה"</f>
        <v>הזמנה</v>
      </c>
      <c r="S4140">
        <v>0</v>
      </c>
      <c r="T4140" s="2">
        <v>38693</v>
      </c>
      <c r="U4140">
        <v>0</v>
      </c>
      <c r="V4140" s="2">
        <v>38693</v>
      </c>
      <c r="W4140" t="str">
        <f>"$"</f>
        <v>$</v>
      </c>
      <c r="X4140">
        <v>0</v>
      </c>
      <c r="Y4140">
        <v>0</v>
      </c>
      <c r="Z4140">
        <v>0</v>
      </c>
      <c r="AA4140" t="str">
        <f>"Y"</f>
        <v>Y</v>
      </c>
      <c r="AB4140" t="str">
        <f>"SO18000235"</f>
        <v>SO18000235</v>
      </c>
      <c r="AC4140">
        <v>3</v>
      </c>
      <c r="AD4140" s="1">
        <v>43207</v>
      </c>
      <c r="AE4140" t="str">
        <f>"SH18001968"</f>
        <v>SH18001968</v>
      </c>
      <c r="AF4140" t="str">
        <f>"משלוחים ללקוח"</f>
        <v>משלוחים ללקוח</v>
      </c>
      <c r="AG4140" s="1">
        <v>43439</v>
      </c>
      <c r="AM4140" t="str">
        <f>"10"</f>
        <v>10</v>
      </c>
      <c r="AN4140" t="str">
        <f>"500000"</f>
        <v>500000</v>
      </c>
      <c r="AO4140" t="str">
        <f>"הכנסות  מלקוחות"</f>
        <v>הכנסות  מלקוחות</v>
      </c>
      <c r="AQ4140" t="str">
        <f>"007"</f>
        <v>007</v>
      </c>
      <c r="AR4140">
        <v>0</v>
      </c>
      <c r="AS4140">
        <v>0</v>
      </c>
      <c r="AT4140">
        <v>3.738</v>
      </c>
      <c r="AX4140" t="str">
        <f>"E000259662"</f>
        <v>E000259662</v>
      </c>
      <c r="BD4140" t="str">
        <f>"רוני דידי"</f>
        <v>רוני דידי</v>
      </c>
    </row>
    <row r="4141" spans="1:56" x14ac:dyDescent="0.3">
      <c r="A4141" s="1">
        <v>43432</v>
      </c>
      <c r="B4141" t="str">
        <f>"SI186001431"</f>
        <v>SI186001431</v>
      </c>
      <c r="C4141" t="str">
        <f>"PR18000678"</f>
        <v>PR18000678</v>
      </c>
      <c r="D4141" t="str">
        <f>"PR18000678"</f>
        <v>PR18000678</v>
      </c>
      <c r="E4141" t="str">
        <f>"Y"</f>
        <v>Y</v>
      </c>
      <c r="F4141" t="str">
        <f>"חשבוניות מרכזות"</f>
        <v>חשבוניות מרכזות</v>
      </c>
      <c r="G4141" t="str">
        <f>"700065"</f>
        <v>700065</v>
      </c>
      <c r="H4141" t="str">
        <f>"אלתא מערכות בע""מ"</f>
        <v>אלתא מערכות בע"מ</v>
      </c>
      <c r="I4141" t="str">
        <f>"10"</f>
        <v>10</v>
      </c>
      <c r="J4141" t="str">
        <f>"OP-AR00454"</f>
        <v>OP-AR00454</v>
      </c>
      <c r="K4141" t="str">
        <f>"PDU 380V/50HZ/3 PH AC POWER BOX"</f>
        <v>PDU 380V/50HZ/3 PH AC POWER BOX</v>
      </c>
      <c r="L4141">
        <v>1</v>
      </c>
      <c r="M4141" t="str">
        <f>"יח"</f>
        <v>יח</v>
      </c>
      <c r="N4141">
        <v>1</v>
      </c>
      <c r="O4141" t="str">
        <f>"יח"</f>
        <v>יח</v>
      </c>
      <c r="P4141" s="2">
        <v>1150</v>
      </c>
      <c r="Q4141" t="str">
        <f>"$"</f>
        <v>$</v>
      </c>
      <c r="R4141" t="str">
        <f>"הזמנה"</f>
        <v>הזמנה</v>
      </c>
      <c r="S4141">
        <v>0</v>
      </c>
      <c r="T4141" s="2">
        <v>1150</v>
      </c>
      <c r="U4141">
        <v>0</v>
      </c>
      <c r="V4141" s="2">
        <v>1150</v>
      </c>
      <c r="W4141" t="str">
        <f>"$"</f>
        <v>$</v>
      </c>
      <c r="X4141">
        <v>0</v>
      </c>
      <c r="Y4141">
        <v>0</v>
      </c>
      <c r="Z4141">
        <v>0</v>
      </c>
      <c r="AA4141" t="str">
        <f>"Y"</f>
        <v>Y</v>
      </c>
      <c r="AB4141" t="str">
        <f>"SO18000548"</f>
        <v>SO18000548</v>
      </c>
      <c r="AC4141">
        <v>1</v>
      </c>
      <c r="AD4141" s="1">
        <v>43376</v>
      </c>
      <c r="AE4141" t="str">
        <f>"SH18001915"</f>
        <v>SH18001915</v>
      </c>
      <c r="AF4141" t="str">
        <f>"משלוחים ללקוח"</f>
        <v>משלוחים ללקוח</v>
      </c>
      <c r="AG4141" s="1">
        <v>43431</v>
      </c>
      <c r="AM4141" t="str">
        <f>"10"</f>
        <v>10</v>
      </c>
      <c r="AN4141" t="str">
        <f>"500000"</f>
        <v>500000</v>
      </c>
      <c r="AO4141" t="str">
        <f>"הכנסות  מלקוחות"</f>
        <v>הכנסות  מלקוחות</v>
      </c>
      <c r="AQ4141" t="str">
        <f>"007"</f>
        <v>007</v>
      </c>
      <c r="AR4141">
        <v>0</v>
      </c>
      <c r="AS4141">
        <v>0</v>
      </c>
      <c r="AT4141">
        <v>3.7330000000000001</v>
      </c>
      <c r="AX4141" t="str">
        <f>"E000269811"</f>
        <v>E000269811</v>
      </c>
      <c r="BD4141" t="str">
        <f>"רוני דידי"</f>
        <v>רוני דידי</v>
      </c>
    </row>
    <row r="4142" spans="1:56" x14ac:dyDescent="0.3">
      <c r="A4142" s="1">
        <v>43432</v>
      </c>
      <c r="B4142" t="str">
        <f>"SI186001431"</f>
        <v>SI186001431</v>
      </c>
      <c r="C4142" t="str">
        <f>"PR18000678"</f>
        <v>PR18000678</v>
      </c>
      <c r="D4142" t="str">
        <f>"PR18000678"</f>
        <v>PR18000678</v>
      </c>
      <c r="E4142" t="str">
        <f>"Y"</f>
        <v>Y</v>
      </c>
      <c r="F4142" t="str">
        <f>"חשבוניות מרכזות"</f>
        <v>חשבוניות מרכזות</v>
      </c>
      <c r="G4142" t="str">
        <f>"700065"</f>
        <v>700065</v>
      </c>
      <c r="H4142" t="str">
        <f>"אלתא מערכות בע""מ"</f>
        <v>אלתא מערכות בע"מ</v>
      </c>
      <c r="I4142" t="str">
        <f>"10"</f>
        <v>10</v>
      </c>
      <c r="J4142" t="str">
        <f>"OP-AR00454"</f>
        <v>OP-AR00454</v>
      </c>
      <c r="K4142" t="str">
        <f>"PDU 380V/50HZ/3 PH AC POWER BOX"</f>
        <v>PDU 380V/50HZ/3 PH AC POWER BOX</v>
      </c>
      <c r="L4142">
        <v>2</v>
      </c>
      <c r="M4142" t="str">
        <f>"יח"</f>
        <v>יח</v>
      </c>
      <c r="N4142">
        <v>2</v>
      </c>
      <c r="O4142" t="str">
        <f>"יח"</f>
        <v>יח</v>
      </c>
      <c r="P4142" s="2">
        <v>1150</v>
      </c>
      <c r="Q4142" t="str">
        <f>"$"</f>
        <v>$</v>
      </c>
      <c r="R4142" t="str">
        <f>"הזמנה"</f>
        <v>הזמנה</v>
      </c>
      <c r="S4142">
        <v>0</v>
      </c>
      <c r="T4142" s="2">
        <v>2300</v>
      </c>
      <c r="U4142">
        <v>0</v>
      </c>
      <c r="V4142" s="2">
        <v>2300</v>
      </c>
      <c r="W4142" t="str">
        <f>"$"</f>
        <v>$</v>
      </c>
      <c r="X4142">
        <v>0</v>
      </c>
      <c r="Y4142">
        <v>0</v>
      </c>
      <c r="Z4142">
        <v>0</v>
      </c>
      <c r="AA4142" t="str">
        <f>"Y"</f>
        <v>Y</v>
      </c>
      <c r="AB4142" t="str">
        <f>"SO18000548"</f>
        <v>SO18000548</v>
      </c>
      <c r="AC4142">
        <v>2</v>
      </c>
      <c r="AD4142" s="1">
        <v>43376</v>
      </c>
      <c r="AE4142" t="str">
        <f>"SH18001915"</f>
        <v>SH18001915</v>
      </c>
      <c r="AF4142" t="str">
        <f>"משלוחים ללקוח"</f>
        <v>משלוחים ללקוח</v>
      </c>
      <c r="AG4142" s="1">
        <v>43431</v>
      </c>
      <c r="AM4142" t="str">
        <f>"10"</f>
        <v>10</v>
      </c>
      <c r="AN4142" t="str">
        <f>"500000"</f>
        <v>500000</v>
      </c>
      <c r="AO4142" t="str">
        <f>"הכנסות  מלקוחות"</f>
        <v>הכנסות  מלקוחות</v>
      </c>
      <c r="AQ4142" t="str">
        <f>"007"</f>
        <v>007</v>
      </c>
      <c r="AR4142">
        <v>0</v>
      </c>
      <c r="AS4142">
        <v>0</v>
      </c>
      <c r="AT4142">
        <v>3.7330000000000001</v>
      </c>
      <c r="AX4142" t="str">
        <f>"E000269811"</f>
        <v>E000269811</v>
      </c>
      <c r="BD4142" t="str">
        <f>"רוני דידי"</f>
        <v>רוני דידי</v>
      </c>
    </row>
    <row r="4143" spans="1:56" x14ac:dyDescent="0.3">
      <c r="A4143" s="1">
        <v>43432</v>
      </c>
      <c r="B4143" t="str">
        <f>"SI186001431"</f>
        <v>SI186001431</v>
      </c>
      <c r="C4143" t="str">
        <f>"PR18000678"</f>
        <v>PR18000678</v>
      </c>
      <c r="D4143" t="str">
        <f>"PR18000678"</f>
        <v>PR18000678</v>
      </c>
      <c r="E4143" t="str">
        <f>"Y"</f>
        <v>Y</v>
      </c>
      <c r="F4143" t="str">
        <f>"חשבוניות מרכזות"</f>
        <v>חשבוניות מרכזות</v>
      </c>
      <c r="G4143" t="str">
        <f>"700065"</f>
        <v>700065</v>
      </c>
      <c r="H4143" t="str">
        <f>"אלתא מערכות בע""מ"</f>
        <v>אלתא מערכות בע"מ</v>
      </c>
      <c r="I4143" t="str">
        <f>"10"</f>
        <v>10</v>
      </c>
      <c r="J4143" t="str">
        <f>"OP-AR00454"</f>
        <v>OP-AR00454</v>
      </c>
      <c r="K4143" t="str">
        <f>"PDU 380V/50HZ/3 PH AC POWER BOX"</f>
        <v>PDU 380V/50HZ/3 PH AC POWER BOX</v>
      </c>
      <c r="L4143">
        <v>1</v>
      </c>
      <c r="M4143" t="str">
        <f>"יח"</f>
        <v>יח</v>
      </c>
      <c r="N4143">
        <v>1</v>
      </c>
      <c r="O4143" t="str">
        <f>"יח"</f>
        <v>יח</v>
      </c>
      <c r="P4143" s="2">
        <v>1150</v>
      </c>
      <c r="Q4143" t="str">
        <f>"$"</f>
        <v>$</v>
      </c>
      <c r="R4143" t="str">
        <f>"הזמנה"</f>
        <v>הזמנה</v>
      </c>
      <c r="S4143">
        <v>0</v>
      </c>
      <c r="T4143" s="2">
        <v>1150</v>
      </c>
      <c r="U4143">
        <v>0</v>
      </c>
      <c r="V4143" s="2">
        <v>1150</v>
      </c>
      <c r="W4143" t="str">
        <f>"$"</f>
        <v>$</v>
      </c>
      <c r="X4143">
        <v>0</v>
      </c>
      <c r="Y4143">
        <v>0</v>
      </c>
      <c r="Z4143">
        <v>0</v>
      </c>
      <c r="AA4143" t="str">
        <f>"Y"</f>
        <v>Y</v>
      </c>
      <c r="AB4143" t="str">
        <f>"SO18000548"</f>
        <v>SO18000548</v>
      </c>
      <c r="AC4143">
        <v>3</v>
      </c>
      <c r="AD4143" s="1">
        <v>43376</v>
      </c>
      <c r="AE4143" t="str">
        <f>"SH18001915"</f>
        <v>SH18001915</v>
      </c>
      <c r="AF4143" t="str">
        <f>"משלוחים ללקוח"</f>
        <v>משלוחים ללקוח</v>
      </c>
      <c r="AG4143" s="1">
        <v>43431</v>
      </c>
      <c r="AM4143" t="str">
        <f>"10"</f>
        <v>10</v>
      </c>
      <c r="AN4143" t="str">
        <f>"500000"</f>
        <v>500000</v>
      </c>
      <c r="AO4143" t="str">
        <f>"הכנסות  מלקוחות"</f>
        <v>הכנסות  מלקוחות</v>
      </c>
      <c r="AQ4143" t="str">
        <f>"007"</f>
        <v>007</v>
      </c>
      <c r="AR4143">
        <v>0</v>
      </c>
      <c r="AS4143">
        <v>0</v>
      </c>
      <c r="AT4143">
        <v>3.7330000000000001</v>
      </c>
      <c r="AX4143" t="str">
        <f>"E000269811"</f>
        <v>E000269811</v>
      </c>
      <c r="BD4143" t="str">
        <f>"רוני דידי"</f>
        <v>רוני דידי</v>
      </c>
    </row>
    <row r="4144" spans="1:56" x14ac:dyDescent="0.3">
      <c r="A4144" s="1">
        <v>43426</v>
      </c>
      <c r="B4144" t="str">
        <f>"SI186001403"</f>
        <v>SI186001403</v>
      </c>
      <c r="C4144" t="str">
        <f>"PR18000062"</f>
        <v>PR18000062</v>
      </c>
      <c r="D4144" t="str">
        <f>"PR18000062"</f>
        <v>PR18000062</v>
      </c>
      <c r="E4144" t="str">
        <f>"Y"</f>
        <v>Y</v>
      </c>
      <c r="F4144" t="str">
        <f>"חשבוניות מרכזות"</f>
        <v>חשבוניות מרכזות</v>
      </c>
      <c r="G4144" t="str">
        <f>"700065"</f>
        <v>700065</v>
      </c>
      <c r="H4144" t="str">
        <f>"אלתא מערכות בע""מ"</f>
        <v>אלתא מערכות בע"מ</v>
      </c>
      <c r="I4144" t="str">
        <f>"10"</f>
        <v>10</v>
      </c>
      <c r="J4144" t="str">
        <f>"OP-AR00883"</f>
        <v>OP-AR00883</v>
      </c>
      <c r="K4144" t="str">
        <f>"כבל חיבור הארקה ב-RU"</f>
        <v>כבל חיבור הארקה ב-RU</v>
      </c>
      <c r="L4144">
        <v>1</v>
      </c>
      <c r="M4144" t="str">
        <f>"יח"</f>
        <v>יח</v>
      </c>
      <c r="N4144">
        <v>1</v>
      </c>
      <c r="O4144" t="str">
        <f>"יח"</f>
        <v>יח</v>
      </c>
      <c r="P4144">
        <v>403</v>
      </c>
      <c r="Q4144" t="str">
        <f>"$"</f>
        <v>$</v>
      </c>
      <c r="R4144" t="str">
        <f>"הזמנה"</f>
        <v>הזמנה</v>
      </c>
      <c r="S4144">
        <v>0</v>
      </c>
      <c r="T4144">
        <v>403</v>
      </c>
      <c r="U4144">
        <v>2</v>
      </c>
      <c r="V4144">
        <v>394.94</v>
      </c>
      <c r="W4144" t="str">
        <f>"$"</f>
        <v>$</v>
      </c>
      <c r="X4144">
        <v>0</v>
      </c>
      <c r="Y4144">
        <v>0</v>
      </c>
      <c r="Z4144">
        <v>0</v>
      </c>
      <c r="AA4144" t="str">
        <f>"Y"</f>
        <v>Y</v>
      </c>
      <c r="AB4144" t="str">
        <f>"SO18000046"</f>
        <v>SO18000046</v>
      </c>
      <c r="AC4144">
        <v>2</v>
      </c>
      <c r="AD4144" s="1">
        <v>43121</v>
      </c>
      <c r="AE4144" t="str">
        <f>"SH18000989"</f>
        <v>SH18000989</v>
      </c>
      <c r="AF4144" t="str">
        <f>"משלוחים ללקוח"</f>
        <v>משלוחים ללקוח</v>
      </c>
      <c r="AG4144" s="1">
        <v>43249</v>
      </c>
      <c r="AM4144" t="str">
        <f>"10"</f>
        <v>10</v>
      </c>
      <c r="AN4144" t="str">
        <f>"500000"</f>
        <v>500000</v>
      </c>
      <c r="AO4144" t="str">
        <f>"הכנסות  מלקוחות"</f>
        <v>הכנסות  מלקוחות</v>
      </c>
      <c r="AQ4144" t="str">
        <f>"007"</f>
        <v>007</v>
      </c>
      <c r="AR4144">
        <v>0</v>
      </c>
      <c r="AS4144">
        <v>0</v>
      </c>
      <c r="AT4144">
        <v>3.7429999999999999</v>
      </c>
      <c r="AX4144" t="str">
        <f>"E000251429"</f>
        <v>E000251429</v>
      </c>
      <c r="BD4144" t="str">
        <f>"רוני דידי"</f>
        <v>רוני דידי</v>
      </c>
    </row>
    <row r="4145" spans="1:56" x14ac:dyDescent="0.3">
      <c r="A4145" s="1">
        <v>43426</v>
      </c>
      <c r="B4145" t="str">
        <f>"SI186001403"</f>
        <v>SI186001403</v>
      </c>
      <c r="C4145" t="str">
        <f>"PR18000062"</f>
        <v>PR18000062</v>
      </c>
      <c r="D4145" t="str">
        <f>"PR18000062"</f>
        <v>PR18000062</v>
      </c>
      <c r="E4145" t="str">
        <f>"Y"</f>
        <v>Y</v>
      </c>
      <c r="F4145" t="str">
        <f>"חשבוניות מרכזות"</f>
        <v>חשבוניות מרכזות</v>
      </c>
      <c r="G4145" t="str">
        <f>"700065"</f>
        <v>700065</v>
      </c>
      <c r="H4145" t="str">
        <f>"אלתא מערכות בע""מ"</f>
        <v>אלתא מערכות בע"מ</v>
      </c>
      <c r="I4145" t="str">
        <f>"10"</f>
        <v>10</v>
      </c>
      <c r="J4145" t="str">
        <f>"OP-AR00884"</f>
        <v>OP-AR00884</v>
      </c>
      <c r="K4145" t="str">
        <f>"כבל 6KVA 400HZ 3X115/220 VAC"</f>
        <v>כבל 6KVA 400HZ 3X115/220 VAC</v>
      </c>
      <c r="L4145">
        <v>1</v>
      </c>
      <c r="M4145" t="str">
        <f>"יח"</f>
        <v>יח</v>
      </c>
      <c r="N4145">
        <v>1</v>
      </c>
      <c r="O4145" t="str">
        <f>"יח"</f>
        <v>יח</v>
      </c>
      <c r="P4145" s="2">
        <v>1157</v>
      </c>
      <c r="Q4145" t="str">
        <f>"$"</f>
        <v>$</v>
      </c>
      <c r="R4145" t="str">
        <f>"הזמנה"</f>
        <v>הזמנה</v>
      </c>
      <c r="S4145">
        <v>0</v>
      </c>
      <c r="T4145" s="2">
        <v>1157</v>
      </c>
      <c r="U4145">
        <v>2</v>
      </c>
      <c r="V4145" s="2">
        <v>1133.8599999999999</v>
      </c>
      <c r="W4145" t="str">
        <f>"$"</f>
        <v>$</v>
      </c>
      <c r="X4145">
        <v>0</v>
      </c>
      <c r="Y4145">
        <v>0</v>
      </c>
      <c r="Z4145">
        <v>0</v>
      </c>
      <c r="AA4145" t="str">
        <f>"Y"</f>
        <v>Y</v>
      </c>
      <c r="AB4145" t="str">
        <f>"SO18000046"</f>
        <v>SO18000046</v>
      </c>
      <c r="AC4145">
        <v>3</v>
      </c>
      <c r="AD4145" s="1">
        <v>43121</v>
      </c>
      <c r="AE4145" t="str">
        <f>"SH18000989"</f>
        <v>SH18000989</v>
      </c>
      <c r="AF4145" t="str">
        <f>"משלוחים ללקוח"</f>
        <v>משלוחים ללקוח</v>
      </c>
      <c r="AG4145" s="1">
        <v>43249</v>
      </c>
      <c r="AM4145" t="str">
        <f>"10"</f>
        <v>10</v>
      </c>
      <c r="AN4145" t="str">
        <f>"500000"</f>
        <v>500000</v>
      </c>
      <c r="AO4145" t="str">
        <f>"הכנסות  מלקוחות"</f>
        <v>הכנסות  מלקוחות</v>
      </c>
      <c r="AQ4145" t="str">
        <f>"007"</f>
        <v>007</v>
      </c>
      <c r="AR4145">
        <v>0</v>
      </c>
      <c r="AS4145">
        <v>0</v>
      </c>
      <c r="AT4145">
        <v>3.7429999999999999</v>
      </c>
      <c r="AX4145" t="str">
        <f>"E000251429"</f>
        <v>E000251429</v>
      </c>
      <c r="BD4145" t="str">
        <f>"רוני דידי"</f>
        <v>רוני דידי</v>
      </c>
    </row>
    <row r="4146" spans="1:56" x14ac:dyDescent="0.3">
      <c r="A4146" s="1">
        <v>43426</v>
      </c>
      <c r="B4146" t="str">
        <f>"SI186001403"</f>
        <v>SI186001403</v>
      </c>
      <c r="C4146" t="str">
        <f>"PR18000062"</f>
        <v>PR18000062</v>
      </c>
      <c r="D4146" t="str">
        <f>"PR18000062"</f>
        <v>PR18000062</v>
      </c>
      <c r="E4146" t="str">
        <f>"Y"</f>
        <v>Y</v>
      </c>
      <c r="F4146" t="str">
        <f>"חשבוניות מרכזות"</f>
        <v>חשבוניות מרכזות</v>
      </c>
      <c r="G4146" t="str">
        <f>"700065"</f>
        <v>700065</v>
      </c>
      <c r="H4146" t="str">
        <f>"אלתא מערכות בע""מ"</f>
        <v>אלתא מערכות בע"מ</v>
      </c>
      <c r="I4146" t="str">
        <f>"10"</f>
        <v>10</v>
      </c>
      <c r="J4146" t="str">
        <f>"OP-AR00885"</f>
        <v>OP-AR00885</v>
      </c>
      <c r="K4146" t="str">
        <f>"כבל  25KWDC POWER -270VDC"</f>
        <v>כבל  25KWDC POWER -270VDC</v>
      </c>
      <c r="L4146">
        <v>1</v>
      </c>
      <c r="M4146" t="str">
        <f>"יח"</f>
        <v>יח</v>
      </c>
      <c r="N4146">
        <v>1</v>
      </c>
      <c r="O4146" t="str">
        <f>"יח"</f>
        <v>יח</v>
      </c>
      <c r="P4146" s="2">
        <v>2540</v>
      </c>
      <c r="Q4146" t="str">
        <f>"$"</f>
        <v>$</v>
      </c>
      <c r="R4146" t="str">
        <f>"הזמנה"</f>
        <v>הזמנה</v>
      </c>
      <c r="S4146">
        <v>0</v>
      </c>
      <c r="T4146" s="2">
        <v>2540</v>
      </c>
      <c r="U4146">
        <v>2</v>
      </c>
      <c r="V4146" s="2">
        <v>2489.1999999999998</v>
      </c>
      <c r="W4146" t="str">
        <f>"$"</f>
        <v>$</v>
      </c>
      <c r="X4146">
        <v>0</v>
      </c>
      <c r="Y4146">
        <v>0</v>
      </c>
      <c r="Z4146">
        <v>0</v>
      </c>
      <c r="AA4146" t="str">
        <f>"Y"</f>
        <v>Y</v>
      </c>
      <c r="AB4146" t="str">
        <f>"SO18000046"</f>
        <v>SO18000046</v>
      </c>
      <c r="AC4146">
        <v>4</v>
      </c>
      <c r="AD4146" s="1">
        <v>43121</v>
      </c>
      <c r="AE4146" t="str">
        <f>"SH18000989"</f>
        <v>SH18000989</v>
      </c>
      <c r="AF4146" t="str">
        <f>"משלוחים ללקוח"</f>
        <v>משלוחים ללקוח</v>
      </c>
      <c r="AG4146" s="1">
        <v>43249</v>
      </c>
      <c r="AM4146" t="str">
        <f>"10"</f>
        <v>10</v>
      </c>
      <c r="AN4146" t="str">
        <f>"500000"</f>
        <v>500000</v>
      </c>
      <c r="AO4146" t="str">
        <f>"הכנסות  מלקוחות"</f>
        <v>הכנסות  מלקוחות</v>
      </c>
      <c r="AQ4146" t="str">
        <f>"007"</f>
        <v>007</v>
      </c>
      <c r="AR4146">
        <v>0</v>
      </c>
      <c r="AS4146">
        <v>0</v>
      </c>
      <c r="AT4146">
        <v>3.7429999999999999</v>
      </c>
      <c r="AX4146" t="str">
        <f>"E000251429"</f>
        <v>E000251429</v>
      </c>
      <c r="BD4146" t="str">
        <f>"רוני דידי"</f>
        <v>רוני דידי</v>
      </c>
    </row>
    <row r="4147" spans="1:56" x14ac:dyDescent="0.3">
      <c r="A4147" s="1">
        <v>43426</v>
      </c>
      <c r="B4147" t="str">
        <f>"SI186001403"</f>
        <v>SI186001403</v>
      </c>
      <c r="C4147" t="str">
        <f>"PR18000062"</f>
        <v>PR18000062</v>
      </c>
      <c r="D4147" t="str">
        <f>"PR18000062"</f>
        <v>PR18000062</v>
      </c>
      <c r="E4147" t="str">
        <f>"Y"</f>
        <v>Y</v>
      </c>
      <c r="F4147" t="str">
        <f>"חשבוניות מרכזות"</f>
        <v>חשבוניות מרכזות</v>
      </c>
      <c r="G4147" t="str">
        <f>"700065"</f>
        <v>700065</v>
      </c>
      <c r="H4147" t="str">
        <f>"אלתא מערכות בע""מ"</f>
        <v>אלתא מערכות בע"מ</v>
      </c>
      <c r="I4147" t="str">
        <f>"10"</f>
        <v>10</v>
      </c>
      <c r="J4147" t="str">
        <f>"OP-AR00886"</f>
        <v>OP-AR00886</v>
      </c>
      <c r="K4147" t="str">
        <f>"כבל 30KVA 50/400HZ 3X235/405 VAC"</f>
        <v>כבל 30KVA 50/400HZ 3X235/405 VAC</v>
      </c>
      <c r="L4147">
        <v>1</v>
      </c>
      <c r="M4147" t="str">
        <f>"יח"</f>
        <v>יח</v>
      </c>
      <c r="N4147">
        <v>1</v>
      </c>
      <c r="O4147" t="str">
        <f>"יח"</f>
        <v>יח</v>
      </c>
      <c r="P4147" s="2">
        <v>1385</v>
      </c>
      <c r="Q4147" t="str">
        <f>"$"</f>
        <v>$</v>
      </c>
      <c r="R4147" t="str">
        <f>"הזמנה"</f>
        <v>הזמנה</v>
      </c>
      <c r="S4147">
        <v>0</v>
      </c>
      <c r="T4147" s="2">
        <v>1385</v>
      </c>
      <c r="U4147">
        <v>2</v>
      </c>
      <c r="V4147" s="2">
        <v>1357.3</v>
      </c>
      <c r="W4147" t="str">
        <f>"$"</f>
        <v>$</v>
      </c>
      <c r="X4147">
        <v>0</v>
      </c>
      <c r="Y4147">
        <v>0</v>
      </c>
      <c r="Z4147">
        <v>0</v>
      </c>
      <c r="AA4147" t="str">
        <f>"Y"</f>
        <v>Y</v>
      </c>
      <c r="AB4147" t="str">
        <f>"SO18000046"</f>
        <v>SO18000046</v>
      </c>
      <c r="AC4147">
        <v>5</v>
      </c>
      <c r="AD4147" s="1">
        <v>43121</v>
      </c>
      <c r="AE4147" t="str">
        <f>"SH18000989"</f>
        <v>SH18000989</v>
      </c>
      <c r="AF4147" t="str">
        <f>"משלוחים ללקוח"</f>
        <v>משלוחים ללקוח</v>
      </c>
      <c r="AG4147" s="1">
        <v>43249</v>
      </c>
      <c r="AM4147" t="str">
        <f>"10"</f>
        <v>10</v>
      </c>
      <c r="AN4147" t="str">
        <f>"500000"</f>
        <v>500000</v>
      </c>
      <c r="AO4147" t="str">
        <f>"הכנסות  מלקוחות"</f>
        <v>הכנסות  מלקוחות</v>
      </c>
      <c r="AQ4147" t="str">
        <f>"007"</f>
        <v>007</v>
      </c>
      <c r="AR4147">
        <v>0</v>
      </c>
      <c r="AS4147">
        <v>0</v>
      </c>
      <c r="AT4147">
        <v>3.7429999999999999</v>
      </c>
      <c r="AX4147" t="str">
        <f>"E000251429"</f>
        <v>E000251429</v>
      </c>
      <c r="BD4147" t="str">
        <f>"רוני דידי"</f>
        <v>רוני דידי</v>
      </c>
    </row>
    <row r="4148" spans="1:56" x14ac:dyDescent="0.3">
      <c r="A4148" s="1">
        <v>43425</v>
      </c>
      <c r="B4148" t="str">
        <f>"SI186001423"</f>
        <v>SI186001423</v>
      </c>
      <c r="C4148" t="str">
        <f>"PR16000867"</f>
        <v>PR16000867</v>
      </c>
      <c r="D4148" t="str">
        <f>"PR16000867"</f>
        <v>PR16000867</v>
      </c>
      <c r="E4148" t="str">
        <f>"Y"</f>
        <v>Y</v>
      </c>
      <c r="F4148" t="str">
        <f>"חשבוניות מרכזות"</f>
        <v>חשבוניות מרכזות</v>
      </c>
      <c r="G4148" t="str">
        <f>"700065"</f>
        <v>700065</v>
      </c>
      <c r="H4148" t="str">
        <f>"אלתא מערכות בע""מ"</f>
        <v>אלתא מערכות בע"מ</v>
      </c>
      <c r="I4148" t="str">
        <f>"10"</f>
        <v>10</v>
      </c>
      <c r="J4148" t="str">
        <f>"OP-AR00420"</f>
        <v>OP-AR00420</v>
      </c>
      <c r="K4148" t="str">
        <f>"CONTROL BOX 1037N840-001"</f>
        <v>CONTROL BOX 1037N840-001</v>
      </c>
      <c r="L4148">
        <v>1</v>
      </c>
      <c r="M4148" t="str">
        <f>"יח"</f>
        <v>יח</v>
      </c>
      <c r="N4148">
        <v>1</v>
      </c>
      <c r="O4148" t="str">
        <f>"יח"</f>
        <v>יח</v>
      </c>
      <c r="P4148" s="2">
        <v>4709.25</v>
      </c>
      <c r="Q4148" t="str">
        <f>"$"</f>
        <v>$</v>
      </c>
      <c r="R4148" t="str">
        <f>"הזמנה"</f>
        <v>הזמנה</v>
      </c>
      <c r="S4148">
        <v>0</v>
      </c>
      <c r="T4148" s="2">
        <v>4709.25</v>
      </c>
      <c r="U4148">
        <v>0</v>
      </c>
      <c r="V4148" s="2">
        <v>4709.25</v>
      </c>
      <c r="W4148" t="str">
        <f>"$"</f>
        <v>$</v>
      </c>
      <c r="X4148">
        <v>0</v>
      </c>
      <c r="Y4148">
        <v>0</v>
      </c>
      <c r="Z4148">
        <v>0</v>
      </c>
      <c r="AA4148" t="str">
        <f>"Y"</f>
        <v>Y</v>
      </c>
      <c r="AB4148" t="str">
        <f>"SO160000648"</f>
        <v>SO160000648</v>
      </c>
      <c r="AC4148">
        <v>1</v>
      </c>
      <c r="AD4148" s="1">
        <v>42618</v>
      </c>
      <c r="AE4148" t="str">
        <f>"SH18001859"</f>
        <v>SH18001859</v>
      </c>
      <c r="AF4148" t="str">
        <f>"משלוחים ללקוח"</f>
        <v>משלוחים ללקוח</v>
      </c>
      <c r="AG4148" s="1">
        <v>43424</v>
      </c>
      <c r="AM4148" t="str">
        <f>"10"</f>
        <v>10</v>
      </c>
      <c r="AN4148" t="str">
        <f>"500000"</f>
        <v>500000</v>
      </c>
      <c r="AO4148" t="str">
        <f>"הכנסות  מלקוחות"</f>
        <v>הכנסות  מלקוחות</v>
      </c>
      <c r="AQ4148" t="str">
        <f>"007"</f>
        <v>007</v>
      </c>
      <c r="AR4148">
        <v>0</v>
      </c>
      <c r="AS4148">
        <v>0</v>
      </c>
      <c r="AT4148">
        <v>3.7429999999999999</v>
      </c>
      <c r="AX4148" t="str">
        <f>"E000224314"</f>
        <v>E000224314</v>
      </c>
      <c r="BD4148" t="str">
        <f>"רוני דידי"</f>
        <v>רוני דידי</v>
      </c>
    </row>
    <row r="4149" spans="1:56" x14ac:dyDescent="0.3">
      <c r="A4149" s="1">
        <v>43425</v>
      </c>
      <c r="B4149" t="str">
        <f>"SI186001406"</f>
        <v>SI186001406</v>
      </c>
      <c r="C4149" t="str">
        <f>"PR18000530"</f>
        <v>PR18000530</v>
      </c>
      <c r="D4149" t="str">
        <f>"PR18000530"</f>
        <v>PR18000530</v>
      </c>
      <c r="E4149" t="str">
        <f>"Y"</f>
        <v>Y</v>
      </c>
      <c r="F4149" t="str">
        <f>"חשבוניות מרכזות"</f>
        <v>חשבוניות מרכזות</v>
      </c>
      <c r="G4149" t="str">
        <f>"700065"</f>
        <v>700065</v>
      </c>
      <c r="H4149" t="str">
        <f>"אלתא מערכות בע""מ"</f>
        <v>אלתא מערכות בע"מ</v>
      </c>
      <c r="I4149" t="str">
        <f>"10"</f>
        <v>10</v>
      </c>
      <c r="J4149" t="str">
        <f>"OP-AR00467"</f>
        <v>OP-AR00467</v>
      </c>
      <c r="K4149" t="str">
        <f>"AC PCU CONTROL BOX"</f>
        <v>AC PCU CONTROL BOX</v>
      </c>
      <c r="L4149">
        <v>1</v>
      </c>
      <c r="M4149" t="str">
        <f>"יח"</f>
        <v>יח</v>
      </c>
      <c r="N4149">
        <v>1</v>
      </c>
      <c r="O4149" t="str">
        <f>"יח"</f>
        <v>יח</v>
      </c>
      <c r="P4149" s="2">
        <v>4050</v>
      </c>
      <c r="Q4149" t="str">
        <f>"$"</f>
        <v>$</v>
      </c>
      <c r="R4149" t="str">
        <f>"הזמנה"</f>
        <v>הזמנה</v>
      </c>
      <c r="S4149">
        <v>0</v>
      </c>
      <c r="T4149" s="2">
        <v>4050</v>
      </c>
      <c r="U4149">
        <v>0</v>
      </c>
      <c r="V4149" s="2">
        <v>4050</v>
      </c>
      <c r="W4149" t="str">
        <f>"$"</f>
        <v>$</v>
      </c>
      <c r="X4149">
        <v>0</v>
      </c>
      <c r="Y4149">
        <v>0</v>
      </c>
      <c r="Z4149">
        <v>0</v>
      </c>
      <c r="AA4149" t="str">
        <f>"Y"</f>
        <v>Y</v>
      </c>
      <c r="AB4149" t="str">
        <f>"SO18000418"</f>
        <v>SO18000418</v>
      </c>
      <c r="AC4149">
        <v>1</v>
      </c>
      <c r="AD4149" s="1">
        <v>43299</v>
      </c>
      <c r="AE4149" t="str">
        <f>"SH18001862"</f>
        <v>SH18001862</v>
      </c>
      <c r="AF4149" t="str">
        <f>"משלוחים ללקוח"</f>
        <v>משלוחים ללקוח</v>
      </c>
      <c r="AG4149" s="1">
        <v>43424</v>
      </c>
      <c r="AM4149" t="str">
        <f>"10"</f>
        <v>10</v>
      </c>
      <c r="AN4149" t="str">
        <f>"500000"</f>
        <v>500000</v>
      </c>
      <c r="AO4149" t="str">
        <f>"הכנסות  מלקוחות"</f>
        <v>הכנסות  מלקוחות</v>
      </c>
      <c r="AQ4149" t="str">
        <f>"007"</f>
        <v>007</v>
      </c>
      <c r="AR4149">
        <v>0</v>
      </c>
      <c r="AS4149">
        <v>0</v>
      </c>
      <c r="AT4149">
        <v>3.7429999999999999</v>
      </c>
      <c r="AX4149" t="str">
        <f>"E000266520"</f>
        <v>E000266520</v>
      </c>
      <c r="BD4149" t="str">
        <f>"רוני דידי"</f>
        <v>רוני דידי</v>
      </c>
    </row>
    <row r="4150" spans="1:56" x14ac:dyDescent="0.3">
      <c r="A4150" s="1">
        <v>43425</v>
      </c>
      <c r="B4150" t="str">
        <f>"SI186001405"</f>
        <v>SI186001405</v>
      </c>
      <c r="C4150" t="str">
        <f>"PR17001533"</f>
        <v>PR17001533</v>
      </c>
      <c r="D4150" t="str">
        <f>"PR17001533"</f>
        <v>PR17001533</v>
      </c>
      <c r="E4150" t="str">
        <f>"Y"</f>
        <v>Y</v>
      </c>
      <c r="F4150" t="str">
        <f>"חשבוניות מרכזות"</f>
        <v>חשבוניות מרכזות</v>
      </c>
      <c r="G4150" t="str">
        <f>"700065"</f>
        <v>700065</v>
      </c>
      <c r="H4150" t="str">
        <f>"אלתא מערכות בע""מ"</f>
        <v>אלתא מערכות בע"מ</v>
      </c>
      <c r="I4150" t="str">
        <f>"10"</f>
        <v>10</v>
      </c>
      <c r="J4150" t="str">
        <f>"OP-AR00559"</f>
        <v>OP-AR00559</v>
      </c>
      <c r="K4150" t="str">
        <f>"Remote Control Box 1038N250-001"</f>
        <v>Remote Control Box 1038N250-001</v>
      </c>
      <c r="L4150">
        <v>1</v>
      </c>
      <c r="M4150" t="str">
        <f>"יח"</f>
        <v>יח</v>
      </c>
      <c r="N4150">
        <v>1</v>
      </c>
      <c r="O4150" t="str">
        <f>"יח"</f>
        <v>יח</v>
      </c>
      <c r="P4150" s="2">
        <v>4601</v>
      </c>
      <c r="Q4150" t="str">
        <f>"$"</f>
        <v>$</v>
      </c>
      <c r="R4150" t="str">
        <f>"הזמנה"</f>
        <v>הזמנה</v>
      </c>
      <c r="S4150">
        <v>0</v>
      </c>
      <c r="T4150" s="2">
        <v>4601</v>
      </c>
      <c r="U4150">
        <v>0</v>
      </c>
      <c r="V4150" s="2">
        <v>4601</v>
      </c>
      <c r="W4150" t="str">
        <f>"$"</f>
        <v>$</v>
      </c>
      <c r="X4150">
        <v>0</v>
      </c>
      <c r="Y4150">
        <v>0</v>
      </c>
      <c r="Z4150">
        <v>0</v>
      </c>
      <c r="AA4150" t="str">
        <f>"Y"</f>
        <v>Y</v>
      </c>
      <c r="AB4150" t="str">
        <f>"SO17000195"</f>
        <v>SO17000195</v>
      </c>
      <c r="AC4150">
        <v>3</v>
      </c>
      <c r="AD4150" s="1">
        <v>42803</v>
      </c>
      <c r="AE4150" t="str">
        <f>"SH18001861"</f>
        <v>SH18001861</v>
      </c>
      <c r="AF4150" t="str">
        <f>"משלוחים ללקוח"</f>
        <v>משלוחים ללקוח</v>
      </c>
      <c r="AG4150" s="1">
        <v>43424</v>
      </c>
      <c r="AM4150" t="str">
        <f>"10"</f>
        <v>10</v>
      </c>
      <c r="AN4150" t="str">
        <f>"500000"</f>
        <v>500000</v>
      </c>
      <c r="AO4150" t="str">
        <f>"הכנסות  מלקוחות"</f>
        <v>הכנסות  מלקוחות</v>
      </c>
      <c r="AQ4150" t="str">
        <f>"007"</f>
        <v>007</v>
      </c>
      <c r="AR4150">
        <v>0</v>
      </c>
      <c r="AS4150">
        <v>0</v>
      </c>
      <c r="AT4150">
        <v>3.7429999999999999</v>
      </c>
      <c r="AX4150" t="str">
        <f>"E000234665"</f>
        <v>E000234665</v>
      </c>
      <c r="BD4150" t="str">
        <f>"רוני דידי"</f>
        <v>רוני דידי</v>
      </c>
    </row>
    <row r="4151" spans="1:56" x14ac:dyDescent="0.3">
      <c r="A4151" s="1">
        <v>43413</v>
      </c>
      <c r="B4151" t="str">
        <f>"SI186001422"</f>
        <v>SI186001422</v>
      </c>
      <c r="E4151" t="str">
        <f>"Y"</f>
        <v>Y</v>
      </c>
      <c r="F4151" t="str">
        <f>"חשבוניות מרכזות"</f>
        <v>חשבוניות מרכזות</v>
      </c>
      <c r="G4151" t="str">
        <f>"700065"</f>
        <v>700065</v>
      </c>
      <c r="H4151" t="str">
        <f>"אלתא מערכות בע""מ"</f>
        <v>אלתא מערכות בע"מ</v>
      </c>
      <c r="I4151" t="str">
        <f>"10"</f>
        <v>10</v>
      </c>
      <c r="J4151" t="str">
        <f>"000"</f>
        <v>000</v>
      </c>
      <c r="K4151" t="str">
        <f>"התקנת מערכת כוח באתר פיליפיני"</f>
        <v>התקנת מערכת כוח באתר פיליפיני</v>
      </c>
      <c r="L4151">
        <v>1</v>
      </c>
      <c r="M4151" t="str">
        <f>"יח"</f>
        <v>יח</v>
      </c>
      <c r="N4151">
        <v>1</v>
      </c>
      <c r="O4151" t="str">
        <f>"יח"</f>
        <v>יח</v>
      </c>
      <c r="P4151" s="2">
        <v>30000</v>
      </c>
      <c r="Q4151" t="str">
        <f>"$"</f>
        <v>$</v>
      </c>
      <c r="R4151" t="str">
        <f>"הזמנה"</f>
        <v>הזמנה</v>
      </c>
      <c r="S4151">
        <v>0</v>
      </c>
      <c r="T4151" s="2">
        <v>30000</v>
      </c>
      <c r="U4151">
        <v>0</v>
      </c>
      <c r="V4151" s="2">
        <v>30000</v>
      </c>
      <c r="W4151" t="str">
        <f>"$"</f>
        <v>$</v>
      </c>
      <c r="X4151">
        <v>0</v>
      </c>
      <c r="Y4151">
        <v>0</v>
      </c>
      <c r="Z4151">
        <v>0</v>
      </c>
      <c r="AA4151" t="str">
        <f>"Y"</f>
        <v>Y</v>
      </c>
      <c r="AB4151" t="str">
        <f>"SO18000637"</f>
        <v>SO18000637</v>
      </c>
      <c r="AC4151">
        <v>1</v>
      </c>
      <c r="AD4151" s="1">
        <v>43419</v>
      </c>
      <c r="AM4151" t="str">
        <f>"10"</f>
        <v>10</v>
      </c>
      <c r="AN4151" t="str">
        <f>"500000"</f>
        <v>500000</v>
      </c>
      <c r="AO4151" t="str">
        <f>"הכנסות  מלקוחות"</f>
        <v>הכנסות  מלקוחות</v>
      </c>
      <c r="AQ4151" t="str">
        <f>"007"</f>
        <v>007</v>
      </c>
      <c r="AR4151">
        <v>0</v>
      </c>
      <c r="AS4151">
        <v>0</v>
      </c>
      <c r="AT4151">
        <v>3.6829999999999998</v>
      </c>
      <c r="AX4151" t="str">
        <f>"E000272778"</f>
        <v>E000272778</v>
      </c>
      <c r="BD4151" t="str">
        <f>"רוני דידי"</f>
        <v>רוני דידי</v>
      </c>
    </row>
    <row r="4152" spans="1:56" x14ac:dyDescent="0.3">
      <c r="A4152" s="1">
        <v>43410</v>
      </c>
      <c r="B4152" t="str">
        <f>"SI186001340"</f>
        <v>SI186001340</v>
      </c>
      <c r="C4152" t="str">
        <f>"PR16000776"</f>
        <v>PR16000776</v>
      </c>
      <c r="D4152" t="str">
        <f>"PR16000776"</f>
        <v>PR16000776</v>
      </c>
      <c r="E4152" t="str">
        <f>"Y"</f>
        <v>Y</v>
      </c>
      <c r="F4152" t="str">
        <f>"חשבוניות מרכזות"</f>
        <v>חשבוניות מרכזות</v>
      </c>
      <c r="G4152" t="str">
        <f>"700065"</f>
        <v>700065</v>
      </c>
      <c r="H4152" t="str">
        <f>"אלתא מערכות בע""מ"</f>
        <v>אלתא מערכות בע"מ</v>
      </c>
      <c r="I4152" t="str">
        <f>"10"</f>
        <v>10</v>
      </c>
      <c r="J4152" t="str">
        <f>"000"</f>
        <v>000</v>
      </c>
      <c r="K4152" t="str">
        <f>"NRE FOR RPS"</f>
        <v>NRE FOR RPS</v>
      </c>
      <c r="L4152">
        <v>1</v>
      </c>
      <c r="M4152" t="str">
        <f>"יח"</f>
        <v>יח</v>
      </c>
      <c r="N4152">
        <v>1</v>
      </c>
      <c r="O4152" t="str">
        <f>"יח"</f>
        <v>יח</v>
      </c>
      <c r="P4152" s="2">
        <v>8000</v>
      </c>
      <c r="Q4152" t="str">
        <f>"$"</f>
        <v>$</v>
      </c>
      <c r="R4152" t="str">
        <f>"הזמנה"</f>
        <v>הזמנה</v>
      </c>
      <c r="S4152">
        <v>0</v>
      </c>
      <c r="T4152" s="2">
        <v>8000</v>
      </c>
      <c r="U4152">
        <v>0</v>
      </c>
      <c r="V4152" s="2">
        <v>8000</v>
      </c>
      <c r="W4152" t="str">
        <f>"$"</f>
        <v>$</v>
      </c>
      <c r="X4152">
        <v>0</v>
      </c>
      <c r="Y4152">
        <v>0</v>
      </c>
      <c r="Z4152">
        <v>0</v>
      </c>
      <c r="AA4152" t="str">
        <f>"Y"</f>
        <v>Y</v>
      </c>
      <c r="AB4152" t="str">
        <f>"SO160000582"</f>
        <v>SO160000582</v>
      </c>
      <c r="AC4152">
        <v>1</v>
      </c>
      <c r="AD4152" s="1">
        <v>42590</v>
      </c>
      <c r="AM4152" t="str">
        <f>"10"</f>
        <v>10</v>
      </c>
      <c r="AN4152" t="str">
        <f>"500000"</f>
        <v>500000</v>
      </c>
      <c r="AO4152" t="str">
        <f>"הכנסות  מלקוחות"</f>
        <v>הכנסות  מלקוחות</v>
      </c>
      <c r="AQ4152" t="str">
        <f>"007"</f>
        <v>007</v>
      </c>
      <c r="AR4152">
        <v>0</v>
      </c>
      <c r="AS4152">
        <v>0</v>
      </c>
      <c r="AT4152">
        <v>3.7</v>
      </c>
      <c r="AX4152" t="str">
        <f>"E000221675"</f>
        <v>E000221675</v>
      </c>
      <c r="BD4152" t="str">
        <f>"רוני דידי"</f>
        <v>רוני דידי</v>
      </c>
    </row>
    <row r="4153" spans="1:56" x14ac:dyDescent="0.3">
      <c r="A4153" s="1">
        <v>43405</v>
      </c>
      <c r="B4153" t="str">
        <f>"SI186001325"</f>
        <v>SI186001325</v>
      </c>
      <c r="E4153" t="str">
        <f>"Y"</f>
        <v>Y</v>
      </c>
      <c r="F4153" t="str">
        <f>"חשבוניות מרכזות"</f>
        <v>חשבוניות מרכזות</v>
      </c>
      <c r="G4153" t="str">
        <f>"700065"</f>
        <v>700065</v>
      </c>
      <c r="H4153" t="str">
        <f>"אלתא מערכות בע""מ"</f>
        <v>אלתא מערכות בע"מ</v>
      </c>
      <c r="I4153" t="str">
        <f>"05"</f>
        <v>05</v>
      </c>
      <c r="J4153" t="str">
        <f>"OP-PS00112"</f>
        <v>OP-PS00112</v>
      </c>
      <c r="K4153" t="str">
        <f>"RADAR POWER SYSTEM 1039R555-001"</f>
        <v>RADAR POWER SYSTEM 1039R555-001</v>
      </c>
      <c r="L4153">
        <v>2</v>
      </c>
      <c r="M4153" t="str">
        <f>"יח"</f>
        <v>יח</v>
      </c>
      <c r="N4153">
        <v>2</v>
      </c>
      <c r="O4153" t="str">
        <f>"יח"</f>
        <v>יח</v>
      </c>
      <c r="P4153" s="2">
        <v>203000</v>
      </c>
      <c r="Q4153" t="str">
        <f>"$"</f>
        <v>$</v>
      </c>
      <c r="R4153" t="str">
        <f>"הזמנה"</f>
        <v>הזמנה</v>
      </c>
      <c r="S4153">
        <v>0</v>
      </c>
      <c r="T4153" s="2">
        <v>406000</v>
      </c>
      <c r="U4153">
        <v>0</v>
      </c>
      <c r="V4153" s="2">
        <v>406000</v>
      </c>
      <c r="W4153" t="str">
        <f>"$"</f>
        <v>$</v>
      </c>
      <c r="X4153">
        <v>0</v>
      </c>
      <c r="Y4153">
        <v>0</v>
      </c>
      <c r="Z4153">
        <v>0</v>
      </c>
      <c r="AA4153" t="str">
        <f>"Y"</f>
        <v>Y</v>
      </c>
      <c r="AB4153" t="str">
        <f>"SO18000279"</f>
        <v>SO18000279</v>
      </c>
      <c r="AC4153">
        <v>1</v>
      </c>
      <c r="AD4153" s="1">
        <v>43226</v>
      </c>
      <c r="AE4153" t="str">
        <f>"SH18001908"</f>
        <v>SH18001908</v>
      </c>
      <c r="AF4153" t="str">
        <f>"משלוחים ללקוח"</f>
        <v>משלוחים ללקוח</v>
      </c>
      <c r="AG4153" s="1">
        <v>43431</v>
      </c>
      <c r="AM4153" t="str">
        <f>"10"</f>
        <v>10</v>
      </c>
      <c r="AN4153" t="str">
        <f>"500000"</f>
        <v>500000</v>
      </c>
      <c r="AO4153" t="str">
        <f>"הכנסות  מלקוחות"</f>
        <v>הכנסות  מלקוחות</v>
      </c>
      <c r="AQ4153" t="str">
        <f>"007"</f>
        <v>007</v>
      </c>
      <c r="AR4153">
        <v>0</v>
      </c>
      <c r="AS4153">
        <v>0</v>
      </c>
      <c r="AT4153">
        <v>3.7210000000000001</v>
      </c>
      <c r="AX4153" t="str">
        <f>"E000261104"</f>
        <v>E000261104</v>
      </c>
      <c r="BD4153" t="str">
        <f>"רוני דידי"</f>
        <v>רוני דידי</v>
      </c>
    </row>
    <row r="4154" spans="1:56" x14ac:dyDescent="0.3">
      <c r="A4154" s="1">
        <v>43404</v>
      </c>
      <c r="B4154" t="str">
        <f>"SI186001402"</f>
        <v>SI186001402</v>
      </c>
      <c r="C4154" t="str">
        <f>"PR18000062"</f>
        <v>PR18000062</v>
      </c>
      <c r="E4154" t="str">
        <f>"Y"</f>
        <v>Y</v>
      </c>
      <c r="F4154" t="str">
        <f>"חשבוניות מרכזות"</f>
        <v>חשבוניות מרכזות</v>
      </c>
      <c r="G4154" t="str">
        <f>"700065"</f>
        <v>700065</v>
      </c>
      <c r="H4154" t="str">
        <f>"אלתא מערכות בע""מ"</f>
        <v>אלתא מערכות בע"מ</v>
      </c>
      <c r="I4154" t="str">
        <f>"10"</f>
        <v>10</v>
      </c>
      <c r="J4154" t="str">
        <f>"OP-AR00883"</f>
        <v>OP-AR00883</v>
      </c>
      <c r="K4154" t="str">
        <f>"כבל חיבור הארקה ב-RU"</f>
        <v>כבל חיבור הארקה ב-RU</v>
      </c>
      <c r="L4154">
        <v>-1</v>
      </c>
      <c r="M4154" t="str">
        <f>"יח"</f>
        <v>יח</v>
      </c>
      <c r="N4154">
        <v>-1</v>
      </c>
      <c r="O4154" t="str">
        <f>"יח"</f>
        <v>יח</v>
      </c>
      <c r="P4154">
        <v>403</v>
      </c>
      <c r="Q4154" t="str">
        <f>"$"</f>
        <v>$</v>
      </c>
      <c r="R4154" t="str">
        <f>"הזמנה"</f>
        <v>הזמנה</v>
      </c>
      <c r="S4154">
        <v>0</v>
      </c>
      <c r="T4154">
        <v>-403</v>
      </c>
      <c r="U4154">
        <v>2</v>
      </c>
      <c r="V4154">
        <v>-394.94</v>
      </c>
      <c r="W4154" t="str">
        <f>"$"</f>
        <v>$</v>
      </c>
      <c r="X4154">
        <v>0</v>
      </c>
      <c r="Y4154">
        <v>0</v>
      </c>
      <c r="Z4154">
        <v>0</v>
      </c>
      <c r="AA4154" t="str">
        <f>"Y"</f>
        <v>Y</v>
      </c>
      <c r="AC4154">
        <v>0</v>
      </c>
      <c r="AM4154" t="str">
        <f>"10"</f>
        <v>10</v>
      </c>
      <c r="AN4154" t="str">
        <f>"500000"</f>
        <v>500000</v>
      </c>
      <c r="AO4154" t="str">
        <f>"הכנסות  מלקוחות"</f>
        <v>הכנסות  מלקוחות</v>
      </c>
      <c r="AQ4154" t="str">
        <f>"007"</f>
        <v>007</v>
      </c>
      <c r="AR4154">
        <v>0</v>
      </c>
      <c r="AS4154">
        <v>0</v>
      </c>
      <c r="AT4154">
        <v>3.5939999999999999</v>
      </c>
      <c r="BB4154" t="str">
        <f>"Y"</f>
        <v>Y</v>
      </c>
      <c r="BD4154" t="str">
        <f>"רוני דידי"</f>
        <v>רוני דידי</v>
      </c>
    </row>
    <row r="4155" spans="1:56" x14ac:dyDescent="0.3">
      <c r="A4155" s="1">
        <v>43404</v>
      </c>
      <c r="B4155" t="str">
        <f>"SI186001402"</f>
        <v>SI186001402</v>
      </c>
      <c r="C4155" t="str">
        <f>"PR18000062"</f>
        <v>PR18000062</v>
      </c>
      <c r="E4155" t="str">
        <f>"Y"</f>
        <v>Y</v>
      </c>
      <c r="F4155" t="str">
        <f>"חשבוניות מרכזות"</f>
        <v>חשבוניות מרכזות</v>
      </c>
      <c r="G4155" t="str">
        <f>"700065"</f>
        <v>700065</v>
      </c>
      <c r="H4155" t="str">
        <f>"אלתא מערכות בע""מ"</f>
        <v>אלתא מערכות בע"מ</v>
      </c>
      <c r="I4155" t="str">
        <f>"10"</f>
        <v>10</v>
      </c>
      <c r="J4155" t="str">
        <f>"OP-AR00884"</f>
        <v>OP-AR00884</v>
      </c>
      <c r="K4155" t="str">
        <f>"כבל 6KVA 400HZ 3X115/220 VAC"</f>
        <v>כבל 6KVA 400HZ 3X115/220 VAC</v>
      </c>
      <c r="L4155">
        <v>-1</v>
      </c>
      <c r="M4155" t="str">
        <f>"יח"</f>
        <v>יח</v>
      </c>
      <c r="N4155">
        <v>-1</v>
      </c>
      <c r="O4155" t="str">
        <f>"יח"</f>
        <v>יח</v>
      </c>
      <c r="P4155" s="2">
        <v>1157</v>
      </c>
      <c r="Q4155" t="str">
        <f>"$"</f>
        <v>$</v>
      </c>
      <c r="R4155" t="str">
        <f>"הזמנה"</f>
        <v>הזמנה</v>
      </c>
      <c r="S4155">
        <v>0</v>
      </c>
      <c r="T4155" s="2">
        <v>-1157</v>
      </c>
      <c r="U4155">
        <v>2</v>
      </c>
      <c r="V4155" s="2">
        <v>-1133.8599999999999</v>
      </c>
      <c r="W4155" t="str">
        <f>"$"</f>
        <v>$</v>
      </c>
      <c r="X4155">
        <v>0</v>
      </c>
      <c r="Y4155">
        <v>0</v>
      </c>
      <c r="Z4155">
        <v>0</v>
      </c>
      <c r="AA4155" t="str">
        <f>"Y"</f>
        <v>Y</v>
      </c>
      <c r="AC4155">
        <v>0</v>
      </c>
      <c r="AM4155" t="str">
        <f>"10"</f>
        <v>10</v>
      </c>
      <c r="AN4155" t="str">
        <f>"500000"</f>
        <v>500000</v>
      </c>
      <c r="AO4155" t="str">
        <f>"הכנסות  מלקוחות"</f>
        <v>הכנסות  מלקוחות</v>
      </c>
      <c r="AQ4155" t="str">
        <f>"007"</f>
        <v>007</v>
      </c>
      <c r="AR4155">
        <v>0</v>
      </c>
      <c r="AS4155">
        <v>0</v>
      </c>
      <c r="AT4155">
        <v>3.5939999999999999</v>
      </c>
      <c r="BB4155" t="str">
        <f>"Y"</f>
        <v>Y</v>
      </c>
      <c r="BD4155" t="str">
        <f>"רוני דידי"</f>
        <v>רוני דידי</v>
      </c>
    </row>
    <row r="4156" spans="1:56" x14ac:dyDescent="0.3">
      <c r="A4156" s="1">
        <v>43404</v>
      </c>
      <c r="B4156" t="str">
        <f>"SI186001402"</f>
        <v>SI186001402</v>
      </c>
      <c r="C4156" t="str">
        <f>"PR18000062"</f>
        <v>PR18000062</v>
      </c>
      <c r="E4156" t="str">
        <f>"Y"</f>
        <v>Y</v>
      </c>
      <c r="F4156" t="str">
        <f>"חשבוניות מרכזות"</f>
        <v>חשבוניות מרכזות</v>
      </c>
      <c r="G4156" t="str">
        <f>"700065"</f>
        <v>700065</v>
      </c>
      <c r="H4156" t="str">
        <f>"אלתא מערכות בע""מ"</f>
        <v>אלתא מערכות בע"מ</v>
      </c>
      <c r="I4156" t="str">
        <f>"10"</f>
        <v>10</v>
      </c>
      <c r="J4156" t="str">
        <f>"OP-AR00885"</f>
        <v>OP-AR00885</v>
      </c>
      <c r="K4156" t="str">
        <f>"כבל  25KWDC POWER -270VDC"</f>
        <v>כבל  25KWDC POWER -270VDC</v>
      </c>
      <c r="L4156">
        <v>-1</v>
      </c>
      <c r="M4156" t="str">
        <f>"יח"</f>
        <v>יח</v>
      </c>
      <c r="N4156">
        <v>-1</v>
      </c>
      <c r="O4156" t="str">
        <f>"יח"</f>
        <v>יח</v>
      </c>
      <c r="P4156" s="2">
        <v>2540</v>
      </c>
      <c r="Q4156" t="str">
        <f>"$"</f>
        <v>$</v>
      </c>
      <c r="R4156" t="str">
        <f>"הזמנה"</f>
        <v>הזמנה</v>
      </c>
      <c r="S4156">
        <v>0</v>
      </c>
      <c r="T4156" s="2">
        <v>-2540</v>
      </c>
      <c r="U4156">
        <v>2</v>
      </c>
      <c r="V4156" s="2">
        <v>-2489.1999999999998</v>
      </c>
      <c r="W4156" t="str">
        <f>"$"</f>
        <v>$</v>
      </c>
      <c r="X4156">
        <v>0</v>
      </c>
      <c r="Y4156">
        <v>0</v>
      </c>
      <c r="Z4156">
        <v>0</v>
      </c>
      <c r="AA4156" t="str">
        <f>"Y"</f>
        <v>Y</v>
      </c>
      <c r="AC4156">
        <v>0</v>
      </c>
      <c r="AM4156" t="str">
        <f>"10"</f>
        <v>10</v>
      </c>
      <c r="AN4156" t="str">
        <f>"500000"</f>
        <v>500000</v>
      </c>
      <c r="AO4156" t="str">
        <f>"הכנסות  מלקוחות"</f>
        <v>הכנסות  מלקוחות</v>
      </c>
      <c r="AQ4156" t="str">
        <f>"007"</f>
        <v>007</v>
      </c>
      <c r="AR4156">
        <v>0</v>
      </c>
      <c r="AS4156">
        <v>0</v>
      </c>
      <c r="AT4156">
        <v>3.5939999999999999</v>
      </c>
      <c r="BB4156" t="str">
        <f>"Y"</f>
        <v>Y</v>
      </c>
      <c r="BD4156" t="str">
        <f>"רוני דידי"</f>
        <v>רוני דידי</v>
      </c>
    </row>
    <row r="4157" spans="1:56" x14ac:dyDescent="0.3">
      <c r="A4157" s="1">
        <v>43404</v>
      </c>
      <c r="B4157" t="str">
        <f>"SI186001402"</f>
        <v>SI186001402</v>
      </c>
      <c r="C4157" t="str">
        <f>"PR18000062"</f>
        <v>PR18000062</v>
      </c>
      <c r="E4157" t="str">
        <f>"Y"</f>
        <v>Y</v>
      </c>
      <c r="F4157" t="str">
        <f>"חשבוניות מרכזות"</f>
        <v>חשבוניות מרכזות</v>
      </c>
      <c r="G4157" t="str">
        <f>"700065"</f>
        <v>700065</v>
      </c>
      <c r="H4157" t="str">
        <f>"אלתא מערכות בע""מ"</f>
        <v>אלתא מערכות בע"מ</v>
      </c>
      <c r="I4157" t="str">
        <f>"10"</f>
        <v>10</v>
      </c>
      <c r="J4157" t="str">
        <f>"OP-AR00886"</f>
        <v>OP-AR00886</v>
      </c>
      <c r="K4157" t="str">
        <f>"כבל 30KVA 50/400HZ 3X235/405 VAC"</f>
        <v>כבל 30KVA 50/400HZ 3X235/405 VAC</v>
      </c>
      <c r="L4157">
        <v>-1</v>
      </c>
      <c r="M4157" t="str">
        <f>"יח"</f>
        <v>יח</v>
      </c>
      <c r="N4157">
        <v>-1</v>
      </c>
      <c r="O4157" t="str">
        <f>"יח"</f>
        <v>יח</v>
      </c>
      <c r="P4157" s="2">
        <v>1385</v>
      </c>
      <c r="Q4157" t="str">
        <f>"$"</f>
        <v>$</v>
      </c>
      <c r="R4157" t="str">
        <f>"הזמנה"</f>
        <v>הזמנה</v>
      </c>
      <c r="S4157">
        <v>0</v>
      </c>
      <c r="T4157" s="2">
        <v>-1385</v>
      </c>
      <c r="U4157">
        <v>2</v>
      </c>
      <c r="V4157" s="2">
        <v>-1357.3</v>
      </c>
      <c r="W4157" t="str">
        <f>"$"</f>
        <v>$</v>
      </c>
      <c r="X4157">
        <v>0</v>
      </c>
      <c r="Y4157">
        <v>0</v>
      </c>
      <c r="Z4157">
        <v>0</v>
      </c>
      <c r="AA4157" t="str">
        <f>"Y"</f>
        <v>Y</v>
      </c>
      <c r="AC4157">
        <v>0</v>
      </c>
      <c r="AM4157" t="str">
        <f>"10"</f>
        <v>10</v>
      </c>
      <c r="AN4157" t="str">
        <f>"500000"</f>
        <v>500000</v>
      </c>
      <c r="AO4157" t="str">
        <f>"הכנסות  מלקוחות"</f>
        <v>הכנסות  מלקוחות</v>
      </c>
      <c r="AQ4157" t="str">
        <f>"007"</f>
        <v>007</v>
      </c>
      <c r="AR4157">
        <v>0</v>
      </c>
      <c r="AS4157">
        <v>0</v>
      </c>
      <c r="AT4157">
        <v>3.5939999999999999</v>
      </c>
      <c r="BB4157" t="str">
        <f>"Y"</f>
        <v>Y</v>
      </c>
      <c r="BD4157" t="str">
        <f>"רוני דידי"</f>
        <v>רוני דידי</v>
      </c>
    </row>
    <row r="4158" spans="1:56" x14ac:dyDescent="0.3">
      <c r="A4158" s="1">
        <v>43384</v>
      </c>
      <c r="B4158" t="str">
        <f>"SI186001219"</f>
        <v>SI186001219</v>
      </c>
      <c r="C4158" t="str">
        <f>"PR15003502"</f>
        <v>PR15003502</v>
      </c>
      <c r="E4158" t="str">
        <f>"Y"</f>
        <v>Y</v>
      </c>
      <c r="F4158" t="str">
        <f>"חשבוניות מרכזות"</f>
        <v>חשבוניות מרכזות</v>
      </c>
      <c r="G4158" t="str">
        <f>"700065"</f>
        <v>700065</v>
      </c>
      <c r="H4158" t="str">
        <f>"אלתא מערכות בע""מ"</f>
        <v>אלתא מערכות בע"מ</v>
      </c>
      <c r="I4158" t="str">
        <f>"10"</f>
        <v>10</v>
      </c>
      <c r="J4158" t="str">
        <f>"OP-AR09105"</f>
        <v>OP-AR09105</v>
      </c>
      <c r="K4158" t="str">
        <f>"לוח LB-PDB מק""ט לקוח 1026L310-002"</f>
        <v>לוח LB-PDB מק"ט לקוח 1026L310-002</v>
      </c>
      <c r="L4158">
        <v>1</v>
      </c>
      <c r="M4158" t="str">
        <f>"יח"</f>
        <v>יח</v>
      </c>
      <c r="N4158">
        <v>1</v>
      </c>
      <c r="O4158" t="str">
        <f>"יח"</f>
        <v>יח</v>
      </c>
      <c r="P4158" s="2">
        <v>25450</v>
      </c>
      <c r="Q4158" t="str">
        <f>"$"</f>
        <v>$</v>
      </c>
      <c r="R4158" t="str">
        <f>"הזמנה"</f>
        <v>הזמנה</v>
      </c>
      <c r="S4158">
        <v>0</v>
      </c>
      <c r="T4158" s="2">
        <v>25450</v>
      </c>
      <c r="U4158">
        <v>0</v>
      </c>
      <c r="V4158" s="2">
        <v>25450</v>
      </c>
      <c r="W4158" t="str">
        <f>"$"</f>
        <v>$</v>
      </c>
      <c r="X4158">
        <v>0</v>
      </c>
      <c r="Y4158">
        <v>0</v>
      </c>
      <c r="Z4158">
        <v>0</v>
      </c>
      <c r="AA4158" t="str">
        <f>"Y"</f>
        <v>Y</v>
      </c>
      <c r="AB4158" t="str">
        <f>"SO12T000001"</f>
        <v>SO12T000001</v>
      </c>
      <c r="AC4158">
        <v>42</v>
      </c>
      <c r="AD4158" s="1">
        <v>41256</v>
      </c>
      <c r="AE4158" t="str">
        <f>"SH18001639"</f>
        <v>SH18001639</v>
      </c>
      <c r="AF4158" t="str">
        <f>"משלוחים ללקוח"</f>
        <v>משלוחים ללקוח</v>
      </c>
      <c r="AG4158" s="1">
        <v>43380</v>
      </c>
      <c r="AM4158" t="str">
        <f>"10"</f>
        <v>10</v>
      </c>
      <c r="AN4158" t="str">
        <f>"500000"</f>
        <v>500000</v>
      </c>
      <c r="AO4158" t="str">
        <f>"הכנסות  מלקוחות"</f>
        <v>הכנסות  מלקוחות</v>
      </c>
      <c r="AQ4158" t="str">
        <f>"007"</f>
        <v>007</v>
      </c>
      <c r="AR4158">
        <v>0</v>
      </c>
      <c r="AS4158">
        <v>0</v>
      </c>
      <c r="AT4158">
        <v>3.6259999999999999</v>
      </c>
      <c r="AX4158" t="str">
        <f>"E000093662"</f>
        <v>E000093662</v>
      </c>
      <c r="BD4158" t="str">
        <f>"רוני דידי"</f>
        <v>רוני דידי</v>
      </c>
    </row>
    <row r="4159" spans="1:56" x14ac:dyDescent="0.3">
      <c r="A4159" s="1">
        <v>43384</v>
      </c>
      <c r="B4159" t="str">
        <f>"SI186001219"</f>
        <v>SI186001219</v>
      </c>
      <c r="C4159" t="str">
        <f>"PR15003502"</f>
        <v>PR15003502</v>
      </c>
      <c r="E4159" t="str">
        <f>"Y"</f>
        <v>Y</v>
      </c>
      <c r="F4159" t="str">
        <f>"חשבוניות מרכזות"</f>
        <v>חשבוניות מרכזות</v>
      </c>
      <c r="G4159" t="str">
        <f>"700065"</f>
        <v>700065</v>
      </c>
      <c r="H4159" t="str">
        <f>"אלתא מערכות בע""מ"</f>
        <v>אלתא מערכות בע"מ</v>
      </c>
      <c r="I4159" t="str">
        <f>"10"</f>
        <v>10</v>
      </c>
      <c r="J4159" t="str">
        <f>"OP-AR09105"</f>
        <v>OP-AR09105</v>
      </c>
      <c r="K4159" t="str">
        <f>"לוח LB-PDB מק""ט לקוח 1026L310-002"</f>
        <v>לוח LB-PDB מק"ט לקוח 1026L310-002</v>
      </c>
      <c r="L4159">
        <v>1</v>
      </c>
      <c r="M4159" t="str">
        <f>"יח"</f>
        <v>יח</v>
      </c>
      <c r="N4159">
        <v>1</v>
      </c>
      <c r="O4159" t="str">
        <f>"יח"</f>
        <v>יח</v>
      </c>
      <c r="P4159" s="2">
        <v>25450</v>
      </c>
      <c r="Q4159" t="str">
        <f>"$"</f>
        <v>$</v>
      </c>
      <c r="R4159" t="str">
        <f>"הזמנה"</f>
        <v>הזמנה</v>
      </c>
      <c r="S4159">
        <v>0</v>
      </c>
      <c r="T4159" s="2">
        <v>25450</v>
      </c>
      <c r="U4159">
        <v>0</v>
      </c>
      <c r="V4159" s="2">
        <v>25450</v>
      </c>
      <c r="W4159" t="str">
        <f>"$"</f>
        <v>$</v>
      </c>
      <c r="X4159">
        <v>0</v>
      </c>
      <c r="Y4159">
        <v>0</v>
      </c>
      <c r="Z4159">
        <v>0</v>
      </c>
      <c r="AA4159" t="str">
        <f>"Y"</f>
        <v>Y</v>
      </c>
      <c r="AB4159" t="str">
        <f>"SO12T000001"</f>
        <v>SO12T000001</v>
      </c>
      <c r="AC4159">
        <v>47</v>
      </c>
      <c r="AD4159" s="1">
        <v>41256</v>
      </c>
      <c r="AE4159" t="str">
        <f>"SH18001639"</f>
        <v>SH18001639</v>
      </c>
      <c r="AF4159" t="str">
        <f>"משלוחים ללקוח"</f>
        <v>משלוחים ללקוח</v>
      </c>
      <c r="AG4159" s="1">
        <v>43380</v>
      </c>
      <c r="AM4159" t="str">
        <f>"10"</f>
        <v>10</v>
      </c>
      <c r="AN4159" t="str">
        <f>"500000"</f>
        <v>500000</v>
      </c>
      <c r="AO4159" t="str">
        <f>"הכנסות  מלקוחות"</f>
        <v>הכנסות  מלקוחות</v>
      </c>
      <c r="AQ4159" t="str">
        <f>"007"</f>
        <v>007</v>
      </c>
      <c r="AR4159">
        <v>0</v>
      </c>
      <c r="AS4159">
        <v>0</v>
      </c>
      <c r="AT4159">
        <v>3.6259999999999999</v>
      </c>
      <c r="AX4159" t="str">
        <f>"E000093662"</f>
        <v>E000093662</v>
      </c>
      <c r="BD4159" t="str">
        <f>"רוני דידי"</f>
        <v>רוני דידי</v>
      </c>
    </row>
    <row r="4160" spans="1:56" x14ac:dyDescent="0.3">
      <c r="A4160" s="1">
        <v>43383</v>
      </c>
      <c r="B4160" t="str">
        <f>"SI186001213"</f>
        <v>SI186001213</v>
      </c>
      <c r="C4160" t="str">
        <f>"PR18000454"</f>
        <v>PR18000454</v>
      </c>
      <c r="E4160" t="str">
        <f>"Y"</f>
        <v>Y</v>
      </c>
      <c r="F4160" t="str">
        <f>"חשבוניות מרכזות"</f>
        <v>חשבוניות מרכזות</v>
      </c>
      <c r="G4160" t="str">
        <f>"700065"</f>
        <v>700065</v>
      </c>
      <c r="H4160" t="str">
        <f>"אלתא מערכות בע""מ"</f>
        <v>אלתא מערכות בע"מ</v>
      </c>
      <c r="I4160" t="str">
        <f>"10"</f>
        <v>10</v>
      </c>
      <c r="J4160" t="str">
        <f>"OP-AR00454"</f>
        <v>OP-AR00454</v>
      </c>
      <c r="K4160" t="str">
        <f>"PDU 380V/50HZ/3 PH AC POWER BOX"</f>
        <v>PDU 380V/50HZ/3 PH AC POWER BOX</v>
      </c>
      <c r="L4160">
        <v>1</v>
      </c>
      <c r="M4160" t="str">
        <f>"יח"</f>
        <v>יח</v>
      </c>
      <c r="N4160">
        <v>1</v>
      </c>
      <c r="O4160" t="str">
        <f>"יח"</f>
        <v>יח</v>
      </c>
      <c r="P4160" s="2">
        <v>1150</v>
      </c>
      <c r="Q4160" t="str">
        <f>"$"</f>
        <v>$</v>
      </c>
      <c r="R4160" t="str">
        <f>"הזמנה"</f>
        <v>הזמנה</v>
      </c>
      <c r="S4160">
        <v>0</v>
      </c>
      <c r="T4160" s="2">
        <v>1150</v>
      </c>
      <c r="U4160">
        <v>0</v>
      </c>
      <c r="V4160" s="2">
        <v>1150</v>
      </c>
      <c r="W4160" t="str">
        <f>"$"</f>
        <v>$</v>
      </c>
      <c r="X4160">
        <v>0</v>
      </c>
      <c r="Y4160">
        <v>0</v>
      </c>
      <c r="Z4160">
        <v>0</v>
      </c>
      <c r="AA4160" t="str">
        <f>"Y"</f>
        <v>Y</v>
      </c>
      <c r="AB4160" t="str">
        <f>"SO18000342"</f>
        <v>SO18000342</v>
      </c>
      <c r="AC4160">
        <v>1</v>
      </c>
      <c r="AD4160" s="1">
        <v>43262</v>
      </c>
      <c r="AE4160" t="str">
        <f>"SH18001656"</f>
        <v>SH18001656</v>
      </c>
      <c r="AF4160" t="str">
        <f>"משלוחים ללקוח"</f>
        <v>משלוחים ללקוח</v>
      </c>
      <c r="AG4160" s="1">
        <v>43382</v>
      </c>
      <c r="AM4160" t="str">
        <f>"10"</f>
        <v>10</v>
      </c>
      <c r="AN4160" t="str">
        <f>"500000"</f>
        <v>500000</v>
      </c>
      <c r="AO4160" t="str">
        <f>"הכנסות  מלקוחות"</f>
        <v>הכנסות  מלקוחות</v>
      </c>
      <c r="AQ4160" t="str">
        <f>"007"</f>
        <v>007</v>
      </c>
      <c r="AR4160">
        <v>0</v>
      </c>
      <c r="AS4160">
        <v>0</v>
      </c>
      <c r="AT4160">
        <v>3.6419999999999999</v>
      </c>
      <c r="AX4160" t="str">
        <f>"E000264099"</f>
        <v>E000264099</v>
      </c>
      <c r="BD4160" t="str">
        <f>"רוני דידי"</f>
        <v>רוני דידי</v>
      </c>
    </row>
    <row r="4161" spans="1:56" x14ac:dyDescent="0.3">
      <c r="A4161" s="1">
        <v>43383</v>
      </c>
      <c r="B4161" t="str">
        <f>"SI186001212"</f>
        <v>SI186001212</v>
      </c>
      <c r="C4161" t="str">
        <f>"PR18000540"</f>
        <v>PR18000540</v>
      </c>
      <c r="D4161" t="str">
        <f>"PR18000540"</f>
        <v>PR18000540</v>
      </c>
      <c r="E4161" t="str">
        <f>"Y"</f>
        <v>Y</v>
      </c>
      <c r="F4161" t="str">
        <f>"חשבוניות מרכזות"</f>
        <v>חשבוניות מרכזות</v>
      </c>
      <c r="G4161" t="str">
        <f>"700065"</f>
        <v>700065</v>
      </c>
      <c r="H4161" t="str">
        <f>"אלתא מערכות בע""מ"</f>
        <v>אלתא מערכות בע"מ</v>
      </c>
      <c r="I4161" t="str">
        <f>"10"</f>
        <v>10</v>
      </c>
      <c r="J4161" t="str">
        <f>"OP-AR00467"</f>
        <v>OP-AR00467</v>
      </c>
      <c r="K4161" t="str">
        <f>"AC PCU CONTROL BOX"</f>
        <v>AC PCU CONTROL BOX</v>
      </c>
      <c r="L4161">
        <v>1</v>
      </c>
      <c r="M4161" t="str">
        <f>"יח"</f>
        <v>יח</v>
      </c>
      <c r="N4161">
        <v>1</v>
      </c>
      <c r="O4161" t="str">
        <f>"יח"</f>
        <v>יח</v>
      </c>
      <c r="P4161" s="2">
        <v>4050</v>
      </c>
      <c r="Q4161" t="str">
        <f>"$"</f>
        <v>$</v>
      </c>
      <c r="R4161" t="str">
        <f>"הזמנה"</f>
        <v>הזמנה</v>
      </c>
      <c r="S4161">
        <v>0</v>
      </c>
      <c r="T4161" s="2">
        <v>4050</v>
      </c>
      <c r="U4161">
        <v>0</v>
      </c>
      <c r="V4161" s="2">
        <v>4050</v>
      </c>
      <c r="W4161" t="str">
        <f>"$"</f>
        <v>$</v>
      </c>
      <c r="X4161">
        <v>0</v>
      </c>
      <c r="Y4161">
        <v>0</v>
      </c>
      <c r="Z4161">
        <v>0</v>
      </c>
      <c r="AA4161" t="str">
        <f>"Y"</f>
        <v>Y</v>
      </c>
      <c r="AB4161" t="str">
        <f>"SO18000384"</f>
        <v>SO18000384</v>
      </c>
      <c r="AC4161">
        <v>1</v>
      </c>
      <c r="AD4161" s="1">
        <v>43282</v>
      </c>
      <c r="AE4161" t="str">
        <f>"SH18001655"</f>
        <v>SH18001655</v>
      </c>
      <c r="AF4161" t="str">
        <f>"משלוחים ללקוח"</f>
        <v>משלוחים ללקוח</v>
      </c>
      <c r="AG4161" s="1">
        <v>43382</v>
      </c>
      <c r="AM4161" t="str">
        <f>"10"</f>
        <v>10</v>
      </c>
      <c r="AN4161" t="str">
        <f>"500000"</f>
        <v>500000</v>
      </c>
      <c r="AO4161" t="str">
        <f>"הכנסות  מלקוחות"</f>
        <v>הכנסות  מלקוחות</v>
      </c>
      <c r="AQ4161" t="str">
        <f>"007"</f>
        <v>007</v>
      </c>
      <c r="AR4161">
        <v>0</v>
      </c>
      <c r="AS4161">
        <v>0</v>
      </c>
      <c r="AT4161">
        <v>3.6419999999999999</v>
      </c>
      <c r="AX4161" t="str">
        <f>"E000264754"</f>
        <v>E000264754</v>
      </c>
      <c r="BD4161" t="str">
        <f>"רוני דידי"</f>
        <v>רוני דידי</v>
      </c>
    </row>
    <row r="4162" spans="1:56" x14ac:dyDescent="0.3">
      <c r="A4162" s="1">
        <v>43382</v>
      </c>
      <c r="B4162" t="str">
        <f>"SI186001194"</f>
        <v>SI186001194</v>
      </c>
      <c r="C4162" t="str">
        <f>"PR17001533"</f>
        <v>PR17001533</v>
      </c>
      <c r="D4162" t="str">
        <f>"PR17001533"</f>
        <v>PR17001533</v>
      </c>
      <c r="E4162" t="str">
        <f>"Y"</f>
        <v>Y</v>
      </c>
      <c r="F4162" t="str">
        <f>"חשבוניות מרכזות"</f>
        <v>חשבוניות מרכזות</v>
      </c>
      <c r="G4162" t="str">
        <f>"700065"</f>
        <v>700065</v>
      </c>
      <c r="H4162" t="str">
        <f>"אלתא מערכות בע""מ"</f>
        <v>אלתא מערכות בע"מ</v>
      </c>
      <c r="I4162" t="str">
        <f>"10"</f>
        <v>10</v>
      </c>
      <c r="J4162" t="str">
        <f>"OP-AR00559"</f>
        <v>OP-AR00559</v>
      </c>
      <c r="K4162" t="str">
        <f>"Remote Control Box 1038N250-001"</f>
        <v>Remote Control Box 1038N250-001</v>
      </c>
      <c r="L4162">
        <v>1</v>
      </c>
      <c r="M4162" t="str">
        <f>"יח"</f>
        <v>יח</v>
      </c>
      <c r="N4162">
        <v>1</v>
      </c>
      <c r="O4162" t="str">
        <f>"יח"</f>
        <v>יח</v>
      </c>
      <c r="P4162" s="2">
        <v>4601</v>
      </c>
      <c r="Q4162" t="str">
        <f>"$"</f>
        <v>$</v>
      </c>
      <c r="R4162" t="str">
        <f>"הזמנה"</f>
        <v>הזמנה</v>
      </c>
      <c r="S4162">
        <v>0</v>
      </c>
      <c r="T4162" s="2">
        <v>4601</v>
      </c>
      <c r="U4162">
        <v>0</v>
      </c>
      <c r="V4162" s="2">
        <v>4601</v>
      </c>
      <c r="W4162" t="str">
        <f>"$"</f>
        <v>$</v>
      </c>
      <c r="X4162">
        <v>0</v>
      </c>
      <c r="Y4162">
        <v>0</v>
      </c>
      <c r="Z4162">
        <v>0</v>
      </c>
      <c r="AA4162" t="str">
        <f>"Y"</f>
        <v>Y</v>
      </c>
      <c r="AB4162" t="str">
        <f>"SO17000195"</f>
        <v>SO17000195</v>
      </c>
      <c r="AC4162">
        <v>1</v>
      </c>
      <c r="AD4162" s="1">
        <v>42803</v>
      </c>
      <c r="AE4162" t="str">
        <f>"SH18001651"</f>
        <v>SH18001651</v>
      </c>
      <c r="AF4162" t="str">
        <f>"משלוחים ללקוח"</f>
        <v>משלוחים ללקוח</v>
      </c>
      <c r="AG4162" s="1">
        <v>43381</v>
      </c>
      <c r="AM4162" t="str">
        <f>"10"</f>
        <v>10</v>
      </c>
      <c r="AN4162" t="str">
        <f>"500000"</f>
        <v>500000</v>
      </c>
      <c r="AO4162" t="str">
        <f>"הכנסות  מלקוחות"</f>
        <v>הכנסות  מלקוחות</v>
      </c>
      <c r="AQ4162" t="str">
        <f>"007"</f>
        <v>007</v>
      </c>
      <c r="AR4162">
        <v>0</v>
      </c>
      <c r="AS4162">
        <v>0</v>
      </c>
      <c r="AT4162">
        <v>3.62</v>
      </c>
      <c r="AX4162" t="str">
        <f>"E000234665"</f>
        <v>E000234665</v>
      </c>
      <c r="BD4162" t="str">
        <f>"רוני דידי"</f>
        <v>רוני דידי</v>
      </c>
    </row>
    <row r="4163" spans="1:56" x14ac:dyDescent="0.3">
      <c r="A4163" s="1">
        <v>43382</v>
      </c>
      <c r="B4163" t="str">
        <f>"SI186001194"</f>
        <v>SI186001194</v>
      </c>
      <c r="C4163" t="str">
        <f>"PR17001533"</f>
        <v>PR17001533</v>
      </c>
      <c r="D4163" t="str">
        <f>"PR17001533"</f>
        <v>PR17001533</v>
      </c>
      <c r="E4163" t="str">
        <f>"Y"</f>
        <v>Y</v>
      </c>
      <c r="F4163" t="str">
        <f>"חשבוניות מרכזות"</f>
        <v>חשבוניות מרכזות</v>
      </c>
      <c r="G4163" t="str">
        <f>"700065"</f>
        <v>700065</v>
      </c>
      <c r="H4163" t="str">
        <f>"אלתא מערכות בע""מ"</f>
        <v>אלתא מערכות בע"מ</v>
      </c>
      <c r="I4163" t="str">
        <f>"10"</f>
        <v>10</v>
      </c>
      <c r="J4163" t="str">
        <f>"OP-AR00559"</f>
        <v>OP-AR00559</v>
      </c>
      <c r="K4163" t="str">
        <f>"Remote Control Box 1038N250-001"</f>
        <v>Remote Control Box 1038N250-001</v>
      </c>
      <c r="L4163">
        <v>4</v>
      </c>
      <c r="M4163" t="str">
        <f>"יח"</f>
        <v>יח</v>
      </c>
      <c r="N4163">
        <v>4</v>
      </c>
      <c r="O4163" t="str">
        <f>"יח"</f>
        <v>יח</v>
      </c>
      <c r="P4163" s="2">
        <v>4601</v>
      </c>
      <c r="Q4163" t="str">
        <f>"$"</f>
        <v>$</v>
      </c>
      <c r="R4163" t="str">
        <f>"הזמנה"</f>
        <v>הזמנה</v>
      </c>
      <c r="S4163">
        <v>0</v>
      </c>
      <c r="T4163" s="2">
        <v>18404</v>
      </c>
      <c r="U4163">
        <v>0</v>
      </c>
      <c r="V4163" s="2">
        <v>18404</v>
      </c>
      <c r="W4163" t="str">
        <f>"$"</f>
        <v>$</v>
      </c>
      <c r="X4163">
        <v>0</v>
      </c>
      <c r="Y4163">
        <v>0</v>
      </c>
      <c r="Z4163">
        <v>0</v>
      </c>
      <c r="AA4163" t="str">
        <f>"Y"</f>
        <v>Y</v>
      </c>
      <c r="AB4163" t="str">
        <f>"SO17000195"</f>
        <v>SO17000195</v>
      </c>
      <c r="AC4163">
        <v>2</v>
      </c>
      <c r="AD4163" s="1">
        <v>42803</v>
      </c>
      <c r="AE4163" t="str">
        <f>"SH18001651"</f>
        <v>SH18001651</v>
      </c>
      <c r="AF4163" t="str">
        <f>"משלוחים ללקוח"</f>
        <v>משלוחים ללקוח</v>
      </c>
      <c r="AG4163" s="1">
        <v>43381</v>
      </c>
      <c r="AM4163" t="str">
        <f>"10"</f>
        <v>10</v>
      </c>
      <c r="AN4163" t="str">
        <f>"500000"</f>
        <v>500000</v>
      </c>
      <c r="AO4163" t="str">
        <f>"הכנסות  מלקוחות"</f>
        <v>הכנסות  מלקוחות</v>
      </c>
      <c r="AQ4163" t="str">
        <f>"007"</f>
        <v>007</v>
      </c>
      <c r="AR4163">
        <v>0</v>
      </c>
      <c r="AS4163">
        <v>0</v>
      </c>
      <c r="AT4163">
        <v>3.62</v>
      </c>
      <c r="AX4163" t="str">
        <f>"E000234665"</f>
        <v>E000234665</v>
      </c>
      <c r="BD4163" t="str">
        <f>"רוני דידי"</f>
        <v>רוני דידי</v>
      </c>
    </row>
    <row r="4164" spans="1:56" x14ac:dyDescent="0.3">
      <c r="A4164" s="1">
        <v>43382</v>
      </c>
      <c r="B4164" t="str">
        <f>"SI186001194"</f>
        <v>SI186001194</v>
      </c>
      <c r="C4164" t="str">
        <f>"PR17001533"</f>
        <v>PR17001533</v>
      </c>
      <c r="D4164" t="str">
        <f>"PR17001533"</f>
        <v>PR17001533</v>
      </c>
      <c r="E4164" t="str">
        <f>"Y"</f>
        <v>Y</v>
      </c>
      <c r="F4164" t="str">
        <f>"חשבוניות מרכזות"</f>
        <v>חשבוניות מרכזות</v>
      </c>
      <c r="G4164" t="str">
        <f>"700065"</f>
        <v>700065</v>
      </c>
      <c r="H4164" t="str">
        <f>"אלתא מערכות בע""מ"</f>
        <v>אלתא מערכות בע"מ</v>
      </c>
      <c r="I4164" t="str">
        <f>"10"</f>
        <v>10</v>
      </c>
      <c r="J4164" t="str">
        <f>"OP-AR00559"</f>
        <v>OP-AR00559</v>
      </c>
      <c r="K4164" t="str">
        <f>"Remote Control Box 1038N250-001"</f>
        <v>Remote Control Box 1038N250-001</v>
      </c>
      <c r="L4164">
        <v>1</v>
      </c>
      <c r="M4164" t="str">
        <f>"יח"</f>
        <v>יח</v>
      </c>
      <c r="N4164">
        <v>1</v>
      </c>
      <c r="O4164" t="str">
        <f>"יח"</f>
        <v>יח</v>
      </c>
      <c r="P4164" s="2">
        <v>4601</v>
      </c>
      <c r="Q4164" t="str">
        <f>"$"</f>
        <v>$</v>
      </c>
      <c r="R4164" t="str">
        <f>"הזמנה"</f>
        <v>הזמנה</v>
      </c>
      <c r="S4164">
        <v>0</v>
      </c>
      <c r="T4164" s="2">
        <v>4601</v>
      </c>
      <c r="U4164">
        <v>0</v>
      </c>
      <c r="V4164" s="2">
        <v>4601</v>
      </c>
      <c r="W4164" t="str">
        <f>"$"</f>
        <v>$</v>
      </c>
      <c r="X4164">
        <v>0</v>
      </c>
      <c r="Y4164">
        <v>0</v>
      </c>
      <c r="Z4164">
        <v>0</v>
      </c>
      <c r="AA4164" t="str">
        <f>"Y"</f>
        <v>Y</v>
      </c>
      <c r="AB4164" t="str">
        <f>"SO17000195"</f>
        <v>SO17000195</v>
      </c>
      <c r="AC4164">
        <v>3</v>
      </c>
      <c r="AD4164" s="1">
        <v>42803</v>
      </c>
      <c r="AE4164" t="str">
        <f>"SH18001651"</f>
        <v>SH18001651</v>
      </c>
      <c r="AF4164" t="str">
        <f>"משלוחים ללקוח"</f>
        <v>משלוחים ללקוח</v>
      </c>
      <c r="AG4164" s="1">
        <v>43381</v>
      </c>
      <c r="AM4164" t="str">
        <f>"10"</f>
        <v>10</v>
      </c>
      <c r="AN4164" t="str">
        <f>"500000"</f>
        <v>500000</v>
      </c>
      <c r="AO4164" t="str">
        <f>"הכנסות  מלקוחות"</f>
        <v>הכנסות  מלקוחות</v>
      </c>
      <c r="AQ4164" t="str">
        <f>"007"</f>
        <v>007</v>
      </c>
      <c r="AR4164">
        <v>0</v>
      </c>
      <c r="AS4164">
        <v>0</v>
      </c>
      <c r="AT4164">
        <v>3.62</v>
      </c>
      <c r="AX4164" t="str">
        <f>"E000234665"</f>
        <v>E000234665</v>
      </c>
      <c r="BD4164" t="str">
        <f>"רוני דידי"</f>
        <v>רוני דידי</v>
      </c>
    </row>
    <row r="4165" spans="1:56" x14ac:dyDescent="0.3">
      <c r="A4165" s="1">
        <v>43363</v>
      </c>
      <c r="B4165" t="str">
        <f>"SI186001150"</f>
        <v>SI186001150</v>
      </c>
      <c r="C4165" t="str">
        <f>"PR16000867"</f>
        <v>PR16000867</v>
      </c>
      <c r="E4165" t="str">
        <f>"Y"</f>
        <v>Y</v>
      </c>
      <c r="F4165" t="str">
        <f>"חשבוניות מרכזות"</f>
        <v>חשבוניות מרכזות</v>
      </c>
      <c r="G4165" t="str">
        <f>"700065"</f>
        <v>700065</v>
      </c>
      <c r="H4165" t="str">
        <f>"אלתא מערכות בע""מ"</f>
        <v>אלתא מערכות בע"מ</v>
      </c>
      <c r="I4165" t="str">
        <f>"10"</f>
        <v>10</v>
      </c>
      <c r="J4165" t="str">
        <f>"OP-AR00420"</f>
        <v>OP-AR00420</v>
      </c>
      <c r="K4165" t="str">
        <f>"CONTROL BOX 1037N840-001"</f>
        <v>CONTROL BOX 1037N840-001</v>
      </c>
      <c r="L4165">
        <v>-1</v>
      </c>
      <c r="M4165" t="str">
        <f>"יח"</f>
        <v>יח</v>
      </c>
      <c r="N4165">
        <v>-1</v>
      </c>
      <c r="O4165" t="str">
        <f>"יח"</f>
        <v>יח</v>
      </c>
      <c r="P4165" s="2">
        <v>4709.25</v>
      </c>
      <c r="Q4165" t="str">
        <f>"$"</f>
        <v>$</v>
      </c>
      <c r="R4165" t="str">
        <f>"הזמנה"</f>
        <v>הזמנה</v>
      </c>
      <c r="S4165">
        <v>0</v>
      </c>
      <c r="T4165" s="2">
        <v>-4709.25</v>
      </c>
      <c r="U4165">
        <v>0</v>
      </c>
      <c r="V4165" s="2">
        <v>-4709.25</v>
      </c>
      <c r="W4165" t="str">
        <f>"$"</f>
        <v>$</v>
      </c>
      <c r="X4165">
        <v>0</v>
      </c>
      <c r="Y4165">
        <v>0</v>
      </c>
      <c r="Z4165">
        <v>0</v>
      </c>
      <c r="AA4165" t="str">
        <f>"Y"</f>
        <v>Y</v>
      </c>
      <c r="AC4165">
        <v>0</v>
      </c>
      <c r="AM4165" t="str">
        <f>"10"</f>
        <v>10</v>
      </c>
      <c r="AN4165" t="str">
        <f>"500000"</f>
        <v>500000</v>
      </c>
      <c r="AO4165" t="str">
        <f>"הכנסות  מלקוחות"</f>
        <v>הכנסות  מלקוחות</v>
      </c>
      <c r="AQ4165" t="str">
        <f>"007"</f>
        <v>007</v>
      </c>
      <c r="AR4165">
        <v>0</v>
      </c>
      <c r="AS4165">
        <v>0</v>
      </c>
      <c r="AT4165">
        <v>3.5659999999999998</v>
      </c>
      <c r="BB4165" t="str">
        <f>"Y"</f>
        <v>Y</v>
      </c>
      <c r="BD4165" t="str">
        <f>"רוני דידי"</f>
        <v>רוני דידי</v>
      </c>
    </row>
    <row r="4166" spans="1:56" x14ac:dyDescent="0.3">
      <c r="A4166" s="1">
        <v>43349</v>
      </c>
      <c r="B4166" t="str">
        <f>"SI186001115"</f>
        <v>SI186001115</v>
      </c>
      <c r="C4166" t="str">
        <f>"PR16000776"</f>
        <v>PR16000776</v>
      </c>
      <c r="E4166" t="str">
        <f>"Y"</f>
        <v>Y</v>
      </c>
      <c r="F4166" t="str">
        <f>"חשבוניות מרכזות"</f>
        <v>חשבוניות מרכזות</v>
      </c>
      <c r="G4166" t="str">
        <f>"700065"</f>
        <v>700065</v>
      </c>
      <c r="H4166" t="str">
        <f>"אלתא מערכות בע""מ"</f>
        <v>אלתא מערכות בע"מ</v>
      </c>
      <c r="I4166" t="str">
        <f>"10"</f>
        <v>10</v>
      </c>
      <c r="J4166" t="str">
        <f>"000"</f>
        <v>000</v>
      </c>
      <c r="K4166" t="str">
        <f>"התקנת מערכת כוח בארץ הלקוח"</f>
        <v>התקנת מערכת כוח בארץ הלקוח</v>
      </c>
      <c r="L4166">
        <v>-1</v>
      </c>
      <c r="M4166" t="str">
        <f>"יח"</f>
        <v>יח</v>
      </c>
      <c r="N4166">
        <v>-1</v>
      </c>
      <c r="O4166" t="str">
        <f>"יח"</f>
        <v>יח</v>
      </c>
      <c r="P4166" s="2">
        <v>4650</v>
      </c>
      <c r="Q4166" t="str">
        <f>"$"</f>
        <v>$</v>
      </c>
      <c r="R4166" t="str">
        <f>"הזמנה"</f>
        <v>הזמנה</v>
      </c>
      <c r="S4166">
        <v>0</v>
      </c>
      <c r="T4166" s="2">
        <v>-4650</v>
      </c>
      <c r="U4166">
        <v>0</v>
      </c>
      <c r="V4166" s="2">
        <v>-4650</v>
      </c>
      <c r="W4166" t="str">
        <f>"$"</f>
        <v>$</v>
      </c>
      <c r="X4166">
        <v>0</v>
      </c>
      <c r="Y4166">
        <v>0</v>
      </c>
      <c r="Z4166">
        <v>0</v>
      </c>
      <c r="AA4166" t="str">
        <f>"Y"</f>
        <v>Y</v>
      </c>
      <c r="AC4166">
        <v>0</v>
      </c>
      <c r="AM4166" t="str">
        <f>"10"</f>
        <v>10</v>
      </c>
      <c r="AN4166" t="str">
        <f>"500000"</f>
        <v>500000</v>
      </c>
      <c r="AO4166" t="str">
        <f>"הכנסות  מלקוחות"</f>
        <v>הכנסות  מלקוחות</v>
      </c>
      <c r="AQ4166" t="str">
        <f>"007"</f>
        <v>007</v>
      </c>
      <c r="AR4166">
        <v>0</v>
      </c>
      <c r="AS4166">
        <v>0</v>
      </c>
      <c r="AT4166">
        <v>3.5139999999999998</v>
      </c>
      <c r="BB4166" t="str">
        <f>"Y"</f>
        <v>Y</v>
      </c>
      <c r="BD4166" t="str">
        <f>"רוני דידי"</f>
        <v>רוני דידי</v>
      </c>
    </row>
    <row r="4167" spans="1:56" x14ac:dyDescent="0.3">
      <c r="A4167" s="1">
        <v>43342</v>
      </c>
      <c r="B4167" t="str">
        <f>"SI186001078"</f>
        <v>SI186001078</v>
      </c>
      <c r="C4167" t="str">
        <f>"PR16000728"</f>
        <v>PR16000728</v>
      </c>
      <c r="D4167" t="str">
        <f>"PR16000728"</f>
        <v>PR16000728</v>
      </c>
      <c r="E4167" t="str">
        <f>"Y"</f>
        <v>Y</v>
      </c>
      <c r="F4167" t="str">
        <f>"חשבוניות מרכזות"</f>
        <v>חשבוניות מרכזות</v>
      </c>
      <c r="G4167" t="str">
        <f>"700065"</f>
        <v>700065</v>
      </c>
      <c r="H4167" t="str">
        <f>"אלתא מערכות בע""מ"</f>
        <v>אלתא מערכות בע"מ</v>
      </c>
      <c r="I4167" t="str">
        <f>"10"</f>
        <v>10</v>
      </c>
      <c r="J4167" t="str">
        <f>"OP-AR00387"</f>
        <v>OP-AR00387</v>
      </c>
      <c r="K4167" t="str">
        <f>"PDU 4061D220-001"</f>
        <v>PDU 4061D220-001</v>
      </c>
      <c r="L4167">
        <v>1</v>
      </c>
      <c r="M4167" t="str">
        <f>"יח"</f>
        <v>יח</v>
      </c>
      <c r="N4167">
        <v>1</v>
      </c>
      <c r="O4167" t="str">
        <f>"יח"</f>
        <v>יח</v>
      </c>
      <c r="P4167" s="2">
        <v>23000</v>
      </c>
      <c r="Q4167" t="str">
        <f>"$"</f>
        <v>$</v>
      </c>
      <c r="R4167" t="str">
        <f>"הזמנה"</f>
        <v>הזמנה</v>
      </c>
      <c r="S4167">
        <v>0</v>
      </c>
      <c r="T4167" s="2">
        <v>23000</v>
      </c>
      <c r="U4167">
        <v>0</v>
      </c>
      <c r="V4167" s="2">
        <v>23000</v>
      </c>
      <c r="W4167" t="str">
        <f>"$"</f>
        <v>$</v>
      </c>
      <c r="X4167">
        <v>0</v>
      </c>
      <c r="Y4167">
        <v>0</v>
      </c>
      <c r="Z4167">
        <v>0</v>
      </c>
      <c r="AA4167" t="str">
        <f>"Y"</f>
        <v>Y</v>
      </c>
      <c r="AB4167" t="str">
        <f>"SO160000558"</f>
        <v>SO160000558</v>
      </c>
      <c r="AC4167">
        <v>3</v>
      </c>
      <c r="AD4167" s="1">
        <v>42576</v>
      </c>
      <c r="AE4167" t="str">
        <f>"SH18001537"</f>
        <v>SH18001537</v>
      </c>
      <c r="AF4167" t="str">
        <f>"משלוחים ללקוח"</f>
        <v>משלוחים ללקוח</v>
      </c>
      <c r="AG4167" s="1">
        <v>43342</v>
      </c>
      <c r="AM4167" t="str">
        <f>"10"</f>
        <v>10</v>
      </c>
      <c r="AN4167" t="str">
        <f>"500000"</f>
        <v>500000</v>
      </c>
      <c r="AO4167" t="str">
        <f>"הכנסות  מלקוחות"</f>
        <v>הכנסות  מלקוחות</v>
      </c>
      <c r="AQ4167" t="str">
        <f>"007"</f>
        <v>007</v>
      </c>
      <c r="AR4167">
        <v>0</v>
      </c>
      <c r="AS4167">
        <v>0</v>
      </c>
      <c r="AT4167">
        <v>3.61</v>
      </c>
      <c r="AX4167" t="str">
        <f>"E000220880"</f>
        <v>E000220880</v>
      </c>
      <c r="BD4167" t="str">
        <f>"רוני דידי"</f>
        <v>רוני דידי</v>
      </c>
    </row>
    <row r="4168" spans="1:56" x14ac:dyDescent="0.3">
      <c r="A4168" s="1">
        <v>43342</v>
      </c>
      <c r="B4168" t="str">
        <f>"SI186001077"</f>
        <v>SI186001077</v>
      </c>
      <c r="C4168" t="str">
        <f>"PR18000007"</f>
        <v>PR18000007</v>
      </c>
      <c r="E4168" t="str">
        <f>"Y"</f>
        <v>Y</v>
      </c>
      <c r="F4168" t="str">
        <f>"חשבוניות מרכזות"</f>
        <v>חשבוניות מרכזות</v>
      </c>
      <c r="G4168" t="str">
        <f>"700065"</f>
        <v>700065</v>
      </c>
      <c r="H4168" t="str">
        <f>"אלתא מערכות בע""מ"</f>
        <v>אלתא מערכות בע"מ</v>
      </c>
      <c r="I4168" t="str">
        <f>"10"</f>
        <v>10</v>
      </c>
      <c r="J4168" t="str">
        <f>"OP-AR00861"</f>
        <v>OP-AR00861</v>
      </c>
      <c r="K4168" t="str">
        <f>"CENTRAL SITE PDB SPARE PARTS 1031W278-001"</f>
        <v>CENTRAL SITE PDB SPARE PARTS 1031W278-001</v>
      </c>
      <c r="L4168">
        <v>1</v>
      </c>
      <c r="M4168" t="str">
        <f>"יח"</f>
        <v>יח</v>
      </c>
      <c r="N4168">
        <v>1</v>
      </c>
      <c r="O4168" t="str">
        <f>"יח"</f>
        <v>יח</v>
      </c>
      <c r="P4168" s="2">
        <v>12928.5</v>
      </c>
      <c r="Q4168" t="str">
        <f>"$"</f>
        <v>$</v>
      </c>
      <c r="R4168" t="str">
        <f>"הזמנה"</f>
        <v>הזמנה</v>
      </c>
      <c r="S4168">
        <v>0</v>
      </c>
      <c r="T4168" s="2">
        <v>12928.5</v>
      </c>
      <c r="U4168">
        <v>0</v>
      </c>
      <c r="V4168" s="2">
        <v>12928.5</v>
      </c>
      <c r="W4168" t="str">
        <f>"$"</f>
        <v>$</v>
      </c>
      <c r="X4168">
        <v>0</v>
      </c>
      <c r="Y4168">
        <v>0</v>
      </c>
      <c r="Z4168">
        <v>0</v>
      </c>
      <c r="AA4168" t="str">
        <f>"Y"</f>
        <v>Y</v>
      </c>
      <c r="AB4168" t="str">
        <f>"SO18000020"</f>
        <v>SO18000020</v>
      </c>
      <c r="AC4168">
        <v>2</v>
      </c>
      <c r="AD4168" s="1">
        <v>43110</v>
      </c>
      <c r="AE4168" t="str">
        <f>"SH18001526"</f>
        <v>SH18001526</v>
      </c>
      <c r="AF4168" t="str">
        <f>"משלוחים ללקוח"</f>
        <v>משלוחים ללקוח</v>
      </c>
      <c r="AG4168" s="1">
        <v>43341</v>
      </c>
      <c r="AM4168" t="str">
        <f>"10"</f>
        <v>10</v>
      </c>
      <c r="AN4168" t="str">
        <f>"500000"</f>
        <v>500000</v>
      </c>
      <c r="AO4168" t="str">
        <f>"הכנסות  מלקוחות"</f>
        <v>הכנסות  מלקוחות</v>
      </c>
      <c r="AQ4168" t="str">
        <f>"007"</f>
        <v>007</v>
      </c>
      <c r="AR4168">
        <v>0</v>
      </c>
      <c r="AS4168">
        <v>0</v>
      </c>
      <c r="AT4168">
        <v>3.61</v>
      </c>
      <c r="AX4168" t="str">
        <f>"E000252539"</f>
        <v>E000252539</v>
      </c>
      <c r="BD4168" t="str">
        <f>"רוני דידי"</f>
        <v>רוני דידי</v>
      </c>
    </row>
    <row r="4169" spans="1:56" x14ac:dyDescent="0.3">
      <c r="A4169" s="1">
        <v>43342</v>
      </c>
      <c r="B4169" t="str">
        <f>"SI186001076"</f>
        <v>SI186001076</v>
      </c>
      <c r="C4169" t="str">
        <f>"PR18000006"</f>
        <v>PR18000006</v>
      </c>
      <c r="E4169" t="str">
        <f>"Y"</f>
        <v>Y</v>
      </c>
      <c r="F4169" t="str">
        <f>"חשבוניות מרכזות"</f>
        <v>חשבוניות מרכזות</v>
      </c>
      <c r="G4169" t="str">
        <f>"700065"</f>
        <v>700065</v>
      </c>
      <c r="H4169" t="str">
        <f>"אלתא מערכות בע""מ"</f>
        <v>אלתא מערכות בע"מ</v>
      </c>
      <c r="I4169" t="str">
        <f>"10"</f>
        <v>10</v>
      </c>
      <c r="J4169" t="str">
        <f>"OP-AR00860"</f>
        <v>OP-AR00860</v>
      </c>
      <c r="K4169" t="str">
        <f>"SITE PDB SPARE PARTS 1031W280-001"</f>
        <v>SITE PDB SPARE PARTS 1031W280-001</v>
      </c>
      <c r="L4169">
        <v>1</v>
      </c>
      <c r="M4169" t="str">
        <f>"יח"</f>
        <v>יח</v>
      </c>
      <c r="N4169">
        <v>1</v>
      </c>
      <c r="O4169" t="str">
        <f>"יח"</f>
        <v>יח</v>
      </c>
      <c r="P4169" s="2">
        <v>23342</v>
      </c>
      <c r="Q4169" t="str">
        <f>"$"</f>
        <v>$</v>
      </c>
      <c r="R4169" t="str">
        <f>"הזמנה"</f>
        <v>הזמנה</v>
      </c>
      <c r="S4169">
        <v>0</v>
      </c>
      <c r="T4169" s="2">
        <v>23342</v>
      </c>
      <c r="U4169">
        <v>0</v>
      </c>
      <c r="V4169" s="2">
        <v>23342</v>
      </c>
      <c r="W4169" t="str">
        <f>"$"</f>
        <v>$</v>
      </c>
      <c r="X4169">
        <v>0</v>
      </c>
      <c r="Y4169">
        <v>0</v>
      </c>
      <c r="Z4169">
        <v>0</v>
      </c>
      <c r="AA4169" t="str">
        <f>"Y"</f>
        <v>Y</v>
      </c>
      <c r="AB4169" t="str">
        <f>"SO18000020"</f>
        <v>SO18000020</v>
      </c>
      <c r="AC4169">
        <v>1</v>
      </c>
      <c r="AD4169" s="1">
        <v>43110</v>
      </c>
      <c r="AE4169" t="str">
        <f>"SH18001525"</f>
        <v>SH18001525</v>
      </c>
      <c r="AF4169" t="str">
        <f>"משלוחים ללקוח"</f>
        <v>משלוחים ללקוח</v>
      </c>
      <c r="AG4169" s="1">
        <v>43341</v>
      </c>
      <c r="AM4169" t="str">
        <f>"10"</f>
        <v>10</v>
      </c>
      <c r="AN4169" t="str">
        <f>"500000"</f>
        <v>500000</v>
      </c>
      <c r="AO4169" t="str">
        <f>"הכנסות  מלקוחות"</f>
        <v>הכנסות  מלקוחות</v>
      </c>
      <c r="AQ4169" t="str">
        <f>"007"</f>
        <v>007</v>
      </c>
      <c r="AR4169">
        <v>0</v>
      </c>
      <c r="AS4169">
        <v>0</v>
      </c>
      <c r="AT4169">
        <v>3.61</v>
      </c>
      <c r="AX4169" t="str">
        <f>"E000252539"</f>
        <v>E000252539</v>
      </c>
      <c r="BD4169" t="str">
        <f>"רוני דידי"</f>
        <v>רוני דידי</v>
      </c>
    </row>
    <row r="4170" spans="1:56" x14ac:dyDescent="0.3">
      <c r="A4170" s="1">
        <v>43342</v>
      </c>
      <c r="B4170" t="str">
        <f>"SI186001075"</f>
        <v>SI186001075</v>
      </c>
      <c r="C4170" t="str">
        <f>"PR18000383"</f>
        <v>PR18000383</v>
      </c>
      <c r="E4170" t="str">
        <f>"Y"</f>
        <v>Y</v>
      </c>
      <c r="F4170" t="str">
        <f>"חשבוניות מרכזות"</f>
        <v>חשבוניות מרכזות</v>
      </c>
      <c r="G4170" t="str">
        <f>"700065"</f>
        <v>700065</v>
      </c>
      <c r="H4170" t="str">
        <f>"אלתא מערכות בע""מ"</f>
        <v>אלתא מערכות בע"מ</v>
      </c>
      <c r="I4170" t="str">
        <f>"10"</f>
        <v>10</v>
      </c>
      <c r="J4170" t="str">
        <f>"UP0100040"</f>
        <v>UP0100040</v>
      </c>
      <c r="K4170" t="str">
        <f>"ON-LINE 6KVA UPS W.O BATTERY W.O EXTRA CHARGER"</f>
        <v>ON-LINE 6KVA UPS W.O BATTERY W.O EXTRA CHARGER</v>
      </c>
      <c r="L4170">
        <v>23</v>
      </c>
      <c r="M4170" t="str">
        <f>"יח"</f>
        <v>יח</v>
      </c>
      <c r="N4170">
        <v>23</v>
      </c>
      <c r="O4170" t="str">
        <f>"יח"</f>
        <v>יח</v>
      </c>
      <c r="P4170" s="2">
        <v>1329</v>
      </c>
      <c r="Q4170" t="str">
        <f>"$"</f>
        <v>$</v>
      </c>
      <c r="R4170" t="str">
        <f>"הזמנה"</f>
        <v>הזמנה</v>
      </c>
      <c r="S4170">
        <v>0</v>
      </c>
      <c r="T4170" s="2">
        <v>30567</v>
      </c>
      <c r="U4170">
        <v>0</v>
      </c>
      <c r="V4170" s="2">
        <v>30567</v>
      </c>
      <c r="W4170" t="str">
        <f>"$"</f>
        <v>$</v>
      </c>
      <c r="X4170">
        <v>0</v>
      </c>
      <c r="Y4170">
        <v>0</v>
      </c>
      <c r="Z4170">
        <v>0</v>
      </c>
      <c r="AA4170" t="str">
        <f>"Y"</f>
        <v>Y</v>
      </c>
      <c r="AB4170" t="str">
        <f>"SO18000300"</f>
        <v>SO18000300</v>
      </c>
      <c r="AC4170">
        <v>1</v>
      </c>
      <c r="AD4170" s="1">
        <v>43237</v>
      </c>
      <c r="AE4170" t="str">
        <f>"SH18001524"</f>
        <v>SH18001524</v>
      </c>
      <c r="AF4170" t="str">
        <f>"משלוחים ללקוח"</f>
        <v>משלוחים ללקוח</v>
      </c>
      <c r="AG4170" s="1">
        <v>43341</v>
      </c>
      <c r="AM4170" t="str">
        <f>"10"</f>
        <v>10</v>
      </c>
      <c r="AN4170" t="str">
        <f>"500000"</f>
        <v>500000</v>
      </c>
      <c r="AO4170" t="str">
        <f>"הכנסות  מלקוחות"</f>
        <v>הכנסות  מלקוחות</v>
      </c>
      <c r="AQ4170" t="str">
        <f>"007"</f>
        <v>007</v>
      </c>
      <c r="AR4170">
        <v>0</v>
      </c>
      <c r="AS4170">
        <v>0</v>
      </c>
      <c r="AT4170">
        <v>3.61</v>
      </c>
      <c r="AX4170" t="str">
        <f>"E000260128"</f>
        <v>E000260128</v>
      </c>
      <c r="BD4170" t="str">
        <f>"רוני דידי"</f>
        <v>רוני דידי</v>
      </c>
    </row>
    <row r="4171" spans="1:56" x14ac:dyDescent="0.3">
      <c r="A4171" s="1">
        <v>43342</v>
      </c>
      <c r="B4171" t="str">
        <f>"SI186001075"</f>
        <v>SI186001075</v>
      </c>
      <c r="C4171" t="str">
        <f>"PR18000383"</f>
        <v>PR18000383</v>
      </c>
      <c r="E4171" t="str">
        <f>"Y"</f>
        <v>Y</v>
      </c>
      <c r="F4171" t="str">
        <f>"חשבוניות מרכזות"</f>
        <v>חשבוניות מרכזות</v>
      </c>
      <c r="G4171" t="str">
        <f>"700065"</f>
        <v>700065</v>
      </c>
      <c r="H4171" t="str">
        <f>"אלתא מערכות בע""מ"</f>
        <v>אלתא מערכות בע"מ</v>
      </c>
      <c r="I4171" t="str">
        <f>"10"</f>
        <v>10</v>
      </c>
      <c r="J4171" t="str">
        <f>"UP0200019"</f>
        <v>UP0200019</v>
      </c>
      <c r="K4171" t="str">
        <f>"5/6 KVA EBM12V/5AH X 16PCS RT6KB WITH. B"</f>
        <v>5/6 KVA EBM12V/5AH X 16PCS RT6KB WITH. B</v>
      </c>
      <c r="L4171">
        <v>23</v>
      </c>
      <c r="M4171" t="str">
        <f>"יח"</f>
        <v>יח</v>
      </c>
      <c r="N4171">
        <v>23</v>
      </c>
      <c r="O4171" t="str">
        <f>"יח"</f>
        <v>יח</v>
      </c>
      <c r="P4171">
        <v>756</v>
      </c>
      <c r="Q4171" t="str">
        <f>"$"</f>
        <v>$</v>
      </c>
      <c r="R4171" t="str">
        <f>"הזמנה"</f>
        <v>הזמנה</v>
      </c>
      <c r="S4171">
        <v>0</v>
      </c>
      <c r="T4171" s="2">
        <v>17388</v>
      </c>
      <c r="U4171">
        <v>0</v>
      </c>
      <c r="V4171" s="2">
        <v>17388</v>
      </c>
      <c r="W4171" t="str">
        <f>"$"</f>
        <v>$</v>
      </c>
      <c r="X4171">
        <v>0</v>
      </c>
      <c r="Y4171">
        <v>0</v>
      </c>
      <c r="Z4171">
        <v>0</v>
      </c>
      <c r="AA4171" t="str">
        <f>"Y"</f>
        <v>Y</v>
      </c>
      <c r="AB4171" t="str">
        <f>"SO18000300"</f>
        <v>SO18000300</v>
      </c>
      <c r="AC4171">
        <v>2</v>
      </c>
      <c r="AD4171" s="1">
        <v>43237</v>
      </c>
      <c r="AE4171" t="str">
        <f>"SH18001524"</f>
        <v>SH18001524</v>
      </c>
      <c r="AF4171" t="str">
        <f>"משלוחים ללקוח"</f>
        <v>משלוחים ללקוח</v>
      </c>
      <c r="AG4171" s="1">
        <v>43341</v>
      </c>
      <c r="AM4171" t="str">
        <f>"10"</f>
        <v>10</v>
      </c>
      <c r="AN4171" t="str">
        <f>"500000"</f>
        <v>500000</v>
      </c>
      <c r="AO4171" t="str">
        <f>"הכנסות  מלקוחות"</f>
        <v>הכנסות  מלקוחות</v>
      </c>
      <c r="AQ4171" t="str">
        <f>"007"</f>
        <v>007</v>
      </c>
      <c r="AR4171">
        <v>0</v>
      </c>
      <c r="AS4171">
        <v>0</v>
      </c>
      <c r="AT4171">
        <v>3.61</v>
      </c>
      <c r="AX4171" t="str">
        <f>"E000260128"</f>
        <v>E000260128</v>
      </c>
      <c r="BD4171" t="str">
        <f>"רוני דידי"</f>
        <v>רוני דידי</v>
      </c>
    </row>
    <row r="4172" spans="1:56" x14ac:dyDescent="0.3">
      <c r="A4172" s="1">
        <v>43342</v>
      </c>
      <c r="B4172" t="str">
        <f>"SI186001074"</f>
        <v>SI186001074</v>
      </c>
      <c r="C4172" t="str">
        <f>"PR18000453"</f>
        <v>PR18000453</v>
      </c>
      <c r="D4172" t="str">
        <f>"PR18000453"</f>
        <v>PR18000453</v>
      </c>
      <c r="E4172" t="str">
        <f>"Y"</f>
        <v>Y</v>
      </c>
      <c r="F4172" t="str">
        <f>"חשבוניות מרכזות"</f>
        <v>חשבוניות מרכזות</v>
      </c>
      <c r="G4172" t="str">
        <f>"700065"</f>
        <v>700065</v>
      </c>
      <c r="H4172" t="str">
        <f>"אלתא מערכות בע""מ"</f>
        <v>אלתא מערכות בע"מ</v>
      </c>
      <c r="I4172" t="str">
        <f>"10"</f>
        <v>10</v>
      </c>
      <c r="J4172" t="str">
        <f>"OP-AR01028"</f>
        <v>OP-AR01028</v>
      </c>
      <c r="K4172" t="str">
        <f>"W92-55m DC CABLE   4023N492-001"</f>
        <v>W92-55m DC CABLE   4023N492-001</v>
      </c>
      <c r="L4172">
        <v>5</v>
      </c>
      <c r="M4172" t="str">
        <f>"יח"</f>
        <v>יח</v>
      </c>
      <c r="N4172">
        <v>5</v>
      </c>
      <c r="O4172" t="str">
        <f>"יח"</f>
        <v>יח</v>
      </c>
      <c r="P4172">
        <v>471.4</v>
      </c>
      <c r="Q4172" t="str">
        <f>"$"</f>
        <v>$</v>
      </c>
      <c r="R4172" t="str">
        <f>"הזמנה"</f>
        <v>הזמנה</v>
      </c>
      <c r="S4172">
        <v>0</v>
      </c>
      <c r="T4172" s="2">
        <v>2357</v>
      </c>
      <c r="U4172">
        <v>0</v>
      </c>
      <c r="V4172" s="2">
        <v>2357</v>
      </c>
      <c r="W4172" t="str">
        <f>"$"</f>
        <v>$</v>
      </c>
      <c r="X4172">
        <v>0</v>
      </c>
      <c r="Y4172">
        <v>0</v>
      </c>
      <c r="Z4172">
        <v>0</v>
      </c>
      <c r="AA4172" t="str">
        <f>"Y"</f>
        <v>Y</v>
      </c>
      <c r="AB4172" t="str">
        <f>"SO18000351"</f>
        <v>SO18000351</v>
      </c>
      <c r="AC4172">
        <v>3</v>
      </c>
      <c r="AD4172" s="1">
        <v>43264</v>
      </c>
      <c r="AE4172" t="str">
        <f>"SH18001541"</f>
        <v>SH18001541</v>
      </c>
      <c r="AF4172" t="str">
        <f>"משלוחים ללקוח"</f>
        <v>משלוחים ללקוח</v>
      </c>
      <c r="AG4172" s="1">
        <v>43342</v>
      </c>
      <c r="AM4172" t="str">
        <f>"10"</f>
        <v>10</v>
      </c>
      <c r="AN4172" t="str">
        <f>"500000"</f>
        <v>500000</v>
      </c>
      <c r="AO4172" t="str">
        <f>"הכנסות  מלקוחות"</f>
        <v>הכנסות  מלקוחות</v>
      </c>
      <c r="AQ4172" t="str">
        <f>"017"</f>
        <v>017</v>
      </c>
      <c r="AR4172">
        <v>0</v>
      </c>
      <c r="AS4172">
        <v>0</v>
      </c>
      <c r="AT4172">
        <v>3.61</v>
      </c>
      <c r="AX4172" t="str">
        <f>"E000262645"</f>
        <v>E000262645</v>
      </c>
      <c r="BD4172" t="str">
        <f>"שחר דאהמן"</f>
        <v>שחר דאהמן</v>
      </c>
    </row>
    <row r="4173" spans="1:56" x14ac:dyDescent="0.3">
      <c r="A4173" s="1">
        <v>43331</v>
      </c>
      <c r="B4173" t="str">
        <f>"SI186000985"</f>
        <v>SI186000985</v>
      </c>
      <c r="C4173" t="str">
        <f>"PR16000728"</f>
        <v>PR16000728</v>
      </c>
      <c r="D4173" t="str">
        <f>"PR16000728"</f>
        <v>PR16000728</v>
      </c>
      <c r="E4173" t="str">
        <f>"Y"</f>
        <v>Y</v>
      </c>
      <c r="F4173" t="str">
        <f>"חשבוניות מרכזות"</f>
        <v>חשבוניות מרכזות</v>
      </c>
      <c r="G4173" t="str">
        <f>"700065"</f>
        <v>700065</v>
      </c>
      <c r="H4173" t="str">
        <f>"אלתא מערכות בע""מ"</f>
        <v>אלתא מערכות בע"מ</v>
      </c>
      <c r="I4173" t="str">
        <f>"10"</f>
        <v>10</v>
      </c>
      <c r="J4173" t="str">
        <f>"OP-AR00387"</f>
        <v>OP-AR00387</v>
      </c>
      <c r="K4173" t="str">
        <f>"PDU 4061D220-001"</f>
        <v>PDU 4061D220-001</v>
      </c>
      <c r="L4173">
        <v>1</v>
      </c>
      <c r="M4173" t="str">
        <f>"יח"</f>
        <v>יח</v>
      </c>
      <c r="N4173">
        <v>1</v>
      </c>
      <c r="O4173" t="str">
        <f>"יח"</f>
        <v>יח</v>
      </c>
      <c r="P4173" s="2">
        <v>23000</v>
      </c>
      <c r="Q4173" t="str">
        <f>"$"</f>
        <v>$</v>
      </c>
      <c r="R4173" t="str">
        <f>"הזמנה"</f>
        <v>הזמנה</v>
      </c>
      <c r="S4173">
        <v>0</v>
      </c>
      <c r="T4173" s="2">
        <v>23000</v>
      </c>
      <c r="U4173">
        <v>0</v>
      </c>
      <c r="V4173" s="2">
        <v>23000</v>
      </c>
      <c r="W4173" t="str">
        <f>"$"</f>
        <v>$</v>
      </c>
      <c r="X4173">
        <v>0</v>
      </c>
      <c r="Y4173">
        <v>0</v>
      </c>
      <c r="Z4173">
        <v>0</v>
      </c>
      <c r="AA4173" t="str">
        <f>"Y"</f>
        <v>Y</v>
      </c>
      <c r="AB4173" t="str">
        <f>"SO160000558"</f>
        <v>SO160000558</v>
      </c>
      <c r="AC4173">
        <v>3</v>
      </c>
      <c r="AD4173" s="1">
        <v>42576</v>
      </c>
      <c r="AE4173" t="str">
        <f>"SH18001445"</f>
        <v>SH18001445</v>
      </c>
      <c r="AF4173" t="str">
        <f>"משלוחים ללקוח"</f>
        <v>משלוחים ללקוח</v>
      </c>
      <c r="AG4173" s="1">
        <v>43328</v>
      </c>
      <c r="AM4173" t="str">
        <f>"10"</f>
        <v>10</v>
      </c>
      <c r="AN4173" t="str">
        <f>"500000"</f>
        <v>500000</v>
      </c>
      <c r="AO4173" t="str">
        <f>"הכנסות  מלקוחות"</f>
        <v>הכנסות  מלקוחות</v>
      </c>
      <c r="AQ4173" t="str">
        <f>"007"</f>
        <v>007</v>
      </c>
      <c r="AR4173">
        <v>0</v>
      </c>
      <c r="AS4173">
        <v>0</v>
      </c>
      <c r="AT4173">
        <v>3.669</v>
      </c>
      <c r="AX4173" t="str">
        <f>"E000220880"</f>
        <v>E000220880</v>
      </c>
      <c r="BD4173" t="str">
        <f>"רוני דידי"</f>
        <v>רוני דידי</v>
      </c>
    </row>
    <row r="4174" spans="1:56" x14ac:dyDescent="0.3">
      <c r="A4174" s="1">
        <v>43321</v>
      </c>
      <c r="B4174" t="str">
        <f>"SI186000961"</f>
        <v>SI186000961</v>
      </c>
      <c r="C4174" t="str">
        <f>"PR18000419"</f>
        <v>PR18000419</v>
      </c>
      <c r="D4174" t="str">
        <f>"PR18000419"</f>
        <v>PR18000419</v>
      </c>
      <c r="E4174" t="str">
        <f>"Y"</f>
        <v>Y</v>
      </c>
      <c r="F4174" t="str">
        <f>"חשבוניות מרכזות"</f>
        <v>חשבוניות מרכזות</v>
      </c>
      <c r="G4174" t="str">
        <f>"700065"</f>
        <v>700065</v>
      </c>
      <c r="H4174" t="str">
        <f>"אלתא מערכות בע""מ"</f>
        <v>אלתא מערכות בע"מ</v>
      </c>
      <c r="I4174" t="str">
        <f>"10"</f>
        <v>10</v>
      </c>
      <c r="J4174" t="str">
        <f>"OP-AR00467"</f>
        <v>OP-AR00467</v>
      </c>
      <c r="K4174" t="str">
        <f>"AC PCU CONTROL BOX"</f>
        <v>AC PCU CONTROL BOX</v>
      </c>
      <c r="L4174">
        <v>1</v>
      </c>
      <c r="M4174" t="str">
        <f>"יח"</f>
        <v>יח</v>
      </c>
      <c r="N4174">
        <v>1</v>
      </c>
      <c r="O4174" t="str">
        <f>"יח"</f>
        <v>יח</v>
      </c>
      <c r="P4174" s="2">
        <v>4050</v>
      </c>
      <c r="Q4174" t="str">
        <f>"$"</f>
        <v>$</v>
      </c>
      <c r="R4174" t="str">
        <f>"הזמנה"</f>
        <v>הזמנה</v>
      </c>
      <c r="S4174">
        <v>0</v>
      </c>
      <c r="T4174" s="2">
        <v>4050</v>
      </c>
      <c r="U4174">
        <v>0</v>
      </c>
      <c r="V4174" s="2">
        <v>4050</v>
      </c>
      <c r="W4174" t="str">
        <f>"$"</f>
        <v>$</v>
      </c>
      <c r="X4174">
        <v>0</v>
      </c>
      <c r="Y4174">
        <v>0</v>
      </c>
      <c r="Z4174">
        <v>0</v>
      </c>
      <c r="AA4174" t="str">
        <f>"Y"</f>
        <v>Y</v>
      </c>
      <c r="AB4174" t="str">
        <f>"SO18000276"</f>
        <v>SO18000276</v>
      </c>
      <c r="AC4174">
        <v>2</v>
      </c>
      <c r="AD4174" s="1">
        <v>43223</v>
      </c>
      <c r="AE4174" t="str">
        <f>"SH18001405"</f>
        <v>SH18001405</v>
      </c>
      <c r="AF4174" t="str">
        <f>"משלוחים ללקוח"</f>
        <v>משלוחים ללקוח</v>
      </c>
      <c r="AG4174" s="1">
        <v>43320</v>
      </c>
      <c r="AM4174" t="str">
        <f>"10"</f>
        <v>10</v>
      </c>
      <c r="AN4174" t="str">
        <f>"500000"</f>
        <v>500000</v>
      </c>
      <c r="AO4174" t="str">
        <f>"הכנסות  מלקוחות"</f>
        <v>הכנסות  מלקוחות</v>
      </c>
      <c r="AQ4174" t="str">
        <f>"007"</f>
        <v>007</v>
      </c>
      <c r="AR4174">
        <v>0</v>
      </c>
      <c r="AS4174">
        <v>0</v>
      </c>
      <c r="AT4174">
        <v>3.6840000000000002</v>
      </c>
      <c r="AX4174" t="str">
        <f>"E000261019"</f>
        <v>E000261019</v>
      </c>
      <c r="BD4174" t="str">
        <f>"רוני דידי"</f>
        <v>רוני דידי</v>
      </c>
    </row>
    <row r="4175" spans="1:56" x14ac:dyDescent="0.3">
      <c r="A4175" s="1">
        <v>43320</v>
      </c>
      <c r="B4175" t="str">
        <f>"SI186000945"</f>
        <v>SI186000945</v>
      </c>
      <c r="C4175" t="str">
        <f>"PR18000223"</f>
        <v>PR18000223</v>
      </c>
      <c r="E4175" t="str">
        <f>"Y"</f>
        <v>Y</v>
      </c>
      <c r="F4175" t="str">
        <f>"חשבוניות מרכזות"</f>
        <v>חשבוניות מרכזות</v>
      </c>
      <c r="G4175" t="str">
        <f>"700065"</f>
        <v>700065</v>
      </c>
      <c r="H4175" t="str">
        <f>"אלתא מערכות בע""מ"</f>
        <v>אלתא מערכות בע"מ</v>
      </c>
      <c r="I4175" t="str">
        <f>"10"</f>
        <v>10</v>
      </c>
      <c r="J4175" t="str">
        <f>"OP-AR00467"</f>
        <v>OP-AR00467</v>
      </c>
      <c r="K4175" t="str">
        <f>"AC PCU CONTROL BOX"</f>
        <v>AC PCU CONTROL BOX</v>
      </c>
      <c r="L4175">
        <v>2</v>
      </c>
      <c r="M4175" t="str">
        <f>"יח"</f>
        <v>יח</v>
      </c>
      <c r="N4175">
        <v>2</v>
      </c>
      <c r="O4175" t="str">
        <f>"יח"</f>
        <v>יח</v>
      </c>
      <c r="P4175" s="2">
        <v>4050</v>
      </c>
      <c r="Q4175" t="str">
        <f>"$"</f>
        <v>$</v>
      </c>
      <c r="R4175" t="str">
        <f>"הזמנה"</f>
        <v>הזמנה</v>
      </c>
      <c r="S4175">
        <v>0</v>
      </c>
      <c r="T4175" s="2">
        <v>8100</v>
      </c>
      <c r="U4175">
        <v>0</v>
      </c>
      <c r="V4175" s="2">
        <v>8100</v>
      </c>
      <c r="W4175" t="str">
        <f>"$"</f>
        <v>$</v>
      </c>
      <c r="X4175">
        <v>0</v>
      </c>
      <c r="Y4175">
        <v>0</v>
      </c>
      <c r="Z4175">
        <v>0</v>
      </c>
      <c r="AA4175" t="str">
        <f>"Y"</f>
        <v>Y</v>
      </c>
      <c r="AB4175" t="str">
        <f>"SO18000177"</f>
        <v>SO18000177</v>
      </c>
      <c r="AC4175">
        <v>1</v>
      </c>
      <c r="AD4175" s="1">
        <v>43181</v>
      </c>
      <c r="AE4175" t="str">
        <f>"SH18001383"</f>
        <v>SH18001383</v>
      </c>
      <c r="AF4175" t="str">
        <f>"משלוחים ללקוח"</f>
        <v>משלוחים ללקוח</v>
      </c>
      <c r="AG4175" s="1">
        <v>43318</v>
      </c>
      <c r="AM4175" t="str">
        <f>"10"</f>
        <v>10</v>
      </c>
      <c r="AN4175" t="str">
        <f>"500000"</f>
        <v>500000</v>
      </c>
      <c r="AO4175" t="str">
        <f>"הכנסות  מלקוחות"</f>
        <v>הכנסות  מלקוחות</v>
      </c>
      <c r="AQ4175" t="str">
        <f>"007"</f>
        <v>007</v>
      </c>
      <c r="AR4175">
        <v>0</v>
      </c>
      <c r="AS4175">
        <v>0</v>
      </c>
      <c r="AT4175">
        <v>3.6949999999999998</v>
      </c>
      <c r="AX4175" t="str">
        <f>"E000257278"</f>
        <v>E000257278</v>
      </c>
      <c r="BD4175" t="str">
        <f>"רוני דידי"</f>
        <v>רוני דידי</v>
      </c>
    </row>
    <row r="4176" spans="1:56" x14ac:dyDescent="0.3">
      <c r="A4176" s="1">
        <v>43307</v>
      </c>
      <c r="B4176" t="str">
        <f>"SI186000879"</f>
        <v>SI186000879</v>
      </c>
      <c r="C4176" t="str">
        <f>"PR18000413"</f>
        <v>PR18000413</v>
      </c>
      <c r="D4176" t="str">
        <f>"PR18000413"</f>
        <v>PR18000413</v>
      </c>
      <c r="E4176" t="str">
        <f>"Y"</f>
        <v>Y</v>
      </c>
      <c r="F4176" t="str">
        <f>"חשבוניות מרכזות"</f>
        <v>חשבוניות מרכזות</v>
      </c>
      <c r="G4176" t="str">
        <f>"700065"</f>
        <v>700065</v>
      </c>
      <c r="H4176" t="str">
        <f>"אלתא מערכות בע""מ"</f>
        <v>אלתא מערכות בע"מ</v>
      </c>
      <c r="I4176" t="str">
        <f>"10"</f>
        <v>10</v>
      </c>
      <c r="J4176" t="str">
        <f>"OP-ML00094"</f>
        <v>OP-ML00094</v>
      </c>
      <c r="K4176" t="str">
        <f>"רתמה 1038R274-001 LIGHT DOOR CABLE"</f>
        <v>רתמה 1038R274-001 LIGHT DOOR CABLE</v>
      </c>
      <c r="L4176">
        <v>24</v>
      </c>
      <c r="M4176" t="str">
        <f>"יח"</f>
        <v>יח</v>
      </c>
      <c r="N4176">
        <v>24</v>
      </c>
      <c r="O4176" t="str">
        <f>"יח"</f>
        <v>יח</v>
      </c>
      <c r="P4176">
        <v>305</v>
      </c>
      <c r="Q4176" t="str">
        <f>"$"</f>
        <v>$</v>
      </c>
      <c r="R4176" t="str">
        <f>"הזמנה"</f>
        <v>הזמנה</v>
      </c>
      <c r="S4176">
        <v>0</v>
      </c>
      <c r="T4176" s="2">
        <v>7320</v>
      </c>
      <c r="U4176">
        <v>0</v>
      </c>
      <c r="V4176" s="2">
        <v>7320</v>
      </c>
      <c r="W4176" t="str">
        <f>"$"</f>
        <v>$</v>
      </c>
      <c r="X4176">
        <v>0</v>
      </c>
      <c r="Y4176">
        <v>0</v>
      </c>
      <c r="Z4176">
        <v>0</v>
      </c>
      <c r="AA4176" t="str">
        <f>"Y"</f>
        <v>Y</v>
      </c>
      <c r="AB4176" t="str">
        <f>"SO18000325"</f>
        <v>SO18000325</v>
      </c>
      <c r="AC4176">
        <v>1</v>
      </c>
      <c r="AD4176" s="1">
        <v>43254</v>
      </c>
      <c r="AE4176" t="str">
        <f>"SH18001290"</f>
        <v>SH18001290</v>
      </c>
      <c r="AF4176" t="str">
        <f>"משלוחים ללקוח"</f>
        <v>משלוחים ללקוח</v>
      </c>
      <c r="AG4176" s="1">
        <v>43305</v>
      </c>
      <c r="AM4176" t="str">
        <f>"10"</f>
        <v>10</v>
      </c>
      <c r="AN4176" t="str">
        <f>"500000"</f>
        <v>500000</v>
      </c>
      <c r="AO4176" t="str">
        <f>"הכנסות  מלקוחות"</f>
        <v>הכנסות  מלקוחות</v>
      </c>
      <c r="AQ4176" t="str">
        <f>"007"</f>
        <v>007</v>
      </c>
      <c r="AR4176">
        <v>0</v>
      </c>
      <c r="AS4176">
        <v>0</v>
      </c>
      <c r="AT4176">
        <v>3.641</v>
      </c>
      <c r="AX4176" t="str">
        <f>"E000262643"</f>
        <v>E000262643</v>
      </c>
      <c r="BD4176" t="str">
        <f>"רוני דידי"</f>
        <v>רוני דידי</v>
      </c>
    </row>
    <row r="4177" spans="1:56" x14ac:dyDescent="0.3">
      <c r="A4177" s="1">
        <v>43307</v>
      </c>
      <c r="B4177" t="str">
        <f>"SI186000879"</f>
        <v>SI186000879</v>
      </c>
      <c r="C4177" t="str">
        <f>"PR18000413"</f>
        <v>PR18000413</v>
      </c>
      <c r="D4177" t="str">
        <f>"PR18000413"</f>
        <v>PR18000413</v>
      </c>
      <c r="E4177" t="str">
        <f>"Y"</f>
        <v>Y</v>
      </c>
      <c r="F4177" t="str">
        <f>"חשבוניות מרכזות"</f>
        <v>חשבוניות מרכזות</v>
      </c>
      <c r="G4177" t="str">
        <f>"700065"</f>
        <v>700065</v>
      </c>
      <c r="H4177" t="str">
        <f>"אלתא מערכות בע""מ"</f>
        <v>אלתא מערכות בע"מ</v>
      </c>
      <c r="I4177" t="str">
        <f>"10"</f>
        <v>10</v>
      </c>
      <c r="J4177" t="str">
        <f>"OP-ML00094"</f>
        <v>OP-ML00094</v>
      </c>
      <c r="K4177" t="str">
        <f>"רתמה 1038R274-001 LIGHT DOOR CABLE"</f>
        <v>רתמה 1038R274-001 LIGHT DOOR CABLE</v>
      </c>
      <c r="L4177">
        <v>12</v>
      </c>
      <c r="M4177" t="str">
        <f>"יח"</f>
        <v>יח</v>
      </c>
      <c r="N4177">
        <v>12</v>
      </c>
      <c r="O4177" t="str">
        <f>"יח"</f>
        <v>יח</v>
      </c>
      <c r="P4177">
        <v>305</v>
      </c>
      <c r="Q4177" t="str">
        <f>"$"</f>
        <v>$</v>
      </c>
      <c r="R4177" t="str">
        <f>"הזמנה"</f>
        <v>הזמנה</v>
      </c>
      <c r="S4177">
        <v>0</v>
      </c>
      <c r="T4177" s="2">
        <v>3660</v>
      </c>
      <c r="U4177">
        <v>0</v>
      </c>
      <c r="V4177" s="2">
        <v>3660</v>
      </c>
      <c r="W4177" t="str">
        <f>"$"</f>
        <v>$</v>
      </c>
      <c r="X4177">
        <v>0</v>
      </c>
      <c r="Y4177">
        <v>0</v>
      </c>
      <c r="Z4177">
        <v>0</v>
      </c>
      <c r="AA4177" t="str">
        <f>"Y"</f>
        <v>Y</v>
      </c>
      <c r="AB4177" t="str">
        <f>"SO18000325"</f>
        <v>SO18000325</v>
      </c>
      <c r="AC4177">
        <v>2</v>
      </c>
      <c r="AD4177" s="1">
        <v>43254</v>
      </c>
      <c r="AE4177" t="str">
        <f>"SH18001290"</f>
        <v>SH18001290</v>
      </c>
      <c r="AF4177" t="str">
        <f>"משלוחים ללקוח"</f>
        <v>משלוחים ללקוח</v>
      </c>
      <c r="AG4177" s="1">
        <v>43305</v>
      </c>
      <c r="AM4177" t="str">
        <f>"10"</f>
        <v>10</v>
      </c>
      <c r="AN4177" t="str">
        <f>"500000"</f>
        <v>500000</v>
      </c>
      <c r="AO4177" t="str">
        <f>"הכנסות  מלקוחות"</f>
        <v>הכנסות  מלקוחות</v>
      </c>
      <c r="AQ4177" t="str">
        <f>"007"</f>
        <v>007</v>
      </c>
      <c r="AR4177">
        <v>0</v>
      </c>
      <c r="AS4177">
        <v>0</v>
      </c>
      <c r="AT4177">
        <v>3.641</v>
      </c>
      <c r="AX4177" t="str">
        <f>"E000262643"</f>
        <v>E000262643</v>
      </c>
      <c r="BD4177" t="str">
        <f>"רוני דידי"</f>
        <v>רוני דידי</v>
      </c>
    </row>
    <row r="4178" spans="1:56" x14ac:dyDescent="0.3">
      <c r="A4178" s="1">
        <v>43307</v>
      </c>
      <c r="B4178" t="str">
        <f>"SI186000878"</f>
        <v>SI186000878</v>
      </c>
      <c r="C4178" t="str">
        <f>"PR18000414"</f>
        <v>PR18000414</v>
      </c>
      <c r="D4178" t="str">
        <f>"PR18000414"</f>
        <v>PR18000414</v>
      </c>
      <c r="E4178" t="str">
        <f>"Y"</f>
        <v>Y</v>
      </c>
      <c r="F4178" t="str">
        <f>"חשבוניות מרכזות"</f>
        <v>חשבוניות מרכזות</v>
      </c>
      <c r="G4178" t="str">
        <f>"700065"</f>
        <v>700065</v>
      </c>
      <c r="H4178" t="str">
        <f>"אלתא מערכות בע""מ"</f>
        <v>אלתא מערכות בע"מ</v>
      </c>
      <c r="I4178" t="str">
        <f>"10"</f>
        <v>10</v>
      </c>
      <c r="J4178" t="str">
        <f>"OP-ML00095"</f>
        <v>OP-ML00095</v>
      </c>
      <c r="K4178" t="str">
        <f>"רתמה 1038R273-002 PEDESTAL LIGHT CABLE"</f>
        <v>רתמה 1038R273-002 PEDESTAL LIGHT CABLE</v>
      </c>
      <c r="L4178">
        <v>2</v>
      </c>
      <c r="M4178" t="str">
        <f>"יח"</f>
        <v>יח</v>
      </c>
      <c r="N4178">
        <v>2</v>
      </c>
      <c r="O4178" t="str">
        <f>"יח"</f>
        <v>יח</v>
      </c>
      <c r="P4178">
        <v>340</v>
      </c>
      <c r="Q4178" t="str">
        <f>"$"</f>
        <v>$</v>
      </c>
      <c r="R4178" t="str">
        <f>"הזמנה"</f>
        <v>הזמנה</v>
      </c>
      <c r="S4178">
        <v>0</v>
      </c>
      <c r="T4178">
        <v>680</v>
      </c>
      <c r="U4178">
        <v>0</v>
      </c>
      <c r="V4178">
        <v>680</v>
      </c>
      <c r="W4178" t="str">
        <f>"$"</f>
        <v>$</v>
      </c>
      <c r="X4178">
        <v>0</v>
      </c>
      <c r="Y4178">
        <v>0</v>
      </c>
      <c r="Z4178">
        <v>0</v>
      </c>
      <c r="AA4178" t="str">
        <f>"Y"</f>
        <v>Y</v>
      </c>
      <c r="AB4178" t="str">
        <f>"SO18000332"</f>
        <v>SO18000332</v>
      </c>
      <c r="AC4178">
        <v>1</v>
      </c>
      <c r="AD4178" s="1">
        <v>43256</v>
      </c>
      <c r="AE4178" t="str">
        <f>"SH18001289"</f>
        <v>SH18001289</v>
      </c>
      <c r="AF4178" t="str">
        <f>"משלוחים ללקוח"</f>
        <v>משלוחים ללקוח</v>
      </c>
      <c r="AG4178" s="1">
        <v>43305</v>
      </c>
      <c r="AM4178" t="str">
        <f>"10"</f>
        <v>10</v>
      </c>
      <c r="AN4178" t="str">
        <f>"500000"</f>
        <v>500000</v>
      </c>
      <c r="AO4178" t="str">
        <f>"הכנסות  מלקוחות"</f>
        <v>הכנסות  מלקוחות</v>
      </c>
      <c r="AQ4178" t="str">
        <f>"007"</f>
        <v>007</v>
      </c>
      <c r="AR4178">
        <v>0</v>
      </c>
      <c r="AS4178">
        <v>0</v>
      </c>
      <c r="AT4178">
        <v>3.641</v>
      </c>
      <c r="AX4178" t="str">
        <f>"E000263622"</f>
        <v>E000263622</v>
      </c>
      <c r="BD4178" t="str">
        <f>"רוני דידי"</f>
        <v>רוני דידי</v>
      </c>
    </row>
    <row r="4179" spans="1:56" x14ac:dyDescent="0.3">
      <c r="A4179" s="1">
        <v>43307</v>
      </c>
      <c r="B4179" t="str">
        <f>"SI186000878"</f>
        <v>SI186000878</v>
      </c>
      <c r="C4179" t="str">
        <f>"PR18000414"</f>
        <v>PR18000414</v>
      </c>
      <c r="D4179" t="str">
        <f>"PR18000414"</f>
        <v>PR18000414</v>
      </c>
      <c r="E4179" t="str">
        <f>"Y"</f>
        <v>Y</v>
      </c>
      <c r="F4179" t="str">
        <f>"חשבוניות מרכזות"</f>
        <v>חשבוניות מרכזות</v>
      </c>
      <c r="G4179" t="str">
        <f>"700065"</f>
        <v>700065</v>
      </c>
      <c r="H4179" t="str">
        <f>"אלתא מערכות בע""מ"</f>
        <v>אלתא מערכות בע"מ</v>
      </c>
      <c r="I4179" t="str">
        <f>"10"</f>
        <v>10</v>
      </c>
      <c r="J4179" t="str">
        <f>"OP-ML00095"</f>
        <v>OP-ML00095</v>
      </c>
      <c r="K4179" t="str">
        <f>"רתמה 1038R273-002 PEDESTAL LIGHT CABLE"</f>
        <v>רתמה 1038R273-002 PEDESTAL LIGHT CABLE</v>
      </c>
      <c r="L4179">
        <v>1</v>
      </c>
      <c r="M4179" t="str">
        <f>"יח"</f>
        <v>יח</v>
      </c>
      <c r="N4179">
        <v>1</v>
      </c>
      <c r="O4179" t="str">
        <f>"יח"</f>
        <v>יח</v>
      </c>
      <c r="P4179">
        <v>340</v>
      </c>
      <c r="Q4179" t="str">
        <f>"$"</f>
        <v>$</v>
      </c>
      <c r="R4179" t="str">
        <f>"הזמנה"</f>
        <v>הזמנה</v>
      </c>
      <c r="S4179">
        <v>0</v>
      </c>
      <c r="T4179">
        <v>340</v>
      </c>
      <c r="U4179">
        <v>0</v>
      </c>
      <c r="V4179">
        <v>340</v>
      </c>
      <c r="W4179" t="str">
        <f>"$"</f>
        <v>$</v>
      </c>
      <c r="X4179">
        <v>0</v>
      </c>
      <c r="Y4179">
        <v>0</v>
      </c>
      <c r="Z4179">
        <v>0</v>
      </c>
      <c r="AA4179" t="str">
        <f>"Y"</f>
        <v>Y</v>
      </c>
      <c r="AB4179" t="str">
        <f>"SO18000332"</f>
        <v>SO18000332</v>
      </c>
      <c r="AC4179">
        <v>2</v>
      </c>
      <c r="AD4179" s="1">
        <v>43256</v>
      </c>
      <c r="AE4179" t="str">
        <f>"SH18001289"</f>
        <v>SH18001289</v>
      </c>
      <c r="AF4179" t="str">
        <f>"משלוחים ללקוח"</f>
        <v>משלוחים ללקוח</v>
      </c>
      <c r="AG4179" s="1">
        <v>43305</v>
      </c>
      <c r="AM4179" t="str">
        <f>"10"</f>
        <v>10</v>
      </c>
      <c r="AN4179" t="str">
        <f>"500000"</f>
        <v>500000</v>
      </c>
      <c r="AO4179" t="str">
        <f>"הכנסות  מלקוחות"</f>
        <v>הכנסות  מלקוחות</v>
      </c>
      <c r="AQ4179" t="str">
        <f>"007"</f>
        <v>007</v>
      </c>
      <c r="AR4179">
        <v>0</v>
      </c>
      <c r="AS4179">
        <v>0</v>
      </c>
      <c r="AT4179">
        <v>3.641</v>
      </c>
      <c r="AX4179" t="str">
        <f>"E000263622"</f>
        <v>E000263622</v>
      </c>
      <c r="BD4179" t="str">
        <f>"רוני דידי"</f>
        <v>רוני דידי</v>
      </c>
    </row>
    <row r="4180" spans="1:56" x14ac:dyDescent="0.3">
      <c r="A4180" s="1">
        <v>43305</v>
      </c>
      <c r="B4180" t="str">
        <f>"SI186000872"</f>
        <v>SI186000872</v>
      </c>
      <c r="C4180" t="str">
        <f>"PR16000867"</f>
        <v>PR16000867</v>
      </c>
      <c r="D4180" t="str">
        <f>"PR16000867"</f>
        <v>PR16000867</v>
      </c>
      <c r="E4180" t="str">
        <f>"Y"</f>
        <v>Y</v>
      </c>
      <c r="F4180" t="str">
        <f>"חשבוניות מרכזות"</f>
        <v>חשבוניות מרכזות</v>
      </c>
      <c r="G4180" t="str">
        <f>"700065"</f>
        <v>700065</v>
      </c>
      <c r="H4180" t="str">
        <f>"אלתא מערכות בע""מ"</f>
        <v>אלתא מערכות בע"מ</v>
      </c>
      <c r="I4180" t="str">
        <f>"10"</f>
        <v>10</v>
      </c>
      <c r="J4180" t="str">
        <f>"000"</f>
        <v>000</v>
      </c>
      <c r="K4180" t="str">
        <f>"תנאי סביב עבור 1037N840-001"</f>
        <v>תנאי סביב עבור 1037N840-001</v>
      </c>
      <c r="L4180">
        <v>1</v>
      </c>
      <c r="M4180" t="str">
        <f>"יח"</f>
        <v>יח</v>
      </c>
      <c r="N4180">
        <v>1</v>
      </c>
      <c r="O4180" t="str">
        <f>"יח"</f>
        <v>יח</v>
      </c>
      <c r="P4180" s="2">
        <v>14900</v>
      </c>
      <c r="Q4180" t="str">
        <f>"$"</f>
        <v>$</v>
      </c>
      <c r="R4180" t="str">
        <f>"הזמנה"</f>
        <v>הזמנה</v>
      </c>
      <c r="S4180">
        <v>0</v>
      </c>
      <c r="T4180" s="2">
        <v>14900</v>
      </c>
      <c r="U4180">
        <v>0</v>
      </c>
      <c r="V4180" s="2">
        <v>14900</v>
      </c>
      <c r="W4180" t="str">
        <f>"$"</f>
        <v>$</v>
      </c>
      <c r="X4180">
        <v>0</v>
      </c>
      <c r="Y4180">
        <v>0</v>
      </c>
      <c r="Z4180">
        <v>0</v>
      </c>
      <c r="AA4180" t="str">
        <f>"Y"</f>
        <v>Y</v>
      </c>
      <c r="AB4180" t="str">
        <f>"SO160000648"</f>
        <v>SO160000648</v>
      </c>
      <c r="AC4180">
        <v>6</v>
      </c>
      <c r="AD4180" s="1">
        <v>42618</v>
      </c>
      <c r="AM4180" t="str">
        <f>"10"</f>
        <v>10</v>
      </c>
      <c r="AN4180" t="str">
        <f>"500000"</f>
        <v>500000</v>
      </c>
      <c r="AO4180" t="str">
        <f>"הכנסות  מלקוחות"</f>
        <v>הכנסות  מלקוחות</v>
      </c>
      <c r="AQ4180" t="str">
        <f>"007"</f>
        <v>007</v>
      </c>
      <c r="AR4180">
        <v>0</v>
      </c>
      <c r="AS4180">
        <v>0</v>
      </c>
      <c r="AT4180">
        <v>3.633</v>
      </c>
      <c r="AX4180" t="str">
        <f>"E000224314"</f>
        <v>E000224314</v>
      </c>
      <c r="BD4180" t="str">
        <f>"רוני דידי"</f>
        <v>רוני דידי</v>
      </c>
    </row>
    <row r="4181" spans="1:56" x14ac:dyDescent="0.3">
      <c r="A4181" s="1">
        <v>43304</v>
      </c>
      <c r="B4181" t="str">
        <f>"SI186000868"</f>
        <v>SI186000868</v>
      </c>
      <c r="E4181" t="str">
        <f>"Y"</f>
        <v>Y</v>
      </c>
      <c r="F4181" t="str">
        <f>"חשבוניות מרכזות"</f>
        <v>חשבוניות מרכזות</v>
      </c>
      <c r="G4181" t="str">
        <f>"700065"</f>
        <v>700065</v>
      </c>
      <c r="H4181" t="str">
        <f>"אלתא מערכות בע""מ"</f>
        <v>אלתא מערכות בע"מ</v>
      </c>
      <c r="I4181" t="str">
        <f>"10"</f>
        <v>10</v>
      </c>
      <c r="J4181" t="str">
        <f>"000"</f>
        <v>000</v>
      </c>
      <c r="K4181" t="str">
        <f>"אנליזת חוזק"</f>
        <v>אנליזת חוזק</v>
      </c>
      <c r="L4181">
        <v>1</v>
      </c>
      <c r="M4181" t="str">
        <f>"יח"</f>
        <v>יח</v>
      </c>
      <c r="N4181">
        <v>1</v>
      </c>
      <c r="O4181" t="str">
        <f>"יח"</f>
        <v>יח</v>
      </c>
      <c r="P4181" s="2">
        <v>5200</v>
      </c>
      <c r="Q4181" t="str">
        <f>"$"</f>
        <v>$</v>
      </c>
      <c r="R4181" t="str">
        <f>"הזמנה"</f>
        <v>הזמנה</v>
      </c>
      <c r="S4181">
        <v>0</v>
      </c>
      <c r="T4181" s="2">
        <v>5200</v>
      </c>
      <c r="U4181">
        <v>0</v>
      </c>
      <c r="V4181" s="2">
        <v>5200</v>
      </c>
      <c r="W4181" t="str">
        <f>"$"</f>
        <v>$</v>
      </c>
      <c r="X4181">
        <v>0</v>
      </c>
      <c r="Y4181">
        <v>0</v>
      </c>
      <c r="Z4181">
        <v>0</v>
      </c>
      <c r="AA4181" t="str">
        <f>"Y"</f>
        <v>Y</v>
      </c>
      <c r="AB4181" t="str">
        <f>"SO18000323"</f>
        <v>SO18000323</v>
      </c>
      <c r="AC4181">
        <v>1</v>
      </c>
      <c r="AD4181" s="1">
        <v>43254</v>
      </c>
      <c r="AM4181" t="str">
        <f>"10"</f>
        <v>10</v>
      </c>
      <c r="AN4181" t="str">
        <f>"500000"</f>
        <v>500000</v>
      </c>
      <c r="AO4181" t="str">
        <f>"הכנסות  מלקוחות"</f>
        <v>הכנסות  מלקוחות</v>
      </c>
      <c r="AQ4181" t="str">
        <f>"007"</f>
        <v>007</v>
      </c>
      <c r="AR4181">
        <v>0</v>
      </c>
      <c r="AS4181">
        <v>0</v>
      </c>
      <c r="AT4181">
        <v>3.6469999999999998</v>
      </c>
      <c r="AX4181" t="str">
        <f>"E000263104"</f>
        <v>E000263104</v>
      </c>
      <c r="BD4181" t="str">
        <f>"רוני דידי"</f>
        <v>רוני דידי</v>
      </c>
    </row>
    <row r="4182" spans="1:56" x14ac:dyDescent="0.3">
      <c r="A4182" s="1">
        <v>43299</v>
      </c>
      <c r="B4182" t="str">
        <f>"SI186000858"</f>
        <v>SI186000858</v>
      </c>
      <c r="E4182" t="str">
        <f>"Y"</f>
        <v>Y</v>
      </c>
      <c r="F4182" t="str">
        <f>"חשבוניות מרכזות"</f>
        <v>חשבוניות מרכזות</v>
      </c>
      <c r="G4182" t="str">
        <f>"700065"</f>
        <v>700065</v>
      </c>
      <c r="H4182" t="str">
        <f>"אלתא מערכות בע""מ"</f>
        <v>אלתא מערכות בע"מ</v>
      </c>
      <c r="I4182" t="str">
        <f>"10"</f>
        <v>10</v>
      </c>
      <c r="J4182" t="str">
        <f>"999"</f>
        <v>999</v>
      </c>
      <c r="K4182" t="str">
        <f>"שינוי תכן למק""ט לקוח 1026L320-001"</f>
        <v>שינוי תכן למק"ט לקוח 1026L320-001</v>
      </c>
      <c r="L4182">
        <v>1</v>
      </c>
      <c r="M4182" t="str">
        <f>"חל"</f>
        <v>חל</v>
      </c>
      <c r="N4182">
        <v>1</v>
      </c>
      <c r="O4182" t="str">
        <f>"חל"</f>
        <v>חל</v>
      </c>
      <c r="P4182" s="2">
        <v>1942.92</v>
      </c>
      <c r="Q4182" t="str">
        <f>"$"</f>
        <v>$</v>
      </c>
      <c r="R4182" t="str">
        <f>"הזמנה"</f>
        <v>הזמנה</v>
      </c>
      <c r="S4182">
        <v>0</v>
      </c>
      <c r="T4182" s="2">
        <v>1942.92</v>
      </c>
      <c r="U4182">
        <v>0</v>
      </c>
      <c r="V4182" s="2">
        <v>1942.92</v>
      </c>
      <c r="W4182" t="str">
        <f>"$"</f>
        <v>$</v>
      </c>
      <c r="X4182">
        <v>0</v>
      </c>
      <c r="Y4182">
        <v>0</v>
      </c>
      <c r="Z4182">
        <v>0</v>
      </c>
      <c r="AA4182" t="str">
        <f>"Y"</f>
        <v>Y</v>
      </c>
      <c r="AB4182" t="str">
        <f>"SO150003697"</f>
        <v>SO150003697</v>
      </c>
      <c r="AC4182">
        <v>17</v>
      </c>
      <c r="AD4182" s="1">
        <v>42283</v>
      </c>
      <c r="AM4182" t="str">
        <f>"10"</f>
        <v>10</v>
      </c>
      <c r="AN4182" t="str">
        <f>"500000"</f>
        <v>500000</v>
      </c>
      <c r="AO4182" t="str">
        <f>"הכנסות  מלקוחות"</f>
        <v>הכנסות  מלקוחות</v>
      </c>
      <c r="AQ4182" t="str">
        <f>"007"</f>
        <v>007</v>
      </c>
      <c r="AR4182">
        <v>0</v>
      </c>
      <c r="AS4182">
        <v>0</v>
      </c>
      <c r="AT4182">
        <v>3.6419999999999999</v>
      </c>
      <c r="AX4182" t="str">
        <f>"E000200592"</f>
        <v>E000200592</v>
      </c>
      <c r="BD4182" t="str">
        <f>"רוני דידי"</f>
        <v>רוני דידי</v>
      </c>
    </row>
    <row r="4183" spans="1:56" x14ac:dyDescent="0.3">
      <c r="A4183" s="1">
        <v>43297</v>
      </c>
      <c r="B4183" t="str">
        <f>"SI186000840"</f>
        <v>SI186000840</v>
      </c>
      <c r="E4183" t="str">
        <f>"Y"</f>
        <v>Y</v>
      </c>
      <c r="F4183" t="str">
        <f>"חשבוניות מרכזות"</f>
        <v>חשבוניות מרכזות</v>
      </c>
      <c r="G4183" t="str">
        <f>"700065"</f>
        <v>700065</v>
      </c>
      <c r="H4183" t="str">
        <f>"אלתא מערכות בע""מ"</f>
        <v>אלתא מערכות בע"מ</v>
      </c>
      <c r="I4183" t="str">
        <f>"10"</f>
        <v>10</v>
      </c>
      <c r="J4183" t="str">
        <f>"000"</f>
        <v>000</v>
      </c>
      <c r="K4183" t="str">
        <f>"מערכת בקרה למישר אתר מגרפה"</f>
        <v>מערכת בקרה למישר אתר מגרפה</v>
      </c>
      <c r="L4183">
        <v>1</v>
      </c>
      <c r="M4183" t="str">
        <f>"יח"</f>
        <v>יח</v>
      </c>
      <c r="N4183">
        <v>1</v>
      </c>
      <c r="O4183" t="str">
        <f>"יח"</f>
        <v>יח</v>
      </c>
      <c r="P4183" s="2">
        <v>2500</v>
      </c>
      <c r="Q4183" t="str">
        <f>"$"</f>
        <v>$</v>
      </c>
      <c r="R4183" t="str">
        <f>"הזמנה"</f>
        <v>הזמנה</v>
      </c>
      <c r="S4183">
        <v>0</v>
      </c>
      <c r="T4183" s="2">
        <v>2500</v>
      </c>
      <c r="U4183">
        <v>0</v>
      </c>
      <c r="V4183" s="2">
        <v>2500</v>
      </c>
      <c r="W4183" t="str">
        <f>"$"</f>
        <v>$</v>
      </c>
      <c r="X4183">
        <v>0</v>
      </c>
      <c r="Y4183">
        <v>0</v>
      </c>
      <c r="Z4183">
        <v>0</v>
      </c>
      <c r="AA4183" t="str">
        <f>"Y"</f>
        <v>Y</v>
      </c>
      <c r="AB4183" t="str">
        <f>"SO17000569"</f>
        <v>SO17000569</v>
      </c>
      <c r="AC4183">
        <v>2</v>
      </c>
      <c r="AD4183" s="1">
        <v>42967</v>
      </c>
      <c r="AM4183" t="str">
        <f>"10"</f>
        <v>10</v>
      </c>
      <c r="AN4183" t="str">
        <f>"500000"</f>
        <v>500000</v>
      </c>
      <c r="AO4183" t="str">
        <f>"הכנסות  מלקוחות"</f>
        <v>הכנסות  מלקוחות</v>
      </c>
      <c r="AQ4183" t="str">
        <f>"007"</f>
        <v>007</v>
      </c>
      <c r="AR4183">
        <v>0</v>
      </c>
      <c r="AS4183">
        <v>0</v>
      </c>
      <c r="AT4183">
        <v>3.6429999999999998</v>
      </c>
      <c r="AX4183" t="str">
        <f>"E000244742"</f>
        <v>E000244742</v>
      </c>
      <c r="BD4183" t="str">
        <f>"רוני דידי"</f>
        <v>רוני דידי</v>
      </c>
    </row>
    <row r="4184" spans="1:56" x14ac:dyDescent="0.3">
      <c r="A4184" s="1">
        <v>43297</v>
      </c>
      <c r="B4184" t="str">
        <f>"SI186000840"</f>
        <v>SI186000840</v>
      </c>
      <c r="E4184" t="str">
        <f>"Y"</f>
        <v>Y</v>
      </c>
      <c r="F4184" t="str">
        <f>"חשבוניות מרכזות"</f>
        <v>חשבוניות מרכזות</v>
      </c>
      <c r="G4184" t="str">
        <f>"700065"</f>
        <v>700065</v>
      </c>
      <c r="H4184" t="str">
        <f>"אלתא מערכות בע""מ"</f>
        <v>אלתא מערכות בע"מ</v>
      </c>
      <c r="I4184" t="str">
        <f>"10"</f>
        <v>10</v>
      </c>
      <c r="J4184" t="str">
        <f>"000"</f>
        <v>000</v>
      </c>
      <c r="K4184" t="str">
        <f>"התקנת מערכת בקרה באתר"</f>
        <v>התקנת מערכת בקרה באתר</v>
      </c>
      <c r="L4184">
        <v>1</v>
      </c>
      <c r="M4184" t="str">
        <f>"יח"</f>
        <v>יח</v>
      </c>
      <c r="N4184">
        <v>1</v>
      </c>
      <c r="O4184" t="str">
        <f>"יח"</f>
        <v>יח</v>
      </c>
      <c r="P4184">
        <v>900</v>
      </c>
      <c r="Q4184" t="str">
        <f>"$"</f>
        <v>$</v>
      </c>
      <c r="R4184" t="str">
        <f>"הזמנה"</f>
        <v>הזמנה</v>
      </c>
      <c r="S4184">
        <v>0</v>
      </c>
      <c r="T4184">
        <v>900</v>
      </c>
      <c r="U4184">
        <v>0</v>
      </c>
      <c r="V4184">
        <v>900</v>
      </c>
      <c r="W4184" t="str">
        <f>"$"</f>
        <v>$</v>
      </c>
      <c r="X4184">
        <v>0</v>
      </c>
      <c r="Y4184">
        <v>0</v>
      </c>
      <c r="Z4184">
        <v>0</v>
      </c>
      <c r="AA4184" t="str">
        <f>"Y"</f>
        <v>Y</v>
      </c>
      <c r="AB4184" t="str">
        <f>"SO17000569"</f>
        <v>SO17000569</v>
      </c>
      <c r="AC4184">
        <v>3</v>
      </c>
      <c r="AD4184" s="1">
        <v>42967</v>
      </c>
      <c r="AM4184" t="str">
        <f>"10"</f>
        <v>10</v>
      </c>
      <c r="AN4184" t="str">
        <f>"500000"</f>
        <v>500000</v>
      </c>
      <c r="AO4184" t="str">
        <f>"הכנסות  מלקוחות"</f>
        <v>הכנסות  מלקוחות</v>
      </c>
      <c r="AQ4184" t="str">
        <f>"007"</f>
        <v>007</v>
      </c>
      <c r="AR4184">
        <v>0</v>
      </c>
      <c r="AS4184">
        <v>0</v>
      </c>
      <c r="AT4184">
        <v>3.6429999999999998</v>
      </c>
      <c r="AX4184" t="str">
        <f>"E000244742"</f>
        <v>E000244742</v>
      </c>
      <c r="BD4184" t="str">
        <f>"רוני דידי"</f>
        <v>רוני דידי</v>
      </c>
    </row>
    <row r="4185" spans="1:56" x14ac:dyDescent="0.3">
      <c r="A4185" s="1">
        <v>43297</v>
      </c>
      <c r="B4185" t="str">
        <f>"SI186000840"</f>
        <v>SI186000840</v>
      </c>
      <c r="E4185" t="str">
        <f>"Y"</f>
        <v>Y</v>
      </c>
      <c r="F4185" t="str">
        <f>"חשבוניות מרכזות"</f>
        <v>חשבוניות מרכזות</v>
      </c>
      <c r="G4185" t="str">
        <f>"700065"</f>
        <v>700065</v>
      </c>
      <c r="H4185" t="str">
        <f>"אלתא מערכות בע""מ"</f>
        <v>אלתא מערכות בע"מ</v>
      </c>
      <c r="I4185" t="str">
        <f>"10"</f>
        <v>10</v>
      </c>
      <c r="J4185" t="str">
        <f>"000"</f>
        <v>000</v>
      </c>
      <c r="K4185" t="str">
        <f>"ממיר F/O ETH"</f>
        <v>ממיר F/O ETH</v>
      </c>
      <c r="L4185">
        <v>1</v>
      </c>
      <c r="M4185" t="str">
        <f>"יח"</f>
        <v>יח</v>
      </c>
      <c r="N4185">
        <v>1</v>
      </c>
      <c r="O4185" t="str">
        <f>"יח"</f>
        <v>יח</v>
      </c>
      <c r="P4185">
        <v>470</v>
      </c>
      <c r="Q4185" t="str">
        <f>"$"</f>
        <v>$</v>
      </c>
      <c r="R4185" t="str">
        <f>"הזמנה"</f>
        <v>הזמנה</v>
      </c>
      <c r="S4185">
        <v>0</v>
      </c>
      <c r="T4185">
        <v>470</v>
      </c>
      <c r="U4185">
        <v>0</v>
      </c>
      <c r="V4185">
        <v>470</v>
      </c>
      <c r="W4185" t="str">
        <f>"$"</f>
        <v>$</v>
      </c>
      <c r="X4185">
        <v>0</v>
      </c>
      <c r="Y4185">
        <v>0</v>
      </c>
      <c r="Z4185">
        <v>0</v>
      </c>
      <c r="AA4185" t="str">
        <f>"Y"</f>
        <v>Y</v>
      </c>
      <c r="AB4185" t="str">
        <f>"SO17000569"</f>
        <v>SO17000569</v>
      </c>
      <c r="AC4185">
        <v>4</v>
      </c>
      <c r="AD4185" s="1">
        <v>42967</v>
      </c>
      <c r="AM4185" t="str">
        <f>"10"</f>
        <v>10</v>
      </c>
      <c r="AN4185" t="str">
        <f>"500000"</f>
        <v>500000</v>
      </c>
      <c r="AO4185" t="str">
        <f>"הכנסות  מלקוחות"</f>
        <v>הכנסות  מלקוחות</v>
      </c>
      <c r="AQ4185" t="str">
        <f>"007"</f>
        <v>007</v>
      </c>
      <c r="AR4185">
        <v>0</v>
      </c>
      <c r="AS4185">
        <v>0</v>
      </c>
      <c r="AT4185">
        <v>3.6429999999999998</v>
      </c>
      <c r="AX4185" t="str">
        <f>"E000244742"</f>
        <v>E000244742</v>
      </c>
      <c r="BD4185" t="str">
        <f>"רוני דידי"</f>
        <v>רוני דידי</v>
      </c>
    </row>
    <row r="4186" spans="1:56" x14ac:dyDescent="0.3">
      <c r="A4186" s="1">
        <v>43296</v>
      </c>
      <c r="B4186" t="str">
        <f>"SI186000834"</f>
        <v>SI186000834</v>
      </c>
      <c r="C4186" t="str">
        <f>"PR15003502"</f>
        <v>PR15003502</v>
      </c>
      <c r="E4186" t="str">
        <f>"Y"</f>
        <v>Y</v>
      </c>
      <c r="F4186" t="str">
        <f>"חשבוניות מרכזות"</f>
        <v>חשבוניות מרכזות</v>
      </c>
      <c r="G4186" t="str">
        <f>"700065"</f>
        <v>700065</v>
      </c>
      <c r="H4186" t="str">
        <f>"אלתא מערכות בע""מ"</f>
        <v>אלתא מערכות בע"מ</v>
      </c>
      <c r="I4186" t="str">
        <f>"10"</f>
        <v>10</v>
      </c>
      <c r="J4186" t="str">
        <f>"OP-AR09105"</f>
        <v>OP-AR09105</v>
      </c>
      <c r="K4186" t="str">
        <f>"לוח LB-PDB מק""ט לקוח 1026L310-002"</f>
        <v>לוח LB-PDB מק"ט לקוח 1026L310-002</v>
      </c>
      <c r="L4186">
        <v>1</v>
      </c>
      <c r="M4186" t="str">
        <f>"יח"</f>
        <v>יח</v>
      </c>
      <c r="N4186">
        <v>1</v>
      </c>
      <c r="O4186" t="str">
        <f>"יח"</f>
        <v>יח</v>
      </c>
      <c r="P4186" s="2">
        <v>25450</v>
      </c>
      <c r="Q4186" t="str">
        <f>"$"</f>
        <v>$</v>
      </c>
      <c r="R4186" t="str">
        <f>"הזמנה"</f>
        <v>הזמנה</v>
      </c>
      <c r="S4186">
        <v>0</v>
      </c>
      <c r="T4186" s="2">
        <v>25450</v>
      </c>
      <c r="U4186">
        <v>0</v>
      </c>
      <c r="V4186" s="2">
        <v>25450</v>
      </c>
      <c r="W4186" t="str">
        <f>"$"</f>
        <v>$</v>
      </c>
      <c r="X4186">
        <v>0</v>
      </c>
      <c r="Y4186">
        <v>0</v>
      </c>
      <c r="Z4186">
        <v>0</v>
      </c>
      <c r="AA4186" t="str">
        <f>"Y"</f>
        <v>Y</v>
      </c>
      <c r="AB4186" t="str">
        <f>"SO12T000001"</f>
        <v>SO12T000001</v>
      </c>
      <c r="AC4186">
        <v>41</v>
      </c>
      <c r="AD4186" s="1">
        <v>41256</v>
      </c>
      <c r="AE4186" t="str">
        <f>"SH18001222"</f>
        <v>SH18001222</v>
      </c>
      <c r="AF4186" t="str">
        <f>"משלוחים ללקוח"</f>
        <v>משלוחים ללקוח</v>
      </c>
      <c r="AG4186" s="1">
        <v>43293</v>
      </c>
      <c r="AM4186" t="str">
        <f>"10"</f>
        <v>10</v>
      </c>
      <c r="AN4186" t="str">
        <f>"500000"</f>
        <v>500000</v>
      </c>
      <c r="AO4186" t="str">
        <f>"הכנסות  מלקוחות"</f>
        <v>הכנסות  מלקוחות</v>
      </c>
      <c r="AQ4186" t="str">
        <f>"007"</f>
        <v>007</v>
      </c>
      <c r="AR4186">
        <v>0</v>
      </c>
      <c r="AS4186">
        <v>0</v>
      </c>
      <c r="AT4186">
        <v>3.6429999999999998</v>
      </c>
      <c r="AX4186" t="str">
        <f>"E000093662"</f>
        <v>E000093662</v>
      </c>
      <c r="BD4186" t="str">
        <f>"רוני דידי"</f>
        <v>רוני דידי</v>
      </c>
    </row>
    <row r="4187" spans="1:56" x14ac:dyDescent="0.3">
      <c r="A4187" s="1">
        <v>43296</v>
      </c>
      <c r="B4187" t="str">
        <f>"SI186000833"</f>
        <v>SI186000833</v>
      </c>
      <c r="C4187" t="str">
        <f>"PR18000006"</f>
        <v>PR18000006</v>
      </c>
      <c r="E4187" t="str">
        <f>"Y"</f>
        <v>Y</v>
      </c>
      <c r="F4187" t="str">
        <f>"חשבוניות מרכזות"</f>
        <v>חשבוניות מרכזות</v>
      </c>
      <c r="G4187" t="str">
        <f>"700065"</f>
        <v>700065</v>
      </c>
      <c r="H4187" t="str">
        <f>"אלתא מערכות בע""מ"</f>
        <v>אלתא מערכות בע"מ</v>
      </c>
      <c r="I4187" t="str">
        <f>"10"</f>
        <v>10</v>
      </c>
      <c r="J4187" t="str">
        <f>"OP-AR00860"</f>
        <v>OP-AR00860</v>
      </c>
      <c r="K4187" t="str">
        <f>"SITE PDB SPARE PARTS 1031W280-001"</f>
        <v>SITE PDB SPARE PARTS 1031W280-001</v>
      </c>
      <c r="L4187">
        <v>2</v>
      </c>
      <c r="M4187" t="str">
        <f>"יח"</f>
        <v>יח</v>
      </c>
      <c r="N4187">
        <v>2</v>
      </c>
      <c r="O4187" t="str">
        <f>"יח"</f>
        <v>יח</v>
      </c>
      <c r="P4187" s="2">
        <v>23342</v>
      </c>
      <c r="Q4187" t="str">
        <f>"$"</f>
        <v>$</v>
      </c>
      <c r="R4187" t="str">
        <f>"הזמנה"</f>
        <v>הזמנה</v>
      </c>
      <c r="S4187">
        <v>0</v>
      </c>
      <c r="T4187" s="2">
        <v>46684</v>
      </c>
      <c r="U4187">
        <v>0</v>
      </c>
      <c r="V4187" s="2">
        <v>46684</v>
      </c>
      <c r="W4187" t="str">
        <f>"$"</f>
        <v>$</v>
      </c>
      <c r="X4187">
        <v>0</v>
      </c>
      <c r="Y4187">
        <v>0</v>
      </c>
      <c r="Z4187">
        <v>0</v>
      </c>
      <c r="AA4187" t="str">
        <f>"Y"</f>
        <v>Y</v>
      </c>
      <c r="AB4187" t="str">
        <f>"SO18000020"</f>
        <v>SO18000020</v>
      </c>
      <c r="AC4187">
        <v>1</v>
      </c>
      <c r="AD4187" s="1">
        <v>43110</v>
      </c>
      <c r="AE4187" t="str">
        <f>"SH18001216"</f>
        <v>SH18001216</v>
      </c>
      <c r="AF4187" t="str">
        <f>"משלוחים ללקוח"</f>
        <v>משלוחים ללקוח</v>
      </c>
      <c r="AG4187" s="1">
        <v>43291</v>
      </c>
      <c r="AM4187" t="str">
        <f>"10"</f>
        <v>10</v>
      </c>
      <c r="AN4187" t="str">
        <f>"500000"</f>
        <v>500000</v>
      </c>
      <c r="AO4187" t="str">
        <f>"הכנסות  מלקוחות"</f>
        <v>הכנסות  מלקוחות</v>
      </c>
      <c r="AQ4187" t="str">
        <f>"007"</f>
        <v>007</v>
      </c>
      <c r="AR4187">
        <v>0</v>
      </c>
      <c r="AS4187">
        <v>0</v>
      </c>
      <c r="AT4187">
        <v>3.6429999999999998</v>
      </c>
      <c r="AX4187" t="str">
        <f>"E000252539"</f>
        <v>E000252539</v>
      </c>
      <c r="BD4187" t="str">
        <f>"רוני דידי"</f>
        <v>רוני דידי</v>
      </c>
    </row>
    <row r="4188" spans="1:56" x14ac:dyDescent="0.3">
      <c r="A4188" s="1">
        <v>43284</v>
      </c>
      <c r="B4188" t="str">
        <f>"SI186000787"</f>
        <v>SI186000787</v>
      </c>
      <c r="C4188" t="str">
        <f>"PR18000360"</f>
        <v>PR18000360</v>
      </c>
      <c r="E4188" t="str">
        <f>"Y"</f>
        <v>Y</v>
      </c>
      <c r="F4188" t="str">
        <f>"חשבוניות מרכזות"</f>
        <v>חשבוניות מרכזות</v>
      </c>
      <c r="G4188" t="str">
        <f>"700065"</f>
        <v>700065</v>
      </c>
      <c r="H4188" t="str">
        <f>"אלתא מערכות בע""מ"</f>
        <v>אלתא מערכות בע"מ</v>
      </c>
      <c r="I4188" t="str">
        <f>"10"</f>
        <v>10</v>
      </c>
      <c r="J4188" t="str">
        <f>"PS0431135"</f>
        <v>PS0431135</v>
      </c>
      <c r="K4188" t="str">
        <f>"EPC BRAVO MODULES/48VDC TO 230VAC 2.5KVA"</f>
        <v>EPC BRAVO MODULES/48VDC TO 230VAC 2.5KVA</v>
      </c>
      <c r="L4188">
        <v>2</v>
      </c>
      <c r="M4188" t="str">
        <f>"יח"</f>
        <v>יח</v>
      </c>
      <c r="N4188">
        <v>2</v>
      </c>
      <c r="O4188" t="str">
        <f>"יח"</f>
        <v>יח</v>
      </c>
      <c r="P4188" s="2">
        <v>1350</v>
      </c>
      <c r="Q4188" t="str">
        <f>"$"</f>
        <v>$</v>
      </c>
      <c r="R4188" t="str">
        <f>"הזמנה"</f>
        <v>הזמנה</v>
      </c>
      <c r="S4188">
        <v>0</v>
      </c>
      <c r="T4188" s="2">
        <v>2700</v>
      </c>
      <c r="U4188">
        <v>0</v>
      </c>
      <c r="V4188" s="2">
        <v>2700</v>
      </c>
      <c r="W4188" t="str">
        <f>"$"</f>
        <v>$</v>
      </c>
      <c r="X4188">
        <v>0</v>
      </c>
      <c r="Y4188">
        <v>0</v>
      </c>
      <c r="Z4188">
        <v>0</v>
      </c>
      <c r="AA4188" t="str">
        <f>"Y"</f>
        <v>Y</v>
      </c>
      <c r="AB4188" t="str">
        <f>"SO18000284"</f>
        <v>SO18000284</v>
      </c>
      <c r="AC4188">
        <v>1</v>
      </c>
      <c r="AD4188" s="1">
        <v>43228</v>
      </c>
      <c r="AE4188" t="str">
        <f>"SH18001168"</f>
        <v>SH18001168</v>
      </c>
      <c r="AF4188" t="str">
        <f>"משלוחים ללקוח"</f>
        <v>משלוחים ללקוח</v>
      </c>
      <c r="AG4188" s="1">
        <v>43283</v>
      </c>
      <c r="AM4188" t="str">
        <f>"10"</f>
        <v>10</v>
      </c>
      <c r="AN4188" t="str">
        <f>"500000"</f>
        <v>500000</v>
      </c>
      <c r="AO4188" t="str">
        <f>"הכנסות  מלקוחות"</f>
        <v>הכנסות  מלקוחות</v>
      </c>
      <c r="AQ4188" t="str">
        <f>"007"</f>
        <v>007</v>
      </c>
      <c r="AR4188">
        <v>0</v>
      </c>
      <c r="AS4188">
        <v>0</v>
      </c>
      <c r="AT4188">
        <v>3.661</v>
      </c>
      <c r="AX4188" t="str">
        <f>"E000259883"</f>
        <v>E000259883</v>
      </c>
      <c r="BD4188" t="str">
        <f>"רוני דידי"</f>
        <v>רוני דידי</v>
      </c>
    </row>
    <row r="4189" spans="1:56" x14ac:dyDescent="0.3">
      <c r="A4189" s="1">
        <v>43277</v>
      </c>
      <c r="B4189" t="str">
        <f>"SI186000756"</f>
        <v>SI186000756</v>
      </c>
      <c r="C4189" t="str">
        <f>"PR15003238"</f>
        <v>PR15003238</v>
      </c>
      <c r="E4189" t="str">
        <f>"Y"</f>
        <v>Y</v>
      </c>
      <c r="F4189" t="str">
        <f>"חשבוניות מרכזות"</f>
        <v>חשבוניות מרכזות</v>
      </c>
      <c r="G4189" t="str">
        <f>"700065"</f>
        <v>700065</v>
      </c>
      <c r="H4189" t="str">
        <f>"אלתא מערכות בע""מ"</f>
        <v>אלתא מערכות בע"מ</v>
      </c>
      <c r="I4189" t="str">
        <f>"10"</f>
        <v>10</v>
      </c>
      <c r="J4189" t="str">
        <f>"OP-AR09107-2"</f>
        <v>OP-AR09107-2</v>
      </c>
      <c r="K4189" t="str">
        <f>"לוח AUX BOX מק""ט לקוח 1026L320-002"</f>
        <v>לוח AUX BOX מק"ט לקוח 1026L320-002</v>
      </c>
      <c r="L4189">
        <v>1</v>
      </c>
      <c r="M4189" t="str">
        <f>"יח"</f>
        <v>יח</v>
      </c>
      <c r="N4189">
        <v>1</v>
      </c>
      <c r="O4189" t="str">
        <f>"יח"</f>
        <v>יח</v>
      </c>
      <c r="P4189" s="2">
        <v>11263.95</v>
      </c>
      <c r="Q4189" t="str">
        <f>"$"</f>
        <v>$</v>
      </c>
      <c r="R4189" t="str">
        <f>"הזמנה"</f>
        <v>הזמנה</v>
      </c>
      <c r="S4189">
        <v>0</v>
      </c>
      <c r="T4189" s="2">
        <v>11263.95</v>
      </c>
      <c r="U4189">
        <v>0</v>
      </c>
      <c r="V4189" s="2">
        <v>11263.95</v>
      </c>
      <c r="W4189" t="str">
        <f>"$"</f>
        <v>$</v>
      </c>
      <c r="X4189">
        <v>0</v>
      </c>
      <c r="Y4189">
        <v>0</v>
      </c>
      <c r="Z4189">
        <v>0</v>
      </c>
      <c r="AA4189" t="str">
        <f>"Y"</f>
        <v>Y</v>
      </c>
      <c r="AB4189" t="str">
        <f>"SO150003697"</f>
        <v>SO150003697</v>
      </c>
      <c r="AC4189">
        <v>16</v>
      </c>
      <c r="AD4189" s="1">
        <v>42283</v>
      </c>
      <c r="AE4189" t="str">
        <f>"SH18001137"</f>
        <v>SH18001137</v>
      </c>
      <c r="AF4189" t="str">
        <f>"משלוחים ללקוח"</f>
        <v>משלוחים ללקוח</v>
      </c>
      <c r="AG4189" s="1">
        <v>43276</v>
      </c>
      <c r="AM4189" t="str">
        <f>"10"</f>
        <v>10</v>
      </c>
      <c r="AN4189" t="str">
        <f>"500000"</f>
        <v>500000</v>
      </c>
      <c r="AO4189" t="str">
        <f>"הכנסות  מלקוחות"</f>
        <v>הכנסות  מלקוחות</v>
      </c>
      <c r="AQ4189" t="str">
        <f>"007"</f>
        <v>007</v>
      </c>
      <c r="AR4189">
        <v>0</v>
      </c>
      <c r="AS4189">
        <v>0</v>
      </c>
      <c r="AT4189">
        <v>3.6160000000000001</v>
      </c>
      <c r="AX4189" t="str">
        <f>"E000200592"</f>
        <v>E000200592</v>
      </c>
      <c r="BD4189" t="str">
        <f>"רוני דידי"</f>
        <v>רוני דידי</v>
      </c>
    </row>
    <row r="4190" spans="1:56" x14ac:dyDescent="0.3">
      <c r="A4190" s="1">
        <v>43277</v>
      </c>
      <c r="B4190" t="str">
        <f>"SI186000755"</f>
        <v>SI186000755</v>
      </c>
      <c r="C4190" t="str">
        <f>"PR18000420"</f>
        <v>PR18000420</v>
      </c>
      <c r="D4190" t="str">
        <f>"PR18000420"</f>
        <v>PR18000420</v>
      </c>
      <c r="E4190" t="str">
        <f>"Y"</f>
        <v>Y</v>
      </c>
      <c r="F4190" t="str">
        <f>"חשבוניות מרכזות"</f>
        <v>חשבוניות מרכזות</v>
      </c>
      <c r="G4190" t="str">
        <f>"700065"</f>
        <v>700065</v>
      </c>
      <c r="H4190" t="str">
        <f>"אלתא מערכות בע""מ"</f>
        <v>אלתא מערכות בע"מ</v>
      </c>
      <c r="I4190" t="str">
        <f>"10"</f>
        <v>10</v>
      </c>
      <c r="J4190" t="str">
        <f>"OP-AR00454"</f>
        <v>OP-AR00454</v>
      </c>
      <c r="K4190" t="str">
        <f>"PDU 380V/50HZ/3 PH AC POWER BOX"</f>
        <v>PDU 380V/50HZ/3 PH AC POWER BOX</v>
      </c>
      <c r="L4190">
        <v>1</v>
      </c>
      <c r="M4190" t="str">
        <f>"יח"</f>
        <v>יח</v>
      </c>
      <c r="N4190">
        <v>1</v>
      </c>
      <c r="O4190" t="str">
        <f>"יח"</f>
        <v>יח</v>
      </c>
      <c r="P4190" s="2">
        <v>1150</v>
      </c>
      <c r="Q4190" t="str">
        <f>"$"</f>
        <v>$</v>
      </c>
      <c r="R4190" t="str">
        <f>"הזמנה"</f>
        <v>הזמנה</v>
      </c>
      <c r="S4190">
        <v>0</v>
      </c>
      <c r="T4190" s="2">
        <v>1150</v>
      </c>
      <c r="U4190">
        <v>0</v>
      </c>
      <c r="V4190" s="2">
        <v>1150</v>
      </c>
      <c r="W4190" t="str">
        <f>"$"</f>
        <v>$</v>
      </c>
      <c r="X4190">
        <v>0</v>
      </c>
      <c r="Y4190">
        <v>0</v>
      </c>
      <c r="Z4190">
        <v>0</v>
      </c>
      <c r="AA4190" t="str">
        <f>"Y"</f>
        <v>Y</v>
      </c>
      <c r="AB4190" t="str">
        <f>"SO18000290"</f>
        <v>SO18000290</v>
      </c>
      <c r="AC4190">
        <v>1</v>
      </c>
      <c r="AD4190" s="1">
        <v>43230</v>
      </c>
      <c r="AE4190" t="str">
        <f>"SH18001136"</f>
        <v>SH18001136</v>
      </c>
      <c r="AF4190" t="str">
        <f>"משלוחים ללקוח"</f>
        <v>משלוחים ללקוח</v>
      </c>
      <c r="AG4190" s="1">
        <v>43276</v>
      </c>
      <c r="AM4190" t="str">
        <f>"10"</f>
        <v>10</v>
      </c>
      <c r="AN4190" t="str">
        <f>"500000"</f>
        <v>500000</v>
      </c>
      <c r="AO4190" t="str">
        <f>"הכנסות  מלקוחות"</f>
        <v>הכנסות  מלקוחות</v>
      </c>
      <c r="AQ4190" t="str">
        <f>"007"</f>
        <v>007</v>
      </c>
      <c r="AR4190">
        <v>0</v>
      </c>
      <c r="AS4190">
        <v>0</v>
      </c>
      <c r="AT4190">
        <v>3.6160000000000001</v>
      </c>
      <c r="AX4190" t="str">
        <f>"E000261445"</f>
        <v>E000261445</v>
      </c>
      <c r="BD4190" t="str">
        <f>"רוני דידי"</f>
        <v>רוני דידי</v>
      </c>
    </row>
    <row r="4191" spans="1:56" x14ac:dyDescent="0.3">
      <c r="A4191" s="1">
        <v>43277</v>
      </c>
      <c r="B4191" t="str">
        <f>"SI186000754"</f>
        <v>SI186000754</v>
      </c>
      <c r="C4191" t="str">
        <f>"PR18000419"</f>
        <v>PR18000419</v>
      </c>
      <c r="D4191" t="str">
        <f>"PR18000419"</f>
        <v>PR18000419</v>
      </c>
      <c r="E4191" t="str">
        <f>"Y"</f>
        <v>Y</v>
      </c>
      <c r="F4191" t="str">
        <f>"חשבוניות מרכזות"</f>
        <v>חשבוניות מרכזות</v>
      </c>
      <c r="G4191" t="str">
        <f>"700065"</f>
        <v>700065</v>
      </c>
      <c r="H4191" t="str">
        <f>"אלתא מערכות בע""מ"</f>
        <v>אלתא מערכות בע"מ</v>
      </c>
      <c r="I4191" t="str">
        <f>"10"</f>
        <v>10</v>
      </c>
      <c r="J4191" t="str">
        <f>"OP-AR00454"</f>
        <v>OP-AR00454</v>
      </c>
      <c r="K4191" t="str">
        <f>"PDU 380V/50HZ/3 PH AC POWER BOX"</f>
        <v>PDU 380V/50HZ/3 PH AC POWER BOX</v>
      </c>
      <c r="L4191">
        <v>1</v>
      </c>
      <c r="M4191" t="str">
        <f>"יח"</f>
        <v>יח</v>
      </c>
      <c r="N4191">
        <v>1</v>
      </c>
      <c r="O4191" t="str">
        <f>"יח"</f>
        <v>יח</v>
      </c>
      <c r="P4191" s="2">
        <v>1150</v>
      </c>
      <c r="Q4191" t="str">
        <f>"$"</f>
        <v>$</v>
      </c>
      <c r="R4191" t="str">
        <f>"ידני"</f>
        <v>ידני</v>
      </c>
      <c r="S4191">
        <v>0</v>
      </c>
      <c r="T4191" s="2">
        <v>1150</v>
      </c>
      <c r="U4191">
        <v>0</v>
      </c>
      <c r="V4191" s="2">
        <v>1150</v>
      </c>
      <c r="W4191" t="str">
        <f>"$"</f>
        <v>$</v>
      </c>
      <c r="X4191">
        <v>0</v>
      </c>
      <c r="Y4191">
        <v>0</v>
      </c>
      <c r="Z4191">
        <v>0</v>
      </c>
      <c r="AA4191" t="str">
        <f>"Y"</f>
        <v>Y</v>
      </c>
      <c r="AB4191" t="str">
        <f>"SO18000276"</f>
        <v>SO18000276</v>
      </c>
      <c r="AC4191">
        <v>1</v>
      </c>
      <c r="AD4191" s="1">
        <v>43223</v>
      </c>
      <c r="AE4191" t="str">
        <f>"SH18001135"</f>
        <v>SH18001135</v>
      </c>
      <c r="AF4191" t="str">
        <f>"משלוחים ללקוח"</f>
        <v>משלוחים ללקוח</v>
      </c>
      <c r="AG4191" s="1">
        <v>43276</v>
      </c>
      <c r="AM4191" t="str">
        <f>"10"</f>
        <v>10</v>
      </c>
      <c r="AN4191" t="str">
        <f>"500000"</f>
        <v>500000</v>
      </c>
      <c r="AO4191" t="str">
        <f>"הכנסות  מלקוחות"</f>
        <v>הכנסות  מלקוחות</v>
      </c>
      <c r="AQ4191" t="str">
        <f>"007"</f>
        <v>007</v>
      </c>
      <c r="AR4191">
        <v>0</v>
      </c>
      <c r="AS4191">
        <v>0</v>
      </c>
      <c r="AT4191">
        <v>3.6160000000000001</v>
      </c>
      <c r="AX4191" t="str">
        <f>"E000261019"</f>
        <v>E000261019</v>
      </c>
      <c r="BD4191" t="str">
        <f>"רוני דידי"</f>
        <v>רוני דידי</v>
      </c>
    </row>
    <row r="4192" spans="1:56" x14ac:dyDescent="0.3">
      <c r="A4192" s="1">
        <v>43264</v>
      </c>
      <c r="B4192" t="str">
        <f>"SI186000703"</f>
        <v>SI186000703</v>
      </c>
      <c r="C4192" t="str">
        <f>"PR18000337"</f>
        <v>PR18000337</v>
      </c>
      <c r="D4192" t="str">
        <f>"PR18000337"</f>
        <v>PR18000337</v>
      </c>
      <c r="E4192" t="str">
        <f>"Y"</f>
        <v>Y</v>
      </c>
      <c r="F4192" t="str">
        <f>"חשבוניות מרכזות"</f>
        <v>חשבוניות מרכזות</v>
      </c>
      <c r="G4192" t="str">
        <f>"700065"</f>
        <v>700065</v>
      </c>
      <c r="H4192" t="str">
        <f>"אלתא מערכות בע""מ"</f>
        <v>אלתא מערכות בע"מ</v>
      </c>
      <c r="I4192" t="str">
        <f>"10"</f>
        <v>10</v>
      </c>
      <c r="J4192" t="str">
        <f>"OP-AR00454"</f>
        <v>OP-AR00454</v>
      </c>
      <c r="K4192" t="str">
        <f>"PDU 380V/50HZ/3 PH AC POWER BOX"</f>
        <v>PDU 380V/50HZ/3 PH AC POWER BOX</v>
      </c>
      <c r="L4192">
        <v>1</v>
      </c>
      <c r="M4192" t="str">
        <f>"יח"</f>
        <v>יח</v>
      </c>
      <c r="N4192">
        <v>1</v>
      </c>
      <c r="O4192" t="str">
        <f>"יח"</f>
        <v>יח</v>
      </c>
      <c r="P4192" s="2">
        <v>1150</v>
      </c>
      <c r="Q4192" t="str">
        <f>"$"</f>
        <v>$</v>
      </c>
      <c r="R4192" t="str">
        <f>"הזמנה"</f>
        <v>הזמנה</v>
      </c>
      <c r="S4192">
        <v>0</v>
      </c>
      <c r="T4192" s="2">
        <v>1150</v>
      </c>
      <c r="U4192">
        <v>0</v>
      </c>
      <c r="V4192" s="2">
        <v>1150</v>
      </c>
      <c r="W4192" t="str">
        <f>"$"</f>
        <v>$</v>
      </c>
      <c r="X4192">
        <v>0</v>
      </c>
      <c r="Y4192">
        <v>0</v>
      </c>
      <c r="Z4192">
        <v>0</v>
      </c>
      <c r="AA4192" t="str">
        <f>"Y"</f>
        <v>Y</v>
      </c>
      <c r="AB4192" t="str">
        <f>"SO18000270"</f>
        <v>SO18000270</v>
      </c>
      <c r="AC4192">
        <v>1</v>
      </c>
      <c r="AD4192" s="1">
        <v>43223</v>
      </c>
      <c r="AE4192" t="str">
        <f>"SH18001072"</f>
        <v>SH18001072</v>
      </c>
      <c r="AF4192" t="str">
        <f>"משלוחים ללקוח"</f>
        <v>משלוחים ללקוח</v>
      </c>
      <c r="AG4192" s="1">
        <v>43263</v>
      </c>
      <c r="AM4192" t="str">
        <f>"10"</f>
        <v>10</v>
      </c>
      <c r="AN4192" t="str">
        <f>"500000"</f>
        <v>500000</v>
      </c>
      <c r="AO4192" t="str">
        <f>"הכנסות  מלקוחות"</f>
        <v>הכנסות  מלקוחות</v>
      </c>
      <c r="AQ4192" t="str">
        <f>"007"</f>
        <v>007</v>
      </c>
      <c r="AR4192">
        <v>0</v>
      </c>
      <c r="AS4192">
        <v>0</v>
      </c>
      <c r="AT4192">
        <v>3.5779999999999998</v>
      </c>
      <c r="AX4192" t="str">
        <f>"E000258033"</f>
        <v>E000258033</v>
      </c>
      <c r="BD4192" t="str">
        <f>"רוני דידי"</f>
        <v>רוני דידי</v>
      </c>
    </row>
    <row r="4193" spans="1:56" x14ac:dyDescent="0.3">
      <c r="A4193" s="1">
        <v>43264</v>
      </c>
      <c r="B4193" t="str">
        <f>"SI186000702"</f>
        <v>SI186000702</v>
      </c>
      <c r="C4193" t="str">
        <f>"PR18000119"</f>
        <v>PR18000119</v>
      </c>
      <c r="D4193" t="str">
        <f>"PR18000119"</f>
        <v>PR18000119</v>
      </c>
      <c r="E4193" t="str">
        <f>"Y"</f>
        <v>Y</v>
      </c>
      <c r="F4193" t="str">
        <f>"חשבוניות מרכזות"</f>
        <v>חשבוניות מרכזות</v>
      </c>
      <c r="G4193" t="str">
        <f>"700065"</f>
        <v>700065</v>
      </c>
      <c r="H4193" t="str">
        <f>"אלתא מערכות בע""מ"</f>
        <v>אלתא מערכות בע"מ</v>
      </c>
      <c r="I4193" t="str">
        <f>"10"</f>
        <v>10</v>
      </c>
      <c r="J4193" t="str">
        <f>"OP-ML00117"</f>
        <v>OP-ML00117</v>
      </c>
      <c r="K4193" t="str">
        <f>"PDU 1U 110VAC 1PH"</f>
        <v>PDU 1U 110VAC 1PH</v>
      </c>
      <c r="L4193">
        <v>1</v>
      </c>
      <c r="M4193" t="str">
        <f>"יח"</f>
        <v>יח</v>
      </c>
      <c r="N4193">
        <v>1</v>
      </c>
      <c r="O4193" t="str">
        <f>"יח"</f>
        <v>יח</v>
      </c>
      <c r="P4193" s="2">
        <v>2848</v>
      </c>
      <c r="Q4193" t="str">
        <f>"$"</f>
        <v>$</v>
      </c>
      <c r="R4193" t="str">
        <f>"הזמנה"</f>
        <v>הזמנה</v>
      </c>
      <c r="S4193">
        <v>0</v>
      </c>
      <c r="T4193" s="2">
        <v>2848</v>
      </c>
      <c r="U4193">
        <v>0</v>
      </c>
      <c r="V4193" s="2">
        <v>2848</v>
      </c>
      <c r="W4193" t="str">
        <f>"$"</f>
        <v>$</v>
      </c>
      <c r="X4193">
        <v>0</v>
      </c>
      <c r="Y4193">
        <v>0</v>
      </c>
      <c r="Z4193">
        <v>0</v>
      </c>
      <c r="AA4193" t="str">
        <f>"Y"</f>
        <v>Y</v>
      </c>
      <c r="AB4193" t="str">
        <f>"SO18000214"</f>
        <v>SO18000214</v>
      </c>
      <c r="AC4193">
        <v>1</v>
      </c>
      <c r="AD4193" s="1">
        <v>43188</v>
      </c>
      <c r="AE4193" t="str">
        <f>"SH18001071"</f>
        <v>SH18001071</v>
      </c>
      <c r="AF4193" t="str">
        <f>"משלוחים ללקוח"</f>
        <v>משלוחים ללקוח</v>
      </c>
      <c r="AG4193" s="1">
        <v>43263</v>
      </c>
      <c r="AM4193" t="str">
        <f>"10"</f>
        <v>10</v>
      </c>
      <c r="AN4193" t="str">
        <f>"500000"</f>
        <v>500000</v>
      </c>
      <c r="AO4193" t="str">
        <f>"הכנסות  מלקוחות"</f>
        <v>הכנסות  מלקוחות</v>
      </c>
      <c r="AQ4193" t="str">
        <f>"007"</f>
        <v>007</v>
      </c>
      <c r="AR4193">
        <v>0</v>
      </c>
      <c r="AS4193">
        <v>0</v>
      </c>
      <c r="AT4193">
        <v>3.5779999999999998</v>
      </c>
      <c r="AX4193" t="str">
        <f>"E000258757"</f>
        <v>E000258757</v>
      </c>
      <c r="BD4193" t="str">
        <f>"רוני דידי"</f>
        <v>רוני דידי</v>
      </c>
    </row>
    <row r="4194" spans="1:56" x14ac:dyDescent="0.3">
      <c r="A4194" s="1">
        <v>43254</v>
      </c>
      <c r="B4194" t="str">
        <f>"SI186000803"</f>
        <v>SI186000803</v>
      </c>
      <c r="C4194" t="str">
        <f>"PR16000867"</f>
        <v>PR16000867</v>
      </c>
      <c r="E4194" t="str">
        <f>"Y"</f>
        <v>Y</v>
      </c>
      <c r="F4194" t="str">
        <f>"חשבוניות מרכזות"</f>
        <v>חשבוניות מרכזות</v>
      </c>
      <c r="G4194" t="str">
        <f>"700065"</f>
        <v>700065</v>
      </c>
      <c r="H4194" t="str">
        <f>"אלתא מערכות בע""מ"</f>
        <v>אלתא מערכות בע"מ</v>
      </c>
      <c r="I4194" t="str">
        <f>"10"</f>
        <v>10</v>
      </c>
      <c r="J4194" t="str">
        <f>"OP-AR00420"</f>
        <v>OP-AR00420</v>
      </c>
      <c r="K4194" t="str">
        <f>"CONTROL BOX 1037N840-001"</f>
        <v>CONTROL BOX 1037N840-001</v>
      </c>
      <c r="L4194">
        <v>1</v>
      </c>
      <c r="M4194" t="str">
        <f>"יח"</f>
        <v>יח</v>
      </c>
      <c r="N4194">
        <v>1</v>
      </c>
      <c r="O4194" t="str">
        <f>"יח"</f>
        <v>יח</v>
      </c>
      <c r="P4194" s="2">
        <v>4709.25</v>
      </c>
      <c r="Q4194" t="str">
        <f>"$"</f>
        <v>$</v>
      </c>
      <c r="R4194" t="str">
        <f>"הזמנה"</f>
        <v>הזמנה</v>
      </c>
      <c r="S4194">
        <v>0</v>
      </c>
      <c r="T4194" s="2">
        <v>4709.25</v>
      </c>
      <c r="U4194">
        <v>0</v>
      </c>
      <c r="V4194" s="2">
        <v>4709.25</v>
      </c>
      <c r="W4194" t="str">
        <f>"$"</f>
        <v>$</v>
      </c>
      <c r="X4194">
        <v>0</v>
      </c>
      <c r="Y4194">
        <v>0</v>
      </c>
      <c r="Z4194">
        <v>0</v>
      </c>
      <c r="AA4194" t="str">
        <f>"Y"</f>
        <v>Y</v>
      </c>
      <c r="AC4194">
        <v>0</v>
      </c>
      <c r="AM4194" t="str">
        <f>"10"</f>
        <v>10</v>
      </c>
      <c r="AN4194" t="str">
        <f>"500000"</f>
        <v>500000</v>
      </c>
      <c r="AO4194" t="str">
        <f>"הכנסות  מלקוחות"</f>
        <v>הכנסות  מלקוחות</v>
      </c>
      <c r="AQ4194" t="str">
        <f>"007"</f>
        <v>007</v>
      </c>
      <c r="AR4194">
        <v>0</v>
      </c>
      <c r="AS4194">
        <v>0</v>
      </c>
      <c r="AT4194">
        <v>3.5659999999999998</v>
      </c>
      <c r="BB4194" t="str">
        <f>"Y"</f>
        <v>Y</v>
      </c>
      <c r="BD4194" t="str">
        <f>"רוני דידי"</f>
        <v>רוני דידי</v>
      </c>
    </row>
    <row r="4195" spans="1:56" x14ac:dyDescent="0.3">
      <c r="A4195" s="1">
        <v>43254</v>
      </c>
      <c r="B4195" t="str">
        <f>"SI186000802"</f>
        <v>SI186000802</v>
      </c>
      <c r="C4195" t="str">
        <f>"PR16000867"</f>
        <v>PR16000867</v>
      </c>
      <c r="E4195" t="str">
        <f>"Y"</f>
        <v>Y</v>
      </c>
      <c r="F4195" t="str">
        <f>"חשבוניות מרכזות"</f>
        <v>חשבוניות מרכזות</v>
      </c>
      <c r="G4195" t="str">
        <f>"700065"</f>
        <v>700065</v>
      </c>
      <c r="H4195" t="str">
        <f>"אלתא מערכות בע""מ"</f>
        <v>אלתא מערכות בע"מ</v>
      </c>
      <c r="I4195" t="str">
        <f>"10"</f>
        <v>10</v>
      </c>
      <c r="J4195" t="str">
        <f>"OP-AR00420"</f>
        <v>OP-AR00420</v>
      </c>
      <c r="K4195" t="str">
        <f>"CONTROL BOX 1037N840-001"</f>
        <v>CONTROL BOX 1037N840-001</v>
      </c>
      <c r="L4195">
        <v>-1</v>
      </c>
      <c r="M4195" t="str">
        <f>"יח"</f>
        <v>יח</v>
      </c>
      <c r="N4195">
        <v>-1</v>
      </c>
      <c r="O4195" t="str">
        <f>"יח"</f>
        <v>יח</v>
      </c>
      <c r="P4195" s="2">
        <v>4709.25</v>
      </c>
      <c r="Q4195" t="str">
        <f>"$"</f>
        <v>$</v>
      </c>
      <c r="R4195" t="str">
        <f>"הזמנה"</f>
        <v>הזמנה</v>
      </c>
      <c r="S4195">
        <v>0</v>
      </c>
      <c r="T4195" s="2">
        <v>-4709.25</v>
      </c>
      <c r="U4195">
        <v>0</v>
      </c>
      <c r="V4195" s="2">
        <v>-4709.25</v>
      </c>
      <c r="W4195" t="str">
        <f>"$"</f>
        <v>$</v>
      </c>
      <c r="X4195">
        <v>0</v>
      </c>
      <c r="Y4195">
        <v>0</v>
      </c>
      <c r="Z4195">
        <v>0</v>
      </c>
      <c r="AA4195" t="str">
        <f>"Y"</f>
        <v>Y</v>
      </c>
      <c r="AC4195">
        <v>0</v>
      </c>
      <c r="AM4195" t="str">
        <f>"10"</f>
        <v>10</v>
      </c>
      <c r="AN4195" t="str">
        <f>"500000"</f>
        <v>500000</v>
      </c>
      <c r="AO4195" t="str">
        <f>"הכנסות  מלקוחות"</f>
        <v>הכנסות  מלקוחות</v>
      </c>
      <c r="AQ4195" t="str">
        <f>"007"</f>
        <v>007</v>
      </c>
      <c r="AR4195">
        <v>0</v>
      </c>
      <c r="AS4195">
        <v>0</v>
      </c>
      <c r="AT4195">
        <v>3.5129999999999999</v>
      </c>
      <c r="BB4195" t="str">
        <f>"Y"</f>
        <v>Y</v>
      </c>
      <c r="BD4195" t="str">
        <f>"רוני דידי"</f>
        <v>רוני דידי</v>
      </c>
    </row>
    <row r="4196" spans="1:56" x14ac:dyDescent="0.3">
      <c r="A4196" s="1">
        <v>43250</v>
      </c>
      <c r="B4196" t="str">
        <f>"SI186000642"</f>
        <v>SI186000642</v>
      </c>
      <c r="C4196" t="str">
        <f>"PR18000062"</f>
        <v>PR18000062</v>
      </c>
      <c r="E4196" t="str">
        <f>"Y"</f>
        <v>Y</v>
      </c>
      <c r="F4196" t="str">
        <f>"חשבוניות מרכזות"</f>
        <v>חשבוניות מרכזות</v>
      </c>
      <c r="G4196" t="str">
        <f>"700065"</f>
        <v>700065</v>
      </c>
      <c r="H4196" t="str">
        <f>"אלתא מערכות בע""מ"</f>
        <v>אלתא מערכות בע"מ</v>
      </c>
      <c r="I4196" t="str">
        <f>"10"</f>
        <v>10</v>
      </c>
      <c r="J4196" t="str">
        <f>"OP-AR00883"</f>
        <v>OP-AR00883</v>
      </c>
      <c r="K4196" t="str">
        <f>"כבל חיבור הארקה ב-RU"</f>
        <v>כבל חיבור הארקה ב-RU</v>
      </c>
      <c r="L4196">
        <v>1</v>
      </c>
      <c r="M4196" t="str">
        <f>"יח"</f>
        <v>יח</v>
      </c>
      <c r="N4196">
        <v>1</v>
      </c>
      <c r="O4196" t="str">
        <f>"יח"</f>
        <v>יח</v>
      </c>
      <c r="P4196">
        <v>403</v>
      </c>
      <c r="Q4196" t="str">
        <f>"$"</f>
        <v>$</v>
      </c>
      <c r="R4196" t="str">
        <f>"הזמנה"</f>
        <v>הזמנה</v>
      </c>
      <c r="S4196">
        <v>0</v>
      </c>
      <c r="T4196">
        <v>403</v>
      </c>
      <c r="U4196">
        <v>2</v>
      </c>
      <c r="V4196">
        <v>394.94</v>
      </c>
      <c r="W4196" t="str">
        <f>"$"</f>
        <v>$</v>
      </c>
      <c r="X4196">
        <v>0</v>
      </c>
      <c r="Y4196">
        <v>0</v>
      </c>
      <c r="Z4196">
        <v>0</v>
      </c>
      <c r="AA4196" t="str">
        <f>"Y"</f>
        <v>Y</v>
      </c>
      <c r="AC4196">
        <v>0</v>
      </c>
      <c r="AM4196" t="str">
        <f>"10"</f>
        <v>10</v>
      </c>
      <c r="AN4196" t="str">
        <f>"500000"</f>
        <v>500000</v>
      </c>
      <c r="AO4196" t="str">
        <f>"הכנסות  מלקוחות"</f>
        <v>הכנסות  מלקוחות</v>
      </c>
      <c r="AQ4196" t="str">
        <f>"007"</f>
        <v>007</v>
      </c>
      <c r="AR4196">
        <v>0</v>
      </c>
      <c r="AS4196">
        <v>0</v>
      </c>
      <c r="AT4196">
        <v>3.5939999999999999</v>
      </c>
      <c r="BB4196" t="str">
        <f>"Y"</f>
        <v>Y</v>
      </c>
      <c r="BD4196" t="str">
        <f>"רוני דידי"</f>
        <v>רוני דידי</v>
      </c>
    </row>
    <row r="4197" spans="1:56" x14ac:dyDescent="0.3">
      <c r="A4197" s="1">
        <v>43250</v>
      </c>
      <c r="B4197" t="str">
        <f>"SI186000642"</f>
        <v>SI186000642</v>
      </c>
      <c r="C4197" t="str">
        <f>"PR18000062"</f>
        <v>PR18000062</v>
      </c>
      <c r="E4197" t="str">
        <f>"Y"</f>
        <v>Y</v>
      </c>
      <c r="F4197" t="str">
        <f>"חשבוניות מרכזות"</f>
        <v>חשבוניות מרכזות</v>
      </c>
      <c r="G4197" t="str">
        <f>"700065"</f>
        <v>700065</v>
      </c>
      <c r="H4197" t="str">
        <f>"אלתא מערכות בע""מ"</f>
        <v>אלתא מערכות בע"מ</v>
      </c>
      <c r="I4197" t="str">
        <f>"10"</f>
        <v>10</v>
      </c>
      <c r="J4197" t="str">
        <f>"OP-AR00884"</f>
        <v>OP-AR00884</v>
      </c>
      <c r="K4197" t="str">
        <f>"כבל 6KVA 400HZ 3X115/220 VAC"</f>
        <v>כבל 6KVA 400HZ 3X115/220 VAC</v>
      </c>
      <c r="L4197">
        <v>1</v>
      </c>
      <c r="M4197" t="str">
        <f>"יח"</f>
        <v>יח</v>
      </c>
      <c r="N4197">
        <v>1</v>
      </c>
      <c r="O4197" t="str">
        <f>"יח"</f>
        <v>יח</v>
      </c>
      <c r="P4197" s="2">
        <v>1157</v>
      </c>
      <c r="Q4197" t="str">
        <f>"$"</f>
        <v>$</v>
      </c>
      <c r="R4197" t="str">
        <f>"הזמנה"</f>
        <v>הזמנה</v>
      </c>
      <c r="S4197">
        <v>0</v>
      </c>
      <c r="T4197" s="2">
        <v>1157</v>
      </c>
      <c r="U4197">
        <v>2</v>
      </c>
      <c r="V4197" s="2">
        <v>1133.8599999999999</v>
      </c>
      <c r="W4197" t="str">
        <f>"$"</f>
        <v>$</v>
      </c>
      <c r="X4197">
        <v>0</v>
      </c>
      <c r="Y4197">
        <v>0</v>
      </c>
      <c r="Z4197">
        <v>0</v>
      </c>
      <c r="AA4197" t="str">
        <f>"Y"</f>
        <v>Y</v>
      </c>
      <c r="AC4197">
        <v>0</v>
      </c>
      <c r="AM4197" t="str">
        <f>"10"</f>
        <v>10</v>
      </c>
      <c r="AN4197" t="str">
        <f>"500000"</f>
        <v>500000</v>
      </c>
      <c r="AO4197" t="str">
        <f>"הכנסות  מלקוחות"</f>
        <v>הכנסות  מלקוחות</v>
      </c>
      <c r="AQ4197" t="str">
        <f>"007"</f>
        <v>007</v>
      </c>
      <c r="AR4197">
        <v>0</v>
      </c>
      <c r="AS4197">
        <v>0</v>
      </c>
      <c r="AT4197">
        <v>3.5939999999999999</v>
      </c>
      <c r="BB4197" t="str">
        <f>"Y"</f>
        <v>Y</v>
      </c>
      <c r="BD4197" t="str">
        <f>"רוני דידי"</f>
        <v>רוני דידי</v>
      </c>
    </row>
    <row r="4198" spans="1:56" x14ac:dyDescent="0.3">
      <c r="A4198" s="1">
        <v>43250</v>
      </c>
      <c r="B4198" t="str">
        <f>"SI186000642"</f>
        <v>SI186000642</v>
      </c>
      <c r="C4198" t="str">
        <f>"PR18000062"</f>
        <v>PR18000062</v>
      </c>
      <c r="E4198" t="str">
        <f>"Y"</f>
        <v>Y</v>
      </c>
      <c r="F4198" t="str">
        <f>"חשבוניות מרכזות"</f>
        <v>חשבוניות מרכזות</v>
      </c>
      <c r="G4198" t="str">
        <f>"700065"</f>
        <v>700065</v>
      </c>
      <c r="H4198" t="str">
        <f>"אלתא מערכות בע""מ"</f>
        <v>אלתא מערכות בע"מ</v>
      </c>
      <c r="I4198" t="str">
        <f>"10"</f>
        <v>10</v>
      </c>
      <c r="J4198" t="str">
        <f>"OP-AR00885"</f>
        <v>OP-AR00885</v>
      </c>
      <c r="K4198" t="str">
        <f>"כבל  25KWDC POWER -270VDC"</f>
        <v>כבל  25KWDC POWER -270VDC</v>
      </c>
      <c r="L4198">
        <v>1</v>
      </c>
      <c r="M4198" t="str">
        <f>"יח"</f>
        <v>יח</v>
      </c>
      <c r="N4198">
        <v>1</v>
      </c>
      <c r="O4198" t="str">
        <f>"יח"</f>
        <v>יח</v>
      </c>
      <c r="P4198" s="2">
        <v>2540</v>
      </c>
      <c r="Q4198" t="str">
        <f>"$"</f>
        <v>$</v>
      </c>
      <c r="R4198" t="str">
        <f>"הזמנה"</f>
        <v>הזמנה</v>
      </c>
      <c r="S4198">
        <v>0</v>
      </c>
      <c r="T4198" s="2">
        <v>2540</v>
      </c>
      <c r="U4198">
        <v>2</v>
      </c>
      <c r="V4198" s="2">
        <v>2489.1999999999998</v>
      </c>
      <c r="W4198" t="str">
        <f>"$"</f>
        <v>$</v>
      </c>
      <c r="X4198">
        <v>0</v>
      </c>
      <c r="Y4198">
        <v>0</v>
      </c>
      <c r="Z4198">
        <v>0</v>
      </c>
      <c r="AA4198" t="str">
        <f>"Y"</f>
        <v>Y</v>
      </c>
      <c r="AC4198">
        <v>0</v>
      </c>
      <c r="AM4198" t="str">
        <f>"10"</f>
        <v>10</v>
      </c>
      <c r="AN4198" t="str">
        <f>"500000"</f>
        <v>500000</v>
      </c>
      <c r="AO4198" t="str">
        <f>"הכנסות  מלקוחות"</f>
        <v>הכנסות  מלקוחות</v>
      </c>
      <c r="AQ4198" t="str">
        <f>"007"</f>
        <v>007</v>
      </c>
      <c r="AR4198">
        <v>0</v>
      </c>
      <c r="AS4198">
        <v>0</v>
      </c>
      <c r="AT4198">
        <v>3.5939999999999999</v>
      </c>
      <c r="BB4198" t="str">
        <f>"Y"</f>
        <v>Y</v>
      </c>
      <c r="BD4198" t="str">
        <f>"רוני דידי"</f>
        <v>רוני דידי</v>
      </c>
    </row>
    <row r="4199" spans="1:56" x14ac:dyDescent="0.3">
      <c r="A4199" s="1">
        <v>43250</v>
      </c>
      <c r="B4199" t="str">
        <f>"SI186000642"</f>
        <v>SI186000642</v>
      </c>
      <c r="C4199" t="str">
        <f>"PR18000062"</f>
        <v>PR18000062</v>
      </c>
      <c r="E4199" t="str">
        <f>"Y"</f>
        <v>Y</v>
      </c>
      <c r="F4199" t="str">
        <f>"חשבוניות מרכזות"</f>
        <v>חשבוניות מרכזות</v>
      </c>
      <c r="G4199" t="str">
        <f>"700065"</f>
        <v>700065</v>
      </c>
      <c r="H4199" t="str">
        <f>"אלתא מערכות בע""מ"</f>
        <v>אלתא מערכות בע"מ</v>
      </c>
      <c r="I4199" t="str">
        <f>"10"</f>
        <v>10</v>
      </c>
      <c r="J4199" t="str">
        <f>"OP-AR00886"</f>
        <v>OP-AR00886</v>
      </c>
      <c r="K4199" t="str">
        <f>"כבל 30KVA 50/400HZ 3X235/405 VAC"</f>
        <v>כבל 30KVA 50/400HZ 3X235/405 VAC</v>
      </c>
      <c r="L4199">
        <v>1</v>
      </c>
      <c r="M4199" t="str">
        <f>"יח"</f>
        <v>יח</v>
      </c>
      <c r="N4199">
        <v>1</v>
      </c>
      <c r="O4199" t="str">
        <f>"יח"</f>
        <v>יח</v>
      </c>
      <c r="P4199" s="2">
        <v>1385</v>
      </c>
      <c r="Q4199" t="str">
        <f>"$"</f>
        <v>$</v>
      </c>
      <c r="R4199" t="str">
        <f>"הזמנה"</f>
        <v>הזמנה</v>
      </c>
      <c r="S4199">
        <v>0</v>
      </c>
      <c r="T4199" s="2">
        <v>1385</v>
      </c>
      <c r="U4199">
        <v>2</v>
      </c>
      <c r="V4199" s="2">
        <v>1357.3</v>
      </c>
      <c r="W4199" t="str">
        <f>"$"</f>
        <v>$</v>
      </c>
      <c r="X4199">
        <v>0</v>
      </c>
      <c r="Y4199">
        <v>0</v>
      </c>
      <c r="Z4199">
        <v>0</v>
      </c>
      <c r="AA4199" t="str">
        <f>"Y"</f>
        <v>Y</v>
      </c>
      <c r="AC4199">
        <v>0</v>
      </c>
      <c r="AM4199" t="str">
        <f>"10"</f>
        <v>10</v>
      </c>
      <c r="AN4199" t="str">
        <f>"500000"</f>
        <v>500000</v>
      </c>
      <c r="AO4199" t="str">
        <f>"הכנסות  מלקוחות"</f>
        <v>הכנסות  מלקוחות</v>
      </c>
      <c r="AQ4199" t="str">
        <f>"007"</f>
        <v>007</v>
      </c>
      <c r="AR4199">
        <v>0</v>
      </c>
      <c r="AS4199">
        <v>0</v>
      </c>
      <c r="AT4199">
        <v>3.5939999999999999</v>
      </c>
      <c r="BB4199" t="str">
        <f>"Y"</f>
        <v>Y</v>
      </c>
      <c r="BD4199" t="str">
        <f>"רוני דידי"</f>
        <v>רוני דידי</v>
      </c>
    </row>
    <row r="4200" spans="1:56" x14ac:dyDescent="0.3">
      <c r="A4200" s="1">
        <v>43250</v>
      </c>
      <c r="B4200" t="str">
        <f>"SI186000641"</f>
        <v>SI186000641</v>
      </c>
      <c r="C4200" t="str">
        <f>"PR18000062"</f>
        <v>PR18000062</v>
      </c>
      <c r="E4200" t="str">
        <f>"Y"</f>
        <v>Y</v>
      </c>
      <c r="F4200" t="str">
        <f>"חשבוניות מרכזות"</f>
        <v>חשבוניות מרכזות</v>
      </c>
      <c r="G4200" t="str">
        <f>"700065"</f>
        <v>700065</v>
      </c>
      <c r="H4200" t="str">
        <f>"אלתא מערכות בע""מ"</f>
        <v>אלתא מערכות בע"מ</v>
      </c>
      <c r="I4200" t="str">
        <f>"10"</f>
        <v>10</v>
      </c>
      <c r="J4200" t="str">
        <f>"OP-AR00883"</f>
        <v>OP-AR00883</v>
      </c>
      <c r="K4200" t="str">
        <f>"כבל חיבור הארקה ב-RU"</f>
        <v>כבל חיבור הארקה ב-RU</v>
      </c>
      <c r="L4200">
        <v>-1</v>
      </c>
      <c r="M4200" t="str">
        <f>"יח"</f>
        <v>יח</v>
      </c>
      <c r="N4200">
        <v>-1</v>
      </c>
      <c r="O4200" t="str">
        <f>"יח"</f>
        <v>יח</v>
      </c>
      <c r="P4200">
        <v>394.94</v>
      </c>
      <c r="Q4200" t="str">
        <f>"$"</f>
        <v>$</v>
      </c>
      <c r="R4200" t="str">
        <f>"הזמנה"</f>
        <v>הזמנה</v>
      </c>
      <c r="S4200">
        <v>0</v>
      </c>
      <c r="T4200">
        <v>-394.94</v>
      </c>
      <c r="U4200">
        <v>2</v>
      </c>
      <c r="V4200">
        <v>-387.04</v>
      </c>
      <c r="W4200" t="str">
        <f>"$"</f>
        <v>$</v>
      </c>
      <c r="X4200">
        <v>0</v>
      </c>
      <c r="Y4200">
        <v>0</v>
      </c>
      <c r="Z4200">
        <v>0</v>
      </c>
      <c r="AA4200" t="str">
        <f>"Y"</f>
        <v>Y</v>
      </c>
      <c r="AC4200">
        <v>0</v>
      </c>
      <c r="AM4200" t="str">
        <f>"10"</f>
        <v>10</v>
      </c>
      <c r="AN4200" t="str">
        <f>"500000"</f>
        <v>500000</v>
      </c>
      <c r="AO4200" t="str">
        <f>"הכנסות  מלקוחות"</f>
        <v>הכנסות  מלקוחות</v>
      </c>
      <c r="AQ4200" t="str">
        <f>"007"</f>
        <v>007</v>
      </c>
      <c r="AR4200">
        <v>0</v>
      </c>
      <c r="AS4200">
        <v>0</v>
      </c>
      <c r="AT4200">
        <v>3.5939999999999999</v>
      </c>
      <c r="BB4200" t="str">
        <f>"Y"</f>
        <v>Y</v>
      </c>
      <c r="BD4200" t="str">
        <f>"רוני דידי"</f>
        <v>רוני דידי</v>
      </c>
    </row>
    <row r="4201" spans="1:56" x14ac:dyDescent="0.3">
      <c r="A4201" s="1">
        <v>43250</v>
      </c>
      <c r="B4201" t="str">
        <f>"SI186000641"</f>
        <v>SI186000641</v>
      </c>
      <c r="C4201" t="str">
        <f>"PR18000062"</f>
        <v>PR18000062</v>
      </c>
      <c r="E4201" t="str">
        <f>"Y"</f>
        <v>Y</v>
      </c>
      <c r="F4201" t="str">
        <f>"חשבוניות מרכזות"</f>
        <v>חשבוניות מרכזות</v>
      </c>
      <c r="G4201" t="str">
        <f>"700065"</f>
        <v>700065</v>
      </c>
      <c r="H4201" t="str">
        <f>"אלתא מערכות בע""מ"</f>
        <v>אלתא מערכות בע"מ</v>
      </c>
      <c r="I4201" t="str">
        <f>"10"</f>
        <v>10</v>
      </c>
      <c r="J4201" t="str">
        <f>"OP-AR00884"</f>
        <v>OP-AR00884</v>
      </c>
      <c r="K4201" t="str">
        <f>"כבל 6KVA 400HZ 3X115/220 VAC"</f>
        <v>כבל 6KVA 400HZ 3X115/220 VAC</v>
      </c>
      <c r="L4201">
        <v>-1</v>
      </c>
      <c r="M4201" t="str">
        <f>"יח"</f>
        <v>יח</v>
      </c>
      <c r="N4201">
        <v>-1</v>
      </c>
      <c r="O4201" t="str">
        <f>"יח"</f>
        <v>יח</v>
      </c>
      <c r="P4201" s="2">
        <v>1133.8599999999999</v>
      </c>
      <c r="Q4201" t="str">
        <f>"$"</f>
        <v>$</v>
      </c>
      <c r="R4201" t="str">
        <f>"הזמנה"</f>
        <v>הזמנה</v>
      </c>
      <c r="S4201">
        <v>0</v>
      </c>
      <c r="T4201" s="2">
        <v>-1133.8599999999999</v>
      </c>
      <c r="U4201">
        <v>2</v>
      </c>
      <c r="V4201" s="2">
        <v>-1111.18</v>
      </c>
      <c r="W4201" t="str">
        <f>"$"</f>
        <v>$</v>
      </c>
      <c r="X4201">
        <v>0</v>
      </c>
      <c r="Y4201">
        <v>0</v>
      </c>
      <c r="Z4201">
        <v>0</v>
      </c>
      <c r="AA4201" t="str">
        <f>"Y"</f>
        <v>Y</v>
      </c>
      <c r="AC4201">
        <v>0</v>
      </c>
      <c r="AM4201" t="str">
        <f>"10"</f>
        <v>10</v>
      </c>
      <c r="AN4201" t="str">
        <f>"500000"</f>
        <v>500000</v>
      </c>
      <c r="AO4201" t="str">
        <f>"הכנסות  מלקוחות"</f>
        <v>הכנסות  מלקוחות</v>
      </c>
      <c r="AQ4201" t="str">
        <f>"007"</f>
        <v>007</v>
      </c>
      <c r="AR4201">
        <v>0</v>
      </c>
      <c r="AS4201">
        <v>0</v>
      </c>
      <c r="AT4201">
        <v>3.5939999999999999</v>
      </c>
      <c r="BB4201" t="str">
        <f>"Y"</f>
        <v>Y</v>
      </c>
      <c r="BD4201" t="str">
        <f>"רוני דידי"</f>
        <v>רוני דידי</v>
      </c>
    </row>
    <row r="4202" spans="1:56" x14ac:dyDescent="0.3">
      <c r="A4202" s="1">
        <v>43250</v>
      </c>
      <c r="B4202" t="str">
        <f>"SI186000641"</f>
        <v>SI186000641</v>
      </c>
      <c r="C4202" t="str">
        <f>"PR18000062"</f>
        <v>PR18000062</v>
      </c>
      <c r="E4202" t="str">
        <f>"Y"</f>
        <v>Y</v>
      </c>
      <c r="F4202" t="str">
        <f>"חשבוניות מרכזות"</f>
        <v>חשבוניות מרכזות</v>
      </c>
      <c r="G4202" t="str">
        <f>"700065"</f>
        <v>700065</v>
      </c>
      <c r="H4202" t="str">
        <f>"אלתא מערכות בע""מ"</f>
        <v>אלתא מערכות בע"מ</v>
      </c>
      <c r="I4202" t="str">
        <f>"10"</f>
        <v>10</v>
      </c>
      <c r="J4202" t="str">
        <f>"OP-AR00885"</f>
        <v>OP-AR00885</v>
      </c>
      <c r="K4202" t="str">
        <f>"כבל  25KWDC POWER -270VDC"</f>
        <v>כבל  25KWDC POWER -270VDC</v>
      </c>
      <c r="L4202">
        <v>-4</v>
      </c>
      <c r="M4202" t="str">
        <f>"יח"</f>
        <v>יח</v>
      </c>
      <c r="N4202">
        <v>-4</v>
      </c>
      <c r="O4202" t="str">
        <f>"יח"</f>
        <v>יח</v>
      </c>
      <c r="P4202">
        <v>622.29999999999995</v>
      </c>
      <c r="Q4202" t="str">
        <f>"$"</f>
        <v>$</v>
      </c>
      <c r="R4202" t="str">
        <f>"הזמנה"</f>
        <v>הזמנה</v>
      </c>
      <c r="S4202">
        <v>0</v>
      </c>
      <c r="T4202" s="2">
        <v>-2489.1999999999998</v>
      </c>
      <c r="U4202">
        <v>2</v>
      </c>
      <c r="V4202" s="2">
        <v>-2439.42</v>
      </c>
      <c r="W4202" t="str">
        <f>"$"</f>
        <v>$</v>
      </c>
      <c r="X4202">
        <v>0</v>
      </c>
      <c r="Y4202">
        <v>0</v>
      </c>
      <c r="Z4202">
        <v>0</v>
      </c>
      <c r="AA4202" t="str">
        <f>"Y"</f>
        <v>Y</v>
      </c>
      <c r="AC4202">
        <v>0</v>
      </c>
      <c r="AM4202" t="str">
        <f>"10"</f>
        <v>10</v>
      </c>
      <c r="AN4202" t="str">
        <f>"500000"</f>
        <v>500000</v>
      </c>
      <c r="AO4202" t="str">
        <f>"הכנסות  מלקוחות"</f>
        <v>הכנסות  מלקוחות</v>
      </c>
      <c r="AQ4202" t="str">
        <f>"007"</f>
        <v>007</v>
      </c>
      <c r="AR4202">
        <v>0</v>
      </c>
      <c r="AS4202">
        <v>0</v>
      </c>
      <c r="AT4202">
        <v>3.5939999999999999</v>
      </c>
      <c r="BB4202" t="str">
        <f>"Y"</f>
        <v>Y</v>
      </c>
      <c r="BD4202" t="str">
        <f>"רוני דידי"</f>
        <v>רוני דידי</v>
      </c>
    </row>
    <row r="4203" spans="1:56" x14ac:dyDescent="0.3">
      <c r="A4203" s="1">
        <v>43250</v>
      </c>
      <c r="B4203" t="str">
        <f>"SI186000641"</f>
        <v>SI186000641</v>
      </c>
      <c r="C4203" t="str">
        <f>"PR18000062"</f>
        <v>PR18000062</v>
      </c>
      <c r="E4203" t="str">
        <f>"Y"</f>
        <v>Y</v>
      </c>
      <c r="F4203" t="str">
        <f>"חשבוניות מרכזות"</f>
        <v>חשבוניות מרכזות</v>
      </c>
      <c r="G4203" t="str">
        <f>"700065"</f>
        <v>700065</v>
      </c>
      <c r="H4203" t="str">
        <f>"אלתא מערכות בע""מ"</f>
        <v>אלתא מערכות בע"מ</v>
      </c>
      <c r="I4203" t="str">
        <f>"10"</f>
        <v>10</v>
      </c>
      <c r="J4203" t="str">
        <f>"OP-AR00886"</f>
        <v>OP-AR00886</v>
      </c>
      <c r="K4203" t="str">
        <f>"כבל 30KVA 50/400HZ 3X235/405 VAC"</f>
        <v>כבל 30KVA 50/400HZ 3X235/405 VAC</v>
      </c>
      <c r="L4203">
        <v>-1</v>
      </c>
      <c r="M4203" t="str">
        <f>"יח"</f>
        <v>יח</v>
      </c>
      <c r="N4203">
        <v>-1</v>
      </c>
      <c r="O4203" t="str">
        <f>"יח"</f>
        <v>יח</v>
      </c>
      <c r="P4203" s="2">
        <v>1357.3</v>
      </c>
      <c r="Q4203" t="str">
        <f>"$"</f>
        <v>$</v>
      </c>
      <c r="R4203" t="str">
        <f>"הזמנה"</f>
        <v>הזמנה</v>
      </c>
      <c r="S4203">
        <v>0</v>
      </c>
      <c r="T4203" s="2">
        <v>-1357.3</v>
      </c>
      <c r="U4203">
        <v>2</v>
      </c>
      <c r="V4203" s="2">
        <v>-1330.15</v>
      </c>
      <c r="W4203" t="str">
        <f>"$"</f>
        <v>$</v>
      </c>
      <c r="X4203">
        <v>0</v>
      </c>
      <c r="Y4203">
        <v>0</v>
      </c>
      <c r="Z4203">
        <v>0</v>
      </c>
      <c r="AA4203" t="str">
        <f>"Y"</f>
        <v>Y</v>
      </c>
      <c r="AC4203">
        <v>0</v>
      </c>
      <c r="AM4203" t="str">
        <f>"10"</f>
        <v>10</v>
      </c>
      <c r="AN4203" t="str">
        <f>"500000"</f>
        <v>500000</v>
      </c>
      <c r="AO4203" t="str">
        <f>"הכנסות  מלקוחות"</f>
        <v>הכנסות  מלקוחות</v>
      </c>
      <c r="AQ4203" t="str">
        <f>"007"</f>
        <v>007</v>
      </c>
      <c r="AR4203">
        <v>0</v>
      </c>
      <c r="AS4203">
        <v>0</v>
      </c>
      <c r="AT4203">
        <v>3.5939999999999999</v>
      </c>
      <c r="BB4203" t="str">
        <f>"Y"</f>
        <v>Y</v>
      </c>
      <c r="BD4203" t="str">
        <f>"רוני דידי"</f>
        <v>רוני דידי</v>
      </c>
    </row>
    <row r="4204" spans="1:56" x14ac:dyDescent="0.3">
      <c r="A4204" s="1">
        <v>43250</v>
      </c>
      <c r="B4204" t="str">
        <f>"SI186000640"</f>
        <v>SI186000640</v>
      </c>
      <c r="C4204" t="str">
        <f>"PR18000062"</f>
        <v>PR18000062</v>
      </c>
      <c r="E4204" t="str">
        <f>"Y"</f>
        <v>Y</v>
      </c>
      <c r="F4204" t="str">
        <f>"חשבוניות מרכזות"</f>
        <v>חשבוניות מרכזות</v>
      </c>
      <c r="G4204" t="str">
        <f>"700065"</f>
        <v>700065</v>
      </c>
      <c r="H4204" t="str">
        <f>"אלתא מערכות בע""מ"</f>
        <v>אלתא מערכות בע"מ</v>
      </c>
      <c r="I4204" t="str">
        <f>"10"</f>
        <v>10</v>
      </c>
      <c r="J4204" t="str">
        <f>"OP-AR00883"</f>
        <v>OP-AR00883</v>
      </c>
      <c r="K4204" t="str">
        <f>"כבל חיבור הארקה ב-RU"</f>
        <v>כבל חיבור הארקה ב-RU</v>
      </c>
      <c r="L4204">
        <v>1</v>
      </c>
      <c r="M4204" t="str">
        <f>"יח"</f>
        <v>יח</v>
      </c>
      <c r="N4204">
        <v>1</v>
      </c>
      <c r="O4204" t="str">
        <f>"יח"</f>
        <v>יח</v>
      </c>
      <c r="P4204">
        <v>394.94</v>
      </c>
      <c r="Q4204" t="str">
        <f>"$"</f>
        <v>$</v>
      </c>
      <c r="R4204" t="str">
        <f>"הזמנה"</f>
        <v>הזמנה</v>
      </c>
      <c r="S4204">
        <v>0</v>
      </c>
      <c r="T4204">
        <v>394.94</v>
      </c>
      <c r="U4204">
        <v>2</v>
      </c>
      <c r="V4204">
        <v>387.04</v>
      </c>
      <c r="W4204" t="str">
        <f>"$"</f>
        <v>$</v>
      </c>
      <c r="X4204">
        <v>0</v>
      </c>
      <c r="Y4204">
        <v>0</v>
      </c>
      <c r="Z4204">
        <v>0</v>
      </c>
      <c r="AA4204" t="str">
        <f>"Y"</f>
        <v>Y</v>
      </c>
      <c r="AC4204">
        <v>0</v>
      </c>
      <c r="AM4204" t="str">
        <f>"10"</f>
        <v>10</v>
      </c>
      <c r="AN4204" t="str">
        <f>"500000"</f>
        <v>500000</v>
      </c>
      <c r="AO4204" t="str">
        <f>"הכנסות  מלקוחות"</f>
        <v>הכנסות  מלקוחות</v>
      </c>
      <c r="AQ4204" t="str">
        <f>"007"</f>
        <v>007</v>
      </c>
      <c r="AR4204">
        <v>0</v>
      </c>
      <c r="AS4204">
        <v>0</v>
      </c>
      <c r="AT4204">
        <v>3.5939999999999999</v>
      </c>
      <c r="BB4204" t="str">
        <f>"Y"</f>
        <v>Y</v>
      </c>
      <c r="BD4204" t="str">
        <f>"רוני דידי"</f>
        <v>רוני דידי</v>
      </c>
    </row>
    <row r="4205" spans="1:56" x14ac:dyDescent="0.3">
      <c r="A4205" s="1">
        <v>43250</v>
      </c>
      <c r="B4205" t="str">
        <f>"SI186000640"</f>
        <v>SI186000640</v>
      </c>
      <c r="C4205" t="str">
        <f>"PR18000062"</f>
        <v>PR18000062</v>
      </c>
      <c r="E4205" t="str">
        <f>"Y"</f>
        <v>Y</v>
      </c>
      <c r="F4205" t="str">
        <f>"חשבוניות מרכזות"</f>
        <v>חשבוניות מרכזות</v>
      </c>
      <c r="G4205" t="str">
        <f>"700065"</f>
        <v>700065</v>
      </c>
      <c r="H4205" t="str">
        <f>"אלתא מערכות בע""מ"</f>
        <v>אלתא מערכות בע"מ</v>
      </c>
      <c r="I4205" t="str">
        <f>"10"</f>
        <v>10</v>
      </c>
      <c r="J4205" t="str">
        <f>"OP-AR00884"</f>
        <v>OP-AR00884</v>
      </c>
      <c r="K4205" t="str">
        <f>"כבל 6KVA 400HZ 3X115/220 VAC"</f>
        <v>כבל 6KVA 400HZ 3X115/220 VAC</v>
      </c>
      <c r="L4205">
        <v>1</v>
      </c>
      <c r="M4205" t="str">
        <f>"יח"</f>
        <v>יח</v>
      </c>
      <c r="N4205">
        <v>1</v>
      </c>
      <c r="O4205" t="str">
        <f>"יח"</f>
        <v>יח</v>
      </c>
      <c r="P4205" s="2">
        <v>1133.8599999999999</v>
      </c>
      <c r="Q4205" t="str">
        <f>"$"</f>
        <v>$</v>
      </c>
      <c r="R4205" t="str">
        <f>"הזמנה"</f>
        <v>הזמנה</v>
      </c>
      <c r="S4205">
        <v>0</v>
      </c>
      <c r="T4205" s="2">
        <v>1133.8599999999999</v>
      </c>
      <c r="U4205">
        <v>2</v>
      </c>
      <c r="V4205" s="2">
        <v>1111.18</v>
      </c>
      <c r="W4205" t="str">
        <f>"$"</f>
        <v>$</v>
      </c>
      <c r="X4205">
        <v>0</v>
      </c>
      <c r="Y4205">
        <v>0</v>
      </c>
      <c r="Z4205">
        <v>0</v>
      </c>
      <c r="AA4205" t="str">
        <f>"Y"</f>
        <v>Y</v>
      </c>
      <c r="AC4205">
        <v>0</v>
      </c>
      <c r="AM4205" t="str">
        <f>"10"</f>
        <v>10</v>
      </c>
      <c r="AN4205" t="str">
        <f>"500000"</f>
        <v>500000</v>
      </c>
      <c r="AO4205" t="str">
        <f>"הכנסות  מלקוחות"</f>
        <v>הכנסות  מלקוחות</v>
      </c>
      <c r="AQ4205" t="str">
        <f>"007"</f>
        <v>007</v>
      </c>
      <c r="AR4205">
        <v>0</v>
      </c>
      <c r="AS4205">
        <v>0</v>
      </c>
      <c r="AT4205">
        <v>3.5939999999999999</v>
      </c>
      <c r="BB4205" t="str">
        <f>"Y"</f>
        <v>Y</v>
      </c>
      <c r="BD4205" t="str">
        <f>"רוני דידי"</f>
        <v>רוני דידי</v>
      </c>
    </row>
    <row r="4206" spans="1:56" x14ac:dyDescent="0.3">
      <c r="A4206" s="1">
        <v>43250</v>
      </c>
      <c r="B4206" t="str">
        <f>"SI186000640"</f>
        <v>SI186000640</v>
      </c>
      <c r="C4206" t="str">
        <f>"PR18000062"</f>
        <v>PR18000062</v>
      </c>
      <c r="E4206" t="str">
        <f>"Y"</f>
        <v>Y</v>
      </c>
      <c r="F4206" t="str">
        <f>"חשבוניות מרכזות"</f>
        <v>חשבוניות מרכזות</v>
      </c>
      <c r="G4206" t="str">
        <f>"700065"</f>
        <v>700065</v>
      </c>
      <c r="H4206" t="str">
        <f>"אלתא מערכות בע""מ"</f>
        <v>אלתא מערכות בע"מ</v>
      </c>
      <c r="I4206" t="str">
        <f>"10"</f>
        <v>10</v>
      </c>
      <c r="J4206" t="str">
        <f>"OP-AR00885"</f>
        <v>OP-AR00885</v>
      </c>
      <c r="K4206" t="str">
        <f>"כבל  25KWDC POWER -270VDC"</f>
        <v>כבל  25KWDC POWER -270VDC</v>
      </c>
      <c r="L4206">
        <v>4</v>
      </c>
      <c r="M4206" t="str">
        <f>"יח"</f>
        <v>יח</v>
      </c>
      <c r="N4206">
        <v>4</v>
      </c>
      <c r="O4206" t="str">
        <f>"יח"</f>
        <v>יח</v>
      </c>
      <c r="P4206">
        <v>622.29999999999995</v>
      </c>
      <c r="Q4206" t="str">
        <f>"$"</f>
        <v>$</v>
      </c>
      <c r="R4206" t="str">
        <f>"הזמנה"</f>
        <v>הזמנה</v>
      </c>
      <c r="S4206">
        <v>0</v>
      </c>
      <c r="T4206" s="2">
        <v>2489.1999999999998</v>
      </c>
      <c r="U4206">
        <v>2</v>
      </c>
      <c r="V4206" s="2">
        <v>2439.42</v>
      </c>
      <c r="W4206" t="str">
        <f>"$"</f>
        <v>$</v>
      </c>
      <c r="X4206">
        <v>0</v>
      </c>
      <c r="Y4206">
        <v>0</v>
      </c>
      <c r="Z4206">
        <v>0</v>
      </c>
      <c r="AA4206" t="str">
        <f>"Y"</f>
        <v>Y</v>
      </c>
      <c r="AC4206">
        <v>0</v>
      </c>
      <c r="AM4206" t="str">
        <f>"10"</f>
        <v>10</v>
      </c>
      <c r="AN4206" t="str">
        <f>"500000"</f>
        <v>500000</v>
      </c>
      <c r="AO4206" t="str">
        <f>"הכנסות  מלקוחות"</f>
        <v>הכנסות  מלקוחות</v>
      </c>
      <c r="AQ4206" t="str">
        <f>"007"</f>
        <v>007</v>
      </c>
      <c r="AR4206">
        <v>0</v>
      </c>
      <c r="AS4206">
        <v>0</v>
      </c>
      <c r="AT4206">
        <v>3.5939999999999999</v>
      </c>
      <c r="BB4206" t="str">
        <f>"Y"</f>
        <v>Y</v>
      </c>
      <c r="BD4206" t="str">
        <f>"רוני דידי"</f>
        <v>רוני דידי</v>
      </c>
    </row>
    <row r="4207" spans="1:56" x14ac:dyDescent="0.3">
      <c r="A4207" s="1">
        <v>43250</v>
      </c>
      <c r="B4207" t="str">
        <f>"SI186000640"</f>
        <v>SI186000640</v>
      </c>
      <c r="C4207" t="str">
        <f>"PR18000062"</f>
        <v>PR18000062</v>
      </c>
      <c r="E4207" t="str">
        <f>"Y"</f>
        <v>Y</v>
      </c>
      <c r="F4207" t="str">
        <f>"חשבוניות מרכזות"</f>
        <v>חשבוניות מרכזות</v>
      </c>
      <c r="G4207" t="str">
        <f>"700065"</f>
        <v>700065</v>
      </c>
      <c r="H4207" t="str">
        <f>"אלתא מערכות בע""מ"</f>
        <v>אלתא מערכות בע"מ</v>
      </c>
      <c r="I4207" t="str">
        <f>"10"</f>
        <v>10</v>
      </c>
      <c r="J4207" t="str">
        <f>"OP-AR00886"</f>
        <v>OP-AR00886</v>
      </c>
      <c r="K4207" t="str">
        <f>"כבל 30KVA 50/400HZ 3X235/405 VAC"</f>
        <v>כבל 30KVA 50/400HZ 3X235/405 VAC</v>
      </c>
      <c r="L4207">
        <v>1</v>
      </c>
      <c r="M4207" t="str">
        <f>"יח"</f>
        <v>יח</v>
      </c>
      <c r="N4207">
        <v>1</v>
      </c>
      <c r="O4207" t="str">
        <f>"יח"</f>
        <v>יח</v>
      </c>
      <c r="P4207" s="2">
        <v>1357.3</v>
      </c>
      <c r="Q4207" t="str">
        <f>"$"</f>
        <v>$</v>
      </c>
      <c r="R4207" t="str">
        <f>"הזמנה"</f>
        <v>הזמנה</v>
      </c>
      <c r="S4207">
        <v>0</v>
      </c>
      <c r="T4207" s="2">
        <v>1357.3</v>
      </c>
      <c r="U4207">
        <v>2</v>
      </c>
      <c r="V4207" s="2">
        <v>1330.15</v>
      </c>
      <c r="W4207" t="str">
        <f>"$"</f>
        <v>$</v>
      </c>
      <c r="X4207">
        <v>0</v>
      </c>
      <c r="Y4207">
        <v>0</v>
      </c>
      <c r="Z4207">
        <v>0</v>
      </c>
      <c r="AA4207" t="str">
        <f>"Y"</f>
        <v>Y</v>
      </c>
      <c r="AC4207">
        <v>0</v>
      </c>
      <c r="AM4207" t="str">
        <f>"10"</f>
        <v>10</v>
      </c>
      <c r="AN4207" t="str">
        <f>"500000"</f>
        <v>500000</v>
      </c>
      <c r="AO4207" t="str">
        <f>"הכנסות  מלקוחות"</f>
        <v>הכנסות  מלקוחות</v>
      </c>
      <c r="AQ4207" t="str">
        <f>"007"</f>
        <v>007</v>
      </c>
      <c r="AR4207">
        <v>0</v>
      </c>
      <c r="AS4207">
        <v>0</v>
      </c>
      <c r="AT4207">
        <v>3.5939999999999999</v>
      </c>
      <c r="BB4207" t="str">
        <f>"Y"</f>
        <v>Y</v>
      </c>
      <c r="BD4207" t="str">
        <f>"רוני דידי"</f>
        <v>רוני דידי</v>
      </c>
    </row>
    <row r="4208" spans="1:56" x14ac:dyDescent="0.3">
      <c r="A4208" s="1">
        <v>43249</v>
      </c>
      <c r="B4208" t="str">
        <f>"SI186000638"</f>
        <v>SI186000638</v>
      </c>
      <c r="C4208" t="str">
        <f>"PR18000119"</f>
        <v>PR18000119</v>
      </c>
      <c r="D4208" t="str">
        <f>"PR18000119"</f>
        <v>PR18000119</v>
      </c>
      <c r="E4208" t="str">
        <f>"Y"</f>
        <v>Y</v>
      </c>
      <c r="F4208" t="str">
        <f>"חשבוניות מרכזות"</f>
        <v>חשבוניות מרכזות</v>
      </c>
      <c r="G4208" t="str">
        <f>"700065"</f>
        <v>700065</v>
      </c>
      <c r="H4208" t="str">
        <f>"אלתא מערכות בע""מ"</f>
        <v>אלתא מערכות בע"מ</v>
      </c>
      <c r="I4208" t="str">
        <f>"10"</f>
        <v>10</v>
      </c>
      <c r="J4208" t="str">
        <f>"000"</f>
        <v>000</v>
      </c>
      <c r="K4208" t="str">
        <f>"NRE"</f>
        <v>NRE</v>
      </c>
      <c r="L4208">
        <v>1</v>
      </c>
      <c r="M4208" t="str">
        <f>"יח"</f>
        <v>יח</v>
      </c>
      <c r="N4208">
        <v>1</v>
      </c>
      <c r="O4208" t="str">
        <f>"יח"</f>
        <v>יח</v>
      </c>
      <c r="P4208" s="2">
        <v>2030</v>
      </c>
      <c r="Q4208" t="str">
        <f>"$"</f>
        <v>$</v>
      </c>
      <c r="R4208" t="str">
        <f>"הזמנה"</f>
        <v>הזמנה</v>
      </c>
      <c r="S4208">
        <v>0</v>
      </c>
      <c r="T4208" s="2">
        <v>2030</v>
      </c>
      <c r="U4208">
        <v>0</v>
      </c>
      <c r="V4208" s="2">
        <v>2030</v>
      </c>
      <c r="W4208" t="str">
        <f>"$"</f>
        <v>$</v>
      </c>
      <c r="X4208">
        <v>0</v>
      </c>
      <c r="Y4208">
        <v>0</v>
      </c>
      <c r="Z4208">
        <v>0</v>
      </c>
      <c r="AA4208" t="str">
        <f>"Y"</f>
        <v>Y</v>
      </c>
      <c r="AB4208" t="str">
        <f>"SO18000119"</f>
        <v>SO18000119</v>
      </c>
      <c r="AC4208">
        <v>2</v>
      </c>
      <c r="AD4208" s="1">
        <v>43157</v>
      </c>
      <c r="AM4208" t="str">
        <f>"10"</f>
        <v>10</v>
      </c>
      <c r="AN4208" t="str">
        <f>"500000"</f>
        <v>500000</v>
      </c>
      <c r="AO4208" t="str">
        <f>"הכנסות  מלקוחות"</f>
        <v>הכנסות  מלקוחות</v>
      </c>
      <c r="AQ4208" t="str">
        <f>"007"</f>
        <v>007</v>
      </c>
      <c r="AR4208">
        <v>0</v>
      </c>
      <c r="AS4208">
        <v>0</v>
      </c>
      <c r="AT4208">
        <v>3.5680000000000001</v>
      </c>
      <c r="AX4208" t="str">
        <f>"E000255678"</f>
        <v>E000255678</v>
      </c>
      <c r="BD4208" t="str">
        <f>"רוני דידי"</f>
        <v>רוני דידי</v>
      </c>
    </row>
    <row r="4209" spans="1:56" x14ac:dyDescent="0.3">
      <c r="A4209" s="1">
        <v>43243</v>
      </c>
      <c r="B4209" t="str">
        <f>"SI186000632"</f>
        <v>SI186000632</v>
      </c>
      <c r="C4209" t="str">
        <f>"PR17002208"</f>
        <v>PR17002208</v>
      </c>
      <c r="D4209" t="str">
        <f>"PR17002208"</f>
        <v>PR17002208</v>
      </c>
      <c r="E4209" t="str">
        <f>"Y"</f>
        <v>Y</v>
      </c>
      <c r="F4209" t="str">
        <f>"חשבוניות מרכזות"</f>
        <v>חשבוניות מרכזות</v>
      </c>
      <c r="G4209" t="str">
        <f>"700065"</f>
        <v>700065</v>
      </c>
      <c r="H4209" t="str">
        <f>"אלתא מערכות בע""מ"</f>
        <v>אלתא מערכות בע"מ</v>
      </c>
      <c r="I4209" t="str">
        <f>"10"</f>
        <v>10</v>
      </c>
      <c r="J4209" t="str">
        <f>"000"</f>
        <v>000</v>
      </c>
      <c r="K4209" t="str">
        <f>"הוספת PDU ABDS יציאת מתח מבוקר"</f>
        <v>הוספת PDU ABDS יציאת מתח מבוקר</v>
      </c>
      <c r="L4209">
        <v>1</v>
      </c>
      <c r="M4209" t="str">
        <f>"יח"</f>
        <v>יח</v>
      </c>
      <c r="N4209">
        <v>1</v>
      </c>
      <c r="O4209" t="str">
        <f>"יח"</f>
        <v>יח</v>
      </c>
      <c r="P4209" s="2">
        <v>8500</v>
      </c>
      <c r="Q4209" t="str">
        <f>"$"</f>
        <v>$</v>
      </c>
      <c r="R4209" t="str">
        <f>"הזמנה"</f>
        <v>הזמנה</v>
      </c>
      <c r="S4209">
        <v>0</v>
      </c>
      <c r="T4209" s="2">
        <v>8500</v>
      </c>
      <c r="U4209">
        <v>0</v>
      </c>
      <c r="V4209" s="2">
        <v>8500</v>
      </c>
      <c r="W4209" t="str">
        <f>"$"</f>
        <v>$</v>
      </c>
      <c r="X4209">
        <v>0</v>
      </c>
      <c r="Y4209">
        <v>0</v>
      </c>
      <c r="Z4209">
        <v>0</v>
      </c>
      <c r="AA4209" t="str">
        <f>"Y"</f>
        <v>Y</v>
      </c>
      <c r="AB4209" t="str">
        <f>"SO17000762"</f>
        <v>SO17000762</v>
      </c>
      <c r="AC4209">
        <v>1</v>
      </c>
      <c r="AD4209" s="1">
        <v>43069</v>
      </c>
      <c r="AE4209" t="str">
        <f>"SH18000947"</f>
        <v>SH18000947</v>
      </c>
      <c r="AF4209" t="str">
        <f>"משלוחים ללקוח"</f>
        <v>משלוחים ללקוח</v>
      </c>
      <c r="AG4209" s="1">
        <v>43242</v>
      </c>
      <c r="AM4209" t="str">
        <f>"10"</f>
        <v>10</v>
      </c>
      <c r="AN4209" t="str">
        <f>"500000"</f>
        <v>500000</v>
      </c>
      <c r="AO4209" t="str">
        <f>"הכנסות  מלקוחות"</f>
        <v>הכנסות  מלקוחות</v>
      </c>
      <c r="AQ4209" t="str">
        <f>"007"</f>
        <v>007</v>
      </c>
      <c r="AR4209">
        <v>0</v>
      </c>
      <c r="AS4209">
        <v>0</v>
      </c>
      <c r="AT4209">
        <v>3.58</v>
      </c>
      <c r="AX4209" t="str">
        <f>"E000250575"</f>
        <v>E000250575</v>
      </c>
      <c r="BD4209" t="str">
        <f>"רוני דידי"</f>
        <v>רוני דידי</v>
      </c>
    </row>
    <row r="4210" spans="1:56" x14ac:dyDescent="0.3">
      <c r="A4210" s="1">
        <v>43241</v>
      </c>
      <c r="B4210" t="str">
        <f>"SI186000612"</f>
        <v>SI186000612</v>
      </c>
      <c r="C4210" t="str">
        <f>"PR18000224"</f>
        <v>PR18000224</v>
      </c>
      <c r="E4210" t="str">
        <f>"Y"</f>
        <v>Y</v>
      </c>
      <c r="F4210" t="str">
        <f>"חשבוניות מרכזות"</f>
        <v>חשבוניות מרכזות</v>
      </c>
      <c r="G4210" t="str">
        <f>"700065"</f>
        <v>700065</v>
      </c>
      <c r="H4210" t="str">
        <f>"אלתא מערכות בע""מ"</f>
        <v>אלתא מערכות בע"מ</v>
      </c>
      <c r="I4210" t="str">
        <f>"10"</f>
        <v>10</v>
      </c>
      <c r="J4210" t="str">
        <f>"OP-AR00454"</f>
        <v>OP-AR00454</v>
      </c>
      <c r="K4210" t="str">
        <f>"PDU 380V/50HZ/3 PH AC POWER BOX"</f>
        <v>PDU 380V/50HZ/3 PH AC POWER BOX</v>
      </c>
      <c r="L4210">
        <v>-1</v>
      </c>
      <c r="M4210" t="str">
        <f>"יח"</f>
        <v>יח</v>
      </c>
      <c r="N4210">
        <v>-1</v>
      </c>
      <c r="O4210" t="str">
        <f>"יח"</f>
        <v>יח</v>
      </c>
      <c r="P4210" s="2">
        <v>1150</v>
      </c>
      <c r="Q4210" t="str">
        <f>"$"</f>
        <v>$</v>
      </c>
      <c r="R4210" t="str">
        <f>"הזמנה"</f>
        <v>הזמנה</v>
      </c>
      <c r="S4210">
        <v>0</v>
      </c>
      <c r="T4210" s="2">
        <v>-1150</v>
      </c>
      <c r="U4210">
        <v>0</v>
      </c>
      <c r="V4210" s="2">
        <v>-1150</v>
      </c>
      <c r="W4210" t="str">
        <f>"$"</f>
        <v>$</v>
      </c>
      <c r="X4210">
        <v>0</v>
      </c>
      <c r="Y4210">
        <v>0</v>
      </c>
      <c r="Z4210">
        <v>0</v>
      </c>
      <c r="AA4210" t="str">
        <f>"Y"</f>
        <v>Y</v>
      </c>
      <c r="AC4210">
        <v>0</v>
      </c>
      <c r="AM4210" t="str">
        <f>"10"</f>
        <v>10</v>
      </c>
      <c r="AN4210" t="str">
        <f>"500000"</f>
        <v>500000</v>
      </c>
      <c r="AO4210" t="str">
        <f>"הכנסות  מלקוחות"</f>
        <v>הכנסות  מלקוחות</v>
      </c>
      <c r="AQ4210" t="str">
        <f>"007"</f>
        <v>007</v>
      </c>
      <c r="AR4210">
        <v>0</v>
      </c>
      <c r="AS4210">
        <v>0</v>
      </c>
      <c r="AT4210">
        <v>3.5990000000000002</v>
      </c>
      <c r="BB4210" t="str">
        <f>"Y"</f>
        <v>Y</v>
      </c>
      <c r="BD4210" t="str">
        <f>"רוני דידי"</f>
        <v>רוני דידי</v>
      </c>
    </row>
    <row r="4211" spans="1:56" x14ac:dyDescent="0.3">
      <c r="A4211" s="1">
        <v>43241</v>
      </c>
      <c r="B4211" t="str">
        <f>"SI186000612"</f>
        <v>SI186000612</v>
      </c>
      <c r="C4211" t="str">
        <f>"PR18000224"</f>
        <v>PR18000224</v>
      </c>
      <c r="E4211" t="str">
        <f>"Y"</f>
        <v>Y</v>
      </c>
      <c r="F4211" t="str">
        <f>"חשבוניות מרכזות"</f>
        <v>חשבוניות מרכזות</v>
      </c>
      <c r="G4211" t="str">
        <f>"700065"</f>
        <v>700065</v>
      </c>
      <c r="H4211" t="str">
        <f>"אלתא מערכות בע""מ"</f>
        <v>אלתא מערכות בע"מ</v>
      </c>
      <c r="I4211" t="str">
        <f>"10"</f>
        <v>10</v>
      </c>
      <c r="J4211" t="str">
        <f>"OP-AR00454"</f>
        <v>OP-AR00454</v>
      </c>
      <c r="K4211" t="str">
        <f>"PDU 380V/50HZ/3 PH AC POWER BOX"</f>
        <v>PDU 380V/50HZ/3 PH AC POWER BOX</v>
      </c>
      <c r="L4211">
        <v>-1</v>
      </c>
      <c r="M4211" t="str">
        <f>"יח"</f>
        <v>יח</v>
      </c>
      <c r="N4211">
        <v>-1</v>
      </c>
      <c r="O4211" t="str">
        <f>"יח"</f>
        <v>יח</v>
      </c>
      <c r="P4211" s="2">
        <v>1150</v>
      </c>
      <c r="Q4211" t="str">
        <f>"$"</f>
        <v>$</v>
      </c>
      <c r="R4211" t="str">
        <f>"הזמנה"</f>
        <v>הזמנה</v>
      </c>
      <c r="S4211">
        <v>0</v>
      </c>
      <c r="T4211" s="2">
        <v>-1150</v>
      </c>
      <c r="U4211">
        <v>0</v>
      </c>
      <c r="V4211" s="2">
        <v>-1150</v>
      </c>
      <c r="W4211" t="str">
        <f>"$"</f>
        <v>$</v>
      </c>
      <c r="X4211">
        <v>0</v>
      </c>
      <c r="Y4211">
        <v>0</v>
      </c>
      <c r="Z4211">
        <v>0</v>
      </c>
      <c r="AA4211" t="str">
        <f>"Y"</f>
        <v>Y</v>
      </c>
      <c r="AC4211">
        <v>0</v>
      </c>
      <c r="AM4211" t="str">
        <f>"10"</f>
        <v>10</v>
      </c>
      <c r="AN4211" t="str">
        <f>"500000"</f>
        <v>500000</v>
      </c>
      <c r="AO4211" t="str">
        <f>"הכנסות  מלקוחות"</f>
        <v>הכנסות  מלקוחות</v>
      </c>
      <c r="AQ4211" t="str">
        <f>"007"</f>
        <v>007</v>
      </c>
      <c r="AR4211">
        <v>0</v>
      </c>
      <c r="AS4211">
        <v>0</v>
      </c>
      <c r="AT4211">
        <v>3.5990000000000002</v>
      </c>
      <c r="BB4211" t="str">
        <f>"Y"</f>
        <v>Y</v>
      </c>
      <c r="BD4211" t="str">
        <f>"רוני דידי"</f>
        <v>רוני דידי</v>
      </c>
    </row>
    <row r="4212" spans="1:56" x14ac:dyDescent="0.3">
      <c r="A4212" s="1">
        <v>43241</v>
      </c>
      <c r="B4212" t="str">
        <f>"SI186000611"</f>
        <v>SI186000611</v>
      </c>
      <c r="C4212" t="str">
        <f>"PR18000119"</f>
        <v>PR18000119</v>
      </c>
      <c r="E4212" t="str">
        <f>"Y"</f>
        <v>Y</v>
      </c>
      <c r="F4212" t="str">
        <f>"חשבוניות מרכזות"</f>
        <v>חשבוניות מרכזות</v>
      </c>
      <c r="G4212" t="str">
        <f>"700065"</f>
        <v>700065</v>
      </c>
      <c r="H4212" t="str">
        <f>"אלתא מערכות בע""מ"</f>
        <v>אלתא מערכות בע"מ</v>
      </c>
      <c r="I4212" t="str">
        <f>"10"</f>
        <v>10</v>
      </c>
      <c r="J4212" t="str">
        <f>"OP-ML00117"</f>
        <v>OP-ML00117</v>
      </c>
      <c r="K4212" t="str">
        <f>"PDU 1U 110VAC 1PH"</f>
        <v>PDU 1U 110VAC 1PH</v>
      </c>
      <c r="L4212">
        <v>-2</v>
      </c>
      <c r="M4212" t="str">
        <f>"יח"</f>
        <v>יח</v>
      </c>
      <c r="N4212">
        <v>-2</v>
      </c>
      <c r="O4212" t="str">
        <f>"יח"</f>
        <v>יח</v>
      </c>
      <c r="P4212" s="2">
        <v>2848</v>
      </c>
      <c r="Q4212" t="str">
        <f>"$"</f>
        <v>$</v>
      </c>
      <c r="R4212" t="str">
        <f>"הזמנה"</f>
        <v>הזמנה</v>
      </c>
      <c r="S4212">
        <v>0</v>
      </c>
      <c r="T4212" s="2">
        <v>-5696</v>
      </c>
      <c r="U4212">
        <v>0</v>
      </c>
      <c r="V4212" s="2">
        <v>-5696</v>
      </c>
      <c r="W4212" t="str">
        <f>"$"</f>
        <v>$</v>
      </c>
      <c r="X4212">
        <v>0</v>
      </c>
      <c r="Y4212">
        <v>0</v>
      </c>
      <c r="Z4212">
        <v>0</v>
      </c>
      <c r="AA4212" t="str">
        <f>"Y"</f>
        <v>Y</v>
      </c>
      <c r="AC4212">
        <v>0</v>
      </c>
      <c r="AM4212" t="str">
        <f>"10"</f>
        <v>10</v>
      </c>
      <c r="AN4212" t="str">
        <f>"500000"</f>
        <v>500000</v>
      </c>
      <c r="AO4212" t="str">
        <f>"הכנסות  מלקוחות"</f>
        <v>הכנסות  מלקוחות</v>
      </c>
      <c r="AQ4212" t="str">
        <f>"007"</f>
        <v>007</v>
      </c>
      <c r="AR4212">
        <v>0</v>
      </c>
      <c r="AS4212">
        <v>0</v>
      </c>
      <c r="AT4212">
        <v>3.5990000000000002</v>
      </c>
      <c r="BB4212" t="str">
        <f>"Y"</f>
        <v>Y</v>
      </c>
      <c r="BD4212" t="str">
        <f>"רוני דידי"</f>
        <v>רוני דידי</v>
      </c>
    </row>
    <row r="4213" spans="1:56" x14ac:dyDescent="0.3">
      <c r="A4213" s="1">
        <v>43241</v>
      </c>
      <c r="B4213" t="str">
        <f>"SI186000610"</f>
        <v>SI186000610</v>
      </c>
      <c r="C4213" t="str">
        <f>"PR18000224"</f>
        <v>PR18000224</v>
      </c>
      <c r="E4213" t="str">
        <f>"Y"</f>
        <v>Y</v>
      </c>
      <c r="F4213" t="str">
        <f>"חשבוניות מרכזות"</f>
        <v>חשבוניות מרכזות</v>
      </c>
      <c r="G4213" t="str">
        <f>"700065"</f>
        <v>700065</v>
      </c>
      <c r="H4213" t="str">
        <f>"אלתא מערכות בע""מ"</f>
        <v>אלתא מערכות בע"מ</v>
      </c>
      <c r="I4213" t="str">
        <f>"10"</f>
        <v>10</v>
      </c>
      <c r="J4213" t="str">
        <f>"OP-AR00454"</f>
        <v>OP-AR00454</v>
      </c>
      <c r="K4213" t="str">
        <f>"PDU 380V/50HZ/3 PH AC POWER BOX"</f>
        <v>PDU 380V/50HZ/3 PH AC POWER BOX</v>
      </c>
      <c r="L4213">
        <v>1</v>
      </c>
      <c r="M4213" t="str">
        <f>"יח"</f>
        <v>יח</v>
      </c>
      <c r="N4213">
        <v>1</v>
      </c>
      <c r="O4213" t="str">
        <f>"יח"</f>
        <v>יח</v>
      </c>
      <c r="P4213" s="2">
        <v>1150</v>
      </c>
      <c r="Q4213" t="str">
        <f>"$"</f>
        <v>$</v>
      </c>
      <c r="R4213" t="str">
        <f>"הזמנה"</f>
        <v>הזמנה</v>
      </c>
      <c r="S4213">
        <v>0</v>
      </c>
      <c r="T4213" s="2">
        <v>1150</v>
      </c>
      <c r="U4213">
        <v>0</v>
      </c>
      <c r="V4213" s="2">
        <v>1150</v>
      </c>
      <c r="W4213" t="str">
        <f>"$"</f>
        <v>$</v>
      </c>
      <c r="X4213">
        <v>0</v>
      </c>
      <c r="Y4213">
        <v>0</v>
      </c>
      <c r="Z4213">
        <v>0</v>
      </c>
      <c r="AA4213" t="str">
        <f>"Y"</f>
        <v>Y</v>
      </c>
      <c r="AC4213">
        <v>0</v>
      </c>
      <c r="AM4213" t="str">
        <f>"10"</f>
        <v>10</v>
      </c>
      <c r="AN4213" t="str">
        <f>"500000"</f>
        <v>500000</v>
      </c>
      <c r="AO4213" t="str">
        <f>"הכנסות  מלקוחות"</f>
        <v>הכנסות  מלקוחות</v>
      </c>
      <c r="AQ4213" t="str">
        <f>"007"</f>
        <v>007</v>
      </c>
      <c r="AR4213">
        <v>0</v>
      </c>
      <c r="AS4213">
        <v>0</v>
      </c>
      <c r="AT4213">
        <v>3.5990000000000002</v>
      </c>
      <c r="BB4213" t="str">
        <f>"Y"</f>
        <v>Y</v>
      </c>
      <c r="BD4213" t="str">
        <f>"רוני דידי"</f>
        <v>רוני דידי</v>
      </c>
    </row>
    <row r="4214" spans="1:56" x14ac:dyDescent="0.3">
      <c r="A4214" s="1">
        <v>43241</v>
      </c>
      <c r="B4214" t="str">
        <f>"SI186000610"</f>
        <v>SI186000610</v>
      </c>
      <c r="C4214" t="str">
        <f>"PR18000224"</f>
        <v>PR18000224</v>
      </c>
      <c r="E4214" t="str">
        <f>"Y"</f>
        <v>Y</v>
      </c>
      <c r="F4214" t="str">
        <f>"חשבוניות מרכזות"</f>
        <v>חשבוניות מרכזות</v>
      </c>
      <c r="G4214" t="str">
        <f>"700065"</f>
        <v>700065</v>
      </c>
      <c r="H4214" t="str">
        <f>"אלתא מערכות בע""מ"</f>
        <v>אלתא מערכות בע"מ</v>
      </c>
      <c r="I4214" t="str">
        <f>"10"</f>
        <v>10</v>
      </c>
      <c r="J4214" t="str">
        <f>"OP-AR00454"</f>
        <v>OP-AR00454</v>
      </c>
      <c r="K4214" t="str">
        <f>"PDU 380V/50HZ/3 PH AC POWER BOX"</f>
        <v>PDU 380V/50HZ/3 PH AC POWER BOX</v>
      </c>
      <c r="L4214">
        <v>1</v>
      </c>
      <c r="M4214" t="str">
        <f>"יח"</f>
        <v>יח</v>
      </c>
      <c r="N4214">
        <v>1</v>
      </c>
      <c r="O4214" t="str">
        <f>"יח"</f>
        <v>יח</v>
      </c>
      <c r="P4214" s="2">
        <v>1150</v>
      </c>
      <c r="Q4214" t="str">
        <f>"$"</f>
        <v>$</v>
      </c>
      <c r="R4214" t="str">
        <f>"הזמנה"</f>
        <v>הזמנה</v>
      </c>
      <c r="S4214">
        <v>0</v>
      </c>
      <c r="T4214" s="2">
        <v>1150</v>
      </c>
      <c r="U4214">
        <v>0</v>
      </c>
      <c r="V4214" s="2">
        <v>1150</v>
      </c>
      <c r="W4214" t="str">
        <f>"$"</f>
        <v>$</v>
      </c>
      <c r="X4214">
        <v>0</v>
      </c>
      <c r="Y4214">
        <v>0</v>
      </c>
      <c r="Z4214">
        <v>0</v>
      </c>
      <c r="AA4214" t="str">
        <f>"Y"</f>
        <v>Y</v>
      </c>
      <c r="AC4214">
        <v>0</v>
      </c>
      <c r="AM4214" t="str">
        <f>"10"</f>
        <v>10</v>
      </c>
      <c r="AN4214" t="str">
        <f>"500000"</f>
        <v>500000</v>
      </c>
      <c r="AO4214" t="str">
        <f>"הכנסות  מלקוחות"</f>
        <v>הכנסות  מלקוחות</v>
      </c>
      <c r="AQ4214" t="str">
        <f>"007"</f>
        <v>007</v>
      </c>
      <c r="AR4214">
        <v>0</v>
      </c>
      <c r="AS4214">
        <v>0</v>
      </c>
      <c r="AT4214">
        <v>3.5990000000000002</v>
      </c>
      <c r="BB4214" t="str">
        <f>"Y"</f>
        <v>Y</v>
      </c>
      <c r="BD4214" t="str">
        <f>"רוני דידי"</f>
        <v>רוני דידי</v>
      </c>
    </row>
    <row r="4215" spans="1:56" x14ac:dyDescent="0.3">
      <c r="A4215" s="1">
        <v>43241</v>
      </c>
      <c r="B4215" t="str">
        <f>"SI186000609"</f>
        <v>SI186000609</v>
      </c>
      <c r="C4215" t="str">
        <f>"PR18000119"</f>
        <v>PR18000119</v>
      </c>
      <c r="E4215" t="str">
        <f>"Y"</f>
        <v>Y</v>
      </c>
      <c r="F4215" t="str">
        <f>"חשבוניות מרכזות"</f>
        <v>חשבוניות מרכזות</v>
      </c>
      <c r="G4215" t="str">
        <f>"700065"</f>
        <v>700065</v>
      </c>
      <c r="H4215" t="str">
        <f>"אלתא מערכות בע""מ"</f>
        <v>אלתא מערכות בע"מ</v>
      </c>
      <c r="I4215" t="str">
        <f>"10"</f>
        <v>10</v>
      </c>
      <c r="J4215" t="str">
        <f>"OP-ML00117"</f>
        <v>OP-ML00117</v>
      </c>
      <c r="K4215" t="str">
        <f>"PDU 1U 110VAC 1PH"</f>
        <v>PDU 1U 110VAC 1PH</v>
      </c>
      <c r="L4215">
        <v>2</v>
      </c>
      <c r="M4215" t="str">
        <f>"יח"</f>
        <v>יח</v>
      </c>
      <c r="N4215">
        <v>2</v>
      </c>
      <c r="O4215" t="str">
        <f>"יח"</f>
        <v>יח</v>
      </c>
      <c r="P4215" s="2">
        <v>2848</v>
      </c>
      <c r="Q4215" t="str">
        <f>"$"</f>
        <v>$</v>
      </c>
      <c r="R4215" t="str">
        <f>"הזמנה"</f>
        <v>הזמנה</v>
      </c>
      <c r="S4215">
        <v>0</v>
      </c>
      <c r="T4215" s="2">
        <v>5696</v>
      </c>
      <c r="U4215">
        <v>0</v>
      </c>
      <c r="V4215" s="2">
        <v>5696</v>
      </c>
      <c r="W4215" t="str">
        <f>"$"</f>
        <v>$</v>
      </c>
      <c r="X4215">
        <v>0</v>
      </c>
      <c r="Y4215">
        <v>0</v>
      </c>
      <c r="Z4215">
        <v>0</v>
      </c>
      <c r="AA4215" t="str">
        <f>"Y"</f>
        <v>Y</v>
      </c>
      <c r="AC4215">
        <v>0</v>
      </c>
      <c r="AM4215" t="str">
        <f>"10"</f>
        <v>10</v>
      </c>
      <c r="AN4215" t="str">
        <f>"500000"</f>
        <v>500000</v>
      </c>
      <c r="AO4215" t="str">
        <f>"הכנסות  מלקוחות"</f>
        <v>הכנסות  מלקוחות</v>
      </c>
      <c r="AQ4215" t="str">
        <f>"007"</f>
        <v>007</v>
      </c>
      <c r="AR4215">
        <v>0</v>
      </c>
      <c r="AS4215">
        <v>0</v>
      </c>
      <c r="AT4215">
        <v>3.5990000000000002</v>
      </c>
      <c r="BB4215" t="str">
        <f>"Y"</f>
        <v>Y</v>
      </c>
      <c r="BD4215" t="str">
        <f>"רוני דידי"</f>
        <v>רוני דידי</v>
      </c>
    </row>
    <row r="4216" spans="1:56" x14ac:dyDescent="0.3">
      <c r="A4216" s="1">
        <v>43237</v>
      </c>
      <c r="B4216" t="str">
        <f>"SI186000615"</f>
        <v>SI186000615</v>
      </c>
      <c r="C4216" t="str">
        <f>"PR18000224"</f>
        <v>PR18000224</v>
      </c>
      <c r="E4216" t="str">
        <f>"Y"</f>
        <v>Y</v>
      </c>
      <c r="F4216" t="str">
        <f>"חשבוניות מרכזות"</f>
        <v>חשבוניות מרכזות</v>
      </c>
      <c r="G4216" t="str">
        <f>"700065"</f>
        <v>700065</v>
      </c>
      <c r="H4216" t="str">
        <f>"אלתא מערכות בע""מ"</f>
        <v>אלתא מערכות בע"מ</v>
      </c>
      <c r="I4216" t="str">
        <f>"10"</f>
        <v>10</v>
      </c>
      <c r="J4216" t="str">
        <f>"OP-AR00454"</f>
        <v>OP-AR00454</v>
      </c>
      <c r="K4216" t="str">
        <f>"PDU 380V/50HZ/3 PH AC POWER BOX"</f>
        <v>PDU 380V/50HZ/3 PH AC POWER BOX</v>
      </c>
      <c r="L4216">
        <v>1</v>
      </c>
      <c r="M4216" t="str">
        <f>"יח"</f>
        <v>יח</v>
      </c>
      <c r="N4216">
        <v>1</v>
      </c>
      <c r="O4216" t="str">
        <f>"יח"</f>
        <v>יח</v>
      </c>
      <c r="P4216" s="2">
        <v>1150</v>
      </c>
      <c r="Q4216" t="str">
        <f>"$"</f>
        <v>$</v>
      </c>
      <c r="R4216" t="str">
        <f>"הזמנה"</f>
        <v>הזמנה</v>
      </c>
      <c r="S4216">
        <v>0</v>
      </c>
      <c r="T4216" s="2">
        <v>1150</v>
      </c>
      <c r="U4216">
        <v>0</v>
      </c>
      <c r="V4216" s="2">
        <v>1150</v>
      </c>
      <c r="W4216" t="str">
        <f>"$"</f>
        <v>$</v>
      </c>
      <c r="X4216">
        <v>0</v>
      </c>
      <c r="Y4216">
        <v>0</v>
      </c>
      <c r="Z4216">
        <v>0</v>
      </c>
      <c r="AA4216" t="str">
        <f>"Y"</f>
        <v>Y</v>
      </c>
      <c r="AB4216" t="str">
        <f>"SO18000177"</f>
        <v>SO18000177</v>
      </c>
      <c r="AC4216">
        <v>2</v>
      </c>
      <c r="AD4216" s="1">
        <v>43181</v>
      </c>
      <c r="AE4216" t="str">
        <f>"SH18000926"</f>
        <v>SH18000926</v>
      </c>
      <c r="AF4216" t="str">
        <f>"משלוחים ללקוח"</f>
        <v>משלוחים ללקוח</v>
      </c>
      <c r="AG4216" s="1">
        <v>43235</v>
      </c>
      <c r="AM4216" t="str">
        <f>"10"</f>
        <v>10</v>
      </c>
      <c r="AN4216" t="str">
        <f>"500000"</f>
        <v>500000</v>
      </c>
      <c r="AO4216" t="str">
        <f>"הכנסות  מלקוחות"</f>
        <v>הכנסות  מלקוחות</v>
      </c>
      <c r="AQ4216" t="str">
        <f>"007"</f>
        <v>007</v>
      </c>
      <c r="AR4216">
        <v>0</v>
      </c>
      <c r="AS4216">
        <v>0</v>
      </c>
      <c r="AT4216">
        <v>3.5870000000000002</v>
      </c>
      <c r="AX4216" t="str">
        <f>"E000257278"</f>
        <v>E000257278</v>
      </c>
      <c r="BD4216" t="str">
        <f>"רוני דידי"</f>
        <v>רוני דידי</v>
      </c>
    </row>
    <row r="4217" spans="1:56" x14ac:dyDescent="0.3">
      <c r="A4217" s="1">
        <v>43237</v>
      </c>
      <c r="B4217" t="str">
        <f>"SI186000615"</f>
        <v>SI186000615</v>
      </c>
      <c r="C4217" t="str">
        <f>"PR18000224"</f>
        <v>PR18000224</v>
      </c>
      <c r="E4217" t="str">
        <f>"Y"</f>
        <v>Y</v>
      </c>
      <c r="F4217" t="str">
        <f>"חשבוניות מרכזות"</f>
        <v>חשבוניות מרכזות</v>
      </c>
      <c r="G4217" t="str">
        <f>"700065"</f>
        <v>700065</v>
      </c>
      <c r="H4217" t="str">
        <f>"אלתא מערכות בע""מ"</f>
        <v>אלתא מערכות בע"מ</v>
      </c>
      <c r="I4217" t="str">
        <f>"10"</f>
        <v>10</v>
      </c>
      <c r="J4217" t="str">
        <f>"OP-AR00454"</f>
        <v>OP-AR00454</v>
      </c>
      <c r="K4217" t="str">
        <f>"PDU 380V/50HZ/3 PH AC POWER BOX"</f>
        <v>PDU 380V/50HZ/3 PH AC POWER BOX</v>
      </c>
      <c r="L4217">
        <v>1</v>
      </c>
      <c r="M4217" t="str">
        <f>"יח"</f>
        <v>יח</v>
      </c>
      <c r="N4217">
        <v>1</v>
      </c>
      <c r="O4217" t="str">
        <f>"יח"</f>
        <v>יח</v>
      </c>
      <c r="P4217" s="2">
        <v>1150</v>
      </c>
      <c r="Q4217" t="str">
        <f>"$"</f>
        <v>$</v>
      </c>
      <c r="R4217" t="str">
        <f>"הזמנה"</f>
        <v>הזמנה</v>
      </c>
      <c r="S4217">
        <v>0</v>
      </c>
      <c r="T4217" s="2">
        <v>1150</v>
      </c>
      <c r="U4217">
        <v>0</v>
      </c>
      <c r="V4217" s="2">
        <v>1150</v>
      </c>
      <c r="W4217" t="str">
        <f>"$"</f>
        <v>$</v>
      </c>
      <c r="X4217">
        <v>0</v>
      </c>
      <c r="Y4217">
        <v>0</v>
      </c>
      <c r="Z4217">
        <v>0</v>
      </c>
      <c r="AA4217" t="str">
        <f>"Y"</f>
        <v>Y</v>
      </c>
      <c r="AB4217" t="str">
        <f>"SO18000177"</f>
        <v>SO18000177</v>
      </c>
      <c r="AC4217">
        <v>3</v>
      </c>
      <c r="AD4217" s="1">
        <v>43181</v>
      </c>
      <c r="AE4217" t="str">
        <f>"SH18000926"</f>
        <v>SH18000926</v>
      </c>
      <c r="AF4217" t="str">
        <f>"משלוחים ללקוח"</f>
        <v>משלוחים ללקוח</v>
      </c>
      <c r="AG4217" s="1">
        <v>43235</v>
      </c>
      <c r="AM4217" t="str">
        <f>"10"</f>
        <v>10</v>
      </c>
      <c r="AN4217" t="str">
        <f>"500000"</f>
        <v>500000</v>
      </c>
      <c r="AO4217" t="str">
        <f>"הכנסות  מלקוחות"</f>
        <v>הכנסות  מלקוחות</v>
      </c>
      <c r="AQ4217" t="str">
        <f>"007"</f>
        <v>007</v>
      </c>
      <c r="AR4217">
        <v>0</v>
      </c>
      <c r="AS4217">
        <v>0</v>
      </c>
      <c r="AT4217">
        <v>3.5870000000000002</v>
      </c>
      <c r="AX4217" t="str">
        <f>"E000257278"</f>
        <v>E000257278</v>
      </c>
      <c r="BD4217" t="str">
        <f>"רוני דידי"</f>
        <v>רוני דידי</v>
      </c>
    </row>
    <row r="4218" spans="1:56" x14ac:dyDescent="0.3">
      <c r="A4218" s="1">
        <v>43237</v>
      </c>
      <c r="B4218" t="str">
        <f>"SI186000614"</f>
        <v>SI186000614</v>
      </c>
      <c r="C4218" t="str">
        <f>"PR18000119"</f>
        <v>PR18000119</v>
      </c>
      <c r="D4218" t="str">
        <f>"PR18000119"</f>
        <v>PR18000119</v>
      </c>
      <c r="E4218" t="str">
        <f>"Y"</f>
        <v>Y</v>
      </c>
      <c r="F4218" t="str">
        <f>"חשבוניות מרכזות"</f>
        <v>חשבוניות מרכזות</v>
      </c>
      <c r="G4218" t="str">
        <f>"700065"</f>
        <v>700065</v>
      </c>
      <c r="H4218" t="str">
        <f>"אלתא מערכות בע""מ"</f>
        <v>אלתא מערכות בע"מ</v>
      </c>
      <c r="I4218" t="str">
        <f>"10"</f>
        <v>10</v>
      </c>
      <c r="J4218" t="str">
        <f>"OP-ML00117"</f>
        <v>OP-ML00117</v>
      </c>
      <c r="K4218" t="str">
        <f>"PDU 1U 110VAC 1PH"</f>
        <v>PDU 1U 110VAC 1PH</v>
      </c>
      <c r="L4218">
        <v>2</v>
      </c>
      <c r="M4218" t="str">
        <f>"יח"</f>
        <v>יח</v>
      </c>
      <c r="N4218">
        <v>2</v>
      </c>
      <c r="O4218" t="str">
        <f>"יח"</f>
        <v>יח</v>
      </c>
      <c r="P4218" s="2">
        <v>2848</v>
      </c>
      <c r="Q4218" t="str">
        <f>"$"</f>
        <v>$</v>
      </c>
      <c r="R4218" t="str">
        <f>"הזמנה"</f>
        <v>הזמנה</v>
      </c>
      <c r="S4218">
        <v>0</v>
      </c>
      <c r="T4218" s="2">
        <v>5696</v>
      </c>
      <c r="U4218">
        <v>0</v>
      </c>
      <c r="V4218" s="2">
        <v>5696</v>
      </c>
      <c r="W4218" t="str">
        <f>"$"</f>
        <v>$</v>
      </c>
      <c r="X4218">
        <v>0</v>
      </c>
      <c r="Y4218">
        <v>0</v>
      </c>
      <c r="Z4218">
        <v>0</v>
      </c>
      <c r="AA4218" t="str">
        <f>"Y"</f>
        <v>Y</v>
      </c>
      <c r="AB4218" t="str">
        <f>"SO18000119"</f>
        <v>SO18000119</v>
      </c>
      <c r="AC4218">
        <v>1</v>
      </c>
      <c r="AD4218" s="1">
        <v>43157</v>
      </c>
      <c r="AE4218" t="str">
        <f>"SH18000925"</f>
        <v>SH18000925</v>
      </c>
      <c r="AF4218" t="str">
        <f>"משלוחים ללקוח"</f>
        <v>משלוחים ללקוח</v>
      </c>
      <c r="AG4218" s="1">
        <v>43235</v>
      </c>
      <c r="AM4218" t="str">
        <f>"10"</f>
        <v>10</v>
      </c>
      <c r="AN4218" t="str">
        <f>"500000"</f>
        <v>500000</v>
      </c>
      <c r="AO4218" t="str">
        <f>"הכנסות  מלקוחות"</f>
        <v>הכנסות  מלקוחות</v>
      </c>
      <c r="AQ4218" t="str">
        <f>"007"</f>
        <v>007</v>
      </c>
      <c r="AR4218">
        <v>0</v>
      </c>
      <c r="AS4218">
        <v>0</v>
      </c>
      <c r="AT4218">
        <v>3.5870000000000002</v>
      </c>
      <c r="AX4218" t="str">
        <f>"E000255678"</f>
        <v>E000255678</v>
      </c>
      <c r="BD4218" t="str">
        <f>"רוני דידי"</f>
        <v>רוני דידי</v>
      </c>
    </row>
    <row r="4219" spans="1:56" x14ac:dyDescent="0.3">
      <c r="A4219" s="1">
        <v>43220</v>
      </c>
      <c r="B4219" t="str">
        <f>"SI186000530"</f>
        <v>SI186000530</v>
      </c>
      <c r="C4219" t="str">
        <f>"PR17001953"</f>
        <v>PR17001953</v>
      </c>
      <c r="D4219" t="str">
        <f>"PR17001953"</f>
        <v>PR17001953</v>
      </c>
      <c r="E4219" t="str">
        <f>"Y"</f>
        <v>Y</v>
      </c>
      <c r="F4219" t="str">
        <f>"חשבוניות מרכזות"</f>
        <v>חשבוניות מרכזות</v>
      </c>
      <c r="G4219" t="str">
        <f>"700065"</f>
        <v>700065</v>
      </c>
      <c r="H4219" t="str">
        <f>"אלתא מערכות בע""מ"</f>
        <v>אלתא מערכות בע"מ</v>
      </c>
      <c r="I4219" t="str">
        <f>"10"</f>
        <v>10</v>
      </c>
      <c r="J4219" t="str">
        <f>"OP-AR00236"</f>
        <v>OP-AR00236</v>
      </c>
      <c r="K4219" t="str">
        <f>"ייצור OTS PDU"</f>
        <v>ייצור OTS PDU</v>
      </c>
      <c r="L4219">
        <v>1</v>
      </c>
      <c r="M4219" t="str">
        <f>"יח"</f>
        <v>יח</v>
      </c>
      <c r="N4219">
        <v>1</v>
      </c>
      <c r="O4219" t="str">
        <f>"יח"</f>
        <v>יח</v>
      </c>
      <c r="P4219" s="2">
        <v>6350</v>
      </c>
      <c r="Q4219" t="str">
        <f>"$"</f>
        <v>$</v>
      </c>
      <c r="R4219" t="str">
        <f>"הזמנה"</f>
        <v>הזמנה</v>
      </c>
      <c r="S4219">
        <v>0</v>
      </c>
      <c r="T4219" s="2">
        <v>6350</v>
      </c>
      <c r="U4219">
        <v>0</v>
      </c>
      <c r="V4219" s="2">
        <v>6350</v>
      </c>
      <c r="W4219" t="str">
        <f>"$"</f>
        <v>$</v>
      </c>
      <c r="X4219">
        <v>0</v>
      </c>
      <c r="Y4219">
        <v>0</v>
      </c>
      <c r="Z4219">
        <v>0</v>
      </c>
      <c r="AA4219" t="str">
        <f>"Y"</f>
        <v>Y</v>
      </c>
      <c r="AB4219" t="str">
        <f>"SO17000519"</f>
        <v>SO17000519</v>
      </c>
      <c r="AC4219">
        <v>1</v>
      </c>
      <c r="AD4219" s="1">
        <v>42941</v>
      </c>
      <c r="AE4219" t="str">
        <f>"SH18000828"</f>
        <v>SH18000828</v>
      </c>
      <c r="AF4219" t="str">
        <f>"משלוחים ללקוח"</f>
        <v>משלוחים ללקוח</v>
      </c>
      <c r="AG4219" s="1">
        <v>43220</v>
      </c>
      <c r="AM4219" t="str">
        <f>"10"</f>
        <v>10</v>
      </c>
      <c r="AN4219" t="str">
        <f>"500000"</f>
        <v>500000</v>
      </c>
      <c r="AO4219" t="str">
        <f>"הכנסות  מלקוחות"</f>
        <v>הכנסות  מלקוחות</v>
      </c>
      <c r="AQ4219" t="str">
        <f>"007"</f>
        <v>007</v>
      </c>
      <c r="AR4219">
        <v>0</v>
      </c>
      <c r="AS4219">
        <v>0</v>
      </c>
      <c r="AT4219">
        <v>3.5880000000000001</v>
      </c>
      <c r="AX4219" t="str">
        <f>"E000243006"</f>
        <v>E000243006</v>
      </c>
      <c r="BD4219" t="str">
        <f>"רוני דידי"</f>
        <v>רוני דידי</v>
      </c>
    </row>
    <row r="4220" spans="1:56" x14ac:dyDescent="0.3">
      <c r="A4220" s="1">
        <v>43220</v>
      </c>
      <c r="B4220" t="str">
        <f>"SI186000528"</f>
        <v>SI186000528</v>
      </c>
      <c r="C4220" t="str">
        <f>"PR18000008"</f>
        <v>PR18000008</v>
      </c>
      <c r="D4220" t="str">
        <f>"PR18000008"</f>
        <v>PR18000008</v>
      </c>
      <c r="E4220" t="str">
        <f>"Y"</f>
        <v>Y</v>
      </c>
      <c r="F4220" t="str">
        <f>"חשבוניות מרכזות"</f>
        <v>חשבוניות מרכזות</v>
      </c>
      <c r="G4220" t="str">
        <f>"700065"</f>
        <v>700065</v>
      </c>
      <c r="H4220" t="str">
        <f>"אלתא מערכות בע""מ"</f>
        <v>אלתא מערכות בע"מ</v>
      </c>
      <c r="I4220" t="str">
        <f>"10"</f>
        <v>10</v>
      </c>
      <c r="J4220" t="str">
        <f>"OP-AR00862"</f>
        <v>OP-AR00862</v>
      </c>
      <c r="K4220" t="str">
        <f>"SPARE PART KIT FOR PDU 1025B601-001"</f>
        <v>SPARE PART KIT FOR PDU 1025B601-001</v>
      </c>
      <c r="L4220">
        <v>1</v>
      </c>
      <c r="M4220" t="str">
        <f>"יח"</f>
        <v>יח</v>
      </c>
      <c r="N4220">
        <v>1</v>
      </c>
      <c r="O4220" t="str">
        <f>"יח"</f>
        <v>יח</v>
      </c>
      <c r="P4220" s="2">
        <v>14404.65</v>
      </c>
      <c r="Q4220" t="str">
        <f>"$"</f>
        <v>$</v>
      </c>
      <c r="R4220" t="str">
        <f>"הזמנה"</f>
        <v>הזמנה</v>
      </c>
      <c r="S4220">
        <v>0</v>
      </c>
      <c r="T4220" s="2">
        <v>14404.65</v>
      </c>
      <c r="U4220">
        <v>0</v>
      </c>
      <c r="V4220" s="2">
        <v>14404.65</v>
      </c>
      <c r="W4220" t="str">
        <f>"$"</f>
        <v>$</v>
      </c>
      <c r="X4220">
        <v>0</v>
      </c>
      <c r="Y4220">
        <v>0</v>
      </c>
      <c r="Z4220">
        <v>0</v>
      </c>
      <c r="AA4220" t="str">
        <f>"Y"</f>
        <v>Y</v>
      </c>
      <c r="AB4220" t="str">
        <f>"SO18000006"</f>
        <v>SO18000006</v>
      </c>
      <c r="AC4220">
        <v>1</v>
      </c>
      <c r="AD4220" s="1">
        <v>43103</v>
      </c>
      <c r="AE4220" t="str">
        <f>"SH18000825"</f>
        <v>SH18000825</v>
      </c>
      <c r="AF4220" t="str">
        <f>"משלוחים ללקוח"</f>
        <v>משלוחים ללקוח</v>
      </c>
      <c r="AG4220" s="1">
        <v>43220</v>
      </c>
      <c r="AM4220" t="str">
        <f>"10"</f>
        <v>10</v>
      </c>
      <c r="AN4220" t="str">
        <f>"500000"</f>
        <v>500000</v>
      </c>
      <c r="AO4220" t="str">
        <f>"הכנסות  מלקוחות"</f>
        <v>הכנסות  מלקוחות</v>
      </c>
      <c r="AQ4220" t="str">
        <f>"007"</f>
        <v>007</v>
      </c>
      <c r="AR4220">
        <v>0</v>
      </c>
      <c r="AS4220">
        <v>0</v>
      </c>
      <c r="AT4220">
        <v>3.5880000000000001</v>
      </c>
      <c r="AX4220" t="str">
        <f>"E000250483"</f>
        <v>E000250483</v>
      </c>
      <c r="BD4220" t="str">
        <f>"רוני דידי"</f>
        <v>רוני דידי</v>
      </c>
    </row>
    <row r="4221" spans="1:56" x14ac:dyDescent="0.3">
      <c r="A4221" s="1">
        <v>43212</v>
      </c>
      <c r="B4221" t="str">
        <f>"SI186000482"</f>
        <v>SI186000482</v>
      </c>
      <c r="C4221" t="str">
        <f>"PR17001787"</f>
        <v>PR17001787</v>
      </c>
      <c r="E4221" t="str">
        <f>"Y"</f>
        <v>Y</v>
      </c>
      <c r="F4221" t="str">
        <f>"חשבוניות מרכזות"</f>
        <v>חשבוניות מרכזות</v>
      </c>
      <c r="G4221" t="str">
        <f>"700065"</f>
        <v>700065</v>
      </c>
      <c r="H4221" t="str">
        <f>"אלתא מערכות בע""מ"</f>
        <v>אלתא מערכות בע"מ</v>
      </c>
      <c r="I4221" t="str">
        <f>"10"</f>
        <v>10</v>
      </c>
      <c r="J4221" t="str">
        <f>"OP-AR00465"</f>
        <v>OP-AR00465</v>
      </c>
      <c r="K4221" t="str">
        <f>"רתמה REV;B 1036N632-001"</f>
        <v>רתמה REV;B 1036N632-001</v>
      </c>
      <c r="L4221">
        <v>4</v>
      </c>
      <c r="M4221" t="str">
        <f>"יח"</f>
        <v>יח</v>
      </c>
      <c r="N4221">
        <v>4</v>
      </c>
      <c r="O4221" t="str">
        <f>"יח"</f>
        <v>יח</v>
      </c>
      <c r="P4221">
        <v>788</v>
      </c>
      <c r="Q4221" t="str">
        <f>"$"</f>
        <v>$</v>
      </c>
      <c r="R4221" t="str">
        <f>"הזמנה"</f>
        <v>הזמנה</v>
      </c>
      <c r="S4221">
        <v>0</v>
      </c>
      <c r="T4221" s="2">
        <v>3152</v>
      </c>
      <c r="U4221">
        <v>0</v>
      </c>
      <c r="V4221" s="2">
        <v>3152</v>
      </c>
      <c r="W4221" t="str">
        <f>"$"</f>
        <v>$</v>
      </c>
      <c r="X4221">
        <v>0</v>
      </c>
      <c r="Y4221">
        <v>0</v>
      </c>
      <c r="Z4221">
        <v>0</v>
      </c>
      <c r="AA4221" t="str">
        <f>"Y"</f>
        <v>Y</v>
      </c>
      <c r="AB4221" t="str">
        <f>"SO17000424"</f>
        <v>SO17000424</v>
      </c>
      <c r="AC4221">
        <v>5</v>
      </c>
      <c r="AD4221" s="1">
        <v>42893</v>
      </c>
      <c r="AE4221" t="str">
        <f>"SH18000752"</f>
        <v>SH18000752</v>
      </c>
      <c r="AF4221" t="str">
        <f>"משלוחים ללקוח"</f>
        <v>משלוחים ללקוח</v>
      </c>
      <c r="AG4221" s="1">
        <v>43208</v>
      </c>
      <c r="AM4221" t="str">
        <f>"10"</f>
        <v>10</v>
      </c>
      <c r="AN4221" t="str">
        <f>"500000"</f>
        <v>500000</v>
      </c>
      <c r="AO4221" t="str">
        <f>"הכנסות  מלקוחות"</f>
        <v>הכנסות  מלקוחות</v>
      </c>
      <c r="AQ4221" t="str">
        <f>"004"</f>
        <v>004</v>
      </c>
      <c r="AR4221">
        <v>0</v>
      </c>
      <c r="AS4221">
        <v>0</v>
      </c>
      <c r="AT4221">
        <v>3.5230000000000001</v>
      </c>
      <c r="AX4221" t="str">
        <f>"E000239737"</f>
        <v>E000239737</v>
      </c>
      <c r="BD4221" t="str">
        <f>"איציק חדד"</f>
        <v>איציק חדד</v>
      </c>
    </row>
    <row r="4222" spans="1:56" x14ac:dyDescent="0.3">
      <c r="A4222" s="1">
        <v>43198</v>
      </c>
      <c r="B4222" t="str">
        <f>"SI186000425"</f>
        <v>SI186000425</v>
      </c>
      <c r="E4222" t="str">
        <f>"Y"</f>
        <v>Y</v>
      </c>
      <c r="F4222" t="str">
        <f>"חשבוניות מרכזות"</f>
        <v>חשבוניות מרכזות</v>
      </c>
      <c r="G4222" t="str">
        <f>"700065"</f>
        <v>700065</v>
      </c>
      <c r="H4222" t="str">
        <f>"אלתא מערכות בע""מ"</f>
        <v>אלתא מערכות בע"מ</v>
      </c>
      <c r="I4222" t="str">
        <f>"10"</f>
        <v>10</v>
      </c>
      <c r="J4222" t="str">
        <f>"999"</f>
        <v>999</v>
      </c>
      <c r="K4222" t="str">
        <f>"קיזוז יחסי של 7 יחידות שטרם סופקו -חיוב111150427"</f>
        <v>קיזוז יחסי של 7 יחידות שטרם סופקו -חיוב111150427</v>
      </c>
      <c r="L4222">
        <v>-1</v>
      </c>
      <c r="M4222" t="str">
        <f>"חל"</f>
        <v>חל</v>
      </c>
      <c r="N4222">
        <v>-1</v>
      </c>
      <c r="O4222" t="str">
        <f>"חל"</f>
        <v>חל</v>
      </c>
      <c r="P4222" s="2">
        <v>11570</v>
      </c>
      <c r="Q4222" t="str">
        <f>"$"</f>
        <v>$</v>
      </c>
      <c r="R4222" t="str">
        <f>"הזמנה"</f>
        <v>הזמנה</v>
      </c>
      <c r="S4222">
        <v>0</v>
      </c>
      <c r="T4222" s="2">
        <v>-11570</v>
      </c>
      <c r="U4222">
        <v>0</v>
      </c>
      <c r="V4222" s="2">
        <v>-11570</v>
      </c>
      <c r="W4222" t="str">
        <f>"$"</f>
        <v>$</v>
      </c>
      <c r="X4222">
        <v>0</v>
      </c>
      <c r="Y4222">
        <v>0</v>
      </c>
      <c r="Z4222">
        <v>0</v>
      </c>
      <c r="AA4222" t="str">
        <f>"Y"</f>
        <v>Y</v>
      </c>
      <c r="AB4222" t="str">
        <f>"SO140001911"</f>
        <v>SO140001911</v>
      </c>
      <c r="AC4222">
        <v>5</v>
      </c>
      <c r="AD4222" s="1">
        <v>41758</v>
      </c>
      <c r="AM4222" t="str">
        <f>"10"</f>
        <v>10</v>
      </c>
      <c r="AN4222" t="str">
        <f>"500000"</f>
        <v>500000</v>
      </c>
      <c r="AO4222" t="str">
        <f>"הכנסות  מלקוחות"</f>
        <v>הכנסות  מלקוחות</v>
      </c>
      <c r="AQ4222" t="str">
        <f>"007"</f>
        <v>007</v>
      </c>
      <c r="AR4222">
        <v>0</v>
      </c>
      <c r="AS4222">
        <v>0</v>
      </c>
      <c r="AT4222">
        <v>3.5369999999999999</v>
      </c>
      <c r="AX4222" t="str">
        <f>"E000172960"</f>
        <v>E000172960</v>
      </c>
      <c r="BD4222" t="str">
        <f>"רוני דידי"</f>
        <v>רוני דידי</v>
      </c>
    </row>
    <row r="4223" spans="1:56" x14ac:dyDescent="0.3">
      <c r="A4223" s="1">
        <v>43191</v>
      </c>
      <c r="B4223" t="str">
        <f>"SI186000438"</f>
        <v>SI186000438</v>
      </c>
      <c r="C4223" t="str">
        <f>"PR16000776"</f>
        <v>PR16000776</v>
      </c>
      <c r="E4223" t="str">
        <f>"Y"</f>
        <v>Y</v>
      </c>
      <c r="F4223" t="str">
        <f>"חשבוניות מרכזות"</f>
        <v>חשבוניות מרכזות</v>
      </c>
      <c r="G4223" t="str">
        <f>"700065"</f>
        <v>700065</v>
      </c>
      <c r="H4223" t="str">
        <f>"אלתא מערכות בע""מ"</f>
        <v>אלתא מערכות בע"מ</v>
      </c>
      <c r="I4223" t="str">
        <f>"10"</f>
        <v>10</v>
      </c>
      <c r="J4223" t="str">
        <f>"000"</f>
        <v>000</v>
      </c>
      <c r="K4223" t="str">
        <f>"התקנת מערכת כוח בארץ הלקוח"</f>
        <v>התקנת מערכת כוח בארץ הלקוח</v>
      </c>
      <c r="L4223">
        <v>1</v>
      </c>
      <c r="M4223" t="str">
        <f>"יח"</f>
        <v>יח</v>
      </c>
      <c r="N4223">
        <v>1</v>
      </c>
      <c r="O4223" t="str">
        <f>"יח"</f>
        <v>יח</v>
      </c>
      <c r="P4223" s="2">
        <v>4650</v>
      </c>
      <c r="Q4223" t="str">
        <f>"$"</f>
        <v>$</v>
      </c>
      <c r="R4223" t="str">
        <f>"הזמנה"</f>
        <v>הזמנה</v>
      </c>
      <c r="S4223">
        <v>0</v>
      </c>
      <c r="T4223" s="2">
        <v>4650</v>
      </c>
      <c r="U4223">
        <v>0</v>
      </c>
      <c r="V4223" s="2">
        <v>4650</v>
      </c>
      <c r="W4223" t="str">
        <f>"$"</f>
        <v>$</v>
      </c>
      <c r="X4223">
        <v>0</v>
      </c>
      <c r="Y4223">
        <v>0</v>
      </c>
      <c r="Z4223">
        <v>0</v>
      </c>
      <c r="AA4223" t="str">
        <f>"Y"</f>
        <v>Y</v>
      </c>
      <c r="AC4223">
        <v>0</v>
      </c>
      <c r="AM4223" t="str">
        <f>"10"</f>
        <v>10</v>
      </c>
      <c r="AN4223" t="str">
        <f>"500000"</f>
        <v>500000</v>
      </c>
      <c r="AO4223" t="str">
        <f>"הכנסות  מלקוחות"</f>
        <v>הכנסות  מלקוחות</v>
      </c>
      <c r="AQ4223" t="str">
        <f>"007"</f>
        <v>007</v>
      </c>
      <c r="AR4223">
        <v>0</v>
      </c>
      <c r="AS4223">
        <v>0</v>
      </c>
      <c r="AT4223">
        <v>3.5139999999999998</v>
      </c>
      <c r="BB4223" t="str">
        <f>"Y"</f>
        <v>Y</v>
      </c>
      <c r="BD4223" t="str">
        <f>"רוני דידי"</f>
        <v>רוני דידי</v>
      </c>
    </row>
    <row r="4224" spans="1:56" x14ac:dyDescent="0.3">
      <c r="A4224" s="1">
        <v>43191</v>
      </c>
      <c r="B4224" t="str">
        <f>"SI186000437"</f>
        <v>SI186000437</v>
      </c>
      <c r="C4224" t="str">
        <f>"PR16000776"</f>
        <v>PR16000776</v>
      </c>
      <c r="E4224" t="str">
        <f>"Y"</f>
        <v>Y</v>
      </c>
      <c r="F4224" t="str">
        <f>"חשבוניות מרכזות"</f>
        <v>חשבוניות מרכזות</v>
      </c>
      <c r="G4224" t="str">
        <f>"700065"</f>
        <v>700065</v>
      </c>
      <c r="H4224" t="str">
        <f>"אלתא מערכות בע""מ"</f>
        <v>אלתא מערכות בע"מ</v>
      </c>
      <c r="I4224" t="str">
        <f>"10"</f>
        <v>10</v>
      </c>
      <c r="J4224" t="str">
        <f>"000"</f>
        <v>000</v>
      </c>
      <c r="K4224" t="str">
        <f>"התקנת מערכת כוח בארץ הלקוח"</f>
        <v>התקנת מערכת כוח בארץ הלקוח</v>
      </c>
      <c r="L4224">
        <v>-1</v>
      </c>
      <c r="M4224" t="str">
        <f>"יח"</f>
        <v>יח</v>
      </c>
      <c r="N4224">
        <v>-1</v>
      </c>
      <c r="O4224" t="str">
        <f>"יח"</f>
        <v>יח</v>
      </c>
      <c r="P4224" s="2">
        <v>4650</v>
      </c>
      <c r="Q4224" t="str">
        <f>"$"</f>
        <v>$</v>
      </c>
      <c r="R4224" t="str">
        <f>"הזמנה"</f>
        <v>הזמנה</v>
      </c>
      <c r="S4224">
        <v>0</v>
      </c>
      <c r="T4224" s="2">
        <v>-4650</v>
      </c>
      <c r="U4224">
        <v>0</v>
      </c>
      <c r="V4224" s="2">
        <v>-4650</v>
      </c>
      <c r="W4224" t="str">
        <f>"$"</f>
        <v>$</v>
      </c>
      <c r="X4224">
        <v>0</v>
      </c>
      <c r="Y4224">
        <v>0</v>
      </c>
      <c r="Z4224">
        <v>0</v>
      </c>
      <c r="AA4224" t="str">
        <f>"Y"</f>
        <v>Y</v>
      </c>
      <c r="AC4224">
        <v>0</v>
      </c>
      <c r="AM4224" t="str">
        <f>"10"</f>
        <v>10</v>
      </c>
      <c r="AN4224" t="str">
        <f>"500000"</f>
        <v>500000</v>
      </c>
      <c r="AO4224" t="str">
        <f>"הכנסות  מלקוחות"</f>
        <v>הכנסות  מלקוחות</v>
      </c>
      <c r="AQ4224" t="str">
        <f>"007"</f>
        <v>007</v>
      </c>
      <c r="AR4224">
        <v>0</v>
      </c>
      <c r="AS4224">
        <v>0</v>
      </c>
      <c r="AT4224">
        <v>3.5059999999999998</v>
      </c>
      <c r="BB4224" t="str">
        <f>"Y"</f>
        <v>Y</v>
      </c>
      <c r="BD4224" t="str">
        <f>"רוני דידי"</f>
        <v>רוני דידי</v>
      </c>
    </row>
    <row r="4225" spans="1:56" x14ac:dyDescent="0.3">
      <c r="A4225" s="1">
        <v>43191</v>
      </c>
      <c r="B4225" t="str">
        <f>"SI186000436"</f>
        <v>SI186000436</v>
      </c>
      <c r="C4225" t="str">
        <f>"PR16000776"</f>
        <v>PR16000776</v>
      </c>
      <c r="E4225" t="str">
        <f>"Y"</f>
        <v>Y</v>
      </c>
      <c r="F4225" t="str">
        <f>"חשבוניות מרכזות"</f>
        <v>חשבוניות מרכזות</v>
      </c>
      <c r="G4225" t="str">
        <f>"700065"</f>
        <v>700065</v>
      </c>
      <c r="H4225" t="str">
        <f>"אלתא מערכות בע""מ"</f>
        <v>אלתא מערכות בע"מ</v>
      </c>
      <c r="I4225" t="str">
        <f>"10"</f>
        <v>10</v>
      </c>
      <c r="J4225" t="str">
        <f>"000"</f>
        <v>000</v>
      </c>
      <c r="K4225" t="str">
        <f>"התקנת מערכת כוח בארץ הלקוח"</f>
        <v>התקנת מערכת כוח בארץ הלקוח</v>
      </c>
      <c r="L4225">
        <v>1</v>
      </c>
      <c r="M4225" t="str">
        <f>"יח"</f>
        <v>יח</v>
      </c>
      <c r="N4225">
        <v>1</v>
      </c>
      <c r="O4225" t="str">
        <f>"יח"</f>
        <v>יח</v>
      </c>
      <c r="P4225" s="2">
        <v>4650</v>
      </c>
      <c r="Q4225" t="str">
        <f>"$"</f>
        <v>$</v>
      </c>
      <c r="R4225" t="str">
        <f>"הזמנה"</f>
        <v>הזמנה</v>
      </c>
      <c r="S4225">
        <v>0</v>
      </c>
      <c r="T4225" s="2">
        <v>4650</v>
      </c>
      <c r="U4225">
        <v>0</v>
      </c>
      <c r="V4225" s="2">
        <v>4650</v>
      </c>
      <c r="W4225" t="str">
        <f>"$"</f>
        <v>$</v>
      </c>
      <c r="X4225">
        <v>0</v>
      </c>
      <c r="Y4225">
        <v>0</v>
      </c>
      <c r="Z4225">
        <v>0</v>
      </c>
      <c r="AA4225" t="str">
        <f>"Y"</f>
        <v>Y</v>
      </c>
      <c r="AC4225">
        <v>0</v>
      </c>
      <c r="AM4225" t="str">
        <f>"10"</f>
        <v>10</v>
      </c>
      <c r="AN4225" t="str">
        <f>"500000"</f>
        <v>500000</v>
      </c>
      <c r="AO4225" t="str">
        <f>"הכנסות  מלקוחות"</f>
        <v>הכנסות  מלקוחות</v>
      </c>
      <c r="AQ4225" t="str">
        <f>"007"</f>
        <v>007</v>
      </c>
      <c r="AR4225">
        <v>0</v>
      </c>
      <c r="AS4225">
        <v>0</v>
      </c>
      <c r="AT4225">
        <v>3.5059999999999998</v>
      </c>
      <c r="BB4225" t="str">
        <f>"Y"</f>
        <v>Y</v>
      </c>
      <c r="BD4225" t="str">
        <f>"רוני דידי"</f>
        <v>רוני דידי</v>
      </c>
    </row>
    <row r="4226" spans="1:56" x14ac:dyDescent="0.3">
      <c r="A4226" s="1">
        <v>43188</v>
      </c>
      <c r="B4226" t="str">
        <f>"SI186000426"</f>
        <v>SI186000426</v>
      </c>
      <c r="C4226" t="str">
        <f>"PR17002031"</f>
        <v>PR17002031</v>
      </c>
      <c r="E4226" t="str">
        <f>"Y"</f>
        <v>Y</v>
      </c>
      <c r="F4226" t="str">
        <f>"חשבוניות מרכזות"</f>
        <v>חשבוניות מרכזות</v>
      </c>
      <c r="G4226" t="str">
        <f>"700065"</f>
        <v>700065</v>
      </c>
      <c r="H4226" t="str">
        <f>"אלתא מערכות בע""מ"</f>
        <v>אלתא מערכות בע"מ</v>
      </c>
      <c r="I4226" t="str">
        <f>"10"</f>
        <v>10</v>
      </c>
      <c r="J4226" t="str">
        <f>"OP-AR00709"</f>
        <v>OP-AR00709</v>
      </c>
      <c r="K4226" t="str">
        <f>"מיישר ממותג מודולארי 1025B565-001"</f>
        <v>מיישר ממותג מודולארי 1025B565-001</v>
      </c>
      <c r="L4226">
        <v>1</v>
      </c>
      <c r="M4226" t="str">
        <f>"יח"</f>
        <v>יח</v>
      </c>
      <c r="N4226">
        <v>1</v>
      </c>
      <c r="O4226" t="str">
        <f>"יח"</f>
        <v>יח</v>
      </c>
      <c r="P4226" s="2">
        <v>33500</v>
      </c>
      <c r="Q4226" t="str">
        <f>"$"</f>
        <v>$</v>
      </c>
      <c r="R4226" t="str">
        <f>"הזמנה"</f>
        <v>הזמנה</v>
      </c>
      <c r="S4226">
        <v>0</v>
      </c>
      <c r="T4226" s="2">
        <v>33500</v>
      </c>
      <c r="U4226">
        <v>0</v>
      </c>
      <c r="V4226" s="2">
        <v>33500</v>
      </c>
      <c r="W4226" t="str">
        <f>"$"</f>
        <v>$</v>
      </c>
      <c r="X4226">
        <v>0</v>
      </c>
      <c r="Y4226">
        <v>0</v>
      </c>
      <c r="Z4226">
        <v>0</v>
      </c>
      <c r="AA4226" t="str">
        <f>"Y"</f>
        <v>Y</v>
      </c>
      <c r="AB4226" t="str">
        <f>"SO17000569"</f>
        <v>SO17000569</v>
      </c>
      <c r="AC4226">
        <v>1</v>
      </c>
      <c r="AD4226" s="1">
        <v>42967</v>
      </c>
      <c r="AE4226" t="str">
        <f>"SH18000667"</f>
        <v>SH18000667</v>
      </c>
      <c r="AF4226" t="str">
        <f>"משלוחים ללקוח"</f>
        <v>משלוחים ללקוח</v>
      </c>
      <c r="AG4226" s="1">
        <v>43187</v>
      </c>
      <c r="AM4226" t="str">
        <f>"10"</f>
        <v>10</v>
      </c>
      <c r="AN4226" t="str">
        <f>"500000"</f>
        <v>500000</v>
      </c>
      <c r="AO4226" t="str">
        <f>"הכנסות  מלקוחות"</f>
        <v>הכנסות  מלקוחות</v>
      </c>
      <c r="AQ4226" t="str">
        <f>"007"</f>
        <v>007</v>
      </c>
      <c r="AR4226">
        <v>0</v>
      </c>
      <c r="AS4226">
        <v>0</v>
      </c>
      <c r="AT4226">
        <v>3.5139999999999998</v>
      </c>
      <c r="AX4226" t="str">
        <f>"E000244742"</f>
        <v>E000244742</v>
      </c>
      <c r="BD4226" t="str">
        <f>"רוני דידי"</f>
        <v>רוני דידי</v>
      </c>
    </row>
    <row r="4227" spans="1:56" x14ac:dyDescent="0.3">
      <c r="A4227" s="1">
        <v>43186</v>
      </c>
      <c r="B4227" t="str">
        <f>"SI186000389"</f>
        <v>SI186000389</v>
      </c>
      <c r="C4227" t="str">
        <f>"PR16000776"</f>
        <v>PR16000776</v>
      </c>
      <c r="D4227" t="str">
        <f>"PR16000776"</f>
        <v>PR16000776</v>
      </c>
      <c r="E4227" t="str">
        <f>"Y"</f>
        <v>Y</v>
      </c>
      <c r="F4227" t="str">
        <f>"חשבוניות מרכזות"</f>
        <v>חשבוניות מרכזות</v>
      </c>
      <c r="G4227" t="str">
        <f>"700065"</f>
        <v>700065</v>
      </c>
      <c r="H4227" t="str">
        <f>"אלתא מערכות בע""מ"</f>
        <v>אלתא מערכות בע"מ</v>
      </c>
      <c r="I4227" t="str">
        <f>"10"</f>
        <v>10</v>
      </c>
      <c r="J4227" t="str">
        <f>"000"</f>
        <v>000</v>
      </c>
      <c r="K4227" t="str">
        <f>"תוספות ושיפורים למערכת כוח ב'"</f>
        <v>תוספות ושיפורים למערכת כוח ב'</v>
      </c>
      <c r="L4227">
        <v>1</v>
      </c>
      <c r="M4227" t="str">
        <f>"יח"</f>
        <v>יח</v>
      </c>
      <c r="N4227">
        <v>1</v>
      </c>
      <c r="O4227" t="str">
        <f>"יח"</f>
        <v>יח</v>
      </c>
      <c r="P4227" s="2">
        <v>55500</v>
      </c>
      <c r="Q4227" t="str">
        <f>"$"</f>
        <v>$</v>
      </c>
      <c r="R4227" t="str">
        <f>"הזמנה"</f>
        <v>הזמנה</v>
      </c>
      <c r="S4227">
        <v>0</v>
      </c>
      <c r="T4227" s="2">
        <v>55500</v>
      </c>
      <c r="U4227">
        <v>0</v>
      </c>
      <c r="V4227" s="2">
        <v>55500</v>
      </c>
      <c r="W4227" t="str">
        <f>"$"</f>
        <v>$</v>
      </c>
      <c r="X4227">
        <v>0</v>
      </c>
      <c r="Y4227">
        <v>0</v>
      </c>
      <c r="Z4227">
        <v>0</v>
      </c>
      <c r="AA4227" t="str">
        <f>"Y"</f>
        <v>Y</v>
      </c>
      <c r="AB4227" t="str">
        <f>"SO17000599"</f>
        <v>SO17000599</v>
      </c>
      <c r="AC4227">
        <v>1</v>
      </c>
      <c r="AD4227" s="1">
        <v>42984</v>
      </c>
      <c r="AM4227" t="str">
        <f>"10"</f>
        <v>10</v>
      </c>
      <c r="AN4227" t="str">
        <f>"500000"</f>
        <v>500000</v>
      </c>
      <c r="AO4227" t="str">
        <f>"הכנסות  מלקוחות"</f>
        <v>הכנסות  מלקוחות</v>
      </c>
      <c r="AQ4227" t="str">
        <f>"007"</f>
        <v>007</v>
      </c>
      <c r="AR4227">
        <v>0</v>
      </c>
      <c r="AS4227">
        <v>0</v>
      </c>
      <c r="AT4227">
        <v>3.4910000000000001</v>
      </c>
      <c r="AX4227" t="str">
        <f>"E000244986"</f>
        <v>E000244986</v>
      </c>
      <c r="BD4227" t="str">
        <f>"רוני דידי"</f>
        <v>רוני דידי</v>
      </c>
    </row>
    <row r="4228" spans="1:56" x14ac:dyDescent="0.3">
      <c r="A4228" s="1">
        <v>43186</v>
      </c>
      <c r="B4228" t="str">
        <f>"SI186000388"</f>
        <v>SI186000388</v>
      </c>
      <c r="C4228" t="str">
        <f>"PR16000776"</f>
        <v>PR16000776</v>
      </c>
      <c r="E4228" t="str">
        <f>"Y"</f>
        <v>Y</v>
      </c>
      <c r="F4228" t="str">
        <f>"חשבוניות מרכזות"</f>
        <v>חשבוניות מרכזות</v>
      </c>
      <c r="G4228" t="str">
        <f>"700065"</f>
        <v>700065</v>
      </c>
      <c r="H4228" t="str">
        <f>"אלתא מערכות בע""מ"</f>
        <v>אלתא מערכות בע"מ</v>
      </c>
      <c r="I4228" t="str">
        <f>"10"</f>
        <v>10</v>
      </c>
      <c r="J4228" t="str">
        <f>"000"</f>
        <v>000</v>
      </c>
      <c r="K4228" t="str">
        <f>"תוספות ושיפורים למערכת כוח ב'"</f>
        <v>תוספות ושיפורים למערכת כוח ב'</v>
      </c>
      <c r="L4228">
        <v>-1</v>
      </c>
      <c r="M4228" t="str">
        <f>"יח"</f>
        <v>יח</v>
      </c>
      <c r="N4228">
        <v>-1</v>
      </c>
      <c r="O4228" t="str">
        <f>"יח"</f>
        <v>יח</v>
      </c>
      <c r="P4228" s="2">
        <v>55500</v>
      </c>
      <c r="Q4228" t="str">
        <f>"$"</f>
        <v>$</v>
      </c>
      <c r="R4228" t="str">
        <f>"הזמנה"</f>
        <v>הזמנה</v>
      </c>
      <c r="S4228">
        <v>0</v>
      </c>
      <c r="T4228" s="2">
        <v>-55500</v>
      </c>
      <c r="U4228">
        <v>2</v>
      </c>
      <c r="V4228" s="2">
        <v>-54390</v>
      </c>
      <c r="W4228" t="str">
        <f>"$"</f>
        <v>$</v>
      </c>
      <c r="X4228">
        <v>0</v>
      </c>
      <c r="Y4228">
        <v>0</v>
      </c>
      <c r="Z4228">
        <v>0</v>
      </c>
      <c r="AA4228" t="str">
        <f>"Y"</f>
        <v>Y</v>
      </c>
      <c r="AC4228">
        <v>0</v>
      </c>
      <c r="AM4228" t="str">
        <f>"10"</f>
        <v>10</v>
      </c>
      <c r="AN4228" t="str">
        <f>"500000"</f>
        <v>500000</v>
      </c>
      <c r="AO4228" t="str">
        <f>"הכנסות  מלקוחות"</f>
        <v>הכנסות  מלקוחות</v>
      </c>
      <c r="AQ4228" t="str">
        <f>"007"</f>
        <v>007</v>
      </c>
      <c r="AR4228">
        <v>0</v>
      </c>
      <c r="AS4228">
        <v>0</v>
      </c>
      <c r="AT4228">
        <v>3.4910000000000001</v>
      </c>
      <c r="BB4228" t="str">
        <f>"Y"</f>
        <v>Y</v>
      </c>
      <c r="BD4228" t="str">
        <f>"רוני דידי"</f>
        <v>רוני דידי</v>
      </c>
    </row>
    <row r="4229" spans="1:56" x14ac:dyDescent="0.3">
      <c r="A4229" s="1">
        <v>43186</v>
      </c>
      <c r="B4229" t="str">
        <f>"SI186000387"</f>
        <v>SI186000387</v>
      </c>
      <c r="C4229" t="str">
        <f>"PR16000776"</f>
        <v>PR16000776</v>
      </c>
      <c r="E4229" t="str">
        <f>"Y"</f>
        <v>Y</v>
      </c>
      <c r="F4229" t="str">
        <f>"חשבוניות מרכזות"</f>
        <v>חשבוניות מרכזות</v>
      </c>
      <c r="G4229" t="str">
        <f>"700065"</f>
        <v>700065</v>
      </c>
      <c r="H4229" t="str">
        <f>"אלתא מערכות בע""מ"</f>
        <v>אלתא מערכות בע"מ</v>
      </c>
      <c r="I4229" t="str">
        <f>"10"</f>
        <v>10</v>
      </c>
      <c r="J4229" t="str">
        <f>"000"</f>
        <v>000</v>
      </c>
      <c r="K4229" t="str">
        <f>"תוספות ושיפורים למערכת כוח ב'"</f>
        <v>תוספות ושיפורים למערכת כוח ב'</v>
      </c>
      <c r="L4229">
        <v>1</v>
      </c>
      <c r="M4229" t="str">
        <f>"יח"</f>
        <v>יח</v>
      </c>
      <c r="N4229">
        <v>1</v>
      </c>
      <c r="O4229" t="str">
        <f>"יח"</f>
        <v>יח</v>
      </c>
      <c r="P4229" s="2">
        <v>55500</v>
      </c>
      <c r="Q4229" t="str">
        <f>"$"</f>
        <v>$</v>
      </c>
      <c r="R4229" t="str">
        <f>"הזמנה"</f>
        <v>הזמנה</v>
      </c>
      <c r="S4229">
        <v>0</v>
      </c>
      <c r="T4229" s="2">
        <v>55500</v>
      </c>
      <c r="U4229">
        <v>2</v>
      </c>
      <c r="V4229" s="2">
        <v>54390</v>
      </c>
      <c r="W4229" t="str">
        <f>"$"</f>
        <v>$</v>
      </c>
      <c r="X4229">
        <v>0</v>
      </c>
      <c r="Y4229">
        <v>0</v>
      </c>
      <c r="Z4229">
        <v>0</v>
      </c>
      <c r="AA4229" t="str">
        <f>"Y"</f>
        <v>Y</v>
      </c>
      <c r="AC4229">
        <v>0</v>
      </c>
      <c r="AM4229" t="str">
        <f>"10"</f>
        <v>10</v>
      </c>
      <c r="AN4229" t="str">
        <f>"500000"</f>
        <v>500000</v>
      </c>
      <c r="AO4229" t="str">
        <f>"הכנסות  מלקוחות"</f>
        <v>הכנסות  מלקוחות</v>
      </c>
      <c r="AQ4229" t="str">
        <f>"007"</f>
        <v>007</v>
      </c>
      <c r="AR4229">
        <v>0</v>
      </c>
      <c r="AS4229">
        <v>0</v>
      </c>
      <c r="AT4229">
        <v>3.4910000000000001</v>
      </c>
      <c r="BB4229" t="str">
        <f>"Y"</f>
        <v>Y</v>
      </c>
      <c r="BD4229" t="str">
        <f>"רוני דידי"</f>
        <v>רוני דידי</v>
      </c>
    </row>
    <row r="4230" spans="1:56" x14ac:dyDescent="0.3">
      <c r="A4230" s="1">
        <v>43186</v>
      </c>
      <c r="B4230" t="str">
        <f>"SI186000386"</f>
        <v>SI186000386</v>
      </c>
      <c r="C4230" t="str">
        <f>"PR16000776"</f>
        <v>PR16000776</v>
      </c>
      <c r="D4230" t="str">
        <f>"PR16000776"</f>
        <v>PR16000776</v>
      </c>
      <c r="E4230" t="str">
        <f>"Y"</f>
        <v>Y</v>
      </c>
      <c r="F4230" t="str">
        <f>"חשבוניות מרכזות"</f>
        <v>חשבוניות מרכזות</v>
      </c>
      <c r="G4230" t="str">
        <f>"700065"</f>
        <v>700065</v>
      </c>
      <c r="H4230" t="str">
        <f>"אלתא מערכות בע""מ"</f>
        <v>אלתא מערכות בע"מ</v>
      </c>
      <c r="I4230" t="str">
        <f>"10"</f>
        <v>10</v>
      </c>
      <c r="J4230" t="str">
        <f>"000"</f>
        <v>000</v>
      </c>
      <c r="K4230" t="str">
        <f>"הצעה בגין הוספת מחברים ליח' PDB ומערכת כח"</f>
        <v>הצעה בגין הוספת מחברים ליח' PDB ומערכת כח</v>
      </c>
      <c r="L4230">
        <v>1</v>
      </c>
      <c r="M4230" t="str">
        <f>"יח"</f>
        <v>יח</v>
      </c>
      <c r="N4230">
        <v>1</v>
      </c>
      <c r="O4230" t="str">
        <f>"יח"</f>
        <v>יח</v>
      </c>
      <c r="P4230" s="2">
        <v>12437</v>
      </c>
      <c r="Q4230" t="str">
        <f>"$"</f>
        <v>$</v>
      </c>
      <c r="R4230" t="str">
        <f>"הזמנה"</f>
        <v>הזמנה</v>
      </c>
      <c r="S4230">
        <v>0</v>
      </c>
      <c r="T4230" s="2">
        <v>12437</v>
      </c>
      <c r="U4230">
        <v>2</v>
      </c>
      <c r="V4230" s="2">
        <v>12188.26</v>
      </c>
      <c r="W4230" t="str">
        <f>"$"</f>
        <v>$</v>
      </c>
      <c r="X4230">
        <v>0</v>
      </c>
      <c r="Y4230">
        <v>0</v>
      </c>
      <c r="Z4230">
        <v>0</v>
      </c>
      <c r="AA4230" t="str">
        <f>"Y"</f>
        <v>Y</v>
      </c>
      <c r="AB4230" t="str">
        <f>"SO17000203"</f>
        <v>SO17000203</v>
      </c>
      <c r="AC4230">
        <v>1</v>
      </c>
      <c r="AD4230" s="1">
        <v>42808</v>
      </c>
      <c r="AM4230" t="str">
        <f>"10"</f>
        <v>10</v>
      </c>
      <c r="AN4230" t="str">
        <f>"500000"</f>
        <v>500000</v>
      </c>
      <c r="AO4230" t="str">
        <f>"הכנסות  מלקוחות"</f>
        <v>הכנסות  מלקוחות</v>
      </c>
      <c r="AQ4230" t="str">
        <f>"007"</f>
        <v>007</v>
      </c>
      <c r="AR4230">
        <v>0</v>
      </c>
      <c r="AS4230">
        <v>0</v>
      </c>
      <c r="AT4230">
        <v>3.4910000000000001</v>
      </c>
      <c r="AX4230" t="str">
        <f>"E000234839"</f>
        <v>E000234839</v>
      </c>
      <c r="BD4230" t="str">
        <f>"רוני דידי"</f>
        <v>רוני דידי</v>
      </c>
    </row>
    <row r="4231" spans="1:56" x14ac:dyDescent="0.3">
      <c r="A4231" s="1">
        <v>43185</v>
      </c>
      <c r="B4231" t="str">
        <f>"SI186000435"</f>
        <v>SI186000435</v>
      </c>
      <c r="C4231" t="str">
        <f>"PR16000776"</f>
        <v>PR16000776</v>
      </c>
      <c r="D4231" t="str">
        <f>"PR16000776"</f>
        <v>PR16000776</v>
      </c>
      <c r="E4231" t="str">
        <f>"Y"</f>
        <v>Y</v>
      </c>
      <c r="F4231" t="str">
        <f>"חשבוניות מרכזות"</f>
        <v>חשבוניות מרכזות</v>
      </c>
      <c r="G4231" t="str">
        <f>"700065"</f>
        <v>700065</v>
      </c>
      <c r="H4231" t="str">
        <f>"אלתא מערכות בע""מ"</f>
        <v>אלתא מערכות בע"מ</v>
      </c>
      <c r="I4231" t="str">
        <f>"10"</f>
        <v>10</v>
      </c>
      <c r="J4231" t="str">
        <f>"OP-AR00402"</f>
        <v>OP-AR00402</v>
      </c>
      <c r="K4231" t="str">
        <f>"RADAR POWER SYSTEM 1039R900-001"</f>
        <v>RADAR POWER SYSTEM 1039R900-001</v>
      </c>
      <c r="L4231">
        <v>1</v>
      </c>
      <c r="M4231" t="str">
        <f>"יח"</f>
        <v>יח</v>
      </c>
      <c r="N4231">
        <v>1</v>
      </c>
      <c r="O4231" t="str">
        <f>"יח"</f>
        <v>יח</v>
      </c>
      <c r="P4231" s="2">
        <v>207191.66</v>
      </c>
      <c r="Q4231" t="str">
        <f>"$"</f>
        <v>$</v>
      </c>
      <c r="R4231" t="str">
        <f>"הזמנה"</f>
        <v>הזמנה</v>
      </c>
      <c r="S4231">
        <v>0</v>
      </c>
      <c r="T4231" s="2">
        <v>207191.66</v>
      </c>
      <c r="U4231">
        <v>0</v>
      </c>
      <c r="V4231" s="2">
        <v>207191.66</v>
      </c>
      <c r="W4231" t="str">
        <f>"$"</f>
        <v>$</v>
      </c>
      <c r="X4231">
        <v>0</v>
      </c>
      <c r="Y4231">
        <v>0</v>
      </c>
      <c r="Z4231">
        <v>0</v>
      </c>
      <c r="AA4231" t="str">
        <f>"Y"</f>
        <v>Y</v>
      </c>
      <c r="AB4231" t="str">
        <f>"SO160000582"</f>
        <v>SO160000582</v>
      </c>
      <c r="AC4231">
        <v>4</v>
      </c>
      <c r="AD4231" s="1">
        <v>42590</v>
      </c>
      <c r="AE4231" t="str">
        <f>"SH18000650"</f>
        <v>SH18000650</v>
      </c>
      <c r="AF4231" t="str">
        <f>"משלוחים ללקוח"</f>
        <v>משלוחים ללקוח</v>
      </c>
      <c r="AG4231" s="1">
        <v>43185</v>
      </c>
      <c r="AM4231" t="str">
        <f>"10"</f>
        <v>10</v>
      </c>
      <c r="AN4231" t="str">
        <f>"500000"</f>
        <v>500000</v>
      </c>
      <c r="AO4231" t="str">
        <f>"הכנסות  מלקוחות"</f>
        <v>הכנסות  מלקוחות</v>
      </c>
      <c r="AQ4231" t="str">
        <f>"007"</f>
        <v>007</v>
      </c>
      <c r="AR4231">
        <v>0</v>
      </c>
      <c r="AS4231">
        <v>0</v>
      </c>
      <c r="AT4231">
        <v>3.4910000000000001</v>
      </c>
      <c r="AX4231" t="str">
        <f>"E000221675"</f>
        <v>E000221675</v>
      </c>
      <c r="BD4231" t="str">
        <f>"רוני דידי"</f>
        <v>רוני דידי</v>
      </c>
    </row>
    <row r="4232" spans="1:56" x14ac:dyDescent="0.3">
      <c r="A4232" s="1">
        <v>43178</v>
      </c>
      <c r="B4232" t="str">
        <f>"SI186000321"</f>
        <v>SI186000321</v>
      </c>
      <c r="C4232" t="str">
        <f>"PR17002087"</f>
        <v>PR17002087</v>
      </c>
      <c r="D4232" t="str">
        <f>"PR17002087"</f>
        <v>PR17002087</v>
      </c>
      <c r="E4232" t="str">
        <f>"Y"</f>
        <v>Y</v>
      </c>
      <c r="F4232" t="str">
        <f>"חשבוניות מרכזות"</f>
        <v>חשבוניות מרכזות</v>
      </c>
      <c r="G4232" t="str">
        <f>"700065"</f>
        <v>700065</v>
      </c>
      <c r="H4232" t="str">
        <f>"אלתא מערכות בע""מ"</f>
        <v>אלתא מערכות בע"מ</v>
      </c>
      <c r="I4232" t="str">
        <f>"10"</f>
        <v>10</v>
      </c>
      <c r="J4232" t="str">
        <f>"OP-SH00066"</f>
        <v>OP-SH00066</v>
      </c>
      <c r="K4232" t="str">
        <f>"RTO CONTROL BOX 1025B153-001"</f>
        <v>RTO CONTROL BOX 1025B153-001</v>
      </c>
      <c r="L4232">
        <v>1</v>
      </c>
      <c r="M4232" t="str">
        <f>"יח"</f>
        <v>יח</v>
      </c>
      <c r="N4232">
        <v>1</v>
      </c>
      <c r="O4232" t="str">
        <f>"יח"</f>
        <v>יח</v>
      </c>
      <c r="P4232" s="2">
        <v>3150</v>
      </c>
      <c r="Q4232" t="str">
        <f>"$"</f>
        <v>$</v>
      </c>
      <c r="R4232" t="str">
        <f>"הזמנה"</f>
        <v>הזמנה</v>
      </c>
      <c r="S4232">
        <v>0</v>
      </c>
      <c r="T4232" s="2">
        <v>3150</v>
      </c>
      <c r="U4232">
        <v>0</v>
      </c>
      <c r="V4232" s="2">
        <v>3150</v>
      </c>
      <c r="W4232" t="str">
        <f>"$"</f>
        <v>$</v>
      </c>
      <c r="X4232">
        <v>0</v>
      </c>
      <c r="Y4232">
        <v>0</v>
      </c>
      <c r="Z4232">
        <v>0</v>
      </c>
      <c r="AA4232" t="str">
        <f>"Y"</f>
        <v>Y</v>
      </c>
      <c r="AB4232" t="str">
        <f>"SO17000600"</f>
        <v>SO17000600</v>
      </c>
      <c r="AC4232">
        <v>1</v>
      </c>
      <c r="AD4232" s="1">
        <v>42984</v>
      </c>
      <c r="AE4232" t="str">
        <f>"SH18000614"</f>
        <v>SH18000614</v>
      </c>
      <c r="AF4232" t="str">
        <f>"משלוחים ללקוח"</f>
        <v>משלוחים ללקוח</v>
      </c>
      <c r="AG4232" s="1">
        <v>43178</v>
      </c>
      <c r="AM4232" t="str">
        <f>"10"</f>
        <v>10</v>
      </c>
      <c r="AN4232" t="str">
        <f>"500000"</f>
        <v>500000</v>
      </c>
      <c r="AO4232" t="str">
        <f>"הכנסות  מלקוחות"</f>
        <v>הכנסות  מלקוחות</v>
      </c>
      <c r="AQ4232" t="str">
        <f>"007"</f>
        <v>007</v>
      </c>
      <c r="AR4232">
        <v>0</v>
      </c>
      <c r="AS4232">
        <v>0</v>
      </c>
      <c r="AT4232">
        <v>3.452</v>
      </c>
      <c r="AX4232" t="str">
        <f>"E000245038"</f>
        <v>E000245038</v>
      </c>
      <c r="BD4232" t="str">
        <f>"רוני דידי"</f>
        <v>רוני דידי</v>
      </c>
    </row>
    <row r="4233" spans="1:56" x14ac:dyDescent="0.3">
      <c r="A4233" s="1">
        <v>43171</v>
      </c>
      <c r="B4233" t="str">
        <f>"SI186000295"</f>
        <v>SI186000295</v>
      </c>
      <c r="C4233" t="str">
        <f>"PR17001786"</f>
        <v>PR17001786</v>
      </c>
      <c r="E4233" t="str">
        <f>"Y"</f>
        <v>Y</v>
      </c>
      <c r="F4233" t="str">
        <f>"חשבוניות מרכזות"</f>
        <v>חשבוניות מרכזות</v>
      </c>
      <c r="G4233" t="str">
        <f>"700065"</f>
        <v>700065</v>
      </c>
      <c r="H4233" t="str">
        <f>"אלתא מערכות בע""מ"</f>
        <v>אלתא מערכות בע"מ</v>
      </c>
      <c r="I4233" t="str">
        <f>"10"</f>
        <v>10</v>
      </c>
      <c r="J4233" t="str">
        <f>"OP-AR00464"</f>
        <v>OP-AR00464</v>
      </c>
      <c r="K4233" t="str">
        <f>"רתמה REV;A 1036N631-001"</f>
        <v>רתמה REV;A 1036N631-001</v>
      </c>
      <c r="L4233">
        <v>17</v>
      </c>
      <c r="M4233" t="str">
        <f>"יח"</f>
        <v>יח</v>
      </c>
      <c r="N4233">
        <v>17</v>
      </c>
      <c r="O4233" t="str">
        <f>"יח"</f>
        <v>יח</v>
      </c>
      <c r="P4233">
        <v>566</v>
      </c>
      <c r="Q4233" t="str">
        <f>"$"</f>
        <v>$</v>
      </c>
      <c r="R4233" t="str">
        <f>"הזמנה"</f>
        <v>הזמנה</v>
      </c>
      <c r="S4233">
        <v>0</v>
      </c>
      <c r="T4233" s="2">
        <v>9622</v>
      </c>
      <c r="U4233">
        <v>0</v>
      </c>
      <c r="V4233" s="2">
        <v>9622</v>
      </c>
      <c r="W4233" t="str">
        <f>"$"</f>
        <v>$</v>
      </c>
      <c r="X4233">
        <v>0</v>
      </c>
      <c r="Y4233">
        <v>0</v>
      </c>
      <c r="Z4233">
        <v>0</v>
      </c>
      <c r="AA4233" t="str">
        <f>"Y"</f>
        <v>Y</v>
      </c>
      <c r="AB4233" t="str">
        <f>"SO17000424"</f>
        <v>SO17000424</v>
      </c>
      <c r="AC4233">
        <v>6</v>
      </c>
      <c r="AD4233" s="1">
        <v>42893</v>
      </c>
      <c r="AE4233" t="str">
        <f>"SH18000537"</f>
        <v>SH18000537</v>
      </c>
      <c r="AF4233" t="str">
        <f>"משלוחים ללקוח"</f>
        <v>משלוחים ללקוח</v>
      </c>
      <c r="AG4233" s="1">
        <v>43170</v>
      </c>
      <c r="AM4233" t="str">
        <f>"10"</f>
        <v>10</v>
      </c>
      <c r="AN4233" t="str">
        <f>"500000"</f>
        <v>500000</v>
      </c>
      <c r="AO4233" t="str">
        <f>"הכנסות  מלקוחות"</f>
        <v>הכנסות  מלקוחות</v>
      </c>
      <c r="AQ4233" t="str">
        <f>"004"</f>
        <v>004</v>
      </c>
      <c r="AR4233">
        <v>0</v>
      </c>
      <c r="AS4233">
        <v>0</v>
      </c>
      <c r="AT4233">
        <v>3.4529999999999998</v>
      </c>
      <c r="AX4233" t="str">
        <f>"E000239737"</f>
        <v>E000239737</v>
      </c>
      <c r="BD4233" t="str">
        <f>"איציק חדד"</f>
        <v>איציק חדד</v>
      </c>
    </row>
    <row r="4234" spans="1:56" x14ac:dyDescent="0.3">
      <c r="A4234" s="1">
        <v>43170</v>
      </c>
      <c r="B4234" t="str">
        <f>"SI186000306"</f>
        <v>SI186000306</v>
      </c>
      <c r="C4234" t="str">
        <f>"PR17002209"</f>
        <v>PR17002209</v>
      </c>
      <c r="E4234" t="str">
        <f>"Y"</f>
        <v>Y</v>
      </c>
      <c r="F4234" t="str">
        <f>"חשבוניות מרכזות"</f>
        <v>חשבוניות מרכזות</v>
      </c>
      <c r="G4234" t="str">
        <f>"700065"</f>
        <v>700065</v>
      </c>
      <c r="H4234" t="str">
        <f>"אלתא מערכות בע""מ"</f>
        <v>אלתא מערכות בע"מ</v>
      </c>
      <c r="I4234" t="str">
        <f>"10"</f>
        <v>10</v>
      </c>
      <c r="J4234" t="str">
        <f>"OP-AR00468"</f>
        <v>OP-AR00468</v>
      </c>
      <c r="K4234" t="str">
        <f>"208V/25A/3PH AC PCU CONTROL BOX"</f>
        <v>208V/25A/3PH AC PCU CONTROL BOX</v>
      </c>
      <c r="L4234">
        <v>2</v>
      </c>
      <c r="M4234" t="str">
        <f>"יח"</f>
        <v>יח</v>
      </c>
      <c r="N4234">
        <v>2</v>
      </c>
      <c r="O4234" t="str">
        <f>"יח"</f>
        <v>יח</v>
      </c>
      <c r="P4234" s="2">
        <v>3734.5</v>
      </c>
      <c r="Q4234" t="str">
        <f>"$"</f>
        <v>$</v>
      </c>
      <c r="R4234" t="str">
        <f>"הזמנה"</f>
        <v>הזמנה</v>
      </c>
      <c r="S4234">
        <v>0</v>
      </c>
      <c r="T4234" s="2">
        <v>7469</v>
      </c>
      <c r="U4234">
        <v>0</v>
      </c>
      <c r="V4234" s="2">
        <v>7469</v>
      </c>
      <c r="W4234" t="str">
        <f>"$"</f>
        <v>$</v>
      </c>
      <c r="X4234">
        <v>0</v>
      </c>
      <c r="Y4234">
        <v>0</v>
      </c>
      <c r="Z4234">
        <v>0</v>
      </c>
      <c r="AA4234" t="str">
        <f>"Y"</f>
        <v>Y</v>
      </c>
      <c r="AB4234" t="str">
        <f>"SO17000704"</f>
        <v>SO17000704</v>
      </c>
      <c r="AC4234">
        <v>1</v>
      </c>
      <c r="AD4234" s="1">
        <v>43047</v>
      </c>
      <c r="AE4234" t="str">
        <f>"SH18000536"</f>
        <v>SH18000536</v>
      </c>
      <c r="AF4234" t="str">
        <f>"משלוחים ללקוח"</f>
        <v>משלוחים ללקוח</v>
      </c>
      <c r="AG4234" s="1">
        <v>43170</v>
      </c>
      <c r="AM4234" t="str">
        <f>"10"</f>
        <v>10</v>
      </c>
      <c r="AN4234" t="str">
        <f>"500000"</f>
        <v>500000</v>
      </c>
      <c r="AO4234" t="str">
        <f>"הכנסות  מלקוחות"</f>
        <v>הכנסות  מלקוחות</v>
      </c>
      <c r="AQ4234" t="str">
        <f>"007"</f>
        <v>007</v>
      </c>
      <c r="AR4234">
        <v>0</v>
      </c>
      <c r="AS4234">
        <v>0</v>
      </c>
      <c r="AT4234">
        <v>3.4529999999999998</v>
      </c>
      <c r="AX4234" t="str">
        <f>"E000248280"</f>
        <v>E000248280</v>
      </c>
      <c r="BD4234" t="str">
        <f>"רוני דידי"</f>
        <v>רוני דידי</v>
      </c>
    </row>
    <row r="4235" spans="1:56" x14ac:dyDescent="0.3">
      <c r="A4235" s="1">
        <v>43170</v>
      </c>
      <c r="B4235" t="str">
        <f>"SI186000293"</f>
        <v>SI186000293</v>
      </c>
      <c r="C4235" t="str">
        <f>"PR17001533"</f>
        <v>PR17001533</v>
      </c>
      <c r="D4235" t="str">
        <f>"PR17001533"</f>
        <v>PR17001533</v>
      </c>
      <c r="E4235" t="str">
        <f>"Y"</f>
        <v>Y</v>
      </c>
      <c r="F4235" t="str">
        <f>"חשבוניות מרכזות"</f>
        <v>חשבוניות מרכזות</v>
      </c>
      <c r="G4235" t="str">
        <f>"700065"</f>
        <v>700065</v>
      </c>
      <c r="H4235" t="str">
        <f>"אלתא מערכות בע""מ"</f>
        <v>אלתא מערכות בע"מ</v>
      </c>
      <c r="I4235" t="str">
        <f>"10"</f>
        <v>10</v>
      </c>
      <c r="J4235" t="str">
        <f>"OP-AR00559"</f>
        <v>OP-AR00559</v>
      </c>
      <c r="K4235" t="str">
        <f>"Remote Control Box 1038N250-001"</f>
        <v>Remote Control Box 1038N250-001</v>
      </c>
      <c r="L4235">
        <v>2</v>
      </c>
      <c r="M4235" t="str">
        <f>"יח"</f>
        <v>יח</v>
      </c>
      <c r="N4235">
        <v>2</v>
      </c>
      <c r="O4235" t="str">
        <f>"יח"</f>
        <v>יח</v>
      </c>
      <c r="P4235" s="2">
        <v>4601</v>
      </c>
      <c r="Q4235" t="str">
        <f>"$"</f>
        <v>$</v>
      </c>
      <c r="R4235" t="str">
        <f>"הזמנה"</f>
        <v>הזמנה</v>
      </c>
      <c r="S4235">
        <v>0</v>
      </c>
      <c r="T4235" s="2">
        <v>9202</v>
      </c>
      <c r="U4235">
        <v>0</v>
      </c>
      <c r="V4235" s="2">
        <v>9202</v>
      </c>
      <c r="W4235" t="str">
        <f>"$"</f>
        <v>$</v>
      </c>
      <c r="X4235">
        <v>0</v>
      </c>
      <c r="Y4235">
        <v>0</v>
      </c>
      <c r="Z4235">
        <v>0</v>
      </c>
      <c r="AA4235" t="str">
        <f>"Y"</f>
        <v>Y</v>
      </c>
      <c r="AB4235" t="str">
        <f>"SO17000195"</f>
        <v>SO17000195</v>
      </c>
      <c r="AC4235">
        <v>1</v>
      </c>
      <c r="AD4235" s="1">
        <v>42803</v>
      </c>
      <c r="AE4235" t="str">
        <f>"SH18000534"</f>
        <v>SH18000534</v>
      </c>
      <c r="AF4235" t="str">
        <f>"משלוחים ללקוח"</f>
        <v>משלוחים ללקוח</v>
      </c>
      <c r="AG4235" s="1">
        <v>43170</v>
      </c>
      <c r="AM4235" t="str">
        <f>"10"</f>
        <v>10</v>
      </c>
      <c r="AN4235" t="str">
        <f>"500000"</f>
        <v>500000</v>
      </c>
      <c r="AO4235" t="str">
        <f>"הכנסות  מלקוחות"</f>
        <v>הכנסות  מלקוחות</v>
      </c>
      <c r="AQ4235" t="str">
        <f>"007"</f>
        <v>007</v>
      </c>
      <c r="AR4235">
        <v>0</v>
      </c>
      <c r="AS4235">
        <v>0</v>
      </c>
      <c r="AT4235">
        <v>3.4529999999999998</v>
      </c>
      <c r="AX4235" t="str">
        <f>"E000234665"</f>
        <v>E000234665</v>
      </c>
      <c r="BD4235" t="str">
        <f>"רוני דידי"</f>
        <v>רוני דידי</v>
      </c>
    </row>
    <row r="4236" spans="1:56" x14ac:dyDescent="0.3">
      <c r="A4236" s="1">
        <v>43149</v>
      </c>
      <c r="B4236" t="str">
        <f>"SI186000200"</f>
        <v>SI186000200</v>
      </c>
      <c r="C4236" t="str">
        <f>"PR17002210"</f>
        <v>PR17002210</v>
      </c>
      <c r="E4236" t="str">
        <f>"Y"</f>
        <v>Y</v>
      </c>
      <c r="F4236" t="str">
        <f>"חשבוניות מרכזות"</f>
        <v>חשבוניות מרכזות</v>
      </c>
      <c r="G4236" t="str">
        <f>"700065"</f>
        <v>700065</v>
      </c>
      <c r="H4236" t="str">
        <f>"אלתא מערכות בע""מ"</f>
        <v>אלתא מערכות בע"מ</v>
      </c>
      <c r="I4236" t="str">
        <f>"10"</f>
        <v>10</v>
      </c>
      <c r="J4236" t="str">
        <f>"OP-AR00454"</f>
        <v>OP-AR00454</v>
      </c>
      <c r="K4236" t="str">
        <f>"PDU 380V/50HZ/3 PH AC POWER BOX"</f>
        <v>PDU 380V/50HZ/3 PH AC POWER BOX</v>
      </c>
      <c r="L4236">
        <v>1</v>
      </c>
      <c r="M4236" t="str">
        <f>"יח"</f>
        <v>יח</v>
      </c>
      <c r="N4236">
        <v>1</v>
      </c>
      <c r="O4236" t="str">
        <f>"יח"</f>
        <v>יח</v>
      </c>
      <c r="P4236" s="2">
        <v>1150</v>
      </c>
      <c r="Q4236" t="str">
        <f>"$"</f>
        <v>$</v>
      </c>
      <c r="R4236" t="str">
        <f>"הזמנה"</f>
        <v>הזמנה</v>
      </c>
      <c r="S4236">
        <v>0</v>
      </c>
      <c r="T4236" s="2">
        <v>1150</v>
      </c>
      <c r="U4236">
        <v>0</v>
      </c>
      <c r="V4236" s="2">
        <v>1150</v>
      </c>
      <c r="W4236" t="str">
        <f>"$"</f>
        <v>$</v>
      </c>
      <c r="X4236">
        <v>0</v>
      </c>
      <c r="Y4236">
        <v>0</v>
      </c>
      <c r="Z4236">
        <v>0</v>
      </c>
      <c r="AA4236" t="str">
        <f>"Y"</f>
        <v>Y</v>
      </c>
      <c r="AB4236" t="str">
        <f>"SO17000704"</f>
        <v>SO17000704</v>
      </c>
      <c r="AC4236">
        <v>2</v>
      </c>
      <c r="AD4236" s="1">
        <v>43047</v>
      </c>
      <c r="AE4236" t="str">
        <f>"SH18000388"</f>
        <v>SH18000388</v>
      </c>
      <c r="AF4236" t="str">
        <f>"משלוחים ללקוח"</f>
        <v>משלוחים ללקוח</v>
      </c>
      <c r="AG4236" s="1">
        <v>43146</v>
      </c>
      <c r="AM4236" t="str">
        <f>"10"</f>
        <v>10</v>
      </c>
      <c r="AN4236" t="str">
        <f>"500000"</f>
        <v>500000</v>
      </c>
      <c r="AO4236" t="str">
        <f>"הכנסות  מלקוחות"</f>
        <v>הכנסות  מלקוחות</v>
      </c>
      <c r="AQ4236" t="str">
        <f>"007"</f>
        <v>007</v>
      </c>
      <c r="AR4236">
        <v>0</v>
      </c>
      <c r="AS4236">
        <v>0</v>
      </c>
      <c r="AT4236">
        <v>3.5350000000000001</v>
      </c>
      <c r="AX4236" t="str">
        <f>"E000248280"</f>
        <v>E000248280</v>
      </c>
      <c r="BD4236" t="str">
        <f>"רוני דידי"</f>
        <v>רוני דידי</v>
      </c>
    </row>
    <row r="4237" spans="1:56" x14ac:dyDescent="0.3">
      <c r="A4237" s="1">
        <v>43149</v>
      </c>
      <c r="B4237" t="str">
        <f>"SI186000199"</f>
        <v>SI186000199</v>
      </c>
      <c r="C4237" t="str">
        <f>"PR17002163"</f>
        <v>PR17002163</v>
      </c>
      <c r="E4237" t="str">
        <f>"Y"</f>
        <v>Y</v>
      </c>
      <c r="F4237" t="str">
        <f>"חשבוניות מרכזות"</f>
        <v>חשבוניות מרכזות</v>
      </c>
      <c r="G4237" t="str">
        <f>"700065"</f>
        <v>700065</v>
      </c>
      <c r="H4237" t="str">
        <f>"אלתא מערכות בע""מ"</f>
        <v>אלתא מערכות בע"מ</v>
      </c>
      <c r="I4237" t="str">
        <f>"10"</f>
        <v>10</v>
      </c>
      <c r="J4237" t="str">
        <f>"000"</f>
        <v>000</v>
      </c>
      <c r="K4237" t="str">
        <f>"NRE"</f>
        <v>NRE</v>
      </c>
      <c r="L4237">
        <v>1</v>
      </c>
      <c r="M4237" t="str">
        <f>"יח"</f>
        <v>יח</v>
      </c>
      <c r="N4237">
        <v>1</v>
      </c>
      <c r="O4237" t="str">
        <f>"יח"</f>
        <v>יח</v>
      </c>
      <c r="P4237" s="2">
        <v>1400</v>
      </c>
      <c r="Q4237" t="str">
        <f>"$"</f>
        <v>$</v>
      </c>
      <c r="R4237" t="str">
        <f>"הזמנה"</f>
        <v>הזמנה</v>
      </c>
      <c r="S4237">
        <v>0</v>
      </c>
      <c r="T4237" s="2">
        <v>1400</v>
      </c>
      <c r="U4237">
        <v>0</v>
      </c>
      <c r="V4237" s="2">
        <v>1400</v>
      </c>
      <c r="W4237" t="str">
        <f>"$"</f>
        <v>$</v>
      </c>
      <c r="X4237">
        <v>0</v>
      </c>
      <c r="Y4237">
        <v>0</v>
      </c>
      <c r="Z4237">
        <v>0</v>
      </c>
      <c r="AA4237" t="str">
        <f>"Y"</f>
        <v>Y</v>
      </c>
      <c r="AB4237" t="str">
        <f>"SO17000639"</f>
        <v>SO17000639</v>
      </c>
      <c r="AC4237">
        <v>1</v>
      </c>
      <c r="AD4237" s="1">
        <v>43009</v>
      </c>
      <c r="AE4237" t="str">
        <f>"SH18000387"</f>
        <v>SH18000387</v>
      </c>
      <c r="AF4237" t="str">
        <f>"משלוחים ללקוח"</f>
        <v>משלוחים ללקוח</v>
      </c>
      <c r="AG4237" s="1">
        <v>43146</v>
      </c>
      <c r="AM4237" t="str">
        <f>"10"</f>
        <v>10</v>
      </c>
      <c r="AN4237" t="str">
        <f>"500000"</f>
        <v>500000</v>
      </c>
      <c r="AO4237" t="str">
        <f>"הכנסות  מלקוחות"</f>
        <v>הכנסות  מלקוחות</v>
      </c>
      <c r="AQ4237" t="str">
        <f>"007"</f>
        <v>007</v>
      </c>
      <c r="AR4237">
        <v>0</v>
      </c>
      <c r="AS4237">
        <v>0</v>
      </c>
      <c r="AT4237">
        <v>3.5350000000000001</v>
      </c>
      <c r="AX4237" t="str">
        <f>"E000245247"</f>
        <v>E000245247</v>
      </c>
      <c r="BD4237" t="str">
        <f>"רוני דידי"</f>
        <v>רוני דידי</v>
      </c>
    </row>
    <row r="4238" spans="1:56" x14ac:dyDescent="0.3">
      <c r="A4238" s="1">
        <v>43149</v>
      </c>
      <c r="B4238" t="str">
        <f>"SI186000199"</f>
        <v>SI186000199</v>
      </c>
      <c r="C4238" t="str">
        <f>"PR17002163"</f>
        <v>PR17002163</v>
      </c>
      <c r="E4238" t="str">
        <f>"Y"</f>
        <v>Y</v>
      </c>
      <c r="F4238" t="str">
        <f>"חשבוניות מרכזות"</f>
        <v>חשבוניות מרכזות</v>
      </c>
      <c r="G4238" t="str">
        <f>"700065"</f>
        <v>700065</v>
      </c>
      <c r="H4238" t="str">
        <f>"אלתא מערכות בע""מ"</f>
        <v>אלתא מערכות בע"מ</v>
      </c>
      <c r="I4238" t="str">
        <f>"10"</f>
        <v>10</v>
      </c>
      <c r="J4238" t="str">
        <f>"OP-AR00454"</f>
        <v>OP-AR00454</v>
      </c>
      <c r="K4238" t="str">
        <f>"PDU 380V/50HZ/3 PH AC POWER BOX"</f>
        <v>PDU 380V/50HZ/3 PH AC POWER BOX</v>
      </c>
      <c r="L4238">
        <v>2</v>
      </c>
      <c r="M4238" t="str">
        <f>"יח"</f>
        <v>יח</v>
      </c>
      <c r="N4238">
        <v>2</v>
      </c>
      <c r="O4238" t="str">
        <f>"יח"</f>
        <v>יח</v>
      </c>
      <c r="P4238" s="2">
        <v>1150</v>
      </c>
      <c r="Q4238" t="str">
        <f>"$"</f>
        <v>$</v>
      </c>
      <c r="R4238" t="str">
        <f>"הזמנה"</f>
        <v>הזמנה</v>
      </c>
      <c r="S4238">
        <v>0</v>
      </c>
      <c r="T4238" s="2">
        <v>2300</v>
      </c>
      <c r="U4238">
        <v>0</v>
      </c>
      <c r="V4238" s="2">
        <v>2300</v>
      </c>
      <c r="W4238" t="str">
        <f>"$"</f>
        <v>$</v>
      </c>
      <c r="X4238">
        <v>0</v>
      </c>
      <c r="Y4238">
        <v>0</v>
      </c>
      <c r="Z4238">
        <v>0</v>
      </c>
      <c r="AA4238" t="str">
        <f>"Y"</f>
        <v>Y</v>
      </c>
      <c r="AB4238" t="str">
        <f>"SO17000639"</f>
        <v>SO17000639</v>
      </c>
      <c r="AC4238">
        <v>2</v>
      </c>
      <c r="AD4238" s="1">
        <v>43009</v>
      </c>
      <c r="AE4238" t="str">
        <f>"SH18000387"</f>
        <v>SH18000387</v>
      </c>
      <c r="AF4238" t="str">
        <f>"משלוחים ללקוח"</f>
        <v>משלוחים ללקוח</v>
      </c>
      <c r="AG4238" s="1">
        <v>43146</v>
      </c>
      <c r="AM4238" t="str">
        <f>"10"</f>
        <v>10</v>
      </c>
      <c r="AN4238" t="str">
        <f>"500000"</f>
        <v>500000</v>
      </c>
      <c r="AO4238" t="str">
        <f>"הכנסות  מלקוחות"</f>
        <v>הכנסות  מלקוחות</v>
      </c>
      <c r="AQ4238" t="str">
        <f>"007"</f>
        <v>007</v>
      </c>
      <c r="AR4238">
        <v>0</v>
      </c>
      <c r="AS4238">
        <v>0</v>
      </c>
      <c r="AT4238">
        <v>3.5350000000000001</v>
      </c>
      <c r="AX4238" t="str">
        <f>"E000245247"</f>
        <v>E000245247</v>
      </c>
      <c r="BD4238" t="str">
        <f>"רוני דידי"</f>
        <v>רוני דידי</v>
      </c>
    </row>
    <row r="4239" spans="1:56" x14ac:dyDescent="0.3">
      <c r="A4239" s="1">
        <v>43149</v>
      </c>
      <c r="B4239" t="str">
        <f>"SI186000199"</f>
        <v>SI186000199</v>
      </c>
      <c r="C4239" t="str">
        <f>"PR17002163"</f>
        <v>PR17002163</v>
      </c>
      <c r="E4239" t="str">
        <f>"Y"</f>
        <v>Y</v>
      </c>
      <c r="F4239" t="str">
        <f>"חשבוניות מרכזות"</f>
        <v>חשבוניות מרכזות</v>
      </c>
      <c r="G4239" t="str">
        <f>"700065"</f>
        <v>700065</v>
      </c>
      <c r="H4239" t="str">
        <f>"אלתא מערכות בע""מ"</f>
        <v>אלתא מערכות בע"מ</v>
      </c>
      <c r="I4239" t="str">
        <f>"10"</f>
        <v>10</v>
      </c>
      <c r="J4239" t="str">
        <f>"OP-AR00454"</f>
        <v>OP-AR00454</v>
      </c>
      <c r="K4239" t="str">
        <f>"PDU 380V/50HZ/3 PH AC POWER BOX"</f>
        <v>PDU 380V/50HZ/3 PH AC POWER BOX</v>
      </c>
      <c r="L4239">
        <v>1</v>
      </c>
      <c r="M4239" t="str">
        <f>"יח"</f>
        <v>יח</v>
      </c>
      <c r="N4239">
        <v>1</v>
      </c>
      <c r="O4239" t="str">
        <f>"יח"</f>
        <v>יח</v>
      </c>
      <c r="P4239" s="2">
        <v>1150</v>
      </c>
      <c r="Q4239" t="str">
        <f>"$"</f>
        <v>$</v>
      </c>
      <c r="R4239" t="str">
        <f>"הזמנה"</f>
        <v>הזמנה</v>
      </c>
      <c r="S4239">
        <v>0</v>
      </c>
      <c r="T4239" s="2">
        <v>1150</v>
      </c>
      <c r="U4239">
        <v>0</v>
      </c>
      <c r="V4239" s="2">
        <v>1150</v>
      </c>
      <c r="W4239" t="str">
        <f>"$"</f>
        <v>$</v>
      </c>
      <c r="X4239">
        <v>0</v>
      </c>
      <c r="Y4239">
        <v>0</v>
      </c>
      <c r="Z4239">
        <v>0</v>
      </c>
      <c r="AA4239" t="str">
        <f>"Y"</f>
        <v>Y</v>
      </c>
      <c r="AB4239" t="str">
        <f>"SO17000639"</f>
        <v>SO17000639</v>
      </c>
      <c r="AC4239">
        <v>5</v>
      </c>
      <c r="AD4239" s="1">
        <v>43009</v>
      </c>
      <c r="AE4239" t="str">
        <f>"SH18000387"</f>
        <v>SH18000387</v>
      </c>
      <c r="AF4239" t="str">
        <f>"משלוחים ללקוח"</f>
        <v>משלוחים ללקוח</v>
      </c>
      <c r="AG4239" s="1">
        <v>43146</v>
      </c>
      <c r="AM4239" t="str">
        <f>"10"</f>
        <v>10</v>
      </c>
      <c r="AN4239" t="str">
        <f>"500000"</f>
        <v>500000</v>
      </c>
      <c r="AO4239" t="str">
        <f>"הכנסות  מלקוחות"</f>
        <v>הכנסות  מלקוחות</v>
      </c>
      <c r="AQ4239" t="str">
        <f>"007"</f>
        <v>007</v>
      </c>
      <c r="AR4239">
        <v>0</v>
      </c>
      <c r="AS4239">
        <v>0</v>
      </c>
      <c r="AT4239">
        <v>3.5350000000000001</v>
      </c>
      <c r="AX4239" t="str">
        <f>"E000245247"</f>
        <v>E000245247</v>
      </c>
      <c r="BD4239" t="str">
        <f>"רוני דידי"</f>
        <v>רוני דידי</v>
      </c>
    </row>
    <row r="4240" spans="1:56" x14ac:dyDescent="0.3">
      <c r="A4240" s="1">
        <v>43149</v>
      </c>
      <c r="B4240" t="str">
        <f>"SI186000199"</f>
        <v>SI186000199</v>
      </c>
      <c r="C4240" t="str">
        <f>"PR17002163"</f>
        <v>PR17002163</v>
      </c>
      <c r="E4240" t="str">
        <f>"Y"</f>
        <v>Y</v>
      </c>
      <c r="F4240" t="str">
        <f>"חשבוניות מרכזות"</f>
        <v>חשבוניות מרכזות</v>
      </c>
      <c r="G4240" t="str">
        <f>"700065"</f>
        <v>700065</v>
      </c>
      <c r="H4240" t="str">
        <f>"אלתא מערכות בע""מ"</f>
        <v>אלתא מערכות בע"מ</v>
      </c>
      <c r="I4240" t="str">
        <f>"10"</f>
        <v>10</v>
      </c>
      <c r="J4240" t="str">
        <f>"OP-AR00454"</f>
        <v>OP-AR00454</v>
      </c>
      <c r="K4240" t="str">
        <f>"PDU 380V/50HZ/3 PH AC POWER BOX"</f>
        <v>PDU 380V/50HZ/3 PH AC POWER BOX</v>
      </c>
      <c r="L4240">
        <v>1</v>
      </c>
      <c r="M4240" t="str">
        <f>"יח"</f>
        <v>יח</v>
      </c>
      <c r="N4240">
        <v>1</v>
      </c>
      <c r="O4240" t="str">
        <f>"יח"</f>
        <v>יח</v>
      </c>
      <c r="P4240" s="2">
        <v>1150</v>
      </c>
      <c r="Q4240" t="str">
        <f>"$"</f>
        <v>$</v>
      </c>
      <c r="R4240" t="str">
        <f>"הזמנה"</f>
        <v>הזמנה</v>
      </c>
      <c r="S4240">
        <v>0</v>
      </c>
      <c r="T4240" s="2">
        <v>1150</v>
      </c>
      <c r="U4240">
        <v>0</v>
      </c>
      <c r="V4240" s="2">
        <v>1150</v>
      </c>
      <c r="W4240" t="str">
        <f>"$"</f>
        <v>$</v>
      </c>
      <c r="X4240">
        <v>0</v>
      </c>
      <c r="Y4240">
        <v>0</v>
      </c>
      <c r="Z4240">
        <v>0</v>
      </c>
      <c r="AA4240" t="str">
        <f>"Y"</f>
        <v>Y</v>
      </c>
      <c r="AB4240" t="str">
        <f>"SO17000639"</f>
        <v>SO17000639</v>
      </c>
      <c r="AC4240">
        <v>6</v>
      </c>
      <c r="AD4240" s="1">
        <v>43009</v>
      </c>
      <c r="AE4240" t="str">
        <f>"SH18000387"</f>
        <v>SH18000387</v>
      </c>
      <c r="AF4240" t="str">
        <f>"משלוחים ללקוח"</f>
        <v>משלוחים ללקוח</v>
      </c>
      <c r="AG4240" s="1">
        <v>43146</v>
      </c>
      <c r="AM4240" t="str">
        <f>"10"</f>
        <v>10</v>
      </c>
      <c r="AN4240" t="str">
        <f>"500000"</f>
        <v>500000</v>
      </c>
      <c r="AO4240" t="str">
        <f>"הכנסות  מלקוחות"</f>
        <v>הכנסות  מלקוחות</v>
      </c>
      <c r="AQ4240" t="str">
        <f>"007"</f>
        <v>007</v>
      </c>
      <c r="AR4240">
        <v>0</v>
      </c>
      <c r="AS4240">
        <v>0</v>
      </c>
      <c r="AT4240">
        <v>3.5350000000000001</v>
      </c>
      <c r="AX4240" t="str">
        <f>"E000245247"</f>
        <v>E000245247</v>
      </c>
      <c r="BD4240" t="str">
        <f>"רוני דידי"</f>
        <v>רוני דידי</v>
      </c>
    </row>
    <row r="4241" spans="1:56" x14ac:dyDescent="0.3">
      <c r="A4241" s="1">
        <v>43149</v>
      </c>
      <c r="B4241" t="str">
        <f>"SI186000199"</f>
        <v>SI186000199</v>
      </c>
      <c r="C4241" t="str">
        <f>"PR17002163"</f>
        <v>PR17002163</v>
      </c>
      <c r="E4241" t="str">
        <f>"Y"</f>
        <v>Y</v>
      </c>
      <c r="F4241" t="str">
        <f>"חשבוניות מרכזות"</f>
        <v>חשבוניות מרכזות</v>
      </c>
      <c r="G4241" t="str">
        <f>"700065"</f>
        <v>700065</v>
      </c>
      <c r="H4241" t="str">
        <f>"אלתא מערכות בע""מ"</f>
        <v>אלתא מערכות בע"מ</v>
      </c>
      <c r="I4241" t="str">
        <f>"10"</f>
        <v>10</v>
      </c>
      <c r="J4241" t="str">
        <f>"OP-AR00454"</f>
        <v>OP-AR00454</v>
      </c>
      <c r="K4241" t="str">
        <f>"PDU 380V/50HZ/3 PH AC POWER BOX"</f>
        <v>PDU 380V/50HZ/3 PH AC POWER BOX</v>
      </c>
      <c r="L4241">
        <v>1</v>
      </c>
      <c r="M4241" t="str">
        <f>"יח"</f>
        <v>יח</v>
      </c>
      <c r="N4241">
        <v>1</v>
      </c>
      <c r="O4241" t="str">
        <f>"יח"</f>
        <v>יח</v>
      </c>
      <c r="P4241" s="2">
        <v>1150</v>
      </c>
      <c r="Q4241" t="str">
        <f>"$"</f>
        <v>$</v>
      </c>
      <c r="R4241" t="str">
        <f>"הזמנה"</f>
        <v>הזמנה</v>
      </c>
      <c r="S4241">
        <v>0</v>
      </c>
      <c r="T4241" s="2">
        <v>1150</v>
      </c>
      <c r="U4241">
        <v>0</v>
      </c>
      <c r="V4241" s="2">
        <v>1150</v>
      </c>
      <c r="W4241" t="str">
        <f>"$"</f>
        <v>$</v>
      </c>
      <c r="X4241">
        <v>0</v>
      </c>
      <c r="Y4241">
        <v>0</v>
      </c>
      <c r="Z4241">
        <v>0</v>
      </c>
      <c r="AA4241" t="str">
        <f>"Y"</f>
        <v>Y</v>
      </c>
      <c r="AB4241" t="str">
        <f>"SO17000639"</f>
        <v>SO17000639</v>
      </c>
      <c r="AC4241">
        <v>7</v>
      </c>
      <c r="AD4241" s="1">
        <v>43009</v>
      </c>
      <c r="AE4241" t="str">
        <f>"SH18000387"</f>
        <v>SH18000387</v>
      </c>
      <c r="AF4241" t="str">
        <f>"משלוחים ללקוח"</f>
        <v>משלוחים ללקוח</v>
      </c>
      <c r="AG4241" s="1">
        <v>43146</v>
      </c>
      <c r="AM4241" t="str">
        <f>"10"</f>
        <v>10</v>
      </c>
      <c r="AN4241" t="str">
        <f>"500000"</f>
        <v>500000</v>
      </c>
      <c r="AO4241" t="str">
        <f>"הכנסות  מלקוחות"</f>
        <v>הכנסות  מלקוחות</v>
      </c>
      <c r="AQ4241" t="str">
        <f>"007"</f>
        <v>007</v>
      </c>
      <c r="AR4241">
        <v>0</v>
      </c>
      <c r="AS4241">
        <v>0</v>
      </c>
      <c r="AT4241">
        <v>3.5350000000000001</v>
      </c>
      <c r="AX4241" t="str">
        <f>"E000245247"</f>
        <v>E000245247</v>
      </c>
      <c r="BD4241" t="str">
        <f>"רוני דידי"</f>
        <v>רוני דידי</v>
      </c>
    </row>
    <row r="4242" spans="1:56" x14ac:dyDescent="0.3">
      <c r="A4242" s="1">
        <v>43149</v>
      </c>
      <c r="B4242" t="str">
        <f>"SI186000199"</f>
        <v>SI186000199</v>
      </c>
      <c r="C4242" t="str">
        <f>"PR17002163"</f>
        <v>PR17002163</v>
      </c>
      <c r="E4242" t="str">
        <f>"Y"</f>
        <v>Y</v>
      </c>
      <c r="F4242" t="str">
        <f>"חשבוניות מרכזות"</f>
        <v>חשבוניות מרכזות</v>
      </c>
      <c r="G4242" t="str">
        <f>"700065"</f>
        <v>700065</v>
      </c>
      <c r="H4242" t="str">
        <f>"אלתא מערכות בע""מ"</f>
        <v>אלתא מערכות בע"מ</v>
      </c>
      <c r="I4242" t="str">
        <f>"10"</f>
        <v>10</v>
      </c>
      <c r="J4242" t="str">
        <f>"OP-AR00454"</f>
        <v>OP-AR00454</v>
      </c>
      <c r="K4242" t="str">
        <f>"PDU 380V/50HZ/3 PH AC POWER BOX"</f>
        <v>PDU 380V/50HZ/3 PH AC POWER BOX</v>
      </c>
      <c r="L4242">
        <v>1</v>
      </c>
      <c r="M4242" t="str">
        <f>"יח"</f>
        <v>יח</v>
      </c>
      <c r="N4242">
        <v>1</v>
      </c>
      <c r="O4242" t="str">
        <f>"יח"</f>
        <v>יח</v>
      </c>
      <c r="P4242" s="2">
        <v>1150</v>
      </c>
      <c r="Q4242" t="str">
        <f>"$"</f>
        <v>$</v>
      </c>
      <c r="R4242" t="str">
        <f>"הזמנה"</f>
        <v>הזמנה</v>
      </c>
      <c r="S4242">
        <v>0</v>
      </c>
      <c r="T4242" s="2">
        <v>1150</v>
      </c>
      <c r="U4242">
        <v>0</v>
      </c>
      <c r="V4242" s="2">
        <v>1150</v>
      </c>
      <c r="W4242" t="str">
        <f>"$"</f>
        <v>$</v>
      </c>
      <c r="X4242">
        <v>0</v>
      </c>
      <c r="Y4242">
        <v>0</v>
      </c>
      <c r="Z4242">
        <v>0</v>
      </c>
      <c r="AA4242" t="str">
        <f>"Y"</f>
        <v>Y</v>
      </c>
      <c r="AB4242" t="str">
        <f>"SO17000639"</f>
        <v>SO17000639</v>
      </c>
      <c r="AC4242">
        <v>8</v>
      </c>
      <c r="AD4242" s="1">
        <v>43009</v>
      </c>
      <c r="AE4242" t="str">
        <f>"SH18000387"</f>
        <v>SH18000387</v>
      </c>
      <c r="AF4242" t="str">
        <f>"משלוחים ללקוח"</f>
        <v>משלוחים ללקוח</v>
      </c>
      <c r="AG4242" s="1">
        <v>43146</v>
      </c>
      <c r="AM4242" t="str">
        <f>"10"</f>
        <v>10</v>
      </c>
      <c r="AN4242" t="str">
        <f>"500000"</f>
        <v>500000</v>
      </c>
      <c r="AO4242" t="str">
        <f>"הכנסות  מלקוחות"</f>
        <v>הכנסות  מלקוחות</v>
      </c>
      <c r="AQ4242" t="str">
        <f>"007"</f>
        <v>007</v>
      </c>
      <c r="AR4242">
        <v>0</v>
      </c>
      <c r="AS4242">
        <v>0</v>
      </c>
      <c r="AT4242">
        <v>3.5350000000000001</v>
      </c>
      <c r="AX4242" t="str">
        <f>"E000245247"</f>
        <v>E000245247</v>
      </c>
      <c r="BD4242" t="str">
        <f>"רוני דידי"</f>
        <v>רוני דידי</v>
      </c>
    </row>
    <row r="4243" spans="1:56" x14ac:dyDescent="0.3">
      <c r="A4243" s="1">
        <v>43149</v>
      </c>
      <c r="B4243" t="str">
        <f>"SI186000199"</f>
        <v>SI186000199</v>
      </c>
      <c r="C4243" t="str">
        <f>"PR17002163"</f>
        <v>PR17002163</v>
      </c>
      <c r="E4243" t="str">
        <f>"Y"</f>
        <v>Y</v>
      </c>
      <c r="F4243" t="str">
        <f>"חשבוניות מרכזות"</f>
        <v>חשבוניות מרכזות</v>
      </c>
      <c r="G4243" t="str">
        <f>"700065"</f>
        <v>700065</v>
      </c>
      <c r="H4243" t="str">
        <f>"אלתא מערכות בע""מ"</f>
        <v>אלתא מערכות בע"מ</v>
      </c>
      <c r="I4243" t="str">
        <f>"10"</f>
        <v>10</v>
      </c>
      <c r="J4243" t="str">
        <f>"OP-AR00454"</f>
        <v>OP-AR00454</v>
      </c>
      <c r="K4243" t="str">
        <f>"PDU 380V/50HZ/3 PH AC POWER BOX"</f>
        <v>PDU 380V/50HZ/3 PH AC POWER BOX</v>
      </c>
      <c r="L4243">
        <v>1</v>
      </c>
      <c r="M4243" t="str">
        <f>"יח"</f>
        <v>יח</v>
      </c>
      <c r="N4243">
        <v>1</v>
      </c>
      <c r="O4243" t="str">
        <f>"יח"</f>
        <v>יח</v>
      </c>
      <c r="P4243" s="2">
        <v>1150</v>
      </c>
      <c r="Q4243" t="str">
        <f>"$"</f>
        <v>$</v>
      </c>
      <c r="R4243" t="str">
        <f>"הזמנה"</f>
        <v>הזמנה</v>
      </c>
      <c r="S4243">
        <v>0</v>
      </c>
      <c r="T4243" s="2">
        <v>1150</v>
      </c>
      <c r="U4243">
        <v>0</v>
      </c>
      <c r="V4243" s="2">
        <v>1150</v>
      </c>
      <c r="W4243" t="str">
        <f>"$"</f>
        <v>$</v>
      </c>
      <c r="X4243">
        <v>0</v>
      </c>
      <c r="Y4243">
        <v>0</v>
      </c>
      <c r="Z4243">
        <v>0</v>
      </c>
      <c r="AA4243" t="str">
        <f>"Y"</f>
        <v>Y</v>
      </c>
      <c r="AB4243" t="str">
        <f>"SO17000639"</f>
        <v>SO17000639</v>
      </c>
      <c r="AC4243">
        <v>9</v>
      </c>
      <c r="AD4243" s="1">
        <v>43009</v>
      </c>
      <c r="AE4243" t="str">
        <f>"SH18000387"</f>
        <v>SH18000387</v>
      </c>
      <c r="AF4243" t="str">
        <f>"משלוחים ללקוח"</f>
        <v>משלוחים ללקוח</v>
      </c>
      <c r="AG4243" s="1">
        <v>43146</v>
      </c>
      <c r="AM4243" t="str">
        <f>"10"</f>
        <v>10</v>
      </c>
      <c r="AN4243" t="str">
        <f>"500000"</f>
        <v>500000</v>
      </c>
      <c r="AO4243" t="str">
        <f>"הכנסות  מלקוחות"</f>
        <v>הכנסות  מלקוחות</v>
      </c>
      <c r="AQ4243" t="str">
        <f>"007"</f>
        <v>007</v>
      </c>
      <c r="AR4243">
        <v>0</v>
      </c>
      <c r="AS4243">
        <v>0</v>
      </c>
      <c r="AT4243">
        <v>3.5350000000000001</v>
      </c>
      <c r="AX4243" t="str">
        <f>"E000245247"</f>
        <v>E000245247</v>
      </c>
      <c r="BD4243" t="str">
        <f>"רוני דידי"</f>
        <v>רוני דידי</v>
      </c>
    </row>
    <row r="4244" spans="1:56" x14ac:dyDescent="0.3">
      <c r="A4244" s="1">
        <v>43117</v>
      </c>
      <c r="B4244" t="str">
        <f>"SI186000111"</f>
        <v>SI186000111</v>
      </c>
      <c r="C4244" t="str">
        <f>"PR17002207"</f>
        <v>PR17002207</v>
      </c>
      <c r="D4244" t="str">
        <f>"PR17002207"</f>
        <v>PR17002207</v>
      </c>
      <c r="E4244" t="str">
        <f>"Y"</f>
        <v>Y</v>
      </c>
      <c r="F4244" t="str">
        <f>"חשבוניות מרכזות"</f>
        <v>חשבוניות מרכזות</v>
      </c>
      <c r="G4244" t="str">
        <f>"700065"</f>
        <v>700065</v>
      </c>
      <c r="H4244" t="str">
        <f>"אלתא מערכות בע""מ"</f>
        <v>אלתא מערכות בע"מ</v>
      </c>
      <c r="I4244" t="str">
        <f>"10"</f>
        <v>10</v>
      </c>
      <c r="J4244" t="str">
        <f>"OP-AR00668"</f>
        <v>OP-AR00668</v>
      </c>
      <c r="K4244" t="str">
        <f>"PDB3-SOURCE CONTROL DRAWING 1030R690-001"</f>
        <v>PDB3-SOURCE CONTROL DRAWING 1030R690-001</v>
      </c>
      <c r="L4244">
        <v>1</v>
      </c>
      <c r="M4244" t="str">
        <f>"יח"</f>
        <v>יח</v>
      </c>
      <c r="N4244">
        <v>1</v>
      </c>
      <c r="O4244" t="str">
        <f>"יח"</f>
        <v>יח</v>
      </c>
      <c r="P4244" s="2">
        <v>8372</v>
      </c>
      <c r="Q4244" t="str">
        <f>"$"</f>
        <v>$</v>
      </c>
      <c r="R4244" t="str">
        <f>"הזמנה"</f>
        <v>הזמנה</v>
      </c>
      <c r="S4244">
        <v>0</v>
      </c>
      <c r="T4244" s="2">
        <v>8372</v>
      </c>
      <c r="U4244">
        <v>0</v>
      </c>
      <c r="V4244" s="2">
        <v>8372</v>
      </c>
      <c r="W4244" t="str">
        <f>"$"</f>
        <v>$</v>
      </c>
      <c r="X4244">
        <v>0</v>
      </c>
      <c r="Y4244">
        <v>0</v>
      </c>
      <c r="Z4244">
        <v>0</v>
      </c>
      <c r="AA4244" t="str">
        <f>"Y"</f>
        <v>Y</v>
      </c>
      <c r="AB4244" t="str">
        <f>"SO17000705"</f>
        <v>SO17000705</v>
      </c>
      <c r="AC4244">
        <v>1</v>
      </c>
      <c r="AD4244" s="1">
        <v>43047</v>
      </c>
      <c r="AE4244" t="str">
        <f>"SH18000182"</f>
        <v>SH18000182</v>
      </c>
      <c r="AF4244" t="str">
        <f>"משלוחים ללקוח"</f>
        <v>משלוחים ללקוח</v>
      </c>
      <c r="AG4244" s="1">
        <v>43117</v>
      </c>
      <c r="AM4244" t="str">
        <f>"10"</f>
        <v>10</v>
      </c>
      <c r="AN4244" t="str">
        <f>"500000"</f>
        <v>500000</v>
      </c>
      <c r="AO4244" t="str">
        <f>"הכנסות  מלקוחות"</f>
        <v>הכנסות  מלקוחות</v>
      </c>
      <c r="AQ4244" t="str">
        <f>"007"</f>
        <v>007</v>
      </c>
      <c r="AR4244">
        <v>0</v>
      </c>
      <c r="AS4244">
        <v>0</v>
      </c>
      <c r="AT4244">
        <v>3.452</v>
      </c>
      <c r="AX4244" t="str">
        <f>"E000247776"</f>
        <v>E000247776</v>
      </c>
      <c r="BD4244" t="str">
        <f>"רוני דידי"</f>
        <v>רוני דידי</v>
      </c>
    </row>
    <row r="4245" spans="1:56" x14ac:dyDescent="0.3">
      <c r="A4245" s="1">
        <v>43117</v>
      </c>
      <c r="B4245" t="str">
        <f>"SI186000111"</f>
        <v>SI186000111</v>
      </c>
      <c r="C4245" t="str">
        <f>"PR17002207"</f>
        <v>PR17002207</v>
      </c>
      <c r="D4245" t="str">
        <f>"PR17002207"</f>
        <v>PR17002207</v>
      </c>
      <c r="E4245" t="str">
        <f>"Y"</f>
        <v>Y</v>
      </c>
      <c r="F4245" t="str">
        <f>"חשבוניות מרכזות"</f>
        <v>חשבוניות מרכזות</v>
      </c>
      <c r="G4245" t="str">
        <f>"700065"</f>
        <v>700065</v>
      </c>
      <c r="H4245" t="str">
        <f>"אלתא מערכות בע""מ"</f>
        <v>אלתא מערכות בע"מ</v>
      </c>
      <c r="I4245" t="str">
        <f>"10"</f>
        <v>10</v>
      </c>
      <c r="J4245" t="str">
        <f>"000"</f>
        <v>000</v>
      </c>
      <c r="K4245" t="str">
        <f>"NRE"</f>
        <v>NRE</v>
      </c>
      <c r="L4245">
        <v>1</v>
      </c>
      <c r="M4245" t="str">
        <f>"יח"</f>
        <v>יח</v>
      </c>
      <c r="N4245">
        <v>1</v>
      </c>
      <c r="O4245" t="str">
        <f>"יח"</f>
        <v>יח</v>
      </c>
      <c r="P4245" s="2">
        <v>3046</v>
      </c>
      <c r="Q4245" t="str">
        <f>"$"</f>
        <v>$</v>
      </c>
      <c r="R4245" t="str">
        <f>"הזמנה"</f>
        <v>הזמנה</v>
      </c>
      <c r="S4245">
        <v>0</v>
      </c>
      <c r="T4245" s="2">
        <v>3046</v>
      </c>
      <c r="U4245">
        <v>0</v>
      </c>
      <c r="V4245" s="2">
        <v>3046</v>
      </c>
      <c r="W4245" t="str">
        <f>"$"</f>
        <v>$</v>
      </c>
      <c r="X4245">
        <v>0</v>
      </c>
      <c r="Y4245">
        <v>0</v>
      </c>
      <c r="Z4245">
        <v>0</v>
      </c>
      <c r="AA4245" t="str">
        <f>"Y"</f>
        <v>Y</v>
      </c>
      <c r="AB4245" t="str">
        <f>"SO17000705"</f>
        <v>SO17000705</v>
      </c>
      <c r="AC4245">
        <v>2</v>
      </c>
      <c r="AD4245" s="1">
        <v>43047</v>
      </c>
      <c r="AE4245" t="str">
        <f>"SH18000182"</f>
        <v>SH18000182</v>
      </c>
      <c r="AF4245" t="str">
        <f>"משלוחים ללקוח"</f>
        <v>משלוחים ללקוח</v>
      </c>
      <c r="AG4245" s="1">
        <v>43117</v>
      </c>
      <c r="AM4245" t="str">
        <f>"10"</f>
        <v>10</v>
      </c>
      <c r="AN4245" t="str">
        <f>"500000"</f>
        <v>500000</v>
      </c>
      <c r="AO4245" t="str">
        <f>"הכנסות  מלקוחות"</f>
        <v>הכנסות  מלקוחות</v>
      </c>
      <c r="AQ4245" t="str">
        <f>"007"</f>
        <v>007</v>
      </c>
      <c r="AR4245">
        <v>0</v>
      </c>
      <c r="AS4245">
        <v>0</v>
      </c>
      <c r="AT4245">
        <v>3.452</v>
      </c>
      <c r="AX4245" t="str">
        <f>"E000247776"</f>
        <v>E000247776</v>
      </c>
      <c r="BD4245" t="str">
        <f>"רוני דידי"</f>
        <v>רוני דידי</v>
      </c>
    </row>
    <row r="4246" spans="1:56" x14ac:dyDescent="0.3">
      <c r="A4246" s="1">
        <v>43107</v>
      </c>
      <c r="B4246" t="str">
        <f>"SI186000043"</f>
        <v>SI186000043</v>
      </c>
      <c r="C4246" t="str">
        <f>"PR17002030"</f>
        <v>PR17002030</v>
      </c>
      <c r="D4246" t="str">
        <f>"PR17002030"</f>
        <v>PR17002030</v>
      </c>
      <c r="E4246" t="str">
        <f>"Y"</f>
        <v>Y</v>
      </c>
      <c r="F4246" t="str">
        <f>"חשבוניות מרכזות"</f>
        <v>חשבוניות מרכזות</v>
      </c>
      <c r="G4246" t="str">
        <f>"700065"</f>
        <v>700065</v>
      </c>
      <c r="H4246" t="str">
        <f>"אלתא מערכות בע""מ"</f>
        <v>אלתא מערכות בע"מ</v>
      </c>
      <c r="I4246" t="str">
        <f>"10"</f>
        <v>10</v>
      </c>
      <c r="J4246" t="str">
        <f>"OP-AR00467"</f>
        <v>OP-AR00467</v>
      </c>
      <c r="K4246" t="str">
        <f>"AC PCU CONTROL BOX"</f>
        <v>AC PCU CONTROL BOX</v>
      </c>
      <c r="L4246">
        <v>2</v>
      </c>
      <c r="M4246" t="str">
        <f>"יח"</f>
        <v>יח</v>
      </c>
      <c r="N4246">
        <v>2</v>
      </c>
      <c r="O4246" t="str">
        <f>"יח"</f>
        <v>יח</v>
      </c>
      <c r="P4246" s="2">
        <v>3500</v>
      </c>
      <c r="Q4246" t="str">
        <f>"$"</f>
        <v>$</v>
      </c>
      <c r="R4246" t="str">
        <f>"הזמנה"</f>
        <v>הזמנה</v>
      </c>
      <c r="S4246">
        <v>0</v>
      </c>
      <c r="T4246" s="2">
        <v>7000</v>
      </c>
      <c r="U4246">
        <v>0</v>
      </c>
      <c r="V4246" s="2">
        <v>7000</v>
      </c>
      <c r="W4246" t="str">
        <f>"$"</f>
        <v>$</v>
      </c>
      <c r="X4246">
        <v>0</v>
      </c>
      <c r="Y4246">
        <v>0</v>
      </c>
      <c r="Z4246">
        <v>0</v>
      </c>
      <c r="AA4246" t="str">
        <f>"Y"</f>
        <v>Y</v>
      </c>
      <c r="AB4246" t="str">
        <f>"SO17000568"</f>
        <v>SO17000568</v>
      </c>
      <c r="AC4246">
        <v>1</v>
      </c>
      <c r="AD4246" s="1">
        <v>42967</v>
      </c>
      <c r="AE4246" t="str">
        <f>"SH18000076"</f>
        <v>SH18000076</v>
      </c>
      <c r="AF4246" t="str">
        <f>"משלוחים ללקוח"</f>
        <v>משלוחים ללקוח</v>
      </c>
      <c r="AG4246" s="1">
        <v>43107</v>
      </c>
      <c r="AM4246" t="str">
        <f>"10"</f>
        <v>10</v>
      </c>
      <c r="AN4246" t="str">
        <f>"500000"</f>
        <v>500000</v>
      </c>
      <c r="AO4246" t="str">
        <f>"הכנסות  מלקוחות"</f>
        <v>הכנסות  מלקוחות</v>
      </c>
      <c r="AQ4246" t="str">
        <f>"007"</f>
        <v>007</v>
      </c>
      <c r="AR4246">
        <v>0</v>
      </c>
      <c r="AS4246">
        <v>0</v>
      </c>
      <c r="AT4246">
        <v>3.4460000000000002</v>
      </c>
      <c r="AX4246" t="str">
        <f>"E000243153"</f>
        <v>E000243153</v>
      </c>
      <c r="BD4246" t="str">
        <f>"רוני דידי"</f>
        <v>רוני דידי</v>
      </c>
    </row>
    <row r="4247" spans="1:56" x14ac:dyDescent="0.3">
      <c r="A4247" s="1">
        <v>43100</v>
      </c>
      <c r="B4247" t="str">
        <f>"SI176002024"</f>
        <v>SI176002024</v>
      </c>
      <c r="E4247" t="str">
        <f>"Y"</f>
        <v>Y</v>
      </c>
      <c r="F4247" t="str">
        <f>"חשבוניות מרכזות"</f>
        <v>חשבוניות מרכזות</v>
      </c>
      <c r="G4247" t="str">
        <f>"700065"</f>
        <v>700065</v>
      </c>
      <c r="H4247" t="str">
        <f>"אלתא מערכות בע""מ"</f>
        <v>אלתא מערכות בע"מ</v>
      </c>
      <c r="I4247" t="str">
        <f>"10"</f>
        <v>10</v>
      </c>
      <c r="J4247" t="str">
        <f>"UP0130200"</f>
        <v>UP0130200</v>
      </c>
      <c r="K4247" t="str">
        <f>"UPS-GAIA series on line 1kva,Single Phase(1/1)DE"</f>
        <v>UPS-GAIA series on line 1kva,Single Phase(1/1)DE</v>
      </c>
      <c r="L4247">
        <v>1</v>
      </c>
      <c r="M4247" t="str">
        <f>"יח"</f>
        <v>יח</v>
      </c>
      <c r="N4247">
        <v>1</v>
      </c>
      <c r="O4247" t="str">
        <f>"יח"</f>
        <v>יח</v>
      </c>
      <c r="P4247">
        <v>465</v>
      </c>
      <c r="Q4247" t="str">
        <f>"$"</f>
        <v>$</v>
      </c>
      <c r="R4247" t="str">
        <f>"הזמנה"</f>
        <v>הזמנה</v>
      </c>
      <c r="S4247">
        <v>0</v>
      </c>
      <c r="T4247">
        <v>465</v>
      </c>
      <c r="U4247">
        <v>0</v>
      </c>
      <c r="V4247">
        <v>465</v>
      </c>
      <c r="W4247" t="str">
        <f>"$"</f>
        <v>$</v>
      </c>
      <c r="X4247">
        <v>0</v>
      </c>
      <c r="Y4247">
        <v>0</v>
      </c>
      <c r="Z4247">
        <v>0</v>
      </c>
      <c r="AA4247" t="str">
        <f>"Y"</f>
        <v>Y</v>
      </c>
      <c r="AB4247" t="str">
        <f>"SO17000801"</f>
        <v>SO17000801</v>
      </c>
      <c r="AC4247">
        <v>1</v>
      </c>
      <c r="AD4247" s="1">
        <v>43087</v>
      </c>
      <c r="AE4247" t="str">
        <f>"SH17003327"</f>
        <v>SH17003327</v>
      </c>
      <c r="AF4247" t="str">
        <f>"משלוחים ללקוח"</f>
        <v>משלוחים ללקוח</v>
      </c>
      <c r="AG4247" s="1">
        <v>43100</v>
      </c>
      <c r="AM4247" t="str">
        <f>"10"</f>
        <v>10</v>
      </c>
      <c r="AN4247" t="str">
        <f>"500000"</f>
        <v>500000</v>
      </c>
      <c r="AO4247" t="str">
        <f>"הכנסות  מלקוחות"</f>
        <v>הכנסות  מלקוחות</v>
      </c>
      <c r="AQ4247" t="str">
        <f>"007"</f>
        <v>007</v>
      </c>
      <c r="AR4247">
        <v>0</v>
      </c>
      <c r="AS4247">
        <v>0</v>
      </c>
      <c r="AT4247">
        <v>3.4670000000000001</v>
      </c>
      <c r="AX4247" t="str">
        <f>"E000252038"</f>
        <v>E000252038</v>
      </c>
      <c r="BD4247" t="str">
        <f>"רוני דידי"</f>
        <v>רוני דידי</v>
      </c>
    </row>
    <row r="4248" spans="1:56" x14ac:dyDescent="0.3">
      <c r="A4248" s="1">
        <v>43100</v>
      </c>
      <c r="B4248" t="str">
        <f>"SI176002023"</f>
        <v>SI176002023</v>
      </c>
      <c r="E4248" t="str">
        <f>"Y"</f>
        <v>Y</v>
      </c>
      <c r="F4248" t="str">
        <f>"חשבוניות מרכזות"</f>
        <v>חשבוניות מרכזות</v>
      </c>
      <c r="G4248" t="str">
        <f>"700065"</f>
        <v>700065</v>
      </c>
      <c r="H4248" t="str">
        <f>"אלתא מערכות בע""מ"</f>
        <v>אלתא מערכות בע"מ</v>
      </c>
      <c r="I4248" t="str">
        <f>"10"</f>
        <v>10</v>
      </c>
      <c r="J4248" t="str">
        <f>"PS0234528"</f>
        <v>PS0234528</v>
      </c>
      <c r="K4248" t="str">
        <f>"Rectifier DPR 2900B-48 ESR-48/56B F C-A."</f>
        <v>Rectifier DPR 2900B-48 ESR-48/56B F C-A.</v>
      </c>
      <c r="L4248">
        <v>1</v>
      </c>
      <c r="M4248" t="str">
        <f>"יח"</f>
        <v>יח</v>
      </c>
      <c r="N4248">
        <v>1</v>
      </c>
      <c r="O4248" t="str">
        <f>"יח"</f>
        <v>יח</v>
      </c>
      <c r="P4248">
        <v>375</v>
      </c>
      <c r="Q4248" t="str">
        <f>"$"</f>
        <v>$</v>
      </c>
      <c r="R4248" t="str">
        <f>"הזמנה"</f>
        <v>הזמנה</v>
      </c>
      <c r="S4248">
        <v>0</v>
      </c>
      <c r="T4248">
        <v>375</v>
      </c>
      <c r="U4248">
        <v>0</v>
      </c>
      <c r="V4248">
        <v>375</v>
      </c>
      <c r="W4248" t="str">
        <f>"$"</f>
        <v>$</v>
      </c>
      <c r="X4248">
        <v>0</v>
      </c>
      <c r="Y4248">
        <v>0</v>
      </c>
      <c r="Z4248">
        <v>0</v>
      </c>
      <c r="AA4248" t="str">
        <f>"Y"</f>
        <v>Y</v>
      </c>
      <c r="AB4248" t="str">
        <f>"SO17000709"</f>
        <v>SO17000709</v>
      </c>
      <c r="AC4248">
        <v>1</v>
      </c>
      <c r="AD4248" s="1">
        <v>43048</v>
      </c>
      <c r="AE4248" t="str">
        <f>"SH17003326"</f>
        <v>SH17003326</v>
      </c>
      <c r="AF4248" t="str">
        <f>"משלוחים ללקוח"</f>
        <v>משלוחים ללקוח</v>
      </c>
      <c r="AG4248" s="1">
        <v>43100</v>
      </c>
      <c r="AM4248" t="str">
        <f>"10"</f>
        <v>10</v>
      </c>
      <c r="AN4248" t="str">
        <f>"500000"</f>
        <v>500000</v>
      </c>
      <c r="AO4248" t="str">
        <f>"הכנסות  מלקוחות"</f>
        <v>הכנסות  מלקוחות</v>
      </c>
      <c r="AQ4248" t="str">
        <f>"007"</f>
        <v>007</v>
      </c>
      <c r="AR4248">
        <v>0</v>
      </c>
      <c r="AS4248">
        <v>0</v>
      </c>
      <c r="AT4248">
        <v>3.4670000000000001</v>
      </c>
      <c r="AX4248" t="str">
        <f>"E000248707"</f>
        <v>E000248707</v>
      </c>
      <c r="BD4248" t="str">
        <f>"רוני דידי"</f>
        <v>רוני דידי</v>
      </c>
    </row>
    <row r="4249" spans="1:56" x14ac:dyDescent="0.3">
      <c r="A4249" s="1">
        <v>43097</v>
      </c>
      <c r="B4249" t="str">
        <f>"SI176001997"</f>
        <v>SI176001997</v>
      </c>
      <c r="C4249" t="str">
        <f>"PR17002132"</f>
        <v>PR17002132</v>
      </c>
      <c r="E4249" t="str">
        <f>"Y"</f>
        <v>Y</v>
      </c>
      <c r="F4249" t="str">
        <f>"חשבוניות מרכזות"</f>
        <v>חשבוניות מרכזות</v>
      </c>
      <c r="G4249" t="str">
        <f>"700065"</f>
        <v>700065</v>
      </c>
      <c r="H4249" t="str">
        <f>"אלתא מערכות בע""מ"</f>
        <v>אלתא מערכות בע"מ</v>
      </c>
      <c r="I4249" t="str">
        <f>"10"</f>
        <v>10</v>
      </c>
      <c r="J4249" t="str">
        <f>"OP-AR00686"</f>
        <v>OP-AR00686</v>
      </c>
      <c r="K4249" t="str">
        <f>"PDU מעבדה 4 115V 400HZ יציאות"</f>
        <v>PDU מעבדה 4 115V 400HZ יציאות</v>
      </c>
      <c r="L4249">
        <v>1</v>
      </c>
      <c r="M4249" t="str">
        <f>"יח"</f>
        <v>יח</v>
      </c>
      <c r="N4249">
        <v>1</v>
      </c>
      <c r="O4249" t="str">
        <f>"יח"</f>
        <v>יח</v>
      </c>
      <c r="P4249" s="2">
        <v>2100</v>
      </c>
      <c r="Q4249" t="str">
        <f>"$"</f>
        <v>$</v>
      </c>
      <c r="R4249" t="str">
        <f>"הזמנה"</f>
        <v>הזמנה</v>
      </c>
      <c r="S4249">
        <v>0</v>
      </c>
      <c r="T4249" s="2">
        <v>2100</v>
      </c>
      <c r="U4249">
        <v>0</v>
      </c>
      <c r="V4249" s="2">
        <v>2100</v>
      </c>
      <c r="W4249" t="str">
        <f>"$"</f>
        <v>$</v>
      </c>
      <c r="X4249">
        <v>0</v>
      </c>
      <c r="Y4249">
        <v>0</v>
      </c>
      <c r="Z4249">
        <v>0</v>
      </c>
      <c r="AA4249" t="str">
        <f>"Y"</f>
        <v>Y</v>
      </c>
      <c r="AB4249" t="str">
        <f>"SO17000639"</f>
        <v>SO17000639</v>
      </c>
      <c r="AC4249">
        <v>3</v>
      </c>
      <c r="AD4249" s="1">
        <v>43009</v>
      </c>
      <c r="AE4249" t="str">
        <f>"SH17003313"</f>
        <v>SH17003313</v>
      </c>
      <c r="AF4249" t="str">
        <f>"משלוחים ללקוח"</f>
        <v>משלוחים ללקוח</v>
      </c>
      <c r="AG4249" s="1">
        <v>43097</v>
      </c>
      <c r="AM4249" t="str">
        <f>"10"</f>
        <v>10</v>
      </c>
      <c r="AN4249" t="str">
        <f>"500000"</f>
        <v>500000</v>
      </c>
      <c r="AO4249" t="str">
        <f>"הכנסות  מלקוחות"</f>
        <v>הכנסות  מלקוחות</v>
      </c>
      <c r="AQ4249" t="str">
        <f>"007"</f>
        <v>007</v>
      </c>
      <c r="AR4249">
        <v>0</v>
      </c>
      <c r="AS4249">
        <v>0</v>
      </c>
      <c r="AT4249">
        <v>3.472</v>
      </c>
      <c r="AX4249" t="str">
        <f>"E000245247"</f>
        <v>E000245247</v>
      </c>
      <c r="BD4249" t="str">
        <f>"רוני דידי"</f>
        <v>רוני דידי</v>
      </c>
    </row>
    <row r="4250" spans="1:56" x14ac:dyDescent="0.3">
      <c r="A4250" s="1">
        <v>43097</v>
      </c>
      <c r="B4250" t="str">
        <f>"SI176001997"</f>
        <v>SI176001997</v>
      </c>
      <c r="C4250" t="str">
        <f>"PR17002132"</f>
        <v>PR17002132</v>
      </c>
      <c r="E4250" t="str">
        <f>"Y"</f>
        <v>Y</v>
      </c>
      <c r="F4250" t="str">
        <f>"חשבוניות מרכזות"</f>
        <v>חשבוניות מרכזות</v>
      </c>
      <c r="G4250" t="str">
        <f>"700065"</f>
        <v>700065</v>
      </c>
      <c r="H4250" t="str">
        <f>"אלתא מערכות בע""מ"</f>
        <v>אלתא מערכות בע"מ</v>
      </c>
      <c r="I4250" t="str">
        <f>"10"</f>
        <v>10</v>
      </c>
      <c r="J4250" t="str">
        <f>"OP-AR00686"</f>
        <v>OP-AR00686</v>
      </c>
      <c r="K4250" t="str">
        <f>"PDU מעבדה 4 115V 400HZ יציאות"</f>
        <v>PDU מעבדה 4 115V 400HZ יציאות</v>
      </c>
      <c r="L4250">
        <v>1</v>
      </c>
      <c r="M4250" t="str">
        <f>"יח"</f>
        <v>יח</v>
      </c>
      <c r="N4250">
        <v>1</v>
      </c>
      <c r="O4250" t="str">
        <f>"יח"</f>
        <v>יח</v>
      </c>
      <c r="P4250" s="2">
        <v>2100</v>
      </c>
      <c r="Q4250" t="str">
        <f>"$"</f>
        <v>$</v>
      </c>
      <c r="R4250" t="str">
        <f>"הזמנה"</f>
        <v>הזמנה</v>
      </c>
      <c r="S4250">
        <v>0</v>
      </c>
      <c r="T4250" s="2">
        <v>2100</v>
      </c>
      <c r="U4250">
        <v>0</v>
      </c>
      <c r="V4250" s="2">
        <v>2100</v>
      </c>
      <c r="W4250" t="str">
        <f>"$"</f>
        <v>$</v>
      </c>
      <c r="X4250">
        <v>0</v>
      </c>
      <c r="Y4250">
        <v>0</v>
      </c>
      <c r="Z4250">
        <v>0</v>
      </c>
      <c r="AA4250" t="str">
        <f>"Y"</f>
        <v>Y</v>
      </c>
      <c r="AB4250" t="str">
        <f>"SO17000639"</f>
        <v>SO17000639</v>
      </c>
      <c r="AC4250">
        <v>4</v>
      </c>
      <c r="AD4250" s="1">
        <v>43009</v>
      </c>
      <c r="AE4250" t="str">
        <f>"SH17003313"</f>
        <v>SH17003313</v>
      </c>
      <c r="AF4250" t="str">
        <f>"משלוחים ללקוח"</f>
        <v>משלוחים ללקוח</v>
      </c>
      <c r="AG4250" s="1">
        <v>43097</v>
      </c>
      <c r="AM4250" t="str">
        <f>"10"</f>
        <v>10</v>
      </c>
      <c r="AN4250" t="str">
        <f>"500000"</f>
        <v>500000</v>
      </c>
      <c r="AO4250" t="str">
        <f>"הכנסות  מלקוחות"</f>
        <v>הכנסות  מלקוחות</v>
      </c>
      <c r="AQ4250" t="str">
        <f>"007"</f>
        <v>007</v>
      </c>
      <c r="AR4250">
        <v>0</v>
      </c>
      <c r="AS4250">
        <v>0</v>
      </c>
      <c r="AT4250">
        <v>3.472</v>
      </c>
      <c r="AX4250" t="str">
        <f>"E000245247"</f>
        <v>E000245247</v>
      </c>
      <c r="BD4250" t="str">
        <f>"רוני דידי"</f>
        <v>רוני דידי</v>
      </c>
    </row>
    <row r="4251" spans="1:56" x14ac:dyDescent="0.3">
      <c r="A4251" s="1">
        <v>43097</v>
      </c>
      <c r="B4251" t="str">
        <f>"SI176001996"</f>
        <v>SI176001996</v>
      </c>
      <c r="C4251" t="str">
        <f>"PR17001514"</f>
        <v>PR17001514</v>
      </c>
      <c r="D4251" t="str">
        <f>"PR17001514"</f>
        <v>PR17001514</v>
      </c>
      <c r="E4251" t="str">
        <f>"Y"</f>
        <v>Y</v>
      </c>
      <c r="F4251" t="str">
        <f>"חשבוניות מרכזות"</f>
        <v>חשבוניות מרכזות</v>
      </c>
      <c r="G4251" t="str">
        <f>"700065"</f>
        <v>700065</v>
      </c>
      <c r="H4251" t="str">
        <f>"אלתא מערכות בע""מ"</f>
        <v>אלתא מערכות בע"מ</v>
      </c>
      <c r="I4251" t="str">
        <f>"10"</f>
        <v>10</v>
      </c>
      <c r="J4251" t="str">
        <f>"999"</f>
        <v>999</v>
      </c>
      <c r="K4251" t="str">
        <f>"תיקון 4006W922-001"</f>
        <v>תיקון 4006W922-001</v>
      </c>
      <c r="L4251">
        <v>1</v>
      </c>
      <c r="M4251" t="str">
        <f>"חל"</f>
        <v>חל</v>
      </c>
      <c r="N4251">
        <v>1</v>
      </c>
      <c r="O4251" t="str">
        <f>"חל"</f>
        <v>חל</v>
      </c>
      <c r="P4251" s="2">
        <v>11500</v>
      </c>
      <c r="Q4251" t="str">
        <f>"$"</f>
        <v>$</v>
      </c>
      <c r="R4251" t="str">
        <f>"הזמנה"</f>
        <v>הזמנה</v>
      </c>
      <c r="S4251">
        <v>0</v>
      </c>
      <c r="T4251" s="2">
        <v>11500</v>
      </c>
      <c r="U4251">
        <v>0</v>
      </c>
      <c r="V4251" s="2">
        <v>11500</v>
      </c>
      <c r="W4251" t="str">
        <f>"$"</f>
        <v>$</v>
      </c>
      <c r="X4251">
        <v>0</v>
      </c>
      <c r="Y4251">
        <v>0</v>
      </c>
      <c r="Z4251">
        <v>0</v>
      </c>
      <c r="AA4251" t="str">
        <f>"Y"</f>
        <v>Y</v>
      </c>
      <c r="AB4251" t="str">
        <f>"SO17000185"</f>
        <v>SO17000185</v>
      </c>
      <c r="AC4251">
        <v>1</v>
      </c>
      <c r="AD4251" s="1">
        <v>42801</v>
      </c>
      <c r="AE4251" t="str">
        <f>"SH17003312"</f>
        <v>SH17003312</v>
      </c>
      <c r="AF4251" t="str">
        <f>"משלוחים ללקוח"</f>
        <v>משלוחים ללקוח</v>
      </c>
      <c r="AG4251" s="1">
        <v>43097</v>
      </c>
      <c r="AM4251" t="str">
        <f>"10"</f>
        <v>10</v>
      </c>
      <c r="AN4251" t="str">
        <f>"500000"</f>
        <v>500000</v>
      </c>
      <c r="AO4251" t="str">
        <f>"הכנסות  מלקוחות"</f>
        <v>הכנסות  מלקוחות</v>
      </c>
      <c r="AQ4251" t="str">
        <f>"007"</f>
        <v>007</v>
      </c>
      <c r="AR4251">
        <v>0</v>
      </c>
      <c r="AS4251">
        <v>0</v>
      </c>
      <c r="AT4251">
        <v>3.472</v>
      </c>
      <c r="AX4251" t="str">
        <f>"E000231434"</f>
        <v>E000231434</v>
      </c>
      <c r="BD4251" t="str">
        <f>"רוני דידי"</f>
        <v>רוני דידי</v>
      </c>
    </row>
    <row r="4252" spans="1:56" x14ac:dyDescent="0.3">
      <c r="A4252" s="1">
        <v>43097</v>
      </c>
      <c r="B4252" t="str">
        <f>"SI176001996"</f>
        <v>SI176001996</v>
      </c>
      <c r="C4252" t="str">
        <f>"PR17001514"</f>
        <v>PR17001514</v>
      </c>
      <c r="D4252" t="str">
        <f>"PR17001514"</f>
        <v>PR17001514</v>
      </c>
      <c r="E4252" t="str">
        <f>"Y"</f>
        <v>Y</v>
      </c>
      <c r="F4252" t="str">
        <f>"חשבוניות מרכזות"</f>
        <v>חשבוניות מרכזות</v>
      </c>
      <c r="G4252" t="str">
        <f>"700065"</f>
        <v>700065</v>
      </c>
      <c r="H4252" t="str">
        <f>"אלתא מערכות בע""מ"</f>
        <v>אלתא מערכות בע"מ</v>
      </c>
      <c r="I4252" t="str">
        <f>"10"</f>
        <v>10</v>
      </c>
      <c r="J4252" t="str">
        <f>"999"</f>
        <v>999</v>
      </c>
      <c r="K4252" t="str">
        <f>"תיקון 4006W929-001"</f>
        <v>תיקון 4006W929-001</v>
      </c>
      <c r="L4252">
        <v>1</v>
      </c>
      <c r="M4252" t="str">
        <f>"חל"</f>
        <v>חל</v>
      </c>
      <c r="N4252">
        <v>1</v>
      </c>
      <c r="O4252" t="str">
        <f>"חל"</f>
        <v>חל</v>
      </c>
      <c r="P4252" s="2">
        <v>2760</v>
      </c>
      <c r="Q4252" t="str">
        <f>"$"</f>
        <v>$</v>
      </c>
      <c r="R4252" t="str">
        <f>"הזמנה"</f>
        <v>הזמנה</v>
      </c>
      <c r="S4252">
        <v>0</v>
      </c>
      <c r="T4252" s="2">
        <v>2760</v>
      </c>
      <c r="U4252">
        <v>0</v>
      </c>
      <c r="V4252" s="2">
        <v>2760</v>
      </c>
      <c r="W4252" t="str">
        <f>"$"</f>
        <v>$</v>
      </c>
      <c r="X4252">
        <v>0</v>
      </c>
      <c r="Y4252">
        <v>0</v>
      </c>
      <c r="Z4252">
        <v>0</v>
      </c>
      <c r="AA4252" t="str">
        <f>"Y"</f>
        <v>Y</v>
      </c>
      <c r="AB4252" t="str">
        <f>"SO17000185"</f>
        <v>SO17000185</v>
      </c>
      <c r="AC4252">
        <v>2</v>
      </c>
      <c r="AD4252" s="1">
        <v>42801</v>
      </c>
      <c r="AE4252" t="str">
        <f>"SH17003312"</f>
        <v>SH17003312</v>
      </c>
      <c r="AF4252" t="str">
        <f>"משלוחים ללקוח"</f>
        <v>משלוחים ללקוח</v>
      </c>
      <c r="AG4252" s="1">
        <v>43097</v>
      </c>
      <c r="AM4252" t="str">
        <f>"10"</f>
        <v>10</v>
      </c>
      <c r="AN4252" t="str">
        <f>"500000"</f>
        <v>500000</v>
      </c>
      <c r="AO4252" t="str">
        <f>"הכנסות  מלקוחות"</f>
        <v>הכנסות  מלקוחות</v>
      </c>
      <c r="AQ4252" t="str">
        <f>"007"</f>
        <v>007</v>
      </c>
      <c r="AR4252">
        <v>0</v>
      </c>
      <c r="AS4252">
        <v>0</v>
      </c>
      <c r="AT4252">
        <v>3.472</v>
      </c>
      <c r="AX4252" t="str">
        <f>"E000231434"</f>
        <v>E000231434</v>
      </c>
      <c r="BD4252" t="str">
        <f>"רוני דידי"</f>
        <v>רוני דידי</v>
      </c>
    </row>
    <row r="4253" spans="1:56" x14ac:dyDescent="0.3">
      <c r="A4253" s="1">
        <v>43097</v>
      </c>
      <c r="B4253" t="str">
        <f>"SI176001991"</f>
        <v>SI176001991</v>
      </c>
      <c r="C4253" t="str">
        <f>"PR16000776"</f>
        <v>PR16000776</v>
      </c>
      <c r="D4253" t="str">
        <f>"PR16000776"</f>
        <v>PR16000776</v>
      </c>
      <c r="E4253" t="str">
        <f>"Y"</f>
        <v>Y</v>
      </c>
      <c r="F4253" t="str">
        <f>"חשבוניות מרכזות"</f>
        <v>חשבוניות מרכזות</v>
      </c>
      <c r="G4253" t="str">
        <f>"700065"</f>
        <v>700065</v>
      </c>
      <c r="H4253" t="str">
        <f>"אלתא מערכות בע""מ"</f>
        <v>אלתא מערכות בע"מ</v>
      </c>
      <c r="I4253" t="str">
        <f>"10"</f>
        <v>10</v>
      </c>
      <c r="J4253" t="str">
        <f>"000"</f>
        <v>000</v>
      </c>
      <c r="K4253" t="str">
        <f>"התקנת מערכת כוח באלתא"</f>
        <v>התקנת מערכת כוח באלתא</v>
      </c>
      <c r="L4253">
        <v>1</v>
      </c>
      <c r="M4253" t="str">
        <f>"יח"</f>
        <v>יח</v>
      </c>
      <c r="N4253">
        <v>1</v>
      </c>
      <c r="O4253" t="str">
        <f>"יח"</f>
        <v>יח</v>
      </c>
      <c r="P4253" s="2">
        <v>2000</v>
      </c>
      <c r="Q4253" t="str">
        <f>"$"</f>
        <v>$</v>
      </c>
      <c r="R4253" t="str">
        <f>"ידני"</f>
        <v>ידני</v>
      </c>
      <c r="S4253">
        <v>0</v>
      </c>
      <c r="T4253" s="2">
        <v>2000</v>
      </c>
      <c r="U4253">
        <v>0</v>
      </c>
      <c r="V4253" s="2">
        <v>2000</v>
      </c>
      <c r="W4253" t="str">
        <f>"$"</f>
        <v>$</v>
      </c>
      <c r="X4253">
        <v>0</v>
      </c>
      <c r="Y4253">
        <v>0</v>
      </c>
      <c r="Z4253">
        <v>0</v>
      </c>
      <c r="AA4253" t="str">
        <f>"Y"</f>
        <v>Y</v>
      </c>
      <c r="AB4253" t="str">
        <f>"SO160000582"</f>
        <v>SO160000582</v>
      </c>
      <c r="AC4253">
        <v>7</v>
      </c>
      <c r="AD4253" s="1">
        <v>42590</v>
      </c>
      <c r="AM4253" t="str">
        <f>"10"</f>
        <v>10</v>
      </c>
      <c r="AN4253" t="str">
        <f>"500000"</f>
        <v>500000</v>
      </c>
      <c r="AO4253" t="str">
        <f>"הכנסות  מלקוחות"</f>
        <v>הכנסות  מלקוחות</v>
      </c>
      <c r="AQ4253" t="str">
        <f>"007"</f>
        <v>007</v>
      </c>
      <c r="AR4253">
        <v>0</v>
      </c>
      <c r="AS4253">
        <v>0</v>
      </c>
      <c r="AT4253">
        <v>3.4790000000000001</v>
      </c>
      <c r="AX4253" t="str">
        <f>"E000221675"</f>
        <v>E000221675</v>
      </c>
      <c r="BD4253" t="str">
        <f>"רוני דידי"</f>
        <v>רוני דידי</v>
      </c>
    </row>
    <row r="4254" spans="1:56" x14ac:dyDescent="0.3">
      <c r="A4254" s="1">
        <v>43090</v>
      </c>
      <c r="B4254" t="str">
        <f>"SI176001944"</f>
        <v>SI176001944</v>
      </c>
      <c r="C4254" t="str">
        <f>"PR16000707"</f>
        <v>PR16000707</v>
      </c>
      <c r="D4254" t="str">
        <f>"PR16000707"</f>
        <v>PR16000707</v>
      </c>
      <c r="E4254" t="str">
        <f>"Y"</f>
        <v>Y</v>
      </c>
      <c r="F4254" t="str">
        <f>"חשבוניות מרכזות"</f>
        <v>חשבוניות מרכזות</v>
      </c>
      <c r="G4254" t="str">
        <f>"700065"</f>
        <v>700065</v>
      </c>
      <c r="H4254" t="str">
        <f>"אלתא מערכות בע""מ"</f>
        <v>אלתא מערכות בע"מ</v>
      </c>
      <c r="I4254" t="str">
        <f>"10"</f>
        <v>10</v>
      </c>
      <c r="J4254" t="str">
        <f>"000"</f>
        <v>000</v>
      </c>
      <c r="K4254" t="str">
        <f>"הכנת ג'יג עומסים"</f>
        <v>הכנת ג'יג עומסים</v>
      </c>
      <c r="L4254">
        <v>1</v>
      </c>
      <c r="M4254" t="str">
        <f>"יח"</f>
        <v>יח</v>
      </c>
      <c r="N4254">
        <v>1</v>
      </c>
      <c r="O4254" t="str">
        <f>"יח"</f>
        <v>יח</v>
      </c>
      <c r="P4254" s="2">
        <v>2500</v>
      </c>
      <c r="Q4254" t="str">
        <f>"$"</f>
        <v>$</v>
      </c>
      <c r="R4254" t="str">
        <f>"הזמנה"</f>
        <v>הזמנה</v>
      </c>
      <c r="S4254">
        <v>0</v>
      </c>
      <c r="T4254" s="2">
        <v>2500</v>
      </c>
      <c r="U4254">
        <v>0</v>
      </c>
      <c r="V4254" s="2">
        <v>2500</v>
      </c>
      <c r="W4254" t="str">
        <f>"$"</f>
        <v>$</v>
      </c>
      <c r="X4254">
        <v>0</v>
      </c>
      <c r="Y4254">
        <v>0</v>
      </c>
      <c r="Z4254">
        <v>0</v>
      </c>
      <c r="AA4254" t="str">
        <f>"Y"</f>
        <v>Y</v>
      </c>
      <c r="AB4254" t="str">
        <f>"SO160000532"</f>
        <v>SO160000532</v>
      </c>
      <c r="AC4254">
        <v>3</v>
      </c>
      <c r="AD4254" s="1">
        <v>42569</v>
      </c>
      <c r="AM4254" t="str">
        <f>"10"</f>
        <v>10</v>
      </c>
      <c r="AN4254" t="str">
        <f>"500000"</f>
        <v>500000</v>
      </c>
      <c r="AO4254" t="str">
        <f>"הכנסות  מלקוחות"</f>
        <v>הכנסות  מלקוחות</v>
      </c>
      <c r="AQ4254" t="str">
        <f>"007"</f>
        <v>007</v>
      </c>
      <c r="AR4254">
        <v>0</v>
      </c>
      <c r="AS4254">
        <v>0</v>
      </c>
      <c r="AT4254">
        <v>3.4990000000000001</v>
      </c>
      <c r="AX4254" t="str">
        <f>"E000220099"</f>
        <v>E000220099</v>
      </c>
      <c r="BD4254" t="str">
        <f>"רוני דידי"</f>
        <v>רוני דידי</v>
      </c>
    </row>
    <row r="4255" spans="1:56" x14ac:dyDescent="0.3">
      <c r="A4255" s="1">
        <v>43089</v>
      </c>
      <c r="B4255" t="str">
        <f>"SI176001940"</f>
        <v>SI176001940</v>
      </c>
      <c r="C4255" t="str">
        <f>"PR12000118"</f>
        <v>PR12000118</v>
      </c>
      <c r="E4255" t="str">
        <f>"Y"</f>
        <v>Y</v>
      </c>
      <c r="F4255" t="str">
        <f>"חשבוניות מרכזות"</f>
        <v>חשבוניות מרכזות</v>
      </c>
      <c r="G4255" t="str">
        <f>"700065"</f>
        <v>700065</v>
      </c>
      <c r="H4255" t="str">
        <f>"אלתא מערכות בע""מ"</f>
        <v>אלתא מערכות בע"מ</v>
      </c>
      <c r="I4255" t="str">
        <f>"10"</f>
        <v>10</v>
      </c>
      <c r="J4255" t="str">
        <f>"999"</f>
        <v>999</v>
      </c>
      <c r="K4255" t="str">
        <f>"שינויים במכלולים להז' E00093662"</f>
        <v>שינויים במכלולים להז' E00093662</v>
      </c>
      <c r="L4255">
        <v>-0.66</v>
      </c>
      <c r="M4255" t="str">
        <f>"חל"</f>
        <v>חל</v>
      </c>
      <c r="N4255">
        <v>-0.66</v>
      </c>
      <c r="O4255" t="str">
        <f>"חל"</f>
        <v>חל</v>
      </c>
      <c r="P4255" s="2">
        <v>69419</v>
      </c>
      <c r="Q4255" t="str">
        <f>"$"</f>
        <v>$</v>
      </c>
      <c r="R4255" t="str">
        <f>"הזמנה"</f>
        <v>הזמנה</v>
      </c>
      <c r="S4255">
        <v>0</v>
      </c>
      <c r="T4255" s="2">
        <v>-45816.54</v>
      </c>
      <c r="U4255">
        <v>0</v>
      </c>
      <c r="V4255" s="2">
        <v>-45816.54</v>
      </c>
      <c r="W4255" t="str">
        <f>"$"</f>
        <v>$</v>
      </c>
      <c r="X4255">
        <v>0</v>
      </c>
      <c r="Y4255">
        <v>0</v>
      </c>
      <c r="Z4255">
        <v>0</v>
      </c>
      <c r="AC4255">
        <v>0</v>
      </c>
      <c r="AM4255" t="str">
        <f>"10"</f>
        <v>10</v>
      </c>
      <c r="AN4255" t="str">
        <f>"500001"</f>
        <v>500001</v>
      </c>
      <c r="AO4255" t="str">
        <f>"הכנסות פטורות מע""מ"</f>
        <v>הכנסות פטורות מע"מ</v>
      </c>
      <c r="AQ4255" t="str">
        <f>"007"</f>
        <v>007</v>
      </c>
      <c r="AR4255">
        <v>0</v>
      </c>
      <c r="AS4255">
        <v>0</v>
      </c>
      <c r="AT4255">
        <v>3.4980000000000002</v>
      </c>
      <c r="BB4255" t="str">
        <f>"Y"</f>
        <v>Y</v>
      </c>
      <c r="BD4255" t="str">
        <f>"רוני דידי"</f>
        <v>רוני דידי</v>
      </c>
    </row>
    <row r="4256" spans="1:56" x14ac:dyDescent="0.3">
      <c r="A4256" s="1">
        <v>43089</v>
      </c>
      <c r="B4256" t="str">
        <f>"SI176001939"</f>
        <v>SI176001939</v>
      </c>
      <c r="C4256" t="str">
        <f>"PR12000118"</f>
        <v>PR12000118</v>
      </c>
      <c r="E4256" t="str">
        <f>"Y"</f>
        <v>Y</v>
      </c>
      <c r="F4256" t="str">
        <f>"חשבוניות מרכזות"</f>
        <v>חשבוניות מרכזות</v>
      </c>
      <c r="G4256" t="str">
        <f>"700065"</f>
        <v>700065</v>
      </c>
      <c r="H4256" t="str">
        <f>"אלתא מערכות בע""מ"</f>
        <v>אלתא מערכות בע"מ</v>
      </c>
      <c r="I4256" t="str">
        <f>"10"</f>
        <v>10</v>
      </c>
      <c r="J4256" t="str">
        <f>"999"</f>
        <v>999</v>
      </c>
      <c r="K4256" t="str">
        <f>"שינויים במכלולים להז' E00093662"</f>
        <v>שינויים במכלולים להז' E00093662</v>
      </c>
      <c r="L4256">
        <v>0.66</v>
      </c>
      <c r="M4256" t="str">
        <f>"חל"</f>
        <v>חל</v>
      </c>
      <c r="N4256">
        <v>0.66</v>
      </c>
      <c r="O4256" t="str">
        <f>"חל"</f>
        <v>חל</v>
      </c>
      <c r="P4256" s="2">
        <v>69419</v>
      </c>
      <c r="Q4256" t="str">
        <f>"$"</f>
        <v>$</v>
      </c>
      <c r="R4256" t="str">
        <f>"הזמנה"</f>
        <v>הזמנה</v>
      </c>
      <c r="S4256">
        <v>0</v>
      </c>
      <c r="T4256" s="2">
        <v>45816.54</v>
      </c>
      <c r="U4256">
        <v>0</v>
      </c>
      <c r="V4256" s="2">
        <v>45816.54</v>
      </c>
      <c r="W4256" t="str">
        <f>"$"</f>
        <v>$</v>
      </c>
      <c r="X4256">
        <v>0</v>
      </c>
      <c r="Y4256">
        <v>0</v>
      </c>
      <c r="Z4256">
        <v>0</v>
      </c>
      <c r="AC4256">
        <v>0</v>
      </c>
      <c r="AM4256" t="str">
        <f>"10"</f>
        <v>10</v>
      </c>
      <c r="AN4256" t="str">
        <f>"500001"</f>
        <v>500001</v>
      </c>
      <c r="AO4256" t="str">
        <f>"הכנסות פטורות מע""מ"</f>
        <v>הכנסות פטורות מע"מ</v>
      </c>
      <c r="AQ4256" t="str">
        <f>"007"</f>
        <v>007</v>
      </c>
      <c r="AR4256">
        <v>0</v>
      </c>
      <c r="AS4256">
        <v>0</v>
      </c>
      <c r="AT4256">
        <v>3.4980000000000002</v>
      </c>
      <c r="BB4256" t="str">
        <f>"Y"</f>
        <v>Y</v>
      </c>
      <c r="BD4256" t="str">
        <f>"רוני דידי"</f>
        <v>רוני דידי</v>
      </c>
    </row>
    <row r="4257" spans="1:56" x14ac:dyDescent="0.3">
      <c r="A4257" s="1">
        <v>43087</v>
      </c>
      <c r="B4257" t="str">
        <f>"SI176001932"</f>
        <v>SI176001932</v>
      </c>
      <c r="C4257" t="str">
        <f>"PR17002216"</f>
        <v>PR17002216</v>
      </c>
      <c r="D4257" t="str">
        <f>"PR17002216"</f>
        <v>PR17002216</v>
      </c>
      <c r="E4257" t="str">
        <f>"Y"</f>
        <v>Y</v>
      </c>
      <c r="F4257" t="str">
        <f>"חשבוניות מרכזות"</f>
        <v>חשבוניות מרכזות</v>
      </c>
      <c r="G4257" t="str">
        <f>"700065"</f>
        <v>700065</v>
      </c>
      <c r="H4257" t="str">
        <f>"אלתא מערכות בע""מ"</f>
        <v>אלתא מערכות בע"מ</v>
      </c>
      <c r="I4257" t="str">
        <f>"10"</f>
        <v>10</v>
      </c>
      <c r="J4257" t="str">
        <f>"000"</f>
        <v>000</v>
      </c>
      <c r="K4257" t="str">
        <f>"NRE"</f>
        <v>NRE</v>
      </c>
      <c r="L4257">
        <v>1</v>
      </c>
      <c r="M4257" t="str">
        <f>"יח"</f>
        <v>יח</v>
      </c>
      <c r="N4257">
        <v>1</v>
      </c>
      <c r="O4257" t="str">
        <f>"יח"</f>
        <v>יח</v>
      </c>
      <c r="P4257" s="2">
        <v>2000</v>
      </c>
      <c r="Q4257" t="str">
        <f>"$"</f>
        <v>$</v>
      </c>
      <c r="R4257" t="str">
        <f>"הזמנה"</f>
        <v>הזמנה</v>
      </c>
      <c r="S4257">
        <v>0</v>
      </c>
      <c r="T4257" s="2">
        <v>2000</v>
      </c>
      <c r="U4257">
        <v>0</v>
      </c>
      <c r="V4257" s="2">
        <v>2000</v>
      </c>
      <c r="W4257" t="str">
        <f>"$"</f>
        <v>$</v>
      </c>
      <c r="X4257">
        <v>0</v>
      </c>
      <c r="Y4257">
        <v>0</v>
      </c>
      <c r="Z4257">
        <v>0</v>
      </c>
      <c r="AA4257" t="str">
        <f>"Y"</f>
        <v>Y</v>
      </c>
      <c r="AB4257" t="str">
        <f>"SO17000778"</f>
        <v>SO17000778</v>
      </c>
      <c r="AC4257">
        <v>1</v>
      </c>
      <c r="AD4257" s="1">
        <v>43075</v>
      </c>
      <c r="AM4257" t="str">
        <f>"10"</f>
        <v>10</v>
      </c>
      <c r="AN4257" t="str">
        <f>"500000"</f>
        <v>500000</v>
      </c>
      <c r="AO4257" t="str">
        <f>"הכנסות  מלקוחות"</f>
        <v>הכנסות  מלקוחות</v>
      </c>
      <c r="AQ4257" t="str">
        <f>"007"</f>
        <v>007</v>
      </c>
      <c r="AR4257">
        <v>0</v>
      </c>
      <c r="AS4257">
        <v>0</v>
      </c>
      <c r="AT4257">
        <v>3.5129999999999999</v>
      </c>
      <c r="AX4257" t="str">
        <f>"E000251472"</f>
        <v>E000251472</v>
      </c>
      <c r="BD4257" t="str">
        <f>"רוני דידי"</f>
        <v>רוני דידי</v>
      </c>
    </row>
    <row r="4258" spans="1:56" x14ac:dyDescent="0.3">
      <c r="A4258" s="1">
        <v>43087</v>
      </c>
      <c r="B4258" t="str">
        <f>"SI176001931"</f>
        <v>SI176001931</v>
      </c>
      <c r="C4258" t="str">
        <f>"PR16000867"</f>
        <v>PR16000867</v>
      </c>
      <c r="D4258" t="str">
        <f>"PR16000867"</f>
        <v>PR16000867</v>
      </c>
      <c r="E4258" t="str">
        <f>"Y"</f>
        <v>Y</v>
      </c>
      <c r="F4258" t="str">
        <f>"חשבוניות מרכזות"</f>
        <v>חשבוניות מרכזות</v>
      </c>
      <c r="G4258" t="str">
        <f>"700065"</f>
        <v>700065</v>
      </c>
      <c r="H4258" t="str">
        <f>"אלתא מערכות בע""מ"</f>
        <v>אלתא מערכות בע"מ</v>
      </c>
      <c r="I4258" t="str">
        <f>"10"</f>
        <v>10</v>
      </c>
      <c r="J4258" t="str">
        <f>"000"</f>
        <v>000</v>
      </c>
      <c r="K4258" t="str">
        <f>"NRE 1037 עבור 840-001"</f>
        <v>NRE 1037 עבור 840-001</v>
      </c>
      <c r="L4258">
        <v>1</v>
      </c>
      <c r="M4258" t="str">
        <f>"יח"</f>
        <v>יח</v>
      </c>
      <c r="N4258">
        <v>1</v>
      </c>
      <c r="O4258" t="str">
        <f>"יח"</f>
        <v>יח</v>
      </c>
      <c r="P4258" s="2">
        <v>2900</v>
      </c>
      <c r="Q4258" t="str">
        <f>"$"</f>
        <v>$</v>
      </c>
      <c r="R4258" t="str">
        <f>"הזמנה"</f>
        <v>הזמנה</v>
      </c>
      <c r="S4258">
        <v>0</v>
      </c>
      <c r="T4258" s="2">
        <v>2900</v>
      </c>
      <c r="U4258">
        <v>0</v>
      </c>
      <c r="V4258" s="2">
        <v>2900</v>
      </c>
      <c r="W4258" t="str">
        <f>"$"</f>
        <v>$</v>
      </c>
      <c r="X4258">
        <v>0</v>
      </c>
      <c r="Y4258">
        <v>0</v>
      </c>
      <c r="Z4258">
        <v>0</v>
      </c>
      <c r="AA4258" t="str">
        <f>"Y"</f>
        <v>Y</v>
      </c>
      <c r="AB4258" t="str">
        <f>"SO160000648"</f>
        <v>SO160000648</v>
      </c>
      <c r="AC4258">
        <v>5</v>
      </c>
      <c r="AD4258" s="1">
        <v>42618</v>
      </c>
      <c r="AM4258" t="str">
        <f>"10"</f>
        <v>10</v>
      </c>
      <c r="AN4258" t="str">
        <f>"500000"</f>
        <v>500000</v>
      </c>
      <c r="AO4258" t="str">
        <f>"הכנסות  מלקוחות"</f>
        <v>הכנסות  מלקוחות</v>
      </c>
      <c r="AQ4258" t="str">
        <f>"007"</f>
        <v>007</v>
      </c>
      <c r="AR4258">
        <v>0</v>
      </c>
      <c r="AS4258">
        <v>0</v>
      </c>
      <c r="AT4258">
        <v>3.5129999999999999</v>
      </c>
      <c r="AX4258" t="str">
        <f>"E000224314"</f>
        <v>E000224314</v>
      </c>
      <c r="BD4258" t="str">
        <f>"רוני דידי"</f>
        <v>רוני דידי</v>
      </c>
    </row>
    <row r="4259" spans="1:56" x14ac:dyDescent="0.3">
      <c r="A4259" s="1">
        <v>43087</v>
      </c>
      <c r="B4259" t="str">
        <f>"SI176001929"</f>
        <v>SI176001929</v>
      </c>
      <c r="C4259" t="str">
        <f>"PR16000468"</f>
        <v>PR16000468</v>
      </c>
      <c r="D4259" t="str">
        <f>"PR16000468"</f>
        <v>PR16000468</v>
      </c>
      <c r="E4259" t="str">
        <f>"Y"</f>
        <v>Y</v>
      </c>
      <c r="F4259" t="str">
        <f>"חשבוניות מרכזות"</f>
        <v>חשבוניות מרכזות</v>
      </c>
      <c r="G4259" t="str">
        <f>"700065"</f>
        <v>700065</v>
      </c>
      <c r="H4259" t="str">
        <f>"אלתא מערכות בע""מ"</f>
        <v>אלתא מערכות בע"מ</v>
      </c>
      <c r="I4259" t="str">
        <f>"10"</f>
        <v>10</v>
      </c>
      <c r="J4259" t="str">
        <f>"000"</f>
        <v>000</v>
      </c>
      <c r="K4259" t="str">
        <f>"NRE"</f>
        <v>NRE</v>
      </c>
      <c r="L4259">
        <v>1</v>
      </c>
      <c r="M4259" t="str">
        <f>"יח"</f>
        <v>יח</v>
      </c>
      <c r="N4259">
        <v>1</v>
      </c>
      <c r="O4259" t="str">
        <f>"יח"</f>
        <v>יח</v>
      </c>
      <c r="P4259" s="2">
        <v>6600</v>
      </c>
      <c r="Q4259" t="str">
        <f>"$"</f>
        <v>$</v>
      </c>
      <c r="R4259" t="str">
        <f>"הזמנה"</f>
        <v>הזמנה</v>
      </c>
      <c r="S4259">
        <v>0</v>
      </c>
      <c r="T4259" s="2">
        <v>6600</v>
      </c>
      <c r="U4259">
        <v>0</v>
      </c>
      <c r="V4259" s="2">
        <v>6600</v>
      </c>
      <c r="W4259" t="str">
        <f>"$"</f>
        <v>$</v>
      </c>
      <c r="X4259">
        <v>0</v>
      </c>
      <c r="Y4259">
        <v>0</v>
      </c>
      <c r="Z4259">
        <v>0</v>
      </c>
      <c r="AA4259" t="str">
        <f>"Y"</f>
        <v>Y</v>
      </c>
      <c r="AB4259" t="str">
        <f>"SO160000338"</f>
        <v>SO160000338</v>
      </c>
      <c r="AC4259">
        <v>2</v>
      </c>
      <c r="AD4259" s="1">
        <v>42505</v>
      </c>
      <c r="AM4259" t="str">
        <f>"10"</f>
        <v>10</v>
      </c>
      <c r="AN4259" t="str">
        <f>"500000"</f>
        <v>500000</v>
      </c>
      <c r="AO4259" t="str">
        <f>"הכנסות  מלקוחות"</f>
        <v>הכנסות  מלקוחות</v>
      </c>
      <c r="AQ4259" t="str">
        <f>"007"</f>
        <v>007</v>
      </c>
      <c r="AR4259">
        <v>0</v>
      </c>
      <c r="AS4259">
        <v>0</v>
      </c>
      <c r="AT4259">
        <v>3.5230000000000001</v>
      </c>
      <c r="AX4259" t="str">
        <f>"E000218110"</f>
        <v>E000218110</v>
      </c>
      <c r="BD4259" t="str">
        <f>"רוני דידי"</f>
        <v>רוני דידי</v>
      </c>
    </row>
    <row r="4260" spans="1:56" x14ac:dyDescent="0.3">
      <c r="A4260" s="1">
        <v>43086</v>
      </c>
      <c r="B4260" t="str">
        <f>"SI176001924"</f>
        <v>SI176001924</v>
      </c>
      <c r="C4260" t="str">
        <f>"PR17001701"</f>
        <v>PR17001701</v>
      </c>
      <c r="E4260" t="str">
        <f>"Y"</f>
        <v>Y</v>
      </c>
      <c r="F4260" t="str">
        <f>"חשבוניות מרכזות"</f>
        <v>חשבוניות מרכזות</v>
      </c>
      <c r="G4260" t="str">
        <f>"700065"</f>
        <v>700065</v>
      </c>
      <c r="H4260" t="str">
        <f>"אלתא מערכות בע""מ"</f>
        <v>אלתא מערכות בע"מ</v>
      </c>
      <c r="I4260" t="str">
        <f>"10"</f>
        <v>10</v>
      </c>
      <c r="J4260" t="str">
        <f>"OP-AR00540"</f>
        <v>OP-AR00540</v>
      </c>
      <c r="K4260" t="str">
        <f>"רתמה 1032H441-002"</f>
        <v>רתמה 1032H441-002</v>
      </c>
      <c r="L4260">
        <v>5</v>
      </c>
      <c r="M4260" t="str">
        <f>"יח"</f>
        <v>יח</v>
      </c>
      <c r="N4260">
        <v>5</v>
      </c>
      <c r="O4260" t="str">
        <f>"יח"</f>
        <v>יח</v>
      </c>
      <c r="P4260">
        <v>550</v>
      </c>
      <c r="Q4260" t="str">
        <f>"$"</f>
        <v>$</v>
      </c>
      <c r="R4260" t="str">
        <f>"הזמנה"</f>
        <v>הזמנה</v>
      </c>
      <c r="S4260">
        <v>0</v>
      </c>
      <c r="T4260" s="2">
        <v>2750</v>
      </c>
      <c r="U4260">
        <v>0</v>
      </c>
      <c r="V4260" s="2">
        <v>2750</v>
      </c>
      <c r="W4260" t="str">
        <f>"$"</f>
        <v>$</v>
      </c>
      <c r="X4260">
        <v>0</v>
      </c>
      <c r="Y4260">
        <v>0</v>
      </c>
      <c r="Z4260">
        <v>0</v>
      </c>
      <c r="AA4260" t="str">
        <f>"Y"</f>
        <v>Y</v>
      </c>
      <c r="AB4260" t="str">
        <f>"SO17000346"</f>
        <v>SO17000346</v>
      </c>
      <c r="AC4260">
        <v>9</v>
      </c>
      <c r="AD4260" s="1">
        <v>42877</v>
      </c>
      <c r="AE4260" t="str">
        <f>"SH17003217"</f>
        <v>SH17003217</v>
      </c>
      <c r="AF4260" t="str">
        <f>"משלוחים ללקוח"</f>
        <v>משלוחים ללקוח</v>
      </c>
      <c r="AG4260" s="1">
        <v>43086</v>
      </c>
      <c r="AM4260" t="str">
        <f>"10"</f>
        <v>10</v>
      </c>
      <c r="AN4260" t="str">
        <f>"500000"</f>
        <v>500000</v>
      </c>
      <c r="AO4260" t="str">
        <f>"הכנסות  מלקוחות"</f>
        <v>הכנסות  מלקוחות</v>
      </c>
      <c r="AQ4260" t="str">
        <f>"004"</f>
        <v>004</v>
      </c>
      <c r="AR4260">
        <v>0</v>
      </c>
      <c r="AS4260">
        <v>0</v>
      </c>
      <c r="AT4260">
        <v>3.5230000000000001</v>
      </c>
      <c r="AX4260" t="str">
        <f>"E000235802"</f>
        <v>E000235802</v>
      </c>
      <c r="BD4260" t="str">
        <f>"איציק חדד"</f>
        <v>איציק חדד</v>
      </c>
    </row>
    <row r="4261" spans="1:56" x14ac:dyDescent="0.3">
      <c r="A4261" s="1">
        <v>43082</v>
      </c>
      <c r="B4261" t="str">
        <f>"SI176001941"</f>
        <v>SI176001941</v>
      </c>
      <c r="C4261" t="str">
        <f>"PR12000118"</f>
        <v>PR12000118</v>
      </c>
      <c r="E4261" t="str">
        <f>"Y"</f>
        <v>Y</v>
      </c>
      <c r="F4261" t="str">
        <f>"חשבוניות מרכזות"</f>
        <v>חשבוניות מרכזות</v>
      </c>
      <c r="G4261" t="str">
        <f>"700065"</f>
        <v>700065</v>
      </c>
      <c r="H4261" t="str">
        <f>"אלתא מערכות בע""מ"</f>
        <v>אלתא מערכות בע"מ</v>
      </c>
      <c r="I4261" t="str">
        <f>"10"</f>
        <v>10</v>
      </c>
      <c r="J4261" t="str">
        <f>"999"</f>
        <v>999</v>
      </c>
      <c r="K4261" t="str">
        <f>"שינויים במכלולים להז' E00093662"</f>
        <v>שינויים במכלולים להז' E00093662</v>
      </c>
      <c r="L4261">
        <v>0.66</v>
      </c>
      <c r="M4261" t="str">
        <f>"חל"</f>
        <v>חל</v>
      </c>
      <c r="N4261">
        <v>0.66</v>
      </c>
      <c r="O4261" t="str">
        <f>"חל"</f>
        <v>חל</v>
      </c>
      <c r="P4261" s="2">
        <v>69419</v>
      </c>
      <c r="Q4261" t="str">
        <f>"$"</f>
        <v>$</v>
      </c>
      <c r="R4261" t="str">
        <f>"הזמנה"</f>
        <v>הזמנה</v>
      </c>
      <c r="S4261">
        <v>0</v>
      </c>
      <c r="T4261" s="2">
        <v>45816.54</v>
      </c>
      <c r="U4261">
        <v>0</v>
      </c>
      <c r="V4261" s="2">
        <v>45816.54</v>
      </c>
      <c r="W4261" t="str">
        <f>"$"</f>
        <v>$</v>
      </c>
      <c r="X4261">
        <v>0</v>
      </c>
      <c r="Y4261">
        <v>0</v>
      </c>
      <c r="Z4261">
        <v>0</v>
      </c>
      <c r="AA4261" t="str">
        <f>"Y"</f>
        <v>Y</v>
      </c>
      <c r="AB4261" t="str">
        <f>"SO140001911"</f>
        <v>SO140001911</v>
      </c>
      <c r="AC4261">
        <v>2</v>
      </c>
      <c r="AD4261" s="1">
        <v>41758</v>
      </c>
      <c r="AM4261" t="str">
        <f>"10"</f>
        <v>10</v>
      </c>
      <c r="AN4261" t="str">
        <f>"500000"</f>
        <v>500000</v>
      </c>
      <c r="AO4261" t="str">
        <f>"הכנסות  מלקוחות"</f>
        <v>הכנסות  מלקוחות</v>
      </c>
      <c r="AQ4261" t="str">
        <f>"007"</f>
        <v>007</v>
      </c>
      <c r="AR4261">
        <v>0</v>
      </c>
      <c r="AS4261">
        <v>0</v>
      </c>
      <c r="AT4261">
        <v>3.55</v>
      </c>
      <c r="AX4261" t="str">
        <f>"E000172960"</f>
        <v>E000172960</v>
      </c>
      <c r="BD4261" t="str">
        <f>"רוני דידי"</f>
        <v>רוני דידי</v>
      </c>
    </row>
    <row r="4262" spans="1:56" x14ac:dyDescent="0.3">
      <c r="A4262" s="1">
        <v>43079</v>
      </c>
      <c r="B4262" t="str">
        <f>"SI176001882"</f>
        <v>SI176001882</v>
      </c>
      <c r="C4262" t="str">
        <f>"PR17002216"</f>
        <v>PR17002216</v>
      </c>
      <c r="D4262" t="str">
        <f>"PR17002216"</f>
        <v>PR17002216</v>
      </c>
      <c r="E4262" t="str">
        <f>"Y"</f>
        <v>Y</v>
      </c>
      <c r="F4262" t="str">
        <f>"חשבוניות מרכזות"</f>
        <v>חשבוניות מרכזות</v>
      </c>
      <c r="G4262" t="str">
        <f>"700065"</f>
        <v>700065</v>
      </c>
      <c r="H4262" t="str">
        <f>"אלתא מערכות בע""מ"</f>
        <v>אלתא מערכות בע"מ</v>
      </c>
      <c r="I4262" t="str">
        <f>"10"</f>
        <v>10</v>
      </c>
      <c r="J4262" t="str">
        <f>"000"</f>
        <v>000</v>
      </c>
      <c r="K4262" t="str">
        <f>"Lenovo TP P51 E3-1535M\64GB-240"</f>
        <v>Lenovo TP P51 E3-1535M\64GB-240</v>
      </c>
      <c r="L4262">
        <v>1</v>
      </c>
      <c r="M4262" t="str">
        <f>"יח"</f>
        <v>יח</v>
      </c>
      <c r="N4262">
        <v>1</v>
      </c>
      <c r="O4262" t="str">
        <f>"יח"</f>
        <v>יח</v>
      </c>
      <c r="P4262" s="2">
        <v>4348</v>
      </c>
      <c r="Q4262" t="str">
        <f>"$"</f>
        <v>$</v>
      </c>
      <c r="R4262" t="str">
        <f>"הזמנה"</f>
        <v>הזמנה</v>
      </c>
      <c r="S4262">
        <v>0</v>
      </c>
      <c r="T4262" s="2">
        <v>4348</v>
      </c>
      <c r="U4262">
        <v>0</v>
      </c>
      <c r="V4262" s="2">
        <v>4348</v>
      </c>
      <c r="W4262" t="str">
        <f>"$"</f>
        <v>$</v>
      </c>
      <c r="X4262">
        <v>0</v>
      </c>
      <c r="Y4262">
        <v>0</v>
      </c>
      <c r="Z4262">
        <v>0</v>
      </c>
      <c r="AA4262" t="str">
        <f>"Y"</f>
        <v>Y</v>
      </c>
      <c r="AB4262" t="str">
        <f>"SO17000778"</f>
        <v>SO17000778</v>
      </c>
      <c r="AC4262">
        <v>3</v>
      </c>
      <c r="AD4262" s="1">
        <v>43075</v>
      </c>
      <c r="AE4262" t="str">
        <f>"SH17003134"</f>
        <v>SH17003134</v>
      </c>
      <c r="AF4262" t="str">
        <f>"משלוחים ללקוח"</f>
        <v>משלוחים ללקוח</v>
      </c>
      <c r="AG4262" s="1">
        <v>43076</v>
      </c>
      <c r="AM4262" t="str">
        <f>"10"</f>
        <v>10</v>
      </c>
      <c r="AN4262" t="str">
        <f>"500000"</f>
        <v>500000</v>
      </c>
      <c r="AO4262" t="str">
        <f>"הכנסות  מלקוחות"</f>
        <v>הכנסות  מלקוחות</v>
      </c>
      <c r="AQ4262" t="str">
        <f>"007"</f>
        <v>007</v>
      </c>
      <c r="AR4262">
        <v>0</v>
      </c>
      <c r="AS4262">
        <v>0</v>
      </c>
      <c r="AT4262">
        <v>3.5209999999999999</v>
      </c>
      <c r="AX4262" t="str">
        <f>"E000251472"</f>
        <v>E000251472</v>
      </c>
      <c r="BD4262" t="str">
        <f>"רוני דידי"</f>
        <v>רוני דידי</v>
      </c>
    </row>
    <row r="4263" spans="1:56" x14ac:dyDescent="0.3">
      <c r="A4263" s="1">
        <v>43079</v>
      </c>
      <c r="B4263" t="str">
        <f>"SI176001882"</f>
        <v>SI176001882</v>
      </c>
      <c r="C4263" t="str">
        <f>"PR17002216"</f>
        <v>PR17002216</v>
      </c>
      <c r="D4263" t="str">
        <f>"PR17002216"</f>
        <v>PR17002216</v>
      </c>
      <c r="E4263" t="str">
        <f>"Y"</f>
        <v>Y</v>
      </c>
      <c r="F4263" t="str">
        <f>"חשבוניות מרכזות"</f>
        <v>חשבוניות מרכזות</v>
      </c>
      <c r="G4263" t="str">
        <f>"700065"</f>
        <v>700065</v>
      </c>
      <c r="H4263" t="str">
        <f>"אלתא מערכות בע""מ"</f>
        <v>אלתא מערכות בע"מ</v>
      </c>
      <c r="I4263" t="str">
        <f>"10"</f>
        <v>10</v>
      </c>
      <c r="J4263" t="str">
        <f>"000"</f>
        <v>000</v>
      </c>
      <c r="K4263" t="str">
        <f>"NR DV 26 digital video recording system"</f>
        <v>NR DV 26 digital video recording system</v>
      </c>
      <c r="L4263">
        <v>1</v>
      </c>
      <c r="M4263" t="str">
        <f>"יח"</f>
        <v>יח</v>
      </c>
      <c r="N4263">
        <v>1</v>
      </c>
      <c r="O4263" t="str">
        <f>"יח"</f>
        <v>יח</v>
      </c>
      <c r="P4263" s="2">
        <v>15440</v>
      </c>
      <c r="Q4263" t="str">
        <f>"$"</f>
        <v>$</v>
      </c>
      <c r="R4263" t="str">
        <f>"הזמנה"</f>
        <v>הזמנה</v>
      </c>
      <c r="S4263">
        <v>0</v>
      </c>
      <c r="T4263" s="2">
        <v>15440</v>
      </c>
      <c r="U4263">
        <v>0</v>
      </c>
      <c r="V4263" s="2">
        <v>15440</v>
      </c>
      <c r="W4263" t="str">
        <f>"$"</f>
        <v>$</v>
      </c>
      <c r="X4263">
        <v>0</v>
      </c>
      <c r="Y4263">
        <v>0</v>
      </c>
      <c r="Z4263">
        <v>0</v>
      </c>
      <c r="AA4263" t="str">
        <f>"Y"</f>
        <v>Y</v>
      </c>
      <c r="AB4263" t="str">
        <f>"SO17000778"</f>
        <v>SO17000778</v>
      </c>
      <c r="AC4263">
        <v>4</v>
      </c>
      <c r="AD4263" s="1">
        <v>43075</v>
      </c>
      <c r="AE4263" t="str">
        <f>"SH17003134"</f>
        <v>SH17003134</v>
      </c>
      <c r="AF4263" t="str">
        <f>"משלוחים ללקוח"</f>
        <v>משלוחים ללקוח</v>
      </c>
      <c r="AG4263" s="1">
        <v>43076</v>
      </c>
      <c r="AM4263" t="str">
        <f>"10"</f>
        <v>10</v>
      </c>
      <c r="AN4263" t="str">
        <f>"500000"</f>
        <v>500000</v>
      </c>
      <c r="AO4263" t="str">
        <f>"הכנסות  מלקוחות"</f>
        <v>הכנסות  מלקוחות</v>
      </c>
      <c r="AQ4263" t="str">
        <f>"007"</f>
        <v>007</v>
      </c>
      <c r="AR4263">
        <v>0</v>
      </c>
      <c r="AS4263">
        <v>0</v>
      </c>
      <c r="AT4263">
        <v>3.5209999999999999</v>
      </c>
      <c r="AX4263" t="str">
        <f>"E000251472"</f>
        <v>E000251472</v>
      </c>
      <c r="BD4263" t="str">
        <f>"רוני דידי"</f>
        <v>רוני דידי</v>
      </c>
    </row>
    <row r="4264" spans="1:56" x14ac:dyDescent="0.3">
      <c r="A4264" s="1">
        <v>43079</v>
      </c>
      <c r="B4264" t="str">
        <f>"SI176001882"</f>
        <v>SI176001882</v>
      </c>
      <c r="C4264" t="str">
        <f>"PR17002216"</f>
        <v>PR17002216</v>
      </c>
      <c r="D4264" t="str">
        <f>"PR17002216"</f>
        <v>PR17002216</v>
      </c>
      <c r="E4264" t="str">
        <f>"Y"</f>
        <v>Y</v>
      </c>
      <c r="F4264" t="str">
        <f>"חשבוניות מרכזות"</f>
        <v>חשבוניות מרכזות</v>
      </c>
      <c r="G4264" t="str">
        <f>"700065"</f>
        <v>700065</v>
      </c>
      <c r="H4264" t="str">
        <f>"אלתא מערכות בע""מ"</f>
        <v>אלתא מערכות בע"מ</v>
      </c>
      <c r="I4264" t="str">
        <f>"10"</f>
        <v>10</v>
      </c>
      <c r="J4264" t="str">
        <f>"OP-AR00782"</f>
        <v>OP-AR00782</v>
      </c>
      <c r="K4264" t="str">
        <f>"TRAIN POWER RACK"</f>
        <v>TRAIN POWER RACK</v>
      </c>
      <c r="L4264">
        <v>1</v>
      </c>
      <c r="M4264" t="str">
        <f>"יח"</f>
        <v>יח</v>
      </c>
      <c r="N4264">
        <v>1</v>
      </c>
      <c r="O4264" t="str">
        <f>"יח"</f>
        <v>יח</v>
      </c>
      <c r="P4264" s="2">
        <v>21802</v>
      </c>
      <c r="Q4264" t="str">
        <f>"$"</f>
        <v>$</v>
      </c>
      <c r="R4264" t="str">
        <f>"הזמנה"</f>
        <v>הזמנה</v>
      </c>
      <c r="S4264">
        <v>0</v>
      </c>
      <c r="T4264" s="2">
        <v>21802</v>
      </c>
      <c r="U4264">
        <v>0</v>
      </c>
      <c r="V4264" s="2">
        <v>21802</v>
      </c>
      <c r="W4264" t="str">
        <f>"$"</f>
        <v>$</v>
      </c>
      <c r="X4264">
        <v>0</v>
      </c>
      <c r="Y4264">
        <v>0</v>
      </c>
      <c r="Z4264">
        <v>0</v>
      </c>
      <c r="AA4264" t="str">
        <f>"Y"</f>
        <v>Y</v>
      </c>
      <c r="AB4264" t="str">
        <f>"SO17000778"</f>
        <v>SO17000778</v>
      </c>
      <c r="AC4264">
        <v>5</v>
      </c>
      <c r="AD4264" s="1">
        <v>43075</v>
      </c>
      <c r="AE4264" t="str">
        <f>"SH17003134"</f>
        <v>SH17003134</v>
      </c>
      <c r="AF4264" t="str">
        <f>"משלוחים ללקוח"</f>
        <v>משלוחים ללקוח</v>
      </c>
      <c r="AG4264" s="1">
        <v>43076</v>
      </c>
      <c r="AM4264" t="str">
        <f>"10"</f>
        <v>10</v>
      </c>
      <c r="AN4264" t="str">
        <f>"500000"</f>
        <v>500000</v>
      </c>
      <c r="AO4264" t="str">
        <f>"הכנסות  מלקוחות"</f>
        <v>הכנסות  מלקוחות</v>
      </c>
      <c r="AQ4264" t="str">
        <f>"007"</f>
        <v>007</v>
      </c>
      <c r="AR4264">
        <v>0</v>
      </c>
      <c r="AS4264">
        <v>0</v>
      </c>
      <c r="AT4264">
        <v>3.5209999999999999</v>
      </c>
      <c r="AX4264" t="str">
        <f>"E000251472"</f>
        <v>E000251472</v>
      </c>
      <c r="BD4264" t="str">
        <f>"רוני דידי"</f>
        <v>רוני דידי</v>
      </c>
    </row>
    <row r="4265" spans="1:56" x14ac:dyDescent="0.3">
      <c r="A4265" s="1">
        <v>43079</v>
      </c>
      <c r="B4265" t="str">
        <f>"SI176001882"</f>
        <v>SI176001882</v>
      </c>
      <c r="C4265" t="str">
        <f>"PR17002216"</f>
        <v>PR17002216</v>
      </c>
      <c r="D4265" t="str">
        <f>"PR17002216"</f>
        <v>PR17002216</v>
      </c>
      <c r="E4265" t="str">
        <f>"Y"</f>
        <v>Y</v>
      </c>
      <c r="F4265" t="str">
        <f>"חשבוניות מרכזות"</f>
        <v>חשבוניות מרכזות</v>
      </c>
      <c r="G4265" t="str">
        <f>"700065"</f>
        <v>700065</v>
      </c>
      <c r="H4265" t="str">
        <f>"אלתא מערכות בע""מ"</f>
        <v>אלתא מערכות בע"מ</v>
      </c>
      <c r="I4265" t="str">
        <f>"10"</f>
        <v>10</v>
      </c>
      <c r="J4265" t="str">
        <f>"OP-AR00820"</f>
        <v>OP-AR00820</v>
      </c>
      <c r="K4265" t="str">
        <f>"RF RACK לרכבת"</f>
        <v>RF RACK לרכבת</v>
      </c>
      <c r="L4265">
        <v>1</v>
      </c>
      <c r="M4265" t="str">
        <f>"יח"</f>
        <v>יח</v>
      </c>
      <c r="N4265">
        <v>1</v>
      </c>
      <c r="O4265" t="str">
        <f>"יח"</f>
        <v>יח</v>
      </c>
      <c r="P4265" s="2">
        <v>3950</v>
      </c>
      <c r="Q4265" t="str">
        <f>"$"</f>
        <v>$</v>
      </c>
      <c r="R4265" t="str">
        <f>"הזמנה"</f>
        <v>הזמנה</v>
      </c>
      <c r="S4265">
        <v>0</v>
      </c>
      <c r="T4265" s="2">
        <v>3950</v>
      </c>
      <c r="U4265">
        <v>0</v>
      </c>
      <c r="V4265" s="2">
        <v>3950</v>
      </c>
      <c r="W4265" t="str">
        <f>"$"</f>
        <v>$</v>
      </c>
      <c r="X4265">
        <v>0</v>
      </c>
      <c r="Y4265">
        <v>0</v>
      </c>
      <c r="Z4265">
        <v>0</v>
      </c>
      <c r="AA4265" t="str">
        <f>"Y"</f>
        <v>Y</v>
      </c>
      <c r="AB4265" t="str">
        <f>"SO17000778"</f>
        <v>SO17000778</v>
      </c>
      <c r="AC4265">
        <v>6</v>
      </c>
      <c r="AD4265" s="1">
        <v>43075</v>
      </c>
      <c r="AE4265" t="str">
        <f>"SH17003134"</f>
        <v>SH17003134</v>
      </c>
      <c r="AF4265" t="str">
        <f>"משלוחים ללקוח"</f>
        <v>משלוחים ללקוח</v>
      </c>
      <c r="AG4265" s="1">
        <v>43076</v>
      </c>
      <c r="AM4265" t="str">
        <f>"10"</f>
        <v>10</v>
      </c>
      <c r="AN4265" t="str">
        <f>"500000"</f>
        <v>500000</v>
      </c>
      <c r="AO4265" t="str">
        <f>"הכנסות  מלקוחות"</f>
        <v>הכנסות  מלקוחות</v>
      </c>
      <c r="AQ4265" t="str">
        <f>"007"</f>
        <v>007</v>
      </c>
      <c r="AR4265">
        <v>0</v>
      </c>
      <c r="AS4265">
        <v>0</v>
      </c>
      <c r="AT4265">
        <v>3.5209999999999999</v>
      </c>
      <c r="AX4265" t="str">
        <f>"E000251472"</f>
        <v>E000251472</v>
      </c>
      <c r="BD4265" t="str">
        <f>"רוני דידי"</f>
        <v>רוני דידי</v>
      </c>
    </row>
    <row r="4266" spans="1:56" x14ac:dyDescent="0.3">
      <c r="A4266" s="1">
        <v>43079</v>
      </c>
      <c r="B4266" t="str">
        <f>"SI176001882"</f>
        <v>SI176001882</v>
      </c>
      <c r="C4266" t="str">
        <f>"PR17002216"</f>
        <v>PR17002216</v>
      </c>
      <c r="D4266" t="str">
        <f>"PR17002216"</f>
        <v>PR17002216</v>
      </c>
      <c r="E4266" t="str">
        <f>"Y"</f>
        <v>Y</v>
      </c>
      <c r="F4266" t="str">
        <f>"חשבוניות מרכזות"</f>
        <v>חשבוניות מרכזות</v>
      </c>
      <c r="G4266" t="str">
        <f>"700065"</f>
        <v>700065</v>
      </c>
      <c r="H4266" t="str">
        <f>"אלתא מערכות בע""מ"</f>
        <v>אלתא מערכות בע"מ</v>
      </c>
      <c r="I4266" t="str">
        <f>"10"</f>
        <v>10</v>
      </c>
      <c r="J4266" t="str">
        <f>"OP-AR00825"</f>
        <v>OP-AR00825</v>
      </c>
      <c r="K4266" t="str">
        <f>"COMP RACK לרכבת"</f>
        <v>COMP RACK לרכבת</v>
      </c>
      <c r="L4266">
        <v>1</v>
      </c>
      <c r="M4266" t="str">
        <f>"יח"</f>
        <v>יח</v>
      </c>
      <c r="N4266">
        <v>1</v>
      </c>
      <c r="O4266" t="str">
        <f>"יח"</f>
        <v>יח</v>
      </c>
      <c r="P4266" s="2">
        <v>8900</v>
      </c>
      <c r="Q4266" t="str">
        <f>"$"</f>
        <v>$</v>
      </c>
      <c r="R4266" t="str">
        <f>"הזמנה"</f>
        <v>הזמנה</v>
      </c>
      <c r="S4266">
        <v>0</v>
      </c>
      <c r="T4266" s="2">
        <v>8900</v>
      </c>
      <c r="U4266">
        <v>0</v>
      </c>
      <c r="V4266" s="2">
        <v>8900</v>
      </c>
      <c r="W4266" t="str">
        <f>"$"</f>
        <v>$</v>
      </c>
      <c r="X4266">
        <v>0</v>
      </c>
      <c r="Y4266">
        <v>0</v>
      </c>
      <c r="Z4266">
        <v>0</v>
      </c>
      <c r="AA4266" t="str">
        <f>"Y"</f>
        <v>Y</v>
      </c>
      <c r="AB4266" t="str">
        <f>"SO17000778"</f>
        <v>SO17000778</v>
      </c>
      <c r="AC4266">
        <v>7</v>
      </c>
      <c r="AD4266" s="1">
        <v>43075</v>
      </c>
      <c r="AE4266" t="str">
        <f>"SH17003134"</f>
        <v>SH17003134</v>
      </c>
      <c r="AF4266" t="str">
        <f>"משלוחים ללקוח"</f>
        <v>משלוחים ללקוח</v>
      </c>
      <c r="AG4266" s="1">
        <v>43076</v>
      </c>
      <c r="AM4266" t="str">
        <f>"10"</f>
        <v>10</v>
      </c>
      <c r="AN4266" t="str">
        <f>"500000"</f>
        <v>500000</v>
      </c>
      <c r="AO4266" t="str">
        <f>"הכנסות  מלקוחות"</f>
        <v>הכנסות  מלקוחות</v>
      </c>
      <c r="AQ4266" t="str">
        <f>"007"</f>
        <v>007</v>
      </c>
      <c r="AR4266">
        <v>0</v>
      </c>
      <c r="AS4266">
        <v>0</v>
      </c>
      <c r="AT4266">
        <v>3.5209999999999999</v>
      </c>
      <c r="AX4266" t="str">
        <f>"E000251472"</f>
        <v>E000251472</v>
      </c>
      <c r="BD4266" t="str">
        <f>"רוני דידי"</f>
        <v>רוני דידי</v>
      </c>
    </row>
    <row r="4267" spans="1:56" x14ac:dyDescent="0.3">
      <c r="A4267" s="1">
        <v>43079</v>
      </c>
      <c r="B4267" t="str">
        <f>"SI176001882"</f>
        <v>SI176001882</v>
      </c>
      <c r="C4267" t="str">
        <f>"PR17002216"</f>
        <v>PR17002216</v>
      </c>
      <c r="D4267" t="str">
        <f>"PR17002216"</f>
        <v>PR17002216</v>
      </c>
      <c r="E4267" t="str">
        <f>"Y"</f>
        <v>Y</v>
      </c>
      <c r="F4267" t="str">
        <f>"חשבוניות מרכזות"</f>
        <v>חשבוניות מרכזות</v>
      </c>
      <c r="G4267" t="str">
        <f>"700065"</f>
        <v>700065</v>
      </c>
      <c r="H4267" t="str">
        <f>"אלתא מערכות בע""מ"</f>
        <v>אלתא מערכות בע"מ</v>
      </c>
      <c r="I4267" t="str">
        <f>"10"</f>
        <v>10</v>
      </c>
      <c r="J4267" t="str">
        <f>"OP-AR00815"</f>
        <v>OP-AR00815</v>
      </c>
      <c r="K4267" t="str">
        <f>"ציוד חיצוני לשרתים"</f>
        <v>ציוד חיצוני לשרתים</v>
      </c>
      <c r="L4267">
        <v>1</v>
      </c>
      <c r="M4267" t="str">
        <f>"יח"</f>
        <v>יח</v>
      </c>
      <c r="N4267">
        <v>1</v>
      </c>
      <c r="O4267" t="str">
        <f>"יח"</f>
        <v>יח</v>
      </c>
      <c r="P4267" s="2">
        <v>2450</v>
      </c>
      <c r="Q4267" t="str">
        <f>"$"</f>
        <v>$</v>
      </c>
      <c r="R4267" t="str">
        <f>"הזמנה"</f>
        <v>הזמנה</v>
      </c>
      <c r="S4267">
        <v>0</v>
      </c>
      <c r="T4267" s="2">
        <v>2450</v>
      </c>
      <c r="U4267">
        <v>0</v>
      </c>
      <c r="V4267" s="2">
        <v>2450</v>
      </c>
      <c r="W4267" t="str">
        <f>"$"</f>
        <v>$</v>
      </c>
      <c r="X4267">
        <v>0</v>
      </c>
      <c r="Y4267">
        <v>0</v>
      </c>
      <c r="Z4267">
        <v>0</v>
      </c>
      <c r="AA4267" t="str">
        <f>"Y"</f>
        <v>Y</v>
      </c>
      <c r="AB4267" t="str">
        <f>"SO17000778"</f>
        <v>SO17000778</v>
      </c>
      <c r="AC4267">
        <v>8</v>
      </c>
      <c r="AD4267" s="1">
        <v>43075</v>
      </c>
      <c r="AE4267" t="str">
        <f>"SH17003134"</f>
        <v>SH17003134</v>
      </c>
      <c r="AF4267" t="str">
        <f>"משלוחים ללקוח"</f>
        <v>משלוחים ללקוח</v>
      </c>
      <c r="AG4267" s="1">
        <v>43076</v>
      </c>
      <c r="AM4267" t="str">
        <f>"10"</f>
        <v>10</v>
      </c>
      <c r="AN4267" t="str">
        <f>"500000"</f>
        <v>500000</v>
      </c>
      <c r="AO4267" t="str">
        <f>"הכנסות  מלקוחות"</f>
        <v>הכנסות  מלקוחות</v>
      </c>
      <c r="AQ4267" t="str">
        <f>"007"</f>
        <v>007</v>
      </c>
      <c r="AR4267">
        <v>0</v>
      </c>
      <c r="AS4267">
        <v>0</v>
      </c>
      <c r="AT4267">
        <v>3.5209999999999999</v>
      </c>
      <c r="AX4267" t="str">
        <f>"E000251472"</f>
        <v>E000251472</v>
      </c>
      <c r="BD4267" t="str">
        <f>"רוני דידי"</f>
        <v>רוני דידי</v>
      </c>
    </row>
    <row r="4268" spans="1:56" x14ac:dyDescent="0.3">
      <c r="A4268" s="1">
        <v>43079</v>
      </c>
      <c r="B4268" t="str">
        <f>"SI176001882"</f>
        <v>SI176001882</v>
      </c>
      <c r="C4268" t="str">
        <f>"PR17002216"</f>
        <v>PR17002216</v>
      </c>
      <c r="D4268" t="str">
        <f>"PR17002216"</f>
        <v>PR17002216</v>
      </c>
      <c r="E4268" t="str">
        <f>"Y"</f>
        <v>Y</v>
      </c>
      <c r="F4268" t="str">
        <f>"חשבוניות מרכזות"</f>
        <v>חשבוניות מרכזות</v>
      </c>
      <c r="G4268" t="str">
        <f>"700065"</f>
        <v>700065</v>
      </c>
      <c r="H4268" t="str">
        <f>"אלתא מערכות בע""מ"</f>
        <v>אלתא מערכות בע"מ</v>
      </c>
      <c r="I4268" t="str">
        <f>"10"</f>
        <v>10</v>
      </c>
      <c r="J4268" t="str">
        <f>"OP-AR00826"</f>
        <v>OP-AR00826</v>
      </c>
      <c r="K4268" t="str">
        <f>"ספק כח DELTA מבוסס ספקי 230V"</f>
        <v>ספק כח DELTA מבוסס ספקי 230V</v>
      </c>
      <c r="L4268">
        <v>1</v>
      </c>
      <c r="M4268" t="str">
        <f>"יח"</f>
        <v>יח</v>
      </c>
      <c r="N4268">
        <v>1</v>
      </c>
      <c r="O4268" t="str">
        <f>"יח"</f>
        <v>יח</v>
      </c>
      <c r="P4268" s="2">
        <v>1550</v>
      </c>
      <c r="Q4268" t="str">
        <f>"$"</f>
        <v>$</v>
      </c>
      <c r="R4268" t="str">
        <f>"הזמנה"</f>
        <v>הזמנה</v>
      </c>
      <c r="S4268">
        <v>0</v>
      </c>
      <c r="T4268" s="2">
        <v>1550</v>
      </c>
      <c r="U4268">
        <v>0</v>
      </c>
      <c r="V4268" s="2">
        <v>1550</v>
      </c>
      <c r="W4268" t="str">
        <f>"$"</f>
        <v>$</v>
      </c>
      <c r="X4268">
        <v>0</v>
      </c>
      <c r="Y4268">
        <v>0</v>
      </c>
      <c r="Z4268">
        <v>0</v>
      </c>
      <c r="AA4268" t="str">
        <f>"Y"</f>
        <v>Y</v>
      </c>
      <c r="AB4268" t="str">
        <f>"SO17000778"</f>
        <v>SO17000778</v>
      </c>
      <c r="AC4268">
        <v>2</v>
      </c>
      <c r="AD4268" s="1">
        <v>43075</v>
      </c>
      <c r="AE4268" t="str">
        <f>"SH17003134"</f>
        <v>SH17003134</v>
      </c>
      <c r="AF4268" t="str">
        <f>"משלוחים ללקוח"</f>
        <v>משלוחים ללקוח</v>
      </c>
      <c r="AG4268" s="1">
        <v>43076</v>
      </c>
      <c r="AM4268" t="str">
        <f>"10"</f>
        <v>10</v>
      </c>
      <c r="AN4268" t="str">
        <f>"500000"</f>
        <v>500000</v>
      </c>
      <c r="AO4268" t="str">
        <f>"הכנסות  מלקוחות"</f>
        <v>הכנסות  מלקוחות</v>
      </c>
      <c r="AQ4268" t="str">
        <f>"007"</f>
        <v>007</v>
      </c>
      <c r="AR4268">
        <v>0</v>
      </c>
      <c r="AS4268">
        <v>0</v>
      </c>
      <c r="AT4268">
        <v>3.5209999999999999</v>
      </c>
      <c r="AX4268" t="str">
        <f>"E000251472"</f>
        <v>E000251472</v>
      </c>
      <c r="BD4268" t="str">
        <f>"רוני דידי"</f>
        <v>רוני דידי</v>
      </c>
    </row>
    <row r="4269" spans="1:56" x14ac:dyDescent="0.3">
      <c r="A4269" s="1">
        <v>43069</v>
      </c>
      <c r="B4269" t="str">
        <f>"SI176001823"</f>
        <v>SI176001823</v>
      </c>
      <c r="C4269" t="str">
        <f>"PR16000707"</f>
        <v>PR16000707</v>
      </c>
      <c r="D4269" t="str">
        <f>"PR16000707"</f>
        <v>PR16000707</v>
      </c>
      <c r="E4269" t="str">
        <f>"Y"</f>
        <v>Y</v>
      </c>
      <c r="F4269" t="str">
        <f>"חשבוניות מרכזות"</f>
        <v>חשבוניות מרכזות</v>
      </c>
      <c r="G4269" t="str">
        <f>"700065"</f>
        <v>700065</v>
      </c>
      <c r="H4269" t="str">
        <f>"אלתא מערכות בע""מ"</f>
        <v>אלתא מערכות בע"מ</v>
      </c>
      <c r="I4269" t="str">
        <f>"10"</f>
        <v>10</v>
      </c>
      <c r="J4269" t="str">
        <f>"OP-AR00379"</f>
        <v>OP-AR00379</v>
      </c>
      <c r="K4269" t="str">
        <f>"ייצור 3025K120-001"</f>
        <v>ייצור 3025K120-001</v>
      </c>
      <c r="L4269">
        <v>1</v>
      </c>
      <c r="M4269" t="str">
        <f>"יח"</f>
        <v>יח</v>
      </c>
      <c r="N4269">
        <v>1</v>
      </c>
      <c r="O4269" t="str">
        <f>"יח"</f>
        <v>יח</v>
      </c>
      <c r="P4269" s="2">
        <v>15480</v>
      </c>
      <c r="Q4269" t="str">
        <f>"$"</f>
        <v>$</v>
      </c>
      <c r="R4269" t="str">
        <f>"הזמנה"</f>
        <v>הזמנה</v>
      </c>
      <c r="S4269">
        <v>0</v>
      </c>
      <c r="T4269" s="2">
        <v>15480</v>
      </c>
      <c r="U4269">
        <v>0</v>
      </c>
      <c r="V4269" s="2">
        <v>15480</v>
      </c>
      <c r="W4269" t="str">
        <f>"$"</f>
        <v>$</v>
      </c>
      <c r="X4269">
        <v>0</v>
      </c>
      <c r="Y4269">
        <v>0</v>
      </c>
      <c r="Z4269">
        <v>0</v>
      </c>
      <c r="AA4269" t="str">
        <f>"Y"</f>
        <v>Y</v>
      </c>
      <c r="AB4269" t="str">
        <f>"SO160000532"</f>
        <v>SO160000532</v>
      </c>
      <c r="AC4269">
        <v>2</v>
      </c>
      <c r="AD4269" s="1">
        <v>42569</v>
      </c>
      <c r="AE4269" t="str">
        <f>"SH17003048"</f>
        <v>SH17003048</v>
      </c>
      <c r="AF4269" t="str">
        <f>"משלוחים ללקוח"</f>
        <v>משלוחים ללקוח</v>
      </c>
      <c r="AG4269" s="1">
        <v>43069</v>
      </c>
      <c r="AM4269" t="str">
        <f>"10"</f>
        <v>10</v>
      </c>
      <c r="AN4269" t="str">
        <f>"500000"</f>
        <v>500000</v>
      </c>
      <c r="AO4269" t="str">
        <f>"הכנסות  מלקוחות"</f>
        <v>הכנסות  מלקוחות</v>
      </c>
      <c r="AQ4269" t="str">
        <f>"007"</f>
        <v>007</v>
      </c>
      <c r="AR4269">
        <v>0</v>
      </c>
      <c r="AS4269">
        <v>0</v>
      </c>
      <c r="AT4269">
        <v>3.4990000000000001</v>
      </c>
      <c r="AX4269" t="str">
        <f>"E000220099"</f>
        <v>E000220099</v>
      </c>
      <c r="BD4269" t="str">
        <f>"רוני דידי"</f>
        <v>רוני דידי</v>
      </c>
    </row>
    <row r="4270" spans="1:56" x14ac:dyDescent="0.3">
      <c r="A4270" s="1">
        <v>43069</v>
      </c>
      <c r="B4270" t="str">
        <f>"SI176001822"</f>
        <v>SI176001822</v>
      </c>
      <c r="C4270" t="str">
        <f>"PR16000707"</f>
        <v>PR16000707</v>
      </c>
      <c r="E4270" t="str">
        <f>"Y"</f>
        <v>Y</v>
      </c>
      <c r="F4270" t="str">
        <f>"חשבוניות מרכזות"</f>
        <v>חשבוניות מרכזות</v>
      </c>
      <c r="G4270" t="str">
        <f>"700065"</f>
        <v>700065</v>
      </c>
      <c r="H4270" t="str">
        <f>"אלתא מערכות בע""מ"</f>
        <v>אלתא מערכות בע"מ</v>
      </c>
      <c r="I4270" t="str">
        <f>"10"</f>
        <v>10</v>
      </c>
      <c r="J4270" t="str">
        <f>"OP-AR00379"</f>
        <v>OP-AR00379</v>
      </c>
      <c r="K4270" t="str">
        <f>"ייצור 3025K120-001"</f>
        <v>ייצור 3025K120-001</v>
      </c>
      <c r="L4270">
        <v>-1</v>
      </c>
      <c r="M4270" t="str">
        <f>"יח"</f>
        <v>יח</v>
      </c>
      <c r="N4270">
        <v>-1</v>
      </c>
      <c r="O4270" t="str">
        <f>"יח"</f>
        <v>יח</v>
      </c>
      <c r="P4270" s="2">
        <v>15480</v>
      </c>
      <c r="Q4270" t="str">
        <f>"$"</f>
        <v>$</v>
      </c>
      <c r="R4270" t="str">
        <f>"הזמנה"</f>
        <v>הזמנה</v>
      </c>
      <c r="S4270">
        <v>0</v>
      </c>
      <c r="T4270" s="2">
        <v>-15480</v>
      </c>
      <c r="U4270">
        <v>0</v>
      </c>
      <c r="V4270" s="2">
        <v>-15480</v>
      </c>
      <c r="W4270" t="str">
        <f>"$"</f>
        <v>$</v>
      </c>
      <c r="X4270">
        <v>0</v>
      </c>
      <c r="Y4270">
        <v>0</v>
      </c>
      <c r="Z4270">
        <v>0</v>
      </c>
      <c r="AA4270" t="str">
        <f>"Y"</f>
        <v>Y</v>
      </c>
      <c r="AC4270">
        <v>0</v>
      </c>
      <c r="AM4270" t="str">
        <f>"10"</f>
        <v>10</v>
      </c>
      <c r="AN4270" t="str">
        <f>"500000"</f>
        <v>500000</v>
      </c>
      <c r="AO4270" t="str">
        <f>"הכנסות  מלקוחות"</f>
        <v>הכנסות  מלקוחות</v>
      </c>
      <c r="AQ4270" t="str">
        <f>"007"</f>
        <v>007</v>
      </c>
      <c r="AR4270">
        <v>0</v>
      </c>
      <c r="AS4270">
        <v>0</v>
      </c>
      <c r="AT4270">
        <v>3.504</v>
      </c>
      <c r="BB4270" t="str">
        <f>"Y"</f>
        <v>Y</v>
      </c>
      <c r="BD4270" t="str">
        <f>"רוני דידי"</f>
        <v>רוני דידי</v>
      </c>
    </row>
    <row r="4271" spans="1:56" x14ac:dyDescent="0.3">
      <c r="A4271" s="1">
        <v>43069</v>
      </c>
      <c r="B4271" t="str">
        <f>"SI176001812"</f>
        <v>SI176001812</v>
      </c>
      <c r="C4271" t="str">
        <f>"PR16000707"</f>
        <v>PR16000707</v>
      </c>
      <c r="E4271" t="str">
        <f>"Y"</f>
        <v>Y</v>
      </c>
      <c r="F4271" t="str">
        <f>"חשבוניות מרכזות"</f>
        <v>חשבוניות מרכזות</v>
      </c>
      <c r="G4271" t="str">
        <f>"700065"</f>
        <v>700065</v>
      </c>
      <c r="H4271" t="str">
        <f>"אלתא מערכות בע""מ"</f>
        <v>אלתא מערכות בע"מ</v>
      </c>
      <c r="I4271" t="str">
        <f>"10"</f>
        <v>10</v>
      </c>
      <c r="J4271" t="str">
        <f>"OP-AR00379"</f>
        <v>OP-AR00379</v>
      </c>
      <c r="K4271" t="str">
        <f>"ייצור 3025K120-001"</f>
        <v>ייצור 3025K120-001</v>
      </c>
      <c r="L4271">
        <v>1</v>
      </c>
      <c r="M4271" t="str">
        <f>"יח"</f>
        <v>יח</v>
      </c>
      <c r="N4271">
        <v>1</v>
      </c>
      <c r="O4271" t="str">
        <f>"יח"</f>
        <v>יח</v>
      </c>
      <c r="P4271" s="2">
        <v>15480</v>
      </c>
      <c r="Q4271" t="str">
        <f>"$"</f>
        <v>$</v>
      </c>
      <c r="R4271" t="str">
        <f>"הזמנה"</f>
        <v>הזמנה</v>
      </c>
      <c r="S4271">
        <v>0</v>
      </c>
      <c r="T4271" s="2">
        <v>15480</v>
      </c>
      <c r="U4271">
        <v>0</v>
      </c>
      <c r="V4271" s="2">
        <v>15480</v>
      </c>
      <c r="W4271" t="str">
        <f>"$"</f>
        <v>$</v>
      </c>
      <c r="X4271">
        <v>0</v>
      </c>
      <c r="Y4271">
        <v>0</v>
      </c>
      <c r="Z4271">
        <v>0</v>
      </c>
      <c r="AA4271" t="str">
        <f>"Y"</f>
        <v>Y</v>
      </c>
      <c r="AC4271">
        <v>0</v>
      </c>
      <c r="AM4271" t="str">
        <f>"10"</f>
        <v>10</v>
      </c>
      <c r="AN4271" t="str">
        <f>"500000"</f>
        <v>500000</v>
      </c>
      <c r="AO4271" t="str">
        <f>"הכנסות  מלקוחות"</f>
        <v>הכנסות  מלקוחות</v>
      </c>
      <c r="AQ4271" t="str">
        <f>"007"</f>
        <v>007</v>
      </c>
      <c r="AR4271">
        <v>0</v>
      </c>
      <c r="AS4271">
        <v>0</v>
      </c>
      <c r="AT4271">
        <v>3.504</v>
      </c>
      <c r="BB4271" t="str">
        <f>"Y"</f>
        <v>Y</v>
      </c>
      <c r="BD4271" t="str">
        <f>"רוני דידי"</f>
        <v>רוני דידי</v>
      </c>
    </row>
    <row r="4272" spans="1:56" x14ac:dyDescent="0.3">
      <c r="A4272" s="1">
        <v>43069</v>
      </c>
      <c r="B4272" t="str">
        <f>"SI176001810"</f>
        <v>SI176001810</v>
      </c>
      <c r="C4272" t="str">
        <f>"PR17001701"</f>
        <v>PR17001701</v>
      </c>
      <c r="E4272" t="str">
        <f>"Y"</f>
        <v>Y</v>
      </c>
      <c r="F4272" t="str">
        <f>"חשבוניות מרכזות"</f>
        <v>חשבוניות מרכזות</v>
      </c>
      <c r="G4272" t="str">
        <f>"700065"</f>
        <v>700065</v>
      </c>
      <c r="H4272" t="str">
        <f>"אלתא מערכות בע""מ"</f>
        <v>אלתא מערכות בע"מ</v>
      </c>
      <c r="I4272" t="str">
        <f>"10"</f>
        <v>10</v>
      </c>
      <c r="J4272" t="str">
        <f>"OP-AR00540"</f>
        <v>OP-AR00540</v>
      </c>
      <c r="K4272" t="str">
        <f>"רתמה 1032H441-002"</f>
        <v>רתמה 1032H441-002</v>
      </c>
      <c r="L4272">
        <v>5</v>
      </c>
      <c r="M4272" t="str">
        <f>"יח"</f>
        <v>יח</v>
      </c>
      <c r="N4272">
        <v>5</v>
      </c>
      <c r="O4272" t="str">
        <f>"יח"</f>
        <v>יח</v>
      </c>
      <c r="P4272">
        <v>550</v>
      </c>
      <c r="Q4272" t="str">
        <f>"$"</f>
        <v>$</v>
      </c>
      <c r="R4272" t="str">
        <f>"הזמנה"</f>
        <v>הזמנה</v>
      </c>
      <c r="S4272">
        <v>0</v>
      </c>
      <c r="T4272" s="2">
        <v>2750</v>
      </c>
      <c r="U4272">
        <v>0</v>
      </c>
      <c r="V4272" s="2">
        <v>2750</v>
      </c>
      <c r="W4272" t="str">
        <f>"$"</f>
        <v>$</v>
      </c>
      <c r="X4272">
        <v>0</v>
      </c>
      <c r="Y4272">
        <v>0</v>
      </c>
      <c r="Z4272">
        <v>0</v>
      </c>
      <c r="AA4272" t="str">
        <f>"Y"</f>
        <v>Y</v>
      </c>
      <c r="AB4272" t="str">
        <f>"SO17000346"</f>
        <v>SO17000346</v>
      </c>
      <c r="AC4272">
        <v>9</v>
      </c>
      <c r="AD4272" s="1">
        <v>42877</v>
      </c>
      <c r="AE4272" t="str">
        <f>"SH17003021"</f>
        <v>SH17003021</v>
      </c>
      <c r="AF4272" t="str">
        <f>"משלוחים ללקוח"</f>
        <v>משלוחים ללקוח</v>
      </c>
      <c r="AG4272" s="1">
        <v>43067</v>
      </c>
      <c r="AM4272" t="str">
        <f>"10"</f>
        <v>10</v>
      </c>
      <c r="AN4272" t="str">
        <f>"500000"</f>
        <v>500000</v>
      </c>
      <c r="AO4272" t="str">
        <f>"הכנסות  מלקוחות"</f>
        <v>הכנסות  מלקוחות</v>
      </c>
      <c r="AQ4272" t="str">
        <f>"004"</f>
        <v>004</v>
      </c>
      <c r="AR4272">
        <v>0</v>
      </c>
      <c r="AS4272">
        <v>0</v>
      </c>
      <c r="AT4272">
        <v>3.504</v>
      </c>
      <c r="AX4272" t="str">
        <f>"E000235802"</f>
        <v>E000235802</v>
      </c>
      <c r="BD4272" t="str">
        <f>"איציק חדד"</f>
        <v>איציק חדד</v>
      </c>
    </row>
    <row r="4273" spans="1:56" x14ac:dyDescent="0.3">
      <c r="A4273" s="1">
        <v>43066</v>
      </c>
      <c r="B4273" t="str">
        <f>"SI176001858"</f>
        <v>SI176001858</v>
      </c>
      <c r="C4273" t="str">
        <f>"PR16000468"</f>
        <v>PR16000468</v>
      </c>
      <c r="E4273" t="str">
        <f>"Y"</f>
        <v>Y</v>
      </c>
      <c r="F4273" t="str">
        <f>"חשבוניות מרכזות"</f>
        <v>חשבוניות מרכזות</v>
      </c>
      <c r="G4273" t="str">
        <f>"700065"</f>
        <v>700065</v>
      </c>
      <c r="H4273" t="str">
        <f>"אלתא מערכות בע""מ"</f>
        <v>אלתא מערכות בע"מ</v>
      </c>
      <c r="I4273" t="str">
        <f>"10"</f>
        <v>10</v>
      </c>
      <c r="J4273" t="str">
        <f>"000"</f>
        <v>000</v>
      </c>
      <c r="K4273" t="str">
        <f>"תוספת כניסת PG עבור כניסה TRANSMIT"</f>
        <v>תוספת כניסת PG עבור כניסה TRANSMIT</v>
      </c>
      <c r="L4273">
        <v>1</v>
      </c>
      <c r="M4273" t="str">
        <f>"יח"</f>
        <v>יח</v>
      </c>
      <c r="N4273">
        <v>1</v>
      </c>
      <c r="O4273" t="str">
        <f>"יח"</f>
        <v>יח</v>
      </c>
      <c r="P4273">
        <v>0</v>
      </c>
      <c r="Q4273" t="str">
        <f>"$"</f>
        <v>$</v>
      </c>
      <c r="R4273" t="str">
        <f>"הזמנה"</f>
        <v>הזמנה</v>
      </c>
      <c r="S4273">
        <v>0</v>
      </c>
      <c r="T4273">
        <v>0</v>
      </c>
      <c r="U4273">
        <v>0</v>
      </c>
      <c r="V4273">
        <v>0</v>
      </c>
      <c r="W4273" t="str">
        <f>"$"</f>
        <v>$</v>
      </c>
      <c r="X4273">
        <v>0</v>
      </c>
      <c r="Y4273">
        <v>0</v>
      </c>
      <c r="Z4273">
        <v>0</v>
      </c>
      <c r="AA4273" t="str">
        <f>"Y"</f>
        <v>Y</v>
      </c>
      <c r="AB4273" t="str">
        <f>"SO17000597"</f>
        <v>SO17000597</v>
      </c>
      <c r="AC4273">
        <v>1</v>
      </c>
      <c r="AD4273" s="1">
        <v>42984</v>
      </c>
      <c r="AM4273" t="str">
        <f>"10"</f>
        <v>10</v>
      </c>
      <c r="AN4273" t="str">
        <f>"500000"</f>
        <v>500000</v>
      </c>
      <c r="AO4273" t="str">
        <f>"הכנסות  מלקוחות"</f>
        <v>הכנסות  מלקוחות</v>
      </c>
      <c r="AQ4273" t="str">
        <f>"007"</f>
        <v>007</v>
      </c>
      <c r="AR4273">
        <v>0</v>
      </c>
      <c r="AS4273">
        <v>0</v>
      </c>
      <c r="AT4273">
        <v>3.5009999999999999</v>
      </c>
      <c r="AX4273" t="str">
        <f>"E000244839"</f>
        <v>E000244839</v>
      </c>
      <c r="BD4273" t="str">
        <f>"רוני דידי"</f>
        <v>רוני דידי</v>
      </c>
    </row>
    <row r="4274" spans="1:56" x14ac:dyDescent="0.3">
      <c r="A4274" s="1">
        <v>43066</v>
      </c>
      <c r="B4274" t="str">
        <f>"SI176001858"</f>
        <v>SI176001858</v>
      </c>
      <c r="C4274" t="str">
        <f>"PR16000468"</f>
        <v>PR16000468</v>
      </c>
      <c r="E4274" t="str">
        <f>"Y"</f>
        <v>Y</v>
      </c>
      <c r="F4274" t="str">
        <f>"חשבוניות מרכזות"</f>
        <v>חשבוניות מרכזות</v>
      </c>
      <c r="G4274" t="str">
        <f>"700065"</f>
        <v>700065</v>
      </c>
      <c r="H4274" t="str">
        <f>"אלתא מערכות בע""מ"</f>
        <v>אלתא מערכות בע"מ</v>
      </c>
      <c r="I4274" t="str">
        <f>"10"</f>
        <v>10</v>
      </c>
      <c r="J4274" t="str">
        <f>"000"</f>
        <v>000</v>
      </c>
      <c r="K4274" t="str">
        <f>"החלפת נצנץ כתום"</f>
        <v>החלפת נצנץ כתום</v>
      </c>
      <c r="L4274">
        <v>1</v>
      </c>
      <c r="M4274" t="str">
        <f>"יח"</f>
        <v>יח</v>
      </c>
      <c r="N4274">
        <v>1</v>
      </c>
      <c r="O4274" t="str">
        <f>"יח"</f>
        <v>יח</v>
      </c>
      <c r="P4274">
        <v>0</v>
      </c>
      <c r="Q4274" t="str">
        <f>"$"</f>
        <v>$</v>
      </c>
      <c r="R4274" t="str">
        <f>"הזמנה"</f>
        <v>הזמנה</v>
      </c>
      <c r="S4274">
        <v>0</v>
      </c>
      <c r="T4274">
        <v>0</v>
      </c>
      <c r="U4274">
        <v>0</v>
      </c>
      <c r="V4274">
        <v>0</v>
      </c>
      <c r="W4274" t="str">
        <f>"$"</f>
        <v>$</v>
      </c>
      <c r="X4274">
        <v>0</v>
      </c>
      <c r="Y4274">
        <v>0</v>
      </c>
      <c r="Z4274">
        <v>0</v>
      </c>
      <c r="AA4274" t="str">
        <f>"Y"</f>
        <v>Y</v>
      </c>
      <c r="AB4274" t="str">
        <f>"SO17000597"</f>
        <v>SO17000597</v>
      </c>
      <c r="AC4274">
        <v>2</v>
      </c>
      <c r="AD4274" s="1">
        <v>42984</v>
      </c>
      <c r="AM4274" t="str">
        <f>"10"</f>
        <v>10</v>
      </c>
      <c r="AN4274" t="str">
        <f>"500000"</f>
        <v>500000</v>
      </c>
      <c r="AO4274" t="str">
        <f>"הכנסות  מלקוחות"</f>
        <v>הכנסות  מלקוחות</v>
      </c>
      <c r="AQ4274" t="str">
        <f>"007"</f>
        <v>007</v>
      </c>
      <c r="AR4274">
        <v>0</v>
      </c>
      <c r="AS4274">
        <v>0</v>
      </c>
      <c r="AT4274">
        <v>3.5009999999999999</v>
      </c>
      <c r="AX4274" t="str">
        <f>"E000244839"</f>
        <v>E000244839</v>
      </c>
      <c r="BD4274" t="str">
        <f>"רוני דידי"</f>
        <v>רוני דידי</v>
      </c>
    </row>
    <row r="4275" spans="1:56" x14ac:dyDescent="0.3">
      <c r="A4275" s="1">
        <v>43066</v>
      </c>
      <c r="B4275" t="str">
        <f>"SI176001858"</f>
        <v>SI176001858</v>
      </c>
      <c r="C4275" t="str">
        <f>"PR16000468"</f>
        <v>PR16000468</v>
      </c>
      <c r="E4275" t="str">
        <f>"Y"</f>
        <v>Y</v>
      </c>
      <c r="F4275" t="str">
        <f>"חשבוניות מרכזות"</f>
        <v>חשבוניות מרכזות</v>
      </c>
      <c r="G4275" t="str">
        <f>"700065"</f>
        <v>700065</v>
      </c>
      <c r="H4275" t="str">
        <f>"אלתא מערכות בע""מ"</f>
        <v>אלתא מערכות בע"מ</v>
      </c>
      <c r="I4275" t="str">
        <f>"10"</f>
        <v>10</v>
      </c>
      <c r="J4275" t="str">
        <f>"000"</f>
        <v>000</v>
      </c>
      <c r="K4275" t="str">
        <f>"הדרכה תפעול המערכת על ידי מהנדס"</f>
        <v>הדרכה תפעול המערכת על ידי מהנדס</v>
      </c>
      <c r="L4275">
        <v>1</v>
      </c>
      <c r="M4275" t="str">
        <f>"יח"</f>
        <v>יח</v>
      </c>
      <c r="N4275">
        <v>1</v>
      </c>
      <c r="O4275" t="str">
        <f>"יח"</f>
        <v>יח</v>
      </c>
      <c r="P4275">
        <v>0</v>
      </c>
      <c r="Q4275" t="str">
        <f>"$"</f>
        <v>$</v>
      </c>
      <c r="R4275" t="str">
        <f>"הזמנה"</f>
        <v>הזמנה</v>
      </c>
      <c r="S4275">
        <v>0</v>
      </c>
      <c r="T4275">
        <v>0</v>
      </c>
      <c r="U4275">
        <v>0</v>
      </c>
      <c r="V4275">
        <v>0</v>
      </c>
      <c r="W4275" t="str">
        <f>"$"</f>
        <v>$</v>
      </c>
      <c r="X4275">
        <v>0</v>
      </c>
      <c r="Y4275">
        <v>0</v>
      </c>
      <c r="Z4275">
        <v>0</v>
      </c>
      <c r="AA4275" t="str">
        <f>"Y"</f>
        <v>Y</v>
      </c>
      <c r="AB4275" t="str">
        <f>"SO17000597"</f>
        <v>SO17000597</v>
      </c>
      <c r="AC4275">
        <v>3</v>
      </c>
      <c r="AD4275" s="1">
        <v>42984</v>
      </c>
      <c r="AM4275" t="str">
        <f>"10"</f>
        <v>10</v>
      </c>
      <c r="AN4275" t="str">
        <f>"500000"</f>
        <v>500000</v>
      </c>
      <c r="AO4275" t="str">
        <f>"הכנסות  מלקוחות"</f>
        <v>הכנסות  מלקוחות</v>
      </c>
      <c r="AQ4275" t="str">
        <f>"007"</f>
        <v>007</v>
      </c>
      <c r="AR4275">
        <v>0</v>
      </c>
      <c r="AS4275">
        <v>0</v>
      </c>
      <c r="AT4275">
        <v>3.5009999999999999</v>
      </c>
      <c r="AX4275" t="str">
        <f>"E000244839"</f>
        <v>E000244839</v>
      </c>
      <c r="BD4275" t="str">
        <f>"רוני דידי"</f>
        <v>רוני דידי</v>
      </c>
    </row>
    <row r="4276" spans="1:56" x14ac:dyDescent="0.3">
      <c r="A4276" s="1">
        <v>43066</v>
      </c>
      <c r="B4276" t="str">
        <f>"SI176001858"</f>
        <v>SI176001858</v>
      </c>
      <c r="C4276" t="str">
        <f>"PR16000468"</f>
        <v>PR16000468</v>
      </c>
      <c r="E4276" t="str">
        <f>"Y"</f>
        <v>Y</v>
      </c>
      <c r="F4276" t="str">
        <f>"חשבוניות מרכזות"</f>
        <v>חשבוניות מרכזות</v>
      </c>
      <c r="G4276" t="str">
        <f>"700065"</f>
        <v>700065</v>
      </c>
      <c r="H4276" t="str">
        <f>"אלתא מערכות בע""מ"</f>
        <v>אלתא מערכות בע"מ</v>
      </c>
      <c r="I4276" t="str">
        <f>"10"</f>
        <v>10</v>
      </c>
      <c r="J4276" t="str">
        <f>"000"</f>
        <v>000</v>
      </c>
      <c r="K4276" t="str">
        <f>"תוספת כבל אופטי באורך 100 מטר"</f>
        <v>תוספת כבל אופטי באורך 100 מטר</v>
      </c>
      <c r="L4276">
        <v>1</v>
      </c>
      <c r="M4276" t="str">
        <f>"יח"</f>
        <v>יח</v>
      </c>
      <c r="N4276">
        <v>1</v>
      </c>
      <c r="O4276" t="str">
        <f>"יח"</f>
        <v>יח</v>
      </c>
      <c r="P4276">
        <v>0</v>
      </c>
      <c r="Q4276" t="str">
        <f>"$"</f>
        <v>$</v>
      </c>
      <c r="R4276" t="str">
        <f>"הזמנה"</f>
        <v>הזמנה</v>
      </c>
      <c r="S4276">
        <v>0</v>
      </c>
      <c r="T4276">
        <v>0</v>
      </c>
      <c r="U4276">
        <v>0</v>
      </c>
      <c r="V4276">
        <v>0</v>
      </c>
      <c r="W4276" t="str">
        <f>"$"</f>
        <v>$</v>
      </c>
      <c r="X4276">
        <v>0</v>
      </c>
      <c r="Y4276">
        <v>0</v>
      </c>
      <c r="Z4276">
        <v>0</v>
      </c>
      <c r="AA4276" t="str">
        <f>"Y"</f>
        <v>Y</v>
      </c>
      <c r="AB4276" t="str">
        <f>"SO17000597"</f>
        <v>SO17000597</v>
      </c>
      <c r="AC4276">
        <v>4</v>
      </c>
      <c r="AD4276" s="1">
        <v>42984</v>
      </c>
      <c r="AM4276" t="str">
        <f>"10"</f>
        <v>10</v>
      </c>
      <c r="AN4276" t="str">
        <f>"500000"</f>
        <v>500000</v>
      </c>
      <c r="AO4276" t="str">
        <f>"הכנסות  מלקוחות"</f>
        <v>הכנסות  מלקוחות</v>
      </c>
      <c r="AQ4276" t="str">
        <f>"007"</f>
        <v>007</v>
      </c>
      <c r="AR4276">
        <v>0</v>
      </c>
      <c r="AS4276">
        <v>0</v>
      </c>
      <c r="AT4276">
        <v>3.5009999999999999</v>
      </c>
      <c r="AX4276" t="str">
        <f>"E000244839"</f>
        <v>E000244839</v>
      </c>
      <c r="BD4276" t="str">
        <f>"רוני דידי"</f>
        <v>רוני דידי</v>
      </c>
    </row>
    <row r="4277" spans="1:56" x14ac:dyDescent="0.3">
      <c r="A4277" s="1">
        <v>43066</v>
      </c>
      <c r="B4277" t="str">
        <f>"SI176001858"</f>
        <v>SI176001858</v>
      </c>
      <c r="C4277" t="str">
        <f>"PR16000468"</f>
        <v>PR16000468</v>
      </c>
      <c r="E4277" t="str">
        <f>"Y"</f>
        <v>Y</v>
      </c>
      <c r="F4277" t="str">
        <f>"חשבוניות מרכזות"</f>
        <v>חשבוניות מרכזות</v>
      </c>
      <c r="G4277" t="str">
        <f>"700065"</f>
        <v>700065</v>
      </c>
      <c r="H4277" t="str">
        <f>"אלתא מערכות בע""מ"</f>
        <v>אלתא מערכות בע"מ</v>
      </c>
      <c r="I4277" t="str">
        <f>"10"</f>
        <v>10</v>
      </c>
      <c r="J4277" t="str">
        <f>"000"</f>
        <v>000</v>
      </c>
      <c r="K4277" t="str">
        <f>"תוספת שקעי שרות"</f>
        <v>תוספת שקעי שרות</v>
      </c>
      <c r="L4277">
        <v>1</v>
      </c>
      <c r="M4277" t="str">
        <f>"יח"</f>
        <v>יח</v>
      </c>
      <c r="N4277">
        <v>1</v>
      </c>
      <c r="O4277" t="str">
        <f>"יח"</f>
        <v>יח</v>
      </c>
      <c r="P4277">
        <v>0</v>
      </c>
      <c r="Q4277" t="str">
        <f>"$"</f>
        <v>$</v>
      </c>
      <c r="R4277" t="str">
        <f>"הזמנה"</f>
        <v>הזמנה</v>
      </c>
      <c r="S4277">
        <v>0</v>
      </c>
      <c r="T4277">
        <v>0</v>
      </c>
      <c r="U4277">
        <v>0</v>
      </c>
      <c r="V4277">
        <v>0</v>
      </c>
      <c r="W4277" t="str">
        <f>"$"</f>
        <v>$</v>
      </c>
      <c r="X4277">
        <v>0</v>
      </c>
      <c r="Y4277">
        <v>0</v>
      </c>
      <c r="Z4277">
        <v>0</v>
      </c>
      <c r="AA4277" t="str">
        <f>"Y"</f>
        <v>Y</v>
      </c>
      <c r="AB4277" t="str">
        <f>"SO17000597"</f>
        <v>SO17000597</v>
      </c>
      <c r="AC4277">
        <v>5</v>
      </c>
      <c r="AD4277" s="1">
        <v>42984</v>
      </c>
      <c r="AM4277" t="str">
        <f>"10"</f>
        <v>10</v>
      </c>
      <c r="AN4277" t="str">
        <f>"500000"</f>
        <v>500000</v>
      </c>
      <c r="AO4277" t="str">
        <f>"הכנסות  מלקוחות"</f>
        <v>הכנסות  מלקוחות</v>
      </c>
      <c r="AQ4277" t="str">
        <f>"007"</f>
        <v>007</v>
      </c>
      <c r="AR4277">
        <v>0</v>
      </c>
      <c r="AS4277">
        <v>0</v>
      </c>
      <c r="AT4277">
        <v>3.5009999999999999</v>
      </c>
      <c r="AX4277" t="str">
        <f>"E000244839"</f>
        <v>E000244839</v>
      </c>
      <c r="BD4277" t="str">
        <f>"רוני דידי"</f>
        <v>רוני דידי</v>
      </c>
    </row>
    <row r="4278" spans="1:56" x14ac:dyDescent="0.3">
      <c r="A4278" s="1">
        <v>43066</v>
      </c>
      <c r="B4278" t="str">
        <f>"SI176001858"</f>
        <v>SI176001858</v>
      </c>
      <c r="C4278" t="str">
        <f>"PR16000468"</f>
        <v>PR16000468</v>
      </c>
      <c r="E4278" t="str">
        <f>"Y"</f>
        <v>Y</v>
      </c>
      <c r="F4278" t="str">
        <f>"חשבוניות מרכזות"</f>
        <v>חשבוניות מרכזות</v>
      </c>
      <c r="G4278" t="str">
        <f>"700065"</f>
        <v>700065</v>
      </c>
      <c r="H4278" t="str">
        <f>"אלתא מערכות בע""מ"</f>
        <v>אלתא מערכות בע"מ</v>
      </c>
      <c r="I4278" t="str">
        <f>"10"</f>
        <v>10</v>
      </c>
      <c r="J4278" t="str">
        <f>"000"</f>
        <v>000</v>
      </c>
      <c r="K4278" t="str">
        <f>"תוספת מסך HMI"</f>
        <v>תוספת מסך HMI</v>
      </c>
      <c r="L4278">
        <v>1</v>
      </c>
      <c r="M4278" t="str">
        <f>"יח"</f>
        <v>יח</v>
      </c>
      <c r="N4278">
        <v>1</v>
      </c>
      <c r="O4278" t="str">
        <f>"יח"</f>
        <v>יח</v>
      </c>
      <c r="P4278">
        <v>0</v>
      </c>
      <c r="Q4278" t="str">
        <f>"$"</f>
        <v>$</v>
      </c>
      <c r="R4278" t="str">
        <f>"הזמנה"</f>
        <v>הזמנה</v>
      </c>
      <c r="S4278">
        <v>0</v>
      </c>
      <c r="T4278">
        <v>0</v>
      </c>
      <c r="U4278">
        <v>0</v>
      </c>
      <c r="V4278">
        <v>0</v>
      </c>
      <c r="W4278" t="str">
        <f>"$"</f>
        <v>$</v>
      </c>
      <c r="X4278">
        <v>0</v>
      </c>
      <c r="Y4278">
        <v>0</v>
      </c>
      <c r="Z4278">
        <v>0</v>
      </c>
      <c r="AA4278" t="str">
        <f>"Y"</f>
        <v>Y</v>
      </c>
      <c r="AB4278" t="str">
        <f>"SO17000597"</f>
        <v>SO17000597</v>
      </c>
      <c r="AC4278">
        <v>6</v>
      </c>
      <c r="AD4278" s="1">
        <v>42984</v>
      </c>
      <c r="AM4278" t="str">
        <f>"10"</f>
        <v>10</v>
      </c>
      <c r="AN4278" t="str">
        <f>"500000"</f>
        <v>500000</v>
      </c>
      <c r="AO4278" t="str">
        <f>"הכנסות  מלקוחות"</f>
        <v>הכנסות  מלקוחות</v>
      </c>
      <c r="AQ4278" t="str">
        <f>"007"</f>
        <v>007</v>
      </c>
      <c r="AR4278">
        <v>0</v>
      </c>
      <c r="AS4278">
        <v>0</v>
      </c>
      <c r="AT4278">
        <v>3.5009999999999999</v>
      </c>
      <c r="AX4278" t="str">
        <f>"E000244839"</f>
        <v>E000244839</v>
      </c>
      <c r="BD4278" t="str">
        <f>"רוני דידי"</f>
        <v>רוני דידי</v>
      </c>
    </row>
    <row r="4279" spans="1:56" x14ac:dyDescent="0.3">
      <c r="A4279" s="1">
        <v>43066</v>
      </c>
      <c r="B4279" t="str">
        <f>"SI176001858"</f>
        <v>SI176001858</v>
      </c>
      <c r="C4279" t="str">
        <f>"PR16000468"</f>
        <v>PR16000468</v>
      </c>
      <c r="E4279" t="str">
        <f>"Y"</f>
        <v>Y</v>
      </c>
      <c r="F4279" t="str">
        <f>"חשבוניות מרכזות"</f>
        <v>חשבוניות מרכזות</v>
      </c>
      <c r="G4279" t="str">
        <f>"700065"</f>
        <v>700065</v>
      </c>
      <c r="H4279" t="str">
        <f>"אלתא מערכות בע""מ"</f>
        <v>אלתא מערכות בע"מ</v>
      </c>
      <c r="I4279" t="str">
        <f>"10"</f>
        <v>10</v>
      </c>
      <c r="J4279" t="str">
        <f>"000"</f>
        <v>000</v>
      </c>
      <c r="K4279" t="str">
        <f>"תוספת מעגל בקרת כניסה"</f>
        <v>תוספת מעגל בקרת כניסה</v>
      </c>
      <c r="L4279">
        <v>1</v>
      </c>
      <c r="M4279" t="str">
        <f>"יח"</f>
        <v>יח</v>
      </c>
      <c r="N4279">
        <v>1</v>
      </c>
      <c r="O4279" t="str">
        <f>"יח"</f>
        <v>יח</v>
      </c>
      <c r="P4279">
        <v>0</v>
      </c>
      <c r="Q4279" t="str">
        <f>"$"</f>
        <v>$</v>
      </c>
      <c r="R4279" t="str">
        <f>"הזמנה"</f>
        <v>הזמנה</v>
      </c>
      <c r="S4279">
        <v>0</v>
      </c>
      <c r="T4279">
        <v>0</v>
      </c>
      <c r="U4279">
        <v>0</v>
      </c>
      <c r="V4279">
        <v>0</v>
      </c>
      <c r="W4279" t="str">
        <f>"$"</f>
        <v>$</v>
      </c>
      <c r="X4279">
        <v>0</v>
      </c>
      <c r="Y4279">
        <v>0</v>
      </c>
      <c r="Z4279">
        <v>0</v>
      </c>
      <c r="AA4279" t="str">
        <f>"Y"</f>
        <v>Y</v>
      </c>
      <c r="AB4279" t="str">
        <f>"SO17000597"</f>
        <v>SO17000597</v>
      </c>
      <c r="AC4279">
        <v>7</v>
      </c>
      <c r="AD4279" s="1">
        <v>42984</v>
      </c>
      <c r="AM4279" t="str">
        <f>"10"</f>
        <v>10</v>
      </c>
      <c r="AN4279" t="str">
        <f>"500000"</f>
        <v>500000</v>
      </c>
      <c r="AO4279" t="str">
        <f>"הכנסות  מלקוחות"</f>
        <v>הכנסות  מלקוחות</v>
      </c>
      <c r="AQ4279" t="str">
        <f>"007"</f>
        <v>007</v>
      </c>
      <c r="AR4279">
        <v>0</v>
      </c>
      <c r="AS4279">
        <v>0</v>
      </c>
      <c r="AT4279">
        <v>3.5009999999999999</v>
      </c>
      <c r="AX4279" t="str">
        <f>"E000244839"</f>
        <v>E000244839</v>
      </c>
      <c r="BD4279" t="str">
        <f>"רוני דידי"</f>
        <v>רוני דידי</v>
      </c>
    </row>
    <row r="4280" spans="1:56" x14ac:dyDescent="0.3">
      <c r="A4280" s="1">
        <v>43066</v>
      </c>
      <c r="B4280" t="str">
        <f>"SI176001858"</f>
        <v>SI176001858</v>
      </c>
      <c r="C4280" t="str">
        <f>"PR16000468"</f>
        <v>PR16000468</v>
      </c>
      <c r="E4280" t="str">
        <f>"Y"</f>
        <v>Y</v>
      </c>
      <c r="F4280" t="str">
        <f>"חשבוניות מרכזות"</f>
        <v>חשבוניות מרכזות</v>
      </c>
      <c r="G4280" t="str">
        <f>"700065"</f>
        <v>700065</v>
      </c>
      <c r="H4280" t="str">
        <f>"אלתא מערכות בע""מ"</f>
        <v>אלתא מערכות בע"מ</v>
      </c>
      <c r="I4280" t="str">
        <f>"10"</f>
        <v>10</v>
      </c>
      <c r="J4280" t="str">
        <f>"000"</f>
        <v>000</v>
      </c>
      <c r="K4280" t="str">
        <f>"סה""כ עלות עבור התוספות"</f>
        <v>סה"כ עלות עבור התוספות</v>
      </c>
      <c r="L4280">
        <v>1</v>
      </c>
      <c r="M4280" t="str">
        <f>"יח"</f>
        <v>יח</v>
      </c>
      <c r="N4280">
        <v>1</v>
      </c>
      <c r="O4280" t="str">
        <f>"יח"</f>
        <v>יח</v>
      </c>
      <c r="P4280" s="2">
        <v>2049</v>
      </c>
      <c r="Q4280" t="str">
        <f>"$"</f>
        <v>$</v>
      </c>
      <c r="R4280" t="str">
        <f>"הזמנה"</f>
        <v>הזמנה</v>
      </c>
      <c r="S4280">
        <v>0</v>
      </c>
      <c r="T4280" s="2">
        <v>2049</v>
      </c>
      <c r="U4280">
        <v>0</v>
      </c>
      <c r="V4280" s="2">
        <v>2049</v>
      </c>
      <c r="W4280" t="str">
        <f>"$"</f>
        <v>$</v>
      </c>
      <c r="X4280">
        <v>0</v>
      </c>
      <c r="Y4280">
        <v>0</v>
      </c>
      <c r="Z4280">
        <v>0</v>
      </c>
      <c r="AA4280" t="str">
        <f>"Y"</f>
        <v>Y</v>
      </c>
      <c r="AB4280" t="str">
        <f>"SO17000597"</f>
        <v>SO17000597</v>
      </c>
      <c r="AC4280">
        <v>8</v>
      </c>
      <c r="AD4280" s="1">
        <v>42984</v>
      </c>
      <c r="AM4280" t="str">
        <f>"10"</f>
        <v>10</v>
      </c>
      <c r="AN4280" t="str">
        <f>"500000"</f>
        <v>500000</v>
      </c>
      <c r="AO4280" t="str">
        <f>"הכנסות  מלקוחות"</f>
        <v>הכנסות  מלקוחות</v>
      </c>
      <c r="AQ4280" t="str">
        <f>"007"</f>
        <v>007</v>
      </c>
      <c r="AR4280">
        <v>0</v>
      </c>
      <c r="AS4280">
        <v>0</v>
      </c>
      <c r="AT4280">
        <v>3.5009999999999999</v>
      </c>
      <c r="AX4280" t="str">
        <f>"E000244839"</f>
        <v>E000244839</v>
      </c>
      <c r="BD4280" t="str">
        <f>"רוני דידי"</f>
        <v>רוני דידי</v>
      </c>
    </row>
    <row r="4281" spans="1:56" x14ac:dyDescent="0.3">
      <c r="A4281" s="1">
        <v>43066</v>
      </c>
      <c r="B4281" t="str">
        <f>"SI176001779"</f>
        <v>SI176001779</v>
      </c>
      <c r="C4281" t="str">
        <f>"PR16000468"</f>
        <v>PR16000468</v>
      </c>
      <c r="D4281" t="str">
        <f>"PR16000468"</f>
        <v>PR16000468</v>
      </c>
      <c r="E4281" t="str">
        <f>"Y"</f>
        <v>Y</v>
      </c>
      <c r="F4281" t="str">
        <f>"חשבוניות מרכזות"</f>
        <v>חשבוניות מרכזות</v>
      </c>
      <c r="G4281" t="str">
        <f>"700065"</f>
        <v>700065</v>
      </c>
      <c r="H4281" t="str">
        <f>"אלתא מערכות בע""מ"</f>
        <v>אלתא מערכות בע"מ</v>
      </c>
      <c r="I4281" t="str">
        <f>"10"</f>
        <v>10</v>
      </c>
      <c r="J4281" t="str">
        <f>"OP-AR00313"</f>
        <v>OP-AR00313</v>
      </c>
      <c r="K4281" t="str">
        <f>"TEMPERATUR AND HUMIDITY CONTROLER 1031A849-001"</f>
        <v>TEMPERATUR AND HUMIDITY CONTROLER 1031A849-001</v>
      </c>
      <c r="L4281">
        <v>1</v>
      </c>
      <c r="M4281" t="str">
        <f>"יח"</f>
        <v>יח</v>
      </c>
      <c r="N4281">
        <v>1</v>
      </c>
      <c r="O4281" t="str">
        <f>"יח"</f>
        <v>יח</v>
      </c>
      <c r="P4281" s="2">
        <v>8354.5</v>
      </c>
      <c r="Q4281" t="str">
        <f>"$"</f>
        <v>$</v>
      </c>
      <c r="R4281" t="str">
        <f>"הזמנה"</f>
        <v>הזמנה</v>
      </c>
      <c r="S4281">
        <v>0</v>
      </c>
      <c r="T4281" s="2">
        <v>8354.5</v>
      </c>
      <c r="U4281">
        <v>0</v>
      </c>
      <c r="V4281" s="2">
        <v>8354.5</v>
      </c>
      <c r="W4281" t="str">
        <f>"$"</f>
        <v>$</v>
      </c>
      <c r="X4281">
        <v>0</v>
      </c>
      <c r="Y4281">
        <v>0</v>
      </c>
      <c r="Z4281">
        <v>0</v>
      </c>
      <c r="AA4281" t="str">
        <f>"Y"</f>
        <v>Y</v>
      </c>
      <c r="AB4281" t="str">
        <f>"SO160000338"</f>
        <v>SO160000338</v>
      </c>
      <c r="AC4281">
        <v>1</v>
      </c>
      <c r="AD4281" s="1">
        <v>42505</v>
      </c>
      <c r="AE4281" t="str">
        <f>"SH17002991"</f>
        <v>SH17002991</v>
      </c>
      <c r="AF4281" t="str">
        <f>"משלוחים ללקוח"</f>
        <v>משלוחים ללקוח</v>
      </c>
      <c r="AG4281" s="1">
        <v>43066</v>
      </c>
      <c r="AM4281" t="str">
        <f>"10"</f>
        <v>10</v>
      </c>
      <c r="AN4281" t="str">
        <f>"500000"</f>
        <v>500000</v>
      </c>
      <c r="AO4281" t="str">
        <f>"הכנסות  מלקוחות"</f>
        <v>הכנסות  מלקוחות</v>
      </c>
      <c r="AQ4281" t="str">
        <f>"007"</f>
        <v>007</v>
      </c>
      <c r="AR4281">
        <v>0</v>
      </c>
      <c r="AS4281">
        <v>0</v>
      </c>
      <c r="AT4281">
        <v>3.5129999999999999</v>
      </c>
      <c r="AX4281" t="str">
        <f>"E000218110"</f>
        <v>E000218110</v>
      </c>
      <c r="BD4281" t="str">
        <f>"רוני דידי"</f>
        <v>רוני דידי</v>
      </c>
    </row>
    <row r="4282" spans="1:56" x14ac:dyDescent="0.3">
      <c r="A4282" s="1">
        <v>43066</v>
      </c>
      <c r="B4282" t="str">
        <f>"SI176001778"</f>
        <v>SI176001778</v>
      </c>
      <c r="C4282" t="str">
        <f>"PR17001701"</f>
        <v>PR17001701</v>
      </c>
      <c r="E4282" t="str">
        <f>"Y"</f>
        <v>Y</v>
      </c>
      <c r="F4282" t="str">
        <f>"חשבוניות מרכזות"</f>
        <v>חשבוניות מרכזות</v>
      </c>
      <c r="G4282" t="str">
        <f>"700065"</f>
        <v>700065</v>
      </c>
      <c r="H4282" t="str">
        <f>"אלתא מערכות בע""מ"</f>
        <v>אלתא מערכות בע"מ</v>
      </c>
      <c r="I4282" t="str">
        <f>"10"</f>
        <v>10</v>
      </c>
      <c r="J4282" t="str">
        <f>"OP-AR00540"</f>
        <v>OP-AR00540</v>
      </c>
      <c r="K4282" t="str">
        <f>"רתמה 1032H441-002"</f>
        <v>רתמה 1032H441-002</v>
      </c>
      <c r="L4282">
        <v>5</v>
      </c>
      <c r="M4282" t="str">
        <f>"יח"</f>
        <v>יח</v>
      </c>
      <c r="N4282">
        <v>5</v>
      </c>
      <c r="O4282" t="str">
        <f>"יח"</f>
        <v>יח</v>
      </c>
      <c r="P4282">
        <v>550</v>
      </c>
      <c r="Q4282" t="str">
        <f>"$"</f>
        <v>$</v>
      </c>
      <c r="R4282" t="str">
        <f>"הזמנה"</f>
        <v>הזמנה</v>
      </c>
      <c r="S4282">
        <v>0</v>
      </c>
      <c r="T4282" s="2">
        <v>2750</v>
      </c>
      <c r="U4282">
        <v>0</v>
      </c>
      <c r="V4282" s="2">
        <v>2750</v>
      </c>
      <c r="W4282" t="str">
        <f>"$"</f>
        <v>$</v>
      </c>
      <c r="X4282">
        <v>0</v>
      </c>
      <c r="Y4282">
        <v>0</v>
      </c>
      <c r="Z4282">
        <v>0</v>
      </c>
      <c r="AA4282" t="str">
        <f>"Y"</f>
        <v>Y</v>
      </c>
      <c r="AB4282" t="str">
        <f>"SO17000346"</f>
        <v>SO17000346</v>
      </c>
      <c r="AC4282">
        <v>9</v>
      </c>
      <c r="AD4282" s="1">
        <v>42877</v>
      </c>
      <c r="AE4282" t="str">
        <f>"SH17002983"</f>
        <v>SH17002983</v>
      </c>
      <c r="AF4282" t="str">
        <f>"משלוחים ללקוח"</f>
        <v>משלוחים ללקוח</v>
      </c>
      <c r="AG4282" s="1">
        <v>43065</v>
      </c>
      <c r="AM4282" t="str">
        <f>"10"</f>
        <v>10</v>
      </c>
      <c r="AN4282" t="str">
        <f>"500000"</f>
        <v>500000</v>
      </c>
      <c r="AO4282" t="str">
        <f>"הכנסות  מלקוחות"</f>
        <v>הכנסות  מלקוחות</v>
      </c>
      <c r="AQ4282" t="str">
        <f>"004"</f>
        <v>004</v>
      </c>
      <c r="AR4282">
        <v>0</v>
      </c>
      <c r="AS4282">
        <v>0</v>
      </c>
      <c r="AT4282">
        <v>3.5129999999999999</v>
      </c>
      <c r="AX4282" t="str">
        <f>"E000235802"</f>
        <v>E000235802</v>
      </c>
      <c r="BD4282" t="str">
        <f>"איציק חדד"</f>
        <v>איציק חדד</v>
      </c>
    </row>
    <row r="4283" spans="1:56" x14ac:dyDescent="0.3">
      <c r="A4283" s="1">
        <v>43066</v>
      </c>
      <c r="B4283" t="str">
        <f>"SI176001777"</f>
        <v>SI176001777</v>
      </c>
      <c r="E4283" t="str">
        <f>"Y"</f>
        <v>Y</v>
      </c>
      <c r="F4283" t="str">
        <f>"חשבוניות מרכזות"</f>
        <v>חשבוניות מרכזות</v>
      </c>
      <c r="G4283" t="str">
        <f>"700065"</f>
        <v>700065</v>
      </c>
      <c r="H4283" t="str">
        <f>"אלתא מערכות בע""מ"</f>
        <v>אלתא מערכות בע"מ</v>
      </c>
      <c r="I4283" t="str">
        <f>"10"</f>
        <v>10</v>
      </c>
      <c r="J4283" t="str">
        <f>"OP-AR00466"</f>
        <v>OP-AR00466</v>
      </c>
      <c r="K4283" t="str">
        <f>"רתמה REV;B 1036N633-001"</f>
        <v>רתמה REV;B 1036N633-001</v>
      </c>
      <c r="L4283">
        <v>3</v>
      </c>
      <c r="M4283" t="str">
        <f>"יח"</f>
        <v>יח</v>
      </c>
      <c r="N4283">
        <v>3</v>
      </c>
      <c r="O4283" t="str">
        <f>"יח"</f>
        <v>יח</v>
      </c>
      <c r="P4283">
        <v>548.1</v>
      </c>
      <c r="Q4283" t="str">
        <f>"$"</f>
        <v>$</v>
      </c>
      <c r="R4283" t="str">
        <f>"הזמנה"</f>
        <v>הזמנה</v>
      </c>
      <c r="S4283">
        <v>0</v>
      </c>
      <c r="T4283" s="2">
        <v>1644.3</v>
      </c>
      <c r="U4283">
        <v>0</v>
      </c>
      <c r="V4283" s="2">
        <v>1644.3</v>
      </c>
      <c r="W4283" t="str">
        <f>"$"</f>
        <v>$</v>
      </c>
      <c r="X4283">
        <v>0</v>
      </c>
      <c r="Y4283">
        <v>0</v>
      </c>
      <c r="Z4283">
        <v>0</v>
      </c>
      <c r="AA4283" t="str">
        <f>"Y"</f>
        <v>Y</v>
      </c>
      <c r="AB4283" t="str">
        <f>"SO17000424"</f>
        <v>SO17000424</v>
      </c>
      <c r="AC4283">
        <v>3</v>
      </c>
      <c r="AD4283" s="1">
        <v>42893</v>
      </c>
      <c r="AE4283" t="str">
        <f>"SH17002981"</f>
        <v>SH17002981</v>
      </c>
      <c r="AF4283" t="str">
        <f>"משלוחים ללקוח"</f>
        <v>משלוחים ללקוח</v>
      </c>
      <c r="AG4283" s="1">
        <v>43065</v>
      </c>
      <c r="AM4283" t="str">
        <f>"10"</f>
        <v>10</v>
      </c>
      <c r="AN4283" t="str">
        <f>"500000"</f>
        <v>500000</v>
      </c>
      <c r="AO4283" t="str">
        <f>"הכנסות  מלקוחות"</f>
        <v>הכנסות  מלקוחות</v>
      </c>
      <c r="AQ4283" t="str">
        <f>"004"</f>
        <v>004</v>
      </c>
      <c r="AR4283">
        <v>0</v>
      </c>
      <c r="AS4283">
        <v>0</v>
      </c>
      <c r="AT4283">
        <v>3.5129999999999999</v>
      </c>
      <c r="AX4283" t="str">
        <f>"E000239737"</f>
        <v>E000239737</v>
      </c>
      <c r="BD4283" t="str">
        <f>"איציק חדד"</f>
        <v>איציק חדד</v>
      </c>
    </row>
    <row r="4284" spans="1:56" x14ac:dyDescent="0.3">
      <c r="A4284" s="1">
        <v>43066</v>
      </c>
      <c r="B4284" t="str">
        <f>"SI176001777"</f>
        <v>SI176001777</v>
      </c>
      <c r="E4284" t="str">
        <f>"Y"</f>
        <v>Y</v>
      </c>
      <c r="F4284" t="str">
        <f>"חשבוניות מרכזות"</f>
        <v>חשבוניות מרכזות</v>
      </c>
      <c r="G4284" t="str">
        <f>"700065"</f>
        <v>700065</v>
      </c>
      <c r="H4284" t="str">
        <f>"אלתא מערכות בע""מ"</f>
        <v>אלתא מערכות בע"מ</v>
      </c>
      <c r="I4284" t="str">
        <f>"10"</f>
        <v>10</v>
      </c>
      <c r="J4284" t="str">
        <f>"OP-AR00466"</f>
        <v>OP-AR00466</v>
      </c>
      <c r="K4284" t="str">
        <f>"רתמה REV;B 1036N633-001"</f>
        <v>רתמה REV;B 1036N633-001</v>
      </c>
      <c r="L4284">
        <v>17</v>
      </c>
      <c r="M4284" t="str">
        <f>"יח"</f>
        <v>יח</v>
      </c>
      <c r="N4284">
        <v>17</v>
      </c>
      <c r="O4284" t="str">
        <f>"יח"</f>
        <v>יח</v>
      </c>
      <c r="P4284">
        <v>500</v>
      </c>
      <c r="Q4284" t="str">
        <f>"$"</f>
        <v>$</v>
      </c>
      <c r="R4284" t="str">
        <f>"הזמנה"</f>
        <v>הזמנה</v>
      </c>
      <c r="S4284">
        <v>0</v>
      </c>
      <c r="T4284" s="2">
        <v>8500</v>
      </c>
      <c r="U4284">
        <v>0</v>
      </c>
      <c r="V4284" s="2">
        <v>8500</v>
      </c>
      <c r="W4284" t="str">
        <f>"$"</f>
        <v>$</v>
      </c>
      <c r="X4284">
        <v>0</v>
      </c>
      <c r="Y4284">
        <v>0</v>
      </c>
      <c r="Z4284">
        <v>0</v>
      </c>
      <c r="AA4284" t="str">
        <f>"Y"</f>
        <v>Y</v>
      </c>
      <c r="AB4284" t="str">
        <f>"SO17000424"</f>
        <v>SO17000424</v>
      </c>
      <c r="AC4284">
        <v>4</v>
      </c>
      <c r="AD4284" s="1">
        <v>42893</v>
      </c>
      <c r="AE4284" t="str">
        <f>"SH17002981"</f>
        <v>SH17002981</v>
      </c>
      <c r="AF4284" t="str">
        <f>"משלוחים ללקוח"</f>
        <v>משלוחים ללקוח</v>
      </c>
      <c r="AG4284" s="1">
        <v>43065</v>
      </c>
      <c r="AM4284" t="str">
        <f>"10"</f>
        <v>10</v>
      </c>
      <c r="AN4284" t="str">
        <f>"500000"</f>
        <v>500000</v>
      </c>
      <c r="AO4284" t="str">
        <f>"הכנסות  מלקוחות"</f>
        <v>הכנסות  מלקוחות</v>
      </c>
      <c r="AQ4284" t="str">
        <f>"004"</f>
        <v>004</v>
      </c>
      <c r="AR4284">
        <v>0</v>
      </c>
      <c r="AS4284">
        <v>0</v>
      </c>
      <c r="AT4284">
        <v>3.5129999999999999</v>
      </c>
      <c r="AX4284" t="str">
        <f>"E000239737"</f>
        <v>E000239737</v>
      </c>
      <c r="BD4284" t="str">
        <f>"איציק חדד"</f>
        <v>איציק חדד</v>
      </c>
    </row>
    <row r="4285" spans="1:56" x14ac:dyDescent="0.3">
      <c r="A4285" s="1">
        <v>43066</v>
      </c>
      <c r="B4285" t="str">
        <f>"SI176001777"</f>
        <v>SI176001777</v>
      </c>
      <c r="E4285" t="str">
        <f>"Y"</f>
        <v>Y</v>
      </c>
      <c r="F4285" t="str">
        <f>"חשבוניות מרכזות"</f>
        <v>חשבוניות מרכזות</v>
      </c>
      <c r="G4285" t="str">
        <f>"700065"</f>
        <v>700065</v>
      </c>
      <c r="H4285" t="str">
        <f>"אלתא מערכות בע""מ"</f>
        <v>אלתא מערכות בע"מ</v>
      </c>
      <c r="I4285" t="str">
        <f>"10"</f>
        <v>10</v>
      </c>
      <c r="J4285" t="str">
        <f>"OP-AR00465"</f>
        <v>OP-AR00465</v>
      </c>
      <c r="K4285" t="str">
        <f>"רתמה REV;B 1036N632-001"</f>
        <v>רתמה REV;B 1036N632-001</v>
      </c>
      <c r="L4285">
        <v>3</v>
      </c>
      <c r="M4285" t="str">
        <f>"יח"</f>
        <v>יח</v>
      </c>
      <c r="N4285">
        <v>3</v>
      </c>
      <c r="O4285" t="str">
        <f>"יח"</f>
        <v>יח</v>
      </c>
      <c r="P4285">
        <v>864.68</v>
      </c>
      <c r="Q4285" t="str">
        <f>"$"</f>
        <v>$</v>
      </c>
      <c r="R4285" t="str">
        <f>"הזמנה"</f>
        <v>הזמנה</v>
      </c>
      <c r="S4285">
        <v>0</v>
      </c>
      <c r="T4285" s="2">
        <v>2594.04</v>
      </c>
      <c r="U4285">
        <v>0</v>
      </c>
      <c r="V4285" s="2">
        <v>2594.04</v>
      </c>
      <c r="W4285" t="str">
        <f>"$"</f>
        <v>$</v>
      </c>
      <c r="X4285">
        <v>0</v>
      </c>
      <c r="Y4285">
        <v>0</v>
      </c>
      <c r="Z4285">
        <v>0</v>
      </c>
      <c r="AA4285" t="str">
        <f>"Y"</f>
        <v>Y</v>
      </c>
      <c r="AB4285" t="str">
        <f>"SO17000424"</f>
        <v>SO17000424</v>
      </c>
      <c r="AC4285">
        <v>2</v>
      </c>
      <c r="AD4285" s="1">
        <v>42893</v>
      </c>
      <c r="AE4285" t="str">
        <f>"SH17002981"</f>
        <v>SH17002981</v>
      </c>
      <c r="AF4285" t="str">
        <f>"משלוחים ללקוח"</f>
        <v>משלוחים ללקוח</v>
      </c>
      <c r="AG4285" s="1">
        <v>43065</v>
      </c>
      <c r="AM4285" t="str">
        <f>"10"</f>
        <v>10</v>
      </c>
      <c r="AN4285" t="str">
        <f>"500000"</f>
        <v>500000</v>
      </c>
      <c r="AO4285" t="str">
        <f>"הכנסות  מלקוחות"</f>
        <v>הכנסות  מלקוחות</v>
      </c>
      <c r="AQ4285" t="str">
        <f>"004"</f>
        <v>004</v>
      </c>
      <c r="AR4285">
        <v>0</v>
      </c>
      <c r="AS4285">
        <v>0</v>
      </c>
      <c r="AT4285">
        <v>3.5129999999999999</v>
      </c>
      <c r="AX4285" t="str">
        <f>"E000239737"</f>
        <v>E000239737</v>
      </c>
      <c r="BD4285" t="str">
        <f>"איציק חדד"</f>
        <v>איציק חדד</v>
      </c>
    </row>
    <row r="4286" spans="1:56" x14ac:dyDescent="0.3">
      <c r="A4286" s="1">
        <v>43066</v>
      </c>
      <c r="B4286" t="str">
        <f>"SI176001777"</f>
        <v>SI176001777</v>
      </c>
      <c r="E4286" t="str">
        <f>"Y"</f>
        <v>Y</v>
      </c>
      <c r="F4286" t="str">
        <f>"חשבוניות מרכזות"</f>
        <v>חשבוניות מרכזות</v>
      </c>
      <c r="G4286" t="str">
        <f>"700065"</f>
        <v>700065</v>
      </c>
      <c r="H4286" t="str">
        <f>"אלתא מערכות בע""מ"</f>
        <v>אלתא מערכות בע"מ</v>
      </c>
      <c r="I4286" t="str">
        <f>"10"</f>
        <v>10</v>
      </c>
      <c r="J4286" t="str">
        <f>"OP-AR00465"</f>
        <v>OP-AR00465</v>
      </c>
      <c r="K4286" t="str">
        <f>"רתמה REV;B 1036N632-001"</f>
        <v>רתמה REV;B 1036N632-001</v>
      </c>
      <c r="L4286">
        <v>13</v>
      </c>
      <c r="M4286" t="str">
        <f>"יח"</f>
        <v>יח</v>
      </c>
      <c r="N4286">
        <v>13</v>
      </c>
      <c r="O4286" t="str">
        <f>"יח"</f>
        <v>יח</v>
      </c>
      <c r="P4286">
        <v>788</v>
      </c>
      <c r="Q4286" t="str">
        <f>"$"</f>
        <v>$</v>
      </c>
      <c r="R4286" t="str">
        <f>"הזמנה"</f>
        <v>הזמנה</v>
      </c>
      <c r="S4286">
        <v>0</v>
      </c>
      <c r="T4286" s="2">
        <v>10244</v>
      </c>
      <c r="U4286">
        <v>0</v>
      </c>
      <c r="V4286" s="2">
        <v>10244</v>
      </c>
      <c r="W4286" t="str">
        <f>"$"</f>
        <v>$</v>
      </c>
      <c r="X4286">
        <v>0</v>
      </c>
      <c r="Y4286">
        <v>0</v>
      </c>
      <c r="Z4286">
        <v>0</v>
      </c>
      <c r="AA4286" t="str">
        <f>"Y"</f>
        <v>Y</v>
      </c>
      <c r="AB4286" t="str">
        <f>"SO17000424"</f>
        <v>SO17000424</v>
      </c>
      <c r="AC4286">
        <v>5</v>
      </c>
      <c r="AD4286" s="1">
        <v>42893</v>
      </c>
      <c r="AE4286" t="str">
        <f>"SH17002981"</f>
        <v>SH17002981</v>
      </c>
      <c r="AF4286" t="str">
        <f>"משלוחים ללקוח"</f>
        <v>משלוחים ללקוח</v>
      </c>
      <c r="AG4286" s="1">
        <v>43065</v>
      </c>
      <c r="AM4286" t="str">
        <f>"10"</f>
        <v>10</v>
      </c>
      <c r="AN4286" t="str">
        <f>"500000"</f>
        <v>500000</v>
      </c>
      <c r="AO4286" t="str">
        <f>"הכנסות  מלקוחות"</f>
        <v>הכנסות  מלקוחות</v>
      </c>
      <c r="AQ4286" t="str">
        <f>"004"</f>
        <v>004</v>
      </c>
      <c r="AR4286">
        <v>0</v>
      </c>
      <c r="AS4286">
        <v>0</v>
      </c>
      <c r="AT4286">
        <v>3.5129999999999999</v>
      </c>
      <c r="AX4286" t="str">
        <f>"E000239737"</f>
        <v>E000239737</v>
      </c>
      <c r="BD4286" t="str">
        <f>"איציק חדד"</f>
        <v>איציק חדד</v>
      </c>
    </row>
    <row r="4287" spans="1:56" x14ac:dyDescent="0.3">
      <c r="A4287" s="1">
        <v>43066</v>
      </c>
      <c r="B4287" t="str">
        <f>"SI176001776"</f>
        <v>SI176001776</v>
      </c>
      <c r="C4287" t="str">
        <f>"PR17001533"</f>
        <v>PR17001533</v>
      </c>
      <c r="D4287" t="str">
        <f>"PR17001533"</f>
        <v>PR17001533</v>
      </c>
      <c r="E4287" t="str">
        <f>"Y"</f>
        <v>Y</v>
      </c>
      <c r="F4287" t="str">
        <f>"חשבוניות מרכזות"</f>
        <v>חשבוניות מרכזות</v>
      </c>
      <c r="G4287" t="str">
        <f>"700065"</f>
        <v>700065</v>
      </c>
      <c r="H4287" t="str">
        <f>"אלתא מערכות בע""מ"</f>
        <v>אלתא מערכות בע"מ</v>
      </c>
      <c r="I4287" t="str">
        <f>"10"</f>
        <v>10</v>
      </c>
      <c r="J4287" t="str">
        <f>"OP-AR00559"</f>
        <v>OP-AR00559</v>
      </c>
      <c r="K4287" t="str">
        <f>"Remote Control Box 1038N250-001"</f>
        <v>Remote Control Box 1038N250-001</v>
      </c>
      <c r="L4287">
        <v>2</v>
      </c>
      <c r="M4287" t="str">
        <f>"יח"</f>
        <v>יח</v>
      </c>
      <c r="N4287">
        <v>2</v>
      </c>
      <c r="O4287" t="str">
        <f>"יח"</f>
        <v>יח</v>
      </c>
      <c r="P4287" s="2">
        <v>4601</v>
      </c>
      <c r="Q4287" t="str">
        <f>"$"</f>
        <v>$</v>
      </c>
      <c r="R4287" t="str">
        <f>"הזמנה"</f>
        <v>הזמנה</v>
      </c>
      <c r="S4287">
        <v>0</v>
      </c>
      <c r="T4287" s="2">
        <v>9202</v>
      </c>
      <c r="U4287">
        <v>0</v>
      </c>
      <c r="V4287" s="2">
        <v>9202</v>
      </c>
      <c r="W4287" t="str">
        <f>"$"</f>
        <v>$</v>
      </c>
      <c r="X4287">
        <v>0</v>
      </c>
      <c r="Y4287">
        <v>0</v>
      </c>
      <c r="Z4287">
        <v>0</v>
      </c>
      <c r="AA4287" t="str">
        <f>"Y"</f>
        <v>Y</v>
      </c>
      <c r="AB4287" t="str">
        <f>"SO17000195"</f>
        <v>SO17000195</v>
      </c>
      <c r="AC4287">
        <v>1</v>
      </c>
      <c r="AD4287" s="1">
        <v>42803</v>
      </c>
      <c r="AE4287" t="str">
        <f>"SH17003001"</f>
        <v>SH17003001</v>
      </c>
      <c r="AF4287" t="str">
        <f>"משלוחים ללקוח"</f>
        <v>משלוחים ללקוח</v>
      </c>
      <c r="AG4287" s="1">
        <v>43066</v>
      </c>
      <c r="AM4287" t="str">
        <f>"10"</f>
        <v>10</v>
      </c>
      <c r="AN4287" t="str">
        <f>"500000"</f>
        <v>500000</v>
      </c>
      <c r="AO4287" t="str">
        <f>"הכנסות  מלקוחות"</f>
        <v>הכנסות  מלקוחות</v>
      </c>
      <c r="AQ4287" t="str">
        <f>"007"</f>
        <v>007</v>
      </c>
      <c r="AR4287">
        <v>0</v>
      </c>
      <c r="AS4287">
        <v>0</v>
      </c>
      <c r="AT4287">
        <v>3.5129999999999999</v>
      </c>
      <c r="AX4287" t="str">
        <f>"E000234665"</f>
        <v>E000234665</v>
      </c>
      <c r="BD4287" t="str">
        <f>"רוני דידי"</f>
        <v>רוני דידי</v>
      </c>
    </row>
    <row r="4288" spans="1:56" x14ac:dyDescent="0.3">
      <c r="A4288" s="1">
        <v>43059</v>
      </c>
      <c r="B4288" t="str">
        <f>"SI176001758"</f>
        <v>SI176001758</v>
      </c>
      <c r="C4288" t="str">
        <f>"PR17001701"</f>
        <v>PR17001701</v>
      </c>
      <c r="E4288" t="str">
        <f>"Y"</f>
        <v>Y</v>
      </c>
      <c r="F4288" t="str">
        <f>"חשבוניות מרכזות"</f>
        <v>חשבוניות מרכזות</v>
      </c>
      <c r="G4288" t="str">
        <f>"700065"</f>
        <v>700065</v>
      </c>
      <c r="H4288" t="str">
        <f>"אלתא מערכות בע""מ"</f>
        <v>אלתא מערכות בע"מ</v>
      </c>
      <c r="I4288" t="str">
        <f>"10"</f>
        <v>10</v>
      </c>
      <c r="J4288" t="str">
        <f>"OP-AR00540"</f>
        <v>OP-AR00540</v>
      </c>
      <c r="K4288" t="str">
        <f>"רתמה 1032H441-002"</f>
        <v>רתמה 1032H441-002</v>
      </c>
      <c r="L4288">
        <v>5</v>
      </c>
      <c r="M4288" t="str">
        <f>"יח"</f>
        <v>יח</v>
      </c>
      <c r="N4288">
        <v>5</v>
      </c>
      <c r="O4288" t="str">
        <f>"יח"</f>
        <v>יח</v>
      </c>
      <c r="P4288">
        <v>550</v>
      </c>
      <c r="Q4288" t="str">
        <f>"$"</f>
        <v>$</v>
      </c>
      <c r="R4288" t="str">
        <f>"הזמנה"</f>
        <v>הזמנה</v>
      </c>
      <c r="S4288">
        <v>0</v>
      </c>
      <c r="T4288" s="2">
        <v>2750</v>
      </c>
      <c r="U4288">
        <v>0</v>
      </c>
      <c r="V4288" s="2">
        <v>2750</v>
      </c>
      <c r="W4288" t="str">
        <f>"$"</f>
        <v>$</v>
      </c>
      <c r="X4288">
        <v>0</v>
      </c>
      <c r="Y4288">
        <v>0</v>
      </c>
      <c r="Z4288">
        <v>0</v>
      </c>
      <c r="AA4288" t="str">
        <f>"Y"</f>
        <v>Y</v>
      </c>
      <c r="AB4288" t="str">
        <f>"SO17000346"</f>
        <v>SO17000346</v>
      </c>
      <c r="AC4288">
        <v>8</v>
      </c>
      <c r="AD4288" s="1">
        <v>42877</v>
      </c>
      <c r="AE4288" t="str">
        <f>"SH17002917"</f>
        <v>SH17002917</v>
      </c>
      <c r="AF4288" t="str">
        <f>"משלוחים ללקוח"</f>
        <v>משלוחים ללקוח</v>
      </c>
      <c r="AG4288" s="1">
        <v>43059</v>
      </c>
      <c r="AM4288" t="str">
        <f>"10"</f>
        <v>10</v>
      </c>
      <c r="AN4288" t="str">
        <f>"500000"</f>
        <v>500000</v>
      </c>
      <c r="AO4288" t="str">
        <f>"הכנסות  מלקוחות"</f>
        <v>הכנסות  מלקוחות</v>
      </c>
      <c r="AQ4288" t="str">
        <f>"004"</f>
        <v>004</v>
      </c>
      <c r="AR4288">
        <v>0</v>
      </c>
      <c r="AS4288">
        <v>0</v>
      </c>
      <c r="AT4288">
        <v>3.516</v>
      </c>
      <c r="AX4288" t="str">
        <f>"E000235802"</f>
        <v>E000235802</v>
      </c>
      <c r="BD4288" t="str">
        <f>"איציק חדד"</f>
        <v>איציק חדד</v>
      </c>
    </row>
    <row r="4289" spans="1:56" x14ac:dyDescent="0.3">
      <c r="A4289" s="1">
        <v>43052</v>
      </c>
      <c r="B4289" t="str">
        <f>"SI176001723"</f>
        <v>SI176001723</v>
      </c>
      <c r="C4289" t="str">
        <f>"PR17001701"</f>
        <v>PR17001701</v>
      </c>
      <c r="E4289" t="str">
        <f>"Y"</f>
        <v>Y</v>
      </c>
      <c r="F4289" t="str">
        <f>"חשבוניות מרכזות"</f>
        <v>חשבוניות מרכזות</v>
      </c>
      <c r="G4289" t="str">
        <f>"700065"</f>
        <v>700065</v>
      </c>
      <c r="H4289" t="str">
        <f>"אלתא מערכות בע""מ"</f>
        <v>אלתא מערכות בע"מ</v>
      </c>
      <c r="I4289" t="str">
        <f>"10"</f>
        <v>10</v>
      </c>
      <c r="J4289" t="str">
        <f>"OP-AR00540"</f>
        <v>OP-AR00540</v>
      </c>
      <c r="K4289" t="str">
        <f>"רתמה 1032H441-002"</f>
        <v>רתמה 1032H441-002</v>
      </c>
      <c r="L4289">
        <v>5</v>
      </c>
      <c r="M4289" t="str">
        <f>"יח"</f>
        <v>יח</v>
      </c>
      <c r="N4289">
        <v>5</v>
      </c>
      <c r="O4289" t="str">
        <f>"יח"</f>
        <v>יח</v>
      </c>
      <c r="P4289">
        <v>550</v>
      </c>
      <c r="Q4289" t="str">
        <f>"$"</f>
        <v>$</v>
      </c>
      <c r="R4289" t="str">
        <f>"הזמנה"</f>
        <v>הזמנה</v>
      </c>
      <c r="S4289">
        <v>0</v>
      </c>
      <c r="T4289" s="2">
        <v>2750</v>
      </c>
      <c r="U4289">
        <v>0</v>
      </c>
      <c r="V4289" s="2">
        <v>2750</v>
      </c>
      <c r="W4289" t="str">
        <f>"$"</f>
        <v>$</v>
      </c>
      <c r="X4289">
        <v>0</v>
      </c>
      <c r="Y4289">
        <v>0</v>
      </c>
      <c r="Z4289">
        <v>0</v>
      </c>
      <c r="AA4289" t="str">
        <f>"Y"</f>
        <v>Y</v>
      </c>
      <c r="AB4289" t="str">
        <f>"SO17000346"</f>
        <v>SO17000346</v>
      </c>
      <c r="AC4289">
        <v>8</v>
      </c>
      <c r="AD4289" s="1">
        <v>42877</v>
      </c>
      <c r="AE4289" t="str">
        <f>"SH17002857"</f>
        <v>SH17002857</v>
      </c>
      <c r="AF4289" t="str">
        <f>"משלוחים ללקוח"</f>
        <v>משלוחים ללקוח</v>
      </c>
      <c r="AG4289" s="1">
        <v>43051</v>
      </c>
      <c r="AM4289" t="str">
        <f>"10"</f>
        <v>10</v>
      </c>
      <c r="AN4289" t="str">
        <f>"500000"</f>
        <v>500000</v>
      </c>
      <c r="AO4289" t="str">
        <f>"הכנסות  מלקוחות"</f>
        <v>הכנסות  מלקוחות</v>
      </c>
      <c r="AQ4289" t="str">
        <f>"004"</f>
        <v>004</v>
      </c>
      <c r="AR4289">
        <v>0</v>
      </c>
      <c r="AS4289">
        <v>0</v>
      </c>
      <c r="AT4289">
        <v>3.5289999999999999</v>
      </c>
      <c r="AX4289" t="str">
        <f>"E000235802"</f>
        <v>E000235802</v>
      </c>
      <c r="BD4289" t="str">
        <f>"איציק חדד"</f>
        <v>איציק חדד</v>
      </c>
    </row>
    <row r="4290" spans="1:56" x14ac:dyDescent="0.3">
      <c r="A4290" s="1">
        <v>43045</v>
      </c>
      <c r="B4290" t="str">
        <f>"SI176001683"</f>
        <v>SI176001683</v>
      </c>
      <c r="C4290" t="str">
        <f>"PR16000867"</f>
        <v>PR16000867</v>
      </c>
      <c r="E4290" t="str">
        <f>"Y"</f>
        <v>Y</v>
      </c>
      <c r="F4290" t="str">
        <f>"חשבוניות מרכזות"</f>
        <v>חשבוניות מרכזות</v>
      </c>
      <c r="G4290" t="str">
        <f>"700065"</f>
        <v>700065</v>
      </c>
      <c r="H4290" t="str">
        <f>"אלתא מערכות בע""מ"</f>
        <v>אלתא מערכות בע"מ</v>
      </c>
      <c r="I4290" t="str">
        <f>"10"</f>
        <v>10</v>
      </c>
      <c r="J4290" t="str">
        <f>"OP-AR00420"</f>
        <v>OP-AR00420</v>
      </c>
      <c r="K4290" t="str">
        <f>"CONTROL BOX 1037N840-001"</f>
        <v>CONTROL BOX 1037N840-001</v>
      </c>
      <c r="L4290">
        <v>1</v>
      </c>
      <c r="M4290" t="str">
        <f>"יח"</f>
        <v>יח</v>
      </c>
      <c r="N4290">
        <v>1</v>
      </c>
      <c r="O4290" t="str">
        <f>"יח"</f>
        <v>יח</v>
      </c>
      <c r="P4290" s="2">
        <v>4709.25</v>
      </c>
      <c r="Q4290" t="str">
        <f>"$"</f>
        <v>$</v>
      </c>
      <c r="R4290" t="str">
        <f>"הזמנה"</f>
        <v>הזמנה</v>
      </c>
      <c r="S4290">
        <v>0</v>
      </c>
      <c r="T4290" s="2">
        <v>4709.25</v>
      </c>
      <c r="U4290">
        <v>0</v>
      </c>
      <c r="V4290" s="2">
        <v>4709.25</v>
      </c>
      <c r="W4290" t="str">
        <f>"$"</f>
        <v>$</v>
      </c>
      <c r="X4290">
        <v>0</v>
      </c>
      <c r="Y4290">
        <v>0</v>
      </c>
      <c r="Z4290">
        <v>0</v>
      </c>
      <c r="AA4290" t="str">
        <f>"Y"</f>
        <v>Y</v>
      </c>
      <c r="AC4290">
        <v>0</v>
      </c>
      <c r="AM4290" t="str">
        <f>"10"</f>
        <v>10</v>
      </c>
      <c r="AN4290" t="str">
        <f>"500000"</f>
        <v>500000</v>
      </c>
      <c r="AO4290" t="str">
        <f>"הכנסות  מלקוחות"</f>
        <v>הכנסות  מלקוחות</v>
      </c>
      <c r="AQ4290" t="str">
        <f>"007"</f>
        <v>007</v>
      </c>
      <c r="AR4290">
        <v>0</v>
      </c>
      <c r="AS4290">
        <v>0</v>
      </c>
      <c r="AT4290">
        <v>3.5129999999999999</v>
      </c>
      <c r="BB4290" t="str">
        <f>"Y"</f>
        <v>Y</v>
      </c>
      <c r="BD4290" t="str">
        <f>"רוני דידי"</f>
        <v>רוני דידי</v>
      </c>
    </row>
    <row r="4291" spans="1:56" x14ac:dyDescent="0.3">
      <c r="A4291" s="1">
        <v>43039</v>
      </c>
      <c r="B4291" t="str">
        <f>"SI176001667"</f>
        <v>SI176001667</v>
      </c>
      <c r="C4291" t="str">
        <f>"PR16000776"</f>
        <v>PR16000776</v>
      </c>
      <c r="D4291" t="str">
        <f>"PR16000776"</f>
        <v>PR16000776</v>
      </c>
      <c r="E4291" t="str">
        <f>"Y"</f>
        <v>Y</v>
      </c>
      <c r="F4291" t="str">
        <f>"חשבוניות מרכזות"</f>
        <v>חשבוניות מרכזות</v>
      </c>
      <c r="G4291" t="str">
        <f>"700065"</f>
        <v>700065</v>
      </c>
      <c r="H4291" t="str">
        <f>"אלתא מערכות בע""מ"</f>
        <v>אלתא מערכות בע"מ</v>
      </c>
      <c r="I4291" t="str">
        <f>"10"</f>
        <v>10</v>
      </c>
      <c r="J4291" t="str">
        <f>"OP-AR00402"</f>
        <v>OP-AR00402</v>
      </c>
      <c r="K4291" t="str">
        <f>"RADAR POWER SYSTEM 1039R900-001"</f>
        <v>RADAR POWER SYSTEM 1039R900-001</v>
      </c>
      <c r="L4291">
        <v>1</v>
      </c>
      <c r="M4291" t="str">
        <f>"יח"</f>
        <v>יח</v>
      </c>
      <c r="N4291">
        <v>1</v>
      </c>
      <c r="O4291" t="str">
        <f>"יח"</f>
        <v>יח</v>
      </c>
      <c r="P4291" s="2">
        <v>207191.66</v>
      </c>
      <c r="Q4291" t="str">
        <f>"$"</f>
        <v>$</v>
      </c>
      <c r="R4291" t="str">
        <f>"הזמנה"</f>
        <v>הזמנה</v>
      </c>
      <c r="S4291">
        <v>0</v>
      </c>
      <c r="T4291" s="2">
        <v>207191.66</v>
      </c>
      <c r="U4291">
        <v>0</v>
      </c>
      <c r="V4291" s="2">
        <v>207191.66</v>
      </c>
      <c r="W4291" t="str">
        <f>"$"</f>
        <v>$</v>
      </c>
      <c r="X4291">
        <v>0</v>
      </c>
      <c r="Y4291">
        <v>0</v>
      </c>
      <c r="Z4291">
        <v>0</v>
      </c>
      <c r="AA4291" t="str">
        <f>"Y"</f>
        <v>Y</v>
      </c>
      <c r="AB4291" t="str">
        <f>"SO160000582"</f>
        <v>SO160000582</v>
      </c>
      <c r="AC4291">
        <v>3</v>
      </c>
      <c r="AD4291" s="1">
        <v>42590</v>
      </c>
      <c r="AE4291" t="str">
        <f>"SH17002722"</f>
        <v>SH17002722</v>
      </c>
      <c r="AF4291" t="str">
        <f>"משלוחים ללקוח"</f>
        <v>משלוחים ללקוח</v>
      </c>
      <c r="AG4291" s="1">
        <v>43039</v>
      </c>
      <c r="AM4291" t="str">
        <f>"10"</f>
        <v>10</v>
      </c>
      <c r="AN4291" t="str">
        <f>"500000"</f>
        <v>500000</v>
      </c>
      <c r="AO4291" t="str">
        <f>"הכנסות  מלקוחות"</f>
        <v>הכנסות  מלקוחות</v>
      </c>
      <c r="AQ4291" t="str">
        <f>"007"</f>
        <v>007</v>
      </c>
      <c r="AR4291">
        <v>0</v>
      </c>
      <c r="AS4291">
        <v>0</v>
      </c>
      <c r="AT4291">
        <v>3.5209999999999999</v>
      </c>
      <c r="AX4291" t="str">
        <f>"E000221675"</f>
        <v>E000221675</v>
      </c>
      <c r="BD4291" t="str">
        <f>"רוני דידי"</f>
        <v>רוני דידי</v>
      </c>
    </row>
    <row r="4292" spans="1:56" x14ac:dyDescent="0.3">
      <c r="A4292" s="1">
        <v>43039</v>
      </c>
      <c r="B4292" t="str">
        <f>"SI176001663"</f>
        <v>SI176001663</v>
      </c>
      <c r="E4292" t="str">
        <f>"Y"</f>
        <v>Y</v>
      </c>
      <c r="F4292" t="str">
        <f>"חשבוניות מרכזות"</f>
        <v>חשבוניות מרכזות</v>
      </c>
      <c r="G4292" t="str">
        <f>"700065"</f>
        <v>700065</v>
      </c>
      <c r="H4292" t="str">
        <f>"אלתא מערכות בע""מ"</f>
        <v>אלתא מערכות בע"מ</v>
      </c>
      <c r="I4292" t="str">
        <f>"10"</f>
        <v>10</v>
      </c>
      <c r="J4292" t="str">
        <f>"OP-ML00095"</f>
        <v>OP-ML00095</v>
      </c>
      <c r="K4292" t="str">
        <f>"רתמה 1038R273-002 PEDESTAL LIGHT CABLE"</f>
        <v>רתמה 1038R273-002 PEDESTAL LIGHT CABLE</v>
      </c>
      <c r="L4292">
        <v>3</v>
      </c>
      <c r="M4292" t="str">
        <f>"יח"</f>
        <v>יח</v>
      </c>
      <c r="N4292">
        <v>3</v>
      </c>
      <c r="O4292" t="str">
        <f>"יח"</f>
        <v>יח</v>
      </c>
      <c r="P4292">
        <v>340</v>
      </c>
      <c r="Q4292" t="str">
        <f>"$"</f>
        <v>$</v>
      </c>
      <c r="R4292" t="str">
        <f>"הזמנה"</f>
        <v>הזמנה</v>
      </c>
      <c r="S4292">
        <v>0</v>
      </c>
      <c r="T4292" s="2">
        <v>1020</v>
      </c>
      <c r="U4292">
        <v>0</v>
      </c>
      <c r="V4292" s="2">
        <v>1020</v>
      </c>
      <c r="W4292" t="str">
        <f>"$"</f>
        <v>$</v>
      </c>
      <c r="X4292">
        <v>0</v>
      </c>
      <c r="Y4292">
        <v>0</v>
      </c>
      <c r="Z4292">
        <v>0</v>
      </c>
      <c r="AA4292" t="str">
        <f>"Y"</f>
        <v>Y</v>
      </c>
      <c r="AB4292" t="str">
        <f>"SO17000574"</f>
        <v>SO17000574</v>
      </c>
      <c r="AC4292">
        <v>1</v>
      </c>
      <c r="AD4292" s="1">
        <v>42968</v>
      </c>
      <c r="AE4292" t="str">
        <f>"SH17002717"</f>
        <v>SH17002717</v>
      </c>
      <c r="AF4292" t="str">
        <f>"משלוחים ללקוח"</f>
        <v>משלוחים ללקוח</v>
      </c>
      <c r="AG4292" s="1">
        <v>43039</v>
      </c>
      <c r="AM4292" t="str">
        <f>"10"</f>
        <v>10</v>
      </c>
      <c r="AN4292" t="str">
        <f>"500000"</f>
        <v>500000</v>
      </c>
      <c r="AO4292" t="str">
        <f>"הכנסות  מלקוחות"</f>
        <v>הכנסות  מלקוחות</v>
      </c>
      <c r="AQ4292" t="str">
        <f>"007"</f>
        <v>007</v>
      </c>
      <c r="AR4292">
        <v>0</v>
      </c>
      <c r="AS4292">
        <v>0</v>
      </c>
      <c r="AT4292">
        <v>3.5209999999999999</v>
      </c>
      <c r="AX4292" t="str">
        <f>"E000243269"</f>
        <v>E000243269</v>
      </c>
      <c r="BD4292" t="str">
        <f>"רוני דידי"</f>
        <v>רוני דידי</v>
      </c>
    </row>
    <row r="4293" spans="1:56" x14ac:dyDescent="0.3">
      <c r="A4293" s="1">
        <v>43039</v>
      </c>
      <c r="B4293" t="str">
        <f>"SI176001663"</f>
        <v>SI176001663</v>
      </c>
      <c r="E4293" t="str">
        <f>"Y"</f>
        <v>Y</v>
      </c>
      <c r="F4293" t="str">
        <f>"חשבוניות מרכזות"</f>
        <v>חשבוניות מרכזות</v>
      </c>
      <c r="G4293" t="str">
        <f>"700065"</f>
        <v>700065</v>
      </c>
      <c r="H4293" t="str">
        <f>"אלתא מערכות בע""מ"</f>
        <v>אלתא מערכות בע"מ</v>
      </c>
      <c r="I4293" t="str">
        <f>"10"</f>
        <v>10</v>
      </c>
      <c r="J4293" t="str">
        <f>"OP-ML00094"</f>
        <v>OP-ML00094</v>
      </c>
      <c r="K4293" t="str">
        <f>"רתמה 1038R274-001 LIGHT DOOR CABLE"</f>
        <v>רתמה 1038R274-001 LIGHT DOOR CABLE</v>
      </c>
      <c r="L4293">
        <v>36</v>
      </c>
      <c r="M4293" t="str">
        <f>"יח"</f>
        <v>יח</v>
      </c>
      <c r="N4293">
        <v>36</v>
      </c>
      <c r="O4293" t="str">
        <f>"יח"</f>
        <v>יח</v>
      </c>
      <c r="P4293">
        <v>294.5</v>
      </c>
      <c r="Q4293" t="str">
        <f>"$"</f>
        <v>$</v>
      </c>
      <c r="R4293" t="str">
        <f>"הזמנה"</f>
        <v>הזמנה</v>
      </c>
      <c r="S4293">
        <v>0</v>
      </c>
      <c r="T4293" s="2">
        <v>10602</v>
      </c>
      <c r="U4293">
        <v>0</v>
      </c>
      <c r="V4293" s="2">
        <v>10602</v>
      </c>
      <c r="W4293" t="str">
        <f>"$"</f>
        <v>$</v>
      </c>
      <c r="X4293">
        <v>0</v>
      </c>
      <c r="Y4293">
        <v>0</v>
      </c>
      <c r="Z4293">
        <v>0</v>
      </c>
      <c r="AA4293" t="str">
        <f>"Y"</f>
        <v>Y</v>
      </c>
      <c r="AB4293" t="str">
        <f>"SO17000574"</f>
        <v>SO17000574</v>
      </c>
      <c r="AC4293">
        <v>2</v>
      </c>
      <c r="AD4293" s="1">
        <v>42968</v>
      </c>
      <c r="AE4293" t="str">
        <f>"SH17002716"</f>
        <v>SH17002716</v>
      </c>
      <c r="AF4293" t="str">
        <f>"משלוחים ללקוח"</f>
        <v>משלוחים ללקוח</v>
      </c>
      <c r="AG4293" s="1">
        <v>43039</v>
      </c>
      <c r="AM4293" t="str">
        <f>"10"</f>
        <v>10</v>
      </c>
      <c r="AN4293" t="str">
        <f>"500000"</f>
        <v>500000</v>
      </c>
      <c r="AO4293" t="str">
        <f>"הכנסות  מלקוחות"</f>
        <v>הכנסות  מלקוחות</v>
      </c>
      <c r="AQ4293" t="str">
        <f>"007"</f>
        <v>007</v>
      </c>
      <c r="AR4293">
        <v>0</v>
      </c>
      <c r="AS4293">
        <v>0</v>
      </c>
      <c r="AT4293">
        <v>3.5209999999999999</v>
      </c>
      <c r="AX4293" t="str">
        <f>"E000243269"</f>
        <v>E000243269</v>
      </c>
      <c r="BD4293" t="str">
        <f>"רוני דידי"</f>
        <v>רוני דידי</v>
      </c>
    </row>
    <row r="4294" spans="1:56" x14ac:dyDescent="0.3">
      <c r="A4294" s="1">
        <v>43034</v>
      </c>
      <c r="B4294" t="str">
        <f>"SI176001620"</f>
        <v>SI176001620</v>
      </c>
      <c r="C4294" t="str">
        <f>"PR17001701"</f>
        <v>PR17001701</v>
      </c>
      <c r="E4294" t="str">
        <f>"Y"</f>
        <v>Y</v>
      </c>
      <c r="F4294" t="str">
        <f>"חשבוניות מרכזות"</f>
        <v>חשבוניות מרכזות</v>
      </c>
      <c r="G4294" t="str">
        <f>"700065"</f>
        <v>700065</v>
      </c>
      <c r="H4294" t="str">
        <f>"אלתא מערכות בע""מ"</f>
        <v>אלתא מערכות בע"מ</v>
      </c>
      <c r="I4294" t="str">
        <f>"10"</f>
        <v>10</v>
      </c>
      <c r="J4294" t="str">
        <f>"OP-AR00540"</f>
        <v>OP-AR00540</v>
      </c>
      <c r="K4294" t="str">
        <f>"רתמה 1032H441-002"</f>
        <v>רתמה 1032H441-002</v>
      </c>
      <c r="L4294">
        <v>4</v>
      </c>
      <c r="M4294" t="str">
        <f>"יח"</f>
        <v>יח</v>
      </c>
      <c r="N4294">
        <v>4</v>
      </c>
      <c r="O4294" t="str">
        <f>"יח"</f>
        <v>יח</v>
      </c>
      <c r="P4294">
        <v>550</v>
      </c>
      <c r="Q4294" t="str">
        <f>"$"</f>
        <v>$</v>
      </c>
      <c r="R4294" t="str">
        <f>"הזמנה"</f>
        <v>הזמנה</v>
      </c>
      <c r="S4294">
        <v>0</v>
      </c>
      <c r="T4294" s="2">
        <v>2200</v>
      </c>
      <c r="U4294">
        <v>0</v>
      </c>
      <c r="V4294" s="2">
        <v>2200</v>
      </c>
      <c r="W4294" t="str">
        <f>"$"</f>
        <v>$</v>
      </c>
      <c r="X4294">
        <v>0</v>
      </c>
      <c r="Y4294">
        <v>0</v>
      </c>
      <c r="Z4294">
        <v>0</v>
      </c>
      <c r="AA4294" t="str">
        <f>"Y"</f>
        <v>Y</v>
      </c>
      <c r="AB4294" t="str">
        <f>"SO17000346"</f>
        <v>SO17000346</v>
      </c>
      <c r="AC4294">
        <v>8</v>
      </c>
      <c r="AD4294" s="1">
        <v>42877</v>
      </c>
      <c r="AE4294" t="str">
        <f>"SH17002647"</f>
        <v>SH17002647</v>
      </c>
      <c r="AF4294" t="str">
        <f>"משלוחים ללקוח"</f>
        <v>משלוחים ללקוח</v>
      </c>
      <c r="AG4294" s="1">
        <v>43033</v>
      </c>
      <c r="AM4294" t="str">
        <f>"10"</f>
        <v>10</v>
      </c>
      <c r="AN4294" t="str">
        <f>"500000"</f>
        <v>500000</v>
      </c>
      <c r="AO4294" t="str">
        <f>"הכנסות  מלקוחות"</f>
        <v>הכנסות  מלקוחות</v>
      </c>
      <c r="AQ4294" t="str">
        <f>"004"</f>
        <v>004</v>
      </c>
      <c r="AR4294">
        <v>0</v>
      </c>
      <c r="AS4294">
        <v>0</v>
      </c>
      <c r="AT4294">
        <v>3.512</v>
      </c>
      <c r="AX4294" t="str">
        <f>"E000235802"</f>
        <v>E000235802</v>
      </c>
      <c r="BD4294" t="str">
        <f>"איציק חדד"</f>
        <v>איציק חדד</v>
      </c>
    </row>
    <row r="4295" spans="1:56" x14ac:dyDescent="0.3">
      <c r="A4295" s="1">
        <v>43033</v>
      </c>
      <c r="B4295" t="str">
        <f>"SI176001606"</f>
        <v>SI176001606</v>
      </c>
      <c r="E4295" t="str">
        <f>"Y"</f>
        <v>Y</v>
      </c>
      <c r="F4295" t="str">
        <f>"חשבוניות מרכזות"</f>
        <v>חשבוניות מרכזות</v>
      </c>
      <c r="G4295" t="str">
        <f>"700065"</f>
        <v>700065</v>
      </c>
      <c r="H4295" t="str">
        <f>"אלתא מערכות בע""מ"</f>
        <v>אלתא מערכות בע"מ</v>
      </c>
      <c r="I4295" t="str">
        <f>"10"</f>
        <v>10</v>
      </c>
      <c r="J4295" t="str">
        <f>"OP-AR00468"</f>
        <v>OP-AR00468</v>
      </c>
      <c r="K4295" t="str">
        <f>"208V/25A/3PH AC PCU CONTROL BOX"</f>
        <v>208V/25A/3PH AC PCU CONTROL BOX</v>
      </c>
      <c r="L4295">
        <v>1</v>
      </c>
      <c r="M4295" t="str">
        <f>"יח"</f>
        <v>יח</v>
      </c>
      <c r="N4295">
        <v>1</v>
      </c>
      <c r="O4295" t="str">
        <f>"יח"</f>
        <v>יח</v>
      </c>
      <c r="P4295" s="2">
        <v>3734.5</v>
      </c>
      <c r="Q4295" t="str">
        <f>"$"</f>
        <v>$</v>
      </c>
      <c r="R4295" t="str">
        <f>"הזמנה"</f>
        <v>הזמנה</v>
      </c>
      <c r="S4295">
        <v>0</v>
      </c>
      <c r="T4295" s="2">
        <v>3734.5</v>
      </c>
      <c r="U4295">
        <v>0</v>
      </c>
      <c r="V4295" s="2">
        <v>3734.5</v>
      </c>
      <c r="W4295" t="str">
        <f>"$"</f>
        <v>$</v>
      </c>
      <c r="X4295">
        <v>0</v>
      </c>
      <c r="Y4295">
        <v>0</v>
      </c>
      <c r="Z4295">
        <v>0</v>
      </c>
      <c r="AA4295" t="str">
        <f>"Y"</f>
        <v>Y</v>
      </c>
      <c r="AB4295" t="str">
        <f>"SO17000246"</f>
        <v>SO17000246</v>
      </c>
      <c r="AC4295">
        <v>2</v>
      </c>
      <c r="AD4295" s="1">
        <v>42822</v>
      </c>
      <c r="AE4295" t="str">
        <f>"SH17002635"</f>
        <v>SH17002635</v>
      </c>
      <c r="AF4295" t="str">
        <f>"משלוחים ללקוח"</f>
        <v>משלוחים ללקוח</v>
      </c>
      <c r="AG4295" s="1">
        <v>43032</v>
      </c>
      <c r="AM4295" t="str">
        <f>"10"</f>
        <v>10</v>
      </c>
      <c r="AN4295" t="str">
        <f>"500000"</f>
        <v>500000</v>
      </c>
      <c r="AO4295" t="str">
        <f>"הכנסות  מלקוחות"</f>
        <v>הכנסות  מלקוחות</v>
      </c>
      <c r="AQ4295" t="str">
        <f>"007"</f>
        <v>007</v>
      </c>
      <c r="AR4295">
        <v>0</v>
      </c>
      <c r="AS4295">
        <v>0</v>
      </c>
      <c r="AT4295">
        <v>3.5009999999999999</v>
      </c>
      <c r="AX4295" t="str">
        <f>"E000235349"</f>
        <v>E000235349</v>
      </c>
      <c r="BD4295" t="str">
        <f>"רוני דידי"</f>
        <v>רוני דידי</v>
      </c>
    </row>
    <row r="4296" spans="1:56" x14ac:dyDescent="0.3">
      <c r="A4296" s="1">
        <v>43033</v>
      </c>
      <c r="B4296" t="str">
        <f>"SI176001606"</f>
        <v>SI176001606</v>
      </c>
      <c r="E4296" t="str">
        <f>"Y"</f>
        <v>Y</v>
      </c>
      <c r="F4296" t="str">
        <f>"חשבוניות מרכזות"</f>
        <v>חשבוניות מרכזות</v>
      </c>
      <c r="G4296" t="str">
        <f>"700065"</f>
        <v>700065</v>
      </c>
      <c r="H4296" t="str">
        <f>"אלתא מערכות בע""מ"</f>
        <v>אלתא מערכות בע"מ</v>
      </c>
      <c r="I4296" t="str">
        <f>"10"</f>
        <v>10</v>
      </c>
      <c r="J4296" t="str">
        <f>"OP-AR00467"</f>
        <v>OP-AR00467</v>
      </c>
      <c r="K4296" t="str">
        <f>"AC PCU CONTROL BOX"</f>
        <v>AC PCU CONTROL BOX</v>
      </c>
      <c r="L4296">
        <v>1</v>
      </c>
      <c r="M4296" t="str">
        <f>"יח"</f>
        <v>יח</v>
      </c>
      <c r="N4296">
        <v>1</v>
      </c>
      <c r="O4296" t="str">
        <f>"יח"</f>
        <v>יח</v>
      </c>
      <c r="P4296" s="2">
        <v>3734.5</v>
      </c>
      <c r="Q4296" t="str">
        <f>"$"</f>
        <v>$</v>
      </c>
      <c r="R4296" t="str">
        <f>"הזמנה"</f>
        <v>הזמנה</v>
      </c>
      <c r="S4296">
        <v>0</v>
      </c>
      <c r="T4296" s="2">
        <v>3734.5</v>
      </c>
      <c r="U4296">
        <v>0</v>
      </c>
      <c r="V4296" s="2">
        <v>3734.5</v>
      </c>
      <c r="W4296" t="str">
        <f>"$"</f>
        <v>$</v>
      </c>
      <c r="X4296">
        <v>0</v>
      </c>
      <c r="Y4296">
        <v>0</v>
      </c>
      <c r="Z4296">
        <v>0</v>
      </c>
      <c r="AA4296" t="str">
        <f>"Y"</f>
        <v>Y</v>
      </c>
      <c r="AB4296" t="str">
        <f>"SO17000246"</f>
        <v>SO17000246</v>
      </c>
      <c r="AC4296">
        <v>1</v>
      </c>
      <c r="AD4296" s="1">
        <v>42822</v>
      </c>
      <c r="AE4296" t="str">
        <f>"SH17002634"</f>
        <v>SH17002634</v>
      </c>
      <c r="AF4296" t="str">
        <f>"משלוחים ללקוח"</f>
        <v>משלוחים ללקוח</v>
      </c>
      <c r="AG4296" s="1">
        <v>43032</v>
      </c>
      <c r="AM4296" t="str">
        <f>"10"</f>
        <v>10</v>
      </c>
      <c r="AN4296" t="str">
        <f>"500000"</f>
        <v>500000</v>
      </c>
      <c r="AO4296" t="str">
        <f>"הכנסות  מלקוחות"</f>
        <v>הכנסות  מלקוחות</v>
      </c>
      <c r="AQ4296" t="str">
        <f>"007"</f>
        <v>007</v>
      </c>
      <c r="AR4296">
        <v>0</v>
      </c>
      <c r="AS4296">
        <v>0</v>
      </c>
      <c r="AT4296">
        <v>3.5009999999999999</v>
      </c>
      <c r="AX4296" t="str">
        <f>"E000235349"</f>
        <v>E000235349</v>
      </c>
      <c r="BD4296" t="str">
        <f>"רוני דידי"</f>
        <v>רוני דידי</v>
      </c>
    </row>
    <row r="4297" spans="1:56" x14ac:dyDescent="0.3">
      <c r="A4297" s="1">
        <v>43032</v>
      </c>
      <c r="B4297" t="str">
        <f>"SI176001653"</f>
        <v>SI176001653</v>
      </c>
      <c r="E4297" t="str">
        <f>"Y"</f>
        <v>Y</v>
      </c>
      <c r="F4297" t="str">
        <f>"חשבוניות מרכזות"</f>
        <v>חשבוניות מרכזות</v>
      </c>
      <c r="G4297" t="str">
        <f>"700065"</f>
        <v>700065</v>
      </c>
      <c r="H4297" t="str">
        <f>"אלתא מערכות בע""מ"</f>
        <v>אלתא מערכות בע"מ</v>
      </c>
      <c r="I4297" t="str">
        <f>"10"</f>
        <v>10</v>
      </c>
      <c r="J4297" t="str">
        <f>"OP-AR00540"</f>
        <v>OP-AR00540</v>
      </c>
      <c r="K4297" t="str">
        <f>"רתמה 1032H441-002"</f>
        <v>רתמה 1032H441-002</v>
      </c>
      <c r="L4297">
        <v>-14</v>
      </c>
      <c r="M4297" t="str">
        <f>"יח"</f>
        <v>יח</v>
      </c>
      <c r="N4297">
        <v>-14</v>
      </c>
      <c r="O4297" t="str">
        <f>"יח"</f>
        <v>יח</v>
      </c>
      <c r="P4297">
        <v>550</v>
      </c>
      <c r="Q4297" t="str">
        <f>"$"</f>
        <v>$</v>
      </c>
      <c r="R4297" t="str">
        <f>"הזמנה"</f>
        <v>הזמנה</v>
      </c>
      <c r="S4297">
        <v>0</v>
      </c>
      <c r="T4297" s="2">
        <v>-7700</v>
      </c>
      <c r="U4297">
        <v>0</v>
      </c>
      <c r="V4297" s="2">
        <v>-7700</v>
      </c>
      <c r="W4297" t="str">
        <f>"$"</f>
        <v>$</v>
      </c>
      <c r="X4297">
        <v>0</v>
      </c>
      <c r="Y4297">
        <v>0</v>
      </c>
      <c r="Z4297">
        <v>0</v>
      </c>
      <c r="AA4297" t="str">
        <f>"Y"</f>
        <v>Y</v>
      </c>
      <c r="AC4297">
        <v>0</v>
      </c>
      <c r="AM4297" t="str">
        <f>"10"</f>
        <v>10</v>
      </c>
      <c r="AN4297" t="str">
        <f>"500000"</f>
        <v>500000</v>
      </c>
      <c r="AO4297" t="str">
        <f>"הכנסות  מלקוחות"</f>
        <v>הכנסות  מלקוחות</v>
      </c>
      <c r="AQ4297" t="str">
        <f>"004"</f>
        <v>004</v>
      </c>
      <c r="AR4297">
        <v>0</v>
      </c>
      <c r="AS4297">
        <v>0</v>
      </c>
      <c r="AT4297">
        <v>3.4910000000000001</v>
      </c>
      <c r="BB4297" t="str">
        <f>"Y"</f>
        <v>Y</v>
      </c>
      <c r="BD4297" t="str">
        <f>"איציק חדד"</f>
        <v>איציק חדד</v>
      </c>
    </row>
    <row r="4298" spans="1:56" x14ac:dyDescent="0.3">
      <c r="A4298" s="1">
        <v>43032</v>
      </c>
      <c r="B4298" t="str">
        <f>"SI176001653"</f>
        <v>SI176001653</v>
      </c>
      <c r="E4298" t="str">
        <f>"Y"</f>
        <v>Y</v>
      </c>
      <c r="F4298" t="str">
        <f>"חשבוניות מרכזות"</f>
        <v>חשבוניות מרכזות</v>
      </c>
      <c r="G4298" t="str">
        <f>"700065"</f>
        <v>700065</v>
      </c>
      <c r="H4298" t="str">
        <f>"אלתא מערכות בע""מ"</f>
        <v>אלתא מערכות בע"מ</v>
      </c>
      <c r="I4298" t="str">
        <f>"10"</f>
        <v>10</v>
      </c>
      <c r="J4298" t="str">
        <f>"OP-AR00540"</f>
        <v>OP-AR00540</v>
      </c>
      <c r="K4298" t="str">
        <f>"רתמה 1032H441-002"</f>
        <v>רתמה 1032H441-002</v>
      </c>
      <c r="L4298">
        <v>-15</v>
      </c>
      <c r="M4298" t="str">
        <f>"יח"</f>
        <v>יח</v>
      </c>
      <c r="N4298">
        <v>-15</v>
      </c>
      <c r="O4298" t="str">
        <f>"יח"</f>
        <v>יח</v>
      </c>
      <c r="P4298">
        <v>550</v>
      </c>
      <c r="Q4298" t="str">
        <f>"$"</f>
        <v>$</v>
      </c>
      <c r="R4298" t="str">
        <f>"הזמנה"</f>
        <v>הזמנה</v>
      </c>
      <c r="S4298">
        <v>0</v>
      </c>
      <c r="T4298" s="2">
        <v>-8250</v>
      </c>
      <c r="U4298">
        <v>0</v>
      </c>
      <c r="V4298" s="2">
        <v>-8250</v>
      </c>
      <c r="W4298" t="str">
        <f>"$"</f>
        <v>$</v>
      </c>
      <c r="X4298">
        <v>0</v>
      </c>
      <c r="Y4298">
        <v>0</v>
      </c>
      <c r="Z4298">
        <v>0</v>
      </c>
      <c r="AA4298" t="str">
        <f>"Y"</f>
        <v>Y</v>
      </c>
      <c r="AC4298">
        <v>0</v>
      </c>
      <c r="AM4298" t="str">
        <f>"10"</f>
        <v>10</v>
      </c>
      <c r="AN4298" t="str">
        <f>"500000"</f>
        <v>500000</v>
      </c>
      <c r="AO4298" t="str">
        <f>"הכנסות  מלקוחות"</f>
        <v>הכנסות  מלקוחות</v>
      </c>
      <c r="AQ4298" t="str">
        <f>"004"</f>
        <v>004</v>
      </c>
      <c r="AR4298">
        <v>0</v>
      </c>
      <c r="AS4298">
        <v>0</v>
      </c>
      <c r="AT4298">
        <v>3.4910000000000001</v>
      </c>
      <c r="BB4298" t="str">
        <f>"Y"</f>
        <v>Y</v>
      </c>
      <c r="BD4298" t="str">
        <f>"איציק חדד"</f>
        <v>איציק חדד</v>
      </c>
    </row>
    <row r="4299" spans="1:56" x14ac:dyDescent="0.3">
      <c r="A4299" s="1">
        <v>43032</v>
      </c>
      <c r="B4299" t="str">
        <f>"SI176001653"</f>
        <v>SI176001653</v>
      </c>
      <c r="E4299" t="str">
        <f>"Y"</f>
        <v>Y</v>
      </c>
      <c r="F4299" t="str">
        <f>"חשבוניות מרכזות"</f>
        <v>חשבוניות מרכזות</v>
      </c>
      <c r="G4299" t="str">
        <f>"700065"</f>
        <v>700065</v>
      </c>
      <c r="H4299" t="str">
        <f>"אלתא מערכות בע""מ"</f>
        <v>אלתא מערכות בע"מ</v>
      </c>
      <c r="I4299" t="str">
        <f>"10"</f>
        <v>10</v>
      </c>
      <c r="J4299" t="str">
        <f>"OP-AR00540"</f>
        <v>OP-AR00540</v>
      </c>
      <c r="K4299" t="str">
        <f>"רתמה 1032H441-002"</f>
        <v>רתמה 1032H441-002</v>
      </c>
      <c r="L4299">
        <v>-4</v>
      </c>
      <c r="M4299" t="str">
        <f>"יח"</f>
        <v>יח</v>
      </c>
      <c r="N4299">
        <v>-4</v>
      </c>
      <c r="O4299" t="str">
        <f>"יח"</f>
        <v>יח</v>
      </c>
      <c r="P4299">
        <v>550</v>
      </c>
      <c r="Q4299" t="str">
        <f>"$"</f>
        <v>$</v>
      </c>
      <c r="R4299" t="str">
        <f>"הזמנה"</f>
        <v>הזמנה</v>
      </c>
      <c r="S4299">
        <v>0</v>
      </c>
      <c r="T4299" s="2">
        <v>-2200</v>
      </c>
      <c r="U4299">
        <v>0</v>
      </c>
      <c r="V4299" s="2">
        <v>-2200</v>
      </c>
      <c r="W4299" t="str">
        <f>"$"</f>
        <v>$</v>
      </c>
      <c r="X4299">
        <v>0</v>
      </c>
      <c r="Y4299">
        <v>0</v>
      </c>
      <c r="Z4299">
        <v>0</v>
      </c>
      <c r="AA4299" t="str">
        <f>"Y"</f>
        <v>Y</v>
      </c>
      <c r="AC4299">
        <v>0</v>
      </c>
      <c r="AM4299" t="str">
        <f>"10"</f>
        <v>10</v>
      </c>
      <c r="AN4299" t="str">
        <f>"500000"</f>
        <v>500000</v>
      </c>
      <c r="AO4299" t="str">
        <f>"הכנסות  מלקוחות"</f>
        <v>הכנסות  מלקוחות</v>
      </c>
      <c r="AQ4299" t="str">
        <f>"004"</f>
        <v>004</v>
      </c>
      <c r="AR4299">
        <v>0</v>
      </c>
      <c r="AS4299">
        <v>0</v>
      </c>
      <c r="AT4299">
        <v>3.4910000000000001</v>
      </c>
      <c r="BB4299" t="str">
        <f>"Y"</f>
        <v>Y</v>
      </c>
      <c r="BD4299" t="str">
        <f>"איציק חדד"</f>
        <v>איציק חדד</v>
      </c>
    </row>
    <row r="4300" spans="1:56" x14ac:dyDescent="0.3">
      <c r="A4300" s="1">
        <v>43032</v>
      </c>
      <c r="B4300" t="str">
        <f>"SI176001653"</f>
        <v>SI176001653</v>
      </c>
      <c r="E4300" t="str">
        <f>"Y"</f>
        <v>Y</v>
      </c>
      <c r="F4300" t="str">
        <f>"חשבוניות מרכזות"</f>
        <v>חשבוניות מרכזות</v>
      </c>
      <c r="G4300" t="str">
        <f>"700065"</f>
        <v>700065</v>
      </c>
      <c r="H4300" t="str">
        <f>"אלתא מערכות בע""מ"</f>
        <v>אלתא מערכות בע"מ</v>
      </c>
      <c r="I4300" t="str">
        <f>"10"</f>
        <v>10</v>
      </c>
      <c r="J4300" t="str">
        <f>"OP-AR00540"</f>
        <v>OP-AR00540</v>
      </c>
      <c r="K4300" t="str">
        <f>"רתמה 1032H441-002"</f>
        <v>רתמה 1032H441-002</v>
      </c>
      <c r="L4300">
        <v>-1</v>
      </c>
      <c r="M4300" t="str">
        <f>"יח"</f>
        <v>יח</v>
      </c>
      <c r="N4300">
        <v>-1</v>
      </c>
      <c r="O4300" t="str">
        <f>"יח"</f>
        <v>יח</v>
      </c>
      <c r="P4300">
        <v>550</v>
      </c>
      <c r="Q4300" t="str">
        <f>"$"</f>
        <v>$</v>
      </c>
      <c r="R4300" t="str">
        <f>"הזמנה"</f>
        <v>הזמנה</v>
      </c>
      <c r="S4300">
        <v>0</v>
      </c>
      <c r="T4300">
        <v>-550</v>
      </c>
      <c r="U4300">
        <v>0</v>
      </c>
      <c r="V4300">
        <v>-550</v>
      </c>
      <c r="W4300" t="str">
        <f>"$"</f>
        <v>$</v>
      </c>
      <c r="X4300">
        <v>0</v>
      </c>
      <c r="Y4300">
        <v>0</v>
      </c>
      <c r="Z4300">
        <v>0</v>
      </c>
      <c r="AA4300" t="str">
        <f>"Y"</f>
        <v>Y</v>
      </c>
      <c r="AC4300">
        <v>0</v>
      </c>
      <c r="AM4300" t="str">
        <f>"10"</f>
        <v>10</v>
      </c>
      <c r="AN4300" t="str">
        <f>"500000"</f>
        <v>500000</v>
      </c>
      <c r="AO4300" t="str">
        <f>"הכנסות  מלקוחות"</f>
        <v>הכנסות  מלקוחות</v>
      </c>
      <c r="AQ4300" t="str">
        <f>"004"</f>
        <v>004</v>
      </c>
      <c r="AR4300">
        <v>0</v>
      </c>
      <c r="AS4300">
        <v>0</v>
      </c>
      <c r="AT4300">
        <v>3.4910000000000001</v>
      </c>
      <c r="BB4300" t="str">
        <f>"Y"</f>
        <v>Y</v>
      </c>
      <c r="BD4300" t="str">
        <f>"איציק חדד"</f>
        <v>איציק חדד</v>
      </c>
    </row>
    <row r="4301" spans="1:56" x14ac:dyDescent="0.3">
      <c r="A4301" s="1">
        <v>43032</v>
      </c>
      <c r="B4301" t="str">
        <f>"SI176001602"</f>
        <v>SI176001602</v>
      </c>
      <c r="E4301" t="str">
        <f>"Y"</f>
        <v>Y</v>
      </c>
      <c r="F4301" t="str">
        <f>"חשבוניות מרכזות"</f>
        <v>חשבוניות מרכזות</v>
      </c>
      <c r="G4301" t="str">
        <f>"700065"</f>
        <v>700065</v>
      </c>
      <c r="H4301" t="str">
        <f>"אלתא מערכות בע""מ"</f>
        <v>אלתא מערכות בע"מ</v>
      </c>
      <c r="I4301" t="str">
        <f>"10"</f>
        <v>10</v>
      </c>
      <c r="J4301" t="str">
        <f>"OP-AR00540"</f>
        <v>OP-AR00540</v>
      </c>
      <c r="K4301" t="str">
        <f>"רתמה 1032H441-002"</f>
        <v>רתמה 1032H441-002</v>
      </c>
      <c r="L4301">
        <v>14</v>
      </c>
      <c r="M4301" t="str">
        <f>"יח"</f>
        <v>יח</v>
      </c>
      <c r="N4301">
        <v>14</v>
      </c>
      <c r="O4301" t="str">
        <f>"יח"</f>
        <v>יח</v>
      </c>
      <c r="P4301">
        <v>550</v>
      </c>
      <c r="Q4301" t="str">
        <f>"$"</f>
        <v>$</v>
      </c>
      <c r="R4301" t="str">
        <f>"הזמנה"</f>
        <v>הזמנה</v>
      </c>
      <c r="S4301">
        <v>0</v>
      </c>
      <c r="T4301" s="2">
        <v>7700</v>
      </c>
      <c r="U4301">
        <v>0</v>
      </c>
      <c r="V4301" s="2">
        <v>7700</v>
      </c>
      <c r="W4301" t="str">
        <f>"$"</f>
        <v>$</v>
      </c>
      <c r="X4301">
        <v>0</v>
      </c>
      <c r="Y4301">
        <v>0</v>
      </c>
      <c r="Z4301">
        <v>0</v>
      </c>
      <c r="AA4301" t="str">
        <f>"Y"</f>
        <v>Y</v>
      </c>
      <c r="AC4301">
        <v>0</v>
      </c>
      <c r="AM4301" t="str">
        <f>"10"</f>
        <v>10</v>
      </c>
      <c r="AN4301" t="str">
        <f>"500000"</f>
        <v>500000</v>
      </c>
      <c r="AO4301" t="str">
        <f>"הכנסות  מלקוחות"</f>
        <v>הכנסות  מלקוחות</v>
      </c>
      <c r="AQ4301" t="str">
        <f>"004"</f>
        <v>004</v>
      </c>
      <c r="AR4301">
        <v>0</v>
      </c>
      <c r="AS4301">
        <v>0</v>
      </c>
      <c r="AT4301">
        <v>3.4910000000000001</v>
      </c>
      <c r="BB4301" t="str">
        <f>"Y"</f>
        <v>Y</v>
      </c>
      <c r="BD4301" t="str">
        <f>"איציק חדד"</f>
        <v>איציק חדד</v>
      </c>
    </row>
    <row r="4302" spans="1:56" x14ac:dyDescent="0.3">
      <c r="A4302" s="1">
        <v>43032</v>
      </c>
      <c r="B4302" t="str">
        <f>"SI176001602"</f>
        <v>SI176001602</v>
      </c>
      <c r="E4302" t="str">
        <f>"Y"</f>
        <v>Y</v>
      </c>
      <c r="F4302" t="str">
        <f>"חשבוניות מרכזות"</f>
        <v>חשבוניות מרכזות</v>
      </c>
      <c r="G4302" t="str">
        <f>"700065"</f>
        <v>700065</v>
      </c>
      <c r="H4302" t="str">
        <f>"אלתא מערכות בע""מ"</f>
        <v>אלתא מערכות בע"מ</v>
      </c>
      <c r="I4302" t="str">
        <f>"10"</f>
        <v>10</v>
      </c>
      <c r="J4302" t="str">
        <f>"OP-AR00540"</f>
        <v>OP-AR00540</v>
      </c>
      <c r="K4302" t="str">
        <f>"רתמה 1032H441-002"</f>
        <v>רתמה 1032H441-002</v>
      </c>
      <c r="L4302">
        <v>15</v>
      </c>
      <c r="M4302" t="str">
        <f>"יח"</f>
        <v>יח</v>
      </c>
      <c r="N4302">
        <v>15</v>
      </c>
      <c r="O4302" t="str">
        <f>"יח"</f>
        <v>יח</v>
      </c>
      <c r="P4302">
        <v>550</v>
      </c>
      <c r="Q4302" t="str">
        <f>"$"</f>
        <v>$</v>
      </c>
      <c r="R4302" t="str">
        <f>"הזמנה"</f>
        <v>הזמנה</v>
      </c>
      <c r="S4302">
        <v>0</v>
      </c>
      <c r="T4302" s="2">
        <v>8250</v>
      </c>
      <c r="U4302">
        <v>0</v>
      </c>
      <c r="V4302" s="2">
        <v>8250</v>
      </c>
      <c r="W4302" t="str">
        <f>"$"</f>
        <v>$</v>
      </c>
      <c r="X4302">
        <v>0</v>
      </c>
      <c r="Y4302">
        <v>0</v>
      </c>
      <c r="Z4302">
        <v>0</v>
      </c>
      <c r="AA4302" t="str">
        <f>"Y"</f>
        <v>Y</v>
      </c>
      <c r="AC4302">
        <v>0</v>
      </c>
      <c r="AM4302" t="str">
        <f>"10"</f>
        <v>10</v>
      </c>
      <c r="AN4302" t="str">
        <f>"500000"</f>
        <v>500000</v>
      </c>
      <c r="AO4302" t="str">
        <f>"הכנסות  מלקוחות"</f>
        <v>הכנסות  מלקוחות</v>
      </c>
      <c r="AQ4302" t="str">
        <f>"004"</f>
        <v>004</v>
      </c>
      <c r="AR4302">
        <v>0</v>
      </c>
      <c r="AS4302">
        <v>0</v>
      </c>
      <c r="AT4302">
        <v>3.4910000000000001</v>
      </c>
      <c r="BB4302" t="str">
        <f>"Y"</f>
        <v>Y</v>
      </c>
      <c r="BD4302" t="str">
        <f>"איציק חדד"</f>
        <v>איציק חדד</v>
      </c>
    </row>
    <row r="4303" spans="1:56" x14ac:dyDescent="0.3">
      <c r="A4303" s="1">
        <v>43032</v>
      </c>
      <c r="B4303" t="str">
        <f>"SI176001602"</f>
        <v>SI176001602</v>
      </c>
      <c r="E4303" t="str">
        <f>"Y"</f>
        <v>Y</v>
      </c>
      <c r="F4303" t="str">
        <f>"חשבוניות מרכזות"</f>
        <v>חשבוניות מרכזות</v>
      </c>
      <c r="G4303" t="str">
        <f>"700065"</f>
        <v>700065</v>
      </c>
      <c r="H4303" t="str">
        <f>"אלתא מערכות בע""מ"</f>
        <v>אלתא מערכות בע"מ</v>
      </c>
      <c r="I4303" t="str">
        <f>"10"</f>
        <v>10</v>
      </c>
      <c r="J4303" t="str">
        <f>"OP-AR00540"</f>
        <v>OP-AR00540</v>
      </c>
      <c r="K4303" t="str">
        <f>"רתמה 1032H441-002"</f>
        <v>רתמה 1032H441-002</v>
      </c>
      <c r="L4303">
        <v>4</v>
      </c>
      <c r="M4303" t="str">
        <f>"יח"</f>
        <v>יח</v>
      </c>
      <c r="N4303">
        <v>4</v>
      </c>
      <c r="O4303" t="str">
        <f>"יח"</f>
        <v>יח</v>
      </c>
      <c r="P4303">
        <v>550</v>
      </c>
      <c r="Q4303" t="str">
        <f>"$"</f>
        <v>$</v>
      </c>
      <c r="R4303" t="str">
        <f>"הזמנה"</f>
        <v>הזמנה</v>
      </c>
      <c r="S4303">
        <v>0</v>
      </c>
      <c r="T4303" s="2">
        <v>2200</v>
      </c>
      <c r="U4303">
        <v>0</v>
      </c>
      <c r="V4303" s="2">
        <v>2200</v>
      </c>
      <c r="W4303" t="str">
        <f>"$"</f>
        <v>$</v>
      </c>
      <c r="X4303">
        <v>0</v>
      </c>
      <c r="Y4303">
        <v>0</v>
      </c>
      <c r="Z4303">
        <v>0</v>
      </c>
      <c r="AA4303" t="str">
        <f>"Y"</f>
        <v>Y</v>
      </c>
      <c r="AC4303">
        <v>0</v>
      </c>
      <c r="AM4303" t="str">
        <f>"10"</f>
        <v>10</v>
      </c>
      <c r="AN4303" t="str">
        <f>"500000"</f>
        <v>500000</v>
      </c>
      <c r="AO4303" t="str">
        <f>"הכנסות  מלקוחות"</f>
        <v>הכנסות  מלקוחות</v>
      </c>
      <c r="AQ4303" t="str">
        <f>"004"</f>
        <v>004</v>
      </c>
      <c r="AR4303">
        <v>0</v>
      </c>
      <c r="AS4303">
        <v>0</v>
      </c>
      <c r="AT4303">
        <v>3.4910000000000001</v>
      </c>
      <c r="BB4303" t="str">
        <f>"Y"</f>
        <v>Y</v>
      </c>
      <c r="BD4303" t="str">
        <f>"איציק חדד"</f>
        <v>איציק חדד</v>
      </c>
    </row>
    <row r="4304" spans="1:56" x14ac:dyDescent="0.3">
      <c r="A4304" s="1">
        <v>43032</v>
      </c>
      <c r="B4304" t="str">
        <f>"SI176001602"</f>
        <v>SI176001602</v>
      </c>
      <c r="E4304" t="str">
        <f>"Y"</f>
        <v>Y</v>
      </c>
      <c r="F4304" t="str">
        <f>"חשבוניות מרכזות"</f>
        <v>חשבוניות מרכזות</v>
      </c>
      <c r="G4304" t="str">
        <f>"700065"</f>
        <v>700065</v>
      </c>
      <c r="H4304" t="str">
        <f>"אלתא מערכות בע""מ"</f>
        <v>אלתא מערכות בע"מ</v>
      </c>
      <c r="I4304" t="str">
        <f>"10"</f>
        <v>10</v>
      </c>
      <c r="J4304" t="str">
        <f>"OP-AR00540"</f>
        <v>OP-AR00540</v>
      </c>
      <c r="K4304" t="str">
        <f>"רתמה 1032H441-002"</f>
        <v>רתמה 1032H441-002</v>
      </c>
      <c r="L4304">
        <v>1</v>
      </c>
      <c r="M4304" t="str">
        <f>"יח"</f>
        <v>יח</v>
      </c>
      <c r="N4304">
        <v>1</v>
      </c>
      <c r="O4304" t="str">
        <f>"יח"</f>
        <v>יח</v>
      </c>
      <c r="P4304">
        <v>550</v>
      </c>
      <c r="Q4304" t="str">
        <f>"$"</f>
        <v>$</v>
      </c>
      <c r="R4304" t="str">
        <f>"הזמנה"</f>
        <v>הזמנה</v>
      </c>
      <c r="S4304">
        <v>0</v>
      </c>
      <c r="T4304">
        <v>550</v>
      </c>
      <c r="U4304">
        <v>0</v>
      </c>
      <c r="V4304">
        <v>550</v>
      </c>
      <c r="W4304" t="str">
        <f>"$"</f>
        <v>$</v>
      </c>
      <c r="X4304">
        <v>0</v>
      </c>
      <c r="Y4304">
        <v>0</v>
      </c>
      <c r="Z4304">
        <v>0</v>
      </c>
      <c r="AA4304" t="str">
        <f>"Y"</f>
        <v>Y</v>
      </c>
      <c r="AC4304">
        <v>0</v>
      </c>
      <c r="AM4304" t="str">
        <f>"10"</f>
        <v>10</v>
      </c>
      <c r="AN4304" t="str">
        <f>"500000"</f>
        <v>500000</v>
      </c>
      <c r="AO4304" t="str">
        <f>"הכנסות  מלקוחות"</f>
        <v>הכנסות  מלקוחות</v>
      </c>
      <c r="AQ4304" t="str">
        <f>"004"</f>
        <v>004</v>
      </c>
      <c r="AR4304">
        <v>0</v>
      </c>
      <c r="AS4304">
        <v>0</v>
      </c>
      <c r="AT4304">
        <v>3.4910000000000001</v>
      </c>
      <c r="BB4304" t="str">
        <f>"Y"</f>
        <v>Y</v>
      </c>
      <c r="BD4304" t="str">
        <f>"איציק חדד"</f>
        <v>איציק חדד</v>
      </c>
    </row>
    <row r="4305" spans="1:56" x14ac:dyDescent="0.3">
      <c r="A4305" s="1">
        <v>43031</v>
      </c>
      <c r="B4305" t="str">
        <f>"SI176001655"</f>
        <v>SI176001655</v>
      </c>
      <c r="E4305" t="str">
        <f>"Y"</f>
        <v>Y</v>
      </c>
      <c r="F4305" t="str">
        <f>"חשבוניות מרכזות"</f>
        <v>חשבוניות מרכזות</v>
      </c>
      <c r="G4305" t="str">
        <f>"700065"</f>
        <v>700065</v>
      </c>
      <c r="H4305" t="str">
        <f>"אלתא מערכות בע""מ"</f>
        <v>אלתא מערכות בע"מ</v>
      </c>
      <c r="I4305" t="str">
        <f>"10"</f>
        <v>10</v>
      </c>
      <c r="J4305" t="str">
        <f>"OP-AR00540"</f>
        <v>OP-AR00540</v>
      </c>
      <c r="K4305" t="str">
        <f>"רתמה 1032H441-002"</f>
        <v>רתמה 1032H441-002</v>
      </c>
      <c r="L4305">
        <v>1</v>
      </c>
      <c r="M4305" t="str">
        <f>"יח"</f>
        <v>יח</v>
      </c>
      <c r="N4305">
        <v>1</v>
      </c>
      <c r="O4305" t="str">
        <f>"יח"</f>
        <v>יח</v>
      </c>
      <c r="P4305">
        <v>550</v>
      </c>
      <c r="Q4305" t="str">
        <f>"$"</f>
        <v>$</v>
      </c>
      <c r="R4305" t="str">
        <f>"ידני"</f>
        <v>ידני</v>
      </c>
      <c r="S4305">
        <v>0</v>
      </c>
      <c r="T4305">
        <v>550</v>
      </c>
      <c r="U4305">
        <v>0</v>
      </c>
      <c r="V4305">
        <v>550</v>
      </c>
      <c r="W4305" t="str">
        <f>"$"</f>
        <v>$</v>
      </c>
      <c r="X4305">
        <v>0</v>
      </c>
      <c r="Y4305">
        <v>0</v>
      </c>
      <c r="Z4305">
        <v>0</v>
      </c>
      <c r="AA4305" t="str">
        <f>"Y"</f>
        <v>Y</v>
      </c>
      <c r="AB4305" t="str">
        <f>"SO17000346"</f>
        <v>SO17000346</v>
      </c>
      <c r="AC4305">
        <v>7</v>
      </c>
      <c r="AD4305" s="1">
        <v>42877</v>
      </c>
      <c r="AE4305" t="str">
        <f>"SH17002614"</f>
        <v>SH17002614</v>
      </c>
      <c r="AF4305" t="str">
        <f>"משלוחים ללקוח"</f>
        <v>משלוחים ללקוח</v>
      </c>
      <c r="AG4305" s="1">
        <v>43031</v>
      </c>
      <c r="AM4305" t="str">
        <f>"10"</f>
        <v>10</v>
      </c>
      <c r="AN4305" t="str">
        <f>"500000"</f>
        <v>500000</v>
      </c>
      <c r="AO4305" t="str">
        <f>"הכנסות  מלקוחות"</f>
        <v>הכנסות  מלקוחות</v>
      </c>
      <c r="AQ4305" t="str">
        <f>"004"</f>
        <v>004</v>
      </c>
      <c r="AR4305">
        <v>0</v>
      </c>
      <c r="AS4305">
        <v>0</v>
      </c>
      <c r="AT4305">
        <v>3.4910000000000001</v>
      </c>
      <c r="AX4305" t="str">
        <f>"E000235802"</f>
        <v>E000235802</v>
      </c>
      <c r="BD4305" t="str">
        <f>"איציק חדד"</f>
        <v>איציק חדד</v>
      </c>
    </row>
    <row r="4306" spans="1:56" x14ac:dyDescent="0.3">
      <c r="A4306" s="1">
        <v>43031</v>
      </c>
      <c r="B4306" t="str">
        <f>"SI176001655"</f>
        <v>SI176001655</v>
      </c>
      <c r="E4306" t="str">
        <f>"Y"</f>
        <v>Y</v>
      </c>
      <c r="F4306" t="str">
        <f>"חשבוניות מרכזות"</f>
        <v>חשבוניות מרכזות</v>
      </c>
      <c r="G4306" t="str">
        <f>"700065"</f>
        <v>700065</v>
      </c>
      <c r="H4306" t="str">
        <f>"אלתא מערכות בע""מ"</f>
        <v>אלתא מערכות בע"מ</v>
      </c>
      <c r="I4306" t="str">
        <f>"10"</f>
        <v>10</v>
      </c>
      <c r="J4306" t="str">
        <f>"OP-AR00540"</f>
        <v>OP-AR00540</v>
      </c>
      <c r="K4306" t="str">
        <f>"רתמה 1032H441-002"</f>
        <v>רתמה 1032H441-002</v>
      </c>
      <c r="L4306">
        <v>4</v>
      </c>
      <c r="M4306" t="str">
        <f>"יח"</f>
        <v>יח</v>
      </c>
      <c r="N4306">
        <v>4</v>
      </c>
      <c r="O4306" t="str">
        <f>"יח"</f>
        <v>יח</v>
      </c>
      <c r="P4306">
        <v>550</v>
      </c>
      <c r="Q4306" t="str">
        <f>"$"</f>
        <v>$</v>
      </c>
      <c r="R4306" t="str">
        <f>"ידני"</f>
        <v>ידני</v>
      </c>
      <c r="S4306">
        <v>0</v>
      </c>
      <c r="T4306" s="2">
        <v>2200</v>
      </c>
      <c r="U4306">
        <v>0</v>
      </c>
      <c r="V4306" s="2">
        <v>2200</v>
      </c>
      <c r="W4306" t="str">
        <f>"$"</f>
        <v>$</v>
      </c>
      <c r="X4306">
        <v>0</v>
      </c>
      <c r="Y4306">
        <v>0</v>
      </c>
      <c r="Z4306">
        <v>0</v>
      </c>
      <c r="AA4306" t="str">
        <f>"Y"</f>
        <v>Y</v>
      </c>
      <c r="AB4306" t="str">
        <f>"SO17000346"</f>
        <v>SO17000346</v>
      </c>
      <c r="AC4306">
        <v>8</v>
      </c>
      <c r="AD4306" s="1">
        <v>42877</v>
      </c>
      <c r="AE4306" t="str">
        <f>"SH17002615"</f>
        <v>SH17002615</v>
      </c>
      <c r="AF4306" t="str">
        <f>"משלוחים ללקוח"</f>
        <v>משלוחים ללקוח</v>
      </c>
      <c r="AG4306" s="1">
        <v>43031</v>
      </c>
      <c r="AM4306" t="str">
        <f>"10"</f>
        <v>10</v>
      </c>
      <c r="AN4306" t="str">
        <f>"500000"</f>
        <v>500000</v>
      </c>
      <c r="AO4306" t="str">
        <f>"הכנסות  מלקוחות"</f>
        <v>הכנסות  מלקוחות</v>
      </c>
      <c r="AQ4306" t="str">
        <f>"004"</f>
        <v>004</v>
      </c>
      <c r="AR4306">
        <v>0</v>
      </c>
      <c r="AS4306">
        <v>0</v>
      </c>
      <c r="AT4306">
        <v>3.4910000000000001</v>
      </c>
      <c r="AX4306" t="str">
        <f>"E000235802"</f>
        <v>E000235802</v>
      </c>
      <c r="BD4306" t="str">
        <f>"איציק חדד"</f>
        <v>איציק חדד</v>
      </c>
    </row>
    <row r="4307" spans="1:56" x14ac:dyDescent="0.3">
      <c r="A4307" s="1">
        <v>43026</v>
      </c>
      <c r="B4307" t="str">
        <f>"SI176001583"</f>
        <v>SI176001583</v>
      </c>
      <c r="C4307" t="str">
        <f>"PR17001469"</f>
        <v>PR17001469</v>
      </c>
      <c r="E4307" t="str">
        <f>"Y"</f>
        <v>Y</v>
      </c>
      <c r="F4307" t="str">
        <f>"חשבוניות מרכזות"</f>
        <v>חשבוניות מרכזות</v>
      </c>
      <c r="G4307" t="str">
        <f>"700065"</f>
        <v>700065</v>
      </c>
      <c r="H4307" t="str">
        <f>"אלתא מערכות בע""מ"</f>
        <v>אלתא מערכות בע"מ</v>
      </c>
      <c r="I4307" t="str">
        <f>"10"</f>
        <v>10</v>
      </c>
      <c r="J4307" t="str">
        <f>"OP-AR00464"</f>
        <v>OP-AR00464</v>
      </c>
      <c r="K4307" t="str">
        <f>"רתמה REV;A 1036N631-001"</f>
        <v>רתמה REV;A 1036N631-001</v>
      </c>
      <c r="L4307">
        <v>5</v>
      </c>
      <c r="M4307" t="str">
        <f>"יח"</f>
        <v>יח</v>
      </c>
      <c r="N4307">
        <v>5</v>
      </c>
      <c r="O4307" t="str">
        <f>"יח"</f>
        <v>יח</v>
      </c>
      <c r="P4307">
        <v>699.3</v>
      </c>
      <c r="Q4307" t="str">
        <f>"$"</f>
        <v>$</v>
      </c>
      <c r="R4307" t="str">
        <f>"הזמנה"</f>
        <v>הזמנה</v>
      </c>
      <c r="S4307">
        <v>0</v>
      </c>
      <c r="T4307" s="2">
        <v>3496.5</v>
      </c>
      <c r="U4307">
        <v>0</v>
      </c>
      <c r="V4307" s="2">
        <v>3496.5</v>
      </c>
      <c r="W4307" t="str">
        <f>"$"</f>
        <v>$</v>
      </c>
      <c r="X4307">
        <v>0</v>
      </c>
      <c r="Y4307">
        <v>0</v>
      </c>
      <c r="Z4307">
        <v>0</v>
      </c>
      <c r="AA4307" t="str">
        <f>"Y"</f>
        <v>Y</v>
      </c>
      <c r="AB4307" t="str">
        <f>"SO17000424"</f>
        <v>SO17000424</v>
      </c>
      <c r="AC4307">
        <v>1</v>
      </c>
      <c r="AD4307" s="1">
        <v>42893</v>
      </c>
      <c r="AE4307" t="str">
        <f>"SH17002526"</f>
        <v>SH17002526</v>
      </c>
      <c r="AF4307" t="str">
        <f>"משלוחים ללקוח"</f>
        <v>משלוחים ללקוח</v>
      </c>
      <c r="AG4307" s="1">
        <v>43023</v>
      </c>
      <c r="AM4307" t="str">
        <f>"10"</f>
        <v>10</v>
      </c>
      <c r="AN4307" t="str">
        <f>"500000"</f>
        <v>500000</v>
      </c>
      <c r="AO4307" t="str">
        <f>"הכנסות  מלקוחות"</f>
        <v>הכנסות  מלקוחות</v>
      </c>
      <c r="AQ4307" t="str">
        <f>"004"</f>
        <v>004</v>
      </c>
      <c r="AR4307">
        <v>0</v>
      </c>
      <c r="AS4307">
        <v>0</v>
      </c>
      <c r="AT4307">
        <v>3.5089999999999999</v>
      </c>
      <c r="AX4307" t="str">
        <f>"E000239737"</f>
        <v>E000239737</v>
      </c>
      <c r="BD4307" t="str">
        <f>"איציק חדד"</f>
        <v>איציק חדד</v>
      </c>
    </row>
    <row r="4308" spans="1:56" x14ac:dyDescent="0.3">
      <c r="A4308" s="1">
        <v>43011</v>
      </c>
      <c r="B4308" t="str">
        <f>"SI176001582"</f>
        <v>SI176001582</v>
      </c>
      <c r="C4308" t="str">
        <f>"PR17001469"</f>
        <v>PR17001469</v>
      </c>
      <c r="E4308" t="str">
        <f>"Y"</f>
        <v>Y</v>
      </c>
      <c r="F4308" t="str">
        <f>"חשבוניות מרכזות"</f>
        <v>חשבוניות מרכזות</v>
      </c>
      <c r="G4308" t="str">
        <f>"700065"</f>
        <v>700065</v>
      </c>
      <c r="H4308" t="str">
        <f>"אלתא מערכות בע""מ"</f>
        <v>אלתא מערכות בע"מ</v>
      </c>
      <c r="I4308" t="str">
        <f>"10"</f>
        <v>10</v>
      </c>
      <c r="J4308" t="str">
        <f>"OP-AR00464"</f>
        <v>OP-AR00464</v>
      </c>
      <c r="K4308" t="str">
        <f>"רתמה REV;A 1036N631-001"</f>
        <v>רתמה REV;A 1036N631-001</v>
      </c>
      <c r="L4308">
        <v>13</v>
      </c>
      <c r="M4308" t="str">
        <f>"יח"</f>
        <v>יח</v>
      </c>
      <c r="N4308">
        <v>13</v>
      </c>
      <c r="O4308" t="str">
        <f>"יח"</f>
        <v>יח</v>
      </c>
      <c r="P4308">
        <v>699.3</v>
      </c>
      <c r="Q4308" t="str">
        <f>"$"</f>
        <v>$</v>
      </c>
      <c r="R4308" t="str">
        <f>"הזמנה"</f>
        <v>הזמנה</v>
      </c>
      <c r="S4308">
        <v>0</v>
      </c>
      <c r="T4308" s="2">
        <v>9090.9</v>
      </c>
      <c r="U4308">
        <v>0</v>
      </c>
      <c r="V4308" s="2">
        <v>9090.9</v>
      </c>
      <c r="W4308" t="str">
        <f>"$"</f>
        <v>$</v>
      </c>
      <c r="X4308">
        <v>0</v>
      </c>
      <c r="Y4308">
        <v>0</v>
      </c>
      <c r="Z4308">
        <v>0</v>
      </c>
      <c r="AA4308" t="str">
        <f>"Y"</f>
        <v>Y</v>
      </c>
      <c r="AB4308" t="str">
        <f>"SO17000424"</f>
        <v>SO17000424</v>
      </c>
      <c r="AC4308">
        <v>1</v>
      </c>
      <c r="AD4308" s="1">
        <v>42893</v>
      </c>
      <c r="AE4308" t="str">
        <f>"SH17002478"</f>
        <v>SH17002478</v>
      </c>
      <c r="AF4308" t="str">
        <f>"משלוחים ללקוח"</f>
        <v>משלוחים ללקוח</v>
      </c>
      <c r="AG4308" s="1">
        <v>43010</v>
      </c>
      <c r="AM4308" t="str">
        <f>"10"</f>
        <v>10</v>
      </c>
      <c r="AN4308" t="str">
        <f>"500000"</f>
        <v>500000</v>
      </c>
      <c r="AO4308" t="str">
        <f>"הכנסות  מלקוחות"</f>
        <v>הכנסות  מלקוחות</v>
      </c>
      <c r="AQ4308" t="str">
        <f>"004"</f>
        <v>004</v>
      </c>
      <c r="AR4308">
        <v>0</v>
      </c>
      <c r="AS4308">
        <v>0</v>
      </c>
      <c r="AT4308">
        <v>3.5310000000000001</v>
      </c>
      <c r="AX4308" t="str">
        <f>"E000239737"</f>
        <v>E000239737</v>
      </c>
      <c r="BD4308" t="str">
        <f>"איציק חדד"</f>
        <v>איציק חדד</v>
      </c>
    </row>
    <row r="4309" spans="1:56" x14ac:dyDescent="0.3">
      <c r="A4309" s="1">
        <v>43010</v>
      </c>
      <c r="B4309" t="str">
        <f>"SI176001696"</f>
        <v>SI176001696</v>
      </c>
      <c r="C4309" t="str">
        <f>"PR17001471"</f>
        <v>PR17001471</v>
      </c>
      <c r="E4309" t="str">
        <f>"Y"</f>
        <v>Y</v>
      </c>
      <c r="F4309" t="str">
        <f>"חשבוניות מרכזות"</f>
        <v>חשבוניות מרכזות</v>
      </c>
      <c r="G4309" t="str">
        <f>"700065"</f>
        <v>700065</v>
      </c>
      <c r="H4309" t="str">
        <f>"אלתא מערכות בע""מ"</f>
        <v>אלתא מערכות בע"מ</v>
      </c>
      <c r="I4309" t="str">
        <f>"10"</f>
        <v>10</v>
      </c>
      <c r="J4309" t="str">
        <f>"OP-AR00466"</f>
        <v>OP-AR00466</v>
      </c>
      <c r="K4309" t="str">
        <f>"רתמה REV;B 1036N633-001"</f>
        <v>רתמה REV;B 1036N633-001</v>
      </c>
      <c r="L4309">
        <v>15</v>
      </c>
      <c r="M4309" t="str">
        <f>"יח"</f>
        <v>יח</v>
      </c>
      <c r="N4309">
        <v>15</v>
      </c>
      <c r="O4309" t="str">
        <f>"יח"</f>
        <v>יח</v>
      </c>
      <c r="P4309">
        <v>548.1</v>
      </c>
      <c r="Q4309" t="str">
        <f>"$"</f>
        <v>$</v>
      </c>
      <c r="R4309" t="str">
        <f>"הזמנה"</f>
        <v>הזמנה</v>
      </c>
      <c r="S4309">
        <v>0</v>
      </c>
      <c r="T4309" s="2">
        <v>8221.5</v>
      </c>
      <c r="U4309">
        <v>0</v>
      </c>
      <c r="V4309" s="2">
        <v>8221.5</v>
      </c>
      <c r="W4309" t="str">
        <f>"$"</f>
        <v>$</v>
      </c>
      <c r="X4309">
        <v>0</v>
      </c>
      <c r="Y4309">
        <v>0</v>
      </c>
      <c r="Z4309">
        <v>0</v>
      </c>
      <c r="AA4309" t="str">
        <f>"Y"</f>
        <v>Y</v>
      </c>
      <c r="AB4309" t="str">
        <f>"SO17000424"</f>
        <v>SO17000424</v>
      </c>
      <c r="AC4309">
        <v>3</v>
      </c>
      <c r="AD4309" s="1">
        <v>42893</v>
      </c>
      <c r="AE4309" t="str">
        <f>"SH17002450"</f>
        <v>SH17002450</v>
      </c>
      <c r="AF4309" t="str">
        <f>"משלוחים ללקוח"</f>
        <v>משלוחים ללקוח</v>
      </c>
      <c r="AG4309" s="1">
        <v>43009</v>
      </c>
      <c r="AM4309" t="str">
        <f>"10"</f>
        <v>10</v>
      </c>
      <c r="AN4309" t="str">
        <f>"500000"</f>
        <v>500000</v>
      </c>
      <c r="AO4309" t="str">
        <f>"הכנסות  מלקוחות"</f>
        <v>הכנסות  מלקוחות</v>
      </c>
      <c r="AQ4309" t="str">
        <f>"004"</f>
        <v>004</v>
      </c>
      <c r="AR4309">
        <v>0</v>
      </c>
      <c r="AS4309">
        <v>0</v>
      </c>
      <c r="AT4309">
        <v>3.5419999999999998</v>
      </c>
      <c r="AX4309" t="str">
        <f>"E000239737"</f>
        <v>E000239737</v>
      </c>
      <c r="BD4309" t="str">
        <f>"איציק חדד"</f>
        <v>איציק חדד</v>
      </c>
    </row>
    <row r="4310" spans="1:56" x14ac:dyDescent="0.3">
      <c r="A4310" s="1">
        <v>43010</v>
      </c>
      <c r="B4310" t="str">
        <f>"SI176001695"</f>
        <v>SI176001695</v>
      </c>
      <c r="C4310" t="str">
        <f>"PR17001471"</f>
        <v>PR17001471</v>
      </c>
      <c r="E4310" t="str">
        <f>"Y"</f>
        <v>Y</v>
      </c>
      <c r="F4310" t="str">
        <f>"חשבוניות מרכזות"</f>
        <v>חשבוניות מרכזות</v>
      </c>
      <c r="G4310" t="str">
        <f>"700065"</f>
        <v>700065</v>
      </c>
      <c r="H4310" t="str">
        <f>"אלתא מערכות בע""מ"</f>
        <v>אלתא מערכות בע"מ</v>
      </c>
      <c r="I4310" t="str">
        <f>"10"</f>
        <v>10</v>
      </c>
      <c r="J4310" t="str">
        <f>"OP-AR00466"</f>
        <v>OP-AR00466</v>
      </c>
      <c r="K4310" t="str">
        <f>"רתמה REV;B 1036N633-001"</f>
        <v>רתמה REV;B 1036N633-001</v>
      </c>
      <c r="L4310">
        <v>-15</v>
      </c>
      <c r="M4310" t="str">
        <f>"יח"</f>
        <v>יח</v>
      </c>
      <c r="N4310">
        <v>-15</v>
      </c>
      <c r="O4310" t="str">
        <f>"יח"</f>
        <v>יח</v>
      </c>
      <c r="P4310">
        <v>548.1</v>
      </c>
      <c r="Q4310" t="str">
        <f>"$"</f>
        <v>$</v>
      </c>
      <c r="R4310" t="str">
        <f>"הזמנה"</f>
        <v>הזמנה</v>
      </c>
      <c r="S4310">
        <v>0</v>
      </c>
      <c r="T4310" s="2">
        <v>-8221.5</v>
      </c>
      <c r="U4310">
        <v>0</v>
      </c>
      <c r="V4310" s="2">
        <v>-8221.5</v>
      </c>
      <c r="W4310" t="str">
        <f>"$"</f>
        <v>$</v>
      </c>
      <c r="X4310">
        <v>0</v>
      </c>
      <c r="Y4310">
        <v>0</v>
      </c>
      <c r="Z4310">
        <v>0</v>
      </c>
      <c r="AA4310" t="str">
        <f>"Y"</f>
        <v>Y</v>
      </c>
      <c r="AC4310">
        <v>0</v>
      </c>
      <c r="AM4310" t="str">
        <f>"10"</f>
        <v>10</v>
      </c>
      <c r="AN4310" t="str">
        <f>"500000"</f>
        <v>500000</v>
      </c>
      <c r="AO4310" t="str">
        <f>"הכנסות  מלקוחות"</f>
        <v>הכנסות  מלקוחות</v>
      </c>
      <c r="AQ4310" t="str">
        <f>"004"</f>
        <v>004</v>
      </c>
      <c r="AR4310">
        <v>0</v>
      </c>
      <c r="AS4310">
        <v>0</v>
      </c>
      <c r="AT4310">
        <v>3.5289999999999999</v>
      </c>
      <c r="BB4310" t="str">
        <f>"Y"</f>
        <v>Y</v>
      </c>
      <c r="BD4310" t="str">
        <f>"איציק חדד"</f>
        <v>איציק חדד</v>
      </c>
    </row>
    <row r="4311" spans="1:56" x14ac:dyDescent="0.3">
      <c r="A4311" s="1">
        <v>43010</v>
      </c>
      <c r="B4311" t="str">
        <f>"SI176001581"</f>
        <v>SI176001581</v>
      </c>
      <c r="C4311" t="str">
        <f>"PR17001469"</f>
        <v>PR17001469</v>
      </c>
      <c r="E4311" t="str">
        <f>"Y"</f>
        <v>Y</v>
      </c>
      <c r="F4311" t="str">
        <f>"חשבוניות מרכזות"</f>
        <v>חשבוניות מרכזות</v>
      </c>
      <c r="G4311" t="str">
        <f>"700065"</f>
        <v>700065</v>
      </c>
      <c r="H4311" t="str">
        <f>"אלתא מערכות בע""מ"</f>
        <v>אלתא מערכות בע"מ</v>
      </c>
      <c r="I4311" t="str">
        <f>"10"</f>
        <v>10</v>
      </c>
      <c r="J4311" t="str">
        <f>"OP-AR00464"</f>
        <v>OP-AR00464</v>
      </c>
      <c r="K4311" t="str">
        <f>"רתמה REV;A 1036N631-001"</f>
        <v>רתמה REV;A 1036N631-001</v>
      </c>
      <c r="L4311">
        <v>4</v>
      </c>
      <c r="M4311" t="str">
        <f>"יח"</f>
        <v>יח</v>
      </c>
      <c r="N4311">
        <v>4</v>
      </c>
      <c r="O4311" t="str">
        <f>"יח"</f>
        <v>יח</v>
      </c>
      <c r="P4311">
        <v>699.3</v>
      </c>
      <c r="Q4311" t="str">
        <f>"$"</f>
        <v>$</v>
      </c>
      <c r="R4311" t="str">
        <f>"הזמנה"</f>
        <v>הזמנה</v>
      </c>
      <c r="S4311">
        <v>0</v>
      </c>
      <c r="T4311" s="2">
        <v>2797.2</v>
      </c>
      <c r="U4311">
        <v>0</v>
      </c>
      <c r="V4311" s="2">
        <v>2797.2</v>
      </c>
      <c r="W4311" t="str">
        <f>"$"</f>
        <v>$</v>
      </c>
      <c r="X4311">
        <v>0</v>
      </c>
      <c r="Y4311">
        <v>0</v>
      </c>
      <c r="Z4311">
        <v>0</v>
      </c>
      <c r="AA4311" t="str">
        <f>"Y"</f>
        <v>Y</v>
      </c>
      <c r="AB4311" t="str">
        <f>"SO17000320"</f>
        <v>SO17000320</v>
      </c>
      <c r="AC4311">
        <v>3</v>
      </c>
      <c r="AD4311" s="1">
        <v>42863</v>
      </c>
      <c r="AE4311" t="str">
        <f>"SH17002477"</f>
        <v>SH17002477</v>
      </c>
      <c r="AF4311" t="str">
        <f>"משלוחים ללקוח"</f>
        <v>משלוחים ללקוח</v>
      </c>
      <c r="AG4311" s="1">
        <v>43010</v>
      </c>
      <c r="AM4311" t="str">
        <f>"10"</f>
        <v>10</v>
      </c>
      <c r="AN4311" t="str">
        <f>"500000"</f>
        <v>500000</v>
      </c>
      <c r="AO4311" t="str">
        <f>"הכנסות  מלקוחות"</f>
        <v>הכנסות  מלקוחות</v>
      </c>
      <c r="AQ4311" t="str">
        <f>"017"</f>
        <v>017</v>
      </c>
      <c r="AR4311">
        <v>0</v>
      </c>
      <c r="AS4311">
        <v>0</v>
      </c>
      <c r="AT4311">
        <v>3.5419999999999998</v>
      </c>
      <c r="AX4311" t="str">
        <f>"E000236016"</f>
        <v>E000236016</v>
      </c>
      <c r="BD4311" t="str">
        <f>"שחר דאהמן"</f>
        <v>שחר דאהמן</v>
      </c>
    </row>
    <row r="4312" spans="1:56" x14ac:dyDescent="0.3">
      <c r="A4312" s="1">
        <v>43010</v>
      </c>
      <c r="B4312" t="str">
        <f>"SI176001557"</f>
        <v>SI176001557</v>
      </c>
      <c r="C4312" t="str">
        <f>"PR17001471"</f>
        <v>PR17001471</v>
      </c>
      <c r="E4312" t="str">
        <f>"Y"</f>
        <v>Y</v>
      </c>
      <c r="F4312" t="str">
        <f>"חשבוניות מרכזות"</f>
        <v>חשבוניות מרכזות</v>
      </c>
      <c r="G4312" t="str">
        <f>"700065"</f>
        <v>700065</v>
      </c>
      <c r="H4312" t="str">
        <f>"אלתא מערכות בע""מ"</f>
        <v>אלתא מערכות בע"מ</v>
      </c>
      <c r="I4312" t="str">
        <f>"10"</f>
        <v>10</v>
      </c>
      <c r="J4312" t="str">
        <f>"OP-AR00466"</f>
        <v>OP-AR00466</v>
      </c>
      <c r="K4312" t="str">
        <f>"רתמה REV;B 1036N633-001"</f>
        <v>רתמה REV;B 1036N633-001</v>
      </c>
      <c r="L4312">
        <v>15</v>
      </c>
      <c r="M4312" t="str">
        <f>"יח"</f>
        <v>יח</v>
      </c>
      <c r="N4312">
        <v>15</v>
      </c>
      <c r="O4312" t="str">
        <f>"יח"</f>
        <v>יח</v>
      </c>
      <c r="P4312">
        <v>548.1</v>
      </c>
      <c r="Q4312" t="str">
        <f>"$"</f>
        <v>$</v>
      </c>
      <c r="R4312" t="str">
        <f>"הזמנה"</f>
        <v>הזמנה</v>
      </c>
      <c r="S4312">
        <v>0</v>
      </c>
      <c r="T4312" s="2">
        <v>8221.5</v>
      </c>
      <c r="U4312">
        <v>0</v>
      </c>
      <c r="V4312" s="2">
        <v>8221.5</v>
      </c>
      <c r="W4312" t="str">
        <f>"$"</f>
        <v>$</v>
      </c>
      <c r="X4312">
        <v>0</v>
      </c>
      <c r="Y4312">
        <v>0</v>
      </c>
      <c r="Z4312">
        <v>0</v>
      </c>
      <c r="AA4312" t="str">
        <f>"Y"</f>
        <v>Y</v>
      </c>
      <c r="AC4312">
        <v>0</v>
      </c>
      <c r="AM4312" t="str">
        <f>"10"</f>
        <v>10</v>
      </c>
      <c r="AN4312" t="str">
        <f>"500000"</f>
        <v>500000</v>
      </c>
      <c r="AO4312" t="str">
        <f>"הכנסות  מלקוחות"</f>
        <v>הכנסות  מלקוחות</v>
      </c>
      <c r="AQ4312" t="str">
        <f>"004"</f>
        <v>004</v>
      </c>
      <c r="AR4312">
        <v>0</v>
      </c>
      <c r="AS4312">
        <v>0</v>
      </c>
      <c r="AT4312">
        <v>3.5289999999999999</v>
      </c>
      <c r="BB4312" t="str">
        <f>"Y"</f>
        <v>Y</v>
      </c>
      <c r="BD4312" t="str">
        <f>"איציק חדד"</f>
        <v>איציק חדד</v>
      </c>
    </row>
    <row r="4313" spans="1:56" x14ac:dyDescent="0.3">
      <c r="A4313" s="1">
        <v>43009</v>
      </c>
      <c r="B4313" t="str">
        <f>"SI176001556"</f>
        <v>SI176001556</v>
      </c>
      <c r="C4313" t="str">
        <f>"PR17001469"</f>
        <v>PR17001469</v>
      </c>
      <c r="E4313" t="str">
        <f>"Y"</f>
        <v>Y</v>
      </c>
      <c r="F4313" t="str">
        <f>"חשבוניות מרכזות"</f>
        <v>חשבוניות מרכזות</v>
      </c>
      <c r="G4313" t="str">
        <f>"700065"</f>
        <v>700065</v>
      </c>
      <c r="H4313" t="str">
        <f>"אלתא מערכות בע""מ"</f>
        <v>אלתא מערכות בע"מ</v>
      </c>
      <c r="I4313" t="str">
        <f>"10"</f>
        <v>10</v>
      </c>
      <c r="J4313" t="str">
        <f>"OP-AR00464"</f>
        <v>OP-AR00464</v>
      </c>
      <c r="K4313" t="str">
        <f>"רתמה REV;A 1036N631-001"</f>
        <v>רתמה REV;A 1036N631-001</v>
      </c>
      <c r="L4313">
        <v>3</v>
      </c>
      <c r="M4313" t="str">
        <f>"יח"</f>
        <v>יח</v>
      </c>
      <c r="N4313">
        <v>3</v>
      </c>
      <c r="O4313" t="str">
        <f>"יח"</f>
        <v>יח</v>
      </c>
      <c r="P4313">
        <v>699.3</v>
      </c>
      <c r="Q4313" t="str">
        <f>"$"</f>
        <v>$</v>
      </c>
      <c r="R4313" t="str">
        <f>"הזמנה"</f>
        <v>הזמנה</v>
      </c>
      <c r="S4313">
        <v>0</v>
      </c>
      <c r="T4313" s="2">
        <v>2097.9</v>
      </c>
      <c r="U4313">
        <v>0</v>
      </c>
      <c r="V4313" s="2">
        <v>2097.9</v>
      </c>
      <c r="W4313" t="str">
        <f>"$"</f>
        <v>$</v>
      </c>
      <c r="X4313">
        <v>0</v>
      </c>
      <c r="Y4313">
        <v>0</v>
      </c>
      <c r="Z4313">
        <v>0</v>
      </c>
      <c r="AA4313" t="str">
        <f>"Y"</f>
        <v>Y</v>
      </c>
      <c r="AB4313" t="str">
        <f>"SO17000320"</f>
        <v>SO17000320</v>
      </c>
      <c r="AC4313">
        <v>2</v>
      </c>
      <c r="AD4313" s="1">
        <v>42863</v>
      </c>
      <c r="AE4313" t="str">
        <f>"SH17002448"</f>
        <v>SH17002448</v>
      </c>
      <c r="AF4313" t="str">
        <f>"משלוחים ללקוח"</f>
        <v>משלוחים ללקוח</v>
      </c>
      <c r="AG4313" s="1">
        <v>43009</v>
      </c>
      <c r="AM4313" t="str">
        <f>"10"</f>
        <v>10</v>
      </c>
      <c r="AN4313" t="str">
        <f>"500000"</f>
        <v>500000</v>
      </c>
      <c r="AO4313" t="str">
        <f>"הכנסות  מלקוחות"</f>
        <v>הכנסות  מלקוחות</v>
      </c>
      <c r="AQ4313" t="str">
        <f>"017"</f>
        <v>017</v>
      </c>
      <c r="AR4313">
        <v>0</v>
      </c>
      <c r="AS4313">
        <v>0</v>
      </c>
      <c r="AT4313">
        <v>3.5289999999999999</v>
      </c>
      <c r="AX4313" t="str">
        <f>"E000236016"</f>
        <v>E000236016</v>
      </c>
      <c r="BD4313" t="str">
        <f>"שחר דאהמן"</f>
        <v>שחר דאהמן</v>
      </c>
    </row>
    <row r="4314" spans="1:56" x14ac:dyDescent="0.3">
      <c r="A4314" s="1">
        <v>43009</v>
      </c>
      <c r="B4314" t="str">
        <f>"SI176001556"</f>
        <v>SI176001556</v>
      </c>
      <c r="C4314" t="str">
        <f>"PR17001469"</f>
        <v>PR17001469</v>
      </c>
      <c r="E4314" t="str">
        <f>"Y"</f>
        <v>Y</v>
      </c>
      <c r="F4314" t="str">
        <f>"חשבוניות מרכזות"</f>
        <v>חשבוניות מרכזות</v>
      </c>
      <c r="G4314" t="str">
        <f>"700065"</f>
        <v>700065</v>
      </c>
      <c r="H4314" t="str">
        <f>"אלתא מערכות בע""מ"</f>
        <v>אלתא מערכות בע"מ</v>
      </c>
      <c r="I4314" t="str">
        <f>"10"</f>
        <v>10</v>
      </c>
      <c r="J4314" t="str">
        <f>"OP-AR00464"</f>
        <v>OP-AR00464</v>
      </c>
      <c r="K4314" t="str">
        <f>"רתמה REV;A 1036N631-001"</f>
        <v>רתמה REV;A 1036N631-001</v>
      </c>
      <c r="L4314">
        <v>6</v>
      </c>
      <c r="M4314" t="str">
        <f>"יח"</f>
        <v>יח</v>
      </c>
      <c r="N4314">
        <v>6</v>
      </c>
      <c r="O4314" t="str">
        <f>"יח"</f>
        <v>יח</v>
      </c>
      <c r="P4314">
        <v>699.3</v>
      </c>
      <c r="Q4314" t="str">
        <f>"$"</f>
        <v>$</v>
      </c>
      <c r="R4314" t="str">
        <f>"הזמנה"</f>
        <v>הזמנה</v>
      </c>
      <c r="S4314">
        <v>0</v>
      </c>
      <c r="T4314" s="2">
        <v>4195.8</v>
      </c>
      <c r="U4314">
        <v>0</v>
      </c>
      <c r="V4314" s="2">
        <v>4195.8</v>
      </c>
      <c r="W4314" t="str">
        <f>"$"</f>
        <v>$</v>
      </c>
      <c r="X4314">
        <v>0</v>
      </c>
      <c r="Y4314">
        <v>0</v>
      </c>
      <c r="Z4314">
        <v>0</v>
      </c>
      <c r="AA4314" t="str">
        <f>"Y"</f>
        <v>Y</v>
      </c>
      <c r="AB4314" t="str">
        <f>"SO17000320"</f>
        <v>SO17000320</v>
      </c>
      <c r="AC4314">
        <v>3</v>
      </c>
      <c r="AD4314" s="1">
        <v>42863</v>
      </c>
      <c r="AE4314" t="str">
        <f>"SH17002448"</f>
        <v>SH17002448</v>
      </c>
      <c r="AF4314" t="str">
        <f>"משלוחים ללקוח"</f>
        <v>משלוחים ללקוח</v>
      </c>
      <c r="AG4314" s="1">
        <v>43009</v>
      </c>
      <c r="AM4314" t="str">
        <f>"10"</f>
        <v>10</v>
      </c>
      <c r="AN4314" t="str">
        <f>"500000"</f>
        <v>500000</v>
      </c>
      <c r="AO4314" t="str">
        <f>"הכנסות  מלקוחות"</f>
        <v>הכנסות  מלקוחות</v>
      </c>
      <c r="AQ4314" t="str">
        <f>"017"</f>
        <v>017</v>
      </c>
      <c r="AR4314">
        <v>0</v>
      </c>
      <c r="AS4314">
        <v>0</v>
      </c>
      <c r="AT4314">
        <v>3.5289999999999999</v>
      </c>
      <c r="AX4314" t="str">
        <f>"E000236016"</f>
        <v>E000236016</v>
      </c>
      <c r="BD4314" t="str">
        <f>"שחר דאהמן"</f>
        <v>שחר דאהמן</v>
      </c>
    </row>
    <row r="4315" spans="1:56" x14ac:dyDescent="0.3">
      <c r="A4315" s="1">
        <v>43009</v>
      </c>
      <c r="B4315" t="str">
        <f>"SI176001555"</f>
        <v>SI176001555</v>
      </c>
      <c r="C4315" t="str">
        <f>"PR17001471"</f>
        <v>PR17001471</v>
      </c>
      <c r="E4315" t="str">
        <f>"Y"</f>
        <v>Y</v>
      </c>
      <c r="F4315" t="str">
        <f>"חשבוניות מרכזות"</f>
        <v>חשבוניות מרכזות</v>
      </c>
      <c r="G4315" t="str">
        <f>"700065"</f>
        <v>700065</v>
      </c>
      <c r="H4315" t="str">
        <f>"אלתא מערכות בע""מ"</f>
        <v>אלתא מערכות בע"מ</v>
      </c>
      <c r="I4315" t="str">
        <f>"10"</f>
        <v>10</v>
      </c>
      <c r="J4315" t="str">
        <f>"OP-AR00466"</f>
        <v>OP-AR00466</v>
      </c>
      <c r="K4315" t="str">
        <f>"רתמה REV;B 1036N633-001"</f>
        <v>רתמה REV;B 1036N633-001</v>
      </c>
      <c r="L4315">
        <v>2</v>
      </c>
      <c r="M4315" t="str">
        <f>"יח"</f>
        <v>יח</v>
      </c>
      <c r="N4315">
        <v>2</v>
      </c>
      <c r="O4315" t="str">
        <f>"יח"</f>
        <v>יח</v>
      </c>
      <c r="P4315">
        <v>548.1</v>
      </c>
      <c r="Q4315" t="str">
        <f>"$"</f>
        <v>$</v>
      </c>
      <c r="R4315" t="str">
        <f>"הזמנה"</f>
        <v>הזמנה</v>
      </c>
      <c r="S4315">
        <v>0</v>
      </c>
      <c r="T4315" s="2">
        <v>1096.2</v>
      </c>
      <c r="U4315">
        <v>0</v>
      </c>
      <c r="V4315" s="2">
        <v>1096.2</v>
      </c>
      <c r="W4315" t="str">
        <f>"$"</f>
        <v>$</v>
      </c>
      <c r="X4315">
        <v>0</v>
      </c>
      <c r="Y4315">
        <v>0</v>
      </c>
      <c r="Z4315">
        <v>0</v>
      </c>
      <c r="AA4315" t="str">
        <f>"Y"</f>
        <v>Y</v>
      </c>
      <c r="AB4315" t="str">
        <f>"SO17000320"</f>
        <v>SO17000320</v>
      </c>
      <c r="AC4315">
        <v>14</v>
      </c>
      <c r="AD4315" s="1">
        <v>42863</v>
      </c>
      <c r="AE4315" t="str">
        <f>"SH17002447"</f>
        <v>SH17002447</v>
      </c>
      <c r="AF4315" t="str">
        <f>"משלוחים ללקוח"</f>
        <v>משלוחים ללקוח</v>
      </c>
      <c r="AG4315" s="1">
        <v>43009</v>
      </c>
      <c r="AM4315" t="str">
        <f>"10"</f>
        <v>10</v>
      </c>
      <c r="AN4315" t="str">
        <f>"500000"</f>
        <v>500000</v>
      </c>
      <c r="AO4315" t="str">
        <f>"הכנסות  מלקוחות"</f>
        <v>הכנסות  מלקוחות</v>
      </c>
      <c r="AQ4315" t="str">
        <f>"017"</f>
        <v>017</v>
      </c>
      <c r="AR4315">
        <v>0</v>
      </c>
      <c r="AS4315">
        <v>0</v>
      </c>
      <c r="AT4315">
        <v>3.5289999999999999</v>
      </c>
      <c r="AX4315" t="str">
        <f>"E000236016"</f>
        <v>E000236016</v>
      </c>
      <c r="BD4315" t="str">
        <f>"שחר דאהמן"</f>
        <v>שחר דאהמן</v>
      </c>
    </row>
    <row r="4316" spans="1:56" x14ac:dyDescent="0.3">
      <c r="A4316" s="1">
        <v>43006</v>
      </c>
      <c r="B4316" t="str">
        <f>"SI176001545"</f>
        <v>SI176001545</v>
      </c>
      <c r="C4316" t="str">
        <f>"PR17001775"</f>
        <v>PR17001775</v>
      </c>
      <c r="E4316" t="str">
        <f>"Y"</f>
        <v>Y</v>
      </c>
      <c r="F4316" t="str">
        <f>"חשבוניות מרכזות"</f>
        <v>חשבוניות מרכזות</v>
      </c>
      <c r="G4316" t="str">
        <f>"700065"</f>
        <v>700065</v>
      </c>
      <c r="H4316" t="str">
        <f>"אלתא מערכות בע""מ"</f>
        <v>אלתא מערכות בע"מ</v>
      </c>
      <c r="I4316" t="str">
        <f>"10"</f>
        <v>10</v>
      </c>
      <c r="J4316" t="str">
        <f>"OP-AR00540"</f>
        <v>OP-AR00540</v>
      </c>
      <c r="K4316" t="str">
        <f>"רתמה 1032H441-002"</f>
        <v>רתמה 1032H441-002</v>
      </c>
      <c r="L4316">
        <v>1</v>
      </c>
      <c r="M4316" t="str">
        <f>"יח"</f>
        <v>יח</v>
      </c>
      <c r="N4316">
        <v>1</v>
      </c>
      <c r="O4316" t="str">
        <f>"יח"</f>
        <v>יח</v>
      </c>
      <c r="P4316">
        <v>550</v>
      </c>
      <c r="Q4316" t="str">
        <f>"$"</f>
        <v>$</v>
      </c>
      <c r="R4316" t="str">
        <f>"הזמנה"</f>
        <v>הזמנה</v>
      </c>
      <c r="S4316">
        <v>0</v>
      </c>
      <c r="T4316">
        <v>550</v>
      </c>
      <c r="U4316">
        <v>0</v>
      </c>
      <c r="V4316">
        <v>550</v>
      </c>
      <c r="W4316" t="str">
        <f>"$"</f>
        <v>$</v>
      </c>
      <c r="X4316">
        <v>0</v>
      </c>
      <c r="Y4316">
        <v>0</v>
      </c>
      <c r="Z4316">
        <v>0</v>
      </c>
      <c r="AA4316" t="str">
        <f>"Y"</f>
        <v>Y</v>
      </c>
      <c r="AB4316" t="str">
        <f>"SO17000346"</f>
        <v>SO17000346</v>
      </c>
      <c r="AC4316">
        <v>4</v>
      </c>
      <c r="AD4316" s="1">
        <v>42877</v>
      </c>
      <c r="AE4316" t="str">
        <f>"SH17002428"</f>
        <v>SH17002428</v>
      </c>
      <c r="AF4316" t="str">
        <f>"משלוחים ללקוח"</f>
        <v>משלוחים ללקוח</v>
      </c>
      <c r="AG4316" s="1">
        <v>43005</v>
      </c>
      <c r="AM4316" t="str">
        <f>"10"</f>
        <v>10</v>
      </c>
      <c r="AN4316" t="str">
        <f>"500000"</f>
        <v>500000</v>
      </c>
      <c r="AO4316" t="str">
        <f>"הכנסות  מלקוחות"</f>
        <v>הכנסות  מלקוחות</v>
      </c>
      <c r="AQ4316" t="str">
        <f>"004"</f>
        <v>004</v>
      </c>
      <c r="AR4316">
        <v>0</v>
      </c>
      <c r="AS4316">
        <v>0</v>
      </c>
      <c r="AT4316">
        <v>3.5289999999999999</v>
      </c>
      <c r="AX4316" t="str">
        <f>"E000235802"</f>
        <v>E000235802</v>
      </c>
      <c r="BD4316" t="str">
        <f>"איציק חדד"</f>
        <v>איציק חדד</v>
      </c>
    </row>
    <row r="4317" spans="1:56" x14ac:dyDescent="0.3">
      <c r="A4317" s="1">
        <v>43006</v>
      </c>
      <c r="B4317" t="str">
        <f>"SI176001545"</f>
        <v>SI176001545</v>
      </c>
      <c r="C4317" t="str">
        <f>"PR17001775"</f>
        <v>PR17001775</v>
      </c>
      <c r="E4317" t="str">
        <f>"Y"</f>
        <v>Y</v>
      </c>
      <c r="F4317" t="str">
        <f>"חשבוניות מרכזות"</f>
        <v>חשבוניות מרכזות</v>
      </c>
      <c r="G4317" t="str">
        <f>"700065"</f>
        <v>700065</v>
      </c>
      <c r="H4317" t="str">
        <f>"אלתא מערכות בע""מ"</f>
        <v>אלתא מערכות בע"מ</v>
      </c>
      <c r="I4317" t="str">
        <f>"10"</f>
        <v>10</v>
      </c>
      <c r="J4317" t="str">
        <f>"OP-AR00540"</f>
        <v>OP-AR00540</v>
      </c>
      <c r="K4317" t="str">
        <f>"רתמה 1032H441-002"</f>
        <v>רתמה 1032H441-002</v>
      </c>
      <c r="L4317">
        <v>5</v>
      </c>
      <c r="M4317" t="str">
        <f>"יח"</f>
        <v>יח</v>
      </c>
      <c r="N4317">
        <v>5</v>
      </c>
      <c r="O4317" t="str">
        <f>"יח"</f>
        <v>יח</v>
      </c>
      <c r="P4317">
        <v>550</v>
      </c>
      <c r="Q4317" t="str">
        <f>"$"</f>
        <v>$</v>
      </c>
      <c r="R4317" t="str">
        <f>"הזמנה"</f>
        <v>הזמנה</v>
      </c>
      <c r="S4317">
        <v>0</v>
      </c>
      <c r="T4317" s="2">
        <v>2750</v>
      </c>
      <c r="U4317">
        <v>0</v>
      </c>
      <c r="V4317" s="2">
        <v>2750</v>
      </c>
      <c r="W4317" t="str">
        <f>"$"</f>
        <v>$</v>
      </c>
      <c r="X4317">
        <v>0</v>
      </c>
      <c r="Y4317">
        <v>0</v>
      </c>
      <c r="Z4317">
        <v>0</v>
      </c>
      <c r="AA4317" t="str">
        <f>"Y"</f>
        <v>Y</v>
      </c>
      <c r="AB4317" t="str">
        <f>"SO17000346"</f>
        <v>SO17000346</v>
      </c>
      <c r="AC4317">
        <v>6</v>
      </c>
      <c r="AD4317" s="1">
        <v>42877</v>
      </c>
      <c r="AE4317" t="str">
        <f>"SH17002428"</f>
        <v>SH17002428</v>
      </c>
      <c r="AF4317" t="str">
        <f>"משלוחים ללקוח"</f>
        <v>משלוחים ללקוח</v>
      </c>
      <c r="AG4317" s="1">
        <v>43005</v>
      </c>
      <c r="AM4317" t="str">
        <f>"10"</f>
        <v>10</v>
      </c>
      <c r="AN4317" t="str">
        <f>"500000"</f>
        <v>500000</v>
      </c>
      <c r="AO4317" t="str">
        <f>"הכנסות  מלקוחות"</f>
        <v>הכנסות  מלקוחות</v>
      </c>
      <c r="AQ4317" t="str">
        <f>"004"</f>
        <v>004</v>
      </c>
      <c r="AR4317">
        <v>0</v>
      </c>
      <c r="AS4317">
        <v>0</v>
      </c>
      <c r="AT4317">
        <v>3.5289999999999999</v>
      </c>
      <c r="AX4317" t="str">
        <f>"E000235802"</f>
        <v>E000235802</v>
      </c>
      <c r="BD4317" t="str">
        <f>"איציק חדד"</f>
        <v>איציק חדד</v>
      </c>
    </row>
    <row r="4318" spans="1:56" x14ac:dyDescent="0.3">
      <c r="A4318" s="1">
        <v>43006</v>
      </c>
      <c r="B4318" t="str">
        <f>"SI176001545"</f>
        <v>SI176001545</v>
      </c>
      <c r="C4318" t="str">
        <f>"PR17001775"</f>
        <v>PR17001775</v>
      </c>
      <c r="E4318" t="str">
        <f>"Y"</f>
        <v>Y</v>
      </c>
      <c r="F4318" t="str">
        <f>"חשבוניות מרכזות"</f>
        <v>חשבוניות מרכזות</v>
      </c>
      <c r="G4318" t="str">
        <f>"700065"</f>
        <v>700065</v>
      </c>
      <c r="H4318" t="str">
        <f>"אלתא מערכות בע""מ"</f>
        <v>אלתא מערכות בע"מ</v>
      </c>
      <c r="I4318" t="str">
        <f>"10"</f>
        <v>10</v>
      </c>
      <c r="J4318" t="str">
        <f>"OP-AR00540"</f>
        <v>OP-AR00540</v>
      </c>
      <c r="K4318" t="str">
        <f>"רתמה 1032H441-002"</f>
        <v>רתמה 1032H441-002</v>
      </c>
      <c r="L4318">
        <v>3</v>
      </c>
      <c r="M4318" t="str">
        <f>"יח"</f>
        <v>יח</v>
      </c>
      <c r="N4318">
        <v>3</v>
      </c>
      <c r="O4318" t="str">
        <f>"יח"</f>
        <v>יח</v>
      </c>
      <c r="P4318">
        <v>550</v>
      </c>
      <c r="Q4318" t="str">
        <f>"$"</f>
        <v>$</v>
      </c>
      <c r="R4318" t="str">
        <f>"הזמנה"</f>
        <v>הזמנה</v>
      </c>
      <c r="S4318">
        <v>0</v>
      </c>
      <c r="T4318" s="2">
        <v>1650</v>
      </c>
      <c r="U4318">
        <v>0</v>
      </c>
      <c r="V4318" s="2">
        <v>1650</v>
      </c>
      <c r="W4318" t="str">
        <f>"$"</f>
        <v>$</v>
      </c>
      <c r="X4318">
        <v>0</v>
      </c>
      <c r="Y4318">
        <v>0</v>
      </c>
      <c r="Z4318">
        <v>0</v>
      </c>
      <c r="AA4318" t="str">
        <f>"Y"</f>
        <v>Y</v>
      </c>
      <c r="AB4318" t="str">
        <f>"SO17000346"</f>
        <v>SO17000346</v>
      </c>
      <c r="AC4318">
        <v>7</v>
      </c>
      <c r="AD4318" s="1">
        <v>42877</v>
      </c>
      <c r="AE4318" t="str">
        <f>"SH17002428"</f>
        <v>SH17002428</v>
      </c>
      <c r="AF4318" t="str">
        <f>"משלוחים ללקוח"</f>
        <v>משלוחים ללקוח</v>
      </c>
      <c r="AG4318" s="1">
        <v>43005</v>
      </c>
      <c r="AM4318" t="str">
        <f>"10"</f>
        <v>10</v>
      </c>
      <c r="AN4318" t="str">
        <f>"500000"</f>
        <v>500000</v>
      </c>
      <c r="AO4318" t="str">
        <f>"הכנסות  מלקוחות"</f>
        <v>הכנסות  מלקוחות</v>
      </c>
      <c r="AQ4318" t="str">
        <f>"004"</f>
        <v>004</v>
      </c>
      <c r="AR4318">
        <v>0</v>
      </c>
      <c r="AS4318">
        <v>0</v>
      </c>
      <c r="AT4318">
        <v>3.5289999999999999</v>
      </c>
      <c r="AX4318" t="str">
        <f>"E000235802"</f>
        <v>E000235802</v>
      </c>
      <c r="BD4318" t="str">
        <f>"איציק חדד"</f>
        <v>איציק חדד</v>
      </c>
    </row>
    <row r="4319" spans="1:56" x14ac:dyDescent="0.3">
      <c r="A4319" s="1">
        <v>43002</v>
      </c>
      <c r="B4319" t="str">
        <f>"SI176001503"</f>
        <v>SI176001503</v>
      </c>
      <c r="C4319" t="str">
        <f>"PR17001470"</f>
        <v>PR17001470</v>
      </c>
      <c r="E4319" t="str">
        <f>"Y"</f>
        <v>Y</v>
      </c>
      <c r="F4319" t="str">
        <f>"חשבוניות מרכזות"</f>
        <v>חשבוניות מרכזות</v>
      </c>
      <c r="G4319" t="str">
        <f>"700065"</f>
        <v>700065</v>
      </c>
      <c r="H4319" t="str">
        <f>"אלתא מערכות בע""מ"</f>
        <v>אלתא מערכות בע"מ</v>
      </c>
      <c r="I4319" t="str">
        <f>"10"</f>
        <v>10</v>
      </c>
      <c r="J4319" t="str">
        <f>"OP-AR00465"</f>
        <v>OP-AR00465</v>
      </c>
      <c r="K4319" t="str">
        <f>"רתמה REV;B 1036N632-001"</f>
        <v>רתמה REV;B 1036N632-001</v>
      </c>
      <c r="L4319">
        <v>9</v>
      </c>
      <c r="M4319" t="str">
        <f>"יח"</f>
        <v>יח</v>
      </c>
      <c r="N4319">
        <v>9</v>
      </c>
      <c r="O4319" t="str">
        <f>"יח"</f>
        <v>יח</v>
      </c>
      <c r="P4319">
        <v>864.68</v>
      </c>
      <c r="Q4319" t="str">
        <f>"$"</f>
        <v>$</v>
      </c>
      <c r="R4319" t="str">
        <f>"הזמנה"</f>
        <v>הזמנה</v>
      </c>
      <c r="S4319">
        <v>0</v>
      </c>
      <c r="T4319" s="2">
        <v>7782.12</v>
      </c>
      <c r="U4319">
        <v>0</v>
      </c>
      <c r="V4319" s="2">
        <v>7782.12</v>
      </c>
      <c r="W4319" t="str">
        <f>"$"</f>
        <v>$</v>
      </c>
      <c r="X4319">
        <v>0</v>
      </c>
      <c r="Y4319">
        <v>0</v>
      </c>
      <c r="Z4319">
        <v>0</v>
      </c>
      <c r="AA4319" t="str">
        <f>"Y"</f>
        <v>Y</v>
      </c>
      <c r="AB4319" t="str">
        <f>"SO17000424"</f>
        <v>SO17000424</v>
      </c>
      <c r="AC4319">
        <v>2</v>
      </c>
      <c r="AD4319" s="1">
        <v>42893</v>
      </c>
      <c r="AE4319" t="str">
        <f>"SH17002352"</f>
        <v>SH17002352</v>
      </c>
      <c r="AF4319" t="str">
        <f>"משלוחים ללקוח"</f>
        <v>משלוחים ללקוח</v>
      </c>
      <c r="AG4319" s="1">
        <v>42997</v>
      </c>
      <c r="AM4319" t="str">
        <f>"10"</f>
        <v>10</v>
      </c>
      <c r="AN4319" t="str">
        <f>"500000"</f>
        <v>500000</v>
      </c>
      <c r="AO4319" t="str">
        <f>"הכנסות  מלקוחות"</f>
        <v>הכנסות  מלקוחות</v>
      </c>
      <c r="AQ4319" t="str">
        <f>"004"</f>
        <v>004</v>
      </c>
      <c r="AR4319">
        <v>0</v>
      </c>
      <c r="AS4319">
        <v>0</v>
      </c>
      <c r="AT4319">
        <v>3.5150000000000001</v>
      </c>
      <c r="AX4319" t="str">
        <f>"E000239737"</f>
        <v>E000239737</v>
      </c>
      <c r="BD4319" t="str">
        <f>"איציק חדד"</f>
        <v>איציק חדד</v>
      </c>
    </row>
    <row r="4320" spans="1:56" x14ac:dyDescent="0.3">
      <c r="A4320" s="1">
        <v>42996</v>
      </c>
      <c r="B4320" t="str">
        <f>"SI176001478"</f>
        <v>SI176001478</v>
      </c>
      <c r="C4320" t="str">
        <f>"PR17001470"</f>
        <v>PR17001470</v>
      </c>
      <c r="E4320" t="str">
        <f>"Y"</f>
        <v>Y</v>
      </c>
      <c r="F4320" t="str">
        <f>"חשבוניות מרכזות"</f>
        <v>חשבוניות מרכזות</v>
      </c>
      <c r="G4320" t="str">
        <f>"700065"</f>
        <v>700065</v>
      </c>
      <c r="H4320" t="str">
        <f>"אלתא מערכות בע""מ"</f>
        <v>אלתא מערכות בע"מ</v>
      </c>
      <c r="I4320" t="str">
        <f>"10"</f>
        <v>10</v>
      </c>
      <c r="J4320" t="str">
        <f>"OP-AR00465"</f>
        <v>OP-AR00465</v>
      </c>
      <c r="K4320" t="str">
        <f>"רתמה REV;B 1036N632-001"</f>
        <v>רתמה REV;B 1036N632-001</v>
      </c>
      <c r="L4320">
        <v>4</v>
      </c>
      <c r="M4320" t="str">
        <f>"יח"</f>
        <v>יח</v>
      </c>
      <c r="N4320">
        <v>4</v>
      </c>
      <c r="O4320" t="str">
        <f>"יח"</f>
        <v>יח</v>
      </c>
      <c r="P4320">
        <v>864.67</v>
      </c>
      <c r="Q4320" t="str">
        <f>"$"</f>
        <v>$</v>
      </c>
      <c r="R4320" t="str">
        <f>"הזמנה"</f>
        <v>הזמנה</v>
      </c>
      <c r="S4320">
        <v>0</v>
      </c>
      <c r="T4320" s="2">
        <v>3458.68</v>
      </c>
      <c r="U4320">
        <v>0</v>
      </c>
      <c r="V4320" s="2">
        <v>3458.68</v>
      </c>
      <c r="W4320" t="str">
        <f>"$"</f>
        <v>$</v>
      </c>
      <c r="X4320">
        <v>0</v>
      </c>
      <c r="Y4320">
        <v>0</v>
      </c>
      <c r="Z4320">
        <v>0</v>
      </c>
      <c r="AA4320" t="str">
        <f>"Y"</f>
        <v>Y</v>
      </c>
      <c r="AB4320" t="str">
        <f>"SO17000320"</f>
        <v>SO17000320</v>
      </c>
      <c r="AC4320">
        <v>9</v>
      </c>
      <c r="AD4320" s="1">
        <v>42863</v>
      </c>
      <c r="AE4320" t="str">
        <f>"SH17002293"</f>
        <v>SH17002293</v>
      </c>
      <c r="AF4320" t="str">
        <f>"משלוחים ללקוח"</f>
        <v>משלוחים ללקוח</v>
      </c>
      <c r="AG4320" s="1">
        <v>42992</v>
      </c>
      <c r="AM4320" t="str">
        <f>"10"</f>
        <v>10</v>
      </c>
      <c r="AN4320" t="str">
        <f>"500000"</f>
        <v>500000</v>
      </c>
      <c r="AO4320" t="str">
        <f>"הכנסות  מלקוחות"</f>
        <v>הכנסות  מלקוחות</v>
      </c>
      <c r="AQ4320" t="str">
        <f>"017"</f>
        <v>017</v>
      </c>
      <c r="AR4320">
        <v>0</v>
      </c>
      <c r="AS4320">
        <v>0</v>
      </c>
      <c r="AT4320">
        <v>3.5230000000000001</v>
      </c>
      <c r="AX4320" t="str">
        <f>"E000236016"</f>
        <v>E000236016</v>
      </c>
      <c r="BD4320" t="str">
        <f>"שחר דאהמן"</f>
        <v>שחר דאהמן</v>
      </c>
    </row>
    <row r="4321" spans="1:56" x14ac:dyDescent="0.3">
      <c r="A4321" s="1">
        <v>42996</v>
      </c>
      <c r="B4321" t="str">
        <f>"SI176001477"</f>
        <v>SI176001477</v>
      </c>
      <c r="C4321" t="str">
        <f>"PR17001470"</f>
        <v>PR17001470</v>
      </c>
      <c r="E4321" t="str">
        <f>"Y"</f>
        <v>Y</v>
      </c>
      <c r="F4321" t="str">
        <f>"חשבוניות מרכזות"</f>
        <v>חשבוניות מרכזות</v>
      </c>
      <c r="G4321" t="str">
        <f>"700065"</f>
        <v>700065</v>
      </c>
      <c r="H4321" t="str">
        <f>"אלתא מערכות בע""מ"</f>
        <v>אלתא מערכות בע"מ</v>
      </c>
      <c r="I4321" t="str">
        <f>"10"</f>
        <v>10</v>
      </c>
      <c r="J4321" t="str">
        <f>"OP-AR00465"</f>
        <v>OP-AR00465</v>
      </c>
      <c r="K4321" t="str">
        <f>"רתמה REV;B 1036N632-001"</f>
        <v>רתמה REV;B 1036N632-001</v>
      </c>
      <c r="L4321">
        <v>6</v>
      </c>
      <c r="M4321" t="str">
        <f>"יח"</f>
        <v>יח</v>
      </c>
      <c r="N4321">
        <v>6</v>
      </c>
      <c r="O4321" t="str">
        <f>"יח"</f>
        <v>יח</v>
      </c>
      <c r="P4321">
        <v>864.68</v>
      </c>
      <c r="Q4321" t="str">
        <f>"$"</f>
        <v>$</v>
      </c>
      <c r="R4321" t="str">
        <f>"הזמנה"</f>
        <v>הזמנה</v>
      </c>
      <c r="S4321">
        <v>0</v>
      </c>
      <c r="T4321" s="2">
        <v>5188.08</v>
      </c>
      <c r="U4321">
        <v>0</v>
      </c>
      <c r="V4321" s="2">
        <v>5188.08</v>
      </c>
      <c r="W4321" t="str">
        <f>"$"</f>
        <v>$</v>
      </c>
      <c r="X4321">
        <v>0</v>
      </c>
      <c r="Y4321">
        <v>0</v>
      </c>
      <c r="Z4321">
        <v>0</v>
      </c>
      <c r="AA4321" t="str">
        <f>"Y"</f>
        <v>Y</v>
      </c>
      <c r="AB4321" t="str">
        <f>"SO17000424"</f>
        <v>SO17000424</v>
      </c>
      <c r="AC4321">
        <v>2</v>
      </c>
      <c r="AD4321" s="1">
        <v>42893</v>
      </c>
      <c r="AE4321" t="str">
        <f>"SH17002294"</f>
        <v>SH17002294</v>
      </c>
      <c r="AF4321" t="str">
        <f>"משלוחים ללקוח"</f>
        <v>משלוחים ללקוח</v>
      </c>
      <c r="AG4321" s="1">
        <v>42992</v>
      </c>
      <c r="AM4321" t="str">
        <f>"10"</f>
        <v>10</v>
      </c>
      <c r="AN4321" t="str">
        <f>"500000"</f>
        <v>500000</v>
      </c>
      <c r="AO4321" t="str">
        <f>"הכנסות  מלקוחות"</f>
        <v>הכנסות  מלקוחות</v>
      </c>
      <c r="AQ4321" t="str">
        <f>"004"</f>
        <v>004</v>
      </c>
      <c r="AR4321">
        <v>0</v>
      </c>
      <c r="AS4321">
        <v>0</v>
      </c>
      <c r="AT4321">
        <v>3.5230000000000001</v>
      </c>
      <c r="AX4321" t="str">
        <f>"E000239737"</f>
        <v>E000239737</v>
      </c>
      <c r="BD4321" t="str">
        <f>"איציק חדד"</f>
        <v>איציק חדד</v>
      </c>
    </row>
    <row r="4322" spans="1:56" x14ac:dyDescent="0.3">
      <c r="A4322" s="1">
        <v>42996</v>
      </c>
      <c r="B4322" t="str">
        <f>"SI176001476"</f>
        <v>SI176001476</v>
      </c>
      <c r="C4322" t="str">
        <f>"PR17001775"</f>
        <v>PR17001775</v>
      </c>
      <c r="E4322" t="str">
        <f>"Y"</f>
        <v>Y</v>
      </c>
      <c r="F4322" t="str">
        <f>"חשבוניות מרכזות"</f>
        <v>חשבוניות מרכזות</v>
      </c>
      <c r="G4322" t="str">
        <f>"700065"</f>
        <v>700065</v>
      </c>
      <c r="H4322" t="str">
        <f>"אלתא מערכות בע""מ"</f>
        <v>אלתא מערכות בע"מ</v>
      </c>
      <c r="I4322" t="str">
        <f>"10"</f>
        <v>10</v>
      </c>
      <c r="J4322" t="str">
        <f>"OP-AR00540"</f>
        <v>OP-AR00540</v>
      </c>
      <c r="K4322" t="str">
        <f>"רתמה 1032H441-002"</f>
        <v>רתמה 1032H441-002</v>
      </c>
      <c r="L4322">
        <v>5</v>
      </c>
      <c r="M4322" t="str">
        <f>"יח"</f>
        <v>יח</v>
      </c>
      <c r="N4322">
        <v>5</v>
      </c>
      <c r="O4322" t="str">
        <f>"יח"</f>
        <v>יח</v>
      </c>
      <c r="P4322">
        <v>550</v>
      </c>
      <c r="Q4322" t="str">
        <f>"$"</f>
        <v>$</v>
      </c>
      <c r="R4322" t="str">
        <f>"הזמנה"</f>
        <v>הזמנה</v>
      </c>
      <c r="S4322">
        <v>0</v>
      </c>
      <c r="T4322" s="2">
        <v>2750</v>
      </c>
      <c r="U4322">
        <v>0</v>
      </c>
      <c r="V4322" s="2">
        <v>2750</v>
      </c>
      <c r="W4322" t="str">
        <f>"$"</f>
        <v>$</v>
      </c>
      <c r="X4322">
        <v>0</v>
      </c>
      <c r="Y4322">
        <v>0</v>
      </c>
      <c r="Z4322">
        <v>0</v>
      </c>
      <c r="AA4322" t="str">
        <f>"Y"</f>
        <v>Y</v>
      </c>
      <c r="AB4322" t="str">
        <f>"SO17000346"</f>
        <v>SO17000346</v>
      </c>
      <c r="AC4322">
        <v>5</v>
      </c>
      <c r="AD4322" s="1">
        <v>42877</v>
      </c>
      <c r="AE4322" t="str">
        <f>"SH17002311"</f>
        <v>SH17002311</v>
      </c>
      <c r="AF4322" t="str">
        <f>"משלוחים ללקוח"</f>
        <v>משלוחים ללקוח</v>
      </c>
      <c r="AG4322" s="1">
        <v>42995</v>
      </c>
      <c r="AM4322" t="str">
        <f>"10"</f>
        <v>10</v>
      </c>
      <c r="AN4322" t="str">
        <f>"500000"</f>
        <v>500000</v>
      </c>
      <c r="AO4322" t="str">
        <f>"הכנסות  מלקוחות"</f>
        <v>הכנסות  מלקוחות</v>
      </c>
      <c r="AQ4322" t="str">
        <f>"004"</f>
        <v>004</v>
      </c>
      <c r="AR4322">
        <v>0</v>
      </c>
      <c r="AS4322">
        <v>0</v>
      </c>
      <c r="AT4322">
        <v>3.5230000000000001</v>
      </c>
      <c r="AX4322" t="str">
        <f>"E000235802"</f>
        <v>E000235802</v>
      </c>
      <c r="BD4322" t="str">
        <f>"איציק חדד"</f>
        <v>איציק חדד</v>
      </c>
    </row>
    <row r="4323" spans="1:56" x14ac:dyDescent="0.3">
      <c r="A4323" s="1">
        <v>42985</v>
      </c>
      <c r="B4323" t="str">
        <f>"SI176001424"</f>
        <v>SI176001424</v>
      </c>
      <c r="C4323" t="str">
        <f>"PR17001775"</f>
        <v>PR17001775</v>
      </c>
      <c r="E4323" t="str">
        <f>"Y"</f>
        <v>Y</v>
      </c>
      <c r="F4323" t="str">
        <f>"חשבוניות מרכזות"</f>
        <v>חשבוניות מרכזות</v>
      </c>
      <c r="G4323" t="str">
        <f>"700065"</f>
        <v>700065</v>
      </c>
      <c r="H4323" t="str">
        <f>"אלתא מערכות בע""מ"</f>
        <v>אלתא מערכות בע"מ</v>
      </c>
      <c r="I4323" t="str">
        <f>"10"</f>
        <v>10</v>
      </c>
      <c r="J4323" t="str">
        <f>"OP-AR00540"</f>
        <v>OP-AR00540</v>
      </c>
      <c r="K4323" t="str">
        <f>"רתמה 1032H441-002"</f>
        <v>רתמה 1032H441-002</v>
      </c>
      <c r="L4323">
        <v>2</v>
      </c>
      <c r="M4323" t="str">
        <f>"יח"</f>
        <v>יח</v>
      </c>
      <c r="N4323">
        <v>2</v>
      </c>
      <c r="O4323" t="str">
        <f>"יח"</f>
        <v>יח</v>
      </c>
      <c r="P4323">
        <v>550</v>
      </c>
      <c r="Q4323" t="str">
        <f>"$"</f>
        <v>$</v>
      </c>
      <c r="R4323" t="str">
        <f>"ידני"</f>
        <v>ידני</v>
      </c>
      <c r="S4323">
        <v>0</v>
      </c>
      <c r="T4323" s="2">
        <v>1100</v>
      </c>
      <c r="U4323">
        <v>0</v>
      </c>
      <c r="V4323" s="2">
        <v>1100</v>
      </c>
      <c r="W4323" t="str">
        <f>"$"</f>
        <v>$</v>
      </c>
      <c r="X4323">
        <v>0</v>
      </c>
      <c r="Y4323">
        <v>0</v>
      </c>
      <c r="Z4323">
        <v>0</v>
      </c>
      <c r="AA4323" t="str">
        <f>"Y"</f>
        <v>Y</v>
      </c>
      <c r="AB4323" t="str">
        <f>"SO17000346"</f>
        <v>SO17000346</v>
      </c>
      <c r="AC4323">
        <v>4</v>
      </c>
      <c r="AD4323" s="1">
        <v>42877</v>
      </c>
      <c r="AE4323" t="str">
        <f>"SH17002196"</f>
        <v>SH17002196</v>
      </c>
      <c r="AF4323" t="str">
        <f>"משלוחים ללקוח"</f>
        <v>משלוחים ללקוח</v>
      </c>
      <c r="AG4323" s="1">
        <v>42983</v>
      </c>
      <c r="AM4323" t="str">
        <f>"10"</f>
        <v>10</v>
      </c>
      <c r="AN4323" t="str">
        <f>"500000"</f>
        <v>500000</v>
      </c>
      <c r="AO4323" t="str">
        <f>"הכנסות  מלקוחות"</f>
        <v>הכנסות  מלקוחות</v>
      </c>
      <c r="AQ4323" t="str">
        <f>"004"</f>
        <v>004</v>
      </c>
      <c r="AR4323">
        <v>0</v>
      </c>
      <c r="AS4323">
        <v>0</v>
      </c>
      <c r="AT4323">
        <v>3.5619999999999998</v>
      </c>
      <c r="AX4323" t="str">
        <f>"E000235802"</f>
        <v>E000235802</v>
      </c>
      <c r="BD4323" t="str">
        <f>"איציק חדד"</f>
        <v>איציק חדד</v>
      </c>
    </row>
    <row r="4324" spans="1:56" x14ac:dyDescent="0.3">
      <c r="A4324" s="1">
        <v>42985</v>
      </c>
      <c r="B4324" t="str">
        <f>"SI176001424"</f>
        <v>SI176001424</v>
      </c>
      <c r="C4324" t="str">
        <f>"PR17001775"</f>
        <v>PR17001775</v>
      </c>
      <c r="E4324" t="str">
        <f>"Y"</f>
        <v>Y</v>
      </c>
      <c r="F4324" t="str">
        <f>"חשבוניות מרכזות"</f>
        <v>חשבוניות מרכזות</v>
      </c>
      <c r="G4324" t="str">
        <f>"700065"</f>
        <v>700065</v>
      </c>
      <c r="H4324" t="str">
        <f>"אלתא מערכות בע""מ"</f>
        <v>אלתא מערכות בע"מ</v>
      </c>
      <c r="I4324" t="str">
        <f>"10"</f>
        <v>10</v>
      </c>
      <c r="J4324" t="str">
        <f>"OP-AR00540"</f>
        <v>OP-AR00540</v>
      </c>
      <c r="K4324" t="str">
        <f>"רתמה 1032H441-002"</f>
        <v>רתמה 1032H441-002</v>
      </c>
      <c r="L4324">
        <v>1</v>
      </c>
      <c r="M4324" t="str">
        <f>"יח"</f>
        <v>יח</v>
      </c>
      <c r="N4324">
        <v>1</v>
      </c>
      <c r="O4324" t="str">
        <f>"יח"</f>
        <v>יח</v>
      </c>
      <c r="P4324">
        <v>550</v>
      </c>
      <c r="Q4324" t="str">
        <f>"$"</f>
        <v>$</v>
      </c>
      <c r="R4324" t="str">
        <f>"ידני"</f>
        <v>ידני</v>
      </c>
      <c r="S4324">
        <v>0</v>
      </c>
      <c r="T4324">
        <v>550</v>
      </c>
      <c r="U4324">
        <v>0</v>
      </c>
      <c r="V4324">
        <v>550</v>
      </c>
      <c r="W4324" t="str">
        <f>"$"</f>
        <v>$</v>
      </c>
      <c r="X4324">
        <v>0</v>
      </c>
      <c r="Y4324">
        <v>0</v>
      </c>
      <c r="Z4324">
        <v>0</v>
      </c>
      <c r="AA4324" t="str">
        <f>"Y"</f>
        <v>Y</v>
      </c>
      <c r="AB4324" t="str">
        <f>"SO17000346"</f>
        <v>SO17000346</v>
      </c>
      <c r="AC4324">
        <v>4</v>
      </c>
      <c r="AD4324" s="1">
        <v>42877</v>
      </c>
      <c r="AE4324" t="str">
        <f>"SH17002196"</f>
        <v>SH17002196</v>
      </c>
      <c r="AF4324" t="str">
        <f>"משלוחים ללקוח"</f>
        <v>משלוחים ללקוח</v>
      </c>
      <c r="AG4324" s="1">
        <v>42983</v>
      </c>
      <c r="AM4324" t="str">
        <f>"10"</f>
        <v>10</v>
      </c>
      <c r="AN4324" t="str">
        <f>"500000"</f>
        <v>500000</v>
      </c>
      <c r="AO4324" t="str">
        <f>"הכנסות  מלקוחות"</f>
        <v>הכנסות  מלקוחות</v>
      </c>
      <c r="AQ4324" t="str">
        <f>"004"</f>
        <v>004</v>
      </c>
      <c r="AR4324">
        <v>0</v>
      </c>
      <c r="AS4324">
        <v>0</v>
      </c>
      <c r="AT4324">
        <v>3.5619999999999998</v>
      </c>
      <c r="AX4324" t="str">
        <f>"E000235802"</f>
        <v>E000235802</v>
      </c>
      <c r="BD4324" t="str">
        <f>"איציק חדד"</f>
        <v>איציק חדד</v>
      </c>
    </row>
    <row r="4325" spans="1:56" x14ac:dyDescent="0.3">
      <c r="A4325" s="1">
        <v>42984</v>
      </c>
      <c r="B4325" t="str">
        <f>"SI176001408"</f>
        <v>SI176001408</v>
      </c>
      <c r="C4325" t="str">
        <f>"PR16000911"</f>
        <v>PR16000911</v>
      </c>
      <c r="D4325" t="str">
        <f>"PR16000911"</f>
        <v>PR16000911</v>
      </c>
      <c r="E4325" t="str">
        <f>"Y"</f>
        <v>Y</v>
      </c>
      <c r="F4325" t="str">
        <f>"חשבוניות מרכזות"</f>
        <v>חשבוניות מרכזות</v>
      </c>
      <c r="G4325" t="str">
        <f>"700065"</f>
        <v>700065</v>
      </c>
      <c r="H4325" t="str">
        <f>"אלתא מערכות בע""מ"</f>
        <v>אלתא מערכות בע"מ</v>
      </c>
      <c r="I4325" t="str">
        <f>"10"</f>
        <v>10</v>
      </c>
      <c r="J4325" t="str">
        <f>"000"</f>
        <v>000</v>
      </c>
      <c r="K4325" t="str">
        <f>"תוספת עבור דפנות ודלתות המסד"</f>
        <v>תוספת עבור דפנות ודלתות המסד</v>
      </c>
      <c r="L4325">
        <v>1</v>
      </c>
      <c r="M4325" t="str">
        <f>"יח"</f>
        <v>יח</v>
      </c>
      <c r="N4325">
        <v>1</v>
      </c>
      <c r="O4325" t="str">
        <f>"יח"</f>
        <v>יח</v>
      </c>
      <c r="P4325" s="2">
        <v>6122</v>
      </c>
      <c r="Q4325" t="str">
        <f>"$"</f>
        <v>$</v>
      </c>
      <c r="R4325" t="str">
        <f>"הזמנה"</f>
        <v>הזמנה</v>
      </c>
      <c r="S4325">
        <v>0</v>
      </c>
      <c r="T4325" s="2">
        <v>6122</v>
      </c>
      <c r="U4325">
        <v>0</v>
      </c>
      <c r="V4325" s="2">
        <v>6122</v>
      </c>
      <c r="W4325" t="str">
        <f>"$"</f>
        <v>$</v>
      </c>
      <c r="X4325">
        <v>0</v>
      </c>
      <c r="Y4325">
        <v>0</v>
      </c>
      <c r="Z4325">
        <v>0</v>
      </c>
      <c r="AA4325" t="str">
        <f>"Y"</f>
        <v>Y</v>
      </c>
      <c r="AB4325" t="str">
        <f>"SO17000598"</f>
        <v>SO17000598</v>
      </c>
      <c r="AC4325">
        <v>1</v>
      </c>
      <c r="AD4325" s="1">
        <v>42984</v>
      </c>
      <c r="AE4325" t="str">
        <f>"SH17002204"</f>
        <v>SH17002204</v>
      </c>
      <c r="AF4325" t="str">
        <f>"משלוחים ללקוח"</f>
        <v>משלוחים ללקוח</v>
      </c>
      <c r="AG4325" s="1">
        <v>42984</v>
      </c>
      <c r="AM4325" t="str">
        <f>"10"</f>
        <v>10</v>
      </c>
      <c r="AN4325" t="str">
        <f>"500000"</f>
        <v>500000</v>
      </c>
      <c r="AO4325" t="str">
        <f>"הכנסות  מלקוחות"</f>
        <v>הכנסות  מלקוחות</v>
      </c>
      <c r="AQ4325" t="str">
        <f>"007"</f>
        <v>007</v>
      </c>
      <c r="AR4325">
        <v>0</v>
      </c>
      <c r="AS4325">
        <v>0</v>
      </c>
      <c r="AT4325">
        <v>3.5680000000000001</v>
      </c>
      <c r="AX4325" t="str">
        <f>"E000244841"</f>
        <v>E000244841</v>
      </c>
      <c r="BD4325" t="str">
        <f>"רוני דידי"</f>
        <v>רוני דידי</v>
      </c>
    </row>
    <row r="4326" spans="1:56" x14ac:dyDescent="0.3">
      <c r="A4326" s="1">
        <v>42984</v>
      </c>
      <c r="B4326" t="str">
        <f>"SI176001408"</f>
        <v>SI176001408</v>
      </c>
      <c r="C4326" t="str">
        <f>"PR16000911"</f>
        <v>PR16000911</v>
      </c>
      <c r="D4326" t="str">
        <f>"PR16000911"</f>
        <v>PR16000911</v>
      </c>
      <c r="E4326" t="str">
        <f>"Y"</f>
        <v>Y</v>
      </c>
      <c r="F4326" t="str">
        <f>"חשבוניות מרכזות"</f>
        <v>חשבוניות מרכזות</v>
      </c>
      <c r="G4326" t="str">
        <f>"700065"</f>
        <v>700065</v>
      </c>
      <c r="H4326" t="str">
        <f>"אלתא מערכות בע""מ"</f>
        <v>אלתא מערכות בע"מ</v>
      </c>
      <c r="I4326" t="str">
        <f>"10"</f>
        <v>10</v>
      </c>
      <c r="J4326" t="str">
        <f>"000"</f>
        <v>000</v>
      </c>
      <c r="K4326" t="str">
        <f>"פרופיל U (במקום בולמים)"</f>
        <v>פרופיל U (במקום בולמים)</v>
      </c>
      <c r="L4326">
        <v>1</v>
      </c>
      <c r="M4326" t="str">
        <f>"יח"</f>
        <v>יח</v>
      </c>
      <c r="N4326">
        <v>1</v>
      </c>
      <c r="O4326" t="str">
        <f>"יח"</f>
        <v>יח</v>
      </c>
      <c r="P4326">
        <v>250</v>
      </c>
      <c r="Q4326" t="str">
        <f>"$"</f>
        <v>$</v>
      </c>
      <c r="R4326" t="str">
        <f>"הזמנה"</f>
        <v>הזמנה</v>
      </c>
      <c r="S4326">
        <v>0</v>
      </c>
      <c r="T4326">
        <v>250</v>
      </c>
      <c r="U4326">
        <v>0</v>
      </c>
      <c r="V4326">
        <v>250</v>
      </c>
      <c r="W4326" t="str">
        <f>"$"</f>
        <v>$</v>
      </c>
      <c r="X4326">
        <v>0</v>
      </c>
      <c r="Y4326">
        <v>0</v>
      </c>
      <c r="Z4326">
        <v>0</v>
      </c>
      <c r="AA4326" t="str">
        <f>"Y"</f>
        <v>Y</v>
      </c>
      <c r="AB4326" t="str">
        <f>"SO17000598"</f>
        <v>SO17000598</v>
      </c>
      <c r="AC4326">
        <v>2</v>
      </c>
      <c r="AD4326" s="1">
        <v>42984</v>
      </c>
      <c r="AE4326" t="str">
        <f>"SH17002204"</f>
        <v>SH17002204</v>
      </c>
      <c r="AF4326" t="str">
        <f>"משלוחים ללקוח"</f>
        <v>משלוחים ללקוח</v>
      </c>
      <c r="AG4326" s="1">
        <v>42984</v>
      </c>
      <c r="AM4326" t="str">
        <f>"10"</f>
        <v>10</v>
      </c>
      <c r="AN4326" t="str">
        <f>"500000"</f>
        <v>500000</v>
      </c>
      <c r="AO4326" t="str">
        <f>"הכנסות  מלקוחות"</f>
        <v>הכנסות  מלקוחות</v>
      </c>
      <c r="AQ4326" t="str">
        <f>"007"</f>
        <v>007</v>
      </c>
      <c r="AR4326">
        <v>0</v>
      </c>
      <c r="AS4326">
        <v>0</v>
      </c>
      <c r="AT4326">
        <v>3.5680000000000001</v>
      </c>
      <c r="AX4326" t="str">
        <f>"E000244841"</f>
        <v>E000244841</v>
      </c>
      <c r="BD4326" t="str">
        <f>"רוני דידי"</f>
        <v>רוני דידי</v>
      </c>
    </row>
    <row r="4327" spans="1:56" x14ac:dyDescent="0.3">
      <c r="A4327" s="1">
        <v>42984</v>
      </c>
      <c r="B4327" t="str">
        <f>"SI176001408"</f>
        <v>SI176001408</v>
      </c>
      <c r="C4327" t="str">
        <f>"PR16000911"</f>
        <v>PR16000911</v>
      </c>
      <c r="D4327" t="str">
        <f>"PR16000911"</f>
        <v>PR16000911</v>
      </c>
      <c r="E4327" t="str">
        <f>"Y"</f>
        <v>Y</v>
      </c>
      <c r="F4327" t="str">
        <f>"חשבוניות מרכזות"</f>
        <v>חשבוניות מרכזות</v>
      </c>
      <c r="G4327" t="str">
        <f>"700065"</f>
        <v>700065</v>
      </c>
      <c r="H4327" t="str">
        <f>"אלתא מערכות בע""מ"</f>
        <v>אלתא מערכות בע"מ</v>
      </c>
      <c r="I4327" t="str">
        <f>"10"</f>
        <v>10</v>
      </c>
      <c r="J4327" t="str">
        <f>"000"</f>
        <v>000</v>
      </c>
      <c r="K4327" t="str">
        <f>"צביעה מחודשת פנלים עיוורים"</f>
        <v>צביעה מחודשת פנלים עיוורים</v>
      </c>
      <c r="L4327">
        <v>1</v>
      </c>
      <c r="M4327" t="str">
        <f>"יח"</f>
        <v>יח</v>
      </c>
      <c r="N4327">
        <v>1</v>
      </c>
      <c r="O4327" t="str">
        <f>"יח"</f>
        <v>יח</v>
      </c>
      <c r="P4327">
        <v>420</v>
      </c>
      <c r="Q4327" t="str">
        <f>"$"</f>
        <v>$</v>
      </c>
      <c r="R4327" t="str">
        <f>"הזמנה"</f>
        <v>הזמנה</v>
      </c>
      <c r="S4327">
        <v>0</v>
      </c>
      <c r="T4327">
        <v>420</v>
      </c>
      <c r="U4327">
        <v>0</v>
      </c>
      <c r="V4327">
        <v>420</v>
      </c>
      <c r="W4327" t="str">
        <f>"$"</f>
        <v>$</v>
      </c>
      <c r="X4327">
        <v>0</v>
      </c>
      <c r="Y4327">
        <v>0</v>
      </c>
      <c r="Z4327">
        <v>0</v>
      </c>
      <c r="AA4327" t="str">
        <f>"Y"</f>
        <v>Y</v>
      </c>
      <c r="AB4327" t="str">
        <f>"SO17000598"</f>
        <v>SO17000598</v>
      </c>
      <c r="AC4327">
        <v>3</v>
      </c>
      <c r="AD4327" s="1">
        <v>42984</v>
      </c>
      <c r="AE4327" t="str">
        <f>"SH17002204"</f>
        <v>SH17002204</v>
      </c>
      <c r="AF4327" t="str">
        <f>"משלוחים ללקוח"</f>
        <v>משלוחים ללקוח</v>
      </c>
      <c r="AG4327" s="1">
        <v>42984</v>
      </c>
      <c r="AM4327" t="str">
        <f>"10"</f>
        <v>10</v>
      </c>
      <c r="AN4327" t="str">
        <f>"500000"</f>
        <v>500000</v>
      </c>
      <c r="AO4327" t="str">
        <f>"הכנסות  מלקוחות"</f>
        <v>הכנסות  מלקוחות</v>
      </c>
      <c r="AQ4327" t="str">
        <f>"007"</f>
        <v>007</v>
      </c>
      <c r="AR4327">
        <v>0</v>
      </c>
      <c r="AS4327">
        <v>0</v>
      </c>
      <c r="AT4327">
        <v>3.5680000000000001</v>
      </c>
      <c r="AX4327" t="str">
        <f>"E000244841"</f>
        <v>E000244841</v>
      </c>
      <c r="BD4327" t="str">
        <f>"רוני דידי"</f>
        <v>רוני דידי</v>
      </c>
    </row>
    <row r="4328" spans="1:56" x14ac:dyDescent="0.3">
      <c r="A4328" s="1">
        <v>42984</v>
      </c>
      <c r="B4328" t="str">
        <f>"SI176001408"</f>
        <v>SI176001408</v>
      </c>
      <c r="C4328" t="str">
        <f>"PR16000911"</f>
        <v>PR16000911</v>
      </c>
      <c r="D4328" t="str">
        <f>"PR16000911"</f>
        <v>PR16000911</v>
      </c>
      <c r="E4328" t="str">
        <f>"Y"</f>
        <v>Y</v>
      </c>
      <c r="F4328" t="str">
        <f>"חשבוניות מרכזות"</f>
        <v>חשבוניות מרכזות</v>
      </c>
      <c r="G4328" t="str">
        <f>"700065"</f>
        <v>700065</v>
      </c>
      <c r="H4328" t="str">
        <f>"אלתא מערכות בע""מ"</f>
        <v>אלתא מערכות בע"מ</v>
      </c>
      <c r="I4328" t="str">
        <f>"10"</f>
        <v>10</v>
      </c>
      <c r="J4328" t="str">
        <f>"000"</f>
        <v>000</v>
      </c>
      <c r="K4328" t="str">
        <f>"ייצור פנל למתג + פנל שערות כולל:"</f>
        <v>ייצור פנל למתג + פנל שערות כולל:</v>
      </c>
      <c r="L4328">
        <v>1</v>
      </c>
      <c r="M4328" t="str">
        <f>"יח"</f>
        <v>יח</v>
      </c>
      <c r="N4328">
        <v>1</v>
      </c>
      <c r="O4328" t="str">
        <f>"יח"</f>
        <v>יח</v>
      </c>
      <c r="P4328">
        <v>850</v>
      </c>
      <c r="Q4328" t="str">
        <f>"$"</f>
        <v>$</v>
      </c>
      <c r="R4328" t="str">
        <f>"הזמנה"</f>
        <v>הזמנה</v>
      </c>
      <c r="S4328">
        <v>0</v>
      </c>
      <c r="T4328">
        <v>850</v>
      </c>
      <c r="U4328">
        <v>0</v>
      </c>
      <c r="V4328">
        <v>850</v>
      </c>
      <c r="W4328" t="str">
        <f>"$"</f>
        <v>$</v>
      </c>
      <c r="X4328">
        <v>0</v>
      </c>
      <c r="Y4328">
        <v>0</v>
      </c>
      <c r="Z4328">
        <v>0</v>
      </c>
      <c r="AA4328" t="str">
        <f>"Y"</f>
        <v>Y</v>
      </c>
      <c r="AB4328" t="str">
        <f>"SO17000598"</f>
        <v>SO17000598</v>
      </c>
      <c r="AC4328">
        <v>4</v>
      </c>
      <c r="AD4328" s="1">
        <v>42984</v>
      </c>
      <c r="AE4328" t="str">
        <f>"SH17002204"</f>
        <v>SH17002204</v>
      </c>
      <c r="AF4328" t="str">
        <f>"משלוחים ללקוח"</f>
        <v>משלוחים ללקוח</v>
      </c>
      <c r="AG4328" s="1">
        <v>42984</v>
      </c>
      <c r="AM4328" t="str">
        <f>"10"</f>
        <v>10</v>
      </c>
      <c r="AN4328" t="str">
        <f>"500000"</f>
        <v>500000</v>
      </c>
      <c r="AO4328" t="str">
        <f>"הכנסות  מלקוחות"</f>
        <v>הכנסות  מלקוחות</v>
      </c>
      <c r="AQ4328" t="str">
        <f>"007"</f>
        <v>007</v>
      </c>
      <c r="AR4328">
        <v>0</v>
      </c>
      <c r="AS4328">
        <v>0</v>
      </c>
      <c r="AT4328">
        <v>3.5680000000000001</v>
      </c>
      <c r="AX4328" t="str">
        <f>"E000244841"</f>
        <v>E000244841</v>
      </c>
      <c r="BD4328" t="str">
        <f>"רוני דידי"</f>
        <v>רוני דידי</v>
      </c>
    </row>
    <row r="4329" spans="1:56" x14ac:dyDescent="0.3">
      <c r="A4329" s="1">
        <v>42984</v>
      </c>
      <c r="B4329" t="str">
        <f>"SI176001408"</f>
        <v>SI176001408</v>
      </c>
      <c r="C4329" t="str">
        <f>"PR16000911"</f>
        <v>PR16000911</v>
      </c>
      <c r="D4329" t="str">
        <f>"PR16000911"</f>
        <v>PR16000911</v>
      </c>
      <c r="E4329" t="str">
        <f>"Y"</f>
        <v>Y</v>
      </c>
      <c r="F4329" t="str">
        <f>"חשבוניות מרכזות"</f>
        <v>חשבוניות מרכזות</v>
      </c>
      <c r="G4329" t="str">
        <f>"700065"</f>
        <v>700065</v>
      </c>
      <c r="H4329" t="str">
        <f>"אלתא מערכות בע""מ"</f>
        <v>אלתא מערכות בע"מ</v>
      </c>
      <c r="I4329" t="str">
        <f>"10"</f>
        <v>10</v>
      </c>
      <c r="J4329" t="str">
        <f>"000"</f>
        <v>000</v>
      </c>
      <c r="K4329" t="str">
        <f>"ייצור פנלי I/O כולל:"</f>
        <v>ייצור פנלי I/O כולל:</v>
      </c>
      <c r="L4329">
        <v>1</v>
      </c>
      <c r="M4329" t="str">
        <f>"יח"</f>
        <v>יח</v>
      </c>
      <c r="N4329">
        <v>1</v>
      </c>
      <c r="O4329" t="str">
        <f>"יח"</f>
        <v>יח</v>
      </c>
      <c r="P4329">
        <v>750</v>
      </c>
      <c r="Q4329" t="str">
        <f>"$"</f>
        <v>$</v>
      </c>
      <c r="R4329" t="str">
        <f>"הזמנה"</f>
        <v>הזמנה</v>
      </c>
      <c r="S4329">
        <v>0</v>
      </c>
      <c r="T4329">
        <v>750</v>
      </c>
      <c r="U4329">
        <v>0</v>
      </c>
      <c r="V4329">
        <v>750</v>
      </c>
      <c r="W4329" t="str">
        <f>"$"</f>
        <v>$</v>
      </c>
      <c r="X4329">
        <v>0</v>
      </c>
      <c r="Y4329">
        <v>0</v>
      </c>
      <c r="Z4329">
        <v>0</v>
      </c>
      <c r="AA4329" t="str">
        <f>"Y"</f>
        <v>Y</v>
      </c>
      <c r="AB4329" t="str">
        <f>"SO17000598"</f>
        <v>SO17000598</v>
      </c>
      <c r="AC4329">
        <v>5</v>
      </c>
      <c r="AD4329" s="1">
        <v>42984</v>
      </c>
      <c r="AE4329" t="str">
        <f>"SH17002204"</f>
        <v>SH17002204</v>
      </c>
      <c r="AF4329" t="str">
        <f>"משלוחים ללקוח"</f>
        <v>משלוחים ללקוח</v>
      </c>
      <c r="AG4329" s="1">
        <v>42984</v>
      </c>
      <c r="AM4329" t="str">
        <f>"10"</f>
        <v>10</v>
      </c>
      <c r="AN4329" t="str">
        <f>"500000"</f>
        <v>500000</v>
      </c>
      <c r="AO4329" t="str">
        <f>"הכנסות  מלקוחות"</f>
        <v>הכנסות  מלקוחות</v>
      </c>
      <c r="AQ4329" t="str">
        <f>"007"</f>
        <v>007</v>
      </c>
      <c r="AR4329">
        <v>0</v>
      </c>
      <c r="AS4329">
        <v>0</v>
      </c>
      <c r="AT4329">
        <v>3.5680000000000001</v>
      </c>
      <c r="AX4329" t="str">
        <f>"E000244841"</f>
        <v>E000244841</v>
      </c>
      <c r="BD4329" t="str">
        <f>"רוני דידי"</f>
        <v>רוני דידי</v>
      </c>
    </row>
    <row r="4330" spans="1:56" x14ac:dyDescent="0.3">
      <c r="A4330" s="1">
        <v>42984</v>
      </c>
      <c r="B4330" t="str">
        <f>"SI176001408"</f>
        <v>SI176001408</v>
      </c>
      <c r="C4330" t="str">
        <f>"PR16000911"</f>
        <v>PR16000911</v>
      </c>
      <c r="D4330" t="str">
        <f>"PR16000911"</f>
        <v>PR16000911</v>
      </c>
      <c r="E4330" t="str">
        <f>"Y"</f>
        <v>Y</v>
      </c>
      <c r="F4330" t="str">
        <f>"חשבוניות מרכזות"</f>
        <v>חשבוניות מרכזות</v>
      </c>
      <c r="G4330" t="str">
        <f>"700065"</f>
        <v>700065</v>
      </c>
      <c r="H4330" t="str">
        <f>"אלתא מערכות בע""מ"</f>
        <v>אלתא מערכות בע"מ</v>
      </c>
      <c r="I4330" t="str">
        <f>"10"</f>
        <v>10</v>
      </c>
      <c r="J4330" t="str">
        <f>"000"</f>
        <v>000</v>
      </c>
      <c r="K4330" t="str">
        <f>"פרופיל U תכן חדש"</f>
        <v>פרופיל U תכן חדש</v>
      </c>
      <c r="L4330">
        <v>1</v>
      </c>
      <c r="M4330" t="str">
        <f>"יח"</f>
        <v>יח</v>
      </c>
      <c r="N4330">
        <v>1</v>
      </c>
      <c r="O4330" t="str">
        <f>"יח"</f>
        <v>יח</v>
      </c>
      <c r="P4330">
        <v>720</v>
      </c>
      <c r="Q4330" t="str">
        <f>"$"</f>
        <v>$</v>
      </c>
      <c r="R4330" t="str">
        <f>"הזמנה"</f>
        <v>הזמנה</v>
      </c>
      <c r="S4330">
        <v>0</v>
      </c>
      <c r="T4330">
        <v>720</v>
      </c>
      <c r="U4330">
        <v>0</v>
      </c>
      <c r="V4330">
        <v>720</v>
      </c>
      <c r="W4330" t="str">
        <f>"$"</f>
        <v>$</v>
      </c>
      <c r="X4330">
        <v>0</v>
      </c>
      <c r="Y4330">
        <v>0</v>
      </c>
      <c r="Z4330">
        <v>0</v>
      </c>
      <c r="AA4330" t="str">
        <f>"Y"</f>
        <v>Y</v>
      </c>
      <c r="AB4330" t="str">
        <f>"SO17000598"</f>
        <v>SO17000598</v>
      </c>
      <c r="AC4330">
        <v>6</v>
      </c>
      <c r="AD4330" s="1">
        <v>42984</v>
      </c>
      <c r="AE4330" t="str">
        <f>"SH17002204"</f>
        <v>SH17002204</v>
      </c>
      <c r="AF4330" t="str">
        <f>"משלוחים ללקוח"</f>
        <v>משלוחים ללקוח</v>
      </c>
      <c r="AG4330" s="1">
        <v>42984</v>
      </c>
      <c r="AM4330" t="str">
        <f>"10"</f>
        <v>10</v>
      </c>
      <c r="AN4330" t="str">
        <f>"500000"</f>
        <v>500000</v>
      </c>
      <c r="AO4330" t="str">
        <f>"הכנסות  מלקוחות"</f>
        <v>הכנסות  מלקוחות</v>
      </c>
      <c r="AQ4330" t="str">
        <f>"007"</f>
        <v>007</v>
      </c>
      <c r="AR4330">
        <v>0</v>
      </c>
      <c r="AS4330">
        <v>0</v>
      </c>
      <c r="AT4330">
        <v>3.5680000000000001</v>
      </c>
      <c r="AX4330" t="str">
        <f>"E000244841"</f>
        <v>E000244841</v>
      </c>
      <c r="BD4330" t="str">
        <f>"רוני דידי"</f>
        <v>רוני דידי</v>
      </c>
    </row>
    <row r="4331" spans="1:56" x14ac:dyDescent="0.3">
      <c r="A4331" s="1">
        <v>42984</v>
      </c>
      <c r="B4331" t="str">
        <f>"SI176001408"</f>
        <v>SI176001408</v>
      </c>
      <c r="C4331" t="str">
        <f>"PR16000911"</f>
        <v>PR16000911</v>
      </c>
      <c r="D4331" t="str">
        <f>"PR16000911"</f>
        <v>PR16000911</v>
      </c>
      <c r="E4331" t="str">
        <f>"Y"</f>
        <v>Y</v>
      </c>
      <c r="F4331" t="str">
        <f>"חשבוניות מרכזות"</f>
        <v>חשבוניות מרכזות</v>
      </c>
      <c r="G4331" t="str">
        <f>"700065"</f>
        <v>700065</v>
      </c>
      <c r="H4331" t="str">
        <f>"אלתא מערכות בע""מ"</f>
        <v>אלתא מערכות בע"מ</v>
      </c>
      <c r="I4331" t="str">
        <f>"10"</f>
        <v>10</v>
      </c>
      <c r="J4331" t="str">
        <f>"000"</f>
        <v>000</v>
      </c>
      <c r="K4331" t="str">
        <f>"קזיזוז בגין רכיבים שסופקו ע""י הלקוח"</f>
        <v>קזיזוז בגין רכיבים שסופקו ע"י הלקוח</v>
      </c>
      <c r="L4331">
        <v>-1</v>
      </c>
      <c r="M4331" t="str">
        <f>"יח"</f>
        <v>יח</v>
      </c>
      <c r="N4331">
        <v>-1</v>
      </c>
      <c r="O4331" t="str">
        <f>"יח"</f>
        <v>יח</v>
      </c>
      <c r="P4331" s="2">
        <v>1612</v>
      </c>
      <c r="Q4331" t="str">
        <f>"$"</f>
        <v>$</v>
      </c>
      <c r="R4331" t="str">
        <f>"הזמנה"</f>
        <v>הזמנה</v>
      </c>
      <c r="S4331">
        <v>0</v>
      </c>
      <c r="T4331" s="2">
        <v>-1612</v>
      </c>
      <c r="U4331">
        <v>0</v>
      </c>
      <c r="V4331" s="2">
        <v>-1612</v>
      </c>
      <c r="W4331" t="str">
        <f>"$"</f>
        <v>$</v>
      </c>
      <c r="X4331">
        <v>0</v>
      </c>
      <c r="Y4331">
        <v>0</v>
      </c>
      <c r="Z4331">
        <v>0</v>
      </c>
      <c r="AA4331" t="str">
        <f>"Y"</f>
        <v>Y</v>
      </c>
      <c r="AB4331" t="str">
        <f>"SO17000598"</f>
        <v>SO17000598</v>
      </c>
      <c r="AC4331">
        <v>7</v>
      </c>
      <c r="AD4331" s="1">
        <v>42984</v>
      </c>
      <c r="AE4331" t="str">
        <f>"SH17002204"</f>
        <v>SH17002204</v>
      </c>
      <c r="AF4331" t="str">
        <f>"משלוחים ללקוח"</f>
        <v>משלוחים ללקוח</v>
      </c>
      <c r="AG4331" s="1">
        <v>42984</v>
      </c>
      <c r="AM4331" t="str">
        <f>"10"</f>
        <v>10</v>
      </c>
      <c r="AN4331" t="str">
        <f>"500000"</f>
        <v>500000</v>
      </c>
      <c r="AO4331" t="str">
        <f>"הכנסות  מלקוחות"</f>
        <v>הכנסות  מלקוחות</v>
      </c>
      <c r="AQ4331" t="str">
        <f>"007"</f>
        <v>007</v>
      </c>
      <c r="AR4331">
        <v>0</v>
      </c>
      <c r="AS4331">
        <v>0</v>
      </c>
      <c r="AT4331">
        <v>3.5680000000000001</v>
      </c>
      <c r="AX4331" t="str">
        <f>"E000244841"</f>
        <v>E000244841</v>
      </c>
      <c r="BD4331" t="str">
        <f>"רוני דידי"</f>
        <v>רוני דידי</v>
      </c>
    </row>
    <row r="4332" spans="1:56" x14ac:dyDescent="0.3">
      <c r="A4332" s="1">
        <v>42982</v>
      </c>
      <c r="B4332" t="str">
        <f>"SI176001364"</f>
        <v>SI176001364</v>
      </c>
      <c r="C4332" t="str">
        <f>"PR17001775"</f>
        <v>PR17001775</v>
      </c>
      <c r="E4332" t="str">
        <f>"Y"</f>
        <v>Y</v>
      </c>
      <c r="F4332" t="str">
        <f>"חשבוניות מרכזות"</f>
        <v>חשבוניות מרכזות</v>
      </c>
      <c r="G4332" t="str">
        <f>"700065"</f>
        <v>700065</v>
      </c>
      <c r="H4332" t="str">
        <f>"אלתא מערכות בע""מ"</f>
        <v>אלתא מערכות בע"מ</v>
      </c>
      <c r="I4332" t="str">
        <f>"10"</f>
        <v>10</v>
      </c>
      <c r="J4332" t="str">
        <f>"OP-AR00540"</f>
        <v>OP-AR00540</v>
      </c>
      <c r="K4332" t="str">
        <f>"רתמה 1032H441-002"</f>
        <v>רתמה 1032H441-002</v>
      </c>
      <c r="L4332">
        <v>5</v>
      </c>
      <c r="M4332" t="str">
        <f>"יח"</f>
        <v>יח</v>
      </c>
      <c r="N4332">
        <v>5</v>
      </c>
      <c r="O4332" t="str">
        <f>"יח"</f>
        <v>יח</v>
      </c>
      <c r="P4332">
        <v>550</v>
      </c>
      <c r="Q4332" t="str">
        <f>"$"</f>
        <v>$</v>
      </c>
      <c r="R4332" t="str">
        <f>"הזמנה"</f>
        <v>הזמנה</v>
      </c>
      <c r="S4332">
        <v>0</v>
      </c>
      <c r="T4332" s="2">
        <v>2750</v>
      </c>
      <c r="U4332">
        <v>0</v>
      </c>
      <c r="V4332" s="2">
        <v>2750</v>
      </c>
      <c r="W4332" t="str">
        <f>"$"</f>
        <v>$</v>
      </c>
      <c r="X4332">
        <v>0</v>
      </c>
      <c r="Y4332">
        <v>0</v>
      </c>
      <c r="Z4332">
        <v>0</v>
      </c>
      <c r="AA4332" t="str">
        <f>"Y"</f>
        <v>Y</v>
      </c>
      <c r="AB4332" t="str">
        <f>"SO17000346"</f>
        <v>SO17000346</v>
      </c>
      <c r="AC4332">
        <v>3</v>
      </c>
      <c r="AD4332" s="1">
        <v>42877</v>
      </c>
      <c r="AE4332" t="str">
        <f>"SH17002145"</f>
        <v>SH17002145</v>
      </c>
      <c r="AF4332" t="str">
        <f>"משלוחים ללקוח"</f>
        <v>משלוחים ללקוח</v>
      </c>
      <c r="AG4332" s="1">
        <v>42978</v>
      </c>
      <c r="AM4332" t="str">
        <f>"10"</f>
        <v>10</v>
      </c>
      <c r="AN4332" t="str">
        <f>"500000"</f>
        <v>500000</v>
      </c>
      <c r="AO4332" t="str">
        <f>"הכנסות  מלקוחות"</f>
        <v>הכנסות  מלקוחות</v>
      </c>
      <c r="AQ4332" t="str">
        <f>"004"</f>
        <v>004</v>
      </c>
      <c r="AR4332">
        <v>0</v>
      </c>
      <c r="AS4332">
        <v>0</v>
      </c>
      <c r="AT4332">
        <v>3.5840000000000001</v>
      </c>
      <c r="AX4332" t="str">
        <f>"E000235802"</f>
        <v>E000235802</v>
      </c>
      <c r="BD4332" t="str">
        <f>"איציק חדד"</f>
        <v>איציק חדד</v>
      </c>
    </row>
    <row r="4333" spans="1:56" x14ac:dyDescent="0.3">
      <c r="A4333" s="1">
        <v>42982</v>
      </c>
      <c r="B4333" t="str">
        <f>"SI176001364"</f>
        <v>SI176001364</v>
      </c>
      <c r="C4333" t="str">
        <f>"PR17001775"</f>
        <v>PR17001775</v>
      </c>
      <c r="E4333" t="str">
        <f>"Y"</f>
        <v>Y</v>
      </c>
      <c r="F4333" t="str">
        <f>"חשבוניות מרכזות"</f>
        <v>חשבוניות מרכזות</v>
      </c>
      <c r="G4333" t="str">
        <f>"700065"</f>
        <v>700065</v>
      </c>
      <c r="H4333" t="str">
        <f>"אלתא מערכות בע""מ"</f>
        <v>אלתא מערכות בע"מ</v>
      </c>
      <c r="I4333" t="str">
        <f>"10"</f>
        <v>10</v>
      </c>
      <c r="J4333" t="str">
        <f>"OP-AR00540"</f>
        <v>OP-AR00540</v>
      </c>
      <c r="K4333" t="str">
        <f>"רתמה 1032H441-002"</f>
        <v>רתמה 1032H441-002</v>
      </c>
      <c r="L4333">
        <v>1</v>
      </c>
      <c r="M4333" t="str">
        <f>"יח"</f>
        <v>יח</v>
      </c>
      <c r="N4333">
        <v>1</v>
      </c>
      <c r="O4333" t="str">
        <f>"יח"</f>
        <v>יח</v>
      </c>
      <c r="P4333">
        <v>550</v>
      </c>
      <c r="Q4333" t="str">
        <f>"$"</f>
        <v>$</v>
      </c>
      <c r="R4333" t="str">
        <f>"הזמנה"</f>
        <v>הזמנה</v>
      </c>
      <c r="S4333">
        <v>0</v>
      </c>
      <c r="T4333">
        <v>550</v>
      </c>
      <c r="U4333">
        <v>0</v>
      </c>
      <c r="V4333">
        <v>550</v>
      </c>
      <c r="W4333" t="str">
        <f>"$"</f>
        <v>$</v>
      </c>
      <c r="X4333">
        <v>0</v>
      </c>
      <c r="Y4333">
        <v>0</v>
      </c>
      <c r="Z4333">
        <v>0</v>
      </c>
      <c r="AA4333" t="str">
        <f>"Y"</f>
        <v>Y</v>
      </c>
      <c r="AB4333" t="str">
        <f>"SO17000346"</f>
        <v>SO17000346</v>
      </c>
      <c r="AC4333">
        <v>4</v>
      </c>
      <c r="AD4333" s="1">
        <v>42877</v>
      </c>
      <c r="AE4333" t="str">
        <f>"SH17002145"</f>
        <v>SH17002145</v>
      </c>
      <c r="AF4333" t="str">
        <f>"משלוחים ללקוח"</f>
        <v>משלוחים ללקוח</v>
      </c>
      <c r="AG4333" s="1">
        <v>42978</v>
      </c>
      <c r="AM4333" t="str">
        <f>"10"</f>
        <v>10</v>
      </c>
      <c r="AN4333" t="str">
        <f>"500000"</f>
        <v>500000</v>
      </c>
      <c r="AO4333" t="str">
        <f>"הכנסות  מלקוחות"</f>
        <v>הכנסות  מלקוחות</v>
      </c>
      <c r="AQ4333" t="str">
        <f>"004"</f>
        <v>004</v>
      </c>
      <c r="AR4333">
        <v>0</v>
      </c>
      <c r="AS4333">
        <v>0</v>
      </c>
      <c r="AT4333">
        <v>3.5840000000000001</v>
      </c>
      <c r="AX4333" t="str">
        <f>"E000235802"</f>
        <v>E000235802</v>
      </c>
      <c r="BD4333" t="str">
        <f>"איציק חדד"</f>
        <v>איציק חדד</v>
      </c>
    </row>
    <row r="4334" spans="1:56" x14ac:dyDescent="0.3">
      <c r="A4334" s="1">
        <v>42982</v>
      </c>
      <c r="B4334" t="str">
        <f>"SI176001364"</f>
        <v>SI176001364</v>
      </c>
      <c r="C4334" t="str">
        <f>"PR17001775"</f>
        <v>PR17001775</v>
      </c>
      <c r="E4334" t="str">
        <f>"Y"</f>
        <v>Y</v>
      </c>
      <c r="F4334" t="str">
        <f>"חשבוניות מרכזות"</f>
        <v>חשבוניות מרכזות</v>
      </c>
      <c r="G4334" t="str">
        <f>"700065"</f>
        <v>700065</v>
      </c>
      <c r="H4334" t="str">
        <f>"אלתא מערכות בע""מ"</f>
        <v>אלתא מערכות בע"מ</v>
      </c>
      <c r="I4334" t="str">
        <f>"10"</f>
        <v>10</v>
      </c>
      <c r="J4334" t="str">
        <f>"OP-AR00540"</f>
        <v>OP-AR00540</v>
      </c>
      <c r="K4334" t="str">
        <f>"רתמה 1032H441-002"</f>
        <v>רתמה 1032H441-002</v>
      </c>
      <c r="L4334">
        <v>1</v>
      </c>
      <c r="M4334" t="str">
        <f>"יח"</f>
        <v>יח</v>
      </c>
      <c r="N4334">
        <v>1</v>
      </c>
      <c r="O4334" t="str">
        <f>"יח"</f>
        <v>יח</v>
      </c>
      <c r="P4334">
        <v>550</v>
      </c>
      <c r="Q4334" t="str">
        <f>"$"</f>
        <v>$</v>
      </c>
      <c r="R4334" t="str">
        <f>"הזמנה"</f>
        <v>הזמנה</v>
      </c>
      <c r="S4334">
        <v>0</v>
      </c>
      <c r="T4334">
        <v>550</v>
      </c>
      <c r="U4334">
        <v>0</v>
      </c>
      <c r="V4334">
        <v>550</v>
      </c>
      <c r="W4334" t="str">
        <f>"$"</f>
        <v>$</v>
      </c>
      <c r="X4334">
        <v>0</v>
      </c>
      <c r="Y4334">
        <v>0</v>
      </c>
      <c r="Z4334">
        <v>0</v>
      </c>
      <c r="AA4334" t="str">
        <f>"Y"</f>
        <v>Y</v>
      </c>
      <c r="AB4334" t="str">
        <f>"SO17000346"</f>
        <v>SO17000346</v>
      </c>
      <c r="AC4334">
        <v>12</v>
      </c>
      <c r="AD4334" s="1">
        <v>42877</v>
      </c>
      <c r="AE4334" t="str">
        <f>"SH17002145"</f>
        <v>SH17002145</v>
      </c>
      <c r="AF4334" t="str">
        <f>"משלוחים ללקוח"</f>
        <v>משלוחים ללקוח</v>
      </c>
      <c r="AG4334" s="1">
        <v>42978</v>
      </c>
      <c r="AM4334" t="str">
        <f>"10"</f>
        <v>10</v>
      </c>
      <c r="AN4334" t="str">
        <f>"500000"</f>
        <v>500000</v>
      </c>
      <c r="AO4334" t="str">
        <f>"הכנסות  מלקוחות"</f>
        <v>הכנסות  מלקוחות</v>
      </c>
      <c r="AQ4334" t="str">
        <f>"004"</f>
        <v>004</v>
      </c>
      <c r="AR4334">
        <v>0</v>
      </c>
      <c r="AS4334">
        <v>0</v>
      </c>
      <c r="AT4334">
        <v>3.5840000000000001</v>
      </c>
      <c r="AX4334" t="str">
        <f>"E000235802"</f>
        <v>E000235802</v>
      </c>
      <c r="BD4334" t="str">
        <f>"איציק חדד"</f>
        <v>איציק חדד</v>
      </c>
    </row>
    <row r="4335" spans="1:56" x14ac:dyDescent="0.3">
      <c r="A4335" s="1">
        <v>42975</v>
      </c>
      <c r="B4335" t="str">
        <f>"SI176001330"</f>
        <v>SI176001330</v>
      </c>
      <c r="C4335" t="str">
        <f>"PR17001471"</f>
        <v>PR17001471</v>
      </c>
      <c r="E4335" t="str">
        <f>"Y"</f>
        <v>Y</v>
      </c>
      <c r="F4335" t="str">
        <f>"חשבוניות מרכזות"</f>
        <v>חשבוניות מרכזות</v>
      </c>
      <c r="G4335" t="str">
        <f>"700065"</f>
        <v>700065</v>
      </c>
      <c r="H4335" t="str">
        <f>"אלתא מערכות בע""מ"</f>
        <v>אלתא מערכות בע"מ</v>
      </c>
      <c r="I4335" t="str">
        <f>"10"</f>
        <v>10</v>
      </c>
      <c r="J4335" t="str">
        <f>"OP-AR00466"</f>
        <v>OP-AR00466</v>
      </c>
      <c r="K4335" t="str">
        <f>"רתמה REV;B 1036N633-001"</f>
        <v>רתמה REV;B 1036N633-001</v>
      </c>
      <c r="L4335">
        <v>9</v>
      </c>
      <c r="M4335" t="str">
        <f>"יח"</f>
        <v>יח</v>
      </c>
      <c r="N4335">
        <v>9</v>
      </c>
      <c r="O4335" t="str">
        <f>"יח"</f>
        <v>יח</v>
      </c>
      <c r="P4335">
        <v>548.1</v>
      </c>
      <c r="Q4335" t="str">
        <f>"$"</f>
        <v>$</v>
      </c>
      <c r="R4335" t="str">
        <f>"הזמנה"</f>
        <v>הזמנה</v>
      </c>
      <c r="S4335">
        <v>0</v>
      </c>
      <c r="T4335" s="2">
        <v>4932.8999999999996</v>
      </c>
      <c r="U4335">
        <v>0</v>
      </c>
      <c r="V4335" s="2">
        <v>4932.8999999999996</v>
      </c>
      <c r="W4335" t="str">
        <f>"$"</f>
        <v>$</v>
      </c>
      <c r="X4335">
        <v>0</v>
      </c>
      <c r="Y4335">
        <v>0</v>
      </c>
      <c r="Z4335">
        <v>0</v>
      </c>
      <c r="AA4335" t="str">
        <f>"Y"</f>
        <v>Y</v>
      </c>
      <c r="AB4335" t="str">
        <f>"SO17000320"</f>
        <v>SO17000320</v>
      </c>
      <c r="AC4335">
        <v>13</v>
      </c>
      <c r="AD4335" s="1">
        <v>42863</v>
      </c>
      <c r="AE4335" t="str">
        <f>"SH17002111"</f>
        <v>SH17002111</v>
      </c>
      <c r="AF4335" t="str">
        <f>"משלוחים ללקוח"</f>
        <v>משלוחים ללקוח</v>
      </c>
      <c r="AG4335" s="1">
        <v>42975</v>
      </c>
      <c r="AM4335" t="str">
        <f>"10"</f>
        <v>10</v>
      </c>
      <c r="AN4335" t="str">
        <f>"500000"</f>
        <v>500000</v>
      </c>
      <c r="AO4335" t="str">
        <f>"הכנסות  מלקוחות"</f>
        <v>הכנסות  מלקוחות</v>
      </c>
      <c r="AQ4335" t="str">
        <f>"017"</f>
        <v>017</v>
      </c>
      <c r="AR4335">
        <v>0</v>
      </c>
      <c r="AS4335">
        <v>0</v>
      </c>
      <c r="AT4335">
        <v>3.581</v>
      </c>
      <c r="AX4335" t="str">
        <f>"E000236016"</f>
        <v>E000236016</v>
      </c>
      <c r="BD4335" t="str">
        <f>"שחר דאהמן"</f>
        <v>שחר דאהמן</v>
      </c>
    </row>
    <row r="4336" spans="1:56" x14ac:dyDescent="0.3">
      <c r="A4336" s="1">
        <v>42975</v>
      </c>
      <c r="B4336" t="str">
        <f>"SI176001330"</f>
        <v>SI176001330</v>
      </c>
      <c r="C4336" t="str">
        <f>"PR17001471"</f>
        <v>PR17001471</v>
      </c>
      <c r="E4336" t="str">
        <f>"Y"</f>
        <v>Y</v>
      </c>
      <c r="F4336" t="str">
        <f>"חשבוניות מרכזות"</f>
        <v>חשבוניות מרכזות</v>
      </c>
      <c r="G4336" t="str">
        <f>"700065"</f>
        <v>700065</v>
      </c>
      <c r="H4336" t="str">
        <f>"אלתא מערכות בע""מ"</f>
        <v>אלתא מערכות בע"מ</v>
      </c>
      <c r="I4336" t="str">
        <f>"10"</f>
        <v>10</v>
      </c>
      <c r="J4336" t="str">
        <f>"OP-AR00466"</f>
        <v>OP-AR00466</v>
      </c>
      <c r="K4336" t="str">
        <f>"רתמה REV;B 1036N633-001"</f>
        <v>רתמה REV;B 1036N633-001</v>
      </c>
      <c r="L4336">
        <v>2</v>
      </c>
      <c r="M4336" t="str">
        <f>"יח"</f>
        <v>יח</v>
      </c>
      <c r="N4336">
        <v>2</v>
      </c>
      <c r="O4336" t="str">
        <f>"יח"</f>
        <v>יח</v>
      </c>
      <c r="P4336">
        <v>548.1</v>
      </c>
      <c r="Q4336" t="str">
        <f>"$"</f>
        <v>$</v>
      </c>
      <c r="R4336" t="str">
        <f>"הזמנה"</f>
        <v>הזמנה</v>
      </c>
      <c r="S4336">
        <v>0</v>
      </c>
      <c r="T4336" s="2">
        <v>1096.2</v>
      </c>
      <c r="U4336">
        <v>0</v>
      </c>
      <c r="V4336" s="2">
        <v>1096.2</v>
      </c>
      <c r="W4336" t="str">
        <f>"$"</f>
        <v>$</v>
      </c>
      <c r="X4336">
        <v>0</v>
      </c>
      <c r="Y4336">
        <v>0</v>
      </c>
      <c r="Z4336">
        <v>0</v>
      </c>
      <c r="AA4336" t="str">
        <f>"Y"</f>
        <v>Y</v>
      </c>
      <c r="AB4336" t="str">
        <f>"SO17000320"</f>
        <v>SO17000320</v>
      </c>
      <c r="AC4336">
        <v>14</v>
      </c>
      <c r="AD4336" s="1">
        <v>42863</v>
      </c>
      <c r="AE4336" t="str">
        <f>"SH17002111"</f>
        <v>SH17002111</v>
      </c>
      <c r="AF4336" t="str">
        <f>"משלוחים ללקוח"</f>
        <v>משלוחים ללקוח</v>
      </c>
      <c r="AG4336" s="1">
        <v>42975</v>
      </c>
      <c r="AM4336" t="str">
        <f>"10"</f>
        <v>10</v>
      </c>
      <c r="AN4336" t="str">
        <f>"500000"</f>
        <v>500000</v>
      </c>
      <c r="AO4336" t="str">
        <f>"הכנסות  מלקוחות"</f>
        <v>הכנסות  מלקוחות</v>
      </c>
      <c r="AQ4336" t="str">
        <f>"017"</f>
        <v>017</v>
      </c>
      <c r="AR4336">
        <v>0</v>
      </c>
      <c r="AS4336">
        <v>0</v>
      </c>
      <c r="AT4336">
        <v>3.581</v>
      </c>
      <c r="AX4336" t="str">
        <f>"E000236016"</f>
        <v>E000236016</v>
      </c>
      <c r="BD4336" t="str">
        <f>"שחר דאהמן"</f>
        <v>שחר דאהמן</v>
      </c>
    </row>
    <row r="4337" spans="1:56" x14ac:dyDescent="0.3">
      <c r="A4337" s="1">
        <v>42974</v>
      </c>
      <c r="B4337" t="str">
        <f>"SI176001333"</f>
        <v>SI176001333</v>
      </c>
      <c r="C4337" t="str">
        <f>"PR17001470"</f>
        <v>PR17001470</v>
      </c>
      <c r="E4337" t="str">
        <f>"Y"</f>
        <v>Y</v>
      </c>
      <c r="F4337" t="str">
        <f>"חשבוניות מרכזות"</f>
        <v>חשבוניות מרכזות</v>
      </c>
      <c r="G4337" t="str">
        <f>"700065"</f>
        <v>700065</v>
      </c>
      <c r="H4337" t="str">
        <f>"אלתא מערכות בע""מ"</f>
        <v>אלתא מערכות בע"מ</v>
      </c>
      <c r="I4337" t="str">
        <f>"10"</f>
        <v>10</v>
      </c>
      <c r="J4337" t="str">
        <f>"OP-AR00465"</f>
        <v>OP-AR00465</v>
      </c>
      <c r="K4337" t="str">
        <f>"רתמה REV;B 1036N632-001"</f>
        <v>רתמה REV;B 1036N632-001</v>
      </c>
      <c r="L4337">
        <v>3</v>
      </c>
      <c r="M4337" t="str">
        <f>"יח"</f>
        <v>יח</v>
      </c>
      <c r="N4337">
        <v>3</v>
      </c>
      <c r="O4337" t="str">
        <f>"יח"</f>
        <v>יח</v>
      </c>
      <c r="P4337">
        <v>864.68</v>
      </c>
      <c r="Q4337" t="str">
        <f>"$"</f>
        <v>$</v>
      </c>
      <c r="R4337" t="str">
        <f>"הזמנה"</f>
        <v>הזמנה</v>
      </c>
      <c r="S4337">
        <v>0</v>
      </c>
      <c r="T4337" s="2">
        <v>2594.04</v>
      </c>
      <c r="U4337">
        <v>0</v>
      </c>
      <c r="V4337" s="2">
        <v>2594.04</v>
      </c>
      <c r="W4337" t="str">
        <f>"$"</f>
        <v>$</v>
      </c>
      <c r="X4337">
        <v>0</v>
      </c>
      <c r="Y4337">
        <v>0</v>
      </c>
      <c r="Z4337">
        <v>0</v>
      </c>
      <c r="AA4337" t="str">
        <f>"Y"</f>
        <v>Y</v>
      </c>
      <c r="AB4337" t="str">
        <f>"SO17000320"</f>
        <v>SO17000320</v>
      </c>
      <c r="AC4337">
        <v>7</v>
      </c>
      <c r="AD4337" s="1">
        <v>42863</v>
      </c>
      <c r="AE4337" t="str">
        <f>"SH17002105"</f>
        <v>SH17002105</v>
      </c>
      <c r="AF4337" t="str">
        <f>"משלוחים ללקוח"</f>
        <v>משלוחים ללקוח</v>
      </c>
      <c r="AG4337" s="1">
        <v>42974</v>
      </c>
      <c r="AM4337" t="str">
        <f>"10"</f>
        <v>10</v>
      </c>
      <c r="AN4337" t="str">
        <f>"500000"</f>
        <v>500000</v>
      </c>
      <c r="AO4337" t="str">
        <f>"הכנסות  מלקוחות"</f>
        <v>הכנסות  מלקוחות</v>
      </c>
      <c r="AQ4337" t="str">
        <f>"017"</f>
        <v>017</v>
      </c>
      <c r="AR4337">
        <v>0</v>
      </c>
      <c r="AS4337">
        <v>0</v>
      </c>
      <c r="AT4337">
        <v>3.5960000000000001</v>
      </c>
      <c r="AX4337" t="str">
        <f>"E000236016"</f>
        <v>E000236016</v>
      </c>
      <c r="BD4337" t="str">
        <f>"שחר דאהמן"</f>
        <v>שחר דאהמן</v>
      </c>
    </row>
    <row r="4338" spans="1:56" x14ac:dyDescent="0.3">
      <c r="A4338" s="1">
        <v>42974</v>
      </c>
      <c r="B4338" t="str">
        <f>"SI176001333"</f>
        <v>SI176001333</v>
      </c>
      <c r="C4338" t="str">
        <f>"PR17001470"</f>
        <v>PR17001470</v>
      </c>
      <c r="E4338" t="str">
        <f>"Y"</f>
        <v>Y</v>
      </c>
      <c r="F4338" t="str">
        <f>"חשבוניות מרכזות"</f>
        <v>חשבוניות מרכזות</v>
      </c>
      <c r="G4338" t="str">
        <f>"700065"</f>
        <v>700065</v>
      </c>
      <c r="H4338" t="str">
        <f>"אלתא מערכות בע""מ"</f>
        <v>אלתא מערכות בע"מ</v>
      </c>
      <c r="I4338" t="str">
        <f>"10"</f>
        <v>10</v>
      </c>
      <c r="J4338" t="str">
        <f>"OP-AR00465"</f>
        <v>OP-AR00465</v>
      </c>
      <c r="K4338" t="str">
        <f>"רתמה REV;B 1036N632-001"</f>
        <v>רתמה REV;B 1036N632-001</v>
      </c>
      <c r="L4338">
        <v>7</v>
      </c>
      <c r="M4338" t="str">
        <f>"יח"</f>
        <v>יח</v>
      </c>
      <c r="N4338">
        <v>7</v>
      </c>
      <c r="O4338" t="str">
        <f>"יח"</f>
        <v>יח</v>
      </c>
      <c r="P4338">
        <v>864.68</v>
      </c>
      <c r="Q4338" t="str">
        <f>"$"</f>
        <v>$</v>
      </c>
      <c r="R4338" t="str">
        <f>"הזמנה"</f>
        <v>הזמנה</v>
      </c>
      <c r="S4338">
        <v>0</v>
      </c>
      <c r="T4338" s="2">
        <v>6052.76</v>
      </c>
      <c r="U4338">
        <v>0</v>
      </c>
      <c r="V4338" s="2">
        <v>6052.76</v>
      </c>
      <c r="W4338" t="str">
        <f>"$"</f>
        <v>$</v>
      </c>
      <c r="X4338">
        <v>0</v>
      </c>
      <c r="Y4338">
        <v>0</v>
      </c>
      <c r="Z4338">
        <v>0</v>
      </c>
      <c r="AA4338" t="str">
        <f>"Y"</f>
        <v>Y</v>
      </c>
      <c r="AB4338" t="str">
        <f>"SO17000320"</f>
        <v>SO17000320</v>
      </c>
      <c r="AC4338">
        <v>8</v>
      </c>
      <c r="AD4338" s="1">
        <v>42863</v>
      </c>
      <c r="AE4338" t="str">
        <f>"SH17002105"</f>
        <v>SH17002105</v>
      </c>
      <c r="AF4338" t="str">
        <f>"משלוחים ללקוח"</f>
        <v>משלוחים ללקוח</v>
      </c>
      <c r="AG4338" s="1">
        <v>42974</v>
      </c>
      <c r="AM4338" t="str">
        <f>"10"</f>
        <v>10</v>
      </c>
      <c r="AN4338" t="str">
        <f>"500000"</f>
        <v>500000</v>
      </c>
      <c r="AO4338" t="str">
        <f>"הכנסות  מלקוחות"</f>
        <v>הכנסות  מלקוחות</v>
      </c>
      <c r="AQ4338" t="str">
        <f>"017"</f>
        <v>017</v>
      </c>
      <c r="AR4338">
        <v>0</v>
      </c>
      <c r="AS4338">
        <v>0</v>
      </c>
      <c r="AT4338">
        <v>3.5960000000000001</v>
      </c>
      <c r="AX4338" t="str">
        <f>"E000236016"</f>
        <v>E000236016</v>
      </c>
      <c r="BD4338" t="str">
        <f>"שחר דאהמן"</f>
        <v>שחר דאהמן</v>
      </c>
    </row>
    <row r="4339" spans="1:56" x14ac:dyDescent="0.3">
      <c r="A4339" s="1">
        <v>42974</v>
      </c>
      <c r="B4339" t="str">
        <f>"SI176001332"</f>
        <v>SI176001332</v>
      </c>
      <c r="C4339" t="str">
        <f>"PR17001469"</f>
        <v>PR17001469</v>
      </c>
      <c r="E4339" t="str">
        <f>"Y"</f>
        <v>Y</v>
      </c>
      <c r="F4339" t="str">
        <f>"חשבוניות מרכזות"</f>
        <v>חשבוניות מרכזות</v>
      </c>
      <c r="G4339" t="str">
        <f>"700065"</f>
        <v>700065</v>
      </c>
      <c r="H4339" t="str">
        <f>"אלתא מערכות בע""מ"</f>
        <v>אלתא מערכות בע"מ</v>
      </c>
      <c r="I4339" t="str">
        <f>"10"</f>
        <v>10</v>
      </c>
      <c r="J4339" t="str">
        <f>"OP-AR00464"</f>
        <v>OP-AR00464</v>
      </c>
      <c r="K4339" t="str">
        <f>"רתמה REV;A 1036N631-001"</f>
        <v>רתמה REV;A 1036N631-001</v>
      </c>
      <c r="L4339">
        <v>10</v>
      </c>
      <c r="M4339" t="str">
        <f>"יח"</f>
        <v>יח</v>
      </c>
      <c r="N4339">
        <v>10</v>
      </c>
      <c r="O4339" t="str">
        <f>"יח"</f>
        <v>יח</v>
      </c>
      <c r="P4339">
        <v>699.3</v>
      </c>
      <c r="Q4339" t="str">
        <f>"$"</f>
        <v>$</v>
      </c>
      <c r="R4339" t="str">
        <f>"הזמנה"</f>
        <v>הזמנה</v>
      </c>
      <c r="S4339">
        <v>0</v>
      </c>
      <c r="T4339" s="2">
        <v>6993</v>
      </c>
      <c r="U4339">
        <v>0</v>
      </c>
      <c r="V4339" s="2">
        <v>6993</v>
      </c>
      <c r="W4339" t="str">
        <f>"$"</f>
        <v>$</v>
      </c>
      <c r="X4339">
        <v>0</v>
      </c>
      <c r="Y4339">
        <v>0</v>
      </c>
      <c r="Z4339">
        <v>0</v>
      </c>
      <c r="AA4339" t="str">
        <f>"Y"</f>
        <v>Y</v>
      </c>
      <c r="AB4339" t="str">
        <f>"SO17000320"</f>
        <v>SO17000320</v>
      </c>
      <c r="AC4339">
        <v>3</v>
      </c>
      <c r="AD4339" s="1">
        <v>42863</v>
      </c>
      <c r="AE4339" t="str">
        <f>"SH17002104"</f>
        <v>SH17002104</v>
      </c>
      <c r="AF4339" t="str">
        <f>"משלוחים ללקוח"</f>
        <v>משלוחים ללקוח</v>
      </c>
      <c r="AG4339" s="1">
        <v>42974</v>
      </c>
      <c r="AM4339" t="str">
        <f>"10"</f>
        <v>10</v>
      </c>
      <c r="AN4339" t="str">
        <f>"500000"</f>
        <v>500000</v>
      </c>
      <c r="AO4339" t="str">
        <f>"הכנסות  מלקוחות"</f>
        <v>הכנסות  מלקוחות</v>
      </c>
      <c r="AQ4339" t="str">
        <f>"017"</f>
        <v>017</v>
      </c>
      <c r="AR4339">
        <v>0</v>
      </c>
      <c r="AS4339">
        <v>0</v>
      </c>
      <c r="AT4339">
        <v>3.5960000000000001</v>
      </c>
      <c r="AX4339" t="str">
        <f>"E000236016"</f>
        <v>E000236016</v>
      </c>
      <c r="BD4339" t="str">
        <f>"שחר דאהמן"</f>
        <v>שחר דאהמן</v>
      </c>
    </row>
    <row r="4340" spans="1:56" x14ac:dyDescent="0.3">
      <c r="A4340" s="1">
        <v>42974</v>
      </c>
      <c r="B4340" t="str">
        <f>"SI176001332"</f>
        <v>SI176001332</v>
      </c>
      <c r="C4340" t="str">
        <f>"PR17001469"</f>
        <v>PR17001469</v>
      </c>
      <c r="E4340" t="str">
        <f>"Y"</f>
        <v>Y</v>
      </c>
      <c r="F4340" t="str">
        <f>"חשבוניות מרכזות"</f>
        <v>חשבוניות מרכזות</v>
      </c>
      <c r="G4340" t="str">
        <f>"700065"</f>
        <v>700065</v>
      </c>
      <c r="H4340" t="str">
        <f>"אלתא מערכות בע""מ"</f>
        <v>אלתא מערכות בע"מ</v>
      </c>
      <c r="I4340" t="str">
        <f>"10"</f>
        <v>10</v>
      </c>
      <c r="J4340" t="str">
        <f>"OP-AR00464"</f>
        <v>OP-AR00464</v>
      </c>
      <c r="K4340" t="str">
        <f>"רתמה REV;A 1036N631-001"</f>
        <v>רתמה REV;A 1036N631-001</v>
      </c>
      <c r="L4340">
        <v>1</v>
      </c>
      <c r="M4340" t="str">
        <f>"יח"</f>
        <v>יח</v>
      </c>
      <c r="N4340">
        <v>1</v>
      </c>
      <c r="O4340" t="str">
        <f>"יח"</f>
        <v>יח</v>
      </c>
      <c r="P4340">
        <v>699.3</v>
      </c>
      <c r="Q4340" t="str">
        <f>"$"</f>
        <v>$</v>
      </c>
      <c r="R4340" t="str">
        <f>"הזמנה"</f>
        <v>הזמנה</v>
      </c>
      <c r="S4340">
        <v>0</v>
      </c>
      <c r="T4340">
        <v>699.3</v>
      </c>
      <c r="U4340">
        <v>0</v>
      </c>
      <c r="V4340">
        <v>699.3</v>
      </c>
      <c r="W4340" t="str">
        <f>"$"</f>
        <v>$</v>
      </c>
      <c r="X4340">
        <v>0</v>
      </c>
      <c r="Y4340">
        <v>0</v>
      </c>
      <c r="Z4340">
        <v>0</v>
      </c>
      <c r="AA4340" t="str">
        <f>"Y"</f>
        <v>Y</v>
      </c>
      <c r="AB4340" t="str">
        <f>"SO17000320"</f>
        <v>SO17000320</v>
      </c>
      <c r="AC4340">
        <v>5</v>
      </c>
      <c r="AD4340" s="1">
        <v>42863</v>
      </c>
      <c r="AE4340" t="str">
        <f>"SH17002104"</f>
        <v>SH17002104</v>
      </c>
      <c r="AF4340" t="str">
        <f>"משלוחים ללקוח"</f>
        <v>משלוחים ללקוח</v>
      </c>
      <c r="AG4340" s="1">
        <v>42974</v>
      </c>
      <c r="AM4340" t="str">
        <f>"10"</f>
        <v>10</v>
      </c>
      <c r="AN4340" t="str">
        <f>"500000"</f>
        <v>500000</v>
      </c>
      <c r="AO4340" t="str">
        <f>"הכנסות  מלקוחות"</f>
        <v>הכנסות  מלקוחות</v>
      </c>
      <c r="AQ4340" t="str">
        <f>"017"</f>
        <v>017</v>
      </c>
      <c r="AR4340">
        <v>0</v>
      </c>
      <c r="AS4340">
        <v>0</v>
      </c>
      <c r="AT4340">
        <v>3.5960000000000001</v>
      </c>
      <c r="AX4340" t="str">
        <f>"E000236016"</f>
        <v>E000236016</v>
      </c>
      <c r="BD4340" t="str">
        <f>"שחר דאהמן"</f>
        <v>שחר דאהמן</v>
      </c>
    </row>
    <row r="4341" spans="1:56" x14ac:dyDescent="0.3">
      <c r="A4341" s="1">
        <v>42974</v>
      </c>
      <c r="B4341" t="str">
        <f>"SI176001331"</f>
        <v>SI176001331</v>
      </c>
      <c r="C4341" t="str">
        <f>"PR17001471"</f>
        <v>PR17001471</v>
      </c>
      <c r="E4341" t="str">
        <f>"Y"</f>
        <v>Y</v>
      </c>
      <c r="F4341" t="str">
        <f>"חשבוניות מרכזות"</f>
        <v>חשבוניות מרכזות</v>
      </c>
      <c r="G4341" t="str">
        <f>"700065"</f>
        <v>700065</v>
      </c>
      <c r="H4341" t="str">
        <f>"אלתא מערכות בע""מ"</f>
        <v>אלתא מערכות בע"מ</v>
      </c>
      <c r="I4341" t="str">
        <f>"10"</f>
        <v>10</v>
      </c>
      <c r="J4341" t="str">
        <f>"OP-AR00466"</f>
        <v>OP-AR00466</v>
      </c>
      <c r="K4341" t="str">
        <f>"רתמה REV;B 1036N633-001"</f>
        <v>רתמה REV;B 1036N633-001</v>
      </c>
      <c r="L4341">
        <v>9</v>
      </c>
      <c r="M4341" t="str">
        <f>"יח"</f>
        <v>יח</v>
      </c>
      <c r="N4341">
        <v>9</v>
      </c>
      <c r="O4341" t="str">
        <f>"יח"</f>
        <v>יח</v>
      </c>
      <c r="P4341">
        <v>548.1</v>
      </c>
      <c r="Q4341" t="str">
        <f>"$"</f>
        <v>$</v>
      </c>
      <c r="R4341" t="str">
        <f>"הזמנה"</f>
        <v>הזמנה</v>
      </c>
      <c r="S4341">
        <v>0</v>
      </c>
      <c r="T4341" s="2">
        <v>4932.8999999999996</v>
      </c>
      <c r="U4341">
        <v>0</v>
      </c>
      <c r="V4341" s="2">
        <v>4932.8999999999996</v>
      </c>
      <c r="W4341" t="str">
        <f>"$"</f>
        <v>$</v>
      </c>
      <c r="X4341">
        <v>0</v>
      </c>
      <c r="Y4341">
        <v>0</v>
      </c>
      <c r="Z4341">
        <v>0</v>
      </c>
      <c r="AA4341" t="str">
        <f>"Y"</f>
        <v>Y</v>
      </c>
      <c r="AB4341" t="str">
        <f>"SO17000320"</f>
        <v>SO17000320</v>
      </c>
      <c r="AC4341">
        <v>13</v>
      </c>
      <c r="AD4341" s="1">
        <v>42863</v>
      </c>
      <c r="AE4341" t="str">
        <f>"SH17002106"</f>
        <v>SH17002106</v>
      </c>
      <c r="AF4341" t="str">
        <f>"משלוחים ללקוח"</f>
        <v>משלוחים ללקוח</v>
      </c>
      <c r="AG4341" s="1">
        <v>42974</v>
      </c>
      <c r="AM4341" t="str">
        <f>"10"</f>
        <v>10</v>
      </c>
      <c r="AN4341" t="str">
        <f>"500000"</f>
        <v>500000</v>
      </c>
      <c r="AO4341" t="str">
        <f>"הכנסות  מלקוחות"</f>
        <v>הכנסות  מלקוחות</v>
      </c>
      <c r="AQ4341" t="str">
        <f>"017"</f>
        <v>017</v>
      </c>
      <c r="AR4341">
        <v>0</v>
      </c>
      <c r="AS4341">
        <v>0</v>
      </c>
      <c r="AT4341">
        <v>3.5960000000000001</v>
      </c>
      <c r="AX4341" t="str">
        <f>"E000236016"</f>
        <v>E000236016</v>
      </c>
      <c r="BD4341" t="str">
        <f>"שחר דאהמן"</f>
        <v>שחר דאהמן</v>
      </c>
    </row>
    <row r="4342" spans="1:56" x14ac:dyDescent="0.3">
      <c r="A4342" s="1">
        <v>42970</v>
      </c>
      <c r="B4342" t="str">
        <f>"SI176001309"</f>
        <v>SI176001309</v>
      </c>
      <c r="C4342" t="str">
        <f>"PR17001775"</f>
        <v>PR17001775</v>
      </c>
      <c r="E4342" t="str">
        <f>"Y"</f>
        <v>Y</v>
      </c>
      <c r="F4342" t="str">
        <f>"חשבוניות מרכזות"</f>
        <v>חשבוניות מרכזות</v>
      </c>
      <c r="G4342" t="str">
        <f>"700065"</f>
        <v>700065</v>
      </c>
      <c r="H4342" t="str">
        <f>"אלתא מערכות בע""מ"</f>
        <v>אלתא מערכות בע"מ</v>
      </c>
      <c r="I4342" t="str">
        <f>"10"</f>
        <v>10</v>
      </c>
      <c r="J4342" t="str">
        <f>"OP-AR00540"</f>
        <v>OP-AR00540</v>
      </c>
      <c r="K4342" t="str">
        <f>"רתמה 1032H441-002"</f>
        <v>רתמה 1032H441-002</v>
      </c>
      <c r="L4342">
        <v>1</v>
      </c>
      <c r="M4342" t="str">
        <f>"יח"</f>
        <v>יח</v>
      </c>
      <c r="N4342">
        <v>1</v>
      </c>
      <c r="O4342" t="str">
        <f>"יח"</f>
        <v>יח</v>
      </c>
      <c r="P4342">
        <v>550</v>
      </c>
      <c r="Q4342" t="str">
        <f>"$"</f>
        <v>$</v>
      </c>
      <c r="R4342" t="str">
        <f>"הזמנה"</f>
        <v>הזמנה</v>
      </c>
      <c r="S4342">
        <v>0</v>
      </c>
      <c r="T4342">
        <v>550</v>
      </c>
      <c r="U4342">
        <v>0</v>
      </c>
      <c r="V4342">
        <v>550</v>
      </c>
      <c r="W4342" t="str">
        <f>"$"</f>
        <v>$</v>
      </c>
      <c r="X4342">
        <v>0</v>
      </c>
      <c r="Y4342">
        <v>0</v>
      </c>
      <c r="Z4342">
        <v>0</v>
      </c>
      <c r="AA4342" t="str">
        <f>"Y"</f>
        <v>Y</v>
      </c>
      <c r="AB4342" t="str">
        <f>"SO17000346"</f>
        <v>SO17000346</v>
      </c>
      <c r="AC4342">
        <v>11</v>
      </c>
      <c r="AD4342" s="1">
        <v>42877</v>
      </c>
      <c r="AE4342" t="str">
        <f>"SH17002084"</f>
        <v>SH17002084</v>
      </c>
      <c r="AF4342" t="str">
        <f>"משלוחים ללקוח"</f>
        <v>משלוחים ללקוח</v>
      </c>
      <c r="AG4342" s="1">
        <v>42970</v>
      </c>
      <c r="AM4342" t="str">
        <f>"10"</f>
        <v>10</v>
      </c>
      <c r="AN4342" t="str">
        <f>"500000"</f>
        <v>500000</v>
      </c>
      <c r="AO4342" t="str">
        <f>"הכנסות  מלקוחות"</f>
        <v>הכנסות  מלקוחות</v>
      </c>
      <c r="AQ4342" t="str">
        <f>"004"</f>
        <v>004</v>
      </c>
      <c r="AR4342">
        <v>0</v>
      </c>
      <c r="AS4342">
        <v>0</v>
      </c>
      <c r="AT4342">
        <v>3.6179999999999999</v>
      </c>
      <c r="AX4342" t="str">
        <f>"E000235802"</f>
        <v>E000235802</v>
      </c>
      <c r="BD4342" t="str">
        <f>"איציק חדד"</f>
        <v>איציק חדד</v>
      </c>
    </row>
    <row r="4343" spans="1:56" x14ac:dyDescent="0.3">
      <c r="A4343" s="1">
        <v>42970</v>
      </c>
      <c r="B4343" t="str">
        <f>"SI176001309"</f>
        <v>SI176001309</v>
      </c>
      <c r="C4343" t="str">
        <f>"PR17001775"</f>
        <v>PR17001775</v>
      </c>
      <c r="E4343" t="str">
        <f>"Y"</f>
        <v>Y</v>
      </c>
      <c r="F4343" t="str">
        <f>"חשבוניות מרכזות"</f>
        <v>חשבוניות מרכזות</v>
      </c>
      <c r="G4343" t="str">
        <f>"700065"</f>
        <v>700065</v>
      </c>
      <c r="H4343" t="str">
        <f>"אלתא מערכות בע""מ"</f>
        <v>אלתא מערכות בע"מ</v>
      </c>
      <c r="I4343" t="str">
        <f>"10"</f>
        <v>10</v>
      </c>
      <c r="J4343" t="str">
        <f>"OP-AR00540"</f>
        <v>OP-AR00540</v>
      </c>
      <c r="K4343" t="str">
        <f>"רתמה 1032H441-002"</f>
        <v>רתמה 1032H441-002</v>
      </c>
      <c r="L4343">
        <v>4</v>
      </c>
      <c r="M4343" t="str">
        <f>"יח"</f>
        <v>יח</v>
      </c>
      <c r="N4343">
        <v>4</v>
      </c>
      <c r="O4343" t="str">
        <f>"יח"</f>
        <v>יח</v>
      </c>
      <c r="P4343">
        <v>550</v>
      </c>
      <c r="Q4343" t="str">
        <f>"$"</f>
        <v>$</v>
      </c>
      <c r="R4343" t="str">
        <f>"הזמנה"</f>
        <v>הזמנה</v>
      </c>
      <c r="S4343">
        <v>0</v>
      </c>
      <c r="T4343" s="2">
        <v>2200</v>
      </c>
      <c r="U4343">
        <v>0</v>
      </c>
      <c r="V4343" s="2">
        <v>2200</v>
      </c>
      <c r="W4343" t="str">
        <f>"$"</f>
        <v>$</v>
      </c>
      <c r="X4343">
        <v>0</v>
      </c>
      <c r="Y4343">
        <v>0</v>
      </c>
      <c r="Z4343">
        <v>0</v>
      </c>
      <c r="AA4343" t="str">
        <f>"Y"</f>
        <v>Y</v>
      </c>
      <c r="AB4343" t="str">
        <f>"SO17000346"</f>
        <v>SO17000346</v>
      </c>
      <c r="AC4343">
        <v>12</v>
      </c>
      <c r="AD4343" s="1">
        <v>42877</v>
      </c>
      <c r="AE4343" t="str">
        <f>"SH17002084"</f>
        <v>SH17002084</v>
      </c>
      <c r="AF4343" t="str">
        <f>"משלוחים ללקוח"</f>
        <v>משלוחים ללקוח</v>
      </c>
      <c r="AG4343" s="1">
        <v>42970</v>
      </c>
      <c r="AM4343" t="str">
        <f>"10"</f>
        <v>10</v>
      </c>
      <c r="AN4343" t="str">
        <f>"500000"</f>
        <v>500000</v>
      </c>
      <c r="AO4343" t="str">
        <f>"הכנסות  מלקוחות"</f>
        <v>הכנסות  מלקוחות</v>
      </c>
      <c r="AQ4343" t="str">
        <f>"004"</f>
        <v>004</v>
      </c>
      <c r="AR4343">
        <v>0</v>
      </c>
      <c r="AS4343">
        <v>0</v>
      </c>
      <c r="AT4343">
        <v>3.6179999999999999</v>
      </c>
      <c r="AX4343" t="str">
        <f>"E000235802"</f>
        <v>E000235802</v>
      </c>
      <c r="BD4343" t="str">
        <f>"איציק חדד"</f>
        <v>איציק חדד</v>
      </c>
    </row>
    <row r="4344" spans="1:56" x14ac:dyDescent="0.3">
      <c r="A4344" s="1">
        <v>42969</v>
      </c>
      <c r="B4344" t="str">
        <f>"SI176001312"</f>
        <v>SI176001312</v>
      </c>
      <c r="C4344" t="str">
        <f>"PR17001470"</f>
        <v>PR17001470</v>
      </c>
      <c r="E4344" t="str">
        <f>"Y"</f>
        <v>Y</v>
      </c>
      <c r="F4344" t="str">
        <f>"חשבוניות מרכזות"</f>
        <v>חשבוניות מרכזות</v>
      </c>
      <c r="G4344" t="str">
        <f>"700065"</f>
        <v>700065</v>
      </c>
      <c r="H4344" t="str">
        <f>"אלתא מערכות בע""מ"</f>
        <v>אלתא מערכות בע"מ</v>
      </c>
      <c r="I4344" t="str">
        <f>"10"</f>
        <v>10</v>
      </c>
      <c r="J4344" t="str">
        <f>"OP-AR00465"</f>
        <v>OP-AR00465</v>
      </c>
      <c r="K4344" t="str">
        <f>"רתמה REV;B 1036N632-001"</f>
        <v>רתמה REV;B 1036N632-001</v>
      </c>
      <c r="L4344">
        <v>10</v>
      </c>
      <c r="M4344" t="str">
        <f>"יח"</f>
        <v>יח</v>
      </c>
      <c r="N4344">
        <v>10</v>
      </c>
      <c r="O4344" t="str">
        <f>"יח"</f>
        <v>יח</v>
      </c>
      <c r="P4344">
        <v>864.67</v>
      </c>
      <c r="Q4344" t="str">
        <f>"$"</f>
        <v>$</v>
      </c>
      <c r="R4344" t="str">
        <f>"הזמנה"</f>
        <v>הזמנה</v>
      </c>
      <c r="S4344">
        <v>0</v>
      </c>
      <c r="T4344" s="2">
        <v>8646.7000000000007</v>
      </c>
      <c r="U4344">
        <v>0</v>
      </c>
      <c r="V4344" s="2">
        <v>8646.7000000000007</v>
      </c>
      <c r="W4344" t="str">
        <f>"$"</f>
        <v>$</v>
      </c>
      <c r="X4344">
        <v>0</v>
      </c>
      <c r="Y4344">
        <v>0</v>
      </c>
      <c r="Z4344">
        <v>0</v>
      </c>
      <c r="AA4344" t="str">
        <f>"Y"</f>
        <v>Y</v>
      </c>
      <c r="AB4344" t="str">
        <f>"SO17000320"</f>
        <v>SO17000320</v>
      </c>
      <c r="AC4344">
        <v>10</v>
      </c>
      <c r="AD4344" s="1">
        <v>42863</v>
      </c>
      <c r="AE4344" t="str">
        <f>"SH17002042"</f>
        <v>SH17002042</v>
      </c>
      <c r="AF4344" t="str">
        <f>"משלוחים ללקוח"</f>
        <v>משלוחים ללקוח</v>
      </c>
      <c r="AG4344" s="1">
        <v>42967</v>
      </c>
      <c r="AM4344" t="str">
        <f>"10"</f>
        <v>10</v>
      </c>
      <c r="AN4344" t="str">
        <f>"500000"</f>
        <v>500000</v>
      </c>
      <c r="AO4344" t="str">
        <f>"הכנסות  מלקוחות"</f>
        <v>הכנסות  מלקוחות</v>
      </c>
      <c r="AQ4344" t="str">
        <f>"017"</f>
        <v>017</v>
      </c>
      <c r="AR4344">
        <v>0</v>
      </c>
      <c r="AS4344">
        <v>0</v>
      </c>
      <c r="AT4344">
        <v>3.6230000000000002</v>
      </c>
      <c r="AX4344" t="str">
        <f>"E000236016"</f>
        <v>E000236016</v>
      </c>
      <c r="BD4344" t="str">
        <f>"שחר דאהמן"</f>
        <v>שחר דאהמן</v>
      </c>
    </row>
    <row r="4345" spans="1:56" x14ac:dyDescent="0.3">
      <c r="A4345" s="1">
        <v>42969</v>
      </c>
      <c r="B4345" t="str">
        <f>"SI176001311"</f>
        <v>SI176001311</v>
      </c>
      <c r="C4345" t="str">
        <f>"PR17001775"</f>
        <v>PR17001775</v>
      </c>
      <c r="E4345" t="str">
        <f>"Y"</f>
        <v>Y</v>
      </c>
      <c r="F4345" t="str">
        <f>"חשבוניות מרכזות"</f>
        <v>חשבוניות מרכזות</v>
      </c>
      <c r="G4345" t="str">
        <f>"700065"</f>
        <v>700065</v>
      </c>
      <c r="H4345" t="str">
        <f>"אלתא מערכות בע""מ"</f>
        <v>אלתא מערכות בע"מ</v>
      </c>
      <c r="I4345" t="str">
        <f>"10"</f>
        <v>10</v>
      </c>
      <c r="J4345" t="str">
        <f>"OP-AR00540"</f>
        <v>OP-AR00540</v>
      </c>
      <c r="K4345" t="str">
        <f>"רתמה 1032H441-002"</f>
        <v>רתמה 1032H441-002</v>
      </c>
      <c r="L4345">
        <v>1</v>
      </c>
      <c r="M4345" t="str">
        <f>"יח"</f>
        <v>יח</v>
      </c>
      <c r="N4345">
        <v>1</v>
      </c>
      <c r="O4345" t="str">
        <f>"יח"</f>
        <v>יח</v>
      </c>
      <c r="P4345">
        <v>550</v>
      </c>
      <c r="Q4345" t="str">
        <f>"$"</f>
        <v>$</v>
      </c>
      <c r="R4345" t="str">
        <f>"הזמנה"</f>
        <v>הזמנה</v>
      </c>
      <c r="S4345">
        <v>0</v>
      </c>
      <c r="T4345">
        <v>550</v>
      </c>
      <c r="U4345">
        <v>0</v>
      </c>
      <c r="V4345">
        <v>550</v>
      </c>
      <c r="W4345" t="str">
        <f>"$"</f>
        <v>$</v>
      </c>
      <c r="X4345">
        <v>0</v>
      </c>
      <c r="Y4345">
        <v>0</v>
      </c>
      <c r="Z4345">
        <v>0</v>
      </c>
      <c r="AA4345" t="str">
        <f>"Y"</f>
        <v>Y</v>
      </c>
      <c r="AB4345" t="str">
        <f>"SO17000346"</f>
        <v>SO17000346</v>
      </c>
      <c r="AC4345">
        <v>10</v>
      </c>
      <c r="AD4345" s="1">
        <v>42877</v>
      </c>
      <c r="AE4345" t="str">
        <f>"SH17002023"</f>
        <v>SH17002023</v>
      </c>
      <c r="AF4345" t="str">
        <f>"משלוחים ללקוח"</f>
        <v>משלוחים ללקוח</v>
      </c>
      <c r="AG4345" s="1">
        <v>42964</v>
      </c>
      <c r="AM4345" t="str">
        <f>"10"</f>
        <v>10</v>
      </c>
      <c r="AN4345" t="str">
        <f>"500000"</f>
        <v>500000</v>
      </c>
      <c r="AO4345" t="str">
        <f>"הכנסות  מלקוחות"</f>
        <v>הכנסות  מלקוחות</v>
      </c>
      <c r="AQ4345" t="str">
        <f>"004"</f>
        <v>004</v>
      </c>
      <c r="AR4345">
        <v>0</v>
      </c>
      <c r="AS4345">
        <v>0</v>
      </c>
      <c r="AT4345">
        <v>3.6230000000000002</v>
      </c>
      <c r="AX4345" t="str">
        <f>"E000235802"</f>
        <v>E000235802</v>
      </c>
      <c r="BD4345" t="str">
        <f>"איציק חדד"</f>
        <v>איציק חדד</v>
      </c>
    </row>
    <row r="4346" spans="1:56" x14ac:dyDescent="0.3">
      <c r="A4346" s="1">
        <v>42969</v>
      </c>
      <c r="B4346" t="str">
        <f>"SI176001311"</f>
        <v>SI176001311</v>
      </c>
      <c r="C4346" t="str">
        <f>"PR17001775"</f>
        <v>PR17001775</v>
      </c>
      <c r="E4346" t="str">
        <f>"Y"</f>
        <v>Y</v>
      </c>
      <c r="F4346" t="str">
        <f>"חשבוניות מרכזות"</f>
        <v>חשבוניות מרכזות</v>
      </c>
      <c r="G4346" t="str">
        <f>"700065"</f>
        <v>700065</v>
      </c>
      <c r="H4346" t="str">
        <f>"אלתא מערכות בע""מ"</f>
        <v>אלתא מערכות בע"מ</v>
      </c>
      <c r="I4346" t="str">
        <f>"10"</f>
        <v>10</v>
      </c>
      <c r="J4346" t="str">
        <f>"OP-AR00540"</f>
        <v>OP-AR00540</v>
      </c>
      <c r="K4346" t="str">
        <f>"רתמה 1032H441-002"</f>
        <v>רתמה 1032H441-002</v>
      </c>
      <c r="L4346">
        <v>4</v>
      </c>
      <c r="M4346" t="str">
        <f>"יח"</f>
        <v>יח</v>
      </c>
      <c r="N4346">
        <v>4</v>
      </c>
      <c r="O4346" t="str">
        <f>"יח"</f>
        <v>יח</v>
      </c>
      <c r="P4346">
        <v>550</v>
      </c>
      <c r="Q4346" t="str">
        <f>"$"</f>
        <v>$</v>
      </c>
      <c r="R4346" t="str">
        <f>"הזמנה"</f>
        <v>הזמנה</v>
      </c>
      <c r="S4346">
        <v>0</v>
      </c>
      <c r="T4346" s="2">
        <v>2200</v>
      </c>
      <c r="U4346">
        <v>0</v>
      </c>
      <c r="V4346" s="2">
        <v>2200</v>
      </c>
      <c r="W4346" t="str">
        <f>"$"</f>
        <v>$</v>
      </c>
      <c r="X4346">
        <v>0</v>
      </c>
      <c r="Y4346">
        <v>0</v>
      </c>
      <c r="Z4346">
        <v>0</v>
      </c>
      <c r="AA4346" t="str">
        <f>"Y"</f>
        <v>Y</v>
      </c>
      <c r="AB4346" t="str">
        <f>"SO17000346"</f>
        <v>SO17000346</v>
      </c>
      <c r="AC4346">
        <v>11</v>
      </c>
      <c r="AD4346" s="1">
        <v>42877</v>
      </c>
      <c r="AE4346" t="str">
        <f>"SH17002023"</f>
        <v>SH17002023</v>
      </c>
      <c r="AF4346" t="str">
        <f>"משלוחים ללקוח"</f>
        <v>משלוחים ללקוח</v>
      </c>
      <c r="AG4346" s="1">
        <v>42964</v>
      </c>
      <c r="AM4346" t="str">
        <f>"10"</f>
        <v>10</v>
      </c>
      <c r="AN4346" t="str">
        <f>"500000"</f>
        <v>500000</v>
      </c>
      <c r="AO4346" t="str">
        <f>"הכנסות  מלקוחות"</f>
        <v>הכנסות  מלקוחות</v>
      </c>
      <c r="AQ4346" t="str">
        <f>"004"</f>
        <v>004</v>
      </c>
      <c r="AR4346">
        <v>0</v>
      </c>
      <c r="AS4346">
        <v>0</v>
      </c>
      <c r="AT4346">
        <v>3.6230000000000002</v>
      </c>
      <c r="AX4346" t="str">
        <f>"E000235802"</f>
        <v>E000235802</v>
      </c>
      <c r="BD4346" t="str">
        <f>"איציק חדד"</f>
        <v>איציק חדד</v>
      </c>
    </row>
    <row r="4347" spans="1:56" x14ac:dyDescent="0.3">
      <c r="A4347" s="1">
        <v>42969</v>
      </c>
      <c r="B4347" t="str">
        <f>"SI176001310"</f>
        <v>SI176001310</v>
      </c>
      <c r="C4347" t="str">
        <f>"PR16000975"</f>
        <v>PR16000975</v>
      </c>
      <c r="D4347" t="str">
        <f>"PR16000975"</f>
        <v>PR16000975</v>
      </c>
      <c r="E4347" t="str">
        <f>"Y"</f>
        <v>Y</v>
      </c>
      <c r="F4347" t="str">
        <f>"חשבוניות מרכזות"</f>
        <v>חשבוניות מרכזות</v>
      </c>
      <c r="G4347" t="str">
        <f>"700065"</f>
        <v>700065</v>
      </c>
      <c r="H4347" t="str">
        <f>"אלתא מערכות בע""מ"</f>
        <v>אלתא מערכות בע"מ</v>
      </c>
      <c r="I4347" t="str">
        <f>"10"</f>
        <v>10</v>
      </c>
      <c r="J4347" t="str">
        <f>"OP-AR00439"</f>
        <v>OP-AR00439</v>
      </c>
      <c r="K4347" t="str">
        <f>"PDB SPARE PARTS 1031W809-001"</f>
        <v>PDB SPARE PARTS 1031W809-001</v>
      </c>
      <c r="L4347">
        <v>1</v>
      </c>
      <c r="M4347" t="str">
        <f>"יח"</f>
        <v>יח</v>
      </c>
      <c r="N4347">
        <v>1</v>
      </c>
      <c r="O4347" t="str">
        <f>"יח"</f>
        <v>יח</v>
      </c>
      <c r="P4347" s="2">
        <v>31275</v>
      </c>
      <c r="Q4347" t="str">
        <f>"$"</f>
        <v>$</v>
      </c>
      <c r="R4347" t="str">
        <f>"הזמנה"</f>
        <v>הזמנה</v>
      </c>
      <c r="S4347">
        <v>0</v>
      </c>
      <c r="T4347" s="2">
        <v>31275</v>
      </c>
      <c r="U4347">
        <v>0</v>
      </c>
      <c r="V4347" s="2">
        <v>31275</v>
      </c>
      <c r="W4347" t="str">
        <f>"$"</f>
        <v>$</v>
      </c>
      <c r="X4347">
        <v>0</v>
      </c>
      <c r="Y4347">
        <v>0</v>
      </c>
      <c r="Z4347">
        <v>0</v>
      </c>
      <c r="AA4347" t="str">
        <f>"Y"</f>
        <v>Y</v>
      </c>
      <c r="AB4347" t="str">
        <f>"SO160000726"</f>
        <v>SO160000726</v>
      </c>
      <c r="AC4347">
        <v>1</v>
      </c>
      <c r="AD4347" s="1">
        <v>42639</v>
      </c>
      <c r="AE4347" t="str">
        <f>"SH17002063"</f>
        <v>SH17002063</v>
      </c>
      <c r="AF4347" t="str">
        <f>"משלוחים ללקוח"</f>
        <v>משלוחים ללקוח</v>
      </c>
      <c r="AG4347" s="1">
        <v>42969</v>
      </c>
      <c r="AM4347" t="str">
        <f>"10"</f>
        <v>10</v>
      </c>
      <c r="AN4347" t="str">
        <f>"500000"</f>
        <v>500000</v>
      </c>
      <c r="AO4347" t="str">
        <f>"הכנסות  מלקוחות"</f>
        <v>הכנסות  מלקוחות</v>
      </c>
      <c r="AQ4347" t="str">
        <f>"007"</f>
        <v>007</v>
      </c>
      <c r="AR4347">
        <v>0</v>
      </c>
      <c r="AS4347">
        <v>0</v>
      </c>
      <c r="AT4347">
        <v>3.6230000000000002</v>
      </c>
      <c r="AX4347" t="str">
        <f>"E000225577"</f>
        <v>E000225577</v>
      </c>
      <c r="BD4347" t="str">
        <f>"רוני דידי"</f>
        <v>רוני דידי</v>
      </c>
    </row>
    <row r="4348" spans="1:56" x14ac:dyDescent="0.3">
      <c r="A4348" s="1">
        <v>42956</v>
      </c>
      <c r="B4348" t="str">
        <f>"SI176001210"</f>
        <v>SI176001210</v>
      </c>
      <c r="C4348" t="str">
        <f>"PR17001775"</f>
        <v>PR17001775</v>
      </c>
      <c r="E4348" t="str">
        <f>"Y"</f>
        <v>Y</v>
      </c>
      <c r="F4348" t="str">
        <f>"חשבוניות מרכזות"</f>
        <v>חשבוניות מרכזות</v>
      </c>
      <c r="G4348" t="str">
        <f>"700065"</f>
        <v>700065</v>
      </c>
      <c r="H4348" t="str">
        <f>"אלתא מערכות בע""מ"</f>
        <v>אלתא מערכות בע"מ</v>
      </c>
      <c r="I4348" t="str">
        <f>"10"</f>
        <v>10</v>
      </c>
      <c r="J4348" t="str">
        <f>"OP-AR00540"</f>
        <v>OP-AR00540</v>
      </c>
      <c r="K4348" t="str">
        <f>"רתמה 1032H441-002"</f>
        <v>רתמה 1032H441-002</v>
      </c>
      <c r="L4348">
        <v>1</v>
      </c>
      <c r="M4348" t="str">
        <f>"יח"</f>
        <v>יח</v>
      </c>
      <c r="N4348">
        <v>1</v>
      </c>
      <c r="O4348" t="str">
        <f>"יח"</f>
        <v>יח</v>
      </c>
      <c r="P4348">
        <v>550</v>
      </c>
      <c r="Q4348" t="str">
        <f>"$"</f>
        <v>$</v>
      </c>
      <c r="R4348" t="str">
        <f>"הזמנה"</f>
        <v>הזמנה</v>
      </c>
      <c r="S4348">
        <v>0</v>
      </c>
      <c r="T4348">
        <v>550</v>
      </c>
      <c r="U4348">
        <v>0</v>
      </c>
      <c r="V4348">
        <v>550</v>
      </c>
      <c r="W4348" t="str">
        <f>"$"</f>
        <v>$</v>
      </c>
      <c r="X4348">
        <v>0</v>
      </c>
      <c r="Y4348">
        <v>0</v>
      </c>
      <c r="Z4348">
        <v>0</v>
      </c>
      <c r="AA4348" t="str">
        <f>"Y"</f>
        <v>Y</v>
      </c>
      <c r="AB4348" t="str">
        <f>"SO17000346"</f>
        <v>SO17000346</v>
      </c>
      <c r="AC4348">
        <v>2</v>
      </c>
      <c r="AD4348" s="1">
        <v>42877</v>
      </c>
      <c r="AE4348" t="str">
        <f>"SH17001920"</f>
        <v>SH17001920</v>
      </c>
      <c r="AF4348" t="str">
        <f>"משלוחים ללקוח"</f>
        <v>משלוחים ללקוח</v>
      </c>
      <c r="AG4348" s="1">
        <v>42955</v>
      </c>
      <c r="AM4348" t="str">
        <f>"10"</f>
        <v>10</v>
      </c>
      <c r="AN4348" t="str">
        <f>"500000"</f>
        <v>500000</v>
      </c>
      <c r="AO4348" t="str">
        <f>"הכנסות  מלקוחות"</f>
        <v>הכנסות  מלקוחות</v>
      </c>
      <c r="AQ4348" t="str">
        <f>"004"</f>
        <v>004</v>
      </c>
      <c r="AR4348">
        <v>0</v>
      </c>
      <c r="AS4348">
        <v>0</v>
      </c>
      <c r="AT4348">
        <v>3.601</v>
      </c>
      <c r="AX4348" t="str">
        <f>"E000235802"</f>
        <v>E000235802</v>
      </c>
      <c r="BD4348" t="str">
        <f>"איציק חדד"</f>
        <v>איציק חדד</v>
      </c>
    </row>
    <row r="4349" spans="1:56" x14ac:dyDescent="0.3">
      <c r="A4349" s="1">
        <v>42956</v>
      </c>
      <c r="B4349" t="str">
        <f>"SI176001210"</f>
        <v>SI176001210</v>
      </c>
      <c r="C4349" t="str">
        <f>"PR17001775"</f>
        <v>PR17001775</v>
      </c>
      <c r="E4349" t="str">
        <f>"Y"</f>
        <v>Y</v>
      </c>
      <c r="F4349" t="str">
        <f>"חשבוניות מרכזות"</f>
        <v>חשבוניות מרכזות</v>
      </c>
      <c r="G4349" t="str">
        <f>"700065"</f>
        <v>700065</v>
      </c>
      <c r="H4349" t="str">
        <f>"אלתא מערכות בע""מ"</f>
        <v>אלתא מערכות בע"מ</v>
      </c>
      <c r="I4349" t="str">
        <f>"10"</f>
        <v>10</v>
      </c>
      <c r="J4349" t="str">
        <f>"OP-AR00540"</f>
        <v>OP-AR00540</v>
      </c>
      <c r="K4349" t="str">
        <f>"רתמה 1032H441-002"</f>
        <v>רתמה 1032H441-002</v>
      </c>
      <c r="L4349">
        <v>4</v>
      </c>
      <c r="M4349" t="str">
        <f>"יח"</f>
        <v>יח</v>
      </c>
      <c r="N4349">
        <v>4</v>
      </c>
      <c r="O4349" t="str">
        <f>"יח"</f>
        <v>יח</v>
      </c>
      <c r="P4349">
        <v>550</v>
      </c>
      <c r="Q4349" t="str">
        <f>"$"</f>
        <v>$</v>
      </c>
      <c r="R4349" t="str">
        <f>"הזמנה"</f>
        <v>הזמנה</v>
      </c>
      <c r="S4349">
        <v>0</v>
      </c>
      <c r="T4349" s="2">
        <v>2200</v>
      </c>
      <c r="U4349">
        <v>0</v>
      </c>
      <c r="V4349" s="2">
        <v>2200</v>
      </c>
      <c r="W4349" t="str">
        <f>"$"</f>
        <v>$</v>
      </c>
      <c r="X4349">
        <v>0</v>
      </c>
      <c r="Y4349">
        <v>0</v>
      </c>
      <c r="Z4349">
        <v>0</v>
      </c>
      <c r="AA4349" t="str">
        <f>"Y"</f>
        <v>Y</v>
      </c>
      <c r="AB4349" t="str">
        <f>"SO17000346"</f>
        <v>SO17000346</v>
      </c>
      <c r="AC4349">
        <v>10</v>
      </c>
      <c r="AD4349" s="1">
        <v>42877</v>
      </c>
      <c r="AE4349" t="str">
        <f>"SH17001920"</f>
        <v>SH17001920</v>
      </c>
      <c r="AF4349" t="str">
        <f>"משלוחים ללקוח"</f>
        <v>משלוחים ללקוח</v>
      </c>
      <c r="AG4349" s="1">
        <v>42955</v>
      </c>
      <c r="AM4349" t="str">
        <f>"10"</f>
        <v>10</v>
      </c>
      <c r="AN4349" t="str">
        <f>"500000"</f>
        <v>500000</v>
      </c>
      <c r="AO4349" t="str">
        <f>"הכנסות  מלקוחות"</f>
        <v>הכנסות  מלקוחות</v>
      </c>
      <c r="AQ4349" t="str">
        <f>"004"</f>
        <v>004</v>
      </c>
      <c r="AR4349">
        <v>0</v>
      </c>
      <c r="AS4349">
        <v>0</v>
      </c>
      <c r="AT4349">
        <v>3.601</v>
      </c>
      <c r="AX4349" t="str">
        <f>"E000235802"</f>
        <v>E000235802</v>
      </c>
      <c r="BD4349" t="str">
        <f>"איציק חדד"</f>
        <v>איציק חדד</v>
      </c>
    </row>
    <row r="4350" spans="1:56" x14ac:dyDescent="0.3">
      <c r="A4350" s="1">
        <v>42953</v>
      </c>
      <c r="B4350" t="str">
        <f>"SI176001224"</f>
        <v>SI176001224</v>
      </c>
      <c r="C4350" t="str">
        <f>"PR17001775"</f>
        <v>PR17001775</v>
      </c>
      <c r="E4350" t="str">
        <f>"Y"</f>
        <v>Y</v>
      </c>
      <c r="F4350" t="str">
        <f>"חשבוניות מרכזות"</f>
        <v>חשבוניות מרכזות</v>
      </c>
      <c r="G4350" t="str">
        <f>"700065"</f>
        <v>700065</v>
      </c>
      <c r="H4350" t="str">
        <f>"אלתא מערכות בע""מ"</f>
        <v>אלתא מערכות בע"מ</v>
      </c>
      <c r="I4350" t="str">
        <f>"10"</f>
        <v>10</v>
      </c>
      <c r="J4350" t="str">
        <f>"OP-AR00540"</f>
        <v>OP-AR00540</v>
      </c>
      <c r="K4350" t="str">
        <f>"רתמה 1032H441-002"</f>
        <v>רתמה 1032H441-002</v>
      </c>
      <c r="L4350">
        <v>5</v>
      </c>
      <c r="M4350" t="str">
        <f>"יח"</f>
        <v>יח</v>
      </c>
      <c r="N4350">
        <v>5</v>
      </c>
      <c r="O4350" t="str">
        <f>"יח"</f>
        <v>יח</v>
      </c>
      <c r="P4350">
        <v>550</v>
      </c>
      <c r="Q4350" t="str">
        <f>"$"</f>
        <v>$</v>
      </c>
      <c r="R4350" t="str">
        <f>"הזמנה"</f>
        <v>הזמנה</v>
      </c>
      <c r="S4350">
        <v>0</v>
      </c>
      <c r="T4350" s="2">
        <v>2750</v>
      </c>
      <c r="U4350">
        <v>0</v>
      </c>
      <c r="V4350" s="2">
        <v>2750</v>
      </c>
      <c r="W4350" t="str">
        <f>"$"</f>
        <v>$</v>
      </c>
      <c r="X4350">
        <v>0</v>
      </c>
      <c r="Y4350">
        <v>0</v>
      </c>
      <c r="Z4350">
        <v>0</v>
      </c>
      <c r="AA4350" t="str">
        <f>"Y"</f>
        <v>Y</v>
      </c>
      <c r="AB4350" t="str">
        <f>"SO17000346"</f>
        <v>SO17000346</v>
      </c>
      <c r="AC4350">
        <v>2</v>
      </c>
      <c r="AD4350" s="1">
        <v>42877</v>
      </c>
      <c r="AE4350" t="str">
        <f>"SH17001872"</f>
        <v>SH17001872</v>
      </c>
      <c r="AF4350" t="str">
        <f>"משלוחים ללקוח"</f>
        <v>משלוחים ללקוח</v>
      </c>
      <c r="AG4350" s="1">
        <v>42950</v>
      </c>
      <c r="AM4350" t="str">
        <f>"10"</f>
        <v>10</v>
      </c>
      <c r="AN4350" t="str">
        <f>"500000"</f>
        <v>500000</v>
      </c>
      <c r="AO4350" t="str">
        <f>"הכנסות  מלקוחות"</f>
        <v>הכנסות  מלקוחות</v>
      </c>
      <c r="AQ4350" t="str">
        <f>"004"</f>
        <v>004</v>
      </c>
      <c r="AR4350">
        <v>0</v>
      </c>
      <c r="AS4350">
        <v>0</v>
      </c>
      <c r="AT4350">
        <v>3.6070000000000002</v>
      </c>
      <c r="AX4350" t="str">
        <f>"E000235802"</f>
        <v>E000235802</v>
      </c>
      <c r="BD4350" t="str">
        <f>"איציק חדד"</f>
        <v>איציק חדד</v>
      </c>
    </row>
    <row r="4351" spans="1:56" x14ac:dyDescent="0.3">
      <c r="A4351" s="1">
        <v>42951</v>
      </c>
      <c r="B4351" t="str">
        <f>"SI176001221"</f>
        <v>SI176001221</v>
      </c>
      <c r="C4351" t="str">
        <f>"PR17001775"</f>
        <v>PR17001775</v>
      </c>
      <c r="E4351" t="str">
        <f>"Y"</f>
        <v>Y</v>
      </c>
      <c r="F4351" t="str">
        <f>"חשבוניות מרכזות"</f>
        <v>חשבוניות מרכזות</v>
      </c>
      <c r="G4351" t="str">
        <f>"700065"</f>
        <v>700065</v>
      </c>
      <c r="H4351" t="str">
        <f>"אלתא מערכות בע""מ"</f>
        <v>אלתא מערכות בע"מ</v>
      </c>
      <c r="I4351" t="str">
        <f>"10"</f>
        <v>10</v>
      </c>
      <c r="J4351" t="str">
        <f>"OP-AR00540"</f>
        <v>OP-AR00540</v>
      </c>
      <c r="K4351" t="str">
        <f>"רתמה 1032H441-002"</f>
        <v>רתמה 1032H441-002</v>
      </c>
      <c r="L4351">
        <v>-5</v>
      </c>
      <c r="M4351" t="str">
        <f>"יח"</f>
        <v>יח</v>
      </c>
      <c r="N4351">
        <v>-5</v>
      </c>
      <c r="O4351" t="str">
        <f>"יח"</f>
        <v>יח</v>
      </c>
      <c r="P4351">
        <v>550</v>
      </c>
      <c r="Q4351" t="str">
        <f>"$"</f>
        <v>$</v>
      </c>
      <c r="R4351" t="str">
        <f>"הזמנה"</f>
        <v>הזמנה</v>
      </c>
      <c r="S4351">
        <v>0</v>
      </c>
      <c r="T4351" s="2">
        <v>-2750</v>
      </c>
      <c r="U4351">
        <v>0</v>
      </c>
      <c r="V4351" s="2">
        <v>-2750</v>
      </c>
      <c r="W4351" t="str">
        <f>"$"</f>
        <v>$</v>
      </c>
      <c r="X4351">
        <v>0</v>
      </c>
      <c r="Y4351">
        <v>0</v>
      </c>
      <c r="Z4351">
        <v>0</v>
      </c>
      <c r="AA4351" t="str">
        <f>"Y"</f>
        <v>Y</v>
      </c>
      <c r="AC4351">
        <v>0</v>
      </c>
      <c r="AM4351" t="str">
        <f>"10"</f>
        <v>10</v>
      </c>
      <c r="AN4351" t="str">
        <f>"500000"</f>
        <v>500000</v>
      </c>
      <c r="AO4351" t="str">
        <f>"הכנסות  מלקוחות"</f>
        <v>הכנסות  מלקוחות</v>
      </c>
      <c r="AQ4351" t="str">
        <f>"004"</f>
        <v>004</v>
      </c>
      <c r="AR4351">
        <v>0</v>
      </c>
      <c r="AS4351">
        <v>0</v>
      </c>
      <c r="AT4351">
        <v>3.589</v>
      </c>
      <c r="BB4351" t="str">
        <f>"Y"</f>
        <v>Y</v>
      </c>
      <c r="BD4351" t="str">
        <f>"איציק חדד"</f>
        <v>איציק חדד</v>
      </c>
    </row>
    <row r="4352" spans="1:56" x14ac:dyDescent="0.3">
      <c r="A4352" s="1">
        <v>42951</v>
      </c>
      <c r="B4352" t="str">
        <f>"SI176001193"</f>
        <v>SI176001193</v>
      </c>
      <c r="C4352" t="str">
        <f>"PR17001775"</f>
        <v>PR17001775</v>
      </c>
      <c r="E4352" t="str">
        <f>"Y"</f>
        <v>Y</v>
      </c>
      <c r="F4352" t="str">
        <f>"חשבוניות מרכזות"</f>
        <v>חשבוניות מרכזות</v>
      </c>
      <c r="G4352" t="str">
        <f>"700065"</f>
        <v>700065</v>
      </c>
      <c r="H4352" t="str">
        <f>"אלתא מערכות בע""מ"</f>
        <v>אלתא מערכות בע"מ</v>
      </c>
      <c r="I4352" t="str">
        <f>"10"</f>
        <v>10</v>
      </c>
      <c r="J4352" t="str">
        <f>"OP-AR00540"</f>
        <v>OP-AR00540</v>
      </c>
      <c r="K4352" t="str">
        <f>"רתמה 1032H441-002"</f>
        <v>רתמה 1032H441-002</v>
      </c>
      <c r="L4352">
        <v>5</v>
      </c>
      <c r="M4352" t="str">
        <f>"יח"</f>
        <v>יח</v>
      </c>
      <c r="N4352">
        <v>5</v>
      </c>
      <c r="O4352" t="str">
        <f>"יח"</f>
        <v>יח</v>
      </c>
      <c r="P4352">
        <v>550</v>
      </c>
      <c r="Q4352" t="str">
        <f>"$"</f>
        <v>$</v>
      </c>
      <c r="R4352" t="str">
        <f>"הזמנה"</f>
        <v>הזמנה</v>
      </c>
      <c r="S4352">
        <v>0</v>
      </c>
      <c r="T4352" s="2">
        <v>2750</v>
      </c>
      <c r="U4352">
        <v>0</v>
      </c>
      <c r="V4352" s="2">
        <v>2750</v>
      </c>
      <c r="W4352" t="str">
        <f>"$"</f>
        <v>$</v>
      </c>
      <c r="X4352">
        <v>0</v>
      </c>
      <c r="Y4352">
        <v>0</v>
      </c>
      <c r="Z4352">
        <v>0</v>
      </c>
      <c r="AA4352" t="str">
        <f>"Y"</f>
        <v>Y</v>
      </c>
      <c r="AC4352">
        <v>0</v>
      </c>
      <c r="AM4352" t="str">
        <f>"10"</f>
        <v>10</v>
      </c>
      <c r="AN4352" t="str">
        <f>"500000"</f>
        <v>500000</v>
      </c>
      <c r="AO4352" t="str">
        <f>"הכנסות  מלקוחות"</f>
        <v>הכנסות  מלקוחות</v>
      </c>
      <c r="AQ4352" t="str">
        <f>"004"</f>
        <v>004</v>
      </c>
      <c r="AR4352">
        <v>0</v>
      </c>
      <c r="AS4352">
        <v>0</v>
      </c>
      <c r="AT4352">
        <v>3.589</v>
      </c>
      <c r="BB4352" t="str">
        <f>"Y"</f>
        <v>Y</v>
      </c>
      <c r="BD4352" t="str">
        <f>"איציק חדד"</f>
        <v>איציק חדד</v>
      </c>
    </row>
    <row r="4353" spans="1:56" x14ac:dyDescent="0.3">
      <c r="A4353" s="1">
        <v>42947</v>
      </c>
      <c r="B4353" t="str">
        <f>"SI176001156"</f>
        <v>SI176001156</v>
      </c>
      <c r="E4353" t="str">
        <f>"Y"</f>
        <v>Y</v>
      </c>
      <c r="F4353" t="str">
        <f>"חשבוניות מרכזות"</f>
        <v>חשבוניות מרכזות</v>
      </c>
      <c r="G4353" t="str">
        <f>"700065"</f>
        <v>700065</v>
      </c>
      <c r="H4353" t="str">
        <f>"אלתא מערכות בע""מ"</f>
        <v>אלתא מערכות בע"מ</v>
      </c>
      <c r="I4353" t="str">
        <f>"10"</f>
        <v>10</v>
      </c>
      <c r="J4353" t="str">
        <f>"OP-AR00466"</f>
        <v>OP-AR00466</v>
      </c>
      <c r="K4353" t="str">
        <f>"רתמה REV;B 1036N633-001"</f>
        <v>רתמה REV;B 1036N633-001</v>
      </c>
      <c r="L4353">
        <v>7</v>
      </c>
      <c r="M4353" t="str">
        <f>"יח"</f>
        <v>יח</v>
      </c>
      <c r="N4353">
        <v>7</v>
      </c>
      <c r="O4353" t="str">
        <f>"יח"</f>
        <v>יח</v>
      </c>
      <c r="P4353">
        <v>548.1</v>
      </c>
      <c r="Q4353" t="str">
        <f>"$"</f>
        <v>$</v>
      </c>
      <c r="R4353" t="str">
        <f>"הזמנה"</f>
        <v>הזמנה</v>
      </c>
      <c r="S4353">
        <v>0</v>
      </c>
      <c r="T4353" s="2">
        <v>3836.7</v>
      </c>
      <c r="U4353">
        <v>0</v>
      </c>
      <c r="V4353" s="2">
        <v>3836.7</v>
      </c>
      <c r="W4353" t="str">
        <f>"$"</f>
        <v>$</v>
      </c>
      <c r="X4353">
        <v>0</v>
      </c>
      <c r="Y4353">
        <v>0</v>
      </c>
      <c r="Z4353">
        <v>0</v>
      </c>
      <c r="AA4353" t="str">
        <f>"Y"</f>
        <v>Y</v>
      </c>
      <c r="AB4353" t="str">
        <f>"SO17000320"</f>
        <v>SO17000320</v>
      </c>
      <c r="AC4353">
        <v>12</v>
      </c>
      <c r="AD4353" s="1">
        <v>42863</v>
      </c>
      <c r="AE4353" t="str">
        <f>"SH17001802"</f>
        <v>SH17001802</v>
      </c>
      <c r="AF4353" t="str">
        <f>"משלוחים ללקוח"</f>
        <v>משלוחים ללקוח</v>
      </c>
      <c r="AG4353" s="1">
        <v>42943</v>
      </c>
      <c r="AM4353" t="str">
        <f>"10"</f>
        <v>10</v>
      </c>
      <c r="AN4353" t="str">
        <f>"500000"</f>
        <v>500000</v>
      </c>
      <c r="AO4353" t="str">
        <f>"הכנסות  מלקוחות"</f>
        <v>הכנסות  מלקוחות</v>
      </c>
      <c r="AQ4353" t="str">
        <f>"017"</f>
        <v>017</v>
      </c>
      <c r="AR4353">
        <v>0</v>
      </c>
      <c r="AS4353">
        <v>0</v>
      </c>
      <c r="AT4353">
        <v>3.56</v>
      </c>
      <c r="AX4353" t="str">
        <f>"E000236016"</f>
        <v>E000236016</v>
      </c>
      <c r="BD4353" t="str">
        <f>"שחר דאהמן"</f>
        <v>שחר דאהמן</v>
      </c>
    </row>
    <row r="4354" spans="1:56" x14ac:dyDescent="0.3">
      <c r="A4354" s="1">
        <v>42947</v>
      </c>
      <c r="B4354" t="str">
        <f>"SI176001156"</f>
        <v>SI176001156</v>
      </c>
      <c r="E4354" t="str">
        <f>"Y"</f>
        <v>Y</v>
      </c>
      <c r="F4354" t="str">
        <f>"חשבוניות מרכזות"</f>
        <v>חשבוניות מרכזות</v>
      </c>
      <c r="G4354" t="str">
        <f>"700065"</f>
        <v>700065</v>
      </c>
      <c r="H4354" t="str">
        <f>"אלתא מערכות בע""מ"</f>
        <v>אלתא מערכות בע"מ</v>
      </c>
      <c r="I4354" t="str">
        <f>"10"</f>
        <v>10</v>
      </c>
      <c r="J4354" t="str">
        <f>"OP-AR00466"</f>
        <v>OP-AR00466</v>
      </c>
      <c r="K4354" t="str">
        <f>"רתמה REV;B 1036N633-001"</f>
        <v>רתמה REV;B 1036N633-001</v>
      </c>
      <c r="L4354">
        <v>1</v>
      </c>
      <c r="M4354" t="str">
        <f>"יח"</f>
        <v>יח</v>
      </c>
      <c r="N4354">
        <v>1</v>
      </c>
      <c r="O4354" t="str">
        <f>"יח"</f>
        <v>יח</v>
      </c>
      <c r="P4354">
        <v>548.1</v>
      </c>
      <c r="Q4354" t="str">
        <f>"$"</f>
        <v>$</v>
      </c>
      <c r="R4354" t="str">
        <f>"הזמנה"</f>
        <v>הזמנה</v>
      </c>
      <c r="S4354">
        <v>0</v>
      </c>
      <c r="T4354">
        <v>548.1</v>
      </c>
      <c r="U4354">
        <v>0</v>
      </c>
      <c r="V4354">
        <v>548.1</v>
      </c>
      <c r="W4354" t="str">
        <f>"$"</f>
        <v>$</v>
      </c>
      <c r="X4354">
        <v>0</v>
      </c>
      <c r="Y4354">
        <v>0</v>
      </c>
      <c r="Z4354">
        <v>0</v>
      </c>
      <c r="AA4354" t="str">
        <f>"Y"</f>
        <v>Y</v>
      </c>
      <c r="AB4354" t="str">
        <f>"SO17000320"</f>
        <v>SO17000320</v>
      </c>
      <c r="AC4354">
        <v>13</v>
      </c>
      <c r="AD4354" s="1">
        <v>42863</v>
      </c>
      <c r="AE4354" t="str">
        <f>"SH17001802"</f>
        <v>SH17001802</v>
      </c>
      <c r="AF4354" t="str">
        <f>"משלוחים ללקוח"</f>
        <v>משלוחים ללקוח</v>
      </c>
      <c r="AG4354" s="1">
        <v>42943</v>
      </c>
      <c r="AM4354" t="str">
        <f>"10"</f>
        <v>10</v>
      </c>
      <c r="AN4354" t="str">
        <f>"500000"</f>
        <v>500000</v>
      </c>
      <c r="AO4354" t="str">
        <f>"הכנסות  מלקוחות"</f>
        <v>הכנסות  מלקוחות</v>
      </c>
      <c r="AQ4354" t="str">
        <f>"017"</f>
        <v>017</v>
      </c>
      <c r="AR4354">
        <v>0</v>
      </c>
      <c r="AS4354">
        <v>0</v>
      </c>
      <c r="AT4354">
        <v>3.56</v>
      </c>
      <c r="AX4354" t="str">
        <f>"E000236016"</f>
        <v>E000236016</v>
      </c>
      <c r="BD4354" t="str">
        <f>"שחר דאהמן"</f>
        <v>שחר דאהמן</v>
      </c>
    </row>
    <row r="4355" spans="1:56" x14ac:dyDescent="0.3">
      <c r="A4355" s="1">
        <v>42947</v>
      </c>
      <c r="B4355" t="str">
        <f>"SI176001156"</f>
        <v>SI176001156</v>
      </c>
      <c r="E4355" t="str">
        <f>"Y"</f>
        <v>Y</v>
      </c>
      <c r="F4355" t="str">
        <f>"חשבוניות מרכזות"</f>
        <v>חשבוניות מרכזות</v>
      </c>
      <c r="G4355" t="str">
        <f>"700065"</f>
        <v>700065</v>
      </c>
      <c r="H4355" t="str">
        <f>"אלתא מערכות בע""מ"</f>
        <v>אלתא מערכות בע"מ</v>
      </c>
      <c r="I4355" t="str">
        <f>"10"</f>
        <v>10</v>
      </c>
      <c r="J4355" t="str">
        <f>"OP-AR00466"</f>
        <v>OP-AR00466</v>
      </c>
      <c r="K4355" t="str">
        <f>"רתמה REV;B 1036N633-001"</f>
        <v>רתמה REV;B 1036N633-001</v>
      </c>
      <c r="L4355">
        <v>1</v>
      </c>
      <c r="M4355" t="str">
        <f>"יח"</f>
        <v>יח</v>
      </c>
      <c r="N4355">
        <v>1</v>
      </c>
      <c r="O4355" t="str">
        <f>"יח"</f>
        <v>יח</v>
      </c>
      <c r="P4355">
        <v>548.1</v>
      </c>
      <c r="Q4355" t="str">
        <f>"$"</f>
        <v>$</v>
      </c>
      <c r="R4355" t="str">
        <f>"הזמנה"</f>
        <v>הזמנה</v>
      </c>
      <c r="S4355">
        <v>0</v>
      </c>
      <c r="T4355">
        <v>548.1</v>
      </c>
      <c r="U4355">
        <v>0</v>
      </c>
      <c r="V4355">
        <v>548.1</v>
      </c>
      <c r="W4355" t="str">
        <f>"$"</f>
        <v>$</v>
      </c>
      <c r="X4355">
        <v>0</v>
      </c>
      <c r="Y4355">
        <v>0</v>
      </c>
      <c r="Z4355">
        <v>0</v>
      </c>
      <c r="AA4355" t="str">
        <f>"Y"</f>
        <v>Y</v>
      </c>
      <c r="AB4355" t="str">
        <f>"SO17000320"</f>
        <v>SO17000320</v>
      </c>
      <c r="AC4355">
        <v>13</v>
      </c>
      <c r="AD4355" s="1">
        <v>42863</v>
      </c>
      <c r="AE4355" t="str">
        <f>"SH17001811"</f>
        <v>SH17001811</v>
      </c>
      <c r="AF4355" t="str">
        <f>"משלוחים ללקוח"</f>
        <v>משלוחים ללקוח</v>
      </c>
      <c r="AG4355" s="1">
        <v>42946</v>
      </c>
      <c r="AM4355" t="str">
        <f>"10"</f>
        <v>10</v>
      </c>
      <c r="AN4355" t="str">
        <f>"500000"</f>
        <v>500000</v>
      </c>
      <c r="AO4355" t="str">
        <f>"הכנסות  מלקוחות"</f>
        <v>הכנסות  מלקוחות</v>
      </c>
      <c r="AQ4355" t="str">
        <f>"017"</f>
        <v>017</v>
      </c>
      <c r="AR4355">
        <v>0</v>
      </c>
      <c r="AS4355">
        <v>0</v>
      </c>
      <c r="AT4355">
        <v>3.56</v>
      </c>
      <c r="AX4355" t="str">
        <f>"E000236016"</f>
        <v>E000236016</v>
      </c>
      <c r="BD4355" t="str">
        <f>"שחר דאהמן"</f>
        <v>שחר דאהמן</v>
      </c>
    </row>
    <row r="4356" spans="1:56" x14ac:dyDescent="0.3">
      <c r="A4356" s="1">
        <v>42947</v>
      </c>
      <c r="B4356" t="str">
        <f>"SI176001156"</f>
        <v>SI176001156</v>
      </c>
      <c r="E4356" t="str">
        <f>"Y"</f>
        <v>Y</v>
      </c>
      <c r="F4356" t="str">
        <f>"חשבוניות מרכזות"</f>
        <v>חשבוניות מרכזות</v>
      </c>
      <c r="G4356" t="str">
        <f>"700065"</f>
        <v>700065</v>
      </c>
      <c r="H4356" t="str">
        <f>"אלתא מערכות בע""מ"</f>
        <v>אלתא מערכות בע"מ</v>
      </c>
      <c r="I4356" t="str">
        <f>"10"</f>
        <v>10</v>
      </c>
      <c r="J4356" t="str">
        <f>"OP-AR00465"</f>
        <v>OP-AR00465</v>
      </c>
      <c r="K4356" t="str">
        <f>"רתמה REV;B 1036N632-001"</f>
        <v>רתמה REV;B 1036N632-001</v>
      </c>
      <c r="L4356">
        <v>5</v>
      </c>
      <c r="M4356" t="str">
        <f>"יח"</f>
        <v>יח</v>
      </c>
      <c r="N4356">
        <v>5</v>
      </c>
      <c r="O4356" t="str">
        <f>"יח"</f>
        <v>יח</v>
      </c>
      <c r="P4356">
        <v>864.67</v>
      </c>
      <c r="Q4356" t="str">
        <f>"$"</f>
        <v>$</v>
      </c>
      <c r="R4356" t="str">
        <f>"הזמנה"</f>
        <v>הזמנה</v>
      </c>
      <c r="S4356">
        <v>0</v>
      </c>
      <c r="T4356" s="2">
        <v>4323.3500000000004</v>
      </c>
      <c r="U4356">
        <v>0</v>
      </c>
      <c r="V4356" s="2">
        <v>4323.3500000000004</v>
      </c>
      <c r="W4356" t="str">
        <f>"$"</f>
        <v>$</v>
      </c>
      <c r="X4356">
        <v>0</v>
      </c>
      <c r="Y4356">
        <v>0</v>
      </c>
      <c r="Z4356">
        <v>0</v>
      </c>
      <c r="AA4356" t="str">
        <f>"Y"</f>
        <v>Y</v>
      </c>
      <c r="AB4356" t="str">
        <f>"SO17000320"</f>
        <v>SO17000320</v>
      </c>
      <c r="AC4356">
        <v>10</v>
      </c>
      <c r="AD4356" s="1">
        <v>42863</v>
      </c>
      <c r="AE4356" t="str">
        <f>"SH17001813"</f>
        <v>SH17001813</v>
      </c>
      <c r="AF4356" t="str">
        <f>"משלוחים ללקוח"</f>
        <v>משלוחים ללקוח</v>
      </c>
      <c r="AG4356" s="1">
        <v>42946</v>
      </c>
      <c r="AM4356" t="str">
        <f>"10"</f>
        <v>10</v>
      </c>
      <c r="AN4356" t="str">
        <f>"500000"</f>
        <v>500000</v>
      </c>
      <c r="AO4356" t="str">
        <f>"הכנסות  מלקוחות"</f>
        <v>הכנסות  מלקוחות</v>
      </c>
      <c r="AQ4356" t="str">
        <f>"017"</f>
        <v>017</v>
      </c>
      <c r="AR4356">
        <v>0</v>
      </c>
      <c r="AS4356">
        <v>0</v>
      </c>
      <c r="AT4356">
        <v>3.56</v>
      </c>
      <c r="AX4356" t="str">
        <f>"E000236016"</f>
        <v>E000236016</v>
      </c>
      <c r="BD4356" t="str">
        <f>"שחר דאהמן"</f>
        <v>שחר דאהמן</v>
      </c>
    </row>
    <row r="4357" spans="1:56" x14ac:dyDescent="0.3">
      <c r="A4357" s="1">
        <v>42947</v>
      </c>
      <c r="B4357" t="str">
        <f>"SI176001156"</f>
        <v>SI176001156</v>
      </c>
      <c r="E4357" t="str">
        <f>"Y"</f>
        <v>Y</v>
      </c>
      <c r="F4357" t="str">
        <f>"חשבוניות מרכזות"</f>
        <v>חשבוניות מרכזות</v>
      </c>
      <c r="G4357" t="str">
        <f>"700065"</f>
        <v>700065</v>
      </c>
      <c r="H4357" t="str">
        <f>"אלתא מערכות בע""מ"</f>
        <v>אלתא מערכות בע"מ</v>
      </c>
      <c r="I4357" t="str">
        <f>"10"</f>
        <v>10</v>
      </c>
      <c r="J4357" t="str">
        <f>"OP-AR00464"</f>
        <v>OP-AR00464</v>
      </c>
      <c r="K4357" t="str">
        <f>"רתמה REV;A 1036N631-001"</f>
        <v>רתמה REV;A 1036N631-001</v>
      </c>
      <c r="L4357">
        <v>4</v>
      </c>
      <c r="M4357" t="str">
        <f>"יח"</f>
        <v>יח</v>
      </c>
      <c r="N4357">
        <v>4</v>
      </c>
      <c r="O4357" t="str">
        <f>"יח"</f>
        <v>יח</v>
      </c>
      <c r="P4357">
        <v>699.3</v>
      </c>
      <c r="Q4357" t="str">
        <f>"$"</f>
        <v>$</v>
      </c>
      <c r="R4357" t="str">
        <f>"הזמנה"</f>
        <v>הזמנה</v>
      </c>
      <c r="S4357">
        <v>0</v>
      </c>
      <c r="T4357" s="2">
        <v>2797.2</v>
      </c>
      <c r="U4357">
        <v>0</v>
      </c>
      <c r="V4357" s="2">
        <v>2797.2</v>
      </c>
      <c r="W4357" t="str">
        <f>"$"</f>
        <v>$</v>
      </c>
      <c r="X4357">
        <v>0</v>
      </c>
      <c r="Y4357">
        <v>0</v>
      </c>
      <c r="Z4357">
        <v>0</v>
      </c>
      <c r="AA4357" t="str">
        <f>"Y"</f>
        <v>Y</v>
      </c>
      <c r="AB4357" t="str">
        <f>"SO17000320"</f>
        <v>SO17000320</v>
      </c>
      <c r="AC4357">
        <v>4</v>
      </c>
      <c r="AD4357" s="1">
        <v>42863</v>
      </c>
      <c r="AE4357" t="str">
        <f>"SH17001812"</f>
        <v>SH17001812</v>
      </c>
      <c r="AF4357" t="str">
        <f>"משלוחים ללקוח"</f>
        <v>משלוחים ללקוח</v>
      </c>
      <c r="AG4357" s="1">
        <v>42946</v>
      </c>
      <c r="AM4357" t="str">
        <f>"10"</f>
        <v>10</v>
      </c>
      <c r="AN4357" t="str">
        <f>"500000"</f>
        <v>500000</v>
      </c>
      <c r="AO4357" t="str">
        <f>"הכנסות  מלקוחות"</f>
        <v>הכנסות  מלקוחות</v>
      </c>
      <c r="AQ4357" t="str">
        <f>"017"</f>
        <v>017</v>
      </c>
      <c r="AR4357">
        <v>0</v>
      </c>
      <c r="AS4357">
        <v>0</v>
      </c>
      <c r="AT4357">
        <v>3.56</v>
      </c>
      <c r="AX4357" t="str">
        <f>"E000236016"</f>
        <v>E000236016</v>
      </c>
      <c r="BD4357" t="str">
        <f>"שחר דאהמן"</f>
        <v>שחר דאהמן</v>
      </c>
    </row>
    <row r="4358" spans="1:56" x14ac:dyDescent="0.3">
      <c r="A4358" s="1">
        <v>42947</v>
      </c>
      <c r="B4358" t="str">
        <f>"SI176001156"</f>
        <v>SI176001156</v>
      </c>
      <c r="E4358" t="str">
        <f>"Y"</f>
        <v>Y</v>
      </c>
      <c r="F4358" t="str">
        <f>"חשבוניות מרכזות"</f>
        <v>חשבוניות מרכזות</v>
      </c>
      <c r="G4358" t="str">
        <f>"700065"</f>
        <v>700065</v>
      </c>
      <c r="H4358" t="str">
        <f>"אלתא מערכות בע""מ"</f>
        <v>אלתא מערכות בע"מ</v>
      </c>
      <c r="I4358" t="str">
        <f>"10"</f>
        <v>10</v>
      </c>
      <c r="J4358" t="str">
        <f>"OP-AR00464"</f>
        <v>OP-AR00464</v>
      </c>
      <c r="K4358" t="str">
        <f>"רתמה REV;A 1036N631-001"</f>
        <v>רתמה REV;A 1036N631-001</v>
      </c>
      <c r="L4358">
        <v>2</v>
      </c>
      <c r="M4358" t="str">
        <f>"יח"</f>
        <v>יח</v>
      </c>
      <c r="N4358">
        <v>2</v>
      </c>
      <c r="O4358" t="str">
        <f>"יח"</f>
        <v>יח</v>
      </c>
      <c r="P4358">
        <v>699.3</v>
      </c>
      <c r="Q4358" t="str">
        <f>"$"</f>
        <v>$</v>
      </c>
      <c r="R4358" t="str">
        <f>"הזמנה"</f>
        <v>הזמנה</v>
      </c>
      <c r="S4358">
        <v>0</v>
      </c>
      <c r="T4358" s="2">
        <v>1398.6</v>
      </c>
      <c r="U4358">
        <v>0</v>
      </c>
      <c r="V4358" s="2">
        <v>1398.6</v>
      </c>
      <c r="W4358" t="str">
        <f>"$"</f>
        <v>$</v>
      </c>
      <c r="X4358">
        <v>0</v>
      </c>
      <c r="Y4358">
        <v>0</v>
      </c>
      <c r="Z4358">
        <v>0</v>
      </c>
      <c r="AA4358" t="str">
        <f>"Y"</f>
        <v>Y</v>
      </c>
      <c r="AB4358" t="str">
        <f>"SO17000320"</f>
        <v>SO17000320</v>
      </c>
      <c r="AC4358">
        <v>5</v>
      </c>
      <c r="AD4358" s="1">
        <v>42863</v>
      </c>
      <c r="AE4358" t="str">
        <f>"SH17001812"</f>
        <v>SH17001812</v>
      </c>
      <c r="AF4358" t="str">
        <f>"משלוחים ללקוח"</f>
        <v>משלוחים ללקוח</v>
      </c>
      <c r="AG4358" s="1">
        <v>42946</v>
      </c>
      <c r="AM4358" t="str">
        <f>"10"</f>
        <v>10</v>
      </c>
      <c r="AN4358" t="str">
        <f>"500000"</f>
        <v>500000</v>
      </c>
      <c r="AO4358" t="str">
        <f>"הכנסות  מלקוחות"</f>
        <v>הכנסות  מלקוחות</v>
      </c>
      <c r="AQ4358" t="str">
        <f>"017"</f>
        <v>017</v>
      </c>
      <c r="AR4358">
        <v>0</v>
      </c>
      <c r="AS4358">
        <v>0</v>
      </c>
      <c r="AT4358">
        <v>3.56</v>
      </c>
      <c r="AX4358" t="str">
        <f>"E000236016"</f>
        <v>E000236016</v>
      </c>
      <c r="BD4358" t="str">
        <f>"שחר דאהמן"</f>
        <v>שחר דאהמן</v>
      </c>
    </row>
    <row r="4359" spans="1:56" x14ac:dyDescent="0.3">
      <c r="A4359" s="1">
        <v>42947</v>
      </c>
      <c r="B4359" t="str">
        <f>"SI176001154"</f>
        <v>SI176001154</v>
      </c>
      <c r="C4359" t="str">
        <f>"PR17001775"</f>
        <v>PR17001775</v>
      </c>
      <c r="E4359" t="str">
        <f>"Y"</f>
        <v>Y</v>
      </c>
      <c r="F4359" t="str">
        <f>"חשבוניות מרכזות"</f>
        <v>חשבוניות מרכזות</v>
      </c>
      <c r="G4359" t="str">
        <f>"700065"</f>
        <v>700065</v>
      </c>
      <c r="H4359" t="str">
        <f>"אלתא מערכות בע""מ"</f>
        <v>אלתא מערכות בע"מ</v>
      </c>
      <c r="I4359" t="str">
        <f>"10"</f>
        <v>10</v>
      </c>
      <c r="J4359" t="str">
        <f>"OP-AR00540"</f>
        <v>OP-AR00540</v>
      </c>
      <c r="K4359" t="str">
        <f>"רתמה 1032H441-002"</f>
        <v>רתמה 1032H441-002</v>
      </c>
      <c r="L4359">
        <v>5</v>
      </c>
      <c r="M4359" t="str">
        <f>"יח"</f>
        <v>יח</v>
      </c>
      <c r="N4359">
        <v>5</v>
      </c>
      <c r="O4359" t="str">
        <f>"יח"</f>
        <v>יח</v>
      </c>
      <c r="P4359">
        <v>550</v>
      </c>
      <c r="Q4359" t="str">
        <f>"$"</f>
        <v>$</v>
      </c>
      <c r="R4359" t="str">
        <f>"הזמנה"</f>
        <v>הזמנה</v>
      </c>
      <c r="S4359">
        <v>0</v>
      </c>
      <c r="T4359" s="2">
        <v>2750</v>
      </c>
      <c r="U4359">
        <v>0</v>
      </c>
      <c r="V4359" s="2">
        <v>2750</v>
      </c>
      <c r="W4359" t="str">
        <f>"$"</f>
        <v>$</v>
      </c>
      <c r="X4359">
        <v>0</v>
      </c>
      <c r="Y4359">
        <v>0</v>
      </c>
      <c r="Z4359">
        <v>0</v>
      </c>
      <c r="AA4359" t="str">
        <f>"Y"</f>
        <v>Y</v>
      </c>
      <c r="AB4359" t="str">
        <f>"SO17000346"</f>
        <v>SO17000346</v>
      </c>
      <c r="AC4359">
        <v>1</v>
      </c>
      <c r="AD4359" s="1">
        <v>42877</v>
      </c>
      <c r="AE4359" t="str">
        <f>"SH17001810"</f>
        <v>SH17001810</v>
      </c>
      <c r="AF4359" t="str">
        <f>"משלוחים ללקוח"</f>
        <v>משלוחים ללקוח</v>
      </c>
      <c r="AG4359" s="1">
        <v>42946</v>
      </c>
      <c r="AM4359" t="str">
        <f>"10"</f>
        <v>10</v>
      </c>
      <c r="AN4359" t="str">
        <f>"500000"</f>
        <v>500000</v>
      </c>
      <c r="AO4359" t="str">
        <f>"הכנסות  מלקוחות"</f>
        <v>הכנסות  מלקוחות</v>
      </c>
      <c r="AQ4359" t="str">
        <f>"004"</f>
        <v>004</v>
      </c>
      <c r="AR4359">
        <v>0</v>
      </c>
      <c r="AS4359">
        <v>0</v>
      </c>
      <c r="AT4359">
        <v>3.56</v>
      </c>
      <c r="AX4359" t="str">
        <f>"E000235802"</f>
        <v>E000235802</v>
      </c>
      <c r="BD4359" t="str">
        <f>"איציק חדד"</f>
        <v>איציק חדד</v>
      </c>
    </row>
    <row r="4360" spans="1:56" x14ac:dyDescent="0.3">
      <c r="A4360" s="1">
        <v>42940</v>
      </c>
      <c r="B4360" t="str">
        <f>"SI176001106"</f>
        <v>SI176001106</v>
      </c>
      <c r="C4360" t="str">
        <f>"PR17001700"</f>
        <v>PR17001700</v>
      </c>
      <c r="D4360" t="str">
        <f>"PR17001700"</f>
        <v>PR17001700</v>
      </c>
      <c r="E4360" t="str">
        <f>"Y"</f>
        <v>Y</v>
      </c>
      <c r="F4360" t="str">
        <f>"חשבוניות מרכזות"</f>
        <v>חשבוניות מרכזות</v>
      </c>
      <c r="G4360" t="str">
        <f>"700065"</f>
        <v>700065</v>
      </c>
      <c r="H4360" t="str">
        <f>"אלתא מערכות בע""מ"</f>
        <v>אלתא מערכות בע"מ</v>
      </c>
      <c r="I4360" t="str">
        <f>"10"</f>
        <v>10</v>
      </c>
      <c r="J4360" t="str">
        <f>"OP-AR00579"</f>
        <v>OP-AR00579</v>
      </c>
      <c r="K4360" t="str">
        <f>"RACK 24U-1000-19INCH"</f>
        <v>RACK 24U-1000-19INCH</v>
      </c>
      <c r="L4360">
        <v>3</v>
      </c>
      <c r="M4360" t="str">
        <f>"יח"</f>
        <v>יח</v>
      </c>
      <c r="N4360">
        <v>3</v>
      </c>
      <c r="O4360" t="str">
        <f>"יח"</f>
        <v>יח</v>
      </c>
      <c r="P4360" s="2">
        <v>1020</v>
      </c>
      <c r="Q4360" t="str">
        <f>"$"</f>
        <v>$</v>
      </c>
      <c r="R4360" t="str">
        <f>"הזמנה"</f>
        <v>הזמנה</v>
      </c>
      <c r="S4360">
        <v>0</v>
      </c>
      <c r="T4360" s="2">
        <v>3060</v>
      </c>
      <c r="U4360">
        <v>0</v>
      </c>
      <c r="V4360" s="2">
        <v>3060</v>
      </c>
      <c r="W4360" t="str">
        <f>"$"</f>
        <v>$</v>
      </c>
      <c r="X4360">
        <v>0</v>
      </c>
      <c r="Y4360">
        <v>0</v>
      </c>
      <c r="Z4360">
        <v>0</v>
      </c>
      <c r="AA4360" t="str">
        <f>"Y"</f>
        <v>Y</v>
      </c>
      <c r="AB4360" t="str">
        <f>"SO17000328"</f>
        <v>SO17000328</v>
      </c>
      <c r="AC4360">
        <v>1</v>
      </c>
      <c r="AD4360" s="1">
        <v>42865</v>
      </c>
      <c r="AE4360" t="str">
        <f>"SH17001768"</f>
        <v>SH17001768</v>
      </c>
      <c r="AF4360" t="str">
        <f>"משלוחים ללקוח"</f>
        <v>משלוחים ללקוח</v>
      </c>
      <c r="AG4360" s="1">
        <v>42939</v>
      </c>
      <c r="AM4360" t="str">
        <f>"10"</f>
        <v>10</v>
      </c>
      <c r="AN4360" t="str">
        <f>"500000"</f>
        <v>500000</v>
      </c>
      <c r="AO4360" t="str">
        <f>"הכנסות  מלקוחות"</f>
        <v>הכנסות  מלקוחות</v>
      </c>
      <c r="AQ4360" t="str">
        <f>"007"</f>
        <v>007</v>
      </c>
      <c r="AR4360">
        <v>0</v>
      </c>
      <c r="AS4360">
        <v>0</v>
      </c>
      <c r="AT4360">
        <v>3.59</v>
      </c>
      <c r="AX4360" t="str">
        <f>"E000238290"</f>
        <v>E000238290</v>
      </c>
      <c r="BD4360" t="str">
        <f>"רוני דידי"</f>
        <v>רוני דידי</v>
      </c>
    </row>
    <row r="4361" spans="1:56" x14ac:dyDescent="0.3">
      <c r="A4361" s="1">
        <v>42940</v>
      </c>
      <c r="B4361" t="str">
        <f>"SI176001105"</f>
        <v>SI176001105</v>
      </c>
      <c r="C4361" t="str">
        <f>"PR16000707"</f>
        <v>PR16000707</v>
      </c>
      <c r="D4361" t="str">
        <f>"PR16000707"</f>
        <v>PR16000707</v>
      </c>
      <c r="E4361" t="str">
        <f>"Y"</f>
        <v>Y</v>
      </c>
      <c r="F4361" t="str">
        <f>"חשבוניות מרכזות"</f>
        <v>חשבוניות מרכזות</v>
      </c>
      <c r="G4361" t="str">
        <f>"700065"</f>
        <v>700065</v>
      </c>
      <c r="H4361" t="str">
        <f>"אלתא מערכות בע""מ"</f>
        <v>אלתא מערכות בע"מ</v>
      </c>
      <c r="I4361" t="str">
        <f>"10"</f>
        <v>10</v>
      </c>
      <c r="J4361" t="str">
        <f>"OP-AR00379"</f>
        <v>OP-AR00379</v>
      </c>
      <c r="K4361" t="str">
        <f>"ייצור 3025K120-001"</f>
        <v>ייצור 3025K120-001</v>
      </c>
      <c r="L4361">
        <v>1</v>
      </c>
      <c r="M4361" t="str">
        <f>"יח"</f>
        <v>יח</v>
      </c>
      <c r="N4361">
        <v>1</v>
      </c>
      <c r="O4361" t="str">
        <f>"יח"</f>
        <v>יח</v>
      </c>
      <c r="P4361" s="2">
        <v>15480</v>
      </c>
      <c r="Q4361" t="str">
        <f>"$"</f>
        <v>$</v>
      </c>
      <c r="R4361" t="str">
        <f>"הזמנה"</f>
        <v>הזמנה</v>
      </c>
      <c r="S4361">
        <v>0</v>
      </c>
      <c r="T4361" s="2">
        <v>15480</v>
      </c>
      <c r="U4361">
        <v>0</v>
      </c>
      <c r="V4361" s="2">
        <v>15480</v>
      </c>
      <c r="W4361" t="str">
        <f>"$"</f>
        <v>$</v>
      </c>
      <c r="X4361">
        <v>0</v>
      </c>
      <c r="Y4361">
        <v>0</v>
      </c>
      <c r="Z4361">
        <v>0</v>
      </c>
      <c r="AA4361" t="str">
        <f>"Y"</f>
        <v>Y</v>
      </c>
      <c r="AB4361" t="str">
        <f>"SO160000532"</f>
        <v>SO160000532</v>
      </c>
      <c r="AC4361">
        <v>1</v>
      </c>
      <c r="AD4361" s="1">
        <v>42569</v>
      </c>
      <c r="AE4361" t="str">
        <f>"SH17001769"</f>
        <v>SH17001769</v>
      </c>
      <c r="AF4361" t="str">
        <f>"משלוחים ללקוח"</f>
        <v>משלוחים ללקוח</v>
      </c>
      <c r="AG4361" s="1">
        <v>42939</v>
      </c>
      <c r="AM4361" t="str">
        <f>"10"</f>
        <v>10</v>
      </c>
      <c r="AN4361" t="str">
        <f>"500000"</f>
        <v>500000</v>
      </c>
      <c r="AO4361" t="str">
        <f>"הכנסות  מלקוחות"</f>
        <v>הכנסות  מלקוחות</v>
      </c>
      <c r="AQ4361" t="str">
        <f>"007"</f>
        <v>007</v>
      </c>
      <c r="AR4361">
        <v>0</v>
      </c>
      <c r="AS4361">
        <v>0</v>
      </c>
      <c r="AT4361">
        <v>3.59</v>
      </c>
      <c r="AX4361" t="str">
        <f>"E000220099"</f>
        <v>E000220099</v>
      </c>
      <c r="BD4361" t="str">
        <f>"רוני דידי"</f>
        <v>רוני דידי</v>
      </c>
    </row>
    <row r="4362" spans="1:56" x14ac:dyDescent="0.3">
      <c r="A4362" s="1">
        <v>42940</v>
      </c>
      <c r="B4362" t="str">
        <f>"SI176001104"</f>
        <v>SI176001104</v>
      </c>
      <c r="E4362" t="str">
        <f>"Y"</f>
        <v>Y</v>
      </c>
      <c r="F4362" t="str">
        <f>"חשבוניות מרכזות"</f>
        <v>חשבוניות מרכזות</v>
      </c>
      <c r="G4362" t="str">
        <f>"700065"</f>
        <v>700065</v>
      </c>
      <c r="H4362" t="str">
        <f>"אלתא מערכות בע""מ"</f>
        <v>אלתא מערכות בע"מ</v>
      </c>
      <c r="I4362" t="str">
        <f>"10"</f>
        <v>10</v>
      </c>
      <c r="J4362" t="str">
        <f>"OP-AR00466"</f>
        <v>OP-AR00466</v>
      </c>
      <c r="K4362" t="str">
        <f>"רתמה REV;B 1036N633-001"</f>
        <v>רתמה REV;B 1036N633-001</v>
      </c>
      <c r="L4362">
        <v>2</v>
      </c>
      <c r="M4362" t="str">
        <f>"יח"</f>
        <v>יח</v>
      </c>
      <c r="N4362">
        <v>2</v>
      </c>
      <c r="O4362" t="str">
        <f>"יח"</f>
        <v>יח</v>
      </c>
      <c r="P4362">
        <v>548.1</v>
      </c>
      <c r="Q4362" t="str">
        <f>"$"</f>
        <v>$</v>
      </c>
      <c r="R4362" t="str">
        <f>"הזמנה"</f>
        <v>הזמנה</v>
      </c>
      <c r="S4362">
        <v>0</v>
      </c>
      <c r="T4362" s="2">
        <v>1096.2</v>
      </c>
      <c r="U4362">
        <v>0</v>
      </c>
      <c r="V4362" s="2">
        <v>1096.2</v>
      </c>
      <c r="W4362" t="str">
        <f>"$"</f>
        <v>$</v>
      </c>
      <c r="X4362">
        <v>0</v>
      </c>
      <c r="Y4362">
        <v>0</v>
      </c>
      <c r="Z4362">
        <v>0</v>
      </c>
      <c r="AA4362" t="str">
        <f>"Y"</f>
        <v>Y</v>
      </c>
      <c r="AB4362" t="str">
        <f>"SO17000320"</f>
        <v>SO17000320</v>
      </c>
      <c r="AC4362">
        <v>11</v>
      </c>
      <c r="AD4362" s="1">
        <v>42863</v>
      </c>
      <c r="AE4362" t="str">
        <f>"SH17001771"</f>
        <v>SH17001771</v>
      </c>
      <c r="AF4362" t="str">
        <f>"משלוחים ללקוח"</f>
        <v>משלוחים ללקוח</v>
      </c>
      <c r="AG4362" s="1">
        <v>42940</v>
      </c>
      <c r="AM4362" t="str">
        <f>"10"</f>
        <v>10</v>
      </c>
      <c r="AN4362" t="str">
        <f>"500000"</f>
        <v>500000</v>
      </c>
      <c r="AO4362" t="str">
        <f>"הכנסות  מלקוחות"</f>
        <v>הכנסות  מלקוחות</v>
      </c>
      <c r="AQ4362" t="str">
        <f>"017"</f>
        <v>017</v>
      </c>
      <c r="AR4362">
        <v>0</v>
      </c>
      <c r="AS4362">
        <v>0</v>
      </c>
      <c r="AT4362">
        <v>3.59</v>
      </c>
      <c r="AX4362" t="str">
        <f>"E000236016"</f>
        <v>E000236016</v>
      </c>
      <c r="BD4362" t="str">
        <f>"שחר דאהמן"</f>
        <v>שחר דאהמן</v>
      </c>
    </row>
    <row r="4363" spans="1:56" x14ac:dyDescent="0.3">
      <c r="A4363" s="1">
        <v>42940</v>
      </c>
      <c r="B4363" t="str">
        <f>"SI176001104"</f>
        <v>SI176001104</v>
      </c>
      <c r="E4363" t="str">
        <f>"Y"</f>
        <v>Y</v>
      </c>
      <c r="F4363" t="str">
        <f>"חשבוניות מרכזות"</f>
        <v>חשבוניות מרכזות</v>
      </c>
      <c r="G4363" t="str">
        <f>"700065"</f>
        <v>700065</v>
      </c>
      <c r="H4363" t="str">
        <f>"אלתא מערכות בע""מ"</f>
        <v>אלתא מערכות בע"מ</v>
      </c>
      <c r="I4363" t="str">
        <f>"10"</f>
        <v>10</v>
      </c>
      <c r="J4363" t="str">
        <f>"OP-AR00466"</f>
        <v>OP-AR00466</v>
      </c>
      <c r="K4363" t="str">
        <f>"רתמה REV;B 1036N633-001"</f>
        <v>רתמה REV;B 1036N633-001</v>
      </c>
      <c r="L4363">
        <v>4</v>
      </c>
      <c r="M4363" t="str">
        <f>"יח"</f>
        <v>יח</v>
      </c>
      <c r="N4363">
        <v>4</v>
      </c>
      <c r="O4363" t="str">
        <f>"יח"</f>
        <v>יח</v>
      </c>
      <c r="P4363">
        <v>548.1</v>
      </c>
      <c r="Q4363" t="str">
        <f>"$"</f>
        <v>$</v>
      </c>
      <c r="R4363" t="str">
        <f>"הזמנה"</f>
        <v>הזמנה</v>
      </c>
      <c r="S4363">
        <v>0</v>
      </c>
      <c r="T4363" s="2">
        <v>2192.4</v>
      </c>
      <c r="U4363">
        <v>0</v>
      </c>
      <c r="V4363" s="2">
        <v>2192.4</v>
      </c>
      <c r="W4363" t="str">
        <f>"$"</f>
        <v>$</v>
      </c>
      <c r="X4363">
        <v>0</v>
      </c>
      <c r="Y4363">
        <v>0</v>
      </c>
      <c r="Z4363">
        <v>0</v>
      </c>
      <c r="AA4363" t="str">
        <f>"Y"</f>
        <v>Y</v>
      </c>
      <c r="AB4363" t="str">
        <f>"SO17000320"</f>
        <v>SO17000320</v>
      </c>
      <c r="AC4363">
        <v>12</v>
      </c>
      <c r="AD4363" s="1">
        <v>42863</v>
      </c>
      <c r="AE4363" t="str">
        <f>"SH17001771"</f>
        <v>SH17001771</v>
      </c>
      <c r="AF4363" t="str">
        <f>"משלוחים ללקוח"</f>
        <v>משלוחים ללקוח</v>
      </c>
      <c r="AG4363" s="1">
        <v>42940</v>
      </c>
      <c r="AM4363" t="str">
        <f>"10"</f>
        <v>10</v>
      </c>
      <c r="AN4363" t="str">
        <f>"500000"</f>
        <v>500000</v>
      </c>
      <c r="AO4363" t="str">
        <f>"הכנסות  מלקוחות"</f>
        <v>הכנסות  מלקוחות</v>
      </c>
      <c r="AQ4363" t="str">
        <f>"017"</f>
        <v>017</v>
      </c>
      <c r="AR4363">
        <v>0</v>
      </c>
      <c r="AS4363">
        <v>0</v>
      </c>
      <c r="AT4363">
        <v>3.59</v>
      </c>
      <c r="AX4363" t="str">
        <f>"E000236016"</f>
        <v>E000236016</v>
      </c>
      <c r="BD4363" t="str">
        <f>"שחר דאהמן"</f>
        <v>שחר דאהמן</v>
      </c>
    </row>
    <row r="4364" spans="1:56" x14ac:dyDescent="0.3">
      <c r="A4364" s="1">
        <v>42940</v>
      </c>
      <c r="B4364" t="str">
        <f>"SI176001104"</f>
        <v>SI176001104</v>
      </c>
      <c r="E4364" t="str">
        <f>"Y"</f>
        <v>Y</v>
      </c>
      <c r="F4364" t="str">
        <f>"חשבוניות מרכזות"</f>
        <v>חשבוניות מרכזות</v>
      </c>
      <c r="G4364" t="str">
        <f>"700065"</f>
        <v>700065</v>
      </c>
      <c r="H4364" t="str">
        <f>"אלתא מערכות בע""מ"</f>
        <v>אלתא מערכות בע"מ</v>
      </c>
      <c r="I4364" t="str">
        <f>"10"</f>
        <v>10</v>
      </c>
      <c r="J4364" t="str">
        <f>"OP-AR00464"</f>
        <v>OP-AR00464</v>
      </c>
      <c r="K4364" t="str">
        <f>"רתמה REV;A 1036N631-001"</f>
        <v>רתמה REV;A 1036N631-001</v>
      </c>
      <c r="L4364">
        <v>4</v>
      </c>
      <c r="M4364" t="str">
        <f>"יח"</f>
        <v>יח</v>
      </c>
      <c r="N4364">
        <v>4</v>
      </c>
      <c r="O4364" t="str">
        <f>"יח"</f>
        <v>יח</v>
      </c>
      <c r="P4364">
        <v>699.3</v>
      </c>
      <c r="Q4364" t="str">
        <f>"$"</f>
        <v>$</v>
      </c>
      <c r="R4364" t="str">
        <f>"הזמנה"</f>
        <v>הזמנה</v>
      </c>
      <c r="S4364">
        <v>0</v>
      </c>
      <c r="T4364" s="2">
        <v>2797.2</v>
      </c>
      <c r="U4364">
        <v>0</v>
      </c>
      <c r="V4364" s="2">
        <v>2797.2</v>
      </c>
      <c r="W4364" t="str">
        <f>"$"</f>
        <v>$</v>
      </c>
      <c r="X4364">
        <v>0</v>
      </c>
      <c r="Y4364">
        <v>0</v>
      </c>
      <c r="Z4364">
        <v>0</v>
      </c>
      <c r="AA4364" t="str">
        <f>"Y"</f>
        <v>Y</v>
      </c>
      <c r="AB4364" t="str">
        <f>"SO17000320"</f>
        <v>SO17000320</v>
      </c>
      <c r="AC4364">
        <v>4</v>
      </c>
      <c r="AD4364" s="1">
        <v>42863</v>
      </c>
      <c r="AE4364" t="str">
        <f>"SH17001772"</f>
        <v>SH17001772</v>
      </c>
      <c r="AF4364" t="str">
        <f>"משלוחים ללקוח"</f>
        <v>משלוחים ללקוח</v>
      </c>
      <c r="AG4364" s="1">
        <v>42940</v>
      </c>
      <c r="AM4364" t="str">
        <f>"10"</f>
        <v>10</v>
      </c>
      <c r="AN4364" t="str">
        <f>"500000"</f>
        <v>500000</v>
      </c>
      <c r="AO4364" t="str">
        <f>"הכנסות  מלקוחות"</f>
        <v>הכנסות  מלקוחות</v>
      </c>
      <c r="AQ4364" t="str">
        <f>"017"</f>
        <v>017</v>
      </c>
      <c r="AR4364">
        <v>0</v>
      </c>
      <c r="AS4364">
        <v>0</v>
      </c>
      <c r="AT4364">
        <v>3.59</v>
      </c>
      <c r="AX4364" t="str">
        <f>"E000236016"</f>
        <v>E000236016</v>
      </c>
      <c r="BD4364" t="str">
        <f>"שחר דאהמן"</f>
        <v>שחר דאהמן</v>
      </c>
    </row>
    <row r="4365" spans="1:56" x14ac:dyDescent="0.3">
      <c r="A4365" s="1">
        <v>42940</v>
      </c>
      <c r="B4365" t="str">
        <f>"SI176001104"</f>
        <v>SI176001104</v>
      </c>
      <c r="E4365" t="str">
        <f>"Y"</f>
        <v>Y</v>
      </c>
      <c r="F4365" t="str">
        <f>"חשבוניות מרכזות"</f>
        <v>חשבוניות מרכזות</v>
      </c>
      <c r="G4365" t="str">
        <f>"700065"</f>
        <v>700065</v>
      </c>
      <c r="H4365" t="str">
        <f>"אלתא מערכות בע""מ"</f>
        <v>אלתא מערכות בע"מ</v>
      </c>
      <c r="I4365" t="str">
        <f>"10"</f>
        <v>10</v>
      </c>
      <c r="J4365" t="str">
        <f>"OP-AR00465"</f>
        <v>OP-AR00465</v>
      </c>
      <c r="K4365" t="str">
        <f>"רתמה REV;B 1036N632-001"</f>
        <v>רתמה REV;B 1036N632-001</v>
      </c>
      <c r="L4365">
        <v>5</v>
      </c>
      <c r="M4365" t="str">
        <f>"יח"</f>
        <v>יח</v>
      </c>
      <c r="N4365">
        <v>5</v>
      </c>
      <c r="O4365" t="str">
        <f>"יח"</f>
        <v>יח</v>
      </c>
      <c r="P4365">
        <v>864.68</v>
      </c>
      <c r="Q4365" t="str">
        <f>"$"</f>
        <v>$</v>
      </c>
      <c r="R4365" t="str">
        <f>"הזמנה"</f>
        <v>הזמנה</v>
      </c>
      <c r="S4365">
        <v>0</v>
      </c>
      <c r="T4365" s="2">
        <v>4323.3999999999996</v>
      </c>
      <c r="U4365">
        <v>0</v>
      </c>
      <c r="V4365" s="2">
        <v>4323.3999999999996</v>
      </c>
      <c r="W4365" t="str">
        <f>"$"</f>
        <v>$</v>
      </c>
      <c r="X4365">
        <v>0</v>
      </c>
      <c r="Y4365">
        <v>0</v>
      </c>
      <c r="Z4365">
        <v>0</v>
      </c>
      <c r="AA4365" t="str">
        <f>"Y"</f>
        <v>Y</v>
      </c>
      <c r="AB4365" t="str">
        <f>"SO17000320"</f>
        <v>SO17000320</v>
      </c>
      <c r="AC4365">
        <v>7</v>
      </c>
      <c r="AD4365" s="1">
        <v>42863</v>
      </c>
      <c r="AE4365" t="str">
        <f>"SH17001770"</f>
        <v>SH17001770</v>
      </c>
      <c r="AF4365" t="str">
        <f>"משלוחים ללקוח"</f>
        <v>משלוחים ללקוח</v>
      </c>
      <c r="AG4365" s="1">
        <v>42940</v>
      </c>
      <c r="AM4365" t="str">
        <f>"10"</f>
        <v>10</v>
      </c>
      <c r="AN4365" t="str">
        <f>"500000"</f>
        <v>500000</v>
      </c>
      <c r="AO4365" t="str">
        <f>"הכנסות  מלקוחות"</f>
        <v>הכנסות  מלקוחות</v>
      </c>
      <c r="AQ4365" t="str">
        <f>"017"</f>
        <v>017</v>
      </c>
      <c r="AR4365">
        <v>0</v>
      </c>
      <c r="AS4365">
        <v>0</v>
      </c>
      <c r="AT4365">
        <v>3.59</v>
      </c>
      <c r="AX4365" t="str">
        <f>"E000236016"</f>
        <v>E000236016</v>
      </c>
      <c r="BD4365" t="str">
        <f>"שחר דאהמן"</f>
        <v>שחר דאהמן</v>
      </c>
    </row>
    <row r="4366" spans="1:56" x14ac:dyDescent="0.3">
      <c r="A4366" s="1">
        <v>42935</v>
      </c>
      <c r="B4366" t="str">
        <f>"SI176001084"</f>
        <v>SI176001084</v>
      </c>
      <c r="C4366" t="str">
        <f>"PR17001489"</f>
        <v>PR17001489</v>
      </c>
      <c r="D4366" t="str">
        <f>"PR17001489"</f>
        <v>PR17001489</v>
      </c>
      <c r="E4366" t="str">
        <f>"Y"</f>
        <v>Y</v>
      </c>
      <c r="F4366" t="str">
        <f>"חשבוניות מרכזות"</f>
        <v>חשבוניות מרכזות</v>
      </c>
      <c r="G4366" t="str">
        <f>"700065"</f>
        <v>700065</v>
      </c>
      <c r="H4366" t="str">
        <f>"אלתא מערכות בע""מ"</f>
        <v>אלתא מערכות בע"מ</v>
      </c>
      <c r="I4366" t="str">
        <f>"10"</f>
        <v>10</v>
      </c>
      <c r="J4366" t="str">
        <f>"OP-AR00551"</f>
        <v>OP-AR00551</v>
      </c>
      <c r="K4366" t="str">
        <f>"רתמה 4005F226-001 HARNESS W0013-PEDESTAL TO JU"</f>
        <v>רתמה 4005F226-001 HARNESS W0013-PEDESTAL TO JU</v>
      </c>
      <c r="L4366">
        <v>1</v>
      </c>
      <c r="M4366" t="str">
        <f>"יח"</f>
        <v>יח</v>
      </c>
      <c r="N4366">
        <v>1</v>
      </c>
      <c r="O4366" t="str">
        <f>"יח"</f>
        <v>יח</v>
      </c>
      <c r="P4366">
        <v>400</v>
      </c>
      <c r="Q4366" t="str">
        <f>"$"</f>
        <v>$</v>
      </c>
      <c r="R4366" t="str">
        <f>"הזמנה"</f>
        <v>הזמנה</v>
      </c>
      <c r="S4366">
        <v>0</v>
      </c>
      <c r="T4366">
        <v>400</v>
      </c>
      <c r="U4366">
        <v>0</v>
      </c>
      <c r="V4366">
        <v>400</v>
      </c>
      <c r="W4366" t="str">
        <f>"$"</f>
        <v>$</v>
      </c>
      <c r="X4366">
        <v>0</v>
      </c>
      <c r="Y4366">
        <v>0</v>
      </c>
      <c r="Z4366">
        <v>0</v>
      </c>
      <c r="AA4366" t="str">
        <f>"Y"</f>
        <v>Y</v>
      </c>
      <c r="AB4366" t="str">
        <f>"SO17000165"</f>
        <v>SO17000165</v>
      </c>
      <c r="AC4366">
        <v>2</v>
      </c>
      <c r="AD4366" s="1">
        <v>42793</v>
      </c>
      <c r="AE4366" t="str">
        <f>"SH17001735"</f>
        <v>SH17001735</v>
      </c>
      <c r="AF4366" t="str">
        <f>"משלוחים ללקוח"</f>
        <v>משלוחים ללקוח</v>
      </c>
      <c r="AG4366" s="1">
        <v>42933</v>
      </c>
      <c r="AM4366" t="str">
        <f>"10"</f>
        <v>10</v>
      </c>
      <c r="AN4366" t="str">
        <f>"500000"</f>
        <v>500000</v>
      </c>
      <c r="AO4366" t="str">
        <f>"הכנסות  מלקוחות"</f>
        <v>הכנסות  מלקוחות</v>
      </c>
      <c r="AQ4366" t="str">
        <f>"017"</f>
        <v>017</v>
      </c>
      <c r="AR4366">
        <v>0</v>
      </c>
      <c r="AS4366">
        <v>0</v>
      </c>
      <c r="AT4366">
        <v>3.5880000000000001</v>
      </c>
      <c r="AX4366" t="str">
        <f>"E000233843"</f>
        <v>E000233843</v>
      </c>
      <c r="BD4366" t="str">
        <f>"שחר דאהמן"</f>
        <v>שחר דאהמן</v>
      </c>
    </row>
    <row r="4367" spans="1:56" x14ac:dyDescent="0.3">
      <c r="A4367" s="1">
        <v>42933</v>
      </c>
      <c r="B4367" t="str">
        <f>"SI176001049"</f>
        <v>SI176001049</v>
      </c>
      <c r="E4367" t="str">
        <f>"Y"</f>
        <v>Y</v>
      </c>
      <c r="F4367" t="str">
        <f>"חשבוניות מרכזות"</f>
        <v>חשבוניות מרכזות</v>
      </c>
      <c r="G4367" t="str">
        <f>"700065"</f>
        <v>700065</v>
      </c>
      <c r="H4367" t="str">
        <f>"אלתא מערכות בע""מ"</f>
        <v>אלתא מערכות בע"מ</v>
      </c>
      <c r="I4367" t="str">
        <f>"10"</f>
        <v>10</v>
      </c>
      <c r="J4367" t="str">
        <f>"OP-AR00466"</f>
        <v>OP-AR00466</v>
      </c>
      <c r="K4367" t="str">
        <f>"רתמה REV;B 1036N633-001"</f>
        <v>רתמה REV;B 1036N633-001</v>
      </c>
      <c r="L4367">
        <v>2</v>
      </c>
      <c r="M4367" t="str">
        <f>"יח"</f>
        <v>יח</v>
      </c>
      <c r="N4367">
        <v>2</v>
      </c>
      <c r="O4367" t="str">
        <f>"יח"</f>
        <v>יח</v>
      </c>
      <c r="P4367">
        <v>548.1</v>
      </c>
      <c r="Q4367" t="str">
        <f>"$"</f>
        <v>$</v>
      </c>
      <c r="R4367" t="str">
        <f>"הזמנה"</f>
        <v>הזמנה</v>
      </c>
      <c r="S4367">
        <v>0</v>
      </c>
      <c r="T4367" s="2">
        <v>1096.2</v>
      </c>
      <c r="U4367">
        <v>0</v>
      </c>
      <c r="V4367" s="2">
        <v>1096.2</v>
      </c>
      <c r="W4367" t="str">
        <f>"$"</f>
        <v>$</v>
      </c>
      <c r="X4367">
        <v>0</v>
      </c>
      <c r="Y4367">
        <v>0</v>
      </c>
      <c r="Z4367">
        <v>0</v>
      </c>
      <c r="AA4367" t="str">
        <f>"Y"</f>
        <v>Y</v>
      </c>
      <c r="AB4367" t="str">
        <f>"SO17000320"</f>
        <v>SO17000320</v>
      </c>
      <c r="AC4367">
        <v>11</v>
      </c>
      <c r="AD4367" s="1">
        <v>42863</v>
      </c>
      <c r="AE4367" t="str">
        <f>"SH17001736"</f>
        <v>SH17001736</v>
      </c>
      <c r="AF4367" t="str">
        <f>"משלוחים ללקוח"</f>
        <v>משלוחים ללקוח</v>
      </c>
      <c r="AG4367" s="1">
        <v>42933</v>
      </c>
      <c r="AM4367" t="str">
        <f>"10"</f>
        <v>10</v>
      </c>
      <c r="AN4367" t="str">
        <f>"500000"</f>
        <v>500000</v>
      </c>
      <c r="AO4367" t="str">
        <f>"הכנסות  מלקוחות"</f>
        <v>הכנסות  מלקוחות</v>
      </c>
      <c r="AQ4367" t="str">
        <f>"017"</f>
        <v>017</v>
      </c>
      <c r="AR4367">
        <v>0</v>
      </c>
      <c r="AS4367">
        <v>0</v>
      </c>
      <c r="AT4367">
        <v>3.5449999999999999</v>
      </c>
      <c r="AX4367" t="str">
        <f>"E000236016"</f>
        <v>E000236016</v>
      </c>
      <c r="BD4367" t="str">
        <f>"שחר דאהמן"</f>
        <v>שחר דאהמן</v>
      </c>
    </row>
    <row r="4368" spans="1:56" x14ac:dyDescent="0.3">
      <c r="A4368" s="1">
        <v>42933</v>
      </c>
      <c r="B4368" t="str">
        <f>"SI176001049"</f>
        <v>SI176001049</v>
      </c>
      <c r="E4368" t="str">
        <f>"Y"</f>
        <v>Y</v>
      </c>
      <c r="F4368" t="str">
        <f>"חשבוניות מרכזות"</f>
        <v>חשבוניות מרכזות</v>
      </c>
      <c r="G4368" t="str">
        <f>"700065"</f>
        <v>700065</v>
      </c>
      <c r="H4368" t="str">
        <f>"אלתא מערכות בע""מ"</f>
        <v>אלתא מערכות בע"מ</v>
      </c>
      <c r="I4368" t="str">
        <f>"10"</f>
        <v>10</v>
      </c>
      <c r="J4368" t="str">
        <f>"OP-AR00464"</f>
        <v>OP-AR00464</v>
      </c>
      <c r="K4368" t="str">
        <f>"רתמה REV;A 1036N631-001"</f>
        <v>רתמה REV;A 1036N631-001</v>
      </c>
      <c r="L4368">
        <v>4</v>
      </c>
      <c r="M4368" t="str">
        <f>"יח"</f>
        <v>יח</v>
      </c>
      <c r="N4368">
        <v>4</v>
      </c>
      <c r="O4368" t="str">
        <f>"יח"</f>
        <v>יח</v>
      </c>
      <c r="P4368">
        <v>699.3</v>
      </c>
      <c r="Q4368" t="str">
        <f>"$"</f>
        <v>$</v>
      </c>
      <c r="R4368" t="str">
        <f>"הזמנה"</f>
        <v>הזמנה</v>
      </c>
      <c r="S4368">
        <v>0</v>
      </c>
      <c r="T4368" s="2">
        <v>2797.2</v>
      </c>
      <c r="U4368">
        <v>0</v>
      </c>
      <c r="V4368" s="2">
        <v>2797.2</v>
      </c>
      <c r="W4368" t="str">
        <f>"$"</f>
        <v>$</v>
      </c>
      <c r="X4368">
        <v>0</v>
      </c>
      <c r="Y4368">
        <v>0</v>
      </c>
      <c r="Z4368">
        <v>0</v>
      </c>
      <c r="AA4368" t="str">
        <f>"Y"</f>
        <v>Y</v>
      </c>
      <c r="AB4368" t="str">
        <f>"SO17000320"</f>
        <v>SO17000320</v>
      </c>
      <c r="AC4368">
        <v>1</v>
      </c>
      <c r="AD4368" s="1">
        <v>42863</v>
      </c>
      <c r="AE4368" t="str">
        <f>"SH17001737"</f>
        <v>SH17001737</v>
      </c>
      <c r="AF4368" t="str">
        <f>"משלוחים ללקוח"</f>
        <v>משלוחים ללקוח</v>
      </c>
      <c r="AG4368" s="1">
        <v>42933</v>
      </c>
      <c r="AM4368" t="str">
        <f>"10"</f>
        <v>10</v>
      </c>
      <c r="AN4368" t="str">
        <f>"500000"</f>
        <v>500000</v>
      </c>
      <c r="AO4368" t="str">
        <f>"הכנסות  מלקוחות"</f>
        <v>הכנסות  מלקוחות</v>
      </c>
      <c r="AQ4368" t="str">
        <f>"017"</f>
        <v>017</v>
      </c>
      <c r="AR4368">
        <v>0</v>
      </c>
      <c r="AS4368">
        <v>0</v>
      </c>
      <c r="AT4368">
        <v>3.5449999999999999</v>
      </c>
      <c r="AX4368" t="str">
        <f>"E000236016"</f>
        <v>E000236016</v>
      </c>
      <c r="BD4368" t="str">
        <f>"שחר דאהמן"</f>
        <v>שחר דאהמן</v>
      </c>
    </row>
    <row r="4369" spans="1:56" x14ac:dyDescent="0.3">
      <c r="A4369" s="1">
        <v>42933</v>
      </c>
      <c r="B4369" t="str">
        <f>"SI176001049"</f>
        <v>SI176001049</v>
      </c>
      <c r="E4369" t="str">
        <f>"Y"</f>
        <v>Y</v>
      </c>
      <c r="F4369" t="str">
        <f>"חשבוניות מרכזות"</f>
        <v>חשבוניות מרכזות</v>
      </c>
      <c r="G4369" t="str">
        <f>"700065"</f>
        <v>700065</v>
      </c>
      <c r="H4369" t="str">
        <f>"אלתא מערכות בע""מ"</f>
        <v>אלתא מערכות בע"מ</v>
      </c>
      <c r="I4369" t="str">
        <f>"10"</f>
        <v>10</v>
      </c>
      <c r="J4369" t="str">
        <f>"OP-AR00464"</f>
        <v>OP-AR00464</v>
      </c>
      <c r="K4369" t="str">
        <f>"רתמה REV;A 1036N631-001"</f>
        <v>רתמה REV;A 1036N631-001</v>
      </c>
      <c r="L4369">
        <v>1</v>
      </c>
      <c r="M4369" t="str">
        <f>"יח"</f>
        <v>יח</v>
      </c>
      <c r="N4369">
        <v>1</v>
      </c>
      <c r="O4369" t="str">
        <f>"יח"</f>
        <v>יח</v>
      </c>
      <c r="P4369">
        <v>699.3</v>
      </c>
      <c r="Q4369" t="str">
        <f>"$"</f>
        <v>$</v>
      </c>
      <c r="R4369" t="str">
        <f>"הזמנה"</f>
        <v>הזמנה</v>
      </c>
      <c r="S4369">
        <v>0</v>
      </c>
      <c r="T4369">
        <v>699.3</v>
      </c>
      <c r="U4369">
        <v>0</v>
      </c>
      <c r="V4369">
        <v>699.3</v>
      </c>
      <c r="W4369" t="str">
        <f>"$"</f>
        <v>$</v>
      </c>
      <c r="X4369">
        <v>0</v>
      </c>
      <c r="Y4369">
        <v>0</v>
      </c>
      <c r="Z4369">
        <v>0</v>
      </c>
      <c r="AA4369" t="str">
        <f>"Y"</f>
        <v>Y</v>
      </c>
      <c r="AB4369" t="str">
        <f>"SO17000320"</f>
        <v>SO17000320</v>
      </c>
      <c r="AC4369">
        <v>2</v>
      </c>
      <c r="AD4369" s="1">
        <v>42863</v>
      </c>
      <c r="AE4369" t="str">
        <f>"SH17001737"</f>
        <v>SH17001737</v>
      </c>
      <c r="AF4369" t="str">
        <f>"משלוחים ללקוח"</f>
        <v>משלוחים ללקוח</v>
      </c>
      <c r="AG4369" s="1">
        <v>42933</v>
      </c>
      <c r="AM4369" t="str">
        <f>"10"</f>
        <v>10</v>
      </c>
      <c r="AN4369" t="str">
        <f>"500000"</f>
        <v>500000</v>
      </c>
      <c r="AO4369" t="str">
        <f>"הכנסות  מלקוחות"</f>
        <v>הכנסות  מלקוחות</v>
      </c>
      <c r="AQ4369" t="str">
        <f>"017"</f>
        <v>017</v>
      </c>
      <c r="AR4369">
        <v>0</v>
      </c>
      <c r="AS4369">
        <v>0</v>
      </c>
      <c r="AT4369">
        <v>3.5449999999999999</v>
      </c>
      <c r="AX4369" t="str">
        <f>"E000236016"</f>
        <v>E000236016</v>
      </c>
      <c r="BD4369" t="str">
        <f>"שחר דאהמן"</f>
        <v>שחר דאהמן</v>
      </c>
    </row>
    <row r="4370" spans="1:56" x14ac:dyDescent="0.3">
      <c r="A4370" s="1">
        <v>42933</v>
      </c>
      <c r="B4370" t="str">
        <f>"SI176001049"</f>
        <v>SI176001049</v>
      </c>
      <c r="E4370" t="str">
        <f>"Y"</f>
        <v>Y</v>
      </c>
      <c r="F4370" t="str">
        <f>"חשבוניות מרכזות"</f>
        <v>חשבוניות מרכזות</v>
      </c>
      <c r="G4370" t="str">
        <f>"700065"</f>
        <v>700065</v>
      </c>
      <c r="H4370" t="str">
        <f>"אלתא מערכות בע""מ"</f>
        <v>אלתא מערכות בע"מ</v>
      </c>
      <c r="I4370" t="str">
        <f>"10"</f>
        <v>10</v>
      </c>
      <c r="J4370" t="str">
        <f>"OP-AR00465"</f>
        <v>OP-AR00465</v>
      </c>
      <c r="K4370" t="str">
        <f>"רתמה REV;B 1036N632-001"</f>
        <v>רתמה REV;B 1036N632-001</v>
      </c>
      <c r="L4370">
        <v>5</v>
      </c>
      <c r="M4370" t="str">
        <f>"יח"</f>
        <v>יח</v>
      </c>
      <c r="N4370">
        <v>5</v>
      </c>
      <c r="O4370" t="str">
        <f>"יח"</f>
        <v>יח</v>
      </c>
      <c r="P4370">
        <v>864.68</v>
      </c>
      <c r="Q4370" t="str">
        <f>"$"</f>
        <v>$</v>
      </c>
      <c r="R4370" t="str">
        <f>"הזמנה"</f>
        <v>הזמנה</v>
      </c>
      <c r="S4370">
        <v>0</v>
      </c>
      <c r="T4370" s="2">
        <v>4323.3999999999996</v>
      </c>
      <c r="U4370">
        <v>0</v>
      </c>
      <c r="V4370" s="2">
        <v>4323.3999999999996</v>
      </c>
      <c r="W4370" t="str">
        <f>"$"</f>
        <v>$</v>
      </c>
      <c r="X4370">
        <v>0</v>
      </c>
      <c r="Y4370">
        <v>0</v>
      </c>
      <c r="Z4370">
        <v>0</v>
      </c>
      <c r="AA4370" t="str">
        <f>"Y"</f>
        <v>Y</v>
      </c>
      <c r="AB4370" t="str">
        <f>"SO17000320"</f>
        <v>SO17000320</v>
      </c>
      <c r="AC4370">
        <v>7</v>
      </c>
      <c r="AD4370" s="1">
        <v>42863</v>
      </c>
      <c r="AE4370" t="str">
        <f>"SH17001738"</f>
        <v>SH17001738</v>
      </c>
      <c r="AF4370" t="str">
        <f>"משלוחים ללקוח"</f>
        <v>משלוחים ללקוח</v>
      </c>
      <c r="AG4370" s="1">
        <v>42933</v>
      </c>
      <c r="AM4370" t="str">
        <f>"10"</f>
        <v>10</v>
      </c>
      <c r="AN4370" t="str">
        <f>"500000"</f>
        <v>500000</v>
      </c>
      <c r="AO4370" t="str">
        <f>"הכנסות  מלקוחות"</f>
        <v>הכנסות  מלקוחות</v>
      </c>
      <c r="AQ4370" t="str">
        <f>"017"</f>
        <v>017</v>
      </c>
      <c r="AR4370">
        <v>0</v>
      </c>
      <c r="AS4370">
        <v>0</v>
      </c>
      <c r="AT4370">
        <v>3.5449999999999999</v>
      </c>
      <c r="AX4370" t="str">
        <f>"E000236016"</f>
        <v>E000236016</v>
      </c>
      <c r="BD4370" t="str">
        <f>"שחר דאהמן"</f>
        <v>שחר דאהמן</v>
      </c>
    </row>
    <row r="4371" spans="1:56" x14ac:dyDescent="0.3">
      <c r="A4371" s="1">
        <v>42921</v>
      </c>
      <c r="B4371" t="str">
        <f>"SI176000993"</f>
        <v>SI176000993</v>
      </c>
      <c r="C4371" t="str">
        <f>"PR17001469"</f>
        <v>PR17001469</v>
      </c>
      <c r="E4371" t="str">
        <f>"Y"</f>
        <v>Y</v>
      </c>
      <c r="F4371" t="str">
        <f>"חשבוניות מרכזות"</f>
        <v>חשבוניות מרכזות</v>
      </c>
      <c r="G4371" t="str">
        <f>"700065"</f>
        <v>700065</v>
      </c>
      <c r="H4371" t="str">
        <f>"אלתא מערכות בע""מ"</f>
        <v>אלתא מערכות בע"מ</v>
      </c>
      <c r="I4371" t="str">
        <f>"10"</f>
        <v>10</v>
      </c>
      <c r="J4371" t="str">
        <f>"OP-AR00464"</f>
        <v>OP-AR00464</v>
      </c>
      <c r="K4371" t="str">
        <f>"רתמה REV;A 1036N631-001"</f>
        <v>רתמה REV;A 1036N631-001</v>
      </c>
      <c r="L4371">
        <v>3</v>
      </c>
      <c r="M4371" t="str">
        <f>"יח"</f>
        <v>יח</v>
      </c>
      <c r="N4371">
        <v>3</v>
      </c>
      <c r="O4371" t="str">
        <f>"יח"</f>
        <v>יח</v>
      </c>
      <c r="P4371">
        <v>699.3</v>
      </c>
      <c r="Q4371" t="str">
        <f>"$"</f>
        <v>$</v>
      </c>
      <c r="R4371" t="str">
        <f>"הזמנה"</f>
        <v>הזמנה</v>
      </c>
      <c r="S4371">
        <v>0</v>
      </c>
      <c r="T4371" s="2">
        <v>2097.9</v>
      </c>
      <c r="U4371">
        <v>0</v>
      </c>
      <c r="V4371" s="2">
        <v>2097.9</v>
      </c>
      <c r="W4371" t="str">
        <f>"$"</f>
        <v>$</v>
      </c>
      <c r="X4371">
        <v>0</v>
      </c>
      <c r="Y4371">
        <v>0</v>
      </c>
      <c r="Z4371">
        <v>0</v>
      </c>
      <c r="AA4371" t="str">
        <f>"Y"</f>
        <v>Y</v>
      </c>
      <c r="AB4371" t="str">
        <f>"SO17000320"</f>
        <v>SO17000320</v>
      </c>
      <c r="AC4371">
        <v>1</v>
      </c>
      <c r="AD4371" s="1">
        <v>42863</v>
      </c>
      <c r="AE4371" t="str">
        <f>"SH17001615"</f>
        <v>SH17001615</v>
      </c>
      <c r="AF4371" t="str">
        <f>"משלוחים ללקוח"</f>
        <v>משלוחים ללקוח</v>
      </c>
      <c r="AG4371" s="1">
        <v>42921</v>
      </c>
      <c r="AM4371" t="str">
        <f>"10"</f>
        <v>10</v>
      </c>
      <c r="AN4371" t="str">
        <f>"500000"</f>
        <v>500000</v>
      </c>
      <c r="AO4371" t="str">
        <f>"הכנסות  מלקוחות"</f>
        <v>הכנסות  מלקוחות</v>
      </c>
      <c r="AQ4371" t="str">
        <f>"017"</f>
        <v>017</v>
      </c>
      <c r="AR4371">
        <v>0</v>
      </c>
      <c r="AS4371">
        <v>0</v>
      </c>
      <c r="AT4371">
        <v>3.5219999999999998</v>
      </c>
      <c r="AX4371" t="str">
        <f>"E000236016"</f>
        <v>E000236016</v>
      </c>
      <c r="BD4371" t="str">
        <f>"שחר דאהמן"</f>
        <v>שחר דאהמן</v>
      </c>
    </row>
    <row r="4372" spans="1:56" x14ac:dyDescent="0.3">
      <c r="A4372" s="1">
        <v>42918</v>
      </c>
      <c r="B4372" t="str">
        <f>"SI176000967"</f>
        <v>SI176000967</v>
      </c>
      <c r="E4372" t="str">
        <f>"Y"</f>
        <v>Y</v>
      </c>
      <c r="F4372" t="str">
        <f>"חשבוניות מרכזות"</f>
        <v>חשבוניות מרכזות</v>
      </c>
      <c r="G4372" t="str">
        <f>"700065"</f>
        <v>700065</v>
      </c>
      <c r="H4372" t="str">
        <f>"אלתא מערכות בע""מ"</f>
        <v>אלתא מערכות בע"מ</v>
      </c>
      <c r="I4372" t="str">
        <f>"10"</f>
        <v>10</v>
      </c>
      <c r="J4372" t="str">
        <f>"OP-AR00466"</f>
        <v>OP-AR00466</v>
      </c>
      <c r="K4372" t="str">
        <f>"רתמה REV;B 1036N633-001"</f>
        <v>רתמה REV;B 1036N633-001</v>
      </c>
      <c r="L4372">
        <v>11</v>
      </c>
      <c r="M4372" t="str">
        <f>"יח"</f>
        <v>יח</v>
      </c>
      <c r="N4372">
        <v>11</v>
      </c>
      <c r="O4372" t="str">
        <f>"יח"</f>
        <v>יח</v>
      </c>
      <c r="P4372">
        <v>548.1</v>
      </c>
      <c r="Q4372" t="str">
        <f>"$"</f>
        <v>$</v>
      </c>
      <c r="R4372" t="str">
        <f>"הזמנה"</f>
        <v>הזמנה</v>
      </c>
      <c r="S4372">
        <v>0</v>
      </c>
      <c r="T4372" s="2">
        <v>6029.1</v>
      </c>
      <c r="U4372">
        <v>0</v>
      </c>
      <c r="V4372" s="2">
        <v>6029.1</v>
      </c>
      <c r="W4372" t="str">
        <f>"$"</f>
        <v>$</v>
      </c>
      <c r="X4372">
        <v>0</v>
      </c>
      <c r="Y4372">
        <v>0</v>
      </c>
      <c r="Z4372">
        <v>0</v>
      </c>
      <c r="AA4372" t="str">
        <f>"Y"</f>
        <v>Y</v>
      </c>
      <c r="AB4372" t="str">
        <f>"SO17000320"</f>
        <v>SO17000320</v>
      </c>
      <c r="AC4372">
        <v>11</v>
      </c>
      <c r="AD4372" s="1">
        <v>42863</v>
      </c>
      <c r="AE4372" t="str">
        <f>"SH17001576"</f>
        <v>SH17001576</v>
      </c>
      <c r="AF4372" t="str">
        <f>"משלוחים ללקוח"</f>
        <v>משלוחים ללקוח</v>
      </c>
      <c r="AG4372" s="1">
        <v>42918</v>
      </c>
      <c r="AM4372" t="str">
        <f>"10"</f>
        <v>10</v>
      </c>
      <c r="AN4372" t="str">
        <f>"500000"</f>
        <v>500000</v>
      </c>
      <c r="AO4372" t="str">
        <f>"הכנסות  מלקוחות"</f>
        <v>הכנסות  מלקוחות</v>
      </c>
      <c r="AQ4372" t="str">
        <f>"017"</f>
        <v>017</v>
      </c>
      <c r="AR4372">
        <v>0</v>
      </c>
      <c r="AS4372">
        <v>0</v>
      </c>
      <c r="AT4372">
        <v>3.496</v>
      </c>
      <c r="AX4372" t="str">
        <f>"E000236016"</f>
        <v>E000236016</v>
      </c>
      <c r="BD4372" t="str">
        <f>"שחר דאהמן"</f>
        <v>שחר דאהמן</v>
      </c>
    </row>
    <row r="4373" spans="1:56" x14ac:dyDescent="0.3">
      <c r="A4373" s="1">
        <v>42918</v>
      </c>
      <c r="B4373" t="str">
        <f>"SI176000967"</f>
        <v>SI176000967</v>
      </c>
      <c r="E4373" t="str">
        <f>"Y"</f>
        <v>Y</v>
      </c>
      <c r="F4373" t="str">
        <f>"חשבוניות מרכזות"</f>
        <v>חשבוניות מרכזות</v>
      </c>
      <c r="G4373" t="str">
        <f>"700065"</f>
        <v>700065</v>
      </c>
      <c r="H4373" t="str">
        <f>"אלתא מערכות בע""מ"</f>
        <v>אלתא מערכות בע"מ</v>
      </c>
      <c r="I4373" t="str">
        <f>"10"</f>
        <v>10</v>
      </c>
      <c r="J4373" t="str">
        <f>"OP-AR00465"</f>
        <v>OP-AR00465</v>
      </c>
      <c r="K4373" t="str">
        <f>"רתמה REV;B 1036N632-001"</f>
        <v>רתמה REV;B 1036N632-001</v>
      </c>
      <c r="L4373">
        <v>4</v>
      </c>
      <c r="M4373" t="str">
        <f>"יח"</f>
        <v>יח</v>
      </c>
      <c r="N4373">
        <v>4</v>
      </c>
      <c r="O4373" t="str">
        <f>"יח"</f>
        <v>יח</v>
      </c>
      <c r="P4373">
        <v>864.68</v>
      </c>
      <c r="Q4373" t="str">
        <f>"$"</f>
        <v>$</v>
      </c>
      <c r="R4373" t="str">
        <f>"הזמנה"</f>
        <v>הזמנה</v>
      </c>
      <c r="S4373">
        <v>0</v>
      </c>
      <c r="T4373" s="2">
        <v>3458.72</v>
      </c>
      <c r="U4373">
        <v>0</v>
      </c>
      <c r="V4373" s="2">
        <v>3458.72</v>
      </c>
      <c r="W4373" t="str">
        <f>"$"</f>
        <v>$</v>
      </c>
      <c r="X4373">
        <v>0</v>
      </c>
      <c r="Y4373">
        <v>0</v>
      </c>
      <c r="Z4373">
        <v>0</v>
      </c>
      <c r="AA4373" t="str">
        <f>"Y"</f>
        <v>Y</v>
      </c>
      <c r="AB4373" t="str">
        <f>"SO17000320"</f>
        <v>SO17000320</v>
      </c>
      <c r="AC4373">
        <v>6</v>
      </c>
      <c r="AD4373" s="1">
        <v>42863</v>
      </c>
      <c r="AE4373" t="str">
        <f>"SH17001577"</f>
        <v>SH17001577</v>
      </c>
      <c r="AF4373" t="str">
        <f>"משלוחים ללקוח"</f>
        <v>משלוחים ללקוח</v>
      </c>
      <c r="AG4373" s="1">
        <v>42918</v>
      </c>
      <c r="AM4373" t="str">
        <f>"10"</f>
        <v>10</v>
      </c>
      <c r="AN4373" t="str">
        <f>"500000"</f>
        <v>500000</v>
      </c>
      <c r="AO4373" t="str">
        <f>"הכנסות  מלקוחות"</f>
        <v>הכנסות  מלקוחות</v>
      </c>
      <c r="AQ4373" t="str">
        <f>"017"</f>
        <v>017</v>
      </c>
      <c r="AR4373">
        <v>0</v>
      </c>
      <c r="AS4373">
        <v>0</v>
      </c>
      <c r="AT4373">
        <v>3.496</v>
      </c>
      <c r="AX4373" t="str">
        <f>"E000236016"</f>
        <v>E000236016</v>
      </c>
      <c r="BD4373" t="str">
        <f>"שחר דאהמן"</f>
        <v>שחר דאהמן</v>
      </c>
    </row>
    <row r="4374" spans="1:56" x14ac:dyDescent="0.3">
      <c r="A4374" s="1">
        <v>42918</v>
      </c>
      <c r="B4374" t="str">
        <f>"SI176000967"</f>
        <v>SI176000967</v>
      </c>
      <c r="E4374" t="str">
        <f>"Y"</f>
        <v>Y</v>
      </c>
      <c r="F4374" t="str">
        <f>"חשבוניות מרכזות"</f>
        <v>חשבוניות מרכזות</v>
      </c>
      <c r="G4374" t="str">
        <f>"700065"</f>
        <v>700065</v>
      </c>
      <c r="H4374" t="str">
        <f>"אלתא מערכות בע""מ"</f>
        <v>אלתא מערכות בע"מ</v>
      </c>
      <c r="I4374" t="str">
        <f>"10"</f>
        <v>10</v>
      </c>
      <c r="J4374" t="str">
        <f>"OP-AR00465"</f>
        <v>OP-AR00465</v>
      </c>
      <c r="K4374" t="str">
        <f>"רתמה REV;B 1036N632-001"</f>
        <v>רתמה REV;B 1036N632-001</v>
      </c>
      <c r="L4374">
        <v>7</v>
      </c>
      <c r="M4374" t="str">
        <f>"יח"</f>
        <v>יח</v>
      </c>
      <c r="N4374">
        <v>7</v>
      </c>
      <c r="O4374" t="str">
        <f>"יח"</f>
        <v>יח</v>
      </c>
      <c r="P4374">
        <v>864.68</v>
      </c>
      <c r="Q4374" t="str">
        <f>"$"</f>
        <v>$</v>
      </c>
      <c r="R4374" t="str">
        <f>"הזמנה"</f>
        <v>הזמנה</v>
      </c>
      <c r="S4374">
        <v>0</v>
      </c>
      <c r="T4374" s="2">
        <v>6052.76</v>
      </c>
      <c r="U4374">
        <v>0</v>
      </c>
      <c r="V4374" s="2">
        <v>6052.76</v>
      </c>
      <c r="W4374" t="str">
        <f>"$"</f>
        <v>$</v>
      </c>
      <c r="X4374">
        <v>0</v>
      </c>
      <c r="Y4374">
        <v>0</v>
      </c>
      <c r="Z4374">
        <v>0</v>
      </c>
      <c r="AA4374" t="str">
        <f>"Y"</f>
        <v>Y</v>
      </c>
      <c r="AB4374" t="str">
        <f>"SO17000320"</f>
        <v>SO17000320</v>
      </c>
      <c r="AC4374">
        <v>7</v>
      </c>
      <c r="AD4374" s="1">
        <v>42863</v>
      </c>
      <c r="AE4374" t="str">
        <f>"SH17001577"</f>
        <v>SH17001577</v>
      </c>
      <c r="AF4374" t="str">
        <f>"משלוחים ללקוח"</f>
        <v>משלוחים ללקוח</v>
      </c>
      <c r="AG4374" s="1">
        <v>42918</v>
      </c>
      <c r="AM4374" t="str">
        <f>"10"</f>
        <v>10</v>
      </c>
      <c r="AN4374" t="str">
        <f>"500000"</f>
        <v>500000</v>
      </c>
      <c r="AO4374" t="str">
        <f>"הכנסות  מלקוחות"</f>
        <v>הכנסות  מלקוחות</v>
      </c>
      <c r="AQ4374" t="str">
        <f>"017"</f>
        <v>017</v>
      </c>
      <c r="AR4374">
        <v>0</v>
      </c>
      <c r="AS4374">
        <v>0</v>
      </c>
      <c r="AT4374">
        <v>3.496</v>
      </c>
      <c r="AX4374" t="str">
        <f>"E000236016"</f>
        <v>E000236016</v>
      </c>
      <c r="BD4374" t="str">
        <f>"שחר דאהמן"</f>
        <v>שחר דאהמן</v>
      </c>
    </row>
    <row r="4375" spans="1:56" x14ac:dyDescent="0.3">
      <c r="A4375" s="1">
        <v>42918</v>
      </c>
      <c r="B4375" t="str">
        <f>"SI176000967"</f>
        <v>SI176000967</v>
      </c>
      <c r="E4375" t="str">
        <f>"Y"</f>
        <v>Y</v>
      </c>
      <c r="F4375" t="str">
        <f>"חשבוניות מרכזות"</f>
        <v>חשבוניות מרכזות</v>
      </c>
      <c r="G4375" t="str">
        <f>"700065"</f>
        <v>700065</v>
      </c>
      <c r="H4375" t="str">
        <f>"אלתא מערכות בע""מ"</f>
        <v>אלתא מערכות בע"מ</v>
      </c>
      <c r="I4375" t="str">
        <f>"10"</f>
        <v>10</v>
      </c>
      <c r="J4375" t="str">
        <f>"OP-AR00464"</f>
        <v>OP-AR00464</v>
      </c>
      <c r="K4375" t="str">
        <f>"רתמה REV;A 1036N631-001"</f>
        <v>רתמה REV;A 1036N631-001</v>
      </c>
      <c r="L4375">
        <v>8</v>
      </c>
      <c r="M4375" t="str">
        <f>"יח"</f>
        <v>יח</v>
      </c>
      <c r="N4375">
        <v>8</v>
      </c>
      <c r="O4375" t="str">
        <f>"יח"</f>
        <v>יח</v>
      </c>
      <c r="P4375">
        <v>699.3</v>
      </c>
      <c r="Q4375" t="str">
        <f>"$"</f>
        <v>$</v>
      </c>
      <c r="R4375" t="str">
        <f>"הזמנה"</f>
        <v>הזמנה</v>
      </c>
      <c r="S4375">
        <v>0</v>
      </c>
      <c r="T4375" s="2">
        <v>5594.4</v>
      </c>
      <c r="U4375">
        <v>0</v>
      </c>
      <c r="V4375" s="2">
        <v>5594.4</v>
      </c>
      <c r="W4375" t="str">
        <f>"$"</f>
        <v>$</v>
      </c>
      <c r="X4375">
        <v>0</v>
      </c>
      <c r="Y4375">
        <v>0</v>
      </c>
      <c r="Z4375">
        <v>0</v>
      </c>
      <c r="AA4375" t="str">
        <f>"Y"</f>
        <v>Y</v>
      </c>
      <c r="AB4375" t="str">
        <f>"SO17000320"</f>
        <v>SO17000320</v>
      </c>
      <c r="AC4375">
        <v>1</v>
      </c>
      <c r="AD4375" s="1">
        <v>42863</v>
      </c>
      <c r="AE4375" t="str">
        <f>"SH17001578"</f>
        <v>SH17001578</v>
      </c>
      <c r="AF4375" t="str">
        <f>"משלוחים ללקוח"</f>
        <v>משלוחים ללקוח</v>
      </c>
      <c r="AG4375" s="1">
        <v>42918</v>
      </c>
      <c r="AM4375" t="str">
        <f>"10"</f>
        <v>10</v>
      </c>
      <c r="AN4375" t="str">
        <f>"500000"</f>
        <v>500000</v>
      </c>
      <c r="AO4375" t="str">
        <f>"הכנסות  מלקוחות"</f>
        <v>הכנסות  מלקוחות</v>
      </c>
      <c r="AQ4375" t="str">
        <f>"017"</f>
        <v>017</v>
      </c>
      <c r="AR4375">
        <v>0</v>
      </c>
      <c r="AS4375">
        <v>0</v>
      </c>
      <c r="AT4375">
        <v>3.496</v>
      </c>
      <c r="AX4375" t="str">
        <f>"E000236016"</f>
        <v>E000236016</v>
      </c>
      <c r="BD4375" t="str">
        <f>"שחר דאהמן"</f>
        <v>שחר דאהמן</v>
      </c>
    </row>
    <row r="4376" spans="1:56" x14ac:dyDescent="0.3">
      <c r="A4376" s="1">
        <v>42915</v>
      </c>
      <c r="B4376" t="str">
        <f>"SI176000952"</f>
        <v>SI176000952</v>
      </c>
      <c r="C4376" t="str">
        <f>"PR15003237"</f>
        <v>PR15003237</v>
      </c>
      <c r="E4376" t="str">
        <f>"Y"</f>
        <v>Y</v>
      </c>
      <c r="F4376" t="str">
        <f>"חשבוניות מרכזות"</f>
        <v>חשבוניות מרכזות</v>
      </c>
      <c r="G4376" t="str">
        <f>"700065"</f>
        <v>700065</v>
      </c>
      <c r="H4376" t="str">
        <f>"אלתא מערכות בע""מ"</f>
        <v>אלתא מערכות בע"מ</v>
      </c>
      <c r="I4376" t="str">
        <f>"10"</f>
        <v>10</v>
      </c>
      <c r="J4376" t="str">
        <f>"OP-AR09107-2"</f>
        <v>OP-AR09107-2</v>
      </c>
      <c r="K4376" t="str">
        <f>"לוח AUX BOX מק""ט לקוח 1026L320-002"</f>
        <v>לוח AUX BOX מק"ט לקוח 1026L320-002</v>
      </c>
      <c r="L4376">
        <v>1</v>
      </c>
      <c r="M4376" t="str">
        <f>"יח"</f>
        <v>יח</v>
      </c>
      <c r="N4376">
        <v>1</v>
      </c>
      <c r="O4376" t="str">
        <f>"יח"</f>
        <v>יח</v>
      </c>
      <c r="P4376" s="2">
        <v>11263.95</v>
      </c>
      <c r="Q4376" t="str">
        <f>"$"</f>
        <v>$</v>
      </c>
      <c r="R4376" t="str">
        <f>"הזמנה"</f>
        <v>הזמנה</v>
      </c>
      <c r="S4376">
        <v>0</v>
      </c>
      <c r="T4376" s="2">
        <v>11263.95</v>
      </c>
      <c r="U4376">
        <v>0</v>
      </c>
      <c r="V4376" s="2">
        <v>11263.95</v>
      </c>
      <c r="W4376" t="str">
        <f>"$"</f>
        <v>$</v>
      </c>
      <c r="X4376">
        <v>0</v>
      </c>
      <c r="Y4376">
        <v>0</v>
      </c>
      <c r="Z4376">
        <v>0</v>
      </c>
      <c r="AA4376" t="str">
        <f>"Y"</f>
        <v>Y</v>
      </c>
      <c r="AB4376" t="str">
        <f>"SO150003697"</f>
        <v>SO150003697</v>
      </c>
      <c r="AC4376">
        <v>12</v>
      </c>
      <c r="AD4376" s="1">
        <v>42283</v>
      </c>
      <c r="AE4376" t="str">
        <f>"SH17001558"</f>
        <v>SH17001558</v>
      </c>
      <c r="AF4376" t="str">
        <f>"משלוחים ללקוח"</f>
        <v>משלוחים ללקוח</v>
      </c>
      <c r="AG4376" s="1">
        <v>42914</v>
      </c>
      <c r="AM4376" t="str">
        <f>"10"</f>
        <v>10</v>
      </c>
      <c r="AN4376" t="str">
        <f>"500000"</f>
        <v>500000</v>
      </c>
      <c r="AO4376" t="str">
        <f>"הכנסות  מלקוחות"</f>
        <v>הכנסות  מלקוחות</v>
      </c>
      <c r="AQ4376" t="str">
        <f>"007"</f>
        <v>007</v>
      </c>
      <c r="AR4376">
        <v>0</v>
      </c>
      <c r="AS4376">
        <v>0</v>
      </c>
      <c r="AT4376">
        <v>3.5209999999999999</v>
      </c>
      <c r="AX4376" t="str">
        <f>"E000200592"</f>
        <v>E000200592</v>
      </c>
      <c r="BD4376" t="str">
        <f>"רוני דידי"</f>
        <v>רוני דידי</v>
      </c>
    </row>
    <row r="4377" spans="1:56" x14ac:dyDescent="0.3">
      <c r="A4377" s="1">
        <v>42915</v>
      </c>
      <c r="B4377" t="str">
        <f>"SI176000952"</f>
        <v>SI176000952</v>
      </c>
      <c r="C4377" t="str">
        <f>"PR15003237"</f>
        <v>PR15003237</v>
      </c>
      <c r="E4377" t="str">
        <f>"Y"</f>
        <v>Y</v>
      </c>
      <c r="F4377" t="str">
        <f>"חשבוניות מרכזות"</f>
        <v>חשבוניות מרכזות</v>
      </c>
      <c r="G4377" t="str">
        <f>"700065"</f>
        <v>700065</v>
      </c>
      <c r="H4377" t="str">
        <f>"אלתא מערכות בע""מ"</f>
        <v>אלתא מערכות בע"מ</v>
      </c>
      <c r="I4377" t="str">
        <f>"10"</f>
        <v>10</v>
      </c>
      <c r="J4377" t="str">
        <f>"OP-AR09107-2"</f>
        <v>OP-AR09107-2</v>
      </c>
      <c r="K4377" t="str">
        <f>"לוח AUX BOX מק""ט לקוח 1026L320-002"</f>
        <v>לוח AUX BOX מק"ט לקוח 1026L320-002</v>
      </c>
      <c r="L4377">
        <v>1</v>
      </c>
      <c r="M4377" t="str">
        <f>"יח"</f>
        <v>יח</v>
      </c>
      <c r="N4377">
        <v>1</v>
      </c>
      <c r="O4377" t="str">
        <f>"יח"</f>
        <v>יח</v>
      </c>
      <c r="P4377" s="2">
        <v>11263.95</v>
      </c>
      <c r="Q4377" t="str">
        <f>"$"</f>
        <v>$</v>
      </c>
      <c r="R4377" t="str">
        <f>"הזמנה"</f>
        <v>הזמנה</v>
      </c>
      <c r="S4377">
        <v>0</v>
      </c>
      <c r="T4377" s="2">
        <v>11263.95</v>
      </c>
      <c r="U4377">
        <v>0</v>
      </c>
      <c r="V4377" s="2">
        <v>11263.95</v>
      </c>
      <c r="W4377" t="str">
        <f>"$"</f>
        <v>$</v>
      </c>
      <c r="X4377">
        <v>0</v>
      </c>
      <c r="Y4377">
        <v>0</v>
      </c>
      <c r="Z4377">
        <v>0</v>
      </c>
      <c r="AA4377" t="str">
        <f>"Y"</f>
        <v>Y</v>
      </c>
      <c r="AB4377" t="str">
        <f>"SO150003697"</f>
        <v>SO150003697</v>
      </c>
      <c r="AC4377">
        <v>13</v>
      </c>
      <c r="AD4377" s="1">
        <v>42283</v>
      </c>
      <c r="AE4377" t="str">
        <f>"SH17001558"</f>
        <v>SH17001558</v>
      </c>
      <c r="AF4377" t="str">
        <f>"משלוחים ללקוח"</f>
        <v>משלוחים ללקוח</v>
      </c>
      <c r="AG4377" s="1">
        <v>42914</v>
      </c>
      <c r="AM4377" t="str">
        <f>"10"</f>
        <v>10</v>
      </c>
      <c r="AN4377" t="str">
        <f>"500000"</f>
        <v>500000</v>
      </c>
      <c r="AO4377" t="str">
        <f>"הכנסות  מלקוחות"</f>
        <v>הכנסות  מלקוחות</v>
      </c>
      <c r="AQ4377" t="str">
        <f>"007"</f>
        <v>007</v>
      </c>
      <c r="AR4377">
        <v>0</v>
      </c>
      <c r="AS4377">
        <v>0</v>
      </c>
      <c r="AT4377">
        <v>3.5209999999999999</v>
      </c>
      <c r="AX4377" t="str">
        <f>"E000200592"</f>
        <v>E000200592</v>
      </c>
      <c r="BD4377" t="str">
        <f>"רוני דידי"</f>
        <v>רוני דידי</v>
      </c>
    </row>
    <row r="4378" spans="1:56" x14ac:dyDescent="0.3">
      <c r="A4378" s="1">
        <v>42915</v>
      </c>
      <c r="B4378" t="str">
        <f>"SI176000952"</f>
        <v>SI176000952</v>
      </c>
      <c r="C4378" t="str">
        <f>"PR15003237"</f>
        <v>PR15003237</v>
      </c>
      <c r="E4378" t="str">
        <f>"Y"</f>
        <v>Y</v>
      </c>
      <c r="F4378" t="str">
        <f>"חשבוניות מרכזות"</f>
        <v>חשבוניות מרכזות</v>
      </c>
      <c r="G4378" t="str">
        <f>"700065"</f>
        <v>700065</v>
      </c>
      <c r="H4378" t="str">
        <f>"אלתא מערכות בע""מ"</f>
        <v>אלתא מערכות בע"מ</v>
      </c>
      <c r="I4378" t="str">
        <f>"10"</f>
        <v>10</v>
      </c>
      <c r="J4378" t="str">
        <f>"OP-AR09107-2"</f>
        <v>OP-AR09107-2</v>
      </c>
      <c r="K4378" t="str">
        <f>"לוח AUX BOX מק""ט לקוח 1026L320-002"</f>
        <v>לוח AUX BOX מק"ט לקוח 1026L320-002</v>
      </c>
      <c r="L4378">
        <v>1</v>
      </c>
      <c r="M4378" t="str">
        <f>"יח"</f>
        <v>יח</v>
      </c>
      <c r="N4378">
        <v>1</v>
      </c>
      <c r="O4378" t="str">
        <f>"יח"</f>
        <v>יח</v>
      </c>
      <c r="P4378" s="2">
        <v>11263.95</v>
      </c>
      <c r="Q4378" t="str">
        <f>"$"</f>
        <v>$</v>
      </c>
      <c r="R4378" t="str">
        <f>"הזמנה"</f>
        <v>הזמנה</v>
      </c>
      <c r="S4378">
        <v>0</v>
      </c>
      <c r="T4378" s="2">
        <v>11263.95</v>
      </c>
      <c r="U4378">
        <v>0</v>
      </c>
      <c r="V4378" s="2">
        <v>11263.95</v>
      </c>
      <c r="W4378" t="str">
        <f>"$"</f>
        <v>$</v>
      </c>
      <c r="X4378">
        <v>0</v>
      </c>
      <c r="Y4378">
        <v>0</v>
      </c>
      <c r="Z4378">
        <v>0</v>
      </c>
      <c r="AA4378" t="str">
        <f>"Y"</f>
        <v>Y</v>
      </c>
      <c r="AB4378" t="str">
        <f>"SO150003697"</f>
        <v>SO150003697</v>
      </c>
      <c r="AC4378">
        <v>14</v>
      </c>
      <c r="AD4378" s="1">
        <v>42283</v>
      </c>
      <c r="AE4378" t="str">
        <f>"SH17001558"</f>
        <v>SH17001558</v>
      </c>
      <c r="AF4378" t="str">
        <f>"משלוחים ללקוח"</f>
        <v>משלוחים ללקוח</v>
      </c>
      <c r="AG4378" s="1">
        <v>42914</v>
      </c>
      <c r="AM4378" t="str">
        <f>"10"</f>
        <v>10</v>
      </c>
      <c r="AN4378" t="str">
        <f>"500000"</f>
        <v>500000</v>
      </c>
      <c r="AO4378" t="str">
        <f>"הכנסות  מלקוחות"</f>
        <v>הכנסות  מלקוחות</v>
      </c>
      <c r="AQ4378" t="str">
        <f>"007"</f>
        <v>007</v>
      </c>
      <c r="AR4378">
        <v>0</v>
      </c>
      <c r="AS4378">
        <v>0</v>
      </c>
      <c r="AT4378">
        <v>3.5209999999999999</v>
      </c>
      <c r="AX4378" t="str">
        <f>"E000200592"</f>
        <v>E000200592</v>
      </c>
      <c r="BD4378" t="str">
        <f>"רוני דידי"</f>
        <v>רוני דידי</v>
      </c>
    </row>
    <row r="4379" spans="1:56" x14ac:dyDescent="0.3">
      <c r="A4379" s="1">
        <v>42915</v>
      </c>
      <c r="B4379" t="str">
        <f>"SI176000952"</f>
        <v>SI176000952</v>
      </c>
      <c r="C4379" t="str">
        <f>"PR15003237"</f>
        <v>PR15003237</v>
      </c>
      <c r="E4379" t="str">
        <f>"Y"</f>
        <v>Y</v>
      </c>
      <c r="F4379" t="str">
        <f>"חשבוניות מרכזות"</f>
        <v>חשבוניות מרכזות</v>
      </c>
      <c r="G4379" t="str">
        <f>"700065"</f>
        <v>700065</v>
      </c>
      <c r="H4379" t="str">
        <f>"אלתא מערכות בע""מ"</f>
        <v>אלתא מערכות בע"מ</v>
      </c>
      <c r="I4379" t="str">
        <f>"10"</f>
        <v>10</v>
      </c>
      <c r="J4379" t="str">
        <f>"OP-AR09107-2"</f>
        <v>OP-AR09107-2</v>
      </c>
      <c r="K4379" t="str">
        <f>"לוח AUX BOX מק""ט לקוח 1026L320-002"</f>
        <v>לוח AUX BOX מק"ט לקוח 1026L320-002</v>
      </c>
      <c r="L4379">
        <v>1</v>
      </c>
      <c r="M4379" t="str">
        <f>"יח"</f>
        <v>יח</v>
      </c>
      <c r="N4379">
        <v>1</v>
      </c>
      <c r="O4379" t="str">
        <f>"יח"</f>
        <v>יח</v>
      </c>
      <c r="P4379" s="2">
        <v>11263.95</v>
      </c>
      <c r="Q4379" t="str">
        <f>"$"</f>
        <v>$</v>
      </c>
      <c r="R4379" t="str">
        <f>"הזמנה"</f>
        <v>הזמנה</v>
      </c>
      <c r="S4379">
        <v>0</v>
      </c>
      <c r="T4379" s="2">
        <v>11263.95</v>
      </c>
      <c r="U4379">
        <v>0</v>
      </c>
      <c r="V4379" s="2">
        <v>11263.95</v>
      </c>
      <c r="W4379" t="str">
        <f>"$"</f>
        <v>$</v>
      </c>
      <c r="X4379">
        <v>0</v>
      </c>
      <c r="Y4379">
        <v>0</v>
      </c>
      <c r="Z4379">
        <v>0</v>
      </c>
      <c r="AA4379" t="str">
        <f>"Y"</f>
        <v>Y</v>
      </c>
      <c r="AB4379" t="str">
        <f>"SO150003697"</f>
        <v>SO150003697</v>
      </c>
      <c r="AC4379">
        <v>15</v>
      </c>
      <c r="AD4379" s="1">
        <v>42283</v>
      </c>
      <c r="AE4379" t="str">
        <f>"SH17001558"</f>
        <v>SH17001558</v>
      </c>
      <c r="AF4379" t="str">
        <f>"משלוחים ללקוח"</f>
        <v>משלוחים ללקוח</v>
      </c>
      <c r="AG4379" s="1">
        <v>42914</v>
      </c>
      <c r="AM4379" t="str">
        <f>"10"</f>
        <v>10</v>
      </c>
      <c r="AN4379" t="str">
        <f>"500000"</f>
        <v>500000</v>
      </c>
      <c r="AO4379" t="str">
        <f>"הכנסות  מלקוחות"</f>
        <v>הכנסות  מלקוחות</v>
      </c>
      <c r="AQ4379" t="str">
        <f>"007"</f>
        <v>007</v>
      </c>
      <c r="AR4379">
        <v>0</v>
      </c>
      <c r="AS4379">
        <v>0</v>
      </c>
      <c r="AT4379">
        <v>3.5209999999999999</v>
      </c>
      <c r="AX4379" t="str">
        <f>"E000200592"</f>
        <v>E000200592</v>
      </c>
      <c r="BD4379" t="str">
        <f>"רוני דידי"</f>
        <v>רוני דידי</v>
      </c>
    </row>
    <row r="4380" spans="1:56" x14ac:dyDescent="0.3">
      <c r="A4380" s="1">
        <v>42915</v>
      </c>
      <c r="B4380" t="str">
        <f>"SI176000951"</f>
        <v>SI176000951</v>
      </c>
      <c r="C4380" t="str">
        <f>"PR17001406"</f>
        <v>PR17001406</v>
      </c>
      <c r="D4380" t="str">
        <f>"PR17001406"</f>
        <v>PR17001406</v>
      </c>
      <c r="E4380" t="str">
        <f>"Y"</f>
        <v>Y</v>
      </c>
      <c r="F4380" t="str">
        <f>"חשבוניות מרכזות"</f>
        <v>חשבוניות מרכזות</v>
      </c>
      <c r="G4380" t="str">
        <f>"700065"</f>
        <v>700065</v>
      </c>
      <c r="H4380" t="str">
        <f>"אלתא מערכות בע""מ"</f>
        <v>אלתא מערכות בע"מ</v>
      </c>
      <c r="I4380" t="str">
        <f>"10"</f>
        <v>10</v>
      </c>
      <c r="J4380" t="str">
        <f>"OP-AR00454"</f>
        <v>OP-AR00454</v>
      </c>
      <c r="K4380" t="str">
        <f>"PDU 380V/50HZ/3 PH AC POWER BOX"</f>
        <v>PDU 380V/50HZ/3 PH AC POWER BOX</v>
      </c>
      <c r="L4380">
        <v>3</v>
      </c>
      <c r="M4380" t="str">
        <f>"יח"</f>
        <v>יח</v>
      </c>
      <c r="N4380">
        <v>3</v>
      </c>
      <c r="O4380" t="str">
        <f>"יח"</f>
        <v>יח</v>
      </c>
      <c r="P4380" s="2">
        <v>1150</v>
      </c>
      <c r="Q4380" t="str">
        <f>"$"</f>
        <v>$</v>
      </c>
      <c r="R4380" t="str">
        <f>"הזמנה"</f>
        <v>הזמנה</v>
      </c>
      <c r="S4380">
        <v>0</v>
      </c>
      <c r="T4380" s="2">
        <v>3450</v>
      </c>
      <c r="U4380">
        <v>0</v>
      </c>
      <c r="V4380" s="2">
        <v>3450</v>
      </c>
      <c r="W4380" t="str">
        <f>"$"</f>
        <v>$</v>
      </c>
      <c r="X4380">
        <v>0</v>
      </c>
      <c r="Y4380">
        <v>0</v>
      </c>
      <c r="Z4380">
        <v>0</v>
      </c>
      <c r="AA4380" t="str">
        <f>"Y"</f>
        <v>Y</v>
      </c>
      <c r="AB4380" t="str">
        <f>"SO17000064"</f>
        <v>SO17000064</v>
      </c>
      <c r="AC4380">
        <v>2</v>
      </c>
      <c r="AD4380" s="1">
        <v>42768</v>
      </c>
      <c r="AE4380" t="str">
        <f>"SH17001508"</f>
        <v>SH17001508</v>
      </c>
      <c r="AF4380" t="str">
        <f>"משלוחים ללקוח"</f>
        <v>משלוחים ללקוח</v>
      </c>
      <c r="AG4380" s="1">
        <v>42911</v>
      </c>
      <c r="AM4380" t="str">
        <f>"10"</f>
        <v>10</v>
      </c>
      <c r="AN4380" t="str">
        <f>"500000"</f>
        <v>500000</v>
      </c>
      <c r="AO4380" t="str">
        <f>"הכנסות  מלקוחות"</f>
        <v>הכנסות  מלקוחות</v>
      </c>
      <c r="AQ4380" t="str">
        <f>"007"</f>
        <v>007</v>
      </c>
      <c r="AR4380">
        <v>0</v>
      </c>
      <c r="AS4380">
        <v>0</v>
      </c>
      <c r="AT4380">
        <v>3.5209999999999999</v>
      </c>
      <c r="AX4380" t="str">
        <f>"E000231439"</f>
        <v>E000231439</v>
      </c>
      <c r="BD4380" t="str">
        <f>"רוני דידי"</f>
        <v>רוני דידי</v>
      </c>
    </row>
    <row r="4381" spans="1:56" x14ac:dyDescent="0.3">
      <c r="A4381" s="1">
        <v>42915</v>
      </c>
      <c r="B4381" t="str">
        <f>"SI176000950"</f>
        <v>SI176000950</v>
      </c>
      <c r="C4381" t="str">
        <f>"PR17001489"</f>
        <v>PR17001489</v>
      </c>
      <c r="D4381" t="str">
        <f>"PR17001489"</f>
        <v>PR17001489</v>
      </c>
      <c r="E4381" t="str">
        <f>"Y"</f>
        <v>Y</v>
      </c>
      <c r="F4381" t="str">
        <f>"חשבוניות מרכזות"</f>
        <v>חשבוניות מרכזות</v>
      </c>
      <c r="G4381" t="str">
        <f>"700065"</f>
        <v>700065</v>
      </c>
      <c r="H4381" t="str">
        <f>"אלתא מערכות בע""מ"</f>
        <v>אלתא מערכות בע"מ</v>
      </c>
      <c r="I4381" t="str">
        <f>"10"</f>
        <v>10</v>
      </c>
      <c r="J4381" t="str">
        <f>"OP-AR00551"</f>
        <v>OP-AR00551</v>
      </c>
      <c r="K4381" t="str">
        <f>"רתמה 4005F226-001 HARNESS W0013-PEDESTAL TO JU"</f>
        <v>רתמה 4005F226-001 HARNESS W0013-PEDESTAL TO JU</v>
      </c>
      <c r="L4381">
        <v>11</v>
      </c>
      <c r="M4381" t="str">
        <f>"יח"</f>
        <v>יח</v>
      </c>
      <c r="N4381">
        <v>11</v>
      </c>
      <c r="O4381" t="str">
        <f>"יח"</f>
        <v>יח</v>
      </c>
      <c r="P4381">
        <v>400</v>
      </c>
      <c r="Q4381" t="str">
        <f>"$"</f>
        <v>$</v>
      </c>
      <c r="R4381" t="str">
        <f>"הזמנה"</f>
        <v>הזמנה</v>
      </c>
      <c r="S4381">
        <v>0</v>
      </c>
      <c r="T4381" s="2">
        <v>4400</v>
      </c>
      <c r="U4381">
        <v>0</v>
      </c>
      <c r="V4381" s="2">
        <v>4400</v>
      </c>
      <c r="W4381" t="str">
        <f>"$"</f>
        <v>$</v>
      </c>
      <c r="X4381">
        <v>0</v>
      </c>
      <c r="Y4381">
        <v>0</v>
      </c>
      <c r="Z4381">
        <v>0</v>
      </c>
      <c r="AA4381" t="str">
        <f>"Y"</f>
        <v>Y</v>
      </c>
      <c r="AB4381" t="str">
        <f>"SO17000165"</f>
        <v>SO17000165</v>
      </c>
      <c r="AC4381">
        <v>2</v>
      </c>
      <c r="AD4381" s="1">
        <v>42793</v>
      </c>
      <c r="AE4381" t="str">
        <f>"SH17001509"</f>
        <v>SH17001509</v>
      </c>
      <c r="AF4381" t="str">
        <f>"משלוחים ללקוח"</f>
        <v>משלוחים ללקוח</v>
      </c>
      <c r="AG4381" s="1">
        <v>42911</v>
      </c>
      <c r="AM4381" t="str">
        <f>"10"</f>
        <v>10</v>
      </c>
      <c r="AN4381" t="str">
        <f>"500000"</f>
        <v>500000</v>
      </c>
      <c r="AO4381" t="str">
        <f>"הכנסות  מלקוחות"</f>
        <v>הכנסות  מלקוחות</v>
      </c>
      <c r="AQ4381" t="str">
        <f>"017"</f>
        <v>017</v>
      </c>
      <c r="AR4381">
        <v>0</v>
      </c>
      <c r="AS4381">
        <v>0</v>
      </c>
      <c r="AT4381">
        <v>3.5209999999999999</v>
      </c>
      <c r="AX4381" t="str">
        <f>"E000233843"</f>
        <v>E000233843</v>
      </c>
      <c r="BD4381" t="str">
        <f>"שחר דאהמן"</f>
        <v>שחר דאהמן</v>
      </c>
    </row>
    <row r="4382" spans="1:56" x14ac:dyDescent="0.3">
      <c r="A4382" s="1">
        <v>42915</v>
      </c>
      <c r="B4382" t="str">
        <f>"SI176000949"</f>
        <v>SI176000949</v>
      </c>
      <c r="C4382" t="str">
        <f>"PR17001453"</f>
        <v>PR17001453</v>
      </c>
      <c r="D4382" t="str">
        <f>"PR17001453"</f>
        <v>PR17001453</v>
      </c>
      <c r="E4382" t="str">
        <f>"Y"</f>
        <v>Y</v>
      </c>
      <c r="F4382" t="str">
        <f>"חשבוניות מרכזות"</f>
        <v>חשבוניות מרכזות</v>
      </c>
      <c r="G4382" t="str">
        <f>"700065"</f>
        <v>700065</v>
      </c>
      <c r="H4382" t="str">
        <f>"אלתא מערכות בע""מ"</f>
        <v>אלתא מערכות בע"מ</v>
      </c>
      <c r="I4382" t="str">
        <f>"10"</f>
        <v>10</v>
      </c>
      <c r="J4382" t="str">
        <f>"OP-AR00540"</f>
        <v>OP-AR00540</v>
      </c>
      <c r="K4382" t="str">
        <f>"רתמה 1032H441-002"</f>
        <v>רתמה 1032H441-002</v>
      </c>
      <c r="L4382">
        <v>1</v>
      </c>
      <c r="M4382" t="str">
        <f>"יח"</f>
        <v>יח</v>
      </c>
      <c r="N4382">
        <v>1</v>
      </c>
      <c r="O4382" t="str">
        <f>"יח"</f>
        <v>יח</v>
      </c>
      <c r="P4382">
        <v>325</v>
      </c>
      <c r="Q4382" t="str">
        <f>"$"</f>
        <v>$</v>
      </c>
      <c r="R4382" t="str">
        <f>"הזמנה"</f>
        <v>הזמנה</v>
      </c>
      <c r="S4382">
        <v>0</v>
      </c>
      <c r="T4382">
        <v>325</v>
      </c>
      <c r="U4382">
        <v>0</v>
      </c>
      <c r="V4382">
        <v>325</v>
      </c>
      <c r="W4382" t="str">
        <f>"$"</f>
        <v>$</v>
      </c>
      <c r="X4382">
        <v>0</v>
      </c>
      <c r="Y4382">
        <v>0</v>
      </c>
      <c r="Z4382">
        <v>0</v>
      </c>
      <c r="AA4382" t="str">
        <f>"Y"</f>
        <v>Y</v>
      </c>
      <c r="AB4382" t="str">
        <f>"SO17000180"</f>
        <v>SO17000180</v>
      </c>
      <c r="AC4382">
        <v>8</v>
      </c>
      <c r="AD4382" s="1">
        <v>42799</v>
      </c>
      <c r="AE4382" t="str">
        <f>"SH17001529"</f>
        <v>SH17001529</v>
      </c>
      <c r="AF4382" t="str">
        <f>"משלוחים ללקוח"</f>
        <v>משלוחים ללקוח</v>
      </c>
      <c r="AG4382" s="1">
        <v>42912</v>
      </c>
      <c r="AM4382" t="str">
        <f>"10"</f>
        <v>10</v>
      </c>
      <c r="AN4382" t="str">
        <f>"500000"</f>
        <v>500000</v>
      </c>
      <c r="AO4382" t="str">
        <f>"הכנסות  מלקוחות"</f>
        <v>הכנסות  מלקוחות</v>
      </c>
      <c r="AQ4382" t="str">
        <f>"004"</f>
        <v>004</v>
      </c>
      <c r="AR4382">
        <v>0</v>
      </c>
      <c r="AS4382">
        <v>0</v>
      </c>
      <c r="AT4382">
        <v>3.5209999999999999</v>
      </c>
      <c r="AX4382" t="str">
        <f>"E000233577"</f>
        <v>E000233577</v>
      </c>
      <c r="BD4382" t="str">
        <f>"איציק חדד"</f>
        <v>איציק חדד</v>
      </c>
    </row>
    <row r="4383" spans="1:56" x14ac:dyDescent="0.3">
      <c r="A4383" s="1">
        <v>42915</v>
      </c>
      <c r="B4383" t="str">
        <f>"SI176000949"</f>
        <v>SI176000949</v>
      </c>
      <c r="C4383" t="str">
        <f>"PR17001453"</f>
        <v>PR17001453</v>
      </c>
      <c r="D4383" t="str">
        <f>"PR17001453"</f>
        <v>PR17001453</v>
      </c>
      <c r="E4383" t="str">
        <f>"Y"</f>
        <v>Y</v>
      </c>
      <c r="F4383" t="str">
        <f>"חשבוניות מרכזות"</f>
        <v>חשבוניות מרכזות</v>
      </c>
      <c r="G4383" t="str">
        <f>"700065"</f>
        <v>700065</v>
      </c>
      <c r="H4383" t="str">
        <f>"אלתא מערכות בע""מ"</f>
        <v>אלתא מערכות בע"מ</v>
      </c>
      <c r="I4383" t="str">
        <f>"10"</f>
        <v>10</v>
      </c>
      <c r="J4383" t="str">
        <f>"OP-AR00540"</f>
        <v>OP-AR00540</v>
      </c>
      <c r="K4383" t="str">
        <f>"רתמה 1032H441-002"</f>
        <v>רתמה 1032H441-002</v>
      </c>
      <c r="L4383">
        <v>5</v>
      </c>
      <c r="M4383" t="str">
        <f>"יח"</f>
        <v>יח</v>
      </c>
      <c r="N4383">
        <v>5</v>
      </c>
      <c r="O4383" t="str">
        <f>"יח"</f>
        <v>יח</v>
      </c>
      <c r="P4383">
        <v>325</v>
      </c>
      <c r="Q4383" t="str">
        <f>"$"</f>
        <v>$</v>
      </c>
      <c r="R4383" t="str">
        <f>"הזמנה"</f>
        <v>הזמנה</v>
      </c>
      <c r="S4383">
        <v>0</v>
      </c>
      <c r="T4383" s="2">
        <v>1625</v>
      </c>
      <c r="U4383">
        <v>0</v>
      </c>
      <c r="V4383" s="2">
        <v>1625</v>
      </c>
      <c r="W4383" t="str">
        <f>"$"</f>
        <v>$</v>
      </c>
      <c r="X4383">
        <v>0</v>
      </c>
      <c r="Y4383">
        <v>0</v>
      </c>
      <c r="Z4383">
        <v>0</v>
      </c>
      <c r="AA4383" t="str">
        <f>"Y"</f>
        <v>Y</v>
      </c>
      <c r="AB4383" t="str">
        <f>"SO17000180"</f>
        <v>SO17000180</v>
      </c>
      <c r="AC4383">
        <v>9</v>
      </c>
      <c r="AD4383" s="1">
        <v>42799</v>
      </c>
      <c r="AE4383" t="str">
        <f>"SH17001529"</f>
        <v>SH17001529</v>
      </c>
      <c r="AF4383" t="str">
        <f>"משלוחים ללקוח"</f>
        <v>משלוחים ללקוח</v>
      </c>
      <c r="AG4383" s="1">
        <v>42912</v>
      </c>
      <c r="AM4383" t="str">
        <f>"10"</f>
        <v>10</v>
      </c>
      <c r="AN4383" t="str">
        <f>"500000"</f>
        <v>500000</v>
      </c>
      <c r="AO4383" t="str">
        <f>"הכנסות  מלקוחות"</f>
        <v>הכנסות  מלקוחות</v>
      </c>
      <c r="AQ4383" t="str">
        <f>"004"</f>
        <v>004</v>
      </c>
      <c r="AR4383">
        <v>0</v>
      </c>
      <c r="AS4383">
        <v>0</v>
      </c>
      <c r="AT4383">
        <v>3.5209999999999999</v>
      </c>
      <c r="AX4383" t="str">
        <f>"E000233577"</f>
        <v>E000233577</v>
      </c>
      <c r="BD4383" t="str">
        <f>"איציק חדד"</f>
        <v>איציק חדד</v>
      </c>
    </row>
    <row r="4384" spans="1:56" x14ac:dyDescent="0.3">
      <c r="A4384" s="1">
        <v>42915</v>
      </c>
      <c r="B4384" t="str">
        <f>"SI176000949"</f>
        <v>SI176000949</v>
      </c>
      <c r="C4384" t="str">
        <f>"PR17001453"</f>
        <v>PR17001453</v>
      </c>
      <c r="D4384" t="str">
        <f>"PR17001453"</f>
        <v>PR17001453</v>
      </c>
      <c r="E4384" t="str">
        <f>"Y"</f>
        <v>Y</v>
      </c>
      <c r="F4384" t="str">
        <f>"חשבוניות מרכזות"</f>
        <v>חשבוניות מרכזות</v>
      </c>
      <c r="G4384" t="str">
        <f>"700065"</f>
        <v>700065</v>
      </c>
      <c r="H4384" t="str">
        <f>"אלתא מערכות בע""מ"</f>
        <v>אלתא מערכות בע"מ</v>
      </c>
      <c r="I4384" t="str">
        <f>"10"</f>
        <v>10</v>
      </c>
      <c r="J4384" t="str">
        <f>"OP-AR00540"</f>
        <v>OP-AR00540</v>
      </c>
      <c r="K4384" t="str">
        <f>"רתמה 1032H441-002"</f>
        <v>רתמה 1032H441-002</v>
      </c>
      <c r="L4384">
        <v>5</v>
      </c>
      <c r="M4384" t="str">
        <f>"יח"</f>
        <v>יח</v>
      </c>
      <c r="N4384">
        <v>5</v>
      </c>
      <c r="O4384" t="str">
        <f>"יח"</f>
        <v>יח</v>
      </c>
      <c r="P4384">
        <v>325</v>
      </c>
      <c r="Q4384" t="str">
        <f>"$"</f>
        <v>$</v>
      </c>
      <c r="R4384" t="str">
        <f>"הזמנה"</f>
        <v>הזמנה</v>
      </c>
      <c r="S4384">
        <v>0</v>
      </c>
      <c r="T4384" s="2">
        <v>1625</v>
      </c>
      <c r="U4384">
        <v>0</v>
      </c>
      <c r="V4384" s="2">
        <v>1625</v>
      </c>
      <c r="W4384" t="str">
        <f>"$"</f>
        <v>$</v>
      </c>
      <c r="X4384">
        <v>0</v>
      </c>
      <c r="Y4384">
        <v>0</v>
      </c>
      <c r="Z4384">
        <v>0</v>
      </c>
      <c r="AA4384" t="str">
        <f>"Y"</f>
        <v>Y</v>
      </c>
      <c r="AB4384" t="str">
        <f>"SO17000180"</f>
        <v>SO17000180</v>
      </c>
      <c r="AC4384">
        <v>7</v>
      </c>
      <c r="AD4384" s="1">
        <v>42799</v>
      </c>
      <c r="AE4384" t="str">
        <f>"SH17001507"</f>
        <v>SH17001507</v>
      </c>
      <c r="AF4384" t="str">
        <f>"משלוחים ללקוח"</f>
        <v>משלוחים ללקוח</v>
      </c>
      <c r="AG4384" s="1">
        <v>42911</v>
      </c>
      <c r="AM4384" t="str">
        <f>"10"</f>
        <v>10</v>
      </c>
      <c r="AN4384" t="str">
        <f>"500000"</f>
        <v>500000</v>
      </c>
      <c r="AO4384" t="str">
        <f>"הכנסות  מלקוחות"</f>
        <v>הכנסות  מלקוחות</v>
      </c>
      <c r="AQ4384" t="str">
        <f>"004"</f>
        <v>004</v>
      </c>
      <c r="AR4384">
        <v>0</v>
      </c>
      <c r="AS4384">
        <v>0</v>
      </c>
      <c r="AT4384">
        <v>3.5209999999999999</v>
      </c>
      <c r="AX4384" t="str">
        <f>"E000233577"</f>
        <v>E000233577</v>
      </c>
      <c r="BD4384" t="str">
        <f>"איציק חדד"</f>
        <v>איציק חדד</v>
      </c>
    </row>
    <row r="4385" spans="1:56" x14ac:dyDescent="0.3">
      <c r="A4385" s="1">
        <v>42915</v>
      </c>
      <c r="B4385" t="str">
        <f>"SI176000949"</f>
        <v>SI176000949</v>
      </c>
      <c r="C4385" t="str">
        <f>"PR17001453"</f>
        <v>PR17001453</v>
      </c>
      <c r="D4385" t="str">
        <f>"PR17001453"</f>
        <v>PR17001453</v>
      </c>
      <c r="E4385" t="str">
        <f>"Y"</f>
        <v>Y</v>
      </c>
      <c r="F4385" t="str">
        <f>"חשבוניות מרכזות"</f>
        <v>חשבוניות מרכזות</v>
      </c>
      <c r="G4385" t="str">
        <f>"700065"</f>
        <v>700065</v>
      </c>
      <c r="H4385" t="str">
        <f>"אלתא מערכות בע""מ"</f>
        <v>אלתא מערכות בע"מ</v>
      </c>
      <c r="I4385" t="str">
        <f>"10"</f>
        <v>10</v>
      </c>
      <c r="J4385" t="str">
        <f>"OP-AR00540"</f>
        <v>OP-AR00540</v>
      </c>
      <c r="K4385" t="str">
        <f>"רתמה 1032H441-002"</f>
        <v>רתמה 1032H441-002</v>
      </c>
      <c r="L4385">
        <v>4</v>
      </c>
      <c r="M4385" t="str">
        <f>"יח"</f>
        <v>יח</v>
      </c>
      <c r="N4385">
        <v>4</v>
      </c>
      <c r="O4385" t="str">
        <f>"יח"</f>
        <v>יח</v>
      </c>
      <c r="P4385">
        <v>325</v>
      </c>
      <c r="Q4385" t="str">
        <f>"$"</f>
        <v>$</v>
      </c>
      <c r="R4385" t="str">
        <f>"הזמנה"</f>
        <v>הזמנה</v>
      </c>
      <c r="S4385">
        <v>0</v>
      </c>
      <c r="T4385" s="2">
        <v>1300</v>
      </c>
      <c r="U4385">
        <v>0</v>
      </c>
      <c r="V4385" s="2">
        <v>1300</v>
      </c>
      <c r="W4385" t="str">
        <f>"$"</f>
        <v>$</v>
      </c>
      <c r="X4385">
        <v>0</v>
      </c>
      <c r="Y4385">
        <v>0</v>
      </c>
      <c r="Z4385">
        <v>0</v>
      </c>
      <c r="AA4385" t="str">
        <f>"Y"</f>
        <v>Y</v>
      </c>
      <c r="AB4385" t="str">
        <f>"SO17000180"</f>
        <v>SO17000180</v>
      </c>
      <c r="AC4385">
        <v>8</v>
      </c>
      <c r="AD4385" s="1">
        <v>42799</v>
      </c>
      <c r="AE4385" t="str">
        <f>"SH17001507"</f>
        <v>SH17001507</v>
      </c>
      <c r="AF4385" t="str">
        <f>"משלוחים ללקוח"</f>
        <v>משלוחים ללקוח</v>
      </c>
      <c r="AG4385" s="1">
        <v>42911</v>
      </c>
      <c r="AM4385" t="str">
        <f>"10"</f>
        <v>10</v>
      </c>
      <c r="AN4385" t="str">
        <f>"500000"</f>
        <v>500000</v>
      </c>
      <c r="AO4385" t="str">
        <f>"הכנסות  מלקוחות"</f>
        <v>הכנסות  מלקוחות</v>
      </c>
      <c r="AQ4385" t="str">
        <f>"004"</f>
        <v>004</v>
      </c>
      <c r="AR4385">
        <v>0</v>
      </c>
      <c r="AS4385">
        <v>0</v>
      </c>
      <c r="AT4385">
        <v>3.5209999999999999</v>
      </c>
      <c r="AX4385" t="str">
        <f>"E000233577"</f>
        <v>E000233577</v>
      </c>
      <c r="BD4385" t="str">
        <f>"איציק חדד"</f>
        <v>איציק חדד</v>
      </c>
    </row>
    <row r="4386" spans="1:56" x14ac:dyDescent="0.3">
      <c r="A4386" s="1">
        <v>42912</v>
      </c>
      <c r="B4386" t="str">
        <f>"SI176000930"</f>
        <v>SI176000930</v>
      </c>
      <c r="C4386" t="str">
        <f>"PR16000776"</f>
        <v>PR16000776</v>
      </c>
      <c r="D4386" t="str">
        <f>"PR16000776"</f>
        <v>PR16000776</v>
      </c>
      <c r="E4386" t="str">
        <f>"Y"</f>
        <v>Y</v>
      </c>
      <c r="F4386" t="str">
        <f>"חשבוניות מרכזות"</f>
        <v>חשבוניות מרכזות</v>
      </c>
      <c r="G4386" t="str">
        <f>"700065"</f>
        <v>700065</v>
      </c>
      <c r="H4386" t="str">
        <f>"אלתא מערכות בע""מ"</f>
        <v>אלתא מערכות בע"מ</v>
      </c>
      <c r="I4386" t="str">
        <f>"10"</f>
        <v>10</v>
      </c>
      <c r="J4386" t="str">
        <f>"000"</f>
        <v>000</v>
      </c>
      <c r="K4386" t="str">
        <f>"התקנת מערכת כוח באלתא"</f>
        <v>התקנת מערכת כוח באלתא</v>
      </c>
      <c r="L4386">
        <v>1</v>
      </c>
      <c r="M4386" t="str">
        <f>"יח"</f>
        <v>יח</v>
      </c>
      <c r="N4386">
        <v>1</v>
      </c>
      <c r="O4386" t="str">
        <f>"יח"</f>
        <v>יח</v>
      </c>
      <c r="P4386" s="2">
        <v>2000</v>
      </c>
      <c r="Q4386" t="str">
        <f>"$"</f>
        <v>$</v>
      </c>
      <c r="R4386" t="str">
        <f>"הזמנה"</f>
        <v>הזמנה</v>
      </c>
      <c r="S4386">
        <v>0</v>
      </c>
      <c r="T4386" s="2">
        <v>2000</v>
      </c>
      <c r="U4386">
        <v>0</v>
      </c>
      <c r="V4386" s="2">
        <v>2000</v>
      </c>
      <c r="W4386" t="str">
        <f>"$"</f>
        <v>$</v>
      </c>
      <c r="X4386">
        <v>0</v>
      </c>
      <c r="Y4386">
        <v>0</v>
      </c>
      <c r="Z4386">
        <v>0</v>
      </c>
      <c r="AA4386" t="str">
        <f>"Y"</f>
        <v>Y</v>
      </c>
      <c r="AB4386" t="str">
        <f>"SO160000582"</f>
        <v>SO160000582</v>
      </c>
      <c r="AC4386">
        <v>6</v>
      </c>
      <c r="AD4386" s="1">
        <v>42590</v>
      </c>
      <c r="AM4386" t="str">
        <f>"10"</f>
        <v>10</v>
      </c>
      <c r="AN4386" t="str">
        <f>"500000"</f>
        <v>500000</v>
      </c>
      <c r="AO4386" t="str">
        <f>"הכנסות  מלקוחות"</f>
        <v>הכנסות  מלקוחות</v>
      </c>
      <c r="AQ4386" t="str">
        <f>"007"</f>
        <v>007</v>
      </c>
      <c r="AR4386">
        <v>0</v>
      </c>
      <c r="AS4386">
        <v>0</v>
      </c>
      <c r="AT4386">
        <v>3.5409999999999999</v>
      </c>
      <c r="AX4386" t="str">
        <f>"E000221675"</f>
        <v>E000221675</v>
      </c>
      <c r="BD4386" t="str">
        <f>"רוני דידי"</f>
        <v>רוני דידי</v>
      </c>
    </row>
    <row r="4387" spans="1:56" x14ac:dyDescent="0.3">
      <c r="A4387" s="1">
        <v>42909</v>
      </c>
      <c r="B4387" t="str">
        <f>"SI176000926"</f>
        <v>SI176000926</v>
      </c>
      <c r="C4387" t="str">
        <f>"PR16000776"</f>
        <v>PR16000776</v>
      </c>
      <c r="E4387" t="str">
        <f>"Y"</f>
        <v>Y</v>
      </c>
      <c r="F4387" t="str">
        <f>"חשבוניות מרכזות"</f>
        <v>חשבוניות מרכזות</v>
      </c>
      <c r="G4387" t="str">
        <f>"700065"</f>
        <v>700065</v>
      </c>
      <c r="H4387" t="str">
        <f>"אלתא מערכות בע""מ"</f>
        <v>אלתא מערכות בע"מ</v>
      </c>
      <c r="I4387" t="str">
        <f>"10"</f>
        <v>10</v>
      </c>
      <c r="J4387" t="str">
        <f>"OP-AR00402"</f>
        <v>OP-AR00402</v>
      </c>
      <c r="K4387" t="str">
        <f>"RADAR POWER SYSTEM 1039R900-001"</f>
        <v>RADAR POWER SYSTEM 1039R900-001</v>
      </c>
      <c r="L4387">
        <v>-1</v>
      </c>
      <c r="M4387" t="str">
        <f>"יח"</f>
        <v>יח</v>
      </c>
      <c r="N4387">
        <v>-1</v>
      </c>
      <c r="O4387" t="str">
        <f>"יח"</f>
        <v>יח</v>
      </c>
      <c r="P4387" s="2">
        <v>207191.66</v>
      </c>
      <c r="Q4387" t="str">
        <f>"$"</f>
        <v>$</v>
      </c>
      <c r="R4387" t="str">
        <f>"הזמנה"</f>
        <v>הזמנה</v>
      </c>
      <c r="S4387">
        <v>0</v>
      </c>
      <c r="T4387" s="2">
        <v>-207191.66</v>
      </c>
      <c r="U4387">
        <v>0</v>
      </c>
      <c r="V4387" s="2">
        <v>-207191.66</v>
      </c>
      <c r="W4387" t="str">
        <f>"$"</f>
        <v>$</v>
      </c>
      <c r="X4387">
        <v>0</v>
      </c>
      <c r="Y4387">
        <v>0</v>
      </c>
      <c r="Z4387">
        <v>0</v>
      </c>
      <c r="AA4387" t="str">
        <f>"Y"</f>
        <v>Y</v>
      </c>
      <c r="AC4387">
        <v>0</v>
      </c>
      <c r="AM4387" t="str">
        <f>"10"</f>
        <v>10</v>
      </c>
      <c r="AN4387" t="str">
        <f>"500000"</f>
        <v>500000</v>
      </c>
      <c r="AO4387" t="str">
        <f>"הכנסות  מלקוחות"</f>
        <v>הכנסות  מלקוחות</v>
      </c>
      <c r="AQ4387" t="str">
        <f>"007"</f>
        <v>007</v>
      </c>
      <c r="AR4387">
        <v>0</v>
      </c>
      <c r="AS4387">
        <v>0</v>
      </c>
      <c r="AT4387">
        <v>3.5409999999999999</v>
      </c>
      <c r="BB4387" t="str">
        <f>"Y"</f>
        <v>Y</v>
      </c>
      <c r="BD4387" t="str">
        <f>"רוני דידי"</f>
        <v>רוני דידי</v>
      </c>
    </row>
    <row r="4388" spans="1:56" x14ac:dyDescent="0.3">
      <c r="A4388" s="1">
        <v>42909</v>
      </c>
      <c r="B4388" t="str">
        <f>"SI176000924"</f>
        <v>SI176000924</v>
      </c>
      <c r="C4388" t="str">
        <f>"PR16000776"</f>
        <v>PR16000776</v>
      </c>
      <c r="E4388" t="str">
        <f>"Y"</f>
        <v>Y</v>
      </c>
      <c r="F4388" t="str">
        <f>"חשבוניות מרכזות"</f>
        <v>חשבוניות מרכזות</v>
      </c>
      <c r="G4388" t="str">
        <f>"700065"</f>
        <v>700065</v>
      </c>
      <c r="H4388" t="str">
        <f>"אלתא מערכות בע""מ"</f>
        <v>אלתא מערכות בע"מ</v>
      </c>
      <c r="I4388" t="str">
        <f>"10"</f>
        <v>10</v>
      </c>
      <c r="J4388" t="str">
        <f>"OP-AR00402"</f>
        <v>OP-AR00402</v>
      </c>
      <c r="K4388" t="str">
        <f>"RADAR POWER SYSTEM 1039R900-001"</f>
        <v>RADAR POWER SYSTEM 1039R900-001</v>
      </c>
      <c r="L4388">
        <v>1</v>
      </c>
      <c r="M4388" t="str">
        <f>"יח"</f>
        <v>יח</v>
      </c>
      <c r="N4388">
        <v>1</v>
      </c>
      <c r="O4388" t="str">
        <f>"יח"</f>
        <v>יח</v>
      </c>
      <c r="P4388" s="2">
        <v>207191.66</v>
      </c>
      <c r="Q4388" t="str">
        <f>"$"</f>
        <v>$</v>
      </c>
      <c r="R4388" t="str">
        <f>"הזמנה"</f>
        <v>הזמנה</v>
      </c>
      <c r="S4388">
        <v>0</v>
      </c>
      <c r="T4388" s="2">
        <v>207191.66</v>
      </c>
      <c r="U4388">
        <v>0</v>
      </c>
      <c r="V4388" s="2">
        <v>207191.66</v>
      </c>
      <c r="W4388" t="str">
        <f>"$"</f>
        <v>$</v>
      </c>
      <c r="X4388">
        <v>0</v>
      </c>
      <c r="Y4388">
        <v>0</v>
      </c>
      <c r="Z4388">
        <v>0</v>
      </c>
      <c r="AA4388" t="str">
        <f>"Y"</f>
        <v>Y</v>
      </c>
      <c r="AC4388">
        <v>0</v>
      </c>
      <c r="AM4388" t="str">
        <f>"10"</f>
        <v>10</v>
      </c>
      <c r="AN4388" t="str">
        <f>"500000"</f>
        <v>500000</v>
      </c>
      <c r="AO4388" t="str">
        <f>"הכנסות  מלקוחות"</f>
        <v>הכנסות  מלקוחות</v>
      </c>
      <c r="AQ4388" t="str">
        <f>"007"</f>
        <v>007</v>
      </c>
      <c r="AR4388">
        <v>0</v>
      </c>
      <c r="AS4388">
        <v>0</v>
      </c>
      <c r="AT4388">
        <v>3.5409999999999999</v>
      </c>
      <c r="BB4388" t="str">
        <f>"Y"</f>
        <v>Y</v>
      </c>
      <c r="BD4388" t="str">
        <f>"רוני דידי"</f>
        <v>רוני דידי</v>
      </c>
    </row>
    <row r="4389" spans="1:56" x14ac:dyDescent="0.3">
      <c r="A4389" s="1">
        <v>42908</v>
      </c>
      <c r="B4389" t="str">
        <f>"SI176000928"</f>
        <v>SI176000928</v>
      </c>
      <c r="C4389" t="str">
        <f>"PR14001687"</f>
        <v>PR14001687</v>
      </c>
      <c r="D4389" t="str">
        <f>"PR14001687"</f>
        <v>PR14001687</v>
      </c>
      <c r="E4389" t="str">
        <f>"Y"</f>
        <v>Y</v>
      </c>
      <c r="F4389" t="str">
        <f>"חשבוניות מרכזות"</f>
        <v>חשבוניות מרכזות</v>
      </c>
      <c r="G4389" t="str">
        <f>"700065"</f>
        <v>700065</v>
      </c>
      <c r="H4389" t="str">
        <f>"אלתא מערכות בע""מ"</f>
        <v>אלתא מערכות בע"מ</v>
      </c>
      <c r="I4389" t="str">
        <f>"10"</f>
        <v>10</v>
      </c>
      <c r="J4389" t="str">
        <f>"OP-KT00031"</f>
        <v>OP-KT00031</v>
      </c>
      <c r="K4389" t="str">
        <f>"KIT CSV SPARE PARTS"</f>
        <v>KIT CSV SPARE PARTS</v>
      </c>
      <c r="L4389">
        <v>1</v>
      </c>
      <c r="M4389" t="str">
        <f>"יח"</f>
        <v>יח</v>
      </c>
      <c r="N4389">
        <v>1</v>
      </c>
      <c r="O4389" t="str">
        <f>"יח"</f>
        <v>יח</v>
      </c>
      <c r="P4389" s="2">
        <v>23086</v>
      </c>
      <c r="Q4389" t="str">
        <f>"$"</f>
        <v>$</v>
      </c>
      <c r="R4389" t="str">
        <f>"הזמנה"</f>
        <v>הזמנה</v>
      </c>
      <c r="S4389">
        <v>0</v>
      </c>
      <c r="T4389" s="2">
        <v>23086</v>
      </c>
      <c r="U4389">
        <v>0</v>
      </c>
      <c r="V4389" s="2">
        <v>23086</v>
      </c>
      <c r="W4389" t="str">
        <f>"$"</f>
        <v>$</v>
      </c>
      <c r="X4389">
        <v>0</v>
      </c>
      <c r="Y4389">
        <v>0</v>
      </c>
      <c r="Z4389">
        <v>0</v>
      </c>
      <c r="AA4389" t="str">
        <f>"Y"</f>
        <v>Y</v>
      </c>
      <c r="AB4389" t="str">
        <f>"SO140002001"</f>
        <v>SO140002001</v>
      </c>
      <c r="AC4389">
        <v>8</v>
      </c>
      <c r="AD4389" s="1">
        <v>41786</v>
      </c>
      <c r="AE4389" t="str">
        <f>"SH17001488"</f>
        <v>SH17001488</v>
      </c>
      <c r="AF4389" t="str">
        <f>"משלוחים ללקוח"</f>
        <v>משלוחים ללקוח</v>
      </c>
      <c r="AG4389" s="1">
        <v>42907</v>
      </c>
      <c r="AM4389" t="str">
        <f>"10"</f>
        <v>10</v>
      </c>
      <c r="AN4389" t="str">
        <f>"500000"</f>
        <v>500000</v>
      </c>
      <c r="AO4389" t="str">
        <f>"הכנסות  מלקוחות"</f>
        <v>הכנסות  מלקוחות</v>
      </c>
      <c r="AQ4389" t="str">
        <f>"007"</f>
        <v>007</v>
      </c>
      <c r="AR4389">
        <v>0</v>
      </c>
      <c r="AS4389">
        <v>0</v>
      </c>
      <c r="AT4389">
        <v>3.5430000000000001</v>
      </c>
      <c r="AX4389" t="str">
        <f>"E000174899"</f>
        <v>E000174899</v>
      </c>
      <c r="BD4389" t="str">
        <f>"רוני דידי"</f>
        <v>רוני דידי</v>
      </c>
    </row>
    <row r="4390" spans="1:56" x14ac:dyDescent="0.3">
      <c r="A4390" s="1">
        <v>42908</v>
      </c>
      <c r="B4390" t="str">
        <f>"SI176000922"</f>
        <v>SI176000922</v>
      </c>
      <c r="C4390" t="str">
        <f>"PR16001193"</f>
        <v>PR16001193</v>
      </c>
      <c r="E4390" t="str">
        <f>"Y"</f>
        <v>Y</v>
      </c>
      <c r="F4390" t="str">
        <f>"חשבוניות מרכזות"</f>
        <v>חשבוניות מרכזות</v>
      </c>
      <c r="G4390" t="str">
        <f>"700065"</f>
        <v>700065</v>
      </c>
      <c r="H4390" t="str">
        <f>"אלתא מערכות בע""מ"</f>
        <v>אלתא מערכות בע"מ</v>
      </c>
      <c r="I4390" t="str">
        <f>"10"</f>
        <v>10</v>
      </c>
      <c r="J4390" t="str">
        <f>"OP-AR00464"</f>
        <v>OP-AR00464</v>
      </c>
      <c r="K4390" t="str">
        <f>"רתמה REV;A 1036N631-001"</f>
        <v>רתמה REV;A 1036N631-001</v>
      </c>
      <c r="L4390">
        <v>1</v>
      </c>
      <c r="M4390" t="str">
        <f>"יח"</f>
        <v>יח</v>
      </c>
      <c r="N4390">
        <v>1</v>
      </c>
      <c r="O4390" t="str">
        <f>"יח"</f>
        <v>יח</v>
      </c>
      <c r="P4390">
        <v>910</v>
      </c>
      <c r="Q4390" t="str">
        <f>"$"</f>
        <v>$</v>
      </c>
      <c r="R4390" t="str">
        <f>"הזמנה"</f>
        <v>הזמנה</v>
      </c>
      <c r="S4390">
        <v>0</v>
      </c>
      <c r="T4390">
        <v>910</v>
      </c>
      <c r="U4390">
        <v>0</v>
      </c>
      <c r="V4390">
        <v>910</v>
      </c>
      <c r="W4390" t="str">
        <f>"$"</f>
        <v>$</v>
      </c>
      <c r="X4390">
        <v>0</v>
      </c>
      <c r="Y4390">
        <v>0</v>
      </c>
      <c r="Z4390">
        <v>0</v>
      </c>
      <c r="AA4390" t="str">
        <f>"Y"</f>
        <v>Y</v>
      </c>
      <c r="AB4390" t="str">
        <f>"SO160000918"</f>
        <v>SO160000918</v>
      </c>
      <c r="AC4390">
        <v>1</v>
      </c>
      <c r="AD4390" s="1">
        <v>42724</v>
      </c>
      <c r="AE4390" t="str">
        <f>"SH17001495"</f>
        <v>SH17001495</v>
      </c>
      <c r="AF4390" t="str">
        <f>"משלוחים ללקוח"</f>
        <v>משלוחים ללקוח</v>
      </c>
      <c r="AG4390" s="1">
        <v>42907</v>
      </c>
      <c r="AM4390" t="str">
        <f>"10"</f>
        <v>10</v>
      </c>
      <c r="AN4390" t="str">
        <f>"500000"</f>
        <v>500000</v>
      </c>
      <c r="AO4390" t="str">
        <f>"הכנסות  מלקוחות"</f>
        <v>הכנסות  מלקוחות</v>
      </c>
      <c r="AQ4390" t="str">
        <f>"017"</f>
        <v>017</v>
      </c>
      <c r="AR4390">
        <v>0</v>
      </c>
      <c r="AS4390">
        <v>0</v>
      </c>
      <c r="AT4390">
        <v>3.5430000000000001</v>
      </c>
      <c r="AX4390" t="str">
        <f>"E000229507"</f>
        <v>E000229507</v>
      </c>
      <c r="BD4390" t="str">
        <f>"שחר דאהמן"</f>
        <v>שחר דאהמן</v>
      </c>
    </row>
    <row r="4391" spans="1:56" x14ac:dyDescent="0.3">
      <c r="A4391" s="1">
        <v>42908</v>
      </c>
      <c r="B4391" t="str">
        <f>"SI176000921"</f>
        <v>SI176000921</v>
      </c>
      <c r="E4391" t="str">
        <f>"Y"</f>
        <v>Y</v>
      </c>
      <c r="F4391" t="str">
        <f>"חשבוניות מרכזות"</f>
        <v>חשבוניות מרכזות</v>
      </c>
      <c r="G4391" t="str">
        <f>"700065"</f>
        <v>700065</v>
      </c>
      <c r="H4391" t="str">
        <f>"אלתא מערכות בע""מ"</f>
        <v>אלתא מערכות בע"מ</v>
      </c>
      <c r="I4391" t="str">
        <f>"10"</f>
        <v>10</v>
      </c>
      <c r="J4391" t="str">
        <f>"OP-AR00464"</f>
        <v>OP-AR00464</v>
      </c>
      <c r="K4391" t="str">
        <f>"רתמה REV;A 1036N631-001"</f>
        <v>רתמה REV;A 1036N631-001</v>
      </c>
      <c r="L4391">
        <v>1</v>
      </c>
      <c r="M4391" t="str">
        <f>"יח"</f>
        <v>יח</v>
      </c>
      <c r="N4391">
        <v>1</v>
      </c>
      <c r="O4391" t="str">
        <f>"יח"</f>
        <v>יח</v>
      </c>
      <c r="P4391">
        <v>699.3</v>
      </c>
      <c r="Q4391" t="str">
        <f>"$"</f>
        <v>$</v>
      </c>
      <c r="R4391" t="str">
        <f>"הזמנה"</f>
        <v>הזמנה</v>
      </c>
      <c r="S4391">
        <v>0</v>
      </c>
      <c r="T4391">
        <v>699.3</v>
      </c>
      <c r="U4391">
        <v>0</v>
      </c>
      <c r="V4391">
        <v>699.3</v>
      </c>
      <c r="W4391" t="str">
        <f>"$"</f>
        <v>$</v>
      </c>
      <c r="X4391">
        <v>0</v>
      </c>
      <c r="Y4391">
        <v>0</v>
      </c>
      <c r="Z4391">
        <v>0</v>
      </c>
      <c r="AA4391" t="str">
        <f>"Y"</f>
        <v>Y</v>
      </c>
      <c r="AB4391" t="str">
        <f>"SO17000164"</f>
        <v>SO17000164</v>
      </c>
      <c r="AC4391">
        <v>3</v>
      </c>
      <c r="AD4391" s="1">
        <v>42793</v>
      </c>
      <c r="AE4391" t="str">
        <f>"SH17001494"</f>
        <v>SH17001494</v>
      </c>
      <c r="AF4391" t="str">
        <f>"משלוחים ללקוח"</f>
        <v>משלוחים ללקוח</v>
      </c>
      <c r="AG4391" s="1">
        <v>42907</v>
      </c>
      <c r="AM4391" t="str">
        <f>"10"</f>
        <v>10</v>
      </c>
      <c r="AN4391" t="str">
        <f>"500000"</f>
        <v>500000</v>
      </c>
      <c r="AO4391" t="str">
        <f>"הכנסות  מלקוחות"</f>
        <v>הכנסות  מלקוחות</v>
      </c>
      <c r="AQ4391" t="str">
        <f>"017"</f>
        <v>017</v>
      </c>
      <c r="AR4391">
        <v>0</v>
      </c>
      <c r="AS4391">
        <v>0</v>
      </c>
      <c r="AT4391">
        <v>3.5430000000000001</v>
      </c>
      <c r="AX4391" t="str">
        <f>"E000233149"</f>
        <v>E000233149</v>
      </c>
      <c r="BD4391" t="str">
        <f>"שחר דאהמן"</f>
        <v>שחר דאהמן</v>
      </c>
    </row>
    <row r="4392" spans="1:56" x14ac:dyDescent="0.3">
      <c r="A4392" s="1">
        <v>42908</v>
      </c>
      <c r="B4392" t="str">
        <f>"SI176000921"</f>
        <v>SI176000921</v>
      </c>
      <c r="E4392" t="str">
        <f>"Y"</f>
        <v>Y</v>
      </c>
      <c r="F4392" t="str">
        <f>"חשבוניות מרכזות"</f>
        <v>חשבוניות מרכזות</v>
      </c>
      <c r="G4392" t="str">
        <f>"700065"</f>
        <v>700065</v>
      </c>
      <c r="H4392" t="str">
        <f>"אלתא מערכות בע""מ"</f>
        <v>אלתא מערכות בע"מ</v>
      </c>
      <c r="I4392" t="str">
        <f>"10"</f>
        <v>10</v>
      </c>
      <c r="J4392" t="str">
        <f>"OP-AR00466"</f>
        <v>OP-AR00466</v>
      </c>
      <c r="K4392" t="str">
        <f>"רתמה REV;B 1036N633-001"</f>
        <v>רתמה REV;B 1036N633-001</v>
      </c>
      <c r="L4392">
        <v>1</v>
      </c>
      <c r="M4392" t="str">
        <f>"יח"</f>
        <v>יח</v>
      </c>
      <c r="N4392">
        <v>1</v>
      </c>
      <c r="O4392" t="str">
        <f>"יח"</f>
        <v>יח</v>
      </c>
      <c r="P4392">
        <v>548.1</v>
      </c>
      <c r="Q4392" t="str">
        <f>"$"</f>
        <v>$</v>
      </c>
      <c r="R4392" t="str">
        <f>"הזמנה"</f>
        <v>הזמנה</v>
      </c>
      <c r="S4392">
        <v>0</v>
      </c>
      <c r="T4392">
        <v>548.1</v>
      </c>
      <c r="U4392">
        <v>0</v>
      </c>
      <c r="V4392">
        <v>548.1</v>
      </c>
      <c r="W4392" t="str">
        <f>"$"</f>
        <v>$</v>
      </c>
      <c r="X4392">
        <v>0</v>
      </c>
      <c r="Y4392">
        <v>0</v>
      </c>
      <c r="Z4392">
        <v>0</v>
      </c>
      <c r="AA4392" t="str">
        <f>"Y"</f>
        <v>Y</v>
      </c>
      <c r="AB4392" t="str">
        <f>"SO17000164"</f>
        <v>SO17000164</v>
      </c>
      <c r="AC4392">
        <v>9</v>
      </c>
      <c r="AD4392" s="1">
        <v>42793</v>
      </c>
      <c r="AE4392" t="str">
        <f>"SH17001496"</f>
        <v>SH17001496</v>
      </c>
      <c r="AF4392" t="str">
        <f>"משלוחים ללקוח"</f>
        <v>משלוחים ללקוח</v>
      </c>
      <c r="AG4392" s="1">
        <v>42907</v>
      </c>
      <c r="AM4392" t="str">
        <f>"10"</f>
        <v>10</v>
      </c>
      <c r="AN4392" t="str">
        <f>"500000"</f>
        <v>500000</v>
      </c>
      <c r="AO4392" t="str">
        <f>"הכנסות  מלקוחות"</f>
        <v>הכנסות  מלקוחות</v>
      </c>
      <c r="AQ4392" t="str">
        <f>"017"</f>
        <v>017</v>
      </c>
      <c r="AR4392">
        <v>0</v>
      </c>
      <c r="AS4392">
        <v>0</v>
      </c>
      <c r="AT4392">
        <v>3.5430000000000001</v>
      </c>
      <c r="AX4392" t="str">
        <f>"E000233149"</f>
        <v>E000233149</v>
      </c>
      <c r="BD4392" t="str">
        <f>"שחר דאהמן"</f>
        <v>שחר דאהמן</v>
      </c>
    </row>
    <row r="4393" spans="1:56" x14ac:dyDescent="0.3">
      <c r="A4393" s="1">
        <v>42908</v>
      </c>
      <c r="B4393" t="str">
        <f>"SI176000921"</f>
        <v>SI176000921</v>
      </c>
      <c r="E4393" t="str">
        <f>"Y"</f>
        <v>Y</v>
      </c>
      <c r="F4393" t="str">
        <f>"חשבוניות מרכזות"</f>
        <v>חשבוניות מרכזות</v>
      </c>
      <c r="G4393" t="str">
        <f>"700065"</f>
        <v>700065</v>
      </c>
      <c r="H4393" t="str">
        <f>"אלתא מערכות בע""מ"</f>
        <v>אלתא מערכות בע"מ</v>
      </c>
      <c r="I4393" t="str">
        <f>"10"</f>
        <v>10</v>
      </c>
      <c r="J4393" t="str">
        <f>"OP-AR00465"</f>
        <v>OP-AR00465</v>
      </c>
      <c r="K4393" t="str">
        <f>"רתמה REV;B 1036N632-001"</f>
        <v>רתמה REV;B 1036N632-001</v>
      </c>
      <c r="L4393">
        <v>1</v>
      </c>
      <c r="M4393" t="str">
        <f>"יח"</f>
        <v>יח</v>
      </c>
      <c r="N4393">
        <v>1</v>
      </c>
      <c r="O4393" t="str">
        <f>"יח"</f>
        <v>יח</v>
      </c>
      <c r="P4393">
        <v>864.68</v>
      </c>
      <c r="Q4393" t="str">
        <f>"$"</f>
        <v>$</v>
      </c>
      <c r="R4393" t="str">
        <f>"הזמנה"</f>
        <v>הזמנה</v>
      </c>
      <c r="S4393">
        <v>0</v>
      </c>
      <c r="T4393">
        <v>864.68</v>
      </c>
      <c r="U4393">
        <v>0</v>
      </c>
      <c r="V4393">
        <v>864.68</v>
      </c>
      <c r="W4393" t="str">
        <f>"$"</f>
        <v>$</v>
      </c>
      <c r="X4393">
        <v>0</v>
      </c>
      <c r="Y4393">
        <v>0</v>
      </c>
      <c r="Z4393">
        <v>0</v>
      </c>
      <c r="AA4393" t="str">
        <f>"Y"</f>
        <v>Y</v>
      </c>
      <c r="AB4393" t="str">
        <f>"SO17000164"</f>
        <v>SO17000164</v>
      </c>
      <c r="AC4393">
        <v>6</v>
      </c>
      <c r="AD4393" s="1">
        <v>42793</v>
      </c>
      <c r="AE4393" t="str">
        <f>"SH17001497"</f>
        <v>SH17001497</v>
      </c>
      <c r="AF4393" t="str">
        <f>"משלוחים ללקוח"</f>
        <v>משלוחים ללקוח</v>
      </c>
      <c r="AG4393" s="1">
        <v>42907</v>
      </c>
      <c r="AM4393" t="str">
        <f>"10"</f>
        <v>10</v>
      </c>
      <c r="AN4393" t="str">
        <f>"500000"</f>
        <v>500000</v>
      </c>
      <c r="AO4393" t="str">
        <f>"הכנסות  מלקוחות"</f>
        <v>הכנסות  מלקוחות</v>
      </c>
      <c r="AQ4393" t="str">
        <f>"017"</f>
        <v>017</v>
      </c>
      <c r="AR4393">
        <v>0</v>
      </c>
      <c r="AS4393">
        <v>0</v>
      </c>
      <c r="AT4393">
        <v>3.5430000000000001</v>
      </c>
      <c r="AX4393" t="str">
        <f>"E000233149"</f>
        <v>E000233149</v>
      </c>
      <c r="BD4393" t="str">
        <f>"שחר דאהמן"</f>
        <v>שחר דאהמן</v>
      </c>
    </row>
    <row r="4394" spans="1:56" x14ac:dyDescent="0.3">
      <c r="A4394" s="1">
        <v>42907</v>
      </c>
      <c r="B4394" t="str">
        <f>"SI176000929"</f>
        <v>SI176000929</v>
      </c>
      <c r="C4394" t="str">
        <f>"PR17001626"</f>
        <v>PR17001626</v>
      </c>
      <c r="D4394" t="str">
        <f>"PR17001626"</f>
        <v>PR17001626</v>
      </c>
      <c r="E4394" t="str">
        <f>"Y"</f>
        <v>Y</v>
      </c>
      <c r="F4394" t="str">
        <f>"חשבוניות מרכזות"</f>
        <v>חשבוניות מרכזות</v>
      </c>
      <c r="G4394" t="str">
        <f>"700065"</f>
        <v>700065</v>
      </c>
      <c r="H4394" t="str">
        <f>"אלתא מערכות בע""מ"</f>
        <v>אלתא מערכות בע"מ</v>
      </c>
      <c r="I4394" t="str">
        <f>"10"</f>
        <v>10</v>
      </c>
      <c r="J4394" t="str">
        <f>"OP-AR00574"</f>
        <v>OP-AR00574</v>
      </c>
      <c r="K4394" t="str">
        <f>"תאורת LED אנטנות MMR"</f>
        <v>תאורת LED אנטנות MMR</v>
      </c>
      <c r="L4394">
        <v>1</v>
      </c>
      <c r="M4394" t="str">
        <f>"יח"</f>
        <v>יח</v>
      </c>
      <c r="N4394">
        <v>1</v>
      </c>
      <c r="O4394" t="str">
        <f>"יח"</f>
        <v>יח</v>
      </c>
      <c r="P4394">
        <v>830</v>
      </c>
      <c r="Q4394" t="str">
        <f>"$"</f>
        <v>$</v>
      </c>
      <c r="R4394" t="str">
        <f>"הזמנה"</f>
        <v>הזמנה</v>
      </c>
      <c r="S4394">
        <v>0</v>
      </c>
      <c r="T4394">
        <v>830</v>
      </c>
      <c r="U4394">
        <v>0</v>
      </c>
      <c r="V4394">
        <v>830</v>
      </c>
      <c r="W4394" t="str">
        <f>"$"</f>
        <v>$</v>
      </c>
      <c r="X4394">
        <v>0</v>
      </c>
      <c r="Y4394">
        <v>0</v>
      </c>
      <c r="Z4394">
        <v>0</v>
      </c>
      <c r="AA4394" t="str">
        <f>"Y"</f>
        <v>Y</v>
      </c>
      <c r="AB4394" t="str">
        <f>"SO17000258"</f>
        <v>SO17000258</v>
      </c>
      <c r="AC4394">
        <v>1</v>
      </c>
      <c r="AD4394" s="1">
        <v>42829</v>
      </c>
      <c r="AE4394" t="str">
        <f>"SH17001429"</f>
        <v>SH17001429</v>
      </c>
      <c r="AF4394" t="str">
        <f>"משלוחים ללקוח"</f>
        <v>משלוחים ללקוח</v>
      </c>
      <c r="AG4394" s="1">
        <v>42901</v>
      </c>
      <c r="AM4394" t="str">
        <f>"10"</f>
        <v>10</v>
      </c>
      <c r="AN4394" t="str">
        <f>"500000"</f>
        <v>500000</v>
      </c>
      <c r="AO4394" t="str">
        <f>"הכנסות  מלקוחות"</f>
        <v>הכנסות  מלקוחות</v>
      </c>
      <c r="AQ4394" t="str">
        <f>"007"</f>
        <v>007</v>
      </c>
      <c r="AR4394">
        <v>0</v>
      </c>
      <c r="AS4394">
        <v>0</v>
      </c>
      <c r="AT4394">
        <v>3.5430000000000001</v>
      </c>
      <c r="AX4394" t="str">
        <f>"E000236286"</f>
        <v>E000236286</v>
      </c>
      <c r="BD4394" t="str">
        <f>"רוני דידי"</f>
        <v>רוני דידי</v>
      </c>
    </row>
    <row r="4395" spans="1:56" x14ac:dyDescent="0.3">
      <c r="A4395" s="1">
        <v>42907</v>
      </c>
      <c r="B4395" t="str">
        <f>"SI176000917"</f>
        <v>SI176000917</v>
      </c>
      <c r="C4395" t="str">
        <f>"PR16000776"</f>
        <v>PR16000776</v>
      </c>
      <c r="E4395" t="str">
        <f>"Y"</f>
        <v>Y</v>
      </c>
      <c r="F4395" t="str">
        <f>"חשבוניות מרכזות"</f>
        <v>חשבוניות מרכזות</v>
      </c>
      <c r="G4395" t="str">
        <f>"700065"</f>
        <v>700065</v>
      </c>
      <c r="H4395" t="str">
        <f>"אלתא מערכות בע""מ"</f>
        <v>אלתא מערכות בע"מ</v>
      </c>
      <c r="I4395" t="str">
        <f>"10"</f>
        <v>10</v>
      </c>
      <c r="J4395" t="str">
        <f>"OP-AR00402"</f>
        <v>OP-AR00402</v>
      </c>
      <c r="K4395" t="str">
        <f>"RADAR POWER SYSTEM 1039R900-001"</f>
        <v>RADAR POWER SYSTEM 1039R900-001</v>
      </c>
      <c r="L4395">
        <v>-1</v>
      </c>
      <c r="M4395" t="str">
        <f>"יח"</f>
        <v>יח</v>
      </c>
      <c r="N4395">
        <v>-1</v>
      </c>
      <c r="O4395" t="str">
        <f>"יח"</f>
        <v>יח</v>
      </c>
      <c r="P4395" s="2">
        <v>207191.66</v>
      </c>
      <c r="Q4395" t="str">
        <f>"$"</f>
        <v>$</v>
      </c>
      <c r="R4395" t="str">
        <f>"הזמנה"</f>
        <v>הזמנה</v>
      </c>
      <c r="S4395">
        <v>0</v>
      </c>
      <c r="T4395" s="2">
        <v>-207191.66</v>
      </c>
      <c r="U4395">
        <v>0</v>
      </c>
      <c r="V4395" s="2">
        <v>-207191.66</v>
      </c>
      <c r="W4395" t="str">
        <f>"$"</f>
        <v>$</v>
      </c>
      <c r="X4395">
        <v>0</v>
      </c>
      <c r="Y4395">
        <v>0</v>
      </c>
      <c r="Z4395">
        <v>0</v>
      </c>
      <c r="AA4395" t="str">
        <f>"Y"</f>
        <v>Y</v>
      </c>
      <c r="AC4395">
        <v>0</v>
      </c>
      <c r="AM4395" t="str">
        <f>"10"</f>
        <v>10</v>
      </c>
      <c r="AN4395" t="str">
        <f>"500000"</f>
        <v>500000</v>
      </c>
      <c r="AO4395" t="str">
        <f>"הכנסות  מלקוחות"</f>
        <v>הכנסות  מלקוחות</v>
      </c>
      <c r="AQ4395" t="str">
        <f>"007"</f>
        <v>007</v>
      </c>
      <c r="AR4395">
        <v>0</v>
      </c>
      <c r="AS4395">
        <v>0</v>
      </c>
      <c r="AT4395">
        <v>3.5430000000000001</v>
      </c>
      <c r="BB4395" t="str">
        <f>"Y"</f>
        <v>Y</v>
      </c>
      <c r="BD4395" t="str">
        <f>"רוני דידי"</f>
        <v>רוני דידי</v>
      </c>
    </row>
    <row r="4396" spans="1:56" x14ac:dyDescent="0.3">
      <c r="A4396" s="1">
        <v>42907</v>
      </c>
      <c r="B4396" t="str">
        <f>"SI176000916"</f>
        <v>SI176000916</v>
      </c>
      <c r="C4396" t="str">
        <f>"PR16000776"</f>
        <v>PR16000776</v>
      </c>
      <c r="E4396" t="str">
        <f>"Y"</f>
        <v>Y</v>
      </c>
      <c r="F4396" t="str">
        <f>"חשבוניות מרכזות"</f>
        <v>חשבוניות מרכזות</v>
      </c>
      <c r="G4396" t="str">
        <f>"700065"</f>
        <v>700065</v>
      </c>
      <c r="H4396" t="str">
        <f>"אלתא מערכות בע""מ"</f>
        <v>אלתא מערכות בע"מ</v>
      </c>
      <c r="I4396" t="str">
        <f>"10"</f>
        <v>10</v>
      </c>
      <c r="J4396" t="str">
        <f>"OP-AR00402"</f>
        <v>OP-AR00402</v>
      </c>
      <c r="K4396" t="str">
        <f>"RADAR POWER SYSTEM 1039R900-001"</f>
        <v>RADAR POWER SYSTEM 1039R900-001</v>
      </c>
      <c r="L4396">
        <v>1</v>
      </c>
      <c r="M4396" t="str">
        <f>"יח"</f>
        <v>יח</v>
      </c>
      <c r="N4396">
        <v>1</v>
      </c>
      <c r="O4396" t="str">
        <f>"יח"</f>
        <v>יח</v>
      </c>
      <c r="P4396" s="2">
        <v>207191.66</v>
      </c>
      <c r="Q4396" t="str">
        <f>"$"</f>
        <v>$</v>
      </c>
      <c r="R4396" t="str">
        <f>"הזמנה"</f>
        <v>הזמנה</v>
      </c>
      <c r="S4396">
        <v>0</v>
      </c>
      <c r="T4396" s="2">
        <v>207191.66</v>
      </c>
      <c r="U4396">
        <v>0</v>
      </c>
      <c r="V4396" s="2">
        <v>207191.66</v>
      </c>
      <c r="W4396" t="str">
        <f>"$"</f>
        <v>$</v>
      </c>
      <c r="X4396">
        <v>0</v>
      </c>
      <c r="Y4396">
        <v>0</v>
      </c>
      <c r="Z4396">
        <v>0</v>
      </c>
      <c r="AA4396" t="str">
        <f>"Y"</f>
        <v>Y</v>
      </c>
      <c r="AC4396">
        <v>0</v>
      </c>
      <c r="AM4396" t="str">
        <f>"10"</f>
        <v>10</v>
      </c>
      <c r="AN4396" t="str">
        <f>"500000"</f>
        <v>500000</v>
      </c>
      <c r="AO4396" t="str">
        <f>"הכנסות  מלקוחות"</f>
        <v>הכנסות  מלקוחות</v>
      </c>
      <c r="AQ4396" t="str">
        <f>"007"</f>
        <v>007</v>
      </c>
      <c r="AR4396">
        <v>0</v>
      </c>
      <c r="AS4396">
        <v>0</v>
      </c>
      <c r="AT4396">
        <v>3.5430000000000001</v>
      </c>
      <c r="BB4396" t="str">
        <f>"Y"</f>
        <v>Y</v>
      </c>
      <c r="BD4396" t="str">
        <f>"רוני דידי"</f>
        <v>רוני דידי</v>
      </c>
    </row>
    <row r="4397" spans="1:56" x14ac:dyDescent="0.3">
      <c r="A4397" s="1">
        <v>42906</v>
      </c>
      <c r="B4397" t="str">
        <f>"SI176000903"</f>
        <v>SI176000903</v>
      </c>
      <c r="C4397" t="str">
        <f>"PR17001408"</f>
        <v>PR17001408</v>
      </c>
      <c r="E4397" t="str">
        <f>"Y"</f>
        <v>Y</v>
      </c>
      <c r="F4397" t="str">
        <f>"חשבוניות מרכזות"</f>
        <v>חשבוניות מרכזות</v>
      </c>
      <c r="G4397" t="str">
        <f>"700065"</f>
        <v>700065</v>
      </c>
      <c r="H4397" t="str">
        <f>"אלתא מערכות בע""מ"</f>
        <v>אלתא מערכות בע"מ</v>
      </c>
      <c r="I4397" t="str">
        <f>"10"</f>
        <v>10</v>
      </c>
      <c r="J4397" t="str">
        <f>"OP-AR00531"</f>
        <v>OP-AR00531</v>
      </c>
      <c r="K4397" t="str">
        <f>"רתמה 1011K398-001 CABLE ASSY 1W9"</f>
        <v>רתמה 1011K398-001 CABLE ASSY 1W9</v>
      </c>
      <c r="L4397">
        <v>2</v>
      </c>
      <c r="M4397" t="str">
        <f>"יח"</f>
        <v>יח</v>
      </c>
      <c r="N4397">
        <v>2</v>
      </c>
      <c r="O4397" t="str">
        <f>"יח"</f>
        <v>יח</v>
      </c>
      <c r="P4397" s="2">
        <v>1290</v>
      </c>
      <c r="Q4397" t="str">
        <f>"$"</f>
        <v>$</v>
      </c>
      <c r="R4397" t="str">
        <f>"הזמנה"</f>
        <v>הזמנה</v>
      </c>
      <c r="S4397">
        <v>0</v>
      </c>
      <c r="T4397" s="2">
        <v>2580</v>
      </c>
      <c r="U4397">
        <v>0</v>
      </c>
      <c r="V4397" s="2">
        <v>2580</v>
      </c>
      <c r="W4397" t="str">
        <f>"$"</f>
        <v>$</v>
      </c>
      <c r="X4397">
        <v>0</v>
      </c>
      <c r="Y4397">
        <v>0</v>
      </c>
      <c r="Z4397">
        <v>0</v>
      </c>
      <c r="AA4397" t="str">
        <f>"Y"</f>
        <v>Y</v>
      </c>
      <c r="AB4397" t="str">
        <f>"SO17000066"</f>
        <v>SO17000066</v>
      </c>
      <c r="AC4397">
        <v>1</v>
      </c>
      <c r="AD4397" s="1">
        <v>42768</v>
      </c>
      <c r="AE4397" t="str">
        <f>"SH17001401"</f>
        <v>SH17001401</v>
      </c>
      <c r="AF4397" t="str">
        <f>"משלוחים ללקוח"</f>
        <v>משלוחים ללקוח</v>
      </c>
      <c r="AG4397" s="1">
        <v>42900</v>
      </c>
      <c r="AM4397" t="str">
        <f>"10"</f>
        <v>10</v>
      </c>
      <c r="AN4397" t="str">
        <f>"500000"</f>
        <v>500000</v>
      </c>
      <c r="AO4397" t="str">
        <f>"הכנסות  מלקוחות"</f>
        <v>הכנסות  מלקוחות</v>
      </c>
      <c r="AQ4397" t="str">
        <f>"004"</f>
        <v>004</v>
      </c>
      <c r="AR4397">
        <v>0</v>
      </c>
      <c r="AS4397">
        <v>0</v>
      </c>
      <c r="AT4397">
        <v>3.5329999999999999</v>
      </c>
      <c r="AX4397" t="str">
        <f>"E000232028"</f>
        <v>E000232028</v>
      </c>
      <c r="BD4397" t="str">
        <f>"איציק חדד"</f>
        <v>איציק חדד</v>
      </c>
    </row>
    <row r="4398" spans="1:56" x14ac:dyDescent="0.3">
      <c r="A4398" s="1">
        <v>42906</v>
      </c>
      <c r="B4398" t="str">
        <f>"SI176000902"</f>
        <v>SI176000902</v>
      </c>
      <c r="C4398" t="str">
        <f>"PR17001453"</f>
        <v>PR17001453</v>
      </c>
      <c r="D4398" t="str">
        <f>"PR17001453"</f>
        <v>PR17001453</v>
      </c>
      <c r="E4398" t="str">
        <f>"Y"</f>
        <v>Y</v>
      </c>
      <c r="F4398" t="str">
        <f>"חשבוניות מרכזות"</f>
        <v>חשבוניות מרכזות</v>
      </c>
      <c r="G4398" t="str">
        <f>"700065"</f>
        <v>700065</v>
      </c>
      <c r="H4398" t="str">
        <f>"אלתא מערכות בע""מ"</f>
        <v>אלתא מערכות בע"מ</v>
      </c>
      <c r="I4398" t="str">
        <f>"10"</f>
        <v>10</v>
      </c>
      <c r="J4398" t="str">
        <f>"OP-AR00540"</f>
        <v>OP-AR00540</v>
      </c>
      <c r="K4398" t="str">
        <f>"רתמה 1032H441-002"</f>
        <v>רתמה 1032H441-002</v>
      </c>
      <c r="L4398">
        <v>5</v>
      </c>
      <c r="M4398" t="str">
        <f>"יח"</f>
        <v>יח</v>
      </c>
      <c r="N4398">
        <v>5</v>
      </c>
      <c r="O4398" t="str">
        <f>"יח"</f>
        <v>יח</v>
      </c>
      <c r="P4398">
        <v>325</v>
      </c>
      <c r="Q4398" t="str">
        <f>"$"</f>
        <v>$</v>
      </c>
      <c r="R4398" t="str">
        <f>"הזמנה"</f>
        <v>הזמנה</v>
      </c>
      <c r="S4398">
        <v>0</v>
      </c>
      <c r="T4398" s="2">
        <v>1625</v>
      </c>
      <c r="U4398">
        <v>0</v>
      </c>
      <c r="V4398" s="2">
        <v>1625</v>
      </c>
      <c r="W4398" t="str">
        <f>"$"</f>
        <v>$</v>
      </c>
      <c r="X4398">
        <v>0</v>
      </c>
      <c r="Y4398">
        <v>0</v>
      </c>
      <c r="Z4398">
        <v>0</v>
      </c>
      <c r="AA4398" t="str">
        <f>"Y"</f>
        <v>Y</v>
      </c>
      <c r="AB4398" t="str">
        <f>"SO17000180"</f>
        <v>SO17000180</v>
      </c>
      <c r="AC4398">
        <v>6</v>
      </c>
      <c r="AD4398" s="1">
        <v>42799</v>
      </c>
      <c r="AE4398" t="str">
        <f>"SH17001411"</f>
        <v>SH17001411</v>
      </c>
      <c r="AF4398" t="str">
        <f>"משלוחים ללקוח"</f>
        <v>משלוחים ללקוח</v>
      </c>
      <c r="AG4398" s="1">
        <v>42900</v>
      </c>
      <c r="AM4398" t="str">
        <f>"10"</f>
        <v>10</v>
      </c>
      <c r="AN4398" t="str">
        <f>"500000"</f>
        <v>500000</v>
      </c>
      <c r="AO4398" t="str">
        <f>"הכנסות  מלקוחות"</f>
        <v>הכנסות  מלקוחות</v>
      </c>
      <c r="AQ4398" t="str">
        <f>"004"</f>
        <v>004</v>
      </c>
      <c r="AR4398">
        <v>0</v>
      </c>
      <c r="AS4398">
        <v>0</v>
      </c>
      <c r="AT4398">
        <v>3.5329999999999999</v>
      </c>
      <c r="AX4398" t="str">
        <f>"E000233577"</f>
        <v>E000233577</v>
      </c>
      <c r="BD4398" t="str">
        <f>"איציק חדד"</f>
        <v>איציק חדד</v>
      </c>
    </row>
    <row r="4399" spans="1:56" x14ac:dyDescent="0.3">
      <c r="A4399" s="1">
        <v>42906</v>
      </c>
      <c r="B4399" t="str">
        <f>"SI176000901"</f>
        <v>SI176000901</v>
      </c>
      <c r="E4399" t="str">
        <f>"Y"</f>
        <v>Y</v>
      </c>
      <c r="F4399" t="str">
        <f>"חשבוניות מרכזות"</f>
        <v>חשבוניות מרכזות</v>
      </c>
      <c r="G4399" t="str">
        <f>"700065"</f>
        <v>700065</v>
      </c>
      <c r="H4399" t="str">
        <f>"אלתא מערכות בע""מ"</f>
        <v>אלתא מערכות בע"מ</v>
      </c>
      <c r="I4399" t="str">
        <f>"10"</f>
        <v>10</v>
      </c>
      <c r="J4399" t="str">
        <f>"OP-AR00464"</f>
        <v>OP-AR00464</v>
      </c>
      <c r="K4399" t="str">
        <f>"רתמה REV;A 1036N631-001"</f>
        <v>רתמה REV;A 1036N631-001</v>
      </c>
      <c r="L4399">
        <v>6</v>
      </c>
      <c r="M4399" t="str">
        <f>"יח"</f>
        <v>יח</v>
      </c>
      <c r="N4399">
        <v>6</v>
      </c>
      <c r="O4399" t="str">
        <f>"יח"</f>
        <v>יח</v>
      </c>
      <c r="P4399">
        <v>699.3</v>
      </c>
      <c r="Q4399" t="str">
        <f>"$"</f>
        <v>$</v>
      </c>
      <c r="R4399" t="str">
        <f>"הזמנה"</f>
        <v>הזמנה</v>
      </c>
      <c r="S4399">
        <v>0</v>
      </c>
      <c r="T4399" s="2">
        <v>4195.8</v>
      </c>
      <c r="U4399">
        <v>0</v>
      </c>
      <c r="V4399" s="2">
        <v>4195.8</v>
      </c>
      <c r="W4399" t="str">
        <f>"$"</f>
        <v>$</v>
      </c>
      <c r="X4399">
        <v>0</v>
      </c>
      <c r="Y4399">
        <v>0</v>
      </c>
      <c r="Z4399">
        <v>0</v>
      </c>
      <c r="AA4399" t="str">
        <f>"Y"</f>
        <v>Y</v>
      </c>
      <c r="AB4399" t="str">
        <f>"SO17000164"</f>
        <v>SO17000164</v>
      </c>
      <c r="AC4399">
        <v>3</v>
      </c>
      <c r="AD4399" s="1">
        <v>42793</v>
      </c>
      <c r="AE4399" t="str">
        <f>"SH17001459"</f>
        <v>SH17001459</v>
      </c>
      <c r="AF4399" t="str">
        <f>"משלוחים ללקוח"</f>
        <v>משלוחים ללקוח</v>
      </c>
      <c r="AG4399" s="1">
        <v>42904</v>
      </c>
      <c r="AM4399" t="str">
        <f>"10"</f>
        <v>10</v>
      </c>
      <c r="AN4399" t="str">
        <f>"500000"</f>
        <v>500000</v>
      </c>
      <c r="AO4399" t="str">
        <f>"הכנסות  מלקוחות"</f>
        <v>הכנסות  מלקוחות</v>
      </c>
      <c r="AQ4399" t="str">
        <f>"017"</f>
        <v>017</v>
      </c>
      <c r="AR4399">
        <v>0</v>
      </c>
      <c r="AS4399">
        <v>0</v>
      </c>
      <c r="AT4399">
        <v>3.5329999999999999</v>
      </c>
      <c r="AX4399" t="str">
        <f>"E000233149"</f>
        <v>E000233149</v>
      </c>
      <c r="BD4399" t="str">
        <f>"שחר דאהמן"</f>
        <v>שחר דאהמן</v>
      </c>
    </row>
    <row r="4400" spans="1:56" x14ac:dyDescent="0.3">
      <c r="A4400" s="1">
        <v>42906</v>
      </c>
      <c r="B4400" t="str">
        <f>"SI176000901"</f>
        <v>SI176000901</v>
      </c>
      <c r="E4400" t="str">
        <f>"Y"</f>
        <v>Y</v>
      </c>
      <c r="F4400" t="str">
        <f>"חשבוניות מרכזות"</f>
        <v>חשבוניות מרכזות</v>
      </c>
      <c r="G4400" t="str">
        <f>"700065"</f>
        <v>700065</v>
      </c>
      <c r="H4400" t="str">
        <f>"אלתא מערכות בע""מ"</f>
        <v>אלתא מערכות בע"מ</v>
      </c>
      <c r="I4400" t="str">
        <f>"10"</f>
        <v>10</v>
      </c>
      <c r="J4400" t="str">
        <f>"OP-AR00465"</f>
        <v>OP-AR00465</v>
      </c>
      <c r="K4400" t="str">
        <f>"רתמה REV;B 1036N632-001"</f>
        <v>רתמה REV;B 1036N632-001</v>
      </c>
      <c r="L4400">
        <v>4</v>
      </c>
      <c r="M4400" t="str">
        <f>"יח"</f>
        <v>יח</v>
      </c>
      <c r="N4400">
        <v>4</v>
      </c>
      <c r="O4400" t="str">
        <f>"יח"</f>
        <v>יח</v>
      </c>
      <c r="P4400">
        <v>864.68</v>
      </c>
      <c r="Q4400" t="str">
        <f>"$"</f>
        <v>$</v>
      </c>
      <c r="R4400" t="str">
        <f>"הזמנה"</f>
        <v>הזמנה</v>
      </c>
      <c r="S4400">
        <v>0</v>
      </c>
      <c r="T4400" s="2">
        <v>3458.72</v>
      </c>
      <c r="U4400">
        <v>0</v>
      </c>
      <c r="V4400" s="2">
        <v>3458.72</v>
      </c>
      <c r="W4400" t="str">
        <f>"$"</f>
        <v>$</v>
      </c>
      <c r="X4400">
        <v>0</v>
      </c>
      <c r="Y4400">
        <v>0</v>
      </c>
      <c r="Z4400">
        <v>0</v>
      </c>
      <c r="AA4400" t="str">
        <f>"Y"</f>
        <v>Y</v>
      </c>
      <c r="AB4400" t="str">
        <f>"SO17000164"</f>
        <v>SO17000164</v>
      </c>
      <c r="AC4400">
        <v>4</v>
      </c>
      <c r="AD4400" s="1">
        <v>42793</v>
      </c>
      <c r="AE4400" t="str">
        <f>"SH17001461"</f>
        <v>SH17001461</v>
      </c>
      <c r="AF4400" t="str">
        <f>"משלוחים ללקוח"</f>
        <v>משלוחים ללקוח</v>
      </c>
      <c r="AG4400" s="1">
        <v>42904</v>
      </c>
      <c r="AM4400" t="str">
        <f>"10"</f>
        <v>10</v>
      </c>
      <c r="AN4400" t="str">
        <f>"500000"</f>
        <v>500000</v>
      </c>
      <c r="AO4400" t="str">
        <f>"הכנסות  מלקוחות"</f>
        <v>הכנסות  מלקוחות</v>
      </c>
      <c r="AQ4400" t="str">
        <f>"017"</f>
        <v>017</v>
      </c>
      <c r="AR4400">
        <v>0</v>
      </c>
      <c r="AS4400">
        <v>0</v>
      </c>
      <c r="AT4400">
        <v>3.5329999999999999</v>
      </c>
      <c r="AX4400" t="str">
        <f>"E000233149"</f>
        <v>E000233149</v>
      </c>
      <c r="BD4400" t="str">
        <f>"שחר דאהמן"</f>
        <v>שחר דאהמן</v>
      </c>
    </row>
    <row r="4401" spans="1:56" x14ac:dyDescent="0.3">
      <c r="A4401" s="1">
        <v>42906</v>
      </c>
      <c r="B4401" t="str">
        <f>"SI176000901"</f>
        <v>SI176000901</v>
      </c>
      <c r="E4401" t="str">
        <f>"Y"</f>
        <v>Y</v>
      </c>
      <c r="F4401" t="str">
        <f>"חשבוניות מרכזות"</f>
        <v>חשבוניות מרכזות</v>
      </c>
      <c r="G4401" t="str">
        <f>"700065"</f>
        <v>700065</v>
      </c>
      <c r="H4401" t="str">
        <f>"אלתא מערכות בע""מ"</f>
        <v>אלתא מערכות בע"מ</v>
      </c>
      <c r="I4401" t="str">
        <f>"10"</f>
        <v>10</v>
      </c>
      <c r="J4401" t="str">
        <f>"OP-AR00465"</f>
        <v>OP-AR00465</v>
      </c>
      <c r="K4401" t="str">
        <f>"רתמה REV;B 1036N632-001"</f>
        <v>רתמה REV;B 1036N632-001</v>
      </c>
      <c r="L4401">
        <v>6</v>
      </c>
      <c r="M4401" t="str">
        <f>"יח"</f>
        <v>יח</v>
      </c>
      <c r="N4401">
        <v>6</v>
      </c>
      <c r="O4401" t="str">
        <f>"יח"</f>
        <v>יח</v>
      </c>
      <c r="P4401">
        <v>864.68</v>
      </c>
      <c r="Q4401" t="str">
        <f>"$"</f>
        <v>$</v>
      </c>
      <c r="R4401" t="str">
        <f>"הזמנה"</f>
        <v>הזמנה</v>
      </c>
      <c r="S4401">
        <v>0</v>
      </c>
      <c r="T4401" s="2">
        <v>5188.08</v>
      </c>
      <c r="U4401">
        <v>0</v>
      </c>
      <c r="V4401" s="2">
        <v>5188.08</v>
      </c>
      <c r="W4401" t="str">
        <f>"$"</f>
        <v>$</v>
      </c>
      <c r="X4401">
        <v>0</v>
      </c>
      <c r="Y4401">
        <v>0</v>
      </c>
      <c r="Z4401">
        <v>0</v>
      </c>
      <c r="AA4401" t="str">
        <f>"Y"</f>
        <v>Y</v>
      </c>
      <c r="AB4401" t="str">
        <f>"SO17000164"</f>
        <v>SO17000164</v>
      </c>
      <c r="AC4401">
        <v>6</v>
      </c>
      <c r="AD4401" s="1">
        <v>42793</v>
      </c>
      <c r="AE4401" t="str">
        <f>"SH17001461"</f>
        <v>SH17001461</v>
      </c>
      <c r="AF4401" t="str">
        <f>"משלוחים ללקוח"</f>
        <v>משלוחים ללקוח</v>
      </c>
      <c r="AG4401" s="1">
        <v>42904</v>
      </c>
      <c r="AM4401" t="str">
        <f>"10"</f>
        <v>10</v>
      </c>
      <c r="AN4401" t="str">
        <f>"500000"</f>
        <v>500000</v>
      </c>
      <c r="AO4401" t="str">
        <f>"הכנסות  מלקוחות"</f>
        <v>הכנסות  מלקוחות</v>
      </c>
      <c r="AQ4401" t="str">
        <f>"017"</f>
        <v>017</v>
      </c>
      <c r="AR4401">
        <v>0</v>
      </c>
      <c r="AS4401">
        <v>0</v>
      </c>
      <c r="AT4401">
        <v>3.5329999999999999</v>
      </c>
      <c r="AX4401" t="str">
        <f>"E000233149"</f>
        <v>E000233149</v>
      </c>
      <c r="BD4401" t="str">
        <f>"שחר דאהמן"</f>
        <v>שחר דאהמן</v>
      </c>
    </row>
    <row r="4402" spans="1:56" x14ac:dyDescent="0.3">
      <c r="A4402" s="1">
        <v>42906</v>
      </c>
      <c r="B4402" t="str">
        <f>"SI176000900"</f>
        <v>SI176000900</v>
      </c>
      <c r="E4402" t="str">
        <f>"Y"</f>
        <v>Y</v>
      </c>
      <c r="F4402" t="str">
        <f>"חשבוניות מרכזות"</f>
        <v>חשבוניות מרכזות</v>
      </c>
      <c r="G4402" t="str">
        <f>"700065"</f>
        <v>700065</v>
      </c>
      <c r="H4402" t="str">
        <f>"אלתא מערכות בע""מ"</f>
        <v>אלתא מערכות בע"מ</v>
      </c>
      <c r="I4402" t="str">
        <f>"10"</f>
        <v>10</v>
      </c>
      <c r="J4402" t="str">
        <f>"OP-AR00466"</f>
        <v>OP-AR00466</v>
      </c>
      <c r="K4402" t="str">
        <f>"רתמה REV;B 1036N633-001"</f>
        <v>רתמה REV;B 1036N633-001</v>
      </c>
      <c r="L4402">
        <v>2</v>
      </c>
      <c r="M4402" t="str">
        <f>"יח"</f>
        <v>יח</v>
      </c>
      <c r="N4402">
        <v>2</v>
      </c>
      <c r="O4402" t="str">
        <f>"יח"</f>
        <v>יח</v>
      </c>
      <c r="P4402">
        <v>548.1</v>
      </c>
      <c r="Q4402" t="str">
        <f>"$"</f>
        <v>$</v>
      </c>
      <c r="R4402" t="str">
        <f>"הזמנה"</f>
        <v>הזמנה</v>
      </c>
      <c r="S4402">
        <v>0</v>
      </c>
      <c r="T4402" s="2">
        <v>1096.2</v>
      </c>
      <c r="U4402">
        <v>0</v>
      </c>
      <c r="V4402" s="2">
        <v>1096.2</v>
      </c>
      <c r="W4402" t="str">
        <f>"$"</f>
        <v>$</v>
      </c>
      <c r="X4402">
        <v>0</v>
      </c>
      <c r="Y4402">
        <v>0</v>
      </c>
      <c r="Z4402">
        <v>0</v>
      </c>
      <c r="AA4402" t="str">
        <f>"Y"</f>
        <v>Y</v>
      </c>
      <c r="AB4402" t="str">
        <f>"SO17000189"</f>
        <v>SO17000189</v>
      </c>
      <c r="AC4402">
        <v>3</v>
      </c>
      <c r="AD4402" s="1">
        <v>42801</v>
      </c>
      <c r="AE4402" t="str">
        <f>"SH17001464"</f>
        <v>SH17001464</v>
      </c>
      <c r="AF4402" t="str">
        <f>"משלוחים ללקוח"</f>
        <v>משלוחים ללקוח</v>
      </c>
      <c r="AG4402" s="1">
        <v>42904</v>
      </c>
      <c r="AM4402" t="str">
        <f>"10"</f>
        <v>10</v>
      </c>
      <c r="AN4402" t="str">
        <f>"500000"</f>
        <v>500000</v>
      </c>
      <c r="AO4402" t="str">
        <f>"הכנסות  מלקוחות"</f>
        <v>הכנסות  מלקוחות</v>
      </c>
      <c r="AQ4402" t="str">
        <f>"017"</f>
        <v>017</v>
      </c>
      <c r="AR4402">
        <v>0</v>
      </c>
      <c r="AS4402">
        <v>0</v>
      </c>
      <c r="AT4402">
        <v>3.5329999999999999</v>
      </c>
      <c r="AX4402" t="str">
        <f>"E000234345"</f>
        <v>E000234345</v>
      </c>
      <c r="BD4402" t="str">
        <f>"שחר דאהמן"</f>
        <v>שחר דאהמן</v>
      </c>
    </row>
    <row r="4403" spans="1:56" x14ac:dyDescent="0.3">
      <c r="A4403" s="1">
        <v>42906</v>
      </c>
      <c r="B4403" t="str">
        <f>"SI176000900"</f>
        <v>SI176000900</v>
      </c>
      <c r="E4403" t="str">
        <f>"Y"</f>
        <v>Y</v>
      </c>
      <c r="F4403" t="str">
        <f>"חשבוניות מרכזות"</f>
        <v>חשבוניות מרכזות</v>
      </c>
      <c r="G4403" t="str">
        <f>"700065"</f>
        <v>700065</v>
      </c>
      <c r="H4403" t="str">
        <f>"אלתא מערכות בע""מ"</f>
        <v>אלתא מערכות בע"מ</v>
      </c>
      <c r="I4403" t="str">
        <f>"10"</f>
        <v>10</v>
      </c>
      <c r="J4403" t="str">
        <f>"OP-AR00465"</f>
        <v>OP-AR00465</v>
      </c>
      <c r="K4403" t="str">
        <f>"רתמה REV;B 1036N632-001"</f>
        <v>רתמה REV;B 1036N632-001</v>
      </c>
      <c r="L4403">
        <v>2</v>
      </c>
      <c r="M4403" t="str">
        <f>"יח"</f>
        <v>יח</v>
      </c>
      <c r="N4403">
        <v>2</v>
      </c>
      <c r="O4403" t="str">
        <f>"יח"</f>
        <v>יח</v>
      </c>
      <c r="P4403">
        <v>864.68</v>
      </c>
      <c r="Q4403" t="str">
        <f>"$"</f>
        <v>$</v>
      </c>
      <c r="R4403" t="str">
        <f>"הזמנה"</f>
        <v>הזמנה</v>
      </c>
      <c r="S4403">
        <v>0</v>
      </c>
      <c r="T4403" s="2">
        <v>1729.36</v>
      </c>
      <c r="U4403">
        <v>0</v>
      </c>
      <c r="V4403" s="2">
        <v>1729.36</v>
      </c>
      <c r="W4403" t="str">
        <f>"$"</f>
        <v>$</v>
      </c>
      <c r="X4403">
        <v>0</v>
      </c>
      <c r="Y4403">
        <v>0</v>
      </c>
      <c r="Z4403">
        <v>0</v>
      </c>
      <c r="AA4403" t="str">
        <f>"Y"</f>
        <v>Y</v>
      </c>
      <c r="AB4403" t="str">
        <f>"SO17000189"</f>
        <v>SO17000189</v>
      </c>
      <c r="AC4403">
        <v>2</v>
      </c>
      <c r="AD4403" s="1">
        <v>42801</v>
      </c>
      <c r="AE4403" t="str">
        <f>"SH17001462"</f>
        <v>SH17001462</v>
      </c>
      <c r="AF4403" t="str">
        <f>"משלוחים ללקוח"</f>
        <v>משלוחים ללקוח</v>
      </c>
      <c r="AG4403" s="1">
        <v>42904</v>
      </c>
      <c r="AM4403" t="str">
        <f>"10"</f>
        <v>10</v>
      </c>
      <c r="AN4403" t="str">
        <f>"500000"</f>
        <v>500000</v>
      </c>
      <c r="AO4403" t="str">
        <f>"הכנסות  מלקוחות"</f>
        <v>הכנסות  מלקוחות</v>
      </c>
      <c r="AQ4403" t="str">
        <f>"017"</f>
        <v>017</v>
      </c>
      <c r="AR4403">
        <v>0</v>
      </c>
      <c r="AS4403">
        <v>0</v>
      </c>
      <c r="AT4403">
        <v>3.5329999999999999</v>
      </c>
      <c r="AX4403" t="str">
        <f>"E000234345"</f>
        <v>E000234345</v>
      </c>
      <c r="BD4403" t="str">
        <f>"שחר דאהמן"</f>
        <v>שחר דאהמן</v>
      </c>
    </row>
    <row r="4404" spans="1:56" x14ac:dyDescent="0.3">
      <c r="A4404" s="1">
        <v>42906</v>
      </c>
      <c r="B4404" t="str">
        <f>"SI176000900"</f>
        <v>SI176000900</v>
      </c>
      <c r="E4404" t="str">
        <f>"Y"</f>
        <v>Y</v>
      </c>
      <c r="F4404" t="str">
        <f>"חשבוניות מרכזות"</f>
        <v>חשבוניות מרכזות</v>
      </c>
      <c r="G4404" t="str">
        <f>"700065"</f>
        <v>700065</v>
      </c>
      <c r="H4404" t="str">
        <f>"אלתא מערכות בע""מ"</f>
        <v>אלתא מערכות בע"מ</v>
      </c>
      <c r="I4404" t="str">
        <f>"10"</f>
        <v>10</v>
      </c>
      <c r="J4404" t="str">
        <f>"OP-AR00464"</f>
        <v>OP-AR00464</v>
      </c>
      <c r="K4404" t="str">
        <f>"רתמה REV;A 1036N631-001"</f>
        <v>רתמה REV;A 1036N631-001</v>
      </c>
      <c r="L4404">
        <v>2</v>
      </c>
      <c r="M4404" t="str">
        <f>"יח"</f>
        <v>יח</v>
      </c>
      <c r="N4404">
        <v>2</v>
      </c>
      <c r="O4404" t="str">
        <f>"יח"</f>
        <v>יח</v>
      </c>
      <c r="P4404">
        <v>699.3</v>
      </c>
      <c r="Q4404" t="str">
        <f>"$"</f>
        <v>$</v>
      </c>
      <c r="R4404" t="str">
        <f>"הזמנה"</f>
        <v>הזמנה</v>
      </c>
      <c r="S4404">
        <v>0</v>
      </c>
      <c r="T4404" s="2">
        <v>1398.6</v>
      </c>
      <c r="U4404">
        <v>0</v>
      </c>
      <c r="V4404" s="2">
        <v>1398.6</v>
      </c>
      <c r="W4404" t="str">
        <f>"$"</f>
        <v>$</v>
      </c>
      <c r="X4404">
        <v>0</v>
      </c>
      <c r="Y4404">
        <v>0</v>
      </c>
      <c r="Z4404">
        <v>0</v>
      </c>
      <c r="AA4404" t="str">
        <f>"Y"</f>
        <v>Y</v>
      </c>
      <c r="AB4404" t="str">
        <f>"SO17000189"</f>
        <v>SO17000189</v>
      </c>
      <c r="AC4404">
        <v>1</v>
      </c>
      <c r="AD4404" s="1">
        <v>42801</v>
      </c>
      <c r="AE4404" t="str">
        <f>"SH17001460"</f>
        <v>SH17001460</v>
      </c>
      <c r="AF4404" t="str">
        <f>"משלוחים ללקוח"</f>
        <v>משלוחים ללקוח</v>
      </c>
      <c r="AG4404" s="1">
        <v>42904</v>
      </c>
      <c r="AM4404" t="str">
        <f>"10"</f>
        <v>10</v>
      </c>
      <c r="AN4404" t="str">
        <f>"500000"</f>
        <v>500000</v>
      </c>
      <c r="AO4404" t="str">
        <f>"הכנסות  מלקוחות"</f>
        <v>הכנסות  מלקוחות</v>
      </c>
      <c r="AQ4404" t="str">
        <f>"017"</f>
        <v>017</v>
      </c>
      <c r="AR4404">
        <v>0</v>
      </c>
      <c r="AS4404">
        <v>0</v>
      </c>
      <c r="AT4404">
        <v>3.5329999999999999</v>
      </c>
      <c r="AX4404" t="str">
        <f>"E000234345"</f>
        <v>E000234345</v>
      </c>
      <c r="BD4404" t="str">
        <f>"שחר דאהמן"</f>
        <v>שחר דאהמן</v>
      </c>
    </row>
    <row r="4405" spans="1:56" x14ac:dyDescent="0.3">
      <c r="A4405" s="1">
        <v>42906</v>
      </c>
      <c r="B4405" t="str">
        <f>"SI176000899"</f>
        <v>SI176000899</v>
      </c>
      <c r="C4405" t="str">
        <f>"PR17001471"</f>
        <v>PR17001471</v>
      </c>
      <c r="E4405" t="str">
        <f>"Y"</f>
        <v>Y</v>
      </c>
      <c r="F4405" t="str">
        <f>"חשבוניות מרכזות"</f>
        <v>חשבוניות מרכזות</v>
      </c>
      <c r="G4405" t="str">
        <f>"700065"</f>
        <v>700065</v>
      </c>
      <c r="H4405" t="str">
        <f>"אלתא מערכות בע""מ"</f>
        <v>אלתא מערכות בע"מ</v>
      </c>
      <c r="I4405" t="str">
        <f>"10"</f>
        <v>10</v>
      </c>
      <c r="J4405" t="str">
        <f>"OP-AR00466"</f>
        <v>OP-AR00466</v>
      </c>
      <c r="K4405" t="str">
        <f>"רתמה REV;B 1036N633-001"</f>
        <v>רתמה REV;B 1036N633-001</v>
      </c>
      <c r="L4405">
        <v>3</v>
      </c>
      <c r="M4405" t="str">
        <f>"יח"</f>
        <v>יח</v>
      </c>
      <c r="N4405">
        <v>3</v>
      </c>
      <c r="O4405" t="str">
        <f>"יח"</f>
        <v>יח</v>
      </c>
      <c r="P4405">
        <v>548.1</v>
      </c>
      <c r="Q4405" t="str">
        <f>"$"</f>
        <v>$</v>
      </c>
      <c r="R4405" t="str">
        <f>"הזמנה"</f>
        <v>הזמנה</v>
      </c>
      <c r="S4405">
        <v>0</v>
      </c>
      <c r="T4405" s="2">
        <v>1644.3</v>
      </c>
      <c r="U4405">
        <v>0</v>
      </c>
      <c r="V4405" s="2">
        <v>1644.3</v>
      </c>
      <c r="W4405" t="str">
        <f>"$"</f>
        <v>$</v>
      </c>
      <c r="X4405">
        <v>0</v>
      </c>
      <c r="Y4405">
        <v>0</v>
      </c>
      <c r="Z4405">
        <v>0</v>
      </c>
      <c r="AA4405" t="str">
        <f>"Y"</f>
        <v>Y</v>
      </c>
      <c r="AB4405" t="str">
        <f>"SO17000164"</f>
        <v>SO17000164</v>
      </c>
      <c r="AC4405">
        <v>9</v>
      </c>
      <c r="AD4405" s="1">
        <v>42793</v>
      </c>
      <c r="AE4405" t="str">
        <f>"SH17001463"</f>
        <v>SH17001463</v>
      </c>
      <c r="AF4405" t="str">
        <f>"משלוחים ללקוח"</f>
        <v>משלוחים ללקוח</v>
      </c>
      <c r="AG4405" s="1">
        <v>42904</v>
      </c>
      <c r="AM4405" t="str">
        <f>"10"</f>
        <v>10</v>
      </c>
      <c r="AN4405" t="str">
        <f>"500000"</f>
        <v>500000</v>
      </c>
      <c r="AO4405" t="str">
        <f>"הכנסות  מלקוחות"</f>
        <v>הכנסות  מלקוחות</v>
      </c>
      <c r="AQ4405" t="str">
        <f>"017"</f>
        <v>017</v>
      </c>
      <c r="AR4405">
        <v>0</v>
      </c>
      <c r="AS4405">
        <v>0</v>
      </c>
      <c r="AT4405">
        <v>3.5329999999999999</v>
      </c>
      <c r="AX4405" t="str">
        <f>"E000233149"</f>
        <v>E000233149</v>
      </c>
      <c r="BD4405" t="str">
        <f>"שחר דאהמן"</f>
        <v>שחר דאהמן</v>
      </c>
    </row>
    <row r="4406" spans="1:56" x14ac:dyDescent="0.3">
      <c r="A4406" s="1">
        <v>42906</v>
      </c>
      <c r="B4406" t="str">
        <f>"SI176000898"</f>
        <v>SI176000898</v>
      </c>
      <c r="C4406" t="str">
        <f>"PR17001489"</f>
        <v>PR17001489</v>
      </c>
      <c r="D4406" t="str">
        <f>"PR17001489"</f>
        <v>PR17001489</v>
      </c>
      <c r="E4406" t="str">
        <f>"Y"</f>
        <v>Y</v>
      </c>
      <c r="F4406" t="str">
        <f>"חשבוניות מרכזות"</f>
        <v>חשבוניות מרכזות</v>
      </c>
      <c r="G4406" t="str">
        <f>"700065"</f>
        <v>700065</v>
      </c>
      <c r="H4406" t="str">
        <f>"אלתא מערכות בע""מ"</f>
        <v>אלתא מערכות בע"מ</v>
      </c>
      <c r="I4406" t="str">
        <f>"10"</f>
        <v>10</v>
      </c>
      <c r="J4406" t="str">
        <f>"OP-AR00551"</f>
        <v>OP-AR00551</v>
      </c>
      <c r="K4406" t="str">
        <f>"רתמה 4005F226-001 HARNESS W0013-PEDESTAL TO JU"</f>
        <v>רתמה 4005F226-001 HARNESS W0013-PEDESTAL TO JU</v>
      </c>
      <c r="L4406">
        <v>23</v>
      </c>
      <c r="M4406" t="str">
        <f>"יח"</f>
        <v>יח</v>
      </c>
      <c r="N4406">
        <v>23</v>
      </c>
      <c r="O4406" t="str">
        <f>"יח"</f>
        <v>יח</v>
      </c>
      <c r="P4406">
        <v>400</v>
      </c>
      <c r="Q4406" t="str">
        <f>"$"</f>
        <v>$</v>
      </c>
      <c r="R4406" t="str">
        <f>"הזמנה"</f>
        <v>הזמנה</v>
      </c>
      <c r="S4406">
        <v>0</v>
      </c>
      <c r="T4406" s="2">
        <v>9200</v>
      </c>
      <c r="U4406">
        <v>0</v>
      </c>
      <c r="V4406" s="2">
        <v>9200</v>
      </c>
      <c r="W4406" t="str">
        <f>"$"</f>
        <v>$</v>
      </c>
      <c r="X4406">
        <v>0</v>
      </c>
      <c r="Y4406">
        <v>0</v>
      </c>
      <c r="Z4406">
        <v>0</v>
      </c>
      <c r="AA4406" t="str">
        <f>"Y"</f>
        <v>Y</v>
      </c>
      <c r="AB4406" t="str">
        <f>"SO17000165"</f>
        <v>SO17000165</v>
      </c>
      <c r="AC4406">
        <v>2</v>
      </c>
      <c r="AD4406" s="1">
        <v>42793</v>
      </c>
      <c r="AE4406" t="str">
        <f>"SH17001465"</f>
        <v>SH17001465</v>
      </c>
      <c r="AF4406" t="str">
        <f>"משלוחים ללקוח"</f>
        <v>משלוחים ללקוח</v>
      </c>
      <c r="AG4406" s="1">
        <v>42904</v>
      </c>
      <c r="AM4406" t="str">
        <f>"10"</f>
        <v>10</v>
      </c>
      <c r="AN4406" t="str">
        <f>"500000"</f>
        <v>500000</v>
      </c>
      <c r="AO4406" t="str">
        <f>"הכנסות  מלקוחות"</f>
        <v>הכנסות  מלקוחות</v>
      </c>
      <c r="AQ4406" t="str">
        <f>"017"</f>
        <v>017</v>
      </c>
      <c r="AR4406">
        <v>0</v>
      </c>
      <c r="AS4406">
        <v>0</v>
      </c>
      <c r="AT4406">
        <v>3.5329999999999999</v>
      </c>
      <c r="AX4406" t="str">
        <f>"E000233843"</f>
        <v>E000233843</v>
      </c>
      <c r="BD4406" t="str">
        <f>"שחר דאהמן"</f>
        <v>שחר דאהמן</v>
      </c>
    </row>
    <row r="4407" spans="1:56" x14ac:dyDescent="0.3">
      <c r="A4407" s="1">
        <v>42905</v>
      </c>
      <c r="B4407" t="str">
        <f>"SI176000875"</f>
        <v>SI176000875</v>
      </c>
      <c r="C4407" t="str">
        <f>"PR16000911"</f>
        <v>PR16000911</v>
      </c>
      <c r="D4407" t="str">
        <f>"PR16000911"</f>
        <v>PR16000911</v>
      </c>
      <c r="E4407" t="str">
        <f>"Y"</f>
        <v>Y</v>
      </c>
      <c r="F4407" t="str">
        <f>"חשבוניות מרכזות"</f>
        <v>חשבוניות מרכזות</v>
      </c>
      <c r="G4407" t="str">
        <f>"700065"</f>
        <v>700065</v>
      </c>
      <c r="H4407" t="str">
        <f>"אלתא מערכות בע""מ"</f>
        <v>אלתא מערכות בע"מ</v>
      </c>
      <c r="I4407" t="str">
        <f>"10"</f>
        <v>10</v>
      </c>
      <c r="J4407" t="str">
        <f>"OP-AR00423"</f>
        <v>OP-AR00423</v>
      </c>
      <c r="K4407" t="str">
        <f>"1037H301-001 RECEIVER RACK MECHANICAL AND WIRING"</f>
        <v>1037H301-001 RECEIVER RACK MECHANICAL AND WIRING</v>
      </c>
      <c r="L4407">
        <v>1</v>
      </c>
      <c r="M4407" t="str">
        <f>"יח"</f>
        <v>יח</v>
      </c>
      <c r="N4407">
        <v>1</v>
      </c>
      <c r="O4407" t="str">
        <f>"יח"</f>
        <v>יח</v>
      </c>
      <c r="P4407" s="2">
        <v>44180</v>
      </c>
      <c r="Q4407" t="str">
        <f>"$"</f>
        <v>$</v>
      </c>
      <c r="R4407" t="str">
        <f>"הזמנה"</f>
        <v>הזמנה</v>
      </c>
      <c r="S4407">
        <v>0</v>
      </c>
      <c r="T4407" s="2">
        <v>44180</v>
      </c>
      <c r="U4407">
        <v>0</v>
      </c>
      <c r="V4407" s="2">
        <v>44180</v>
      </c>
      <c r="W4407" t="str">
        <f>"$"</f>
        <v>$</v>
      </c>
      <c r="X4407">
        <v>0</v>
      </c>
      <c r="Y4407">
        <v>0</v>
      </c>
      <c r="Z4407">
        <v>0</v>
      </c>
      <c r="AA4407" t="str">
        <f>"Y"</f>
        <v>Y</v>
      </c>
      <c r="AB4407" t="str">
        <f>"SO160000673"</f>
        <v>SO160000673</v>
      </c>
      <c r="AC4407">
        <v>1</v>
      </c>
      <c r="AD4407" s="1">
        <v>42626</v>
      </c>
      <c r="AE4407" t="str">
        <f>"SH17000722"</f>
        <v>SH17000722</v>
      </c>
      <c r="AF4407" t="str">
        <f>"משלוחים ללקוח"</f>
        <v>משלוחים ללקוח</v>
      </c>
      <c r="AG4407" s="1">
        <v>42817</v>
      </c>
      <c r="AM4407" t="str">
        <f>"10"</f>
        <v>10</v>
      </c>
      <c r="AN4407" t="str">
        <f>"500000"</f>
        <v>500000</v>
      </c>
      <c r="AO4407" t="str">
        <f>"הכנסות  מלקוחות"</f>
        <v>הכנסות  מלקוחות</v>
      </c>
      <c r="AQ4407" t="str">
        <f>"007"</f>
        <v>007</v>
      </c>
      <c r="AR4407">
        <v>0</v>
      </c>
      <c r="AS4407">
        <v>0</v>
      </c>
      <c r="AT4407">
        <v>3.5270000000000001</v>
      </c>
      <c r="AX4407" t="str">
        <f>"E000224792"</f>
        <v>E000224792</v>
      </c>
      <c r="BD4407" t="str">
        <f>"רוני דידי"</f>
        <v>רוני דידי</v>
      </c>
    </row>
    <row r="4408" spans="1:56" x14ac:dyDescent="0.3">
      <c r="A4408" s="1">
        <v>42898</v>
      </c>
      <c r="B4408" t="str">
        <f>"SI176000814"</f>
        <v>SI176000814</v>
      </c>
      <c r="E4408" t="str">
        <f>"Y"</f>
        <v>Y</v>
      </c>
      <c r="F4408" t="str">
        <f>"חשבוניות מרכזות"</f>
        <v>חשבוניות מרכזות</v>
      </c>
      <c r="G4408" t="str">
        <f>"700065"</f>
        <v>700065</v>
      </c>
      <c r="H4408" t="str">
        <f>"אלתא מערכות בע""מ"</f>
        <v>אלתא מערכות בע"מ</v>
      </c>
      <c r="I4408" t="str">
        <f>"10"</f>
        <v>10</v>
      </c>
      <c r="J4408" t="str">
        <f>"OP-AR00466"</f>
        <v>OP-AR00466</v>
      </c>
      <c r="K4408" t="str">
        <f>"רתמה REV;B 1036N633-001"</f>
        <v>רתמה REV;B 1036N633-001</v>
      </c>
      <c r="L4408">
        <v>5</v>
      </c>
      <c r="M4408" t="str">
        <f>"יח"</f>
        <v>יח</v>
      </c>
      <c r="N4408">
        <v>5</v>
      </c>
      <c r="O4408" t="str">
        <f>"יח"</f>
        <v>יח</v>
      </c>
      <c r="P4408">
        <v>548.1</v>
      </c>
      <c r="Q4408" t="str">
        <f>"$"</f>
        <v>$</v>
      </c>
      <c r="R4408" t="str">
        <f>"הזמנה"</f>
        <v>הזמנה</v>
      </c>
      <c r="S4408">
        <v>0</v>
      </c>
      <c r="T4408" s="2">
        <v>2740.5</v>
      </c>
      <c r="U4408">
        <v>0</v>
      </c>
      <c r="V4408" s="2">
        <v>2740.5</v>
      </c>
      <c r="W4408" t="str">
        <f>"$"</f>
        <v>$</v>
      </c>
      <c r="X4408">
        <v>0</v>
      </c>
      <c r="Y4408">
        <v>0</v>
      </c>
      <c r="Z4408">
        <v>0</v>
      </c>
      <c r="AA4408" t="str">
        <f>"Y"</f>
        <v>Y</v>
      </c>
      <c r="AB4408" t="str">
        <f>"SO17000164"</f>
        <v>SO17000164</v>
      </c>
      <c r="AC4408">
        <v>7</v>
      </c>
      <c r="AD4408" s="1">
        <v>42793</v>
      </c>
      <c r="AE4408" t="str">
        <f>"SH17001375"</f>
        <v>SH17001375</v>
      </c>
      <c r="AF4408" t="str">
        <f>"משלוחים ללקוח"</f>
        <v>משלוחים ללקוח</v>
      </c>
      <c r="AG4408" s="1">
        <v>42897</v>
      </c>
      <c r="AM4408" t="str">
        <f>"10"</f>
        <v>10</v>
      </c>
      <c r="AN4408" t="str">
        <f>"500000"</f>
        <v>500000</v>
      </c>
      <c r="AO4408" t="str">
        <f>"הכנסות  מלקוחות"</f>
        <v>הכנסות  מלקוחות</v>
      </c>
      <c r="AQ4408" t="str">
        <f>"017"</f>
        <v>017</v>
      </c>
      <c r="AR4408">
        <v>0</v>
      </c>
      <c r="AS4408">
        <v>0</v>
      </c>
      <c r="AT4408">
        <v>3.5329999999999999</v>
      </c>
      <c r="AX4408" t="str">
        <f>"E000233149"</f>
        <v>E000233149</v>
      </c>
      <c r="BD4408" t="str">
        <f>"שחר דאהמן"</f>
        <v>שחר דאהמן</v>
      </c>
    </row>
    <row r="4409" spans="1:56" x14ac:dyDescent="0.3">
      <c r="A4409" s="1">
        <v>42898</v>
      </c>
      <c r="B4409" t="str">
        <f>"SI176000814"</f>
        <v>SI176000814</v>
      </c>
      <c r="E4409" t="str">
        <f>"Y"</f>
        <v>Y</v>
      </c>
      <c r="F4409" t="str">
        <f>"חשבוניות מרכזות"</f>
        <v>חשבוניות מרכזות</v>
      </c>
      <c r="G4409" t="str">
        <f>"700065"</f>
        <v>700065</v>
      </c>
      <c r="H4409" t="str">
        <f>"אלתא מערכות בע""מ"</f>
        <v>אלתא מערכות בע"מ</v>
      </c>
      <c r="I4409" t="str">
        <f>"10"</f>
        <v>10</v>
      </c>
      <c r="J4409" t="str">
        <f>"OP-AR00466"</f>
        <v>OP-AR00466</v>
      </c>
      <c r="K4409" t="str">
        <f>"רתמה REV;B 1036N633-001"</f>
        <v>רתמה REV;B 1036N633-001</v>
      </c>
      <c r="L4409">
        <v>1</v>
      </c>
      <c r="M4409" t="str">
        <f>"יח"</f>
        <v>יח</v>
      </c>
      <c r="N4409">
        <v>1</v>
      </c>
      <c r="O4409" t="str">
        <f>"יח"</f>
        <v>יח</v>
      </c>
      <c r="P4409">
        <v>548.1</v>
      </c>
      <c r="Q4409" t="str">
        <f>"$"</f>
        <v>$</v>
      </c>
      <c r="R4409" t="str">
        <f>"הזמנה"</f>
        <v>הזמנה</v>
      </c>
      <c r="S4409">
        <v>0</v>
      </c>
      <c r="T4409">
        <v>548.1</v>
      </c>
      <c r="U4409">
        <v>0</v>
      </c>
      <c r="V4409">
        <v>548.1</v>
      </c>
      <c r="W4409" t="str">
        <f>"$"</f>
        <v>$</v>
      </c>
      <c r="X4409">
        <v>0</v>
      </c>
      <c r="Y4409">
        <v>0</v>
      </c>
      <c r="Z4409">
        <v>0</v>
      </c>
      <c r="AA4409" t="str">
        <f>"Y"</f>
        <v>Y</v>
      </c>
      <c r="AB4409" t="str">
        <f>"SO17000164"</f>
        <v>SO17000164</v>
      </c>
      <c r="AC4409">
        <v>8</v>
      </c>
      <c r="AD4409" s="1">
        <v>42793</v>
      </c>
      <c r="AE4409" t="str">
        <f>"SH17001375"</f>
        <v>SH17001375</v>
      </c>
      <c r="AF4409" t="str">
        <f>"משלוחים ללקוח"</f>
        <v>משלוחים ללקוח</v>
      </c>
      <c r="AG4409" s="1">
        <v>42897</v>
      </c>
      <c r="AM4409" t="str">
        <f>"10"</f>
        <v>10</v>
      </c>
      <c r="AN4409" t="str">
        <f>"500000"</f>
        <v>500000</v>
      </c>
      <c r="AO4409" t="str">
        <f>"הכנסות  מלקוחות"</f>
        <v>הכנסות  מלקוחות</v>
      </c>
      <c r="AQ4409" t="str">
        <f>"017"</f>
        <v>017</v>
      </c>
      <c r="AR4409">
        <v>0</v>
      </c>
      <c r="AS4409">
        <v>0</v>
      </c>
      <c r="AT4409">
        <v>3.5329999999999999</v>
      </c>
      <c r="AX4409" t="str">
        <f>"E000233149"</f>
        <v>E000233149</v>
      </c>
      <c r="BD4409" t="str">
        <f>"שחר דאהמן"</f>
        <v>שחר דאהמן</v>
      </c>
    </row>
    <row r="4410" spans="1:56" x14ac:dyDescent="0.3">
      <c r="A4410" s="1">
        <v>42898</v>
      </c>
      <c r="B4410" t="str">
        <f>"SI176000814"</f>
        <v>SI176000814</v>
      </c>
      <c r="E4410" t="str">
        <f>"Y"</f>
        <v>Y</v>
      </c>
      <c r="F4410" t="str">
        <f>"חשבוניות מרכזות"</f>
        <v>חשבוניות מרכזות</v>
      </c>
      <c r="G4410" t="str">
        <f>"700065"</f>
        <v>700065</v>
      </c>
      <c r="H4410" t="str">
        <f>"אלתא מערכות בע""מ"</f>
        <v>אלתא מערכות בע"מ</v>
      </c>
      <c r="I4410" t="str">
        <f>"10"</f>
        <v>10</v>
      </c>
      <c r="J4410" t="str">
        <f>"OP-AR00466"</f>
        <v>OP-AR00466</v>
      </c>
      <c r="K4410" t="str">
        <f>"רתמה REV;B 1036N633-001"</f>
        <v>רתמה REV;B 1036N633-001</v>
      </c>
      <c r="L4410">
        <v>6</v>
      </c>
      <c r="M4410" t="str">
        <f>"יח"</f>
        <v>יח</v>
      </c>
      <c r="N4410">
        <v>6</v>
      </c>
      <c r="O4410" t="str">
        <f>"יח"</f>
        <v>יח</v>
      </c>
      <c r="P4410">
        <v>548.1</v>
      </c>
      <c r="Q4410" t="str">
        <f>"$"</f>
        <v>$</v>
      </c>
      <c r="R4410" t="str">
        <f>"הזמנה"</f>
        <v>הזמנה</v>
      </c>
      <c r="S4410">
        <v>0</v>
      </c>
      <c r="T4410" s="2">
        <v>3288.6</v>
      </c>
      <c r="U4410">
        <v>0</v>
      </c>
      <c r="V4410" s="2">
        <v>3288.6</v>
      </c>
      <c r="W4410" t="str">
        <f>"$"</f>
        <v>$</v>
      </c>
      <c r="X4410">
        <v>0</v>
      </c>
      <c r="Y4410">
        <v>0</v>
      </c>
      <c r="Z4410">
        <v>0</v>
      </c>
      <c r="AA4410" t="str">
        <f>"Y"</f>
        <v>Y</v>
      </c>
      <c r="AB4410" t="str">
        <f>"SO17000164"</f>
        <v>SO17000164</v>
      </c>
      <c r="AC4410">
        <v>9</v>
      </c>
      <c r="AD4410" s="1">
        <v>42793</v>
      </c>
      <c r="AE4410" t="str">
        <f>"SH17001375"</f>
        <v>SH17001375</v>
      </c>
      <c r="AF4410" t="str">
        <f>"משלוחים ללקוח"</f>
        <v>משלוחים ללקוח</v>
      </c>
      <c r="AG4410" s="1">
        <v>42897</v>
      </c>
      <c r="AM4410" t="str">
        <f>"10"</f>
        <v>10</v>
      </c>
      <c r="AN4410" t="str">
        <f>"500000"</f>
        <v>500000</v>
      </c>
      <c r="AO4410" t="str">
        <f>"הכנסות  מלקוחות"</f>
        <v>הכנסות  מלקוחות</v>
      </c>
      <c r="AQ4410" t="str">
        <f>"017"</f>
        <v>017</v>
      </c>
      <c r="AR4410">
        <v>0</v>
      </c>
      <c r="AS4410">
        <v>0</v>
      </c>
      <c r="AT4410">
        <v>3.5329999999999999</v>
      </c>
      <c r="AX4410" t="str">
        <f>"E000233149"</f>
        <v>E000233149</v>
      </c>
      <c r="BD4410" t="str">
        <f>"שחר דאהמן"</f>
        <v>שחר דאהמן</v>
      </c>
    </row>
    <row r="4411" spans="1:56" x14ac:dyDescent="0.3">
      <c r="A4411" s="1">
        <v>42898</v>
      </c>
      <c r="B4411" t="str">
        <f>"SI176000814"</f>
        <v>SI176000814</v>
      </c>
      <c r="E4411" t="str">
        <f>"Y"</f>
        <v>Y</v>
      </c>
      <c r="F4411" t="str">
        <f>"חשבוניות מרכזות"</f>
        <v>חשבוניות מרכזות</v>
      </c>
      <c r="G4411" t="str">
        <f>"700065"</f>
        <v>700065</v>
      </c>
      <c r="H4411" t="str">
        <f>"אלתא מערכות בע""מ"</f>
        <v>אלתא מערכות בע"מ</v>
      </c>
      <c r="I4411" t="str">
        <f>"10"</f>
        <v>10</v>
      </c>
      <c r="J4411" t="str">
        <f>"OP-AR00465"</f>
        <v>OP-AR00465</v>
      </c>
      <c r="K4411" t="str">
        <f>"רתמה REV;B 1036N632-001"</f>
        <v>רתמה REV;B 1036N632-001</v>
      </c>
      <c r="L4411">
        <v>2</v>
      </c>
      <c r="M4411" t="str">
        <f>"יח"</f>
        <v>יח</v>
      </c>
      <c r="N4411">
        <v>2</v>
      </c>
      <c r="O4411" t="str">
        <f>"יח"</f>
        <v>יח</v>
      </c>
      <c r="P4411">
        <v>864.68</v>
      </c>
      <c r="Q4411" t="str">
        <f>"$"</f>
        <v>$</v>
      </c>
      <c r="R4411" t="str">
        <f>"הזמנה"</f>
        <v>הזמנה</v>
      </c>
      <c r="S4411">
        <v>0</v>
      </c>
      <c r="T4411" s="2">
        <v>1729.36</v>
      </c>
      <c r="U4411">
        <v>0</v>
      </c>
      <c r="V4411" s="2">
        <v>1729.36</v>
      </c>
      <c r="W4411" t="str">
        <f>"$"</f>
        <v>$</v>
      </c>
      <c r="X4411">
        <v>0</v>
      </c>
      <c r="Y4411">
        <v>0</v>
      </c>
      <c r="Z4411">
        <v>0</v>
      </c>
      <c r="AA4411" t="str">
        <f>"Y"</f>
        <v>Y</v>
      </c>
      <c r="AB4411" t="str">
        <f>"SO17000164"</f>
        <v>SO17000164</v>
      </c>
      <c r="AC4411">
        <v>5</v>
      </c>
      <c r="AD4411" s="1">
        <v>42793</v>
      </c>
      <c r="AE4411" t="str">
        <f>"SH17001373"</f>
        <v>SH17001373</v>
      </c>
      <c r="AF4411" t="str">
        <f>"משלוחים ללקוח"</f>
        <v>משלוחים ללקוח</v>
      </c>
      <c r="AG4411" s="1">
        <v>42897</v>
      </c>
      <c r="AM4411" t="str">
        <f>"10"</f>
        <v>10</v>
      </c>
      <c r="AN4411" t="str">
        <f>"500000"</f>
        <v>500000</v>
      </c>
      <c r="AO4411" t="str">
        <f>"הכנסות  מלקוחות"</f>
        <v>הכנסות  מלקוחות</v>
      </c>
      <c r="AQ4411" t="str">
        <f>"017"</f>
        <v>017</v>
      </c>
      <c r="AR4411">
        <v>0</v>
      </c>
      <c r="AS4411">
        <v>0</v>
      </c>
      <c r="AT4411">
        <v>3.5329999999999999</v>
      </c>
      <c r="AX4411" t="str">
        <f>"E000233149"</f>
        <v>E000233149</v>
      </c>
      <c r="BD4411" t="str">
        <f>"שחר דאהמן"</f>
        <v>שחר דאהמן</v>
      </c>
    </row>
    <row r="4412" spans="1:56" x14ac:dyDescent="0.3">
      <c r="A4412" s="1">
        <v>42898</v>
      </c>
      <c r="B4412" t="str">
        <f>"SI176000814"</f>
        <v>SI176000814</v>
      </c>
      <c r="E4412" t="str">
        <f>"Y"</f>
        <v>Y</v>
      </c>
      <c r="F4412" t="str">
        <f>"חשבוניות מרכזות"</f>
        <v>חשבוניות מרכזות</v>
      </c>
      <c r="G4412" t="str">
        <f>"700065"</f>
        <v>700065</v>
      </c>
      <c r="H4412" t="str">
        <f>"אלתא מערכות בע""מ"</f>
        <v>אלתא מערכות בע"מ</v>
      </c>
      <c r="I4412" t="str">
        <f>"10"</f>
        <v>10</v>
      </c>
      <c r="J4412" t="str">
        <f>"OP-AR00465"</f>
        <v>OP-AR00465</v>
      </c>
      <c r="K4412" t="str">
        <f>"רתמה REV;B 1036N632-001"</f>
        <v>רתמה REV;B 1036N632-001</v>
      </c>
      <c r="L4412">
        <v>3</v>
      </c>
      <c r="M4412" t="str">
        <f>"יח"</f>
        <v>יח</v>
      </c>
      <c r="N4412">
        <v>3</v>
      </c>
      <c r="O4412" t="str">
        <f>"יח"</f>
        <v>יח</v>
      </c>
      <c r="P4412">
        <v>864.68</v>
      </c>
      <c r="Q4412" t="str">
        <f>"$"</f>
        <v>$</v>
      </c>
      <c r="R4412" t="str">
        <f>"הזמנה"</f>
        <v>הזמנה</v>
      </c>
      <c r="S4412">
        <v>0</v>
      </c>
      <c r="T4412" s="2">
        <v>2594.04</v>
      </c>
      <c r="U4412">
        <v>0</v>
      </c>
      <c r="V4412" s="2">
        <v>2594.04</v>
      </c>
      <c r="W4412" t="str">
        <f>"$"</f>
        <v>$</v>
      </c>
      <c r="X4412">
        <v>0</v>
      </c>
      <c r="Y4412">
        <v>0</v>
      </c>
      <c r="Z4412">
        <v>0</v>
      </c>
      <c r="AA4412" t="str">
        <f>"Y"</f>
        <v>Y</v>
      </c>
      <c r="AB4412" t="str">
        <f>"SO17000164"</f>
        <v>SO17000164</v>
      </c>
      <c r="AC4412">
        <v>6</v>
      </c>
      <c r="AD4412" s="1">
        <v>42793</v>
      </c>
      <c r="AE4412" t="str">
        <f>"SH17001373"</f>
        <v>SH17001373</v>
      </c>
      <c r="AF4412" t="str">
        <f>"משלוחים ללקוח"</f>
        <v>משלוחים ללקוח</v>
      </c>
      <c r="AG4412" s="1">
        <v>42897</v>
      </c>
      <c r="AM4412" t="str">
        <f>"10"</f>
        <v>10</v>
      </c>
      <c r="AN4412" t="str">
        <f>"500000"</f>
        <v>500000</v>
      </c>
      <c r="AO4412" t="str">
        <f>"הכנסות  מלקוחות"</f>
        <v>הכנסות  מלקוחות</v>
      </c>
      <c r="AQ4412" t="str">
        <f>"017"</f>
        <v>017</v>
      </c>
      <c r="AR4412">
        <v>0</v>
      </c>
      <c r="AS4412">
        <v>0</v>
      </c>
      <c r="AT4412">
        <v>3.5329999999999999</v>
      </c>
      <c r="AX4412" t="str">
        <f>"E000233149"</f>
        <v>E000233149</v>
      </c>
      <c r="BD4412" t="str">
        <f>"שחר דאהמן"</f>
        <v>שחר דאהמן</v>
      </c>
    </row>
    <row r="4413" spans="1:56" x14ac:dyDescent="0.3">
      <c r="A4413" s="1">
        <v>42898</v>
      </c>
      <c r="B4413" t="str">
        <f>"SI176000814"</f>
        <v>SI176000814</v>
      </c>
      <c r="E4413" t="str">
        <f>"Y"</f>
        <v>Y</v>
      </c>
      <c r="F4413" t="str">
        <f>"חשבוניות מרכזות"</f>
        <v>חשבוניות מרכזות</v>
      </c>
      <c r="G4413" t="str">
        <f>"700065"</f>
        <v>700065</v>
      </c>
      <c r="H4413" t="str">
        <f>"אלתא מערכות בע""מ"</f>
        <v>אלתא מערכות בע"מ</v>
      </c>
      <c r="I4413" t="str">
        <f>"10"</f>
        <v>10</v>
      </c>
      <c r="J4413" t="str">
        <f>"OP-AR00464"</f>
        <v>OP-AR00464</v>
      </c>
      <c r="K4413" t="str">
        <f>"רתמה REV;A 1036N631-001"</f>
        <v>רתמה REV;A 1036N631-001</v>
      </c>
      <c r="L4413">
        <v>2</v>
      </c>
      <c r="M4413" t="str">
        <f>"יח"</f>
        <v>יח</v>
      </c>
      <c r="N4413">
        <v>2</v>
      </c>
      <c r="O4413" t="str">
        <f>"יח"</f>
        <v>יח</v>
      </c>
      <c r="P4413">
        <v>699.3</v>
      </c>
      <c r="Q4413" t="str">
        <f>"$"</f>
        <v>$</v>
      </c>
      <c r="R4413" t="str">
        <f>"הזמנה"</f>
        <v>הזמנה</v>
      </c>
      <c r="S4413">
        <v>0</v>
      </c>
      <c r="T4413" s="2">
        <v>1398.6</v>
      </c>
      <c r="U4413">
        <v>0</v>
      </c>
      <c r="V4413" s="2">
        <v>1398.6</v>
      </c>
      <c r="W4413" t="str">
        <f>"$"</f>
        <v>$</v>
      </c>
      <c r="X4413">
        <v>0</v>
      </c>
      <c r="Y4413">
        <v>0</v>
      </c>
      <c r="Z4413">
        <v>0</v>
      </c>
      <c r="AA4413" t="str">
        <f>"Y"</f>
        <v>Y</v>
      </c>
      <c r="AB4413" t="str">
        <f>"SO17000164"</f>
        <v>SO17000164</v>
      </c>
      <c r="AC4413">
        <v>2</v>
      </c>
      <c r="AD4413" s="1">
        <v>42793</v>
      </c>
      <c r="AE4413" t="str">
        <f>"SH17001374"</f>
        <v>SH17001374</v>
      </c>
      <c r="AF4413" t="str">
        <f>"משלוחים ללקוח"</f>
        <v>משלוחים ללקוח</v>
      </c>
      <c r="AG4413" s="1">
        <v>42897</v>
      </c>
      <c r="AM4413" t="str">
        <f>"10"</f>
        <v>10</v>
      </c>
      <c r="AN4413" t="str">
        <f>"500000"</f>
        <v>500000</v>
      </c>
      <c r="AO4413" t="str">
        <f>"הכנסות  מלקוחות"</f>
        <v>הכנסות  מלקוחות</v>
      </c>
      <c r="AQ4413" t="str">
        <f>"017"</f>
        <v>017</v>
      </c>
      <c r="AR4413">
        <v>0</v>
      </c>
      <c r="AS4413">
        <v>0</v>
      </c>
      <c r="AT4413">
        <v>3.5329999999999999</v>
      </c>
      <c r="AX4413" t="str">
        <f>"E000233149"</f>
        <v>E000233149</v>
      </c>
      <c r="BD4413" t="str">
        <f>"שחר דאהמן"</f>
        <v>שחר דאהמן</v>
      </c>
    </row>
    <row r="4414" spans="1:56" x14ac:dyDescent="0.3">
      <c r="A4414" s="1">
        <v>42898</v>
      </c>
      <c r="B4414" t="str">
        <f>"SI176000814"</f>
        <v>SI176000814</v>
      </c>
      <c r="E4414" t="str">
        <f>"Y"</f>
        <v>Y</v>
      </c>
      <c r="F4414" t="str">
        <f>"חשבוניות מרכזות"</f>
        <v>חשבוניות מרכזות</v>
      </c>
      <c r="G4414" t="str">
        <f>"700065"</f>
        <v>700065</v>
      </c>
      <c r="H4414" t="str">
        <f>"אלתא מערכות בע""מ"</f>
        <v>אלתא מערכות בע"מ</v>
      </c>
      <c r="I4414" t="str">
        <f>"10"</f>
        <v>10</v>
      </c>
      <c r="J4414" t="str">
        <f>"OP-AR00464"</f>
        <v>OP-AR00464</v>
      </c>
      <c r="K4414" t="str">
        <f>"רתמה REV;A 1036N631-001"</f>
        <v>רתמה REV;A 1036N631-001</v>
      </c>
      <c r="L4414">
        <v>3</v>
      </c>
      <c r="M4414" t="str">
        <f>"יח"</f>
        <v>יח</v>
      </c>
      <c r="N4414">
        <v>3</v>
      </c>
      <c r="O4414" t="str">
        <f>"יח"</f>
        <v>יח</v>
      </c>
      <c r="P4414">
        <v>699.3</v>
      </c>
      <c r="Q4414" t="str">
        <f>"$"</f>
        <v>$</v>
      </c>
      <c r="R4414" t="str">
        <f>"הזמנה"</f>
        <v>הזמנה</v>
      </c>
      <c r="S4414">
        <v>0</v>
      </c>
      <c r="T4414" s="2">
        <v>2097.9</v>
      </c>
      <c r="U4414">
        <v>0</v>
      </c>
      <c r="V4414" s="2">
        <v>2097.9</v>
      </c>
      <c r="W4414" t="str">
        <f>"$"</f>
        <v>$</v>
      </c>
      <c r="X4414">
        <v>0</v>
      </c>
      <c r="Y4414">
        <v>0</v>
      </c>
      <c r="Z4414">
        <v>0</v>
      </c>
      <c r="AA4414" t="str">
        <f>"Y"</f>
        <v>Y</v>
      </c>
      <c r="AB4414" t="str">
        <f>"SO17000164"</f>
        <v>SO17000164</v>
      </c>
      <c r="AC4414">
        <v>3</v>
      </c>
      <c r="AD4414" s="1">
        <v>42793</v>
      </c>
      <c r="AE4414" t="str">
        <f>"SH17001374"</f>
        <v>SH17001374</v>
      </c>
      <c r="AF4414" t="str">
        <f>"משלוחים ללקוח"</f>
        <v>משלוחים ללקוח</v>
      </c>
      <c r="AG4414" s="1">
        <v>42897</v>
      </c>
      <c r="AM4414" t="str">
        <f>"10"</f>
        <v>10</v>
      </c>
      <c r="AN4414" t="str">
        <f>"500000"</f>
        <v>500000</v>
      </c>
      <c r="AO4414" t="str">
        <f>"הכנסות  מלקוחות"</f>
        <v>הכנסות  מלקוחות</v>
      </c>
      <c r="AQ4414" t="str">
        <f>"017"</f>
        <v>017</v>
      </c>
      <c r="AR4414">
        <v>0</v>
      </c>
      <c r="AS4414">
        <v>0</v>
      </c>
      <c r="AT4414">
        <v>3.5329999999999999</v>
      </c>
      <c r="AX4414" t="str">
        <f>"E000233149"</f>
        <v>E000233149</v>
      </c>
      <c r="BD4414" t="str">
        <f>"שחר דאהמן"</f>
        <v>שחר דאהמן</v>
      </c>
    </row>
    <row r="4415" spans="1:56" x14ac:dyDescent="0.3">
      <c r="A4415" s="1">
        <v>42892</v>
      </c>
      <c r="B4415" t="str">
        <f>"SI176000762"</f>
        <v>SI176000762</v>
      </c>
      <c r="C4415" t="str">
        <f>"PR17001406"</f>
        <v>PR17001406</v>
      </c>
      <c r="D4415" t="str">
        <f>"PR17001406"</f>
        <v>PR17001406</v>
      </c>
      <c r="E4415" t="str">
        <f>"Y"</f>
        <v>Y</v>
      </c>
      <c r="F4415" t="str">
        <f>"חשבוניות מרכזות"</f>
        <v>חשבוניות מרכזות</v>
      </c>
      <c r="G4415" t="str">
        <f>"700065"</f>
        <v>700065</v>
      </c>
      <c r="H4415" t="str">
        <f>"אלתא מערכות בע""מ"</f>
        <v>אלתא מערכות בע"מ</v>
      </c>
      <c r="I4415" t="str">
        <f>"10"</f>
        <v>10</v>
      </c>
      <c r="J4415" t="str">
        <f>"OP-AR00454"</f>
        <v>OP-AR00454</v>
      </c>
      <c r="K4415" t="str">
        <f>"PDU 380V/50HZ/3 PH AC POWER BOX"</f>
        <v>PDU 380V/50HZ/3 PH AC POWER BOX</v>
      </c>
      <c r="L4415">
        <v>12</v>
      </c>
      <c r="M4415" t="str">
        <f>"יח"</f>
        <v>יח</v>
      </c>
      <c r="N4415">
        <v>12</v>
      </c>
      <c r="O4415" t="str">
        <f>"יח"</f>
        <v>יח</v>
      </c>
      <c r="P4415" s="2">
        <v>1150</v>
      </c>
      <c r="Q4415" t="str">
        <f>"$"</f>
        <v>$</v>
      </c>
      <c r="R4415" t="str">
        <f>"הזמנה"</f>
        <v>הזמנה</v>
      </c>
      <c r="S4415">
        <v>0</v>
      </c>
      <c r="T4415" s="2">
        <v>13800</v>
      </c>
      <c r="U4415">
        <v>0</v>
      </c>
      <c r="V4415" s="2">
        <v>13800</v>
      </c>
      <c r="W4415" t="str">
        <f>"$"</f>
        <v>$</v>
      </c>
      <c r="X4415">
        <v>0</v>
      </c>
      <c r="Y4415">
        <v>0</v>
      </c>
      <c r="Z4415">
        <v>0</v>
      </c>
      <c r="AA4415" t="str">
        <f>"Y"</f>
        <v>Y</v>
      </c>
      <c r="AB4415" t="str">
        <f>"SO17000064"</f>
        <v>SO17000064</v>
      </c>
      <c r="AC4415">
        <v>1</v>
      </c>
      <c r="AD4415" s="1">
        <v>42768</v>
      </c>
      <c r="AE4415" t="str">
        <f>"SH17001347"</f>
        <v>SH17001347</v>
      </c>
      <c r="AF4415" t="str">
        <f>"משלוחים ללקוח"</f>
        <v>משלוחים ללקוח</v>
      </c>
      <c r="AG4415" s="1">
        <v>42892</v>
      </c>
      <c r="AM4415" t="str">
        <f>"10"</f>
        <v>10</v>
      </c>
      <c r="AN4415" t="str">
        <f>"500000"</f>
        <v>500000</v>
      </c>
      <c r="AO4415" t="str">
        <f>"הכנסות  מלקוחות"</f>
        <v>הכנסות  מלקוחות</v>
      </c>
      <c r="AQ4415" t="str">
        <f>"007"</f>
        <v>007</v>
      </c>
      <c r="AR4415">
        <v>0</v>
      </c>
      <c r="AS4415">
        <v>0</v>
      </c>
      <c r="AT4415">
        <v>3.5449999999999999</v>
      </c>
      <c r="AX4415" t="str">
        <f>"E000231439"</f>
        <v>E000231439</v>
      </c>
      <c r="BD4415" t="str">
        <f>"רוני דידי"</f>
        <v>רוני דידי</v>
      </c>
    </row>
    <row r="4416" spans="1:56" x14ac:dyDescent="0.3">
      <c r="A4416" s="1">
        <v>42891</v>
      </c>
      <c r="B4416" t="str">
        <f>"SI176000927"</f>
        <v>SI176000927</v>
      </c>
      <c r="C4416" t="str">
        <f>"PR16000776"</f>
        <v>PR16000776</v>
      </c>
      <c r="D4416" t="str">
        <f>"PR16000776"</f>
        <v>PR16000776</v>
      </c>
      <c r="E4416" t="str">
        <f>"Y"</f>
        <v>Y</v>
      </c>
      <c r="F4416" t="str">
        <f>"חשבוניות מרכזות"</f>
        <v>חשבוניות מרכזות</v>
      </c>
      <c r="G4416" t="str">
        <f>"700065"</f>
        <v>700065</v>
      </c>
      <c r="H4416" t="str">
        <f>"אלתא מערכות בע""מ"</f>
        <v>אלתא מערכות בע"מ</v>
      </c>
      <c r="I4416" t="str">
        <f>"10"</f>
        <v>10</v>
      </c>
      <c r="J4416" t="str">
        <f>"OP-AR00402"</f>
        <v>OP-AR00402</v>
      </c>
      <c r="K4416" t="str">
        <f>"RADAR POWER SYSTEM 1039R900-001"</f>
        <v>RADAR POWER SYSTEM 1039R900-001</v>
      </c>
      <c r="L4416">
        <v>1</v>
      </c>
      <c r="M4416" t="str">
        <f>"יח"</f>
        <v>יח</v>
      </c>
      <c r="N4416">
        <v>1</v>
      </c>
      <c r="O4416" t="str">
        <f>"יח"</f>
        <v>יח</v>
      </c>
      <c r="P4416" s="2">
        <v>207191.66</v>
      </c>
      <c r="Q4416" t="str">
        <f>"$"</f>
        <v>$</v>
      </c>
      <c r="R4416" t="str">
        <f>"הזמנה"</f>
        <v>הזמנה</v>
      </c>
      <c r="S4416">
        <v>0</v>
      </c>
      <c r="T4416" s="2">
        <v>207191.66</v>
      </c>
      <c r="U4416">
        <v>0</v>
      </c>
      <c r="V4416" s="2">
        <v>207191.66</v>
      </c>
      <c r="W4416" t="str">
        <f>"$"</f>
        <v>$</v>
      </c>
      <c r="X4416">
        <v>0</v>
      </c>
      <c r="Y4416">
        <v>0</v>
      </c>
      <c r="Z4416">
        <v>0</v>
      </c>
      <c r="AA4416" t="str">
        <f>"Y"</f>
        <v>Y</v>
      </c>
      <c r="AB4416" t="str">
        <f>"SO160000582"</f>
        <v>SO160000582</v>
      </c>
      <c r="AC4416">
        <v>2</v>
      </c>
      <c r="AD4416" s="1">
        <v>42590</v>
      </c>
      <c r="AE4416" t="str">
        <f>"SH17001327"</f>
        <v>SH17001327</v>
      </c>
      <c r="AF4416" t="str">
        <f>"משלוחים ללקוח"</f>
        <v>משלוחים ללקוח</v>
      </c>
      <c r="AG4416" s="1">
        <v>42890</v>
      </c>
      <c r="AM4416" t="str">
        <f>"10"</f>
        <v>10</v>
      </c>
      <c r="AN4416" t="str">
        <f>"500000"</f>
        <v>500000</v>
      </c>
      <c r="AO4416" t="str">
        <f>"הכנסות  מלקוחות"</f>
        <v>הכנסות  מלקוחות</v>
      </c>
      <c r="AQ4416" t="str">
        <f>"007"</f>
        <v>007</v>
      </c>
      <c r="AR4416">
        <v>0</v>
      </c>
      <c r="AS4416">
        <v>0</v>
      </c>
      <c r="AT4416">
        <v>3.548</v>
      </c>
      <c r="AX4416" t="str">
        <f>"E000221675"</f>
        <v>E000221675</v>
      </c>
      <c r="BD4416" t="str">
        <f>"רוני דידי"</f>
        <v>רוני דידי</v>
      </c>
    </row>
    <row r="4417" spans="1:56" x14ac:dyDescent="0.3">
      <c r="A4417" s="1">
        <v>42890</v>
      </c>
      <c r="B4417" t="str">
        <f>"SI176000750"</f>
        <v>SI176000750</v>
      </c>
      <c r="E4417" t="str">
        <f>"Y"</f>
        <v>Y</v>
      </c>
      <c r="F4417" t="str">
        <f>"חשבוניות מרכזות"</f>
        <v>חשבוניות מרכזות</v>
      </c>
      <c r="G4417" t="str">
        <f>"700065"</f>
        <v>700065</v>
      </c>
      <c r="H4417" t="str">
        <f>"אלתא מערכות בע""מ"</f>
        <v>אלתא מערכות בע"מ</v>
      </c>
      <c r="I4417" t="str">
        <f>"10"</f>
        <v>10</v>
      </c>
      <c r="J4417" t="str">
        <f>"OP-AR00464"</f>
        <v>OP-AR00464</v>
      </c>
      <c r="K4417" t="str">
        <f>"רתמה REV;A 1036N631-001"</f>
        <v>רתמה REV;A 1036N631-001</v>
      </c>
      <c r="L4417">
        <v>2</v>
      </c>
      <c r="M4417" t="str">
        <f>"יח"</f>
        <v>יח</v>
      </c>
      <c r="N4417">
        <v>2</v>
      </c>
      <c r="O4417" t="str">
        <f>"יח"</f>
        <v>יח</v>
      </c>
      <c r="P4417">
        <v>699.3</v>
      </c>
      <c r="Q4417" t="str">
        <f>"$"</f>
        <v>$</v>
      </c>
      <c r="R4417" t="str">
        <f>"הזמנה"</f>
        <v>הזמנה</v>
      </c>
      <c r="S4417">
        <v>0</v>
      </c>
      <c r="T4417" s="2">
        <v>1398.6</v>
      </c>
      <c r="U4417">
        <v>0</v>
      </c>
      <c r="V4417" s="2">
        <v>1398.6</v>
      </c>
      <c r="W4417" t="str">
        <f>"$"</f>
        <v>$</v>
      </c>
      <c r="X4417">
        <v>0</v>
      </c>
      <c r="Y4417">
        <v>0</v>
      </c>
      <c r="Z4417">
        <v>0</v>
      </c>
      <c r="AA4417" t="str">
        <f>"Y"</f>
        <v>Y</v>
      </c>
      <c r="AB4417" t="str">
        <f>"SO17000164"</f>
        <v>SO17000164</v>
      </c>
      <c r="AC4417">
        <v>2</v>
      </c>
      <c r="AD4417" s="1">
        <v>42793</v>
      </c>
      <c r="AE4417" t="str">
        <f>"SH17001308"</f>
        <v>SH17001308</v>
      </c>
      <c r="AF4417" t="str">
        <f>"משלוחים ללקוח"</f>
        <v>משלוחים ללקוח</v>
      </c>
      <c r="AG4417" s="1">
        <v>42887</v>
      </c>
      <c r="AM4417" t="str">
        <f>"10"</f>
        <v>10</v>
      </c>
      <c r="AN4417" t="str">
        <f>"500000"</f>
        <v>500000</v>
      </c>
      <c r="AO4417" t="str">
        <f>"הכנסות  מלקוחות"</f>
        <v>הכנסות  מלקוחות</v>
      </c>
      <c r="AQ4417" t="str">
        <f>"017"</f>
        <v>017</v>
      </c>
      <c r="AR4417">
        <v>0</v>
      </c>
      <c r="AS4417">
        <v>0</v>
      </c>
      <c r="AT4417">
        <v>3.5579999999999998</v>
      </c>
      <c r="AX4417" t="str">
        <f>"E000233149"</f>
        <v>E000233149</v>
      </c>
      <c r="BD4417" t="str">
        <f>"שחר דאהמן"</f>
        <v>שחר דאהמן</v>
      </c>
    </row>
    <row r="4418" spans="1:56" x14ac:dyDescent="0.3">
      <c r="A4418" s="1">
        <v>42890</v>
      </c>
      <c r="B4418" t="str">
        <f>"SI176000750"</f>
        <v>SI176000750</v>
      </c>
      <c r="E4418" t="str">
        <f>"Y"</f>
        <v>Y</v>
      </c>
      <c r="F4418" t="str">
        <f>"חשבוניות מרכזות"</f>
        <v>חשבוניות מרכזות</v>
      </c>
      <c r="G4418" t="str">
        <f>"700065"</f>
        <v>700065</v>
      </c>
      <c r="H4418" t="str">
        <f>"אלתא מערכות בע""מ"</f>
        <v>אלתא מערכות בע"מ</v>
      </c>
      <c r="I4418" t="str">
        <f>"10"</f>
        <v>10</v>
      </c>
      <c r="J4418" t="str">
        <f>"OP-AR00466"</f>
        <v>OP-AR00466</v>
      </c>
      <c r="K4418" t="str">
        <f>"רתמה REV;B 1036N633-001"</f>
        <v>רתמה REV;B 1036N633-001</v>
      </c>
      <c r="L4418">
        <v>6</v>
      </c>
      <c r="M4418" t="str">
        <f>"יח"</f>
        <v>יח</v>
      </c>
      <c r="N4418">
        <v>6</v>
      </c>
      <c r="O4418" t="str">
        <f>"יח"</f>
        <v>יח</v>
      </c>
      <c r="P4418">
        <v>548.1</v>
      </c>
      <c r="Q4418" t="str">
        <f>"$"</f>
        <v>$</v>
      </c>
      <c r="R4418" t="str">
        <f>"הזמנה"</f>
        <v>הזמנה</v>
      </c>
      <c r="S4418">
        <v>0</v>
      </c>
      <c r="T4418" s="2">
        <v>3288.6</v>
      </c>
      <c r="U4418">
        <v>0</v>
      </c>
      <c r="V4418" s="2">
        <v>3288.6</v>
      </c>
      <c r="W4418" t="str">
        <f>"$"</f>
        <v>$</v>
      </c>
      <c r="X4418">
        <v>0</v>
      </c>
      <c r="Y4418">
        <v>0</v>
      </c>
      <c r="Z4418">
        <v>0</v>
      </c>
      <c r="AA4418" t="str">
        <f>"Y"</f>
        <v>Y</v>
      </c>
      <c r="AB4418" t="str">
        <f>"SO17000164"</f>
        <v>SO17000164</v>
      </c>
      <c r="AC4418">
        <v>8</v>
      </c>
      <c r="AD4418" s="1">
        <v>42793</v>
      </c>
      <c r="AE4418" t="str">
        <f>"SH17001307"</f>
        <v>SH17001307</v>
      </c>
      <c r="AF4418" t="str">
        <f>"משלוחים ללקוח"</f>
        <v>משלוחים ללקוח</v>
      </c>
      <c r="AG4418" s="1">
        <v>42887</v>
      </c>
      <c r="AM4418" t="str">
        <f>"10"</f>
        <v>10</v>
      </c>
      <c r="AN4418" t="str">
        <f>"500000"</f>
        <v>500000</v>
      </c>
      <c r="AO4418" t="str">
        <f>"הכנסות  מלקוחות"</f>
        <v>הכנסות  מלקוחות</v>
      </c>
      <c r="AQ4418" t="str">
        <f>"017"</f>
        <v>017</v>
      </c>
      <c r="AR4418">
        <v>0</v>
      </c>
      <c r="AS4418">
        <v>0</v>
      </c>
      <c r="AT4418">
        <v>3.5579999999999998</v>
      </c>
      <c r="AX4418" t="str">
        <f>"E000233149"</f>
        <v>E000233149</v>
      </c>
      <c r="BD4418" t="str">
        <f>"שחר דאהמן"</f>
        <v>שחר דאהמן</v>
      </c>
    </row>
    <row r="4419" spans="1:56" x14ac:dyDescent="0.3">
      <c r="A4419" s="1">
        <v>42890</v>
      </c>
      <c r="B4419" t="str">
        <f>"SI176000750"</f>
        <v>SI176000750</v>
      </c>
      <c r="E4419" t="str">
        <f>"Y"</f>
        <v>Y</v>
      </c>
      <c r="F4419" t="str">
        <f>"חשבוניות מרכזות"</f>
        <v>חשבוניות מרכזות</v>
      </c>
      <c r="G4419" t="str">
        <f>"700065"</f>
        <v>700065</v>
      </c>
      <c r="H4419" t="str">
        <f>"אלתא מערכות בע""מ"</f>
        <v>אלתא מערכות בע"מ</v>
      </c>
      <c r="I4419" t="str">
        <f>"10"</f>
        <v>10</v>
      </c>
      <c r="J4419" t="str">
        <f>"OP-AR00465"</f>
        <v>OP-AR00465</v>
      </c>
      <c r="K4419" t="str">
        <f>"רתמה REV;B 1036N632-001"</f>
        <v>רתמה REV;B 1036N632-001</v>
      </c>
      <c r="L4419">
        <v>6</v>
      </c>
      <c r="M4419" t="str">
        <f>"יח"</f>
        <v>יח</v>
      </c>
      <c r="N4419">
        <v>6</v>
      </c>
      <c r="O4419" t="str">
        <f>"יח"</f>
        <v>יח</v>
      </c>
      <c r="P4419">
        <v>864.68</v>
      </c>
      <c r="Q4419" t="str">
        <f>"$"</f>
        <v>$</v>
      </c>
      <c r="R4419" t="str">
        <f>"הזמנה"</f>
        <v>הזמנה</v>
      </c>
      <c r="S4419">
        <v>0</v>
      </c>
      <c r="T4419" s="2">
        <v>5188.08</v>
      </c>
      <c r="U4419">
        <v>0</v>
      </c>
      <c r="V4419" s="2">
        <v>5188.08</v>
      </c>
      <c r="W4419" t="str">
        <f>"$"</f>
        <v>$</v>
      </c>
      <c r="X4419">
        <v>0</v>
      </c>
      <c r="Y4419">
        <v>0</v>
      </c>
      <c r="Z4419">
        <v>0</v>
      </c>
      <c r="AA4419" t="str">
        <f>"Y"</f>
        <v>Y</v>
      </c>
      <c r="AB4419" t="str">
        <f>"SO17000164"</f>
        <v>SO17000164</v>
      </c>
      <c r="AC4419">
        <v>5</v>
      </c>
      <c r="AD4419" s="1">
        <v>42793</v>
      </c>
      <c r="AE4419" t="str">
        <f>"SH17001323"</f>
        <v>SH17001323</v>
      </c>
      <c r="AF4419" t="str">
        <f>"משלוחים ללקוח"</f>
        <v>משלוחים ללקוח</v>
      </c>
      <c r="AG4419" s="1">
        <v>42887</v>
      </c>
      <c r="AM4419" t="str">
        <f>"10"</f>
        <v>10</v>
      </c>
      <c r="AN4419" t="str">
        <f>"500000"</f>
        <v>500000</v>
      </c>
      <c r="AO4419" t="str">
        <f>"הכנסות  מלקוחות"</f>
        <v>הכנסות  מלקוחות</v>
      </c>
      <c r="AQ4419" t="str">
        <f>"017"</f>
        <v>017</v>
      </c>
      <c r="AR4419">
        <v>0</v>
      </c>
      <c r="AS4419">
        <v>0</v>
      </c>
      <c r="AT4419">
        <v>3.5579999999999998</v>
      </c>
      <c r="AX4419" t="str">
        <f>"E000233149"</f>
        <v>E000233149</v>
      </c>
      <c r="BD4419" t="str">
        <f>"שחר דאהמן"</f>
        <v>שחר דאהמן</v>
      </c>
    </row>
    <row r="4420" spans="1:56" x14ac:dyDescent="0.3">
      <c r="A4420" s="1">
        <v>42884</v>
      </c>
      <c r="B4420" t="str">
        <f>"SI176000732"</f>
        <v>SI176000732</v>
      </c>
      <c r="C4420" t="str">
        <f>"PR17001489"</f>
        <v>PR17001489</v>
      </c>
      <c r="D4420" t="str">
        <f>"PR17001489"</f>
        <v>PR17001489</v>
      </c>
      <c r="E4420" t="str">
        <f>"Y"</f>
        <v>Y</v>
      </c>
      <c r="F4420" t="str">
        <f>"חשבוניות מרכזות"</f>
        <v>חשבוניות מרכזות</v>
      </c>
      <c r="G4420" t="str">
        <f>"700065"</f>
        <v>700065</v>
      </c>
      <c r="H4420" t="str">
        <f>"אלתא מערכות בע""מ"</f>
        <v>אלתא מערכות בע"מ</v>
      </c>
      <c r="I4420" t="str">
        <f>"10"</f>
        <v>10</v>
      </c>
      <c r="J4420" t="str">
        <f>"OP-AR00551"</f>
        <v>OP-AR00551</v>
      </c>
      <c r="K4420" t="str">
        <f>"רתמה 4005F226-001 HARNESS W0013-PEDESTAL TO JU"</f>
        <v>רתמה 4005F226-001 HARNESS W0013-PEDESTAL TO JU</v>
      </c>
      <c r="L4420">
        <v>1</v>
      </c>
      <c r="M4420" t="str">
        <f>"יח"</f>
        <v>יח</v>
      </c>
      <c r="N4420">
        <v>1</v>
      </c>
      <c r="O4420" t="str">
        <f>"יח"</f>
        <v>יח</v>
      </c>
      <c r="P4420">
        <v>400</v>
      </c>
      <c r="Q4420" t="str">
        <f>"$"</f>
        <v>$</v>
      </c>
      <c r="R4420" t="str">
        <f>"הזמנה"</f>
        <v>הזמנה</v>
      </c>
      <c r="S4420">
        <v>0</v>
      </c>
      <c r="T4420">
        <v>400</v>
      </c>
      <c r="U4420">
        <v>0</v>
      </c>
      <c r="V4420">
        <v>400</v>
      </c>
      <c r="W4420" t="str">
        <f>"$"</f>
        <v>$</v>
      </c>
      <c r="X4420">
        <v>0</v>
      </c>
      <c r="Y4420">
        <v>0</v>
      </c>
      <c r="Z4420">
        <v>0</v>
      </c>
      <c r="AA4420" t="str">
        <f>"Y"</f>
        <v>Y</v>
      </c>
      <c r="AB4420" t="str">
        <f>"SO17000165"</f>
        <v>SO17000165</v>
      </c>
      <c r="AC4420">
        <v>1</v>
      </c>
      <c r="AD4420" s="1">
        <v>42793</v>
      </c>
      <c r="AE4420" t="str">
        <f>"SH17001132"</f>
        <v>SH17001132</v>
      </c>
      <c r="AF4420" t="str">
        <f>"משלוחים ללקוח"</f>
        <v>משלוחים ללקוח</v>
      </c>
      <c r="AG4420" s="1">
        <v>42866</v>
      </c>
      <c r="AM4420" t="str">
        <f>"10"</f>
        <v>10</v>
      </c>
      <c r="AN4420" t="str">
        <f>"500000"</f>
        <v>500000</v>
      </c>
      <c r="AO4420" t="str">
        <f>"הכנסות  מלקוחות"</f>
        <v>הכנסות  מלקוחות</v>
      </c>
      <c r="AQ4420" t="str">
        <f>"017"</f>
        <v>017</v>
      </c>
      <c r="AR4420">
        <v>0</v>
      </c>
      <c r="AS4420">
        <v>0</v>
      </c>
      <c r="AT4420">
        <v>3.5739999999999998</v>
      </c>
      <c r="AX4420" t="str">
        <f>"E000233843"</f>
        <v>E000233843</v>
      </c>
      <c r="BD4420" t="str">
        <f>"שחר דאהמן"</f>
        <v>שחר דאהמן</v>
      </c>
    </row>
    <row r="4421" spans="1:56" x14ac:dyDescent="0.3">
      <c r="A4421" s="1">
        <v>42884</v>
      </c>
      <c r="B4421" t="str">
        <f>"SI176000731"</f>
        <v>SI176000731</v>
      </c>
      <c r="E4421" t="str">
        <f>"Y"</f>
        <v>Y</v>
      </c>
      <c r="F4421" t="str">
        <f>"חשבוניות מרכזות"</f>
        <v>חשבוניות מרכזות</v>
      </c>
      <c r="G4421" t="str">
        <f>"700065"</f>
        <v>700065</v>
      </c>
      <c r="H4421" t="str">
        <f>"אלתא מערכות בע""מ"</f>
        <v>אלתא מערכות בע"מ</v>
      </c>
      <c r="I4421" t="str">
        <f>"10"</f>
        <v>10</v>
      </c>
      <c r="J4421" t="str">
        <f>"OP-AR00464"</f>
        <v>OP-AR00464</v>
      </c>
      <c r="K4421" t="str">
        <f>"רתמה REV;A 1036N631-001"</f>
        <v>רתמה REV;A 1036N631-001</v>
      </c>
      <c r="L4421">
        <v>5</v>
      </c>
      <c r="M4421" t="str">
        <f>"יח"</f>
        <v>יח</v>
      </c>
      <c r="N4421">
        <v>5</v>
      </c>
      <c r="O4421" t="str">
        <f>"יח"</f>
        <v>יח</v>
      </c>
      <c r="P4421">
        <v>699.3</v>
      </c>
      <c r="Q4421" t="str">
        <f>"$"</f>
        <v>$</v>
      </c>
      <c r="R4421" t="str">
        <f>"הזמנה"</f>
        <v>הזמנה</v>
      </c>
      <c r="S4421">
        <v>0</v>
      </c>
      <c r="T4421" s="2">
        <v>3496.5</v>
      </c>
      <c r="U4421">
        <v>0</v>
      </c>
      <c r="V4421" s="2">
        <v>3496.5</v>
      </c>
      <c r="W4421" t="str">
        <f>"$"</f>
        <v>$</v>
      </c>
      <c r="X4421">
        <v>0</v>
      </c>
      <c r="Y4421">
        <v>0</v>
      </c>
      <c r="Z4421">
        <v>0</v>
      </c>
      <c r="AA4421" t="str">
        <f>"Y"</f>
        <v>Y</v>
      </c>
      <c r="AB4421" t="str">
        <f>"SO17000164"</f>
        <v>SO17000164</v>
      </c>
      <c r="AC4421">
        <v>2</v>
      </c>
      <c r="AD4421" s="1">
        <v>42793</v>
      </c>
      <c r="AE4421" t="str">
        <f>"SH17001221"</f>
        <v>SH17001221</v>
      </c>
      <c r="AF4421" t="str">
        <f>"משלוחים ללקוח"</f>
        <v>משלוחים ללקוח</v>
      </c>
      <c r="AG4421" s="1">
        <v>42876</v>
      </c>
      <c r="AM4421" t="str">
        <f>"10"</f>
        <v>10</v>
      </c>
      <c r="AN4421" t="str">
        <f>"500000"</f>
        <v>500000</v>
      </c>
      <c r="AO4421" t="str">
        <f>"הכנסות  מלקוחות"</f>
        <v>הכנסות  מלקוחות</v>
      </c>
      <c r="AQ4421" t="str">
        <f>"017"</f>
        <v>017</v>
      </c>
      <c r="AR4421">
        <v>0</v>
      </c>
      <c r="AS4421">
        <v>0</v>
      </c>
      <c r="AT4421">
        <v>3.5739999999999998</v>
      </c>
      <c r="AX4421" t="str">
        <f>"E000233149"</f>
        <v>E000233149</v>
      </c>
      <c r="BD4421" t="str">
        <f>"שחר דאהמן"</f>
        <v>שחר דאהמן</v>
      </c>
    </row>
    <row r="4422" spans="1:56" x14ac:dyDescent="0.3">
      <c r="A4422" s="1">
        <v>42884</v>
      </c>
      <c r="B4422" t="str">
        <f>"SI176000731"</f>
        <v>SI176000731</v>
      </c>
      <c r="E4422" t="str">
        <f>"Y"</f>
        <v>Y</v>
      </c>
      <c r="F4422" t="str">
        <f>"חשבוניות מרכזות"</f>
        <v>חשבוניות מרכזות</v>
      </c>
      <c r="G4422" t="str">
        <f>"700065"</f>
        <v>700065</v>
      </c>
      <c r="H4422" t="str">
        <f>"אלתא מערכות בע""מ"</f>
        <v>אלתא מערכות בע"מ</v>
      </c>
      <c r="I4422" t="str">
        <f>"10"</f>
        <v>10</v>
      </c>
      <c r="J4422" t="str">
        <f>"OP-AR00464"</f>
        <v>OP-AR00464</v>
      </c>
      <c r="K4422" t="str">
        <f>"רתמה REV;A 1036N631-001"</f>
        <v>רתמה REV;A 1036N631-001</v>
      </c>
      <c r="L4422">
        <v>1</v>
      </c>
      <c r="M4422" t="str">
        <f>"יח"</f>
        <v>יח</v>
      </c>
      <c r="N4422">
        <v>1</v>
      </c>
      <c r="O4422" t="str">
        <f>"יח"</f>
        <v>יח</v>
      </c>
      <c r="P4422">
        <v>699.3</v>
      </c>
      <c r="Q4422" t="str">
        <f>"$"</f>
        <v>$</v>
      </c>
      <c r="R4422" t="str">
        <f>"הזמנה"</f>
        <v>הזמנה</v>
      </c>
      <c r="S4422">
        <v>0</v>
      </c>
      <c r="T4422">
        <v>699.3</v>
      </c>
      <c r="U4422">
        <v>0</v>
      </c>
      <c r="V4422">
        <v>699.3</v>
      </c>
      <c r="W4422" t="str">
        <f>"$"</f>
        <v>$</v>
      </c>
      <c r="X4422">
        <v>0</v>
      </c>
      <c r="Y4422">
        <v>0</v>
      </c>
      <c r="Z4422">
        <v>0</v>
      </c>
      <c r="AA4422" t="str">
        <f>"Y"</f>
        <v>Y</v>
      </c>
      <c r="AB4422" t="str">
        <f>"SO17000164"</f>
        <v>SO17000164</v>
      </c>
      <c r="AC4422">
        <v>1</v>
      </c>
      <c r="AD4422" s="1">
        <v>42793</v>
      </c>
      <c r="AE4422" t="str">
        <f>"SH17001253"</f>
        <v>SH17001253</v>
      </c>
      <c r="AF4422" t="str">
        <f>"משלוחים ללקוח"</f>
        <v>משלוחים ללקוח</v>
      </c>
      <c r="AG4422" s="1">
        <v>42878</v>
      </c>
      <c r="AM4422" t="str">
        <f>"10"</f>
        <v>10</v>
      </c>
      <c r="AN4422" t="str">
        <f>"500000"</f>
        <v>500000</v>
      </c>
      <c r="AO4422" t="str">
        <f>"הכנסות  מלקוחות"</f>
        <v>הכנסות  מלקוחות</v>
      </c>
      <c r="AQ4422" t="str">
        <f>"017"</f>
        <v>017</v>
      </c>
      <c r="AR4422">
        <v>0</v>
      </c>
      <c r="AS4422">
        <v>0</v>
      </c>
      <c r="AT4422">
        <v>3.5739999999999998</v>
      </c>
      <c r="AX4422" t="str">
        <f>"E000233149"</f>
        <v>E000233149</v>
      </c>
      <c r="BD4422" t="str">
        <f>"שחר דאהמן"</f>
        <v>שחר דאהמן</v>
      </c>
    </row>
    <row r="4423" spans="1:56" x14ac:dyDescent="0.3">
      <c r="A4423" s="1">
        <v>42884</v>
      </c>
      <c r="B4423" t="str">
        <f>"SI176000731"</f>
        <v>SI176000731</v>
      </c>
      <c r="E4423" t="str">
        <f>"Y"</f>
        <v>Y</v>
      </c>
      <c r="F4423" t="str">
        <f>"חשבוניות מרכזות"</f>
        <v>חשבוניות מרכזות</v>
      </c>
      <c r="G4423" t="str">
        <f>"700065"</f>
        <v>700065</v>
      </c>
      <c r="H4423" t="str">
        <f>"אלתא מערכות בע""מ"</f>
        <v>אלתא מערכות בע"מ</v>
      </c>
      <c r="I4423" t="str">
        <f>"10"</f>
        <v>10</v>
      </c>
      <c r="J4423" t="str">
        <f>"OP-AR00464"</f>
        <v>OP-AR00464</v>
      </c>
      <c r="K4423" t="str">
        <f>"רתמה REV;A 1036N631-001"</f>
        <v>רתמה REV;A 1036N631-001</v>
      </c>
      <c r="L4423">
        <v>1</v>
      </c>
      <c r="M4423" t="str">
        <f>"יח"</f>
        <v>יח</v>
      </c>
      <c r="N4423">
        <v>1</v>
      </c>
      <c r="O4423" t="str">
        <f>"יח"</f>
        <v>יח</v>
      </c>
      <c r="P4423">
        <v>699.3</v>
      </c>
      <c r="Q4423" t="str">
        <f>"$"</f>
        <v>$</v>
      </c>
      <c r="R4423" t="str">
        <f>"הזמנה"</f>
        <v>הזמנה</v>
      </c>
      <c r="S4423">
        <v>0</v>
      </c>
      <c r="T4423">
        <v>699.3</v>
      </c>
      <c r="U4423">
        <v>0</v>
      </c>
      <c r="V4423">
        <v>699.3</v>
      </c>
      <c r="W4423" t="str">
        <f>"$"</f>
        <v>$</v>
      </c>
      <c r="X4423">
        <v>0</v>
      </c>
      <c r="Y4423">
        <v>0</v>
      </c>
      <c r="Z4423">
        <v>0</v>
      </c>
      <c r="AA4423" t="str">
        <f>"Y"</f>
        <v>Y</v>
      </c>
      <c r="AB4423" t="str">
        <f>"SO17000164"</f>
        <v>SO17000164</v>
      </c>
      <c r="AC4423">
        <v>2</v>
      </c>
      <c r="AD4423" s="1">
        <v>42793</v>
      </c>
      <c r="AE4423" t="str">
        <f>"SH17001253"</f>
        <v>SH17001253</v>
      </c>
      <c r="AF4423" t="str">
        <f>"משלוחים ללקוח"</f>
        <v>משלוחים ללקוח</v>
      </c>
      <c r="AG4423" s="1">
        <v>42878</v>
      </c>
      <c r="AM4423" t="str">
        <f>"10"</f>
        <v>10</v>
      </c>
      <c r="AN4423" t="str">
        <f>"500000"</f>
        <v>500000</v>
      </c>
      <c r="AO4423" t="str">
        <f>"הכנסות  מלקוחות"</f>
        <v>הכנסות  מלקוחות</v>
      </c>
      <c r="AQ4423" t="str">
        <f>"017"</f>
        <v>017</v>
      </c>
      <c r="AR4423">
        <v>0</v>
      </c>
      <c r="AS4423">
        <v>0</v>
      </c>
      <c r="AT4423">
        <v>3.5739999999999998</v>
      </c>
      <c r="AX4423" t="str">
        <f>"E000233149"</f>
        <v>E000233149</v>
      </c>
      <c r="BD4423" t="str">
        <f>"שחר דאהמן"</f>
        <v>שחר דאהמן</v>
      </c>
    </row>
    <row r="4424" spans="1:56" x14ac:dyDescent="0.3">
      <c r="A4424" s="1">
        <v>42883</v>
      </c>
      <c r="B4424" t="str">
        <f>"SI176000724"</f>
        <v>SI176000724</v>
      </c>
      <c r="C4424" t="str">
        <f>"PR16000867"</f>
        <v>PR16000867</v>
      </c>
      <c r="D4424" t="str">
        <f>"PR16000867"</f>
        <v>PR16000867</v>
      </c>
      <c r="E4424" t="str">
        <f>"Y"</f>
        <v>Y</v>
      </c>
      <c r="F4424" t="str">
        <f>"חשבוניות מרכזות"</f>
        <v>חשבוניות מרכזות</v>
      </c>
      <c r="G4424" t="str">
        <f>"700065"</f>
        <v>700065</v>
      </c>
      <c r="H4424" t="str">
        <f>"אלתא מערכות בע""מ"</f>
        <v>אלתא מערכות בע"מ</v>
      </c>
      <c r="I4424" t="str">
        <f>"10"</f>
        <v>10</v>
      </c>
      <c r="J4424" t="str">
        <f>"OP-AR00420"</f>
        <v>OP-AR00420</v>
      </c>
      <c r="K4424" t="str">
        <f>"CONTROL BOX 1037N840-001"</f>
        <v>CONTROL BOX 1037N840-001</v>
      </c>
      <c r="L4424">
        <v>1</v>
      </c>
      <c r="M4424" t="str">
        <f>"יח"</f>
        <v>יח</v>
      </c>
      <c r="N4424">
        <v>1</v>
      </c>
      <c r="O4424" t="str">
        <f>"יח"</f>
        <v>יח</v>
      </c>
      <c r="P4424" s="2">
        <v>4709.25</v>
      </c>
      <c r="Q4424" t="str">
        <f>"$"</f>
        <v>$</v>
      </c>
      <c r="R4424" t="str">
        <f>"הזמנה"</f>
        <v>הזמנה</v>
      </c>
      <c r="S4424">
        <v>0</v>
      </c>
      <c r="T4424" s="2">
        <v>4709.25</v>
      </c>
      <c r="U4424">
        <v>0</v>
      </c>
      <c r="V4424" s="2">
        <v>4709.25</v>
      </c>
      <c r="W4424" t="str">
        <f>"$"</f>
        <v>$</v>
      </c>
      <c r="X4424">
        <v>0</v>
      </c>
      <c r="Y4424">
        <v>0</v>
      </c>
      <c r="Z4424">
        <v>0</v>
      </c>
      <c r="AA4424" t="str">
        <f>"Y"</f>
        <v>Y</v>
      </c>
      <c r="AB4424" t="str">
        <f>"SO160000648"</f>
        <v>SO160000648</v>
      </c>
      <c r="AC4424">
        <v>7</v>
      </c>
      <c r="AD4424" s="1">
        <v>42618</v>
      </c>
      <c r="AE4424" t="str">
        <f>"SH17001222"</f>
        <v>SH17001222</v>
      </c>
      <c r="AF4424" t="str">
        <f>"משלוחים ללקוח"</f>
        <v>משלוחים ללקוח</v>
      </c>
      <c r="AG4424" s="1">
        <v>42877</v>
      </c>
      <c r="AM4424" t="str">
        <f>"10"</f>
        <v>10</v>
      </c>
      <c r="AN4424" t="str">
        <f>"500000"</f>
        <v>500000</v>
      </c>
      <c r="AO4424" t="str">
        <f>"הכנסות  מלקוחות"</f>
        <v>הכנסות  מלקוחות</v>
      </c>
      <c r="AQ4424" t="str">
        <f>"007"</f>
        <v>007</v>
      </c>
      <c r="AR4424">
        <v>0</v>
      </c>
      <c r="AS4424">
        <v>0</v>
      </c>
      <c r="AT4424">
        <v>3.5739999999999998</v>
      </c>
      <c r="AX4424" t="str">
        <f>"E000224314"</f>
        <v>E000224314</v>
      </c>
      <c r="BD4424" t="str">
        <f>"רוני דידי"</f>
        <v>רוני דידי</v>
      </c>
    </row>
    <row r="4425" spans="1:56" x14ac:dyDescent="0.3">
      <c r="A4425" s="1">
        <v>42883</v>
      </c>
      <c r="B4425" t="str">
        <f>"SI176000723"</f>
        <v>SI176000723</v>
      </c>
      <c r="C4425" t="str">
        <f>"PR17001548"</f>
        <v>PR17001548</v>
      </c>
      <c r="D4425" t="str">
        <f>"PR17001548"</f>
        <v>PR17001548</v>
      </c>
      <c r="E4425" t="str">
        <f>"Y"</f>
        <v>Y</v>
      </c>
      <c r="F4425" t="str">
        <f>"חשבוניות מרכזות"</f>
        <v>חשבוניות מרכזות</v>
      </c>
      <c r="G4425" t="str">
        <f>"700065"</f>
        <v>700065</v>
      </c>
      <c r="H4425" t="str">
        <f>"אלתא מערכות בע""מ"</f>
        <v>אלתא מערכות בע"מ</v>
      </c>
      <c r="I4425" t="str">
        <f>"10"</f>
        <v>10</v>
      </c>
      <c r="J4425" t="str">
        <f>"000"</f>
        <v>000</v>
      </c>
      <c r="K4425" t="str">
        <f>"NRE עלויות פיתוח"</f>
        <v>NRE עלויות פיתוח</v>
      </c>
      <c r="L4425">
        <v>1</v>
      </c>
      <c r="M4425" t="str">
        <f>"יח"</f>
        <v>יח</v>
      </c>
      <c r="N4425">
        <v>1</v>
      </c>
      <c r="O4425" t="str">
        <f>"יח"</f>
        <v>יח</v>
      </c>
      <c r="P4425">
        <v>920</v>
      </c>
      <c r="Q4425" t="str">
        <f>"ש""ח"</f>
        <v>ש"ח</v>
      </c>
      <c r="R4425" t="str">
        <f>"הזמנה"</f>
        <v>הזמנה</v>
      </c>
      <c r="S4425">
        <v>0</v>
      </c>
      <c r="T4425">
        <v>920</v>
      </c>
      <c r="U4425">
        <v>0</v>
      </c>
      <c r="V4425">
        <v>920</v>
      </c>
      <c r="W4425" t="str">
        <f>"ש""ח"</f>
        <v>ש"ח</v>
      </c>
      <c r="X4425">
        <v>0</v>
      </c>
      <c r="Y4425">
        <v>0</v>
      </c>
      <c r="Z4425">
        <v>0</v>
      </c>
      <c r="AA4425" t="str">
        <f>"Y"</f>
        <v>Y</v>
      </c>
      <c r="AB4425" t="str">
        <f>"SO17000204"</f>
        <v>SO17000204</v>
      </c>
      <c r="AC4425">
        <v>1</v>
      </c>
      <c r="AD4425" s="1">
        <v>42808</v>
      </c>
      <c r="AM4425" t="str">
        <f>"10"</f>
        <v>10</v>
      </c>
      <c r="AN4425" t="str">
        <f>"500000"</f>
        <v>500000</v>
      </c>
      <c r="AO4425" t="str">
        <f>"הכנסות  מלקוחות"</f>
        <v>הכנסות  מלקוחות</v>
      </c>
      <c r="AQ4425" t="str">
        <f>"007"</f>
        <v>007</v>
      </c>
      <c r="AR4425">
        <v>0</v>
      </c>
      <c r="AS4425">
        <v>0</v>
      </c>
      <c r="AT4425">
        <v>1</v>
      </c>
      <c r="AX4425" t="str">
        <f>"E000234624"</f>
        <v>E000234624</v>
      </c>
      <c r="BD4425" t="str">
        <f>"רוני דידי"</f>
        <v>רוני דידי</v>
      </c>
    </row>
    <row r="4426" spans="1:56" x14ac:dyDescent="0.3">
      <c r="A4426" s="1">
        <v>42883</v>
      </c>
      <c r="B4426" t="str">
        <f>"SI176000723"</f>
        <v>SI176000723</v>
      </c>
      <c r="C4426" t="str">
        <f>"PR17001548"</f>
        <v>PR17001548</v>
      </c>
      <c r="D4426" t="str">
        <f>"PR17001548"</f>
        <v>PR17001548</v>
      </c>
      <c r="E4426" t="str">
        <f>"Y"</f>
        <v>Y</v>
      </c>
      <c r="F4426" t="str">
        <f>"חשבוניות מרכזות"</f>
        <v>חשבוניות מרכזות</v>
      </c>
      <c r="G4426" t="str">
        <f>"700065"</f>
        <v>700065</v>
      </c>
      <c r="H4426" t="str">
        <f>"אלתא מערכות בע""מ"</f>
        <v>אלתא מערכות בע"מ</v>
      </c>
      <c r="I4426" t="str">
        <f>"10"</f>
        <v>10</v>
      </c>
      <c r="J4426" t="str">
        <f>"OP-AR00560"</f>
        <v>OP-AR00560</v>
      </c>
      <c r="K4426" t="str">
        <f>"1006B486-001 סט 5 צמות תקשורת אורנים"</f>
        <v>1006B486-001 סט 5 צמות תקשורת אורנים</v>
      </c>
      <c r="L4426">
        <v>1</v>
      </c>
      <c r="M4426" t="str">
        <f>"יח"</f>
        <v>יח</v>
      </c>
      <c r="N4426">
        <v>1</v>
      </c>
      <c r="O4426" t="str">
        <f>"יח"</f>
        <v>יח</v>
      </c>
      <c r="P4426">
        <v>640.35</v>
      </c>
      <c r="Q4426" t="str">
        <f>"ש""ח"</f>
        <v>ש"ח</v>
      </c>
      <c r="R4426" t="str">
        <f>"הזמנה"</f>
        <v>הזמנה</v>
      </c>
      <c r="S4426">
        <v>0</v>
      </c>
      <c r="T4426">
        <v>640.35</v>
      </c>
      <c r="U4426">
        <v>0</v>
      </c>
      <c r="V4426">
        <v>640.35</v>
      </c>
      <c r="W4426" t="str">
        <f>"ש""ח"</f>
        <v>ש"ח</v>
      </c>
      <c r="X4426">
        <v>0</v>
      </c>
      <c r="Y4426">
        <v>0</v>
      </c>
      <c r="Z4426">
        <v>0</v>
      </c>
      <c r="AA4426" t="str">
        <f>"Y"</f>
        <v>Y</v>
      </c>
      <c r="AB4426" t="str">
        <f>"SO17000204"</f>
        <v>SO17000204</v>
      </c>
      <c r="AC4426">
        <v>2</v>
      </c>
      <c r="AD4426" s="1">
        <v>42808</v>
      </c>
      <c r="AE4426" t="str">
        <f>"SH17001231"</f>
        <v>SH17001231</v>
      </c>
      <c r="AF4426" t="str">
        <f>"משלוחים ללקוח"</f>
        <v>משלוחים ללקוח</v>
      </c>
      <c r="AG4426" s="1">
        <v>42877</v>
      </c>
      <c r="AM4426" t="str">
        <f>"10"</f>
        <v>10</v>
      </c>
      <c r="AN4426" t="str">
        <f>"500000"</f>
        <v>500000</v>
      </c>
      <c r="AO4426" t="str">
        <f>"הכנסות  מלקוחות"</f>
        <v>הכנסות  מלקוחות</v>
      </c>
      <c r="AQ4426" t="str">
        <f>"007"</f>
        <v>007</v>
      </c>
      <c r="AR4426">
        <v>0</v>
      </c>
      <c r="AS4426">
        <v>0</v>
      </c>
      <c r="AT4426">
        <v>1</v>
      </c>
      <c r="AX4426" t="str">
        <f>"E000234624"</f>
        <v>E000234624</v>
      </c>
      <c r="BD4426" t="str">
        <f>"רוני דידי"</f>
        <v>רוני דידי</v>
      </c>
    </row>
    <row r="4427" spans="1:56" x14ac:dyDescent="0.3">
      <c r="A4427" s="1">
        <v>42877</v>
      </c>
      <c r="B4427" t="str">
        <f>"SI176000722"</f>
        <v>SI176000722</v>
      </c>
      <c r="C4427" t="str">
        <f>"PR17001548"</f>
        <v>PR17001548</v>
      </c>
      <c r="E4427" t="str">
        <f>"Y"</f>
        <v>Y</v>
      </c>
      <c r="F4427" t="str">
        <f>"חשבוניות מרכזות"</f>
        <v>חשבוניות מרכזות</v>
      </c>
      <c r="G4427" t="str">
        <f>"700065"</f>
        <v>700065</v>
      </c>
      <c r="H4427" t="str">
        <f>"אלתא מערכות בע""מ"</f>
        <v>אלתא מערכות בע"מ</v>
      </c>
      <c r="I4427" t="str">
        <f>"10"</f>
        <v>10</v>
      </c>
      <c r="J4427" t="str">
        <f>"000"</f>
        <v>000</v>
      </c>
      <c r="K4427" t="str">
        <f>"NRE עלויות פיתוח"</f>
        <v>NRE עלויות פיתוח</v>
      </c>
      <c r="L4427">
        <v>-1</v>
      </c>
      <c r="M4427" t="str">
        <f>"יח"</f>
        <v>יח</v>
      </c>
      <c r="N4427">
        <v>-1</v>
      </c>
      <c r="O4427" t="str">
        <f>"יח"</f>
        <v>יח</v>
      </c>
      <c r="P4427">
        <v>256.83980000000003</v>
      </c>
      <c r="Q4427" t="str">
        <f>"$"</f>
        <v>$</v>
      </c>
      <c r="R4427" t="str">
        <f>"הזמנה"</f>
        <v>הזמנה</v>
      </c>
      <c r="S4427">
        <v>0</v>
      </c>
      <c r="T4427">
        <v>-256.83999999999997</v>
      </c>
      <c r="U4427">
        <v>0</v>
      </c>
      <c r="V4427">
        <v>-256.83999999999997</v>
      </c>
      <c r="W4427" t="str">
        <f>"$"</f>
        <v>$</v>
      </c>
      <c r="X4427">
        <v>0</v>
      </c>
      <c r="Y4427">
        <v>0</v>
      </c>
      <c r="Z4427">
        <v>0</v>
      </c>
      <c r="AA4427" t="str">
        <f>"Y"</f>
        <v>Y</v>
      </c>
      <c r="AC4427">
        <v>0</v>
      </c>
      <c r="AM4427" t="str">
        <f>"10"</f>
        <v>10</v>
      </c>
      <c r="AN4427" t="str">
        <f>"500000"</f>
        <v>500000</v>
      </c>
      <c r="AO4427" t="str">
        <f>"הכנסות  מלקוחות"</f>
        <v>הכנסות  מלקוחות</v>
      </c>
      <c r="AQ4427" t="str">
        <f>"007"</f>
        <v>007</v>
      </c>
      <c r="AR4427">
        <v>0</v>
      </c>
      <c r="AS4427">
        <v>0</v>
      </c>
      <c r="AT4427">
        <v>3.5819999999999999</v>
      </c>
      <c r="BB4427" t="str">
        <f>"Y"</f>
        <v>Y</v>
      </c>
      <c r="BD4427" t="str">
        <f>"רוני דידי"</f>
        <v>רוני דידי</v>
      </c>
    </row>
    <row r="4428" spans="1:56" x14ac:dyDescent="0.3">
      <c r="A4428" s="1">
        <v>42877</v>
      </c>
      <c r="B4428" t="str">
        <f>"SI176000722"</f>
        <v>SI176000722</v>
      </c>
      <c r="C4428" t="str">
        <f>"PR17001548"</f>
        <v>PR17001548</v>
      </c>
      <c r="E4428" t="str">
        <f>"Y"</f>
        <v>Y</v>
      </c>
      <c r="F4428" t="str">
        <f>"חשבוניות מרכזות"</f>
        <v>חשבוניות מרכזות</v>
      </c>
      <c r="G4428" t="str">
        <f>"700065"</f>
        <v>700065</v>
      </c>
      <c r="H4428" t="str">
        <f>"אלתא מערכות בע""מ"</f>
        <v>אלתא מערכות בע"מ</v>
      </c>
      <c r="I4428" t="str">
        <f>"10"</f>
        <v>10</v>
      </c>
      <c r="J4428" t="str">
        <f>"OP-AR00560"</f>
        <v>OP-AR00560</v>
      </c>
      <c r="K4428" t="str">
        <f>"1006B486-001 סט 5 צמות תקשורת אורנים"</f>
        <v>1006B486-001 סט 5 צמות תקשורת אורנים</v>
      </c>
      <c r="L4428">
        <v>-1</v>
      </c>
      <c r="M4428" t="str">
        <f>"יח"</f>
        <v>יח</v>
      </c>
      <c r="N4428">
        <v>-1</v>
      </c>
      <c r="O4428" t="str">
        <f>"יח"</f>
        <v>יח</v>
      </c>
      <c r="P4428">
        <v>178.7688</v>
      </c>
      <c r="Q4428" t="str">
        <f>"$"</f>
        <v>$</v>
      </c>
      <c r="R4428" t="str">
        <f>"הזמנה"</f>
        <v>הזמנה</v>
      </c>
      <c r="S4428">
        <v>0</v>
      </c>
      <c r="T4428">
        <v>-178.77</v>
      </c>
      <c r="U4428">
        <v>0</v>
      </c>
      <c r="V4428">
        <v>-178.77</v>
      </c>
      <c r="W4428" t="str">
        <f>"$"</f>
        <v>$</v>
      </c>
      <c r="X4428">
        <v>0</v>
      </c>
      <c r="Y4428">
        <v>0</v>
      </c>
      <c r="Z4428">
        <v>0</v>
      </c>
      <c r="AA4428" t="str">
        <f>"Y"</f>
        <v>Y</v>
      </c>
      <c r="AC4428">
        <v>0</v>
      </c>
      <c r="AM4428" t="str">
        <f>"10"</f>
        <v>10</v>
      </c>
      <c r="AN4428" t="str">
        <f>"500000"</f>
        <v>500000</v>
      </c>
      <c r="AO4428" t="str">
        <f>"הכנסות  מלקוחות"</f>
        <v>הכנסות  מלקוחות</v>
      </c>
      <c r="AQ4428" t="str">
        <f>"007"</f>
        <v>007</v>
      </c>
      <c r="AR4428">
        <v>0</v>
      </c>
      <c r="AS4428">
        <v>0</v>
      </c>
      <c r="AT4428">
        <v>3.5819999999999999</v>
      </c>
      <c r="BB4428" t="str">
        <f>"Y"</f>
        <v>Y</v>
      </c>
      <c r="BD4428" t="str">
        <f>"רוני דידי"</f>
        <v>רוני דידי</v>
      </c>
    </row>
    <row r="4429" spans="1:56" x14ac:dyDescent="0.3">
      <c r="A4429" s="1">
        <v>42877</v>
      </c>
      <c r="B4429" t="str">
        <f>"SI176000666"</f>
        <v>SI176000666</v>
      </c>
      <c r="C4429" t="str">
        <f>"PR17001548"</f>
        <v>PR17001548</v>
      </c>
      <c r="E4429" t="str">
        <f>"Y"</f>
        <v>Y</v>
      </c>
      <c r="F4429" t="str">
        <f>"חשבוניות מרכזות"</f>
        <v>חשבוניות מרכזות</v>
      </c>
      <c r="G4429" t="str">
        <f>"700065"</f>
        <v>700065</v>
      </c>
      <c r="H4429" t="str">
        <f>"אלתא מערכות בע""מ"</f>
        <v>אלתא מערכות בע"מ</v>
      </c>
      <c r="I4429" t="str">
        <f>"10"</f>
        <v>10</v>
      </c>
      <c r="J4429" t="str">
        <f>"000"</f>
        <v>000</v>
      </c>
      <c r="K4429" t="str">
        <f>"NRE עלויות פיתוח"</f>
        <v>NRE עלויות פיתוח</v>
      </c>
      <c r="L4429">
        <v>1</v>
      </c>
      <c r="M4429" t="str">
        <f>"יח"</f>
        <v>יח</v>
      </c>
      <c r="N4429">
        <v>1</v>
      </c>
      <c r="O4429" t="str">
        <f>"יח"</f>
        <v>יח</v>
      </c>
      <c r="P4429">
        <v>256.83980000000003</v>
      </c>
      <c r="Q4429" t="str">
        <f>"$"</f>
        <v>$</v>
      </c>
      <c r="R4429" t="str">
        <f>"הזמנה"</f>
        <v>הזמנה</v>
      </c>
      <c r="S4429">
        <v>0</v>
      </c>
      <c r="T4429">
        <v>256.83999999999997</v>
      </c>
      <c r="U4429">
        <v>0</v>
      </c>
      <c r="V4429">
        <v>256.83999999999997</v>
      </c>
      <c r="W4429" t="str">
        <f>"$"</f>
        <v>$</v>
      </c>
      <c r="X4429">
        <v>0</v>
      </c>
      <c r="Y4429">
        <v>0</v>
      </c>
      <c r="Z4429">
        <v>0</v>
      </c>
      <c r="AA4429" t="str">
        <f>"Y"</f>
        <v>Y</v>
      </c>
      <c r="AC4429">
        <v>0</v>
      </c>
      <c r="AM4429" t="str">
        <f>"10"</f>
        <v>10</v>
      </c>
      <c r="AN4429" t="str">
        <f>"500000"</f>
        <v>500000</v>
      </c>
      <c r="AO4429" t="str">
        <f>"הכנסות  מלקוחות"</f>
        <v>הכנסות  מלקוחות</v>
      </c>
      <c r="AQ4429" t="str">
        <f>"007"</f>
        <v>007</v>
      </c>
      <c r="AR4429">
        <v>0</v>
      </c>
      <c r="AS4429">
        <v>0</v>
      </c>
      <c r="AT4429">
        <v>3.5819999999999999</v>
      </c>
      <c r="BB4429" t="str">
        <f>"Y"</f>
        <v>Y</v>
      </c>
      <c r="BD4429" t="str">
        <f>"רוני דידי"</f>
        <v>רוני דידי</v>
      </c>
    </row>
    <row r="4430" spans="1:56" x14ac:dyDescent="0.3">
      <c r="A4430" s="1">
        <v>42877</v>
      </c>
      <c r="B4430" t="str">
        <f>"SI176000666"</f>
        <v>SI176000666</v>
      </c>
      <c r="C4430" t="str">
        <f>"PR17001548"</f>
        <v>PR17001548</v>
      </c>
      <c r="E4430" t="str">
        <f>"Y"</f>
        <v>Y</v>
      </c>
      <c r="F4430" t="str">
        <f>"חשבוניות מרכזות"</f>
        <v>חשבוניות מרכזות</v>
      </c>
      <c r="G4430" t="str">
        <f>"700065"</f>
        <v>700065</v>
      </c>
      <c r="H4430" t="str">
        <f>"אלתא מערכות בע""מ"</f>
        <v>אלתא מערכות בע"מ</v>
      </c>
      <c r="I4430" t="str">
        <f>"10"</f>
        <v>10</v>
      </c>
      <c r="J4430" t="str">
        <f>"OP-AR00560"</f>
        <v>OP-AR00560</v>
      </c>
      <c r="K4430" t="str">
        <f>"1006B486-001 סט 5 צמות תקשורת אורנים"</f>
        <v>1006B486-001 סט 5 צמות תקשורת אורנים</v>
      </c>
      <c r="L4430">
        <v>1</v>
      </c>
      <c r="M4430" t="str">
        <f>"יח"</f>
        <v>יח</v>
      </c>
      <c r="N4430">
        <v>1</v>
      </c>
      <c r="O4430" t="str">
        <f>"יח"</f>
        <v>יח</v>
      </c>
      <c r="P4430">
        <v>178.7688</v>
      </c>
      <c r="Q4430" t="str">
        <f>"$"</f>
        <v>$</v>
      </c>
      <c r="R4430" t="str">
        <f>"הזמנה"</f>
        <v>הזמנה</v>
      </c>
      <c r="S4430">
        <v>0</v>
      </c>
      <c r="T4430">
        <v>178.77</v>
      </c>
      <c r="U4430">
        <v>0</v>
      </c>
      <c r="V4430">
        <v>178.77</v>
      </c>
      <c r="W4430" t="str">
        <f>"$"</f>
        <v>$</v>
      </c>
      <c r="X4430">
        <v>0</v>
      </c>
      <c r="Y4430">
        <v>0</v>
      </c>
      <c r="Z4430">
        <v>0</v>
      </c>
      <c r="AA4430" t="str">
        <f>"Y"</f>
        <v>Y</v>
      </c>
      <c r="AC4430">
        <v>0</v>
      </c>
      <c r="AM4430" t="str">
        <f>"10"</f>
        <v>10</v>
      </c>
      <c r="AN4430" t="str">
        <f>"500000"</f>
        <v>500000</v>
      </c>
      <c r="AO4430" t="str">
        <f>"הכנסות  מלקוחות"</f>
        <v>הכנסות  מלקוחות</v>
      </c>
      <c r="AQ4430" t="str">
        <f>"007"</f>
        <v>007</v>
      </c>
      <c r="AR4430">
        <v>0</v>
      </c>
      <c r="AS4430">
        <v>0</v>
      </c>
      <c r="AT4430">
        <v>3.5819999999999999</v>
      </c>
      <c r="BB4430" t="str">
        <f>"Y"</f>
        <v>Y</v>
      </c>
      <c r="BD4430" t="str">
        <f>"רוני דידי"</f>
        <v>רוני דידי</v>
      </c>
    </row>
    <row r="4431" spans="1:56" x14ac:dyDescent="0.3">
      <c r="A4431" s="1">
        <v>42871</v>
      </c>
      <c r="B4431" t="str">
        <f>"SI176000647"</f>
        <v>SI176000647</v>
      </c>
      <c r="C4431" t="str">
        <f>"PR16000779"</f>
        <v>PR16000779</v>
      </c>
      <c r="D4431" t="str">
        <f>"PR16000779"</f>
        <v>PR16000779</v>
      </c>
      <c r="E4431" t="str">
        <f>"Y"</f>
        <v>Y</v>
      </c>
      <c r="F4431" t="str">
        <f>"חשבוניות מרכזות"</f>
        <v>חשבוניות מרכזות</v>
      </c>
      <c r="G4431" t="str">
        <f>"700065"</f>
        <v>700065</v>
      </c>
      <c r="H4431" t="str">
        <f>"אלתא מערכות בע""מ"</f>
        <v>אלתא מערכות בע"מ</v>
      </c>
      <c r="I4431" t="str">
        <f>"10"</f>
        <v>10</v>
      </c>
      <c r="J4431" t="str">
        <f>"OP-AR00403"</f>
        <v>OP-AR00403</v>
      </c>
      <c r="K4431" t="str">
        <f>"1029N053-001 SIL COMP RACK 1 WIRING"</f>
        <v>1029N053-001 SIL COMP RACK 1 WIRING</v>
      </c>
      <c r="L4431">
        <v>1</v>
      </c>
      <c r="M4431" t="str">
        <f>"יח"</f>
        <v>יח</v>
      </c>
      <c r="N4431">
        <v>1</v>
      </c>
      <c r="O4431" t="str">
        <f>"יח"</f>
        <v>יח</v>
      </c>
      <c r="P4431" s="2">
        <v>7500</v>
      </c>
      <c r="Q4431" t="str">
        <f>"$"</f>
        <v>$</v>
      </c>
      <c r="R4431" t="str">
        <f>"הזמנה"</f>
        <v>הזמנה</v>
      </c>
      <c r="S4431">
        <v>0</v>
      </c>
      <c r="T4431" s="2">
        <v>7500</v>
      </c>
      <c r="U4431">
        <v>0</v>
      </c>
      <c r="V4431" s="2">
        <v>7500</v>
      </c>
      <c r="W4431" t="str">
        <f>"$"</f>
        <v>$</v>
      </c>
      <c r="X4431">
        <v>0</v>
      </c>
      <c r="Y4431">
        <v>0</v>
      </c>
      <c r="Z4431">
        <v>0</v>
      </c>
      <c r="AA4431" t="str">
        <f>"Y"</f>
        <v>Y</v>
      </c>
      <c r="AB4431" t="str">
        <f>"SO160000586"</f>
        <v>SO160000586</v>
      </c>
      <c r="AC4431">
        <v>1</v>
      </c>
      <c r="AD4431" s="1">
        <v>42591</v>
      </c>
      <c r="AE4431" t="str">
        <f>"SH17001131"</f>
        <v>SH17001131</v>
      </c>
      <c r="AF4431" t="str">
        <f>"משלוחים ללקוח"</f>
        <v>משלוחים ללקוח</v>
      </c>
      <c r="AG4431" s="1">
        <v>42866</v>
      </c>
      <c r="AM4431" t="str">
        <f>"10"</f>
        <v>10</v>
      </c>
      <c r="AN4431" t="str">
        <f>"500000"</f>
        <v>500000</v>
      </c>
      <c r="AO4431" t="str">
        <f>"הכנסות  מלקוחות"</f>
        <v>הכנסות  מלקוחות</v>
      </c>
      <c r="AQ4431" t="str">
        <f>"007"</f>
        <v>007</v>
      </c>
      <c r="AR4431">
        <v>0</v>
      </c>
      <c r="AS4431">
        <v>0</v>
      </c>
      <c r="AT4431">
        <v>3.6059999999999999</v>
      </c>
      <c r="AX4431" t="str">
        <f>"E000223211"</f>
        <v>E000223211</v>
      </c>
      <c r="BD4431" t="str">
        <f>"רוני דידי"</f>
        <v>רוני דידי</v>
      </c>
    </row>
    <row r="4432" spans="1:56" x14ac:dyDescent="0.3">
      <c r="A4432" s="1">
        <v>42871</v>
      </c>
      <c r="B4432" t="str">
        <f>"SI176000647"</f>
        <v>SI176000647</v>
      </c>
      <c r="C4432" t="str">
        <f>"PR16000779"</f>
        <v>PR16000779</v>
      </c>
      <c r="D4432" t="str">
        <f>"PR16000779"</f>
        <v>PR16000779</v>
      </c>
      <c r="E4432" t="str">
        <f>"Y"</f>
        <v>Y</v>
      </c>
      <c r="F4432" t="str">
        <f>"חשבוניות מרכזות"</f>
        <v>חשבוניות מרכזות</v>
      </c>
      <c r="G4432" t="str">
        <f>"700065"</f>
        <v>700065</v>
      </c>
      <c r="H4432" t="str">
        <f>"אלתא מערכות בע""מ"</f>
        <v>אלתא מערכות בע"מ</v>
      </c>
      <c r="I4432" t="str">
        <f>"10"</f>
        <v>10</v>
      </c>
      <c r="J4432" t="str">
        <f>"OP-AR00404"</f>
        <v>OP-AR00404</v>
      </c>
      <c r="K4432" t="str">
        <f>"SIL COMP RACK 2 WIRING 1029N054-001"</f>
        <v>SIL COMP RACK 2 WIRING 1029N054-001</v>
      </c>
      <c r="L4432">
        <v>1</v>
      </c>
      <c r="M4432" t="str">
        <f>"יח"</f>
        <v>יח</v>
      </c>
      <c r="N4432">
        <v>1</v>
      </c>
      <c r="O4432" t="str">
        <f>"יח"</f>
        <v>יח</v>
      </c>
      <c r="P4432" s="2">
        <v>7500</v>
      </c>
      <c r="Q4432" t="str">
        <f>"$"</f>
        <v>$</v>
      </c>
      <c r="R4432" t="str">
        <f>"הזמנה"</f>
        <v>הזמנה</v>
      </c>
      <c r="S4432">
        <v>0</v>
      </c>
      <c r="T4432" s="2">
        <v>7500</v>
      </c>
      <c r="U4432">
        <v>0</v>
      </c>
      <c r="V4432" s="2">
        <v>7500</v>
      </c>
      <c r="W4432" t="str">
        <f>"$"</f>
        <v>$</v>
      </c>
      <c r="X4432">
        <v>0</v>
      </c>
      <c r="Y4432">
        <v>0</v>
      </c>
      <c r="Z4432">
        <v>0</v>
      </c>
      <c r="AA4432" t="str">
        <f>"Y"</f>
        <v>Y</v>
      </c>
      <c r="AB4432" t="str">
        <f>"SO160000586"</f>
        <v>SO160000586</v>
      </c>
      <c r="AC4432">
        <v>2</v>
      </c>
      <c r="AD4432" s="1">
        <v>42591</v>
      </c>
      <c r="AE4432" t="str">
        <f>"SH17001131"</f>
        <v>SH17001131</v>
      </c>
      <c r="AF4432" t="str">
        <f>"משלוחים ללקוח"</f>
        <v>משלוחים ללקוח</v>
      </c>
      <c r="AG4432" s="1">
        <v>42866</v>
      </c>
      <c r="AM4432" t="str">
        <f>"10"</f>
        <v>10</v>
      </c>
      <c r="AN4432" t="str">
        <f>"500000"</f>
        <v>500000</v>
      </c>
      <c r="AO4432" t="str">
        <f>"הכנסות  מלקוחות"</f>
        <v>הכנסות  מלקוחות</v>
      </c>
      <c r="AQ4432" t="str">
        <f>"007"</f>
        <v>007</v>
      </c>
      <c r="AR4432">
        <v>0</v>
      </c>
      <c r="AS4432">
        <v>0</v>
      </c>
      <c r="AT4432">
        <v>3.6059999999999999</v>
      </c>
      <c r="AX4432" t="str">
        <f>"E000223211"</f>
        <v>E000223211</v>
      </c>
      <c r="BD4432" t="str">
        <f>"רוני דידי"</f>
        <v>רוני דידי</v>
      </c>
    </row>
    <row r="4433" spans="1:56" x14ac:dyDescent="0.3">
      <c r="A4433" s="1">
        <v>42871</v>
      </c>
      <c r="B4433" t="str">
        <f>"SI176000647"</f>
        <v>SI176000647</v>
      </c>
      <c r="C4433" t="str">
        <f>"PR16000779"</f>
        <v>PR16000779</v>
      </c>
      <c r="D4433" t="str">
        <f>"PR16000779"</f>
        <v>PR16000779</v>
      </c>
      <c r="E4433" t="str">
        <f>"Y"</f>
        <v>Y</v>
      </c>
      <c r="F4433" t="str">
        <f>"חשבוניות מרכזות"</f>
        <v>חשבוניות מרכזות</v>
      </c>
      <c r="G4433" t="str">
        <f>"700065"</f>
        <v>700065</v>
      </c>
      <c r="H4433" t="str">
        <f>"אלתא מערכות בע""מ"</f>
        <v>אלתא מערכות בע"מ</v>
      </c>
      <c r="I4433" t="str">
        <f>"10"</f>
        <v>10</v>
      </c>
      <c r="J4433" t="str">
        <f>"OP-AR00405"</f>
        <v>OP-AR00405</v>
      </c>
      <c r="K4433" t="str">
        <f>"SIL COMP RACK 3 WIRING 1029N055-001"</f>
        <v>SIL COMP RACK 3 WIRING 1029N055-001</v>
      </c>
      <c r="L4433">
        <v>1</v>
      </c>
      <c r="M4433" t="str">
        <f>"יח"</f>
        <v>יח</v>
      </c>
      <c r="N4433">
        <v>1</v>
      </c>
      <c r="O4433" t="str">
        <f>"יח"</f>
        <v>יח</v>
      </c>
      <c r="P4433" s="2">
        <v>7700</v>
      </c>
      <c r="Q4433" t="str">
        <f>"$"</f>
        <v>$</v>
      </c>
      <c r="R4433" t="str">
        <f>"הזמנה"</f>
        <v>הזמנה</v>
      </c>
      <c r="S4433">
        <v>0</v>
      </c>
      <c r="T4433" s="2">
        <v>7700</v>
      </c>
      <c r="U4433">
        <v>0</v>
      </c>
      <c r="V4433" s="2">
        <v>7700</v>
      </c>
      <c r="W4433" t="str">
        <f>"$"</f>
        <v>$</v>
      </c>
      <c r="X4433">
        <v>0</v>
      </c>
      <c r="Y4433">
        <v>0</v>
      </c>
      <c r="Z4433">
        <v>0</v>
      </c>
      <c r="AA4433" t="str">
        <f>"Y"</f>
        <v>Y</v>
      </c>
      <c r="AB4433" t="str">
        <f>"SO160000586"</f>
        <v>SO160000586</v>
      </c>
      <c r="AC4433">
        <v>3</v>
      </c>
      <c r="AD4433" s="1">
        <v>42591</v>
      </c>
      <c r="AE4433" t="str">
        <f>"SH17001131"</f>
        <v>SH17001131</v>
      </c>
      <c r="AF4433" t="str">
        <f>"משלוחים ללקוח"</f>
        <v>משלוחים ללקוח</v>
      </c>
      <c r="AG4433" s="1">
        <v>42866</v>
      </c>
      <c r="AM4433" t="str">
        <f>"10"</f>
        <v>10</v>
      </c>
      <c r="AN4433" t="str">
        <f>"500000"</f>
        <v>500000</v>
      </c>
      <c r="AO4433" t="str">
        <f>"הכנסות  מלקוחות"</f>
        <v>הכנסות  מלקוחות</v>
      </c>
      <c r="AQ4433" t="str">
        <f>"007"</f>
        <v>007</v>
      </c>
      <c r="AR4433">
        <v>0</v>
      </c>
      <c r="AS4433">
        <v>0</v>
      </c>
      <c r="AT4433">
        <v>3.6059999999999999</v>
      </c>
      <c r="AX4433" t="str">
        <f>"E000223211"</f>
        <v>E000223211</v>
      </c>
      <c r="BD4433" t="str">
        <f>"רוני דידי"</f>
        <v>רוני דידי</v>
      </c>
    </row>
    <row r="4434" spans="1:56" x14ac:dyDescent="0.3">
      <c r="A4434" s="1">
        <v>42871</v>
      </c>
      <c r="B4434" t="str">
        <f>"SI176000647"</f>
        <v>SI176000647</v>
      </c>
      <c r="C4434" t="str">
        <f>"PR16000779"</f>
        <v>PR16000779</v>
      </c>
      <c r="D4434" t="str">
        <f>"PR16000779"</f>
        <v>PR16000779</v>
      </c>
      <c r="E4434" t="str">
        <f>"Y"</f>
        <v>Y</v>
      </c>
      <c r="F4434" t="str">
        <f>"חשבוניות מרכזות"</f>
        <v>חשבוניות מרכזות</v>
      </c>
      <c r="G4434" t="str">
        <f>"700065"</f>
        <v>700065</v>
      </c>
      <c r="H4434" t="str">
        <f>"אלתא מערכות בע""מ"</f>
        <v>אלתא מערכות בע"מ</v>
      </c>
      <c r="I4434" t="str">
        <f>"10"</f>
        <v>10</v>
      </c>
      <c r="J4434" t="str">
        <f>"OP-AR00406"</f>
        <v>OP-AR00406</v>
      </c>
      <c r="K4434" t="str">
        <f>"SIL 2 RACK 1030F376-002"</f>
        <v>SIL 2 RACK 1030F376-002</v>
      </c>
      <c r="L4434">
        <v>1</v>
      </c>
      <c r="M4434" t="str">
        <f>"יח"</f>
        <v>יח</v>
      </c>
      <c r="N4434">
        <v>1</v>
      </c>
      <c r="O4434" t="str">
        <f>"יח"</f>
        <v>יח</v>
      </c>
      <c r="P4434" s="2">
        <v>7400</v>
      </c>
      <c r="Q4434" t="str">
        <f>"$"</f>
        <v>$</v>
      </c>
      <c r="R4434" t="str">
        <f>"הזמנה"</f>
        <v>הזמנה</v>
      </c>
      <c r="S4434">
        <v>0</v>
      </c>
      <c r="T4434" s="2">
        <v>7400</v>
      </c>
      <c r="U4434">
        <v>0</v>
      </c>
      <c r="V4434" s="2">
        <v>7400</v>
      </c>
      <c r="W4434" t="str">
        <f>"$"</f>
        <v>$</v>
      </c>
      <c r="X4434">
        <v>0</v>
      </c>
      <c r="Y4434">
        <v>0</v>
      </c>
      <c r="Z4434">
        <v>0</v>
      </c>
      <c r="AA4434" t="str">
        <f>"Y"</f>
        <v>Y</v>
      </c>
      <c r="AB4434" t="str">
        <f>"SO160000586"</f>
        <v>SO160000586</v>
      </c>
      <c r="AC4434">
        <v>4</v>
      </c>
      <c r="AD4434" s="1">
        <v>42591</v>
      </c>
      <c r="AE4434" t="str">
        <f>"SH17001131"</f>
        <v>SH17001131</v>
      </c>
      <c r="AF4434" t="str">
        <f>"משלוחים ללקוח"</f>
        <v>משלוחים ללקוח</v>
      </c>
      <c r="AG4434" s="1">
        <v>42866</v>
      </c>
      <c r="AM4434" t="str">
        <f>"10"</f>
        <v>10</v>
      </c>
      <c r="AN4434" t="str">
        <f>"500000"</f>
        <v>500000</v>
      </c>
      <c r="AO4434" t="str">
        <f>"הכנסות  מלקוחות"</f>
        <v>הכנסות  מלקוחות</v>
      </c>
      <c r="AQ4434" t="str">
        <f>"007"</f>
        <v>007</v>
      </c>
      <c r="AR4434">
        <v>0</v>
      </c>
      <c r="AS4434">
        <v>0</v>
      </c>
      <c r="AT4434">
        <v>3.6059999999999999</v>
      </c>
      <c r="AX4434" t="str">
        <f>"E000223211"</f>
        <v>E000223211</v>
      </c>
      <c r="BD4434" t="str">
        <f>"רוני דידי"</f>
        <v>רוני דידי</v>
      </c>
    </row>
    <row r="4435" spans="1:56" x14ac:dyDescent="0.3">
      <c r="A4435" s="1">
        <v>42871</v>
      </c>
      <c r="B4435" t="str">
        <f>"SI176000647"</f>
        <v>SI176000647</v>
      </c>
      <c r="C4435" t="str">
        <f>"PR16000779"</f>
        <v>PR16000779</v>
      </c>
      <c r="D4435" t="str">
        <f>"PR16000779"</f>
        <v>PR16000779</v>
      </c>
      <c r="E4435" t="str">
        <f>"Y"</f>
        <v>Y</v>
      </c>
      <c r="F4435" t="str">
        <f>"חשבוניות מרכזות"</f>
        <v>חשבוניות מרכזות</v>
      </c>
      <c r="G4435" t="str">
        <f>"700065"</f>
        <v>700065</v>
      </c>
      <c r="H4435" t="str">
        <f>"אלתא מערכות בע""מ"</f>
        <v>אלתא מערכות בע"מ</v>
      </c>
      <c r="I4435" t="str">
        <f>"10"</f>
        <v>10</v>
      </c>
      <c r="J4435" t="str">
        <f>"000"</f>
        <v>000</v>
      </c>
      <c r="K4435" t="str">
        <f>"NRE"</f>
        <v>NRE</v>
      </c>
      <c r="L4435">
        <v>1</v>
      </c>
      <c r="M4435" t="str">
        <f>"יח"</f>
        <v>יח</v>
      </c>
      <c r="N4435">
        <v>1</v>
      </c>
      <c r="O4435" t="str">
        <f>"יח"</f>
        <v>יח</v>
      </c>
      <c r="P4435" s="2">
        <v>9000</v>
      </c>
      <c r="Q4435" t="str">
        <f>"$"</f>
        <v>$</v>
      </c>
      <c r="R4435" t="str">
        <f>"הזמנה"</f>
        <v>הזמנה</v>
      </c>
      <c r="S4435">
        <v>0</v>
      </c>
      <c r="T4435" s="2">
        <v>9000</v>
      </c>
      <c r="U4435">
        <v>0</v>
      </c>
      <c r="V4435" s="2">
        <v>9000</v>
      </c>
      <c r="W4435" t="str">
        <f>"$"</f>
        <v>$</v>
      </c>
      <c r="X4435">
        <v>0</v>
      </c>
      <c r="Y4435">
        <v>0</v>
      </c>
      <c r="Z4435">
        <v>0</v>
      </c>
      <c r="AA4435" t="str">
        <f>"Y"</f>
        <v>Y</v>
      </c>
      <c r="AB4435" t="str">
        <f>"SO160000586"</f>
        <v>SO160000586</v>
      </c>
      <c r="AC4435">
        <v>5</v>
      </c>
      <c r="AD4435" s="1">
        <v>42591</v>
      </c>
      <c r="AE4435" t="str">
        <f>"SH17001131"</f>
        <v>SH17001131</v>
      </c>
      <c r="AF4435" t="str">
        <f>"משלוחים ללקוח"</f>
        <v>משלוחים ללקוח</v>
      </c>
      <c r="AG4435" s="1">
        <v>42866</v>
      </c>
      <c r="AM4435" t="str">
        <f>"10"</f>
        <v>10</v>
      </c>
      <c r="AN4435" t="str">
        <f>"500000"</f>
        <v>500000</v>
      </c>
      <c r="AO4435" t="str">
        <f>"הכנסות  מלקוחות"</f>
        <v>הכנסות  מלקוחות</v>
      </c>
      <c r="AQ4435" t="str">
        <f>"007"</f>
        <v>007</v>
      </c>
      <c r="AR4435">
        <v>0</v>
      </c>
      <c r="AS4435">
        <v>0</v>
      </c>
      <c r="AT4435">
        <v>3.6059999999999999</v>
      </c>
      <c r="AX4435" t="str">
        <f>"E000223211"</f>
        <v>E000223211</v>
      </c>
      <c r="BD4435" t="str">
        <f>"רוני דידי"</f>
        <v>רוני דידי</v>
      </c>
    </row>
    <row r="4436" spans="1:56" x14ac:dyDescent="0.3">
      <c r="A4436" s="1">
        <v>42871</v>
      </c>
      <c r="B4436" t="str">
        <f>"SI176000644"</f>
        <v>SI176000644</v>
      </c>
      <c r="C4436" t="str">
        <f>"PR17001453"</f>
        <v>PR17001453</v>
      </c>
      <c r="D4436" t="str">
        <f>"PR17001453"</f>
        <v>PR17001453</v>
      </c>
      <c r="E4436" t="str">
        <f>"Y"</f>
        <v>Y</v>
      </c>
      <c r="F4436" t="str">
        <f>"חשבוניות מרכזות"</f>
        <v>חשבוניות מרכזות</v>
      </c>
      <c r="G4436" t="str">
        <f>"700065"</f>
        <v>700065</v>
      </c>
      <c r="H4436" t="str">
        <f>"אלתא מערכות בע""מ"</f>
        <v>אלתא מערכות בע"מ</v>
      </c>
      <c r="I4436" t="str">
        <f>"10"</f>
        <v>10</v>
      </c>
      <c r="J4436" t="str">
        <f>"OP-AR00540"</f>
        <v>OP-AR00540</v>
      </c>
      <c r="K4436" t="str">
        <f>"רתמה 1032H441-002"</f>
        <v>רתמה 1032H441-002</v>
      </c>
      <c r="L4436">
        <v>6</v>
      </c>
      <c r="M4436" t="str">
        <f>"יח"</f>
        <v>יח</v>
      </c>
      <c r="N4436">
        <v>6</v>
      </c>
      <c r="O4436" t="str">
        <f>"יח"</f>
        <v>יח</v>
      </c>
      <c r="P4436">
        <v>325</v>
      </c>
      <c r="Q4436" t="str">
        <f>"$"</f>
        <v>$</v>
      </c>
      <c r="R4436" t="str">
        <f>"הזמנה"</f>
        <v>הזמנה</v>
      </c>
      <c r="S4436">
        <v>0</v>
      </c>
      <c r="T4436" s="2">
        <v>1950</v>
      </c>
      <c r="U4436">
        <v>0</v>
      </c>
      <c r="V4436" s="2">
        <v>1950</v>
      </c>
      <c r="W4436" t="str">
        <f>"$"</f>
        <v>$</v>
      </c>
      <c r="X4436">
        <v>0</v>
      </c>
      <c r="Y4436">
        <v>0</v>
      </c>
      <c r="Z4436">
        <v>0</v>
      </c>
      <c r="AA4436" t="str">
        <f>"Y"</f>
        <v>Y</v>
      </c>
      <c r="AB4436" t="str">
        <f>"SO17000180"</f>
        <v>SO17000180</v>
      </c>
      <c r="AC4436">
        <v>4</v>
      </c>
      <c r="AD4436" s="1">
        <v>42799</v>
      </c>
      <c r="AE4436" t="str">
        <f>"SH17001174"</f>
        <v>SH17001174</v>
      </c>
      <c r="AF4436" t="str">
        <f>"משלוחים ללקוח"</f>
        <v>משלוחים ללקוח</v>
      </c>
      <c r="AG4436" s="1">
        <v>42870</v>
      </c>
      <c r="AM4436" t="str">
        <f>"10"</f>
        <v>10</v>
      </c>
      <c r="AN4436" t="str">
        <f>"500000"</f>
        <v>500000</v>
      </c>
      <c r="AO4436" t="str">
        <f>"הכנסות  מלקוחות"</f>
        <v>הכנסות  מלקוחות</v>
      </c>
      <c r="AQ4436" t="str">
        <f>"004"</f>
        <v>004</v>
      </c>
      <c r="AR4436">
        <v>0</v>
      </c>
      <c r="AS4436">
        <v>0</v>
      </c>
      <c r="AT4436">
        <v>3.5979999999999999</v>
      </c>
      <c r="AX4436" t="str">
        <f>"E000233577"</f>
        <v>E000233577</v>
      </c>
      <c r="BD4436" t="str">
        <f>"איציק חדד"</f>
        <v>איציק חדד</v>
      </c>
    </row>
    <row r="4437" spans="1:56" x14ac:dyDescent="0.3">
      <c r="A4437" s="1">
        <v>42866</v>
      </c>
      <c r="B4437" t="str">
        <f>"SI176000637"</f>
        <v>SI176000637</v>
      </c>
      <c r="C4437" t="str">
        <f>"PR17001453"</f>
        <v>PR17001453</v>
      </c>
      <c r="D4437" t="str">
        <f>"PR17001453"</f>
        <v>PR17001453</v>
      </c>
      <c r="E4437" t="str">
        <f>"Y"</f>
        <v>Y</v>
      </c>
      <c r="F4437" t="str">
        <f>"חשבוניות מרכזות"</f>
        <v>חשבוניות מרכזות</v>
      </c>
      <c r="G4437" t="str">
        <f>"700065"</f>
        <v>700065</v>
      </c>
      <c r="H4437" t="str">
        <f>"אלתא מערכות בע""מ"</f>
        <v>אלתא מערכות בע"מ</v>
      </c>
      <c r="I4437" t="str">
        <f>"10"</f>
        <v>10</v>
      </c>
      <c r="J4437" t="str">
        <f>"OP-AR00540"</f>
        <v>OP-AR00540</v>
      </c>
      <c r="K4437" t="str">
        <f>"רתמה 1032H441-002"</f>
        <v>רתמה 1032H441-002</v>
      </c>
      <c r="L4437">
        <v>7</v>
      </c>
      <c r="M4437" t="str">
        <f>"יח"</f>
        <v>יח</v>
      </c>
      <c r="N4437">
        <v>7</v>
      </c>
      <c r="O4437" t="str">
        <f>"יח"</f>
        <v>יח</v>
      </c>
      <c r="P4437">
        <v>325</v>
      </c>
      <c r="Q4437" t="str">
        <f>"$"</f>
        <v>$</v>
      </c>
      <c r="R4437" t="str">
        <f>"הזמנה"</f>
        <v>הזמנה</v>
      </c>
      <c r="S4437">
        <v>0</v>
      </c>
      <c r="T4437" s="2">
        <v>2275</v>
      </c>
      <c r="U4437">
        <v>0</v>
      </c>
      <c r="V4437" s="2">
        <v>2275</v>
      </c>
      <c r="W4437" t="str">
        <f>"$"</f>
        <v>$</v>
      </c>
      <c r="X4437">
        <v>0</v>
      </c>
      <c r="Y4437">
        <v>0</v>
      </c>
      <c r="Z4437">
        <v>0</v>
      </c>
      <c r="AA4437" t="str">
        <f>"Y"</f>
        <v>Y</v>
      </c>
      <c r="AB4437" t="str">
        <f>"SO17000180"</f>
        <v>SO17000180</v>
      </c>
      <c r="AC4437">
        <v>4</v>
      </c>
      <c r="AD4437" s="1">
        <v>42799</v>
      </c>
      <c r="AE4437" t="str">
        <f>"SH17001138"</f>
        <v>SH17001138</v>
      </c>
      <c r="AF4437" t="str">
        <f>"משלוחים ללקוח"</f>
        <v>משלוחים ללקוח</v>
      </c>
      <c r="AG4437" s="1">
        <v>42866</v>
      </c>
      <c r="AM4437" t="str">
        <f>"10"</f>
        <v>10</v>
      </c>
      <c r="AN4437" t="str">
        <f>"500000"</f>
        <v>500000</v>
      </c>
      <c r="AO4437" t="str">
        <f>"הכנסות  מלקוחות"</f>
        <v>הכנסות  מלקוחות</v>
      </c>
      <c r="AQ4437" t="str">
        <f>"004"</f>
        <v>004</v>
      </c>
      <c r="AR4437">
        <v>0</v>
      </c>
      <c r="AS4437">
        <v>0</v>
      </c>
      <c r="AT4437">
        <v>3.61</v>
      </c>
      <c r="AX4437" t="str">
        <f>"E000233577"</f>
        <v>E000233577</v>
      </c>
      <c r="BD4437" t="str">
        <f>"איציק חדד"</f>
        <v>איציק חדד</v>
      </c>
    </row>
    <row r="4438" spans="1:56" x14ac:dyDescent="0.3">
      <c r="A4438" s="1">
        <v>42866</v>
      </c>
      <c r="B4438" t="str">
        <f>"SI176000636"</f>
        <v>SI176000636</v>
      </c>
      <c r="E4438" t="str">
        <f>"Y"</f>
        <v>Y</v>
      </c>
      <c r="F4438" t="str">
        <f>"חשבוניות מרכזות"</f>
        <v>חשבוניות מרכזות</v>
      </c>
      <c r="G4438" t="str">
        <f>"700065"</f>
        <v>700065</v>
      </c>
      <c r="H4438" t="str">
        <f>"אלתא מערכות בע""מ"</f>
        <v>אלתא מערכות בע"מ</v>
      </c>
      <c r="I4438" t="str">
        <f>"10"</f>
        <v>10</v>
      </c>
      <c r="J4438" t="str">
        <f>"OP-AR00464"</f>
        <v>OP-AR00464</v>
      </c>
      <c r="K4438" t="str">
        <f>"רתמה REV;A 1036N631-001"</f>
        <v>רתמה REV;A 1036N631-001</v>
      </c>
      <c r="L4438">
        <v>4</v>
      </c>
      <c r="M4438" t="str">
        <f>"יח"</f>
        <v>יח</v>
      </c>
      <c r="N4438">
        <v>4</v>
      </c>
      <c r="O4438" t="str">
        <f>"יח"</f>
        <v>יח</v>
      </c>
      <c r="P4438">
        <v>699.3</v>
      </c>
      <c r="Q4438" t="str">
        <f>"$"</f>
        <v>$</v>
      </c>
      <c r="R4438" t="str">
        <f>"הזמנה"</f>
        <v>הזמנה</v>
      </c>
      <c r="S4438">
        <v>0</v>
      </c>
      <c r="T4438" s="2">
        <v>2797.2</v>
      </c>
      <c r="U4438">
        <v>0</v>
      </c>
      <c r="V4438" s="2">
        <v>2797.2</v>
      </c>
      <c r="W4438" t="str">
        <f>"$"</f>
        <v>$</v>
      </c>
      <c r="X4438">
        <v>0</v>
      </c>
      <c r="Y4438">
        <v>0</v>
      </c>
      <c r="Z4438">
        <v>0</v>
      </c>
      <c r="AA4438" t="str">
        <f>"Y"</f>
        <v>Y</v>
      </c>
      <c r="AB4438" t="str">
        <f>"SO17000164"</f>
        <v>SO17000164</v>
      </c>
      <c r="AC4438">
        <v>1</v>
      </c>
      <c r="AD4438" s="1">
        <v>42793</v>
      </c>
      <c r="AE4438" t="str">
        <f>"SH17001135"</f>
        <v>SH17001135</v>
      </c>
      <c r="AF4438" t="str">
        <f>"משלוחים ללקוח"</f>
        <v>משלוחים ללקוח</v>
      </c>
      <c r="AG4438" s="1">
        <v>42866</v>
      </c>
      <c r="AM4438" t="str">
        <f>"10"</f>
        <v>10</v>
      </c>
      <c r="AN4438" t="str">
        <f>"500000"</f>
        <v>500000</v>
      </c>
      <c r="AO4438" t="str">
        <f>"הכנסות  מלקוחות"</f>
        <v>הכנסות  מלקוחות</v>
      </c>
      <c r="AQ4438" t="str">
        <f>"017"</f>
        <v>017</v>
      </c>
      <c r="AR4438">
        <v>0</v>
      </c>
      <c r="AS4438">
        <v>0</v>
      </c>
      <c r="AT4438">
        <v>3.61</v>
      </c>
      <c r="AX4438" t="str">
        <f>"E000233149"</f>
        <v>E000233149</v>
      </c>
      <c r="BD4438" t="str">
        <f>"שחר דאהמן"</f>
        <v>שחר דאהמן</v>
      </c>
    </row>
    <row r="4439" spans="1:56" x14ac:dyDescent="0.3">
      <c r="A4439" s="1">
        <v>42866</v>
      </c>
      <c r="B4439" t="str">
        <f>"SI176000636"</f>
        <v>SI176000636</v>
      </c>
      <c r="E4439" t="str">
        <f>"Y"</f>
        <v>Y</v>
      </c>
      <c r="F4439" t="str">
        <f>"חשבוניות מרכזות"</f>
        <v>חשבוניות מרכזות</v>
      </c>
      <c r="G4439" t="str">
        <f>"700065"</f>
        <v>700065</v>
      </c>
      <c r="H4439" t="str">
        <f>"אלתא מערכות בע""מ"</f>
        <v>אלתא מערכות בע"מ</v>
      </c>
      <c r="I4439" t="str">
        <f>"10"</f>
        <v>10</v>
      </c>
      <c r="J4439" t="str">
        <f>"OP-AR00465"</f>
        <v>OP-AR00465</v>
      </c>
      <c r="K4439" t="str">
        <f>"רתמה REV;B 1036N632-001"</f>
        <v>רתמה REV;B 1036N632-001</v>
      </c>
      <c r="L4439">
        <v>2</v>
      </c>
      <c r="M4439" t="str">
        <f>"יח"</f>
        <v>יח</v>
      </c>
      <c r="N4439">
        <v>2</v>
      </c>
      <c r="O4439" t="str">
        <f>"יח"</f>
        <v>יח</v>
      </c>
      <c r="P4439">
        <v>864.68</v>
      </c>
      <c r="Q4439" t="str">
        <f>"$"</f>
        <v>$</v>
      </c>
      <c r="R4439" t="str">
        <f>"הזמנה"</f>
        <v>הזמנה</v>
      </c>
      <c r="S4439">
        <v>0</v>
      </c>
      <c r="T4439" s="2">
        <v>1729.36</v>
      </c>
      <c r="U4439">
        <v>0</v>
      </c>
      <c r="V4439" s="2">
        <v>1729.36</v>
      </c>
      <c r="W4439" t="str">
        <f>"$"</f>
        <v>$</v>
      </c>
      <c r="X4439">
        <v>0</v>
      </c>
      <c r="Y4439">
        <v>0</v>
      </c>
      <c r="Z4439">
        <v>0</v>
      </c>
      <c r="AA4439" t="str">
        <f>"Y"</f>
        <v>Y</v>
      </c>
      <c r="AB4439" t="str">
        <f>"SO17000164"</f>
        <v>SO17000164</v>
      </c>
      <c r="AC4439">
        <v>4</v>
      </c>
      <c r="AD4439" s="1">
        <v>42793</v>
      </c>
      <c r="AE4439" t="str">
        <f>"SH17001136"</f>
        <v>SH17001136</v>
      </c>
      <c r="AF4439" t="str">
        <f>"משלוחים ללקוח"</f>
        <v>משלוחים ללקוח</v>
      </c>
      <c r="AG4439" s="1">
        <v>42866</v>
      </c>
      <c r="AM4439" t="str">
        <f>"10"</f>
        <v>10</v>
      </c>
      <c r="AN4439" t="str">
        <f>"500000"</f>
        <v>500000</v>
      </c>
      <c r="AO4439" t="str">
        <f>"הכנסות  מלקוחות"</f>
        <v>הכנסות  מלקוחות</v>
      </c>
      <c r="AQ4439" t="str">
        <f>"017"</f>
        <v>017</v>
      </c>
      <c r="AR4439">
        <v>0</v>
      </c>
      <c r="AS4439">
        <v>0</v>
      </c>
      <c r="AT4439">
        <v>3.61</v>
      </c>
      <c r="AX4439" t="str">
        <f>"E000233149"</f>
        <v>E000233149</v>
      </c>
      <c r="BD4439" t="str">
        <f>"שחר דאהמן"</f>
        <v>שחר דאהמן</v>
      </c>
    </row>
    <row r="4440" spans="1:56" x14ac:dyDescent="0.3">
      <c r="A4440" s="1">
        <v>42866</v>
      </c>
      <c r="B4440" t="str">
        <f>"SI176000636"</f>
        <v>SI176000636</v>
      </c>
      <c r="E4440" t="str">
        <f>"Y"</f>
        <v>Y</v>
      </c>
      <c r="F4440" t="str">
        <f>"חשבוניות מרכזות"</f>
        <v>חשבוניות מרכזות</v>
      </c>
      <c r="G4440" t="str">
        <f>"700065"</f>
        <v>700065</v>
      </c>
      <c r="H4440" t="str">
        <f>"אלתא מערכות בע""מ"</f>
        <v>אלתא מערכות בע"מ</v>
      </c>
      <c r="I4440" t="str">
        <f>"10"</f>
        <v>10</v>
      </c>
      <c r="J4440" t="str">
        <f>"OP-AR00465"</f>
        <v>OP-AR00465</v>
      </c>
      <c r="K4440" t="str">
        <f>"רתמה REV;B 1036N632-001"</f>
        <v>רתמה REV;B 1036N632-001</v>
      </c>
      <c r="L4440">
        <v>2</v>
      </c>
      <c r="M4440" t="str">
        <f>"יח"</f>
        <v>יח</v>
      </c>
      <c r="N4440">
        <v>2</v>
      </c>
      <c r="O4440" t="str">
        <f>"יח"</f>
        <v>יח</v>
      </c>
      <c r="P4440">
        <v>864.68</v>
      </c>
      <c r="Q4440" t="str">
        <f>"$"</f>
        <v>$</v>
      </c>
      <c r="R4440" t="str">
        <f>"הזמנה"</f>
        <v>הזמנה</v>
      </c>
      <c r="S4440">
        <v>0</v>
      </c>
      <c r="T4440" s="2">
        <v>1729.36</v>
      </c>
      <c r="U4440">
        <v>0</v>
      </c>
      <c r="V4440" s="2">
        <v>1729.36</v>
      </c>
      <c r="W4440" t="str">
        <f>"$"</f>
        <v>$</v>
      </c>
      <c r="X4440">
        <v>0</v>
      </c>
      <c r="Y4440">
        <v>0</v>
      </c>
      <c r="Z4440">
        <v>0</v>
      </c>
      <c r="AA4440" t="str">
        <f>"Y"</f>
        <v>Y</v>
      </c>
      <c r="AB4440" t="str">
        <f>"SO17000164"</f>
        <v>SO17000164</v>
      </c>
      <c r="AC4440">
        <v>5</v>
      </c>
      <c r="AD4440" s="1">
        <v>42793</v>
      </c>
      <c r="AE4440" t="str">
        <f>"SH17001136"</f>
        <v>SH17001136</v>
      </c>
      <c r="AF4440" t="str">
        <f>"משלוחים ללקוח"</f>
        <v>משלוחים ללקוח</v>
      </c>
      <c r="AG4440" s="1">
        <v>42866</v>
      </c>
      <c r="AM4440" t="str">
        <f>"10"</f>
        <v>10</v>
      </c>
      <c r="AN4440" t="str">
        <f>"500000"</f>
        <v>500000</v>
      </c>
      <c r="AO4440" t="str">
        <f>"הכנסות  מלקוחות"</f>
        <v>הכנסות  מלקוחות</v>
      </c>
      <c r="AQ4440" t="str">
        <f>"017"</f>
        <v>017</v>
      </c>
      <c r="AR4440">
        <v>0</v>
      </c>
      <c r="AS4440">
        <v>0</v>
      </c>
      <c r="AT4440">
        <v>3.61</v>
      </c>
      <c r="AX4440" t="str">
        <f>"E000233149"</f>
        <v>E000233149</v>
      </c>
      <c r="BD4440" t="str">
        <f>"שחר דאהמן"</f>
        <v>שחר דאהמן</v>
      </c>
    </row>
    <row r="4441" spans="1:56" x14ac:dyDescent="0.3">
      <c r="A4441" s="1">
        <v>42866</v>
      </c>
      <c r="B4441" t="str">
        <f>"SI176000636"</f>
        <v>SI176000636</v>
      </c>
      <c r="E4441" t="str">
        <f>"Y"</f>
        <v>Y</v>
      </c>
      <c r="F4441" t="str">
        <f>"חשבוניות מרכזות"</f>
        <v>חשבוניות מרכזות</v>
      </c>
      <c r="G4441" t="str">
        <f>"700065"</f>
        <v>700065</v>
      </c>
      <c r="H4441" t="str">
        <f>"אלתא מערכות בע""מ"</f>
        <v>אלתא מערכות בע"מ</v>
      </c>
      <c r="I4441" t="str">
        <f>"10"</f>
        <v>10</v>
      </c>
      <c r="J4441" t="str">
        <f>"OP-AR00466"</f>
        <v>OP-AR00466</v>
      </c>
      <c r="K4441" t="str">
        <f>"רתמה REV;B 1036N633-001"</f>
        <v>רתמה REV;B 1036N633-001</v>
      </c>
      <c r="L4441">
        <v>3</v>
      </c>
      <c r="M4441" t="str">
        <f>"יח"</f>
        <v>יח</v>
      </c>
      <c r="N4441">
        <v>3</v>
      </c>
      <c r="O4441" t="str">
        <f>"יח"</f>
        <v>יח</v>
      </c>
      <c r="P4441">
        <v>548.1</v>
      </c>
      <c r="Q4441" t="str">
        <f>"$"</f>
        <v>$</v>
      </c>
      <c r="R4441" t="str">
        <f>"הזמנה"</f>
        <v>הזמנה</v>
      </c>
      <c r="S4441">
        <v>0</v>
      </c>
      <c r="T4441" s="2">
        <v>1644.3</v>
      </c>
      <c r="U4441">
        <v>0</v>
      </c>
      <c r="V4441" s="2">
        <v>1644.3</v>
      </c>
      <c r="W4441" t="str">
        <f>"$"</f>
        <v>$</v>
      </c>
      <c r="X4441">
        <v>0</v>
      </c>
      <c r="Y4441">
        <v>0</v>
      </c>
      <c r="Z4441">
        <v>0</v>
      </c>
      <c r="AA4441" t="str">
        <f>"Y"</f>
        <v>Y</v>
      </c>
      <c r="AB4441" t="str">
        <f>"SO17000164"</f>
        <v>SO17000164</v>
      </c>
      <c r="AC4441">
        <v>8</v>
      </c>
      <c r="AD4441" s="1">
        <v>42793</v>
      </c>
      <c r="AE4441" t="str">
        <f>"SH17001136"</f>
        <v>SH17001136</v>
      </c>
      <c r="AF4441" t="str">
        <f>"משלוחים ללקוח"</f>
        <v>משלוחים ללקוח</v>
      </c>
      <c r="AG4441" s="1">
        <v>42866</v>
      </c>
      <c r="AM4441" t="str">
        <f>"10"</f>
        <v>10</v>
      </c>
      <c r="AN4441" t="str">
        <f>"500000"</f>
        <v>500000</v>
      </c>
      <c r="AO4441" t="str">
        <f>"הכנסות  מלקוחות"</f>
        <v>הכנסות  מלקוחות</v>
      </c>
      <c r="AQ4441" t="str">
        <f>"017"</f>
        <v>017</v>
      </c>
      <c r="AR4441">
        <v>0</v>
      </c>
      <c r="AS4441">
        <v>0</v>
      </c>
      <c r="AT4441">
        <v>3.61</v>
      </c>
      <c r="AX4441" t="str">
        <f>"E000233149"</f>
        <v>E000233149</v>
      </c>
      <c r="BD4441" t="str">
        <f>"שחר דאהמן"</f>
        <v>שחר דאהמן</v>
      </c>
    </row>
    <row r="4442" spans="1:56" x14ac:dyDescent="0.3">
      <c r="A4442" s="1">
        <v>42866</v>
      </c>
      <c r="B4442" t="str">
        <f>"SI176000633"</f>
        <v>SI176000633</v>
      </c>
      <c r="C4442" t="str">
        <f>"PR16000867"</f>
        <v>PR16000867</v>
      </c>
      <c r="D4442" t="str">
        <f>"PR16000867"</f>
        <v>PR16000867</v>
      </c>
      <c r="E4442" t="str">
        <f>"Y"</f>
        <v>Y</v>
      </c>
      <c r="F4442" t="str">
        <f>"חשבוניות מרכזות"</f>
        <v>חשבוניות מרכזות</v>
      </c>
      <c r="G4442" t="str">
        <f>"700065"</f>
        <v>700065</v>
      </c>
      <c r="H4442" t="str">
        <f>"אלתא מערכות בע""מ"</f>
        <v>אלתא מערכות בע"מ</v>
      </c>
      <c r="I4442" t="str">
        <f>"10"</f>
        <v>10</v>
      </c>
      <c r="J4442" t="str">
        <f>"OP-AR00420"</f>
        <v>OP-AR00420</v>
      </c>
      <c r="K4442" t="str">
        <f>"CONTROL BOX 1037N840-001"</f>
        <v>CONTROL BOX 1037N840-001</v>
      </c>
      <c r="L4442">
        <v>3</v>
      </c>
      <c r="M4442" t="str">
        <f>"יח"</f>
        <v>יח</v>
      </c>
      <c r="N4442">
        <v>3</v>
      </c>
      <c r="O4442" t="str">
        <f>"יח"</f>
        <v>יח</v>
      </c>
      <c r="P4442" s="2">
        <v>4709.25</v>
      </c>
      <c r="Q4442" t="str">
        <f>"$"</f>
        <v>$</v>
      </c>
      <c r="R4442" t="str">
        <f>"הזמנה"</f>
        <v>הזמנה</v>
      </c>
      <c r="S4442">
        <v>0</v>
      </c>
      <c r="T4442" s="2">
        <v>14127.75</v>
      </c>
      <c r="U4442">
        <v>0</v>
      </c>
      <c r="V4442" s="2">
        <v>14127.75</v>
      </c>
      <c r="W4442" t="str">
        <f>"$"</f>
        <v>$</v>
      </c>
      <c r="X4442">
        <v>0</v>
      </c>
      <c r="Y4442">
        <v>0</v>
      </c>
      <c r="Z4442">
        <v>0</v>
      </c>
      <c r="AA4442" t="str">
        <f>"Y"</f>
        <v>Y</v>
      </c>
      <c r="AB4442" t="str">
        <f>"SO160000648"</f>
        <v>SO160000648</v>
      </c>
      <c r="AC4442">
        <v>1</v>
      </c>
      <c r="AD4442" s="1">
        <v>42618</v>
      </c>
      <c r="AE4442" t="str">
        <f>"SH17001111"</f>
        <v>SH17001111</v>
      </c>
      <c r="AF4442" t="str">
        <f>"משלוחים ללקוח"</f>
        <v>משלוחים ללקוח</v>
      </c>
      <c r="AG4442" s="1">
        <v>42865</v>
      </c>
      <c r="AM4442" t="str">
        <f>"10"</f>
        <v>10</v>
      </c>
      <c r="AN4442" t="str">
        <f>"500000"</f>
        <v>500000</v>
      </c>
      <c r="AO4442" t="str">
        <f>"הכנסות  מלקוחות"</f>
        <v>הכנסות  מלקוחות</v>
      </c>
      <c r="AQ4442" t="str">
        <f>"007"</f>
        <v>007</v>
      </c>
      <c r="AR4442">
        <v>0</v>
      </c>
      <c r="AS4442">
        <v>0</v>
      </c>
      <c r="AT4442">
        <v>3.605</v>
      </c>
      <c r="AX4442" t="str">
        <f>"E000224314"</f>
        <v>E000224314</v>
      </c>
      <c r="BD4442" t="str">
        <f>"רוני דידי"</f>
        <v>רוני דידי</v>
      </c>
    </row>
    <row r="4443" spans="1:56" x14ac:dyDescent="0.3">
      <c r="A4443" s="1">
        <v>42866</v>
      </c>
      <c r="B4443" t="str">
        <f>"SI176000633"</f>
        <v>SI176000633</v>
      </c>
      <c r="C4443" t="str">
        <f>"PR16000867"</f>
        <v>PR16000867</v>
      </c>
      <c r="D4443" t="str">
        <f>"PR16000867"</f>
        <v>PR16000867</v>
      </c>
      <c r="E4443" t="str">
        <f>"Y"</f>
        <v>Y</v>
      </c>
      <c r="F4443" t="str">
        <f>"חשבוניות מרכזות"</f>
        <v>חשבוניות מרכזות</v>
      </c>
      <c r="G4443" t="str">
        <f>"700065"</f>
        <v>700065</v>
      </c>
      <c r="H4443" t="str">
        <f>"אלתא מערכות בע""מ"</f>
        <v>אלתא מערכות בע"מ</v>
      </c>
      <c r="I4443" t="str">
        <f>"10"</f>
        <v>10</v>
      </c>
      <c r="J4443" t="str">
        <f>"OP-AR00420"</f>
        <v>OP-AR00420</v>
      </c>
      <c r="K4443" t="str">
        <f>"CONTROL BOX 1037N840-001"</f>
        <v>CONTROL BOX 1037N840-001</v>
      </c>
      <c r="L4443">
        <v>2</v>
      </c>
      <c r="M4443" t="str">
        <f>"יח"</f>
        <v>יח</v>
      </c>
      <c r="N4443">
        <v>2</v>
      </c>
      <c r="O4443" t="str">
        <f>"יח"</f>
        <v>יח</v>
      </c>
      <c r="P4443" s="2">
        <v>4709.25</v>
      </c>
      <c r="Q4443" t="str">
        <f>"$"</f>
        <v>$</v>
      </c>
      <c r="R4443" t="str">
        <f>"הזמנה"</f>
        <v>הזמנה</v>
      </c>
      <c r="S4443">
        <v>0</v>
      </c>
      <c r="T4443" s="2">
        <v>9418.5</v>
      </c>
      <c r="U4443">
        <v>0</v>
      </c>
      <c r="V4443" s="2">
        <v>9418.5</v>
      </c>
      <c r="W4443" t="str">
        <f>"$"</f>
        <v>$</v>
      </c>
      <c r="X4443">
        <v>0</v>
      </c>
      <c r="Y4443">
        <v>0</v>
      </c>
      <c r="Z4443">
        <v>0</v>
      </c>
      <c r="AA4443" t="str">
        <f>"Y"</f>
        <v>Y</v>
      </c>
      <c r="AB4443" t="str">
        <f>"SO160000648"</f>
        <v>SO160000648</v>
      </c>
      <c r="AC4443">
        <v>2</v>
      </c>
      <c r="AD4443" s="1">
        <v>42618</v>
      </c>
      <c r="AE4443" t="str">
        <f>"SH17001111"</f>
        <v>SH17001111</v>
      </c>
      <c r="AF4443" t="str">
        <f>"משלוחים ללקוח"</f>
        <v>משלוחים ללקוח</v>
      </c>
      <c r="AG4443" s="1">
        <v>42865</v>
      </c>
      <c r="AM4443" t="str">
        <f>"10"</f>
        <v>10</v>
      </c>
      <c r="AN4443" t="str">
        <f>"500000"</f>
        <v>500000</v>
      </c>
      <c r="AO4443" t="str">
        <f>"הכנסות  מלקוחות"</f>
        <v>הכנסות  מלקוחות</v>
      </c>
      <c r="AQ4443" t="str">
        <f>"007"</f>
        <v>007</v>
      </c>
      <c r="AR4443">
        <v>0</v>
      </c>
      <c r="AS4443">
        <v>0</v>
      </c>
      <c r="AT4443">
        <v>3.605</v>
      </c>
      <c r="AX4443" t="str">
        <f>"E000224314"</f>
        <v>E000224314</v>
      </c>
      <c r="BD4443" t="str">
        <f>"רוני דידי"</f>
        <v>רוני דידי</v>
      </c>
    </row>
    <row r="4444" spans="1:56" x14ac:dyDescent="0.3">
      <c r="A4444" s="1">
        <v>42866</v>
      </c>
      <c r="B4444" t="str">
        <f>"SI176000633"</f>
        <v>SI176000633</v>
      </c>
      <c r="C4444" t="str">
        <f>"PR16000867"</f>
        <v>PR16000867</v>
      </c>
      <c r="D4444" t="str">
        <f>"PR16000867"</f>
        <v>PR16000867</v>
      </c>
      <c r="E4444" t="str">
        <f>"Y"</f>
        <v>Y</v>
      </c>
      <c r="F4444" t="str">
        <f>"חשבוניות מרכזות"</f>
        <v>חשבוניות מרכזות</v>
      </c>
      <c r="G4444" t="str">
        <f>"700065"</f>
        <v>700065</v>
      </c>
      <c r="H4444" t="str">
        <f>"אלתא מערכות בע""מ"</f>
        <v>אלתא מערכות בע"מ</v>
      </c>
      <c r="I4444" t="str">
        <f>"10"</f>
        <v>10</v>
      </c>
      <c r="J4444" t="str">
        <f>"OP-AR00420"</f>
        <v>OP-AR00420</v>
      </c>
      <c r="K4444" t="str">
        <f>"CONTROL BOX 1037N840-001"</f>
        <v>CONTROL BOX 1037N840-001</v>
      </c>
      <c r="L4444">
        <v>2</v>
      </c>
      <c r="M4444" t="str">
        <f>"יח"</f>
        <v>יח</v>
      </c>
      <c r="N4444">
        <v>2</v>
      </c>
      <c r="O4444" t="str">
        <f>"יח"</f>
        <v>יח</v>
      </c>
      <c r="P4444" s="2">
        <v>4709.25</v>
      </c>
      <c r="Q4444" t="str">
        <f>"$"</f>
        <v>$</v>
      </c>
      <c r="R4444" t="str">
        <f>"הזמנה"</f>
        <v>הזמנה</v>
      </c>
      <c r="S4444">
        <v>0</v>
      </c>
      <c r="T4444" s="2">
        <v>9418.5</v>
      </c>
      <c r="U4444">
        <v>0</v>
      </c>
      <c r="V4444" s="2">
        <v>9418.5</v>
      </c>
      <c r="W4444" t="str">
        <f>"$"</f>
        <v>$</v>
      </c>
      <c r="X4444">
        <v>0</v>
      </c>
      <c r="Y4444">
        <v>0</v>
      </c>
      <c r="Z4444">
        <v>0</v>
      </c>
      <c r="AA4444" t="str">
        <f>"Y"</f>
        <v>Y</v>
      </c>
      <c r="AB4444" t="str">
        <f>"SO160000648"</f>
        <v>SO160000648</v>
      </c>
      <c r="AC4444">
        <v>3</v>
      </c>
      <c r="AD4444" s="1">
        <v>42618</v>
      </c>
      <c r="AE4444" t="str">
        <f>"SH17001111"</f>
        <v>SH17001111</v>
      </c>
      <c r="AF4444" t="str">
        <f>"משלוחים ללקוח"</f>
        <v>משלוחים ללקוח</v>
      </c>
      <c r="AG4444" s="1">
        <v>42865</v>
      </c>
      <c r="AM4444" t="str">
        <f>"10"</f>
        <v>10</v>
      </c>
      <c r="AN4444" t="str">
        <f>"500000"</f>
        <v>500000</v>
      </c>
      <c r="AO4444" t="str">
        <f>"הכנסות  מלקוחות"</f>
        <v>הכנסות  מלקוחות</v>
      </c>
      <c r="AQ4444" t="str">
        <f>"007"</f>
        <v>007</v>
      </c>
      <c r="AR4444">
        <v>0</v>
      </c>
      <c r="AS4444">
        <v>0</v>
      </c>
      <c r="AT4444">
        <v>3.605</v>
      </c>
      <c r="AX4444" t="str">
        <f>"E000224314"</f>
        <v>E000224314</v>
      </c>
      <c r="BD4444" t="str">
        <f>"רוני דידי"</f>
        <v>רוני דידי</v>
      </c>
    </row>
    <row r="4445" spans="1:56" x14ac:dyDescent="0.3">
      <c r="A4445" s="1">
        <v>42866</v>
      </c>
      <c r="B4445" t="str">
        <f>"SI176000633"</f>
        <v>SI176000633</v>
      </c>
      <c r="C4445" t="str">
        <f>"PR16000867"</f>
        <v>PR16000867</v>
      </c>
      <c r="D4445" t="str">
        <f>"PR16000867"</f>
        <v>PR16000867</v>
      </c>
      <c r="E4445" t="str">
        <f>"Y"</f>
        <v>Y</v>
      </c>
      <c r="F4445" t="str">
        <f>"חשבוניות מרכזות"</f>
        <v>חשבוניות מרכזות</v>
      </c>
      <c r="G4445" t="str">
        <f>"700065"</f>
        <v>700065</v>
      </c>
      <c r="H4445" t="str">
        <f>"אלתא מערכות בע""מ"</f>
        <v>אלתא מערכות בע"מ</v>
      </c>
      <c r="I4445" t="str">
        <f>"10"</f>
        <v>10</v>
      </c>
      <c r="J4445" t="str">
        <f>"OP-AR00420"</f>
        <v>OP-AR00420</v>
      </c>
      <c r="K4445" t="str">
        <f>"CONTROL BOX 1037N840-001"</f>
        <v>CONTROL BOX 1037N840-001</v>
      </c>
      <c r="L4445">
        <v>2</v>
      </c>
      <c r="M4445" t="str">
        <f>"יח"</f>
        <v>יח</v>
      </c>
      <c r="N4445">
        <v>2</v>
      </c>
      <c r="O4445" t="str">
        <f>"יח"</f>
        <v>יח</v>
      </c>
      <c r="P4445" s="2">
        <v>4709.25</v>
      </c>
      <c r="Q4445" t="str">
        <f>"$"</f>
        <v>$</v>
      </c>
      <c r="R4445" t="str">
        <f>"הזמנה"</f>
        <v>הזמנה</v>
      </c>
      <c r="S4445">
        <v>0</v>
      </c>
      <c r="T4445" s="2">
        <v>9418.5</v>
      </c>
      <c r="U4445">
        <v>0</v>
      </c>
      <c r="V4445" s="2">
        <v>9418.5</v>
      </c>
      <c r="W4445" t="str">
        <f>"$"</f>
        <v>$</v>
      </c>
      <c r="X4445">
        <v>0</v>
      </c>
      <c r="Y4445">
        <v>0</v>
      </c>
      <c r="Z4445">
        <v>0</v>
      </c>
      <c r="AA4445" t="str">
        <f>"Y"</f>
        <v>Y</v>
      </c>
      <c r="AB4445" t="str">
        <f>"SO160000648"</f>
        <v>SO160000648</v>
      </c>
      <c r="AC4445">
        <v>4</v>
      </c>
      <c r="AD4445" s="1">
        <v>42618</v>
      </c>
      <c r="AE4445" t="str">
        <f>"SH17001111"</f>
        <v>SH17001111</v>
      </c>
      <c r="AF4445" t="str">
        <f>"משלוחים ללקוח"</f>
        <v>משלוחים ללקוח</v>
      </c>
      <c r="AG4445" s="1">
        <v>42865</v>
      </c>
      <c r="AM4445" t="str">
        <f>"10"</f>
        <v>10</v>
      </c>
      <c r="AN4445" t="str">
        <f>"500000"</f>
        <v>500000</v>
      </c>
      <c r="AO4445" t="str">
        <f>"הכנסות  מלקוחות"</f>
        <v>הכנסות  מלקוחות</v>
      </c>
      <c r="AQ4445" t="str">
        <f>"007"</f>
        <v>007</v>
      </c>
      <c r="AR4445">
        <v>0</v>
      </c>
      <c r="AS4445">
        <v>0</v>
      </c>
      <c r="AT4445">
        <v>3.605</v>
      </c>
      <c r="AX4445" t="str">
        <f>"E000224314"</f>
        <v>E000224314</v>
      </c>
      <c r="BD4445" t="str">
        <f>"רוני דידי"</f>
        <v>רוני דידי</v>
      </c>
    </row>
    <row r="4446" spans="1:56" x14ac:dyDescent="0.3">
      <c r="A4446" s="1">
        <v>42866</v>
      </c>
      <c r="B4446" t="str">
        <f>"SI176000633"</f>
        <v>SI176000633</v>
      </c>
      <c r="C4446" t="str">
        <f>"PR16000867"</f>
        <v>PR16000867</v>
      </c>
      <c r="D4446" t="str">
        <f>"PR16000867"</f>
        <v>PR16000867</v>
      </c>
      <c r="E4446" t="str">
        <f>"Y"</f>
        <v>Y</v>
      </c>
      <c r="F4446" t="str">
        <f>"חשבוניות מרכזות"</f>
        <v>חשבוניות מרכזות</v>
      </c>
      <c r="G4446" t="str">
        <f>"700065"</f>
        <v>700065</v>
      </c>
      <c r="H4446" t="str">
        <f>"אלתא מערכות בע""מ"</f>
        <v>אלתא מערכות בע"מ</v>
      </c>
      <c r="I4446" t="str">
        <f>"10"</f>
        <v>10</v>
      </c>
      <c r="J4446" t="str">
        <f>"OP-AR00420"</f>
        <v>OP-AR00420</v>
      </c>
      <c r="K4446" t="str">
        <f>"CONTROL BOX 1037N840-001"</f>
        <v>CONTROL BOX 1037N840-001</v>
      </c>
      <c r="L4446">
        <v>1</v>
      </c>
      <c r="M4446" t="str">
        <f>"יח"</f>
        <v>יח</v>
      </c>
      <c r="N4446">
        <v>1</v>
      </c>
      <c r="O4446" t="str">
        <f>"יח"</f>
        <v>יח</v>
      </c>
      <c r="P4446" s="2">
        <v>4709.25</v>
      </c>
      <c r="Q4446" t="str">
        <f>"$"</f>
        <v>$</v>
      </c>
      <c r="R4446" t="str">
        <f>"הזמנה"</f>
        <v>הזמנה</v>
      </c>
      <c r="S4446">
        <v>0</v>
      </c>
      <c r="T4446" s="2">
        <v>4709.25</v>
      </c>
      <c r="U4446">
        <v>0</v>
      </c>
      <c r="V4446" s="2">
        <v>4709.25</v>
      </c>
      <c r="W4446" t="str">
        <f>"$"</f>
        <v>$</v>
      </c>
      <c r="X4446">
        <v>0</v>
      </c>
      <c r="Y4446">
        <v>0</v>
      </c>
      <c r="Z4446">
        <v>0</v>
      </c>
      <c r="AA4446" t="str">
        <f>"Y"</f>
        <v>Y</v>
      </c>
      <c r="AB4446" t="str">
        <f>"SO160000648"</f>
        <v>SO160000648</v>
      </c>
      <c r="AC4446">
        <v>7</v>
      </c>
      <c r="AD4446" s="1">
        <v>42618</v>
      </c>
      <c r="AE4446" t="str">
        <f>"SH17001111"</f>
        <v>SH17001111</v>
      </c>
      <c r="AF4446" t="str">
        <f>"משלוחים ללקוח"</f>
        <v>משלוחים ללקוח</v>
      </c>
      <c r="AG4446" s="1">
        <v>42865</v>
      </c>
      <c r="AM4446" t="str">
        <f>"10"</f>
        <v>10</v>
      </c>
      <c r="AN4446" t="str">
        <f>"500000"</f>
        <v>500000</v>
      </c>
      <c r="AO4446" t="str">
        <f>"הכנסות  מלקוחות"</f>
        <v>הכנסות  מלקוחות</v>
      </c>
      <c r="AQ4446" t="str">
        <f>"007"</f>
        <v>007</v>
      </c>
      <c r="AR4446">
        <v>0</v>
      </c>
      <c r="AS4446">
        <v>0</v>
      </c>
      <c r="AT4446">
        <v>3.605</v>
      </c>
      <c r="AX4446" t="str">
        <f>"E000224314"</f>
        <v>E000224314</v>
      </c>
      <c r="BD4446" t="str">
        <f>"רוני דידי"</f>
        <v>רוני דידי</v>
      </c>
    </row>
    <row r="4447" spans="1:56" x14ac:dyDescent="0.3">
      <c r="A4447" s="1">
        <v>42862</v>
      </c>
      <c r="B4447" t="str">
        <f>"SI176000611"</f>
        <v>SI176000611</v>
      </c>
      <c r="C4447" t="str">
        <f>"PR17001489"</f>
        <v>PR17001489</v>
      </c>
      <c r="D4447" t="str">
        <f>"PR17001489"</f>
        <v>PR17001489</v>
      </c>
      <c r="E4447" t="str">
        <f>"Y"</f>
        <v>Y</v>
      </c>
      <c r="F4447" t="str">
        <f>"חשבוניות מרכזות"</f>
        <v>חשבוניות מרכזות</v>
      </c>
      <c r="G4447" t="str">
        <f>"700065"</f>
        <v>700065</v>
      </c>
      <c r="H4447" t="str">
        <f>"אלתא מערכות בע""מ"</f>
        <v>אלתא מערכות בע"מ</v>
      </c>
      <c r="I4447" t="str">
        <f>"10"</f>
        <v>10</v>
      </c>
      <c r="J4447" t="str">
        <f>"OP-AR00551"</f>
        <v>OP-AR00551</v>
      </c>
      <c r="K4447" t="str">
        <f>"רתמה 4005F226-001 HARNESS W0013-PEDESTAL TO JU"</f>
        <v>רתמה 4005F226-001 HARNESS W0013-PEDESTAL TO JU</v>
      </c>
      <c r="L4447">
        <v>9</v>
      </c>
      <c r="M4447" t="str">
        <f>"יח"</f>
        <v>יח</v>
      </c>
      <c r="N4447">
        <v>9</v>
      </c>
      <c r="O4447" t="str">
        <f>"יח"</f>
        <v>יח</v>
      </c>
      <c r="P4447">
        <v>400</v>
      </c>
      <c r="Q4447" t="str">
        <f>"$"</f>
        <v>$</v>
      </c>
      <c r="R4447" t="str">
        <f>"הזמנה"</f>
        <v>הזמנה</v>
      </c>
      <c r="S4447">
        <v>0</v>
      </c>
      <c r="T4447" s="2">
        <v>3600</v>
      </c>
      <c r="U4447">
        <v>0</v>
      </c>
      <c r="V4447" s="2">
        <v>3600</v>
      </c>
      <c r="W4447" t="str">
        <f>"$"</f>
        <v>$</v>
      </c>
      <c r="X4447">
        <v>0</v>
      </c>
      <c r="Y4447">
        <v>0</v>
      </c>
      <c r="Z4447">
        <v>0</v>
      </c>
      <c r="AA4447" t="str">
        <f>"Y"</f>
        <v>Y</v>
      </c>
      <c r="AB4447" t="str">
        <f>"SO17000165"</f>
        <v>SO17000165</v>
      </c>
      <c r="AC4447">
        <v>1</v>
      </c>
      <c r="AD4447" s="1">
        <v>42793</v>
      </c>
      <c r="AE4447" t="str">
        <f>"SH17001061"</f>
        <v>SH17001061</v>
      </c>
      <c r="AF4447" t="str">
        <f>"משלוחים ללקוח"</f>
        <v>משלוחים ללקוח</v>
      </c>
      <c r="AG4447" s="1">
        <v>42862</v>
      </c>
      <c r="AM4447" t="str">
        <f>"10"</f>
        <v>10</v>
      </c>
      <c r="AN4447" t="str">
        <f>"500000"</f>
        <v>500000</v>
      </c>
      <c r="AO4447" t="str">
        <f>"הכנסות  מלקוחות"</f>
        <v>הכנסות  מלקוחות</v>
      </c>
      <c r="AQ4447" t="str">
        <f>"017"</f>
        <v>017</v>
      </c>
      <c r="AR4447">
        <v>0</v>
      </c>
      <c r="AS4447">
        <v>0</v>
      </c>
      <c r="AT4447">
        <v>3.61</v>
      </c>
      <c r="AX4447" t="str">
        <f>"E000233843"</f>
        <v>E000233843</v>
      </c>
      <c r="BD4447" t="str">
        <f>"שחר דאהמן"</f>
        <v>שחר דאהמן</v>
      </c>
    </row>
    <row r="4448" spans="1:56" x14ac:dyDescent="0.3">
      <c r="A4448" s="1">
        <v>42862</v>
      </c>
      <c r="B4448" t="str">
        <f>"SI176000610"</f>
        <v>SI176000610</v>
      </c>
      <c r="E4448" t="str">
        <f>"Y"</f>
        <v>Y</v>
      </c>
      <c r="F4448" t="str">
        <f>"חשבוניות מרכזות"</f>
        <v>חשבוניות מרכזות</v>
      </c>
      <c r="G4448" t="str">
        <f>"700065"</f>
        <v>700065</v>
      </c>
      <c r="H4448" t="str">
        <f>"אלתא מערכות בע""מ"</f>
        <v>אלתא מערכות בע"מ</v>
      </c>
      <c r="I4448" t="str">
        <f>"10"</f>
        <v>10</v>
      </c>
      <c r="J4448" t="str">
        <f>"OP-AR00465"</f>
        <v>OP-AR00465</v>
      </c>
      <c r="K4448" t="str">
        <f>"רתמה REV;B 1036N632-001"</f>
        <v>רתמה REV;B 1036N632-001</v>
      </c>
      <c r="L4448">
        <v>4</v>
      </c>
      <c r="M4448" t="str">
        <f>"יח"</f>
        <v>יח</v>
      </c>
      <c r="N4448">
        <v>4</v>
      </c>
      <c r="O4448" t="str">
        <f>"יח"</f>
        <v>יח</v>
      </c>
      <c r="P4448">
        <v>864.68</v>
      </c>
      <c r="Q4448" t="str">
        <f>"$"</f>
        <v>$</v>
      </c>
      <c r="R4448" t="str">
        <f>"הזמנה"</f>
        <v>הזמנה</v>
      </c>
      <c r="S4448">
        <v>0</v>
      </c>
      <c r="T4448" s="2">
        <v>3458.72</v>
      </c>
      <c r="U4448">
        <v>0</v>
      </c>
      <c r="V4448" s="2">
        <v>3458.72</v>
      </c>
      <c r="W4448" t="str">
        <f>"$"</f>
        <v>$</v>
      </c>
      <c r="X4448">
        <v>0</v>
      </c>
      <c r="Y4448">
        <v>0</v>
      </c>
      <c r="Z4448">
        <v>0</v>
      </c>
      <c r="AA4448" t="str">
        <f>"Y"</f>
        <v>Y</v>
      </c>
      <c r="AB4448" t="str">
        <f>"SO17000164"</f>
        <v>SO17000164</v>
      </c>
      <c r="AC4448">
        <v>4</v>
      </c>
      <c r="AD4448" s="1">
        <v>42793</v>
      </c>
      <c r="AE4448" t="str">
        <f>"SH17001058"</f>
        <v>SH17001058</v>
      </c>
      <c r="AF4448" t="str">
        <f>"משלוחים ללקוח"</f>
        <v>משלוחים ללקוח</v>
      </c>
      <c r="AG4448" s="1">
        <v>42862</v>
      </c>
      <c r="AM4448" t="str">
        <f>"10"</f>
        <v>10</v>
      </c>
      <c r="AN4448" t="str">
        <f>"500000"</f>
        <v>500000</v>
      </c>
      <c r="AO4448" t="str">
        <f>"הכנסות  מלקוחות"</f>
        <v>הכנסות  מלקוחות</v>
      </c>
      <c r="AQ4448" t="str">
        <f>"017"</f>
        <v>017</v>
      </c>
      <c r="AR4448">
        <v>0</v>
      </c>
      <c r="AS4448">
        <v>0</v>
      </c>
      <c r="AT4448">
        <v>3.61</v>
      </c>
      <c r="AX4448" t="str">
        <f>"E000233149"</f>
        <v>E000233149</v>
      </c>
      <c r="BD4448" t="str">
        <f>"שחר דאהמן"</f>
        <v>שחר דאהמן</v>
      </c>
    </row>
    <row r="4449" spans="1:56" x14ac:dyDescent="0.3">
      <c r="A4449" s="1">
        <v>42862</v>
      </c>
      <c r="B4449" t="str">
        <f>"SI176000610"</f>
        <v>SI176000610</v>
      </c>
      <c r="E4449" t="str">
        <f>"Y"</f>
        <v>Y</v>
      </c>
      <c r="F4449" t="str">
        <f>"חשבוניות מרכזות"</f>
        <v>חשבוניות מרכזות</v>
      </c>
      <c r="G4449" t="str">
        <f>"700065"</f>
        <v>700065</v>
      </c>
      <c r="H4449" t="str">
        <f>"אלתא מערכות בע""מ"</f>
        <v>אלתא מערכות בע"מ</v>
      </c>
      <c r="I4449" t="str">
        <f>"10"</f>
        <v>10</v>
      </c>
      <c r="J4449" t="str">
        <f>"OP-AR00464"</f>
        <v>OP-AR00464</v>
      </c>
      <c r="K4449" t="str">
        <f>"רתמה REV;A 1036N631-001"</f>
        <v>רתמה REV;A 1036N631-001</v>
      </c>
      <c r="L4449">
        <v>5</v>
      </c>
      <c r="M4449" t="str">
        <f>"יח"</f>
        <v>יח</v>
      </c>
      <c r="N4449">
        <v>5</v>
      </c>
      <c r="O4449" t="str">
        <f>"יח"</f>
        <v>יח</v>
      </c>
      <c r="P4449">
        <v>699.3</v>
      </c>
      <c r="Q4449" t="str">
        <f>"$"</f>
        <v>$</v>
      </c>
      <c r="R4449" t="str">
        <f>"הזמנה"</f>
        <v>הזמנה</v>
      </c>
      <c r="S4449">
        <v>0</v>
      </c>
      <c r="T4449" s="2">
        <v>3496.5</v>
      </c>
      <c r="U4449">
        <v>0</v>
      </c>
      <c r="V4449" s="2">
        <v>3496.5</v>
      </c>
      <c r="W4449" t="str">
        <f>"$"</f>
        <v>$</v>
      </c>
      <c r="X4449">
        <v>0</v>
      </c>
      <c r="Y4449">
        <v>0</v>
      </c>
      <c r="Z4449">
        <v>0</v>
      </c>
      <c r="AA4449" t="str">
        <f>"Y"</f>
        <v>Y</v>
      </c>
      <c r="AB4449" t="str">
        <f>"SO17000164"</f>
        <v>SO17000164</v>
      </c>
      <c r="AC4449">
        <v>1</v>
      </c>
      <c r="AD4449" s="1">
        <v>42793</v>
      </c>
      <c r="AE4449" t="str">
        <f>"SH17001059"</f>
        <v>SH17001059</v>
      </c>
      <c r="AF4449" t="str">
        <f>"משלוחים ללקוח"</f>
        <v>משלוחים ללקוח</v>
      </c>
      <c r="AG4449" s="1">
        <v>42862</v>
      </c>
      <c r="AM4449" t="str">
        <f>"10"</f>
        <v>10</v>
      </c>
      <c r="AN4449" t="str">
        <f>"500000"</f>
        <v>500000</v>
      </c>
      <c r="AO4449" t="str">
        <f>"הכנסות  מלקוחות"</f>
        <v>הכנסות  מלקוחות</v>
      </c>
      <c r="AQ4449" t="str">
        <f>"017"</f>
        <v>017</v>
      </c>
      <c r="AR4449">
        <v>0</v>
      </c>
      <c r="AS4449">
        <v>0</v>
      </c>
      <c r="AT4449">
        <v>3.61</v>
      </c>
      <c r="AX4449" t="str">
        <f>"E000233149"</f>
        <v>E000233149</v>
      </c>
      <c r="BD4449" t="str">
        <f>"שחר דאהמן"</f>
        <v>שחר דאהמן</v>
      </c>
    </row>
    <row r="4450" spans="1:56" x14ac:dyDescent="0.3">
      <c r="A4450" s="1">
        <v>42862</v>
      </c>
      <c r="B4450" t="str">
        <f>"SI176000610"</f>
        <v>SI176000610</v>
      </c>
      <c r="E4450" t="str">
        <f>"Y"</f>
        <v>Y</v>
      </c>
      <c r="F4450" t="str">
        <f>"חשבוניות מרכזות"</f>
        <v>חשבוניות מרכזות</v>
      </c>
      <c r="G4450" t="str">
        <f>"700065"</f>
        <v>700065</v>
      </c>
      <c r="H4450" t="str">
        <f>"אלתא מערכות בע""מ"</f>
        <v>אלתא מערכות בע"מ</v>
      </c>
      <c r="I4450" t="str">
        <f>"10"</f>
        <v>10</v>
      </c>
      <c r="J4450" t="str">
        <f>"OP-AR00466"</f>
        <v>OP-AR00466</v>
      </c>
      <c r="K4450" t="str">
        <f>"רתמה REV;B 1036N633-001"</f>
        <v>רתמה REV;B 1036N633-001</v>
      </c>
      <c r="L4450">
        <v>5</v>
      </c>
      <c r="M4450" t="str">
        <f>"יח"</f>
        <v>יח</v>
      </c>
      <c r="N4450">
        <v>5</v>
      </c>
      <c r="O4450" t="str">
        <f>"יח"</f>
        <v>יח</v>
      </c>
      <c r="P4450">
        <v>548.1</v>
      </c>
      <c r="Q4450" t="str">
        <f>"$"</f>
        <v>$</v>
      </c>
      <c r="R4450" t="str">
        <f>"הזמנה"</f>
        <v>הזמנה</v>
      </c>
      <c r="S4450">
        <v>0</v>
      </c>
      <c r="T4450" s="2">
        <v>2740.5</v>
      </c>
      <c r="U4450">
        <v>0</v>
      </c>
      <c r="V4450" s="2">
        <v>2740.5</v>
      </c>
      <c r="W4450" t="str">
        <f>"$"</f>
        <v>$</v>
      </c>
      <c r="X4450">
        <v>0</v>
      </c>
      <c r="Y4450">
        <v>0</v>
      </c>
      <c r="Z4450">
        <v>0</v>
      </c>
      <c r="AA4450" t="str">
        <f>"Y"</f>
        <v>Y</v>
      </c>
      <c r="AB4450" t="str">
        <f>"SO17000164"</f>
        <v>SO17000164</v>
      </c>
      <c r="AC4450">
        <v>7</v>
      </c>
      <c r="AD4450" s="1">
        <v>42793</v>
      </c>
      <c r="AE4450" t="str">
        <f>"SH17001060"</f>
        <v>SH17001060</v>
      </c>
      <c r="AF4450" t="str">
        <f>"משלוחים ללקוח"</f>
        <v>משלוחים ללקוח</v>
      </c>
      <c r="AG4450" s="1">
        <v>42862</v>
      </c>
      <c r="AM4450" t="str">
        <f>"10"</f>
        <v>10</v>
      </c>
      <c r="AN4450" t="str">
        <f>"500000"</f>
        <v>500000</v>
      </c>
      <c r="AO4450" t="str">
        <f>"הכנסות  מלקוחות"</f>
        <v>הכנסות  מלקוחות</v>
      </c>
      <c r="AQ4450" t="str">
        <f>"017"</f>
        <v>017</v>
      </c>
      <c r="AR4450">
        <v>0</v>
      </c>
      <c r="AS4450">
        <v>0</v>
      </c>
      <c r="AT4450">
        <v>3.61</v>
      </c>
      <c r="AX4450" t="str">
        <f>"E000233149"</f>
        <v>E000233149</v>
      </c>
      <c r="BD4450" t="str">
        <f>"שחר דאהמן"</f>
        <v>שחר דאהמן</v>
      </c>
    </row>
    <row r="4451" spans="1:56" x14ac:dyDescent="0.3">
      <c r="A4451" s="1">
        <v>42859</v>
      </c>
      <c r="B4451" t="str">
        <f>"SI176000609"</f>
        <v>SI176000609</v>
      </c>
      <c r="C4451" t="str">
        <f>"PR17001453"</f>
        <v>PR17001453</v>
      </c>
      <c r="D4451" t="str">
        <f>"PR17001453"</f>
        <v>PR17001453</v>
      </c>
      <c r="E4451" t="str">
        <f>"Y"</f>
        <v>Y</v>
      </c>
      <c r="F4451" t="str">
        <f>"חשבוניות מרכזות"</f>
        <v>חשבוניות מרכזות</v>
      </c>
      <c r="G4451" t="str">
        <f>"700065"</f>
        <v>700065</v>
      </c>
      <c r="H4451" t="str">
        <f>"אלתא מערכות בע""מ"</f>
        <v>אלתא מערכות בע"מ</v>
      </c>
      <c r="I4451" t="str">
        <f>"10"</f>
        <v>10</v>
      </c>
      <c r="J4451" t="str">
        <f>"OP-AR00540"</f>
        <v>OP-AR00540</v>
      </c>
      <c r="K4451" t="str">
        <f>"רתמה 1032H441-002"</f>
        <v>רתמה 1032H441-002</v>
      </c>
      <c r="L4451">
        <v>4</v>
      </c>
      <c r="M4451" t="str">
        <f>"יח"</f>
        <v>יח</v>
      </c>
      <c r="N4451">
        <v>4</v>
      </c>
      <c r="O4451" t="str">
        <f>"יח"</f>
        <v>יח</v>
      </c>
      <c r="P4451">
        <v>325</v>
      </c>
      <c r="Q4451" t="str">
        <f>"$"</f>
        <v>$</v>
      </c>
      <c r="R4451" t="str">
        <f>"הזמנה"</f>
        <v>הזמנה</v>
      </c>
      <c r="S4451">
        <v>0</v>
      </c>
      <c r="T4451" s="2">
        <v>1300</v>
      </c>
      <c r="U4451">
        <v>0</v>
      </c>
      <c r="V4451" s="2">
        <v>1300</v>
      </c>
      <c r="W4451" t="str">
        <f>"$"</f>
        <v>$</v>
      </c>
      <c r="X4451">
        <v>0</v>
      </c>
      <c r="Y4451">
        <v>0</v>
      </c>
      <c r="Z4451">
        <v>0</v>
      </c>
      <c r="AA4451" t="str">
        <f>"Y"</f>
        <v>Y</v>
      </c>
      <c r="AB4451" t="str">
        <f>"SO17000180"</f>
        <v>SO17000180</v>
      </c>
      <c r="AC4451">
        <v>3</v>
      </c>
      <c r="AD4451" s="1">
        <v>42799</v>
      </c>
      <c r="AE4451" t="str">
        <f>"SH17001047"</f>
        <v>SH17001047</v>
      </c>
      <c r="AF4451" t="str">
        <f>"משלוחים ללקוח"</f>
        <v>משלוחים ללקוח</v>
      </c>
      <c r="AG4451" s="1">
        <v>42859</v>
      </c>
      <c r="AM4451" t="str">
        <f>"10"</f>
        <v>10</v>
      </c>
      <c r="AN4451" t="str">
        <f>"500000"</f>
        <v>500000</v>
      </c>
      <c r="AO4451" t="str">
        <f>"הכנסות  מלקוחות"</f>
        <v>הכנסות  מלקוחות</v>
      </c>
      <c r="AQ4451" t="str">
        <f>"004"</f>
        <v>004</v>
      </c>
      <c r="AR4451">
        <v>0</v>
      </c>
      <c r="AS4451">
        <v>0</v>
      </c>
      <c r="AT4451">
        <v>3.6160000000000001</v>
      </c>
      <c r="AX4451" t="str">
        <f>"E000233577"</f>
        <v>E000233577</v>
      </c>
      <c r="BD4451" t="str">
        <f>"איציק חדד"</f>
        <v>איציק חדד</v>
      </c>
    </row>
    <row r="4452" spans="1:56" x14ac:dyDescent="0.3">
      <c r="A4452" s="1">
        <v>42855</v>
      </c>
      <c r="B4452" t="str">
        <f>"SI176000622"</f>
        <v>SI176000622</v>
      </c>
      <c r="C4452" t="str">
        <f>"PR17001318"</f>
        <v>PR17001318</v>
      </c>
      <c r="D4452" t="str">
        <f>"PR17001318"</f>
        <v>PR17001318</v>
      </c>
      <c r="E4452" t="str">
        <f>"Y"</f>
        <v>Y</v>
      </c>
      <c r="F4452" t="str">
        <f>"חשבוניות מרכזות"</f>
        <v>חשבוניות מרכזות</v>
      </c>
      <c r="G4452" t="str">
        <f>"700065"</f>
        <v>700065</v>
      </c>
      <c r="H4452" t="str">
        <f>"אלתא מערכות בע""מ"</f>
        <v>אלתא מערכות בע"מ</v>
      </c>
      <c r="I4452" t="str">
        <f>"10"</f>
        <v>10</v>
      </c>
      <c r="J4452" t="str">
        <f>"000"</f>
        <v>000</v>
      </c>
      <c r="K4452" t="str">
        <f>"NRE פיתוח מערכת למדידה וחיווי סף זרם DC"</f>
        <v>NRE פיתוח מערכת למדידה וחיווי סף זרם DC</v>
      </c>
      <c r="L4452">
        <v>1</v>
      </c>
      <c r="M4452" t="str">
        <f>"יח"</f>
        <v>יח</v>
      </c>
      <c r="N4452">
        <v>1</v>
      </c>
      <c r="O4452" t="str">
        <f>"יח"</f>
        <v>יח</v>
      </c>
      <c r="P4452">
        <v>700</v>
      </c>
      <c r="Q4452" t="str">
        <f>"$"</f>
        <v>$</v>
      </c>
      <c r="R4452" t="str">
        <f>"הזמנה"</f>
        <v>הזמנה</v>
      </c>
      <c r="S4452">
        <v>0</v>
      </c>
      <c r="T4452">
        <v>700</v>
      </c>
      <c r="U4452">
        <v>0</v>
      </c>
      <c r="V4452">
        <v>700</v>
      </c>
      <c r="W4452" t="str">
        <f>"$"</f>
        <v>$</v>
      </c>
      <c r="X4452">
        <v>0</v>
      </c>
      <c r="Y4452">
        <v>0</v>
      </c>
      <c r="Z4452">
        <v>0</v>
      </c>
      <c r="AA4452" t="str">
        <f>"Y"</f>
        <v>Y</v>
      </c>
      <c r="AB4452" t="str">
        <f>"SO17000069"</f>
        <v>SO17000069</v>
      </c>
      <c r="AC4452">
        <v>1</v>
      </c>
      <c r="AD4452" s="1">
        <v>42771</v>
      </c>
      <c r="AE4452" t="str">
        <f>"SH17000783"</f>
        <v>SH17000783</v>
      </c>
      <c r="AF4452" t="str">
        <f>"משלוחים ללקוח"</f>
        <v>משלוחים ללקוח</v>
      </c>
      <c r="AG4452" s="1">
        <v>42823</v>
      </c>
      <c r="AM4452" t="str">
        <f>"10"</f>
        <v>10</v>
      </c>
      <c r="AN4452" t="str">
        <f>"500000"</f>
        <v>500000</v>
      </c>
      <c r="AO4452" t="str">
        <f>"הכנסות  מלקוחות"</f>
        <v>הכנסות  מלקוחות</v>
      </c>
      <c r="AQ4452" t="str">
        <f>"007"</f>
        <v>007</v>
      </c>
      <c r="AR4452">
        <v>0</v>
      </c>
      <c r="AS4452">
        <v>0</v>
      </c>
      <c r="AT4452">
        <v>3.6190000000000002</v>
      </c>
      <c r="AX4452" t="str">
        <f>"E000228840"</f>
        <v>E000228840</v>
      </c>
      <c r="BD4452" t="str">
        <f>"רוני דידי"</f>
        <v>רוני דידי</v>
      </c>
    </row>
    <row r="4453" spans="1:56" x14ac:dyDescent="0.3">
      <c r="A4453" s="1">
        <v>42855</v>
      </c>
      <c r="B4453" t="str">
        <f>"SI176000622"</f>
        <v>SI176000622</v>
      </c>
      <c r="C4453" t="str">
        <f>"PR17001318"</f>
        <v>PR17001318</v>
      </c>
      <c r="D4453" t="str">
        <f>"PR17001318"</f>
        <v>PR17001318</v>
      </c>
      <c r="E4453" t="str">
        <f>"Y"</f>
        <v>Y</v>
      </c>
      <c r="F4453" t="str">
        <f>"חשבוניות מרכזות"</f>
        <v>חשבוניות מרכזות</v>
      </c>
      <c r="G4453" t="str">
        <f>"700065"</f>
        <v>700065</v>
      </c>
      <c r="H4453" t="str">
        <f>"אלתא מערכות בע""מ"</f>
        <v>אלתא מערכות בע"מ</v>
      </c>
      <c r="I4453" t="str">
        <f>"10"</f>
        <v>10</v>
      </c>
      <c r="J4453" t="str">
        <f>"OP-AR00488"</f>
        <v>OP-AR00488</v>
      </c>
      <c r="K4453" t="str">
        <f>"RE מערכת למדידה וחיוויסף זרם DC"</f>
        <v>RE מערכת למדידה וחיוויסף זרם DC</v>
      </c>
      <c r="L4453">
        <v>1</v>
      </c>
      <c r="M4453" t="str">
        <f>"יח"</f>
        <v>יח</v>
      </c>
      <c r="N4453">
        <v>1</v>
      </c>
      <c r="O4453" t="str">
        <f>"יח"</f>
        <v>יח</v>
      </c>
      <c r="P4453" s="2">
        <v>5200</v>
      </c>
      <c r="Q4453" t="str">
        <f>"$"</f>
        <v>$</v>
      </c>
      <c r="R4453" t="str">
        <f>"הזמנה"</f>
        <v>הזמנה</v>
      </c>
      <c r="S4453">
        <v>0</v>
      </c>
      <c r="T4453" s="2">
        <v>5200</v>
      </c>
      <c r="U4453">
        <v>0</v>
      </c>
      <c r="V4453" s="2">
        <v>5200</v>
      </c>
      <c r="W4453" t="str">
        <f>"$"</f>
        <v>$</v>
      </c>
      <c r="X4453">
        <v>0</v>
      </c>
      <c r="Y4453">
        <v>0</v>
      </c>
      <c r="Z4453">
        <v>0</v>
      </c>
      <c r="AA4453" t="str">
        <f>"Y"</f>
        <v>Y</v>
      </c>
      <c r="AB4453" t="str">
        <f>"SO17000069"</f>
        <v>SO17000069</v>
      </c>
      <c r="AC4453">
        <v>2</v>
      </c>
      <c r="AD4453" s="1">
        <v>42771</v>
      </c>
      <c r="AE4453" t="str">
        <f>"SH17000783"</f>
        <v>SH17000783</v>
      </c>
      <c r="AF4453" t="str">
        <f>"משלוחים ללקוח"</f>
        <v>משלוחים ללקוח</v>
      </c>
      <c r="AG4453" s="1">
        <v>42823</v>
      </c>
      <c r="AM4453" t="str">
        <f>"10"</f>
        <v>10</v>
      </c>
      <c r="AN4453" t="str">
        <f>"500000"</f>
        <v>500000</v>
      </c>
      <c r="AO4453" t="str">
        <f>"הכנסות  מלקוחות"</f>
        <v>הכנסות  מלקוחות</v>
      </c>
      <c r="AQ4453" t="str">
        <f>"007"</f>
        <v>007</v>
      </c>
      <c r="AR4453">
        <v>0</v>
      </c>
      <c r="AS4453">
        <v>0</v>
      </c>
      <c r="AT4453">
        <v>3.6190000000000002</v>
      </c>
      <c r="AX4453" t="str">
        <f>"E000228840"</f>
        <v>E000228840</v>
      </c>
      <c r="BD4453" t="str">
        <f>"רוני דידי"</f>
        <v>רוני דידי</v>
      </c>
    </row>
    <row r="4454" spans="1:56" x14ac:dyDescent="0.3">
      <c r="A4454" s="1">
        <v>42855</v>
      </c>
      <c r="B4454" t="str">
        <f>"SI176000622"</f>
        <v>SI176000622</v>
      </c>
      <c r="C4454" t="str">
        <f>"PR17001318"</f>
        <v>PR17001318</v>
      </c>
      <c r="D4454" t="str">
        <f>"PR17001318"</f>
        <v>PR17001318</v>
      </c>
      <c r="E4454" t="str">
        <f>"Y"</f>
        <v>Y</v>
      </c>
      <c r="F4454" t="str">
        <f>"חשבוניות מרכזות"</f>
        <v>חשבוניות מרכזות</v>
      </c>
      <c r="G4454" t="str">
        <f>"700065"</f>
        <v>700065</v>
      </c>
      <c r="H4454" t="str">
        <f>"אלתא מערכות בע""מ"</f>
        <v>אלתא מערכות בע"מ</v>
      </c>
      <c r="I4454" t="str">
        <f>"10"</f>
        <v>10</v>
      </c>
      <c r="J4454" t="str">
        <f>"000"</f>
        <v>000</v>
      </c>
      <c r="K4454" t="str">
        <f>"התקנה באתר של ח""א"</f>
        <v>התקנה באתר של ח"א</v>
      </c>
      <c r="L4454">
        <v>1</v>
      </c>
      <c r="M4454" t="str">
        <f>"יח"</f>
        <v>יח</v>
      </c>
      <c r="N4454">
        <v>1</v>
      </c>
      <c r="O4454" t="str">
        <f>"יח"</f>
        <v>יח</v>
      </c>
      <c r="P4454" s="2">
        <v>1400</v>
      </c>
      <c r="Q4454" t="str">
        <f>"$"</f>
        <v>$</v>
      </c>
      <c r="R4454" t="str">
        <f>"הזמנה"</f>
        <v>הזמנה</v>
      </c>
      <c r="S4454">
        <v>0</v>
      </c>
      <c r="T4454" s="2">
        <v>1400</v>
      </c>
      <c r="U4454">
        <v>0</v>
      </c>
      <c r="V4454" s="2">
        <v>1400</v>
      </c>
      <c r="W4454" t="str">
        <f>"$"</f>
        <v>$</v>
      </c>
      <c r="X4454">
        <v>0</v>
      </c>
      <c r="Y4454">
        <v>0</v>
      </c>
      <c r="Z4454">
        <v>0</v>
      </c>
      <c r="AA4454" t="str">
        <f>"Y"</f>
        <v>Y</v>
      </c>
      <c r="AB4454" t="str">
        <f>"SO17000069"</f>
        <v>SO17000069</v>
      </c>
      <c r="AC4454">
        <v>3</v>
      </c>
      <c r="AD4454" s="1">
        <v>42771</v>
      </c>
      <c r="AE4454" t="str">
        <f>"SH17000783"</f>
        <v>SH17000783</v>
      </c>
      <c r="AF4454" t="str">
        <f>"משלוחים ללקוח"</f>
        <v>משלוחים ללקוח</v>
      </c>
      <c r="AG4454" s="1">
        <v>42823</v>
      </c>
      <c r="AM4454" t="str">
        <f>"10"</f>
        <v>10</v>
      </c>
      <c r="AN4454" t="str">
        <f>"500000"</f>
        <v>500000</v>
      </c>
      <c r="AO4454" t="str">
        <f>"הכנסות  מלקוחות"</f>
        <v>הכנסות  מלקוחות</v>
      </c>
      <c r="AQ4454" t="str">
        <f>"007"</f>
        <v>007</v>
      </c>
      <c r="AR4454">
        <v>0</v>
      </c>
      <c r="AS4454">
        <v>0</v>
      </c>
      <c r="AT4454">
        <v>3.6190000000000002</v>
      </c>
      <c r="AX4454" t="str">
        <f>"E000228840"</f>
        <v>E000228840</v>
      </c>
      <c r="BD4454" t="str">
        <f>"רוני דידי"</f>
        <v>רוני דידי</v>
      </c>
    </row>
    <row r="4455" spans="1:56" x14ac:dyDescent="0.3">
      <c r="A4455" s="1">
        <v>42852</v>
      </c>
      <c r="B4455" t="str">
        <f>"SI176000588"</f>
        <v>SI176000588</v>
      </c>
      <c r="C4455" t="str">
        <f>"PR16000667"</f>
        <v>PR16000667</v>
      </c>
      <c r="D4455" t="str">
        <f>"PR16000667"</f>
        <v>PR16000667</v>
      </c>
      <c r="E4455" t="str">
        <f>"Y"</f>
        <v>Y</v>
      </c>
      <c r="F4455" t="str">
        <f>"חשבוניות מרכזות"</f>
        <v>חשבוניות מרכזות</v>
      </c>
      <c r="G4455" t="str">
        <f>"700065"</f>
        <v>700065</v>
      </c>
      <c r="H4455" t="str">
        <f>"אלתא מערכות בע""מ"</f>
        <v>אלתא מערכות בע"מ</v>
      </c>
      <c r="I4455" t="str">
        <f>"10"</f>
        <v>10</v>
      </c>
      <c r="J4455" t="str">
        <f>"OP-AR00380"</f>
        <v>OP-AR00380</v>
      </c>
      <c r="K4455" t="str">
        <f>"תכנון והתקנת ארון EMP"</f>
        <v>תכנון והתקנת ארון EMP</v>
      </c>
      <c r="L4455">
        <v>1</v>
      </c>
      <c r="M4455" t="str">
        <f>"יח"</f>
        <v>יח</v>
      </c>
      <c r="N4455">
        <v>1</v>
      </c>
      <c r="O4455" t="str">
        <f>"יח"</f>
        <v>יח</v>
      </c>
      <c r="P4455" s="2">
        <v>61351.5</v>
      </c>
      <c r="Q4455" t="str">
        <f>"$"</f>
        <v>$</v>
      </c>
      <c r="R4455" t="str">
        <f>"הזמנה"</f>
        <v>הזמנה</v>
      </c>
      <c r="S4455">
        <v>0</v>
      </c>
      <c r="T4455" s="2">
        <v>61351.5</v>
      </c>
      <c r="U4455">
        <v>0</v>
      </c>
      <c r="V4455" s="2">
        <v>61351.5</v>
      </c>
      <c r="W4455" t="str">
        <f>"$"</f>
        <v>$</v>
      </c>
      <c r="X4455">
        <v>0</v>
      </c>
      <c r="Y4455">
        <v>0</v>
      </c>
      <c r="Z4455">
        <v>0</v>
      </c>
      <c r="AA4455" t="str">
        <f>"Y"</f>
        <v>Y</v>
      </c>
      <c r="AB4455" t="str">
        <f>"SO160000515"</f>
        <v>SO160000515</v>
      </c>
      <c r="AC4455">
        <v>1</v>
      </c>
      <c r="AD4455" s="1">
        <v>42561</v>
      </c>
      <c r="AM4455" t="str">
        <f>"10"</f>
        <v>10</v>
      </c>
      <c r="AN4455" t="str">
        <f>"500000"</f>
        <v>500000</v>
      </c>
      <c r="AO4455" t="str">
        <f>"הכנסות  מלקוחות"</f>
        <v>הכנסות  מלקוחות</v>
      </c>
      <c r="AQ4455" t="str">
        <f>"007"</f>
        <v>007</v>
      </c>
      <c r="AR4455">
        <v>0</v>
      </c>
      <c r="AS4455">
        <v>0</v>
      </c>
      <c r="AT4455">
        <v>3.6429999999999998</v>
      </c>
      <c r="AX4455" t="str">
        <f>"E000220222"</f>
        <v>E000220222</v>
      </c>
      <c r="BD4455" t="str">
        <f>"רוני דידי"</f>
        <v>רוני דידי</v>
      </c>
    </row>
    <row r="4456" spans="1:56" x14ac:dyDescent="0.3">
      <c r="A4456" s="1">
        <v>42851</v>
      </c>
      <c r="B4456" t="str">
        <f>"SI176000597"</f>
        <v>SI176000597</v>
      </c>
      <c r="C4456" t="str">
        <f>"PR17001453"</f>
        <v>PR17001453</v>
      </c>
      <c r="D4456" t="str">
        <f>"PR17001453"</f>
        <v>PR17001453</v>
      </c>
      <c r="E4456" t="str">
        <f>"Y"</f>
        <v>Y</v>
      </c>
      <c r="F4456" t="str">
        <f>"חשבוניות מרכזות"</f>
        <v>חשבוניות מרכזות</v>
      </c>
      <c r="G4456" t="str">
        <f>"700065"</f>
        <v>700065</v>
      </c>
      <c r="H4456" t="str">
        <f>"אלתא מערכות בע""מ"</f>
        <v>אלתא מערכות בע"מ</v>
      </c>
      <c r="I4456" t="str">
        <f>"10"</f>
        <v>10</v>
      </c>
      <c r="J4456" t="str">
        <f>"OP-AR00540"</f>
        <v>OP-AR00540</v>
      </c>
      <c r="K4456" t="str">
        <f>"רתמה 1032H441-002"</f>
        <v>רתמה 1032H441-002</v>
      </c>
      <c r="L4456">
        <v>3</v>
      </c>
      <c r="M4456" t="str">
        <f>"יח"</f>
        <v>יח</v>
      </c>
      <c r="N4456">
        <v>3</v>
      </c>
      <c r="O4456" t="str">
        <f>"יח"</f>
        <v>יח</v>
      </c>
      <c r="P4456">
        <v>325</v>
      </c>
      <c r="Q4456" t="str">
        <f>"$"</f>
        <v>$</v>
      </c>
      <c r="R4456" t="str">
        <f>"הזמנה"</f>
        <v>הזמנה</v>
      </c>
      <c r="S4456">
        <v>0</v>
      </c>
      <c r="T4456">
        <v>975</v>
      </c>
      <c r="U4456">
        <v>0</v>
      </c>
      <c r="V4456">
        <v>975</v>
      </c>
      <c r="W4456" t="str">
        <f>"$"</f>
        <v>$</v>
      </c>
      <c r="X4456">
        <v>0</v>
      </c>
      <c r="Y4456">
        <v>0</v>
      </c>
      <c r="Z4456">
        <v>0</v>
      </c>
      <c r="AA4456" t="str">
        <f>"Y"</f>
        <v>Y</v>
      </c>
      <c r="AB4456" t="str">
        <f>"SO17000180"</f>
        <v>SO17000180</v>
      </c>
      <c r="AC4456">
        <v>2</v>
      </c>
      <c r="AD4456" s="1">
        <v>42799</v>
      </c>
      <c r="AE4456" t="str">
        <f>"SH17000980"</f>
        <v>SH17000980</v>
      </c>
      <c r="AF4456" t="str">
        <f>"משלוחים ללקוח"</f>
        <v>משלוחים ללקוח</v>
      </c>
      <c r="AG4456" s="1">
        <v>42851</v>
      </c>
      <c r="AM4456" t="str">
        <f>"10"</f>
        <v>10</v>
      </c>
      <c r="AN4456" t="str">
        <f>"500000"</f>
        <v>500000</v>
      </c>
      <c r="AO4456" t="str">
        <f>"הכנסות  מלקוחות"</f>
        <v>הכנסות  מלקוחות</v>
      </c>
      <c r="AQ4456" t="str">
        <f>"004"</f>
        <v>004</v>
      </c>
      <c r="AR4456">
        <v>0</v>
      </c>
      <c r="AS4456">
        <v>0</v>
      </c>
      <c r="AT4456">
        <v>3.6339999999999999</v>
      </c>
      <c r="AX4456" t="str">
        <f>"E000233577"</f>
        <v>E000233577</v>
      </c>
      <c r="BD4456" t="str">
        <f>"איציק חדד"</f>
        <v>איציק חדד</v>
      </c>
    </row>
    <row r="4457" spans="1:56" x14ac:dyDescent="0.3">
      <c r="A4457" s="1">
        <v>42851</v>
      </c>
      <c r="B4457" t="str">
        <f>"SI176000596"</f>
        <v>SI176000596</v>
      </c>
      <c r="C4457" t="str">
        <f>"PR17001453"</f>
        <v>PR17001453</v>
      </c>
      <c r="E4457" t="str">
        <f>"Y"</f>
        <v>Y</v>
      </c>
      <c r="F4457" t="str">
        <f>"חשבוניות מרכזות"</f>
        <v>חשבוניות מרכזות</v>
      </c>
      <c r="G4457" t="str">
        <f>"700065"</f>
        <v>700065</v>
      </c>
      <c r="H4457" t="str">
        <f>"אלתא מערכות בע""מ"</f>
        <v>אלתא מערכות בע"מ</v>
      </c>
      <c r="I4457" t="str">
        <f>"10"</f>
        <v>10</v>
      </c>
      <c r="J4457" t="str">
        <f>"OP-AR00540"</f>
        <v>OP-AR00540</v>
      </c>
      <c r="K4457" t="str">
        <f>"רתמה 1032H441-002"</f>
        <v>רתמה 1032H441-002</v>
      </c>
      <c r="L4457">
        <v>-3</v>
      </c>
      <c r="M4457" t="str">
        <f>"יח"</f>
        <v>יח</v>
      </c>
      <c r="N4457">
        <v>-3</v>
      </c>
      <c r="O4457" t="str">
        <f>"יח"</f>
        <v>יח</v>
      </c>
      <c r="P4457">
        <v>325</v>
      </c>
      <c r="Q4457" t="str">
        <f>"$"</f>
        <v>$</v>
      </c>
      <c r="R4457" t="str">
        <f>"ידני"</f>
        <v>ידני</v>
      </c>
      <c r="S4457">
        <v>0</v>
      </c>
      <c r="T4457">
        <v>-975</v>
      </c>
      <c r="U4457">
        <v>0</v>
      </c>
      <c r="V4457">
        <v>-975</v>
      </c>
      <c r="W4457" t="str">
        <f>"$"</f>
        <v>$</v>
      </c>
      <c r="X4457">
        <v>0</v>
      </c>
      <c r="Y4457">
        <v>0</v>
      </c>
      <c r="Z4457">
        <v>0</v>
      </c>
      <c r="AA4457" t="str">
        <f>"Y"</f>
        <v>Y</v>
      </c>
      <c r="AC4457">
        <v>0</v>
      </c>
      <c r="AM4457" t="str">
        <f>"10"</f>
        <v>10</v>
      </c>
      <c r="AN4457" t="str">
        <f>"500000"</f>
        <v>500000</v>
      </c>
      <c r="AO4457" t="str">
        <f>"הכנסות  מלקוחות"</f>
        <v>הכנסות  מלקוחות</v>
      </c>
      <c r="AQ4457" t="str">
        <f>"004"</f>
        <v>004</v>
      </c>
      <c r="AR4457">
        <v>0</v>
      </c>
      <c r="AS4457">
        <v>0</v>
      </c>
      <c r="AT4457">
        <v>3.6339999999999999</v>
      </c>
      <c r="BB4457" t="str">
        <f>"Y"</f>
        <v>Y</v>
      </c>
      <c r="BD4457" t="str">
        <f>"איציק חדד"</f>
        <v>איציק חדד</v>
      </c>
    </row>
    <row r="4458" spans="1:56" x14ac:dyDescent="0.3">
      <c r="A4458" s="1">
        <v>42851</v>
      </c>
      <c r="B4458" t="str">
        <f>"SI176000582"</f>
        <v>SI176000582</v>
      </c>
      <c r="C4458" t="str">
        <f>"PR17001489"</f>
        <v>PR17001489</v>
      </c>
      <c r="D4458" t="str">
        <f>"PR17001489"</f>
        <v>PR17001489</v>
      </c>
      <c r="E4458" t="str">
        <f>"Y"</f>
        <v>Y</v>
      </c>
      <c r="F4458" t="str">
        <f>"חשבוניות מרכזות"</f>
        <v>חשבוניות מרכזות</v>
      </c>
      <c r="G4458" t="str">
        <f>"700065"</f>
        <v>700065</v>
      </c>
      <c r="H4458" t="str">
        <f>"אלתא מערכות בע""מ"</f>
        <v>אלתא מערכות בע"מ</v>
      </c>
      <c r="I4458" t="str">
        <f>"10"</f>
        <v>10</v>
      </c>
      <c r="J4458" t="str">
        <f>"OP-AR00551"</f>
        <v>OP-AR00551</v>
      </c>
      <c r="K4458" t="str">
        <f>"רתמה 4005F226-001 HARNESS W0013-PEDESTAL TO JU"</f>
        <v>רתמה 4005F226-001 HARNESS W0013-PEDESTAL TO JU</v>
      </c>
      <c r="L4458">
        <v>5</v>
      </c>
      <c r="M4458" t="str">
        <f>"יח"</f>
        <v>יח</v>
      </c>
      <c r="N4458">
        <v>5</v>
      </c>
      <c r="O4458" t="str">
        <f>"יח"</f>
        <v>יח</v>
      </c>
      <c r="P4458">
        <v>400</v>
      </c>
      <c r="Q4458" t="str">
        <f>"$"</f>
        <v>$</v>
      </c>
      <c r="R4458" t="str">
        <f>"הזמנה"</f>
        <v>הזמנה</v>
      </c>
      <c r="S4458">
        <v>0</v>
      </c>
      <c r="T4458" s="2">
        <v>2000</v>
      </c>
      <c r="U4458">
        <v>0</v>
      </c>
      <c r="V4458" s="2">
        <v>2000</v>
      </c>
      <c r="W4458" t="str">
        <f>"$"</f>
        <v>$</v>
      </c>
      <c r="X4458">
        <v>0</v>
      </c>
      <c r="Y4458">
        <v>0</v>
      </c>
      <c r="Z4458">
        <v>0</v>
      </c>
      <c r="AA4458" t="str">
        <f>"Y"</f>
        <v>Y</v>
      </c>
      <c r="AB4458" t="str">
        <f>"SO17000165"</f>
        <v>SO17000165</v>
      </c>
      <c r="AC4458">
        <v>1</v>
      </c>
      <c r="AD4458" s="1">
        <v>42793</v>
      </c>
      <c r="AE4458" t="str">
        <f>"SH17000979"</f>
        <v>SH17000979</v>
      </c>
      <c r="AF4458" t="str">
        <f>"משלוחים ללקוח"</f>
        <v>משלוחים ללקוח</v>
      </c>
      <c r="AG4458" s="1">
        <v>42851</v>
      </c>
      <c r="AM4458" t="str">
        <f>"10"</f>
        <v>10</v>
      </c>
      <c r="AN4458" t="str">
        <f>"500000"</f>
        <v>500000</v>
      </c>
      <c r="AO4458" t="str">
        <f>"הכנסות  מלקוחות"</f>
        <v>הכנסות  מלקוחות</v>
      </c>
      <c r="AQ4458" t="str">
        <f>"017"</f>
        <v>017</v>
      </c>
      <c r="AR4458">
        <v>0</v>
      </c>
      <c r="AS4458">
        <v>0</v>
      </c>
      <c r="AT4458">
        <v>3.6339999999999999</v>
      </c>
      <c r="AX4458" t="str">
        <f>"E000233843"</f>
        <v>E000233843</v>
      </c>
      <c r="BD4458" t="str">
        <f>"שחר דאהמן"</f>
        <v>שחר דאהמן</v>
      </c>
    </row>
    <row r="4459" spans="1:56" x14ac:dyDescent="0.3">
      <c r="A4459" s="1">
        <v>42851</v>
      </c>
      <c r="B4459" t="str">
        <f>"SI176000568"</f>
        <v>SI176000568</v>
      </c>
      <c r="C4459" t="str">
        <f>"PR17001453"</f>
        <v>PR17001453</v>
      </c>
      <c r="E4459" t="str">
        <f>"Y"</f>
        <v>Y</v>
      </c>
      <c r="F4459" t="str">
        <f>"חשבוניות מרכזות"</f>
        <v>חשבוניות מרכזות</v>
      </c>
      <c r="G4459" t="str">
        <f>"700065"</f>
        <v>700065</v>
      </c>
      <c r="H4459" t="str">
        <f>"אלתא מערכות בע""מ"</f>
        <v>אלתא מערכות בע"מ</v>
      </c>
      <c r="I4459" t="str">
        <f>"10"</f>
        <v>10</v>
      </c>
      <c r="J4459" t="str">
        <f>"OP-AR00540"</f>
        <v>OP-AR00540</v>
      </c>
      <c r="K4459" t="str">
        <f>"רתמה 1032H441-002"</f>
        <v>רתמה 1032H441-002</v>
      </c>
      <c r="L4459">
        <v>3</v>
      </c>
      <c r="M4459" t="str">
        <f>"יח"</f>
        <v>יח</v>
      </c>
      <c r="N4459">
        <v>3</v>
      </c>
      <c r="O4459" t="str">
        <f>"יח"</f>
        <v>יח</v>
      </c>
      <c r="P4459">
        <v>325</v>
      </c>
      <c r="Q4459" t="str">
        <f>"$"</f>
        <v>$</v>
      </c>
      <c r="R4459" t="str">
        <f>"ידני"</f>
        <v>ידני</v>
      </c>
      <c r="S4459">
        <v>0</v>
      </c>
      <c r="T4459">
        <v>975</v>
      </c>
      <c r="U4459">
        <v>0</v>
      </c>
      <c r="V4459">
        <v>975</v>
      </c>
      <c r="W4459" t="str">
        <f>"$"</f>
        <v>$</v>
      </c>
      <c r="X4459">
        <v>0</v>
      </c>
      <c r="Y4459">
        <v>0</v>
      </c>
      <c r="Z4459">
        <v>0</v>
      </c>
      <c r="AA4459" t="str">
        <f>"Y"</f>
        <v>Y</v>
      </c>
      <c r="AC4459">
        <v>0</v>
      </c>
      <c r="AM4459" t="str">
        <f>"10"</f>
        <v>10</v>
      </c>
      <c r="AN4459" t="str">
        <f>"500000"</f>
        <v>500000</v>
      </c>
      <c r="AO4459" t="str">
        <f>"הכנסות  מלקוחות"</f>
        <v>הכנסות  מלקוחות</v>
      </c>
      <c r="AQ4459" t="str">
        <f>"004"</f>
        <v>004</v>
      </c>
      <c r="AR4459">
        <v>0</v>
      </c>
      <c r="AS4459">
        <v>0</v>
      </c>
      <c r="AT4459">
        <v>3.6339999999999999</v>
      </c>
      <c r="BB4459" t="str">
        <f>"Y"</f>
        <v>Y</v>
      </c>
      <c r="BD4459" t="str">
        <f>"איציק חדד"</f>
        <v>איציק חדד</v>
      </c>
    </row>
    <row r="4460" spans="1:56" x14ac:dyDescent="0.3">
      <c r="A4460" s="1">
        <v>42850</v>
      </c>
      <c r="B4460" t="str">
        <f>"SI176000563"</f>
        <v>SI176000563</v>
      </c>
      <c r="E4460" t="str">
        <f>"Y"</f>
        <v>Y</v>
      </c>
      <c r="F4460" t="str">
        <f>"חשבוניות מרכזות"</f>
        <v>חשבוניות מרכזות</v>
      </c>
      <c r="G4460" t="str">
        <f>"700065"</f>
        <v>700065</v>
      </c>
      <c r="H4460" t="str">
        <f>"אלתא מערכות בע""מ"</f>
        <v>אלתא מערכות בע"מ</v>
      </c>
      <c r="I4460" t="str">
        <f>"10"</f>
        <v>10</v>
      </c>
      <c r="J4460" t="str">
        <f>"OP-AR00487"</f>
        <v>OP-AR00487</v>
      </c>
      <c r="K4460" t="str">
        <f>"רתמה 4005F229-001"</f>
        <v>רתמה 4005F229-001</v>
      </c>
      <c r="L4460">
        <v>5</v>
      </c>
      <c r="M4460" t="str">
        <f>"יח"</f>
        <v>יח</v>
      </c>
      <c r="N4460">
        <v>5</v>
      </c>
      <c r="O4460" t="str">
        <f>"יח"</f>
        <v>יח</v>
      </c>
      <c r="P4460">
        <v>510</v>
      </c>
      <c r="Q4460" t="str">
        <f>"$"</f>
        <v>$</v>
      </c>
      <c r="R4460" t="str">
        <f>"הזמנה"</f>
        <v>הזמנה</v>
      </c>
      <c r="S4460">
        <v>0</v>
      </c>
      <c r="T4460" s="2">
        <v>2550</v>
      </c>
      <c r="U4460">
        <v>0</v>
      </c>
      <c r="V4460" s="2">
        <v>2550</v>
      </c>
      <c r="W4460" t="str">
        <f>"$"</f>
        <v>$</v>
      </c>
      <c r="X4460">
        <v>0</v>
      </c>
      <c r="Y4460">
        <v>0</v>
      </c>
      <c r="Z4460">
        <v>0</v>
      </c>
      <c r="AA4460" t="str">
        <f>"Y"</f>
        <v>Y</v>
      </c>
      <c r="AB4460" t="str">
        <f>"SO17000019"</f>
        <v>SO17000019</v>
      </c>
      <c r="AC4460">
        <v>2</v>
      </c>
      <c r="AD4460" s="1">
        <v>42743</v>
      </c>
      <c r="AE4460" t="str">
        <f>"SH17000955"</f>
        <v>SH17000955</v>
      </c>
      <c r="AF4460" t="str">
        <f>"משלוחים ללקוח"</f>
        <v>משלוחים ללקוח</v>
      </c>
      <c r="AG4460" s="1">
        <v>42850</v>
      </c>
      <c r="AM4460" t="str">
        <f>"10"</f>
        <v>10</v>
      </c>
      <c r="AN4460" t="str">
        <f>"500000"</f>
        <v>500000</v>
      </c>
      <c r="AO4460" t="str">
        <f>"הכנסות  מלקוחות"</f>
        <v>הכנסות  מלקוחות</v>
      </c>
      <c r="AQ4460" t="str">
        <f>"004"</f>
        <v>004</v>
      </c>
      <c r="AR4460">
        <v>0</v>
      </c>
      <c r="AS4460">
        <v>0</v>
      </c>
      <c r="AT4460">
        <v>3.6480000000000001</v>
      </c>
      <c r="AX4460" t="str">
        <f>"E000230598"</f>
        <v>E000230598</v>
      </c>
      <c r="BD4460" t="str">
        <f>"איציק חדד"</f>
        <v>איציק חדד</v>
      </c>
    </row>
    <row r="4461" spans="1:56" x14ac:dyDescent="0.3">
      <c r="A4461" s="1">
        <v>42850</v>
      </c>
      <c r="B4461" t="str">
        <f>"SI176000563"</f>
        <v>SI176000563</v>
      </c>
      <c r="E4461" t="str">
        <f>"Y"</f>
        <v>Y</v>
      </c>
      <c r="F4461" t="str">
        <f>"חשבוניות מרכזות"</f>
        <v>חשבוניות מרכזות</v>
      </c>
      <c r="G4461" t="str">
        <f>"700065"</f>
        <v>700065</v>
      </c>
      <c r="H4461" t="str">
        <f>"אלתא מערכות בע""מ"</f>
        <v>אלתא מערכות בע"מ</v>
      </c>
      <c r="I4461" t="str">
        <f>"10"</f>
        <v>10</v>
      </c>
      <c r="J4461" t="str">
        <f>"OP-AR00486"</f>
        <v>OP-AR00486</v>
      </c>
      <c r="K4461" t="str">
        <f>"רתמה 4005F228-001"</f>
        <v>רתמה 4005F228-001</v>
      </c>
      <c r="L4461">
        <v>5</v>
      </c>
      <c r="M4461" t="str">
        <f>"יח"</f>
        <v>יח</v>
      </c>
      <c r="N4461">
        <v>5</v>
      </c>
      <c r="O4461" t="str">
        <f>"יח"</f>
        <v>יח</v>
      </c>
      <c r="P4461">
        <v>114</v>
      </c>
      <c r="Q4461" t="str">
        <f>"$"</f>
        <v>$</v>
      </c>
      <c r="R4461" t="str">
        <f>"הזמנה"</f>
        <v>הזמנה</v>
      </c>
      <c r="S4461">
        <v>0</v>
      </c>
      <c r="T4461">
        <v>570</v>
      </c>
      <c r="U4461">
        <v>0</v>
      </c>
      <c r="V4461">
        <v>570</v>
      </c>
      <c r="W4461" t="str">
        <f>"$"</f>
        <v>$</v>
      </c>
      <c r="X4461">
        <v>0</v>
      </c>
      <c r="Y4461">
        <v>0</v>
      </c>
      <c r="Z4461">
        <v>0</v>
      </c>
      <c r="AA4461" t="str">
        <f>"Y"</f>
        <v>Y</v>
      </c>
      <c r="AB4461" t="str">
        <f>"SO17000019"</f>
        <v>SO17000019</v>
      </c>
      <c r="AC4461">
        <v>1</v>
      </c>
      <c r="AD4461" s="1">
        <v>42743</v>
      </c>
      <c r="AE4461" t="str">
        <f>"SH17000609"</f>
        <v>SH17000609</v>
      </c>
      <c r="AF4461" t="str">
        <f>"משלוחים ללקוח"</f>
        <v>משלוחים ללקוח</v>
      </c>
      <c r="AG4461" s="1">
        <v>42802</v>
      </c>
      <c r="AM4461" t="str">
        <f>"10"</f>
        <v>10</v>
      </c>
      <c r="AN4461" t="str">
        <f>"500000"</f>
        <v>500000</v>
      </c>
      <c r="AO4461" t="str">
        <f>"הכנסות  מלקוחות"</f>
        <v>הכנסות  מלקוחות</v>
      </c>
      <c r="AQ4461" t="str">
        <f>"004"</f>
        <v>004</v>
      </c>
      <c r="AR4461">
        <v>0</v>
      </c>
      <c r="AS4461">
        <v>0</v>
      </c>
      <c r="AT4461">
        <v>3.6480000000000001</v>
      </c>
      <c r="AX4461" t="str">
        <f>"E000230598"</f>
        <v>E000230598</v>
      </c>
      <c r="BD4461" t="str">
        <f>"איציק חדד"</f>
        <v>איציק חדד</v>
      </c>
    </row>
    <row r="4462" spans="1:56" x14ac:dyDescent="0.3">
      <c r="A4462" s="1">
        <v>42824</v>
      </c>
      <c r="B4462" t="str">
        <f>"SI176000459"</f>
        <v>SI176000459</v>
      </c>
      <c r="E4462" t="str">
        <f>"Y"</f>
        <v>Y</v>
      </c>
      <c r="F4462" t="str">
        <f>"חשבוניות מרכזות"</f>
        <v>חשבוניות מרכזות</v>
      </c>
      <c r="G4462" t="str">
        <f>"700065"</f>
        <v>700065</v>
      </c>
      <c r="H4462" t="str">
        <f>"אלתא מערכות בע""מ"</f>
        <v>אלתא מערכות בע"מ</v>
      </c>
      <c r="I4462" t="str">
        <f>"10"</f>
        <v>10</v>
      </c>
      <c r="J4462" t="str">
        <f>"OP-AR00475"</f>
        <v>OP-AR00475</v>
      </c>
      <c r="K4462" t="str">
        <f>"רתמה 4061D020-001"</f>
        <v>רתמה 4061D020-001</v>
      </c>
      <c r="L4462">
        <v>2</v>
      </c>
      <c r="M4462" t="str">
        <f>"יח"</f>
        <v>יח</v>
      </c>
      <c r="N4462">
        <v>2</v>
      </c>
      <c r="O4462" t="str">
        <f>"יח"</f>
        <v>יח</v>
      </c>
      <c r="P4462">
        <v>103</v>
      </c>
      <c r="Q4462" t="str">
        <f>"$"</f>
        <v>$</v>
      </c>
      <c r="R4462" t="str">
        <f>"הזמנה"</f>
        <v>הזמנה</v>
      </c>
      <c r="S4462">
        <v>0</v>
      </c>
      <c r="T4462">
        <v>206</v>
      </c>
      <c r="U4462">
        <v>0</v>
      </c>
      <c r="V4462">
        <v>206</v>
      </c>
      <c r="W4462" t="str">
        <f>"$"</f>
        <v>$</v>
      </c>
      <c r="X4462">
        <v>0</v>
      </c>
      <c r="Y4462">
        <v>0</v>
      </c>
      <c r="Z4462">
        <v>0</v>
      </c>
      <c r="AA4462" t="str">
        <f>"Y"</f>
        <v>Y</v>
      </c>
      <c r="AB4462" t="str">
        <f>"SO17000020"</f>
        <v>SO17000020</v>
      </c>
      <c r="AC4462">
        <v>1</v>
      </c>
      <c r="AD4462" s="1">
        <v>42743</v>
      </c>
      <c r="AE4462" t="str">
        <f>"SH17000598"</f>
        <v>SH17000598</v>
      </c>
      <c r="AF4462" t="str">
        <f>"משלוחים ללקוח"</f>
        <v>משלוחים ללקוח</v>
      </c>
      <c r="AG4462" s="1">
        <v>42801</v>
      </c>
      <c r="AM4462" t="str">
        <f>"10"</f>
        <v>10</v>
      </c>
      <c r="AN4462" t="str">
        <f>"500000"</f>
        <v>500000</v>
      </c>
      <c r="AO4462" t="str">
        <f>"הכנסות  מלקוחות"</f>
        <v>הכנסות  מלקוחות</v>
      </c>
      <c r="AQ4462" t="str">
        <f>"017"</f>
        <v>017</v>
      </c>
      <c r="AR4462">
        <v>0</v>
      </c>
      <c r="AS4462">
        <v>0</v>
      </c>
      <c r="AT4462">
        <v>3.6150000000000002</v>
      </c>
      <c r="AX4462" t="str">
        <f>"E000230232"</f>
        <v>E000230232</v>
      </c>
      <c r="BD4462" t="str">
        <f>"שחר דאהמן"</f>
        <v>שחר דאהמן</v>
      </c>
    </row>
    <row r="4463" spans="1:56" x14ac:dyDescent="0.3">
      <c r="A4463" s="1">
        <v>42824</v>
      </c>
      <c r="B4463" t="str">
        <f>"SI176000459"</f>
        <v>SI176000459</v>
      </c>
      <c r="E4463" t="str">
        <f>"Y"</f>
        <v>Y</v>
      </c>
      <c r="F4463" t="str">
        <f>"חשבוניות מרכזות"</f>
        <v>חשבוניות מרכזות</v>
      </c>
      <c r="G4463" t="str">
        <f>"700065"</f>
        <v>700065</v>
      </c>
      <c r="H4463" t="str">
        <f>"אלתא מערכות בע""מ"</f>
        <v>אלתא מערכות בע"מ</v>
      </c>
      <c r="I4463" t="str">
        <f>"10"</f>
        <v>10</v>
      </c>
      <c r="J4463" t="str">
        <f>"OP-AR00484"</f>
        <v>OP-AR00484</v>
      </c>
      <c r="K4463" t="str">
        <f>"רתמה 4061D030-001"</f>
        <v>רתמה 4061D030-001</v>
      </c>
      <c r="L4463">
        <v>2</v>
      </c>
      <c r="M4463" t="str">
        <f>"יח"</f>
        <v>יח</v>
      </c>
      <c r="N4463">
        <v>2</v>
      </c>
      <c r="O4463" t="str">
        <f>"יח"</f>
        <v>יח</v>
      </c>
      <c r="P4463">
        <v>257</v>
      </c>
      <c r="Q4463" t="str">
        <f>"$"</f>
        <v>$</v>
      </c>
      <c r="R4463" t="str">
        <f>"הזמנה"</f>
        <v>הזמנה</v>
      </c>
      <c r="S4463">
        <v>0</v>
      </c>
      <c r="T4463">
        <v>514</v>
      </c>
      <c r="U4463">
        <v>0</v>
      </c>
      <c r="V4463">
        <v>514</v>
      </c>
      <c r="W4463" t="str">
        <f>"$"</f>
        <v>$</v>
      </c>
      <c r="X4463">
        <v>0</v>
      </c>
      <c r="Y4463">
        <v>0</v>
      </c>
      <c r="Z4463">
        <v>0</v>
      </c>
      <c r="AA4463" t="str">
        <f>"Y"</f>
        <v>Y</v>
      </c>
      <c r="AB4463" t="str">
        <f>"SO17000020"</f>
        <v>SO17000020</v>
      </c>
      <c r="AC4463">
        <v>4</v>
      </c>
      <c r="AD4463" s="1">
        <v>42743</v>
      </c>
      <c r="AE4463" t="str">
        <f>"SH17000599"</f>
        <v>SH17000599</v>
      </c>
      <c r="AF4463" t="str">
        <f>"משלוחים ללקוח"</f>
        <v>משלוחים ללקוח</v>
      </c>
      <c r="AG4463" s="1">
        <v>42801</v>
      </c>
      <c r="AM4463" t="str">
        <f>"10"</f>
        <v>10</v>
      </c>
      <c r="AN4463" t="str">
        <f>"500000"</f>
        <v>500000</v>
      </c>
      <c r="AO4463" t="str">
        <f>"הכנסות  מלקוחות"</f>
        <v>הכנסות  מלקוחות</v>
      </c>
      <c r="AQ4463" t="str">
        <f>"017"</f>
        <v>017</v>
      </c>
      <c r="AR4463">
        <v>0</v>
      </c>
      <c r="AS4463">
        <v>0</v>
      </c>
      <c r="AT4463">
        <v>3.6150000000000002</v>
      </c>
      <c r="AX4463" t="str">
        <f>"E000230232"</f>
        <v>E000230232</v>
      </c>
      <c r="BD4463" t="str">
        <f>"שחר דאהמן"</f>
        <v>שחר דאהמן</v>
      </c>
    </row>
    <row r="4464" spans="1:56" x14ac:dyDescent="0.3">
      <c r="A4464" s="1">
        <v>42824</v>
      </c>
      <c r="B4464" t="str">
        <f>"SI176000459"</f>
        <v>SI176000459</v>
      </c>
      <c r="E4464" t="str">
        <f>"Y"</f>
        <v>Y</v>
      </c>
      <c r="F4464" t="str">
        <f>"חשבוניות מרכזות"</f>
        <v>חשבוניות מרכזות</v>
      </c>
      <c r="G4464" t="str">
        <f>"700065"</f>
        <v>700065</v>
      </c>
      <c r="H4464" t="str">
        <f>"אלתא מערכות בע""מ"</f>
        <v>אלתא מערכות בע"מ</v>
      </c>
      <c r="I4464" t="str">
        <f>"10"</f>
        <v>10</v>
      </c>
      <c r="J4464" t="str">
        <f>"OP-AR00474"</f>
        <v>OP-AR00474</v>
      </c>
      <c r="K4464" t="str">
        <f>"רתמה 4061D040-001"</f>
        <v>רתמה 4061D040-001</v>
      </c>
      <c r="L4464">
        <v>2</v>
      </c>
      <c r="M4464" t="str">
        <f>"יח"</f>
        <v>יח</v>
      </c>
      <c r="N4464">
        <v>2</v>
      </c>
      <c r="O4464" t="str">
        <f>"יח"</f>
        <v>יח</v>
      </c>
      <c r="P4464">
        <v>66</v>
      </c>
      <c r="Q4464" t="str">
        <f>"$"</f>
        <v>$</v>
      </c>
      <c r="R4464" t="str">
        <f>"הזמנה"</f>
        <v>הזמנה</v>
      </c>
      <c r="S4464">
        <v>0</v>
      </c>
      <c r="T4464">
        <v>132</v>
      </c>
      <c r="U4464">
        <v>0</v>
      </c>
      <c r="V4464">
        <v>132</v>
      </c>
      <c r="W4464" t="str">
        <f>"$"</f>
        <v>$</v>
      </c>
      <c r="X4464">
        <v>0</v>
      </c>
      <c r="Y4464">
        <v>0</v>
      </c>
      <c r="Z4464">
        <v>0</v>
      </c>
      <c r="AA4464" t="str">
        <f>"Y"</f>
        <v>Y</v>
      </c>
      <c r="AB4464" t="str">
        <f>"SO17000020"</f>
        <v>SO17000020</v>
      </c>
      <c r="AC4464">
        <v>9</v>
      </c>
      <c r="AD4464" s="1">
        <v>42743</v>
      </c>
      <c r="AE4464" t="str">
        <f>"SH17000600"</f>
        <v>SH17000600</v>
      </c>
      <c r="AF4464" t="str">
        <f>"משלוחים ללקוח"</f>
        <v>משלוחים ללקוח</v>
      </c>
      <c r="AG4464" s="1">
        <v>42801</v>
      </c>
      <c r="AM4464" t="str">
        <f>"10"</f>
        <v>10</v>
      </c>
      <c r="AN4464" t="str">
        <f>"500000"</f>
        <v>500000</v>
      </c>
      <c r="AO4464" t="str">
        <f>"הכנסות  מלקוחות"</f>
        <v>הכנסות  מלקוחות</v>
      </c>
      <c r="AQ4464" t="str">
        <f>"017"</f>
        <v>017</v>
      </c>
      <c r="AR4464">
        <v>0</v>
      </c>
      <c r="AS4464">
        <v>0</v>
      </c>
      <c r="AT4464">
        <v>3.6150000000000002</v>
      </c>
      <c r="AX4464" t="str">
        <f>"E000230232"</f>
        <v>E000230232</v>
      </c>
      <c r="BD4464" t="str">
        <f>"שחר דאהמן"</f>
        <v>שחר דאהמן</v>
      </c>
    </row>
    <row r="4465" spans="1:56" x14ac:dyDescent="0.3">
      <c r="A4465" s="1">
        <v>42824</v>
      </c>
      <c r="B4465" t="str">
        <f>"SI176000459"</f>
        <v>SI176000459</v>
      </c>
      <c r="E4465" t="str">
        <f>"Y"</f>
        <v>Y</v>
      </c>
      <c r="F4465" t="str">
        <f>"חשבוניות מרכזות"</f>
        <v>חשבוניות מרכזות</v>
      </c>
      <c r="G4465" t="str">
        <f>"700065"</f>
        <v>700065</v>
      </c>
      <c r="H4465" t="str">
        <f>"אלתא מערכות בע""מ"</f>
        <v>אלתא מערכות בע"מ</v>
      </c>
      <c r="I4465" t="str">
        <f>"10"</f>
        <v>10</v>
      </c>
      <c r="J4465" t="str">
        <f>"OP-AR00482"</f>
        <v>OP-AR00482</v>
      </c>
      <c r="K4465" t="str">
        <f>"רתמה 4061D060-001"</f>
        <v>רתמה 4061D060-001</v>
      </c>
      <c r="L4465">
        <v>2</v>
      </c>
      <c r="M4465" t="str">
        <f>"יח"</f>
        <v>יח</v>
      </c>
      <c r="N4465">
        <v>2</v>
      </c>
      <c r="O4465" t="str">
        <f>"יח"</f>
        <v>יח</v>
      </c>
      <c r="P4465">
        <v>67</v>
      </c>
      <c r="Q4465" t="str">
        <f>"$"</f>
        <v>$</v>
      </c>
      <c r="R4465" t="str">
        <f>"הזמנה"</f>
        <v>הזמנה</v>
      </c>
      <c r="S4465">
        <v>0</v>
      </c>
      <c r="T4465">
        <v>134</v>
      </c>
      <c r="U4465">
        <v>0</v>
      </c>
      <c r="V4465">
        <v>134</v>
      </c>
      <c r="W4465" t="str">
        <f>"$"</f>
        <v>$</v>
      </c>
      <c r="X4465">
        <v>0</v>
      </c>
      <c r="Y4465">
        <v>0</v>
      </c>
      <c r="Z4465">
        <v>0</v>
      </c>
      <c r="AA4465" t="str">
        <f>"Y"</f>
        <v>Y</v>
      </c>
      <c r="AB4465" t="str">
        <f>"SO17000020"</f>
        <v>SO17000020</v>
      </c>
      <c r="AC4465">
        <v>10</v>
      </c>
      <c r="AD4465" s="1">
        <v>42743</v>
      </c>
      <c r="AE4465" t="str">
        <f>"SH17000601"</f>
        <v>SH17000601</v>
      </c>
      <c r="AF4465" t="str">
        <f>"משלוחים ללקוח"</f>
        <v>משלוחים ללקוח</v>
      </c>
      <c r="AG4465" s="1">
        <v>42801</v>
      </c>
      <c r="AM4465" t="str">
        <f>"10"</f>
        <v>10</v>
      </c>
      <c r="AN4465" t="str">
        <f>"500000"</f>
        <v>500000</v>
      </c>
      <c r="AO4465" t="str">
        <f>"הכנסות  מלקוחות"</f>
        <v>הכנסות  מלקוחות</v>
      </c>
      <c r="AQ4465" t="str">
        <f>"017"</f>
        <v>017</v>
      </c>
      <c r="AR4465">
        <v>0</v>
      </c>
      <c r="AS4465">
        <v>0</v>
      </c>
      <c r="AT4465">
        <v>3.6150000000000002</v>
      </c>
      <c r="AX4465" t="str">
        <f>"E000230232"</f>
        <v>E000230232</v>
      </c>
      <c r="BD4465" t="str">
        <f>"שחר דאהמן"</f>
        <v>שחר דאהמן</v>
      </c>
    </row>
    <row r="4466" spans="1:56" x14ac:dyDescent="0.3">
      <c r="A4466" s="1">
        <v>42824</v>
      </c>
      <c r="B4466" t="str">
        <f>"SI176000459"</f>
        <v>SI176000459</v>
      </c>
      <c r="E4466" t="str">
        <f>"Y"</f>
        <v>Y</v>
      </c>
      <c r="F4466" t="str">
        <f>"חשבוניות מרכזות"</f>
        <v>חשבוניות מרכזות</v>
      </c>
      <c r="G4466" t="str">
        <f>"700065"</f>
        <v>700065</v>
      </c>
      <c r="H4466" t="str">
        <f>"אלתא מערכות בע""מ"</f>
        <v>אלתא מערכות בע"מ</v>
      </c>
      <c r="I4466" t="str">
        <f>"10"</f>
        <v>10</v>
      </c>
      <c r="J4466" t="str">
        <f>"OP-AR00483"</f>
        <v>OP-AR00483</v>
      </c>
      <c r="K4466" t="str">
        <f>"רתמה 4061D061-001"</f>
        <v>רתמה 4061D061-001</v>
      </c>
      <c r="L4466">
        <v>2</v>
      </c>
      <c r="M4466" t="str">
        <f>"יח"</f>
        <v>יח</v>
      </c>
      <c r="N4466">
        <v>2</v>
      </c>
      <c r="O4466" t="str">
        <f>"יח"</f>
        <v>יח</v>
      </c>
      <c r="P4466">
        <v>67</v>
      </c>
      <c r="Q4466" t="str">
        <f>"$"</f>
        <v>$</v>
      </c>
      <c r="R4466" t="str">
        <f>"הזמנה"</f>
        <v>הזמנה</v>
      </c>
      <c r="S4466">
        <v>0</v>
      </c>
      <c r="T4466">
        <v>134</v>
      </c>
      <c r="U4466">
        <v>0</v>
      </c>
      <c r="V4466">
        <v>134</v>
      </c>
      <c r="W4466" t="str">
        <f>"$"</f>
        <v>$</v>
      </c>
      <c r="X4466">
        <v>0</v>
      </c>
      <c r="Y4466">
        <v>0</v>
      </c>
      <c r="Z4466">
        <v>0</v>
      </c>
      <c r="AA4466" t="str">
        <f>"Y"</f>
        <v>Y</v>
      </c>
      <c r="AB4466" t="str">
        <f>"SO17000020"</f>
        <v>SO17000020</v>
      </c>
      <c r="AC4466">
        <v>11</v>
      </c>
      <c r="AD4466" s="1">
        <v>42743</v>
      </c>
      <c r="AE4466" t="str">
        <f>"SH17000602"</f>
        <v>SH17000602</v>
      </c>
      <c r="AF4466" t="str">
        <f>"משלוחים ללקוח"</f>
        <v>משלוחים ללקוח</v>
      </c>
      <c r="AG4466" s="1">
        <v>42801</v>
      </c>
      <c r="AM4466" t="str">
        <f>"10"</f>
        <v>10</v>
      </c>
      <c r="AN4466" t="str">
        <f>"500000"</f>
        <v>500000</v>
      </c>
      <c r="AO4466" t="str">
        <f>"הכנסות  מלקוחות"</f>
        <v>הכנסות  מלקוחות</v>
      </c>
      <c r="AQ4466" t="str">
        <f>"017"</f>
        <v>017</v>
      </c>
      <c r="AR4466">
        <v>0</v>
      </c>
      <c r="AS4466">
        <v>0</v>
      </c>
      <c r="AT4466">
        <v>3.6150000000000002</v>
      </c>
      <c r="AX4466" t="str">
        <f>"E000230232"</f>
        <v>E000230232</v>
      </c>
      <c r="BD4466" t="str">
        <f>"שחר דאהמן"</f>
        <v>שחר דאהמן</v>
      </c>
    </row>
    <row r="4467" spans="1:56" x14ac:dyDescent="0.3">
      <c r="A4467" s="1">
        <v>42824</v>
      </c>
      <c r="B4467" t="str">
        <f>"SI176000459"</f>
        <v>SI176000459</v>
      </c>
      <c r="E4467" t="str">
        <f>"Y"</f>
        <v>Y</v>
      </c>
      <c r="F4467" t="str">
        <f>"חשבוניות מרכזות"</f>
        <v>חשבוניות מרכזות</v>
      </c>
      <c r="G4467" t="str">
        <f>"700065"</f>
        <v>700065</v>
      </c>
      <c r="H4467" t="str">
        <f>"אלתא מערכות בע""מ"</f>
        <v>אלתא מערכות בע"מ</v>
      </c>
      <c r="I4467" t="str">
        <f>"10"</f>
        <v>10</v>
      </c>
      <c r="J4467" t="str">
        <f>"OP-AR00476"</f>
        <v>OP-AR00476</v>
      </c>
      <c r="K4467" t="str">
        <f>"רתמה 4061D022-001"</f>
        <v>רתמה 4061D022-001</v>
      </c>
      <c r="L4467">
        <v>2</v>
      </c>
      <c r="M4467" t="str">
        <f>"יח"</f>
        <v>יח</v>
      </c>
      <c r="N4467">
        <v>2</v>
      </c>
      <c r="O4467" t="str">
        <f>"יח"</f>
        <v>יח</v>
      </c>
      <c r="P4467">
        <v>157</v>
      </c>
      <c r="Q4467" t="str">
        <f>"$"</f>
        <v>$</v>
      </c>
      <c r="R4467" t="str">
        <f>"הזמנה"</f>
        <v>הזמנה</v>
      </c>
      <c r="S4467">
        <v>0</v>
      </c>
      <c r="T4467">
        <v>314</v>
      </c>
      <c r="U4467">
        <v>0</v>
      </c>
      <c r="V4467">
        <v>314</v>
      </c>
      <c r="W4467" t="str">
        <f>"$"</f>
        <v>$</v>
      </c>
      <c r="X4467">
        <v>0</v>
      </c>
      <c r="Y4467">
        <v>0</v>
      </c>
      <c r="Z4467">
        <v>0</v>
      </c>
      <c r="AA4467" t="str">
        <f>"Y"</f>
        <v>Y</v>
      </c>
      <c r="AB4467" t="str">
        <f>"SO17000020"</f>
        <v>SO17000020</v>
      </c>
      <c r="AC4467">
        <v>2</v>
      </c>
      <c r="AD4467" s="1">
        <v>42743</v>
      </c>
      <c r="AE4467" t="str">
        <f>"SH17000603"</f>
        <v>SH17000603</v>
      </c>
      <c r="AF4467" t="str">
        <f>"משלוחים ללקוח"</f>
        <v>משלוחים ללקוח</v>
      </c>
      <c r="AG4467" s="1">
        <v>42801</v>
      </c>
      <c r="AM4467" t="str">
        <f>"10"</f>
        <v>10</v>
      </c>
      <c r="AN4467" t="str">
        <f>"500000"</f>
        <v>500000</v>
      </c>
      <c r="AO4467" t="str">
        <f>"הכנסות  מלקוחות"</f>
        <v>הכנסות  מלקוחות</v>
      </c>
      <c r="AQ4467" t="str">
        <f>"017"</f>
        <v>017</v>
      </c>
      <c r="AR4467">
        <v>0</v>
      </c>
      <c r="AS4467">
        <v>0</v>
      </c>
      <c r="AT4467">
        <v>3.6150000000000002</v>
      </c>
      <c r="AX4467" t="str">
        <f>"E000230232"</f>
        <v>E000230232</v>
      </c>
      <c r="BD4467" t="str">
        <f>"שחר דאהמן"</f>
        <v>שחר דאהמן</v>
      </c>
    </row>
    <row r="4468" spans="1:56" x14ac:dyDescent="0.3">
      <c r="A4468" s="1">
        <v>42824</v>
      </c>
      <c r="B4468" t="str">
        <f>"SI176000459"</f>
        <v>SI176000459</v>
      </c>
      <c r="E4468" t="str">
        <f>"Y"</f>
        <v>Y</v>
      </c>
      <c r="F4468" t="str">
        <f>"חשבוניות מרכזות"</f>
        <v>חשבוניות מרכזות</v>
      </c>
      <c r="G4468" t="str">
        <f>"700065"</f>
        <v>700065</v>
      </c>
      <c r="H4468" t="str">
        <f>"אלתא מערכות בע""מ"</f>
        <v>אלתא מערכות בע"מ</v>
      </c>
      <c r="I4468" t="str">
        <f>"10"</f>
        <v>10</v>
      </c>
      <c r="J4468" t="str">
        <f>"OP-AR00479"</f>
        <v>OP-AR00479</v>
      </c>
      <c r="K4468" t="str">
        <f>"רתמה 4061D032-001"</f>
        <v>רתמה 4061D032-001</v>
      </c>
      <c r="L4468">
        <v>2</v>
      </c>
      <c r="M4468" t="str">
        <f>"יח"</f>
        <v>יח</v>
      </c>
      <c r="N4468">
        <v>2</v>
      </c>
      <c r="O4468" t="str">
        <f>"יח"</f>
        <v>יח</v>
      </c>
      <c r="P4468">
        <v>145</v>
      </c>
      <c r="Q4468" t="str">
        <f>"$"</f>
        <v>$</v>
      </c>
      <c r="R4468" t="str">
        <f>"הזמנה"</f>
        <v>הזמנה</v>
      </c>
      <c r="S4468">
        <v>0</v>
      </c>
      <c r="T4468">
        <v>290</v>
      </c>
      <c r="U4468">
        <v>0</v>
      </c>
      <c r="V4468">
        <v>290</v>
      </c>
      <c r="W4468" t="str">
        <f>"$"</f>
        <v>$</v>
      </c>
      <c r="X4468">
        <v>0</v>
      </c>
      <c r="Y4468">
        <v>0</v>
      </c>
      <c r="Z4468">
        <v>0</v>
      </c>
      <c r="AA4468" t="str">
        <f>"Y"</f>
        <v>Y</v>
      </c>
      <c r="AB4468" t="str">
        <f>"SO17000020"</f>
        <v>SO17000020</v>
      </c>
      <c r="AC4468">
        <v>5</v>
      </c>
      <c r="AD4468" s="1">
        <v>42743</v>
      </c>
      <c r="AE4468" t="str">
        <f>"SH17000604"</f>
        <v>SH17000604</v>
      </c>
      <c r="AF4468" t="str">
        <f>"משלוחים ללקוח"</f>
        <v>משלוחים ללקוח</v>
      </c>
      <c r="AG4468" s="1">
        <v>42801</v>
      </c>
      <c r="AM4468" t="str">
        <f>"10"</f>
        <v>10</v>
      </c>
      <c r="AN4468" t="str">
        <f>"500000"</f>
        <v>500000</v>
      </c>
      <c r="AO4468" t="str">
        <f>"הכנסות  מלקוחות"</f>
        <v>הכנסות  מלקוחות</v>
      </c>
      <c r="AQ4468" t="str">
        <f>"017"</f>
        <v>017</v>
      </c>
      <c r="AR4468">
        <v>0</v>
      </c>
      <c r="AS4468">
        <v>0</v>
      </c>
      <c r="AT4468">
        <v>3.6150000000000002</v>
      </c>
      <c r="AX4468" t="str">
        <f>"E000230232"</f>
        <v>E000230232</v>
      </c>
      <c r="BD4468" t="str">
        <f>"שחר דאהמן"</f>
        <v>שחר דאהמן</v>
      </c>
    </row>
    <row r="4469" spans="1:56" x14ac:dyDescent="0.3">
      <c r="A4469" s="1">
        <v>42824</v>
      </c>
      <c r="B4469" t="str">
        <f>"SI176000459"</f>
        <v>SI176000459</v>
      </c>
      <c r="E4469" t="str">
        <f>"Y"</f>
        <v>Y</v>
      </c>
      <c r="F4469" t="str">
        <f>"חשבוניות מרכזות"</f>
        <v>חשבוניות מרכזות</v>
      </c>
      <c r="G4469" t="str">
        <f>"700065"</f>
        <v>700065</v>
      </c>
      <c r="H4469" t="str">
        <f>"אלתא מערכות בע""מ"</f>
        <v>אלתא מערכות בע"מ</v>
      </c>
      <c r="I4469" t="str">
        <f>"10"</f>
        <v>10</v>
      </c>
      <c r="J4469" t="str">
        <f>"OP-AR00480"</f>
        <v>OP-AR00480</v>
      </c>
      <c r="K4469" t="str">
        <f>"רתמה 4061D034-001"</f>
        <v>רתמה 4061D034-001</v>
      </c>
      <c r="L4469">
        <v>2</v>
      </c>
      <c r="M4469" t="str">
        <f>"יח"</f>
        <v>יח</v>
      </c>
      <c r="N4469">
        <v>2</v>
      </c>
      <c r="O4469" t="str">
        <f>"יח"</f>
        <v>יח</v>
      </c>
      <c r="P4469">
        <v>152</v>
      </c>
      <c r="Q4469" t="str">
        <f>"$"</f>
        <v>$</v>
      </c>
      <c r="R4469" t="str">
        <f>"הזמנה"</f>
        <v>הזמנה</v>
      </c>
      <c r="S4469">
        <v>0</v>
      </c>
      <c r="T4469">
        <v>304</v>
      </c>
      <c r="U4469">
        <v>0</v>
      </c>
      <c r="V4469">
        <v>304</v>
      </c>
      <c r="W4469" t="str">
        <f>"$"</f>
        <v>$</v>
      </c>
      <c r="X4469">
        <v>0</v>
      </c>
      <c r="Y4469">
        <v>0</v>
      </c>
      <c r="Z4469">
        <v>0</v>
      </c>
      <c r="AA4469" t="str">
        <f>"Y"</f>
        <v>Y</v>
      </c>
      <c r="AB4469" t="str">
        <f>"SO17000020"</f>
        <v>SO17000020</v>
      </c>
      <c r="AC4469">
        <v>6</v>
      </c>
      <c r="AD4469" s="1">
        <v>42743</v>
      </c>
      <c r="AE4469" t="str">
        <f>"SH17000605"</f>
        <v>SH17000605</v>
      </c>
      <c r="AF4469" t="str">
        <f>"משלוחים ללקוח"</f>
        <v>משלוחים ללקוח</v>
      </c>
      <c r="AG4469" s="1">
        <v>42801</v>
      </c>
      <c r="AM4469" t="str">
        <f>"10"</f>
        <v>10</v>
      </c>
      <c r="AN4469" t="str">
        <f>"500000"</f>
        <v>500000</v>
      </c>
      <c r="AO4469" t="str">
        <f>"הכנסות  מלקוחות"</f>
        <v>הכנסות  מלקוחות</v>
      </c>
      <c r="AQ4469" t="str">
        <f>"017"</f>
        <v>017</v>
      </c>
      <c r="AR4469">
        <v>0</v>
      </c>
      <c r="AS4469">
        <v>0</v>
      </c>
      <c r="AT4469">
        <v>3.6150000000000002</v>
      </c>
      <c r="AX4469" t="str">
        <f>"E000230232"</f>
        <v>E000230232</v>
      </c>
      <c r="BD4469" t="str">
        <f>"שחר דאהמן"</f>
        <v>שחר דאהמן</v>
      </c>
    </row>
    <row r="4470" spans="1:56" x14ac:dyDescent="0.3">
      <c r="A4470" s="1">
        <v>42822</v>
      </c>
      <c r="B4470" t="str">
        <f>"SI176000417"</f>
        <v>SI176000417</v>
      </c>
      <c r="E4470" t="str">
        <f>"Y"</f>
        <v>Y</v>
      </c>
      <c r="F4470" t="str">
        <f>"חשבוניות מרכזות"</f>
        <v>חשבוניות מרכזות</v>
      </c>
      <c r="G4470" t="str">
        <f>"700065"</f>
        <v>700065</v>
      </c>
      <c r="H4470" t="str">
        <f>"אלתא מערכות בע""מ"</f>
        <v>אלתא מערכות בע"מ</v>
      </c>
      <c r="I4470" t="str">
        <f>"10"</f>
        <v>10</v>
      </c>
      <c r="J4470" t="str">
        <f>"OP-AR00465"</f>
        <v>OP-AR00465</v>
      </c>
      <c r="K4470" t="str">
        <f>"רתמה REV;B 1036N632-001"</f>
        <v>רתמה REV;B 1036N632-001</v>
      </c>
      <c r="L4470">
        <v>12</v>
      </c>
      <c r="M4470" t="str">
        <f>"יח"</f>
        <v>יח</v>
      </c>
      <c r="N4470">
        <v>12</v>
      </c>
      <c r="O4470" t="str">
        <f>"יח"</f>
        <v>יח</v>
      </c>
      <c r="P4470" s="2">
        <v>1087</v>
      </c>
      <c r="Q4470" t="str">
        <f>"$"</f>
        <v>$</v>
      </c>
      <c r="R4470" t="str">
        <f>"הזמנה"</f>
        <v>הזמנה</v>
      </c>
      <c r="S4470">
        <v>0</v>
      </c>
      <c r="T4470" s="2">
        <v>13044</v>
      </c>
      <c r="U4470">
        <v>0</v>
      </c>
      <c r="V4470" s="2">
        <v>13044</v>
      </c>
      <c r="W4470" t="str">
        <f>"$"</f>
        <v>$</v>
      </c>
      <c r="X4470">
        <v>0</v>
      </c>
      <c r="Y4470">
        <v>0</v>
      </c>
      <c r="Z4470">
        <v>0</v>
      </c>
      <c r="AA4470" t="str">
        <f>"Y"</f>
        <v>Y</v>
      </c>
      <c r="AB4470" t="str">
        <f>"SO160000918"</f>
        <v>SO160000918</v>
      </c>
      <c r="AC4470">
        <v>2</v>
      </c>
      <c r="AD4470" s="1">
        <v>42724</v>
      </c>
      <c r="AE4470" t="str">
        <f>"SH17000745"</f>
        <v>SH17000745</v>
      </c>
      <c r="AF4470" t="str">
        <f>"משלוחים ללקוח"</f>
        <v>משלוחים ללקוח</v>
      </c>
      <c r="AG4470" s="1">
        <v>42820</v>
      </c>
      <c r="AM4470" t="str">
        <f>"10"</f>
        <v>10</v>
      </c>
      <c r="AN4470" t="str">
        <f>"500000"</f>
        <v>500000</v>
      </c>
      <c r="AO4470" t="str">
        <f>"הכנסות  מלקוחות"</f>
        <v>הכנסות  מלקוחות</v>
      </c>
      <c r="AQ4470" t="str">
        <f>"017"</f>
        <v>017</v>
      </c>
      <c r="AR4470">
        <v>0</v>
      </c>
      <c r="AS4470">
        <v>0</v>
      </c>
      <c r="AT4470">
        <v>3.6179999999999999</v>
      </c>
      <c r="AX4470" t="str">
        <f>"E000229507"</f>
        <v>E000229507</v>
      </c>
      <c r="BD4470" t="str">
        <f>"שחר דאהמן"</f>
        <v>שחר דאהמן</v>
      </c>
    </row>
    <row r="4471" spans="1:56" x14ac:dyDescent="0.3">
      <c r="A4471" s="1">
        <v>42822</v>
      </c>
      <c r="B4471" t="str">
        <f>"SI176000417"</f>
        <v>SI176000417</v>
      </c>
      <c r="E4471" t="str">
        <f>"Y"</f>
        <v>Y</v>
      </c>
      <c r="F4471" t="str">
        <f>"חשבוניות מרכזות"</f>
        <v>חשבוניות מרכזות</v>
      </c>
      <c r="G4471" t="str">
        <f>"700065"</f>
        <v>700065</v>
      </c>
      <c r="H4471" t="str">
        <f>"אלתא מערכות בע""מ"</f>
        <v>אלתא מערכות בע"מ</v>
      </c>
      <c r="I4471" t="str">
        <f>"10"</f>
        <v>10</v>
      </c>
      <c r="J4471" t="str">
        <f>"OP-AR00466"</f>
        <v>OP-AR00466</v>
      </c>
      <c r="K4471" t="str">
        <f>"רתמה REV;B 1036N633-001"</f>
        <v>רתמה REV;B 1036N633-001</v>
      </c>
      <c r="L4471">
        <v>3</v>
      </c>
      <c r="M4471" t="str">
        <f>"יח"</f>
        <v>יח</v>
      </c>
      <c r="N4471">
        <v>3</v>
      </c>
      <c r="O4471" t="str">
        <f>"יח"</f>
        <v>יח</v>
      </c>
      <c r="P4471">
        <v>618</v>
      </c>
      <c r="Q4471" t="str">
        <f>"$"</f>
        <v>$</v>
      </c>
      <c r="R4471" t="str">
        <f>"הזמנה"</f>
        <v>הזמנה</v>
      </c>
      <c r="S4471">
        <v>0</v>
      </c>
      <c r="T4471" s="2">
        <v>1854</v>
      </c>
      <c r="U4471">
        <v>0</v>
      </c>
      <c r="V4471" s="2">
        <v>1854</v>
      </c>
      <c r="W4471" t="str">
        <f>"$"</f>
        <v>$</v>
      </c>
      <c r="X4471">
        <v>0</v>
      </c>
      <c r="Y4471">
        <v>0</v>
      </c>
      <c r="Z4471">
        <v>0</v>
      </c>
      <c r="AA4471" t="str">
        <f>"Y"</f>
        <v>Y</v>
      </c>
      <c r="AB4471" t="str">
        <f>"SO160000918"</f>
        <v>SO160000918</v>
      </c>
      <c r="AC4471">
        <v>3</v>
      </c>
      <c r="AD4471" s="1">
        <v>42724</v>
      </c>
      <c r="AE4471" t="str">
        <f>"SH17000746"</f>
        <v>SH17000746</v>
      </c>
      <c r="AF4471" t="str">
        <f>"משלוחים ללקוח"</f>
        <v>משלוחים ללקוח</v>
      </c>
      <c r="AG4471" s="1">
        <v>42820</v>
      </c>
      <c r="AM4471" t="str">
        <f>"10"</f>
        <v>10</v>
      </c>
      <c r="AN4471" t="str">
        <f>"500000"</f>
        <v>500000</v>
      </c>
      <c r="AO4471" t="str">
        <f>"הכנסות  מלקוחות"</f>
        <v>הכנסות  מלקוחות</v>
      </c>
      <c r="AQ4471" t="str">
        <f>"017"</f>
        <v>017</v>
      </c>
      <c r="AR4471">
        <v>0</v>
      </c>
      <c r="AS4471">
        <v>0</v>
      </c>
      <c r="AT4471">
        <v>3.6179999999999999</v>
      </c>
      <c r="AX4471" t="str">
        <f>"E000229507"</f>
        <v>E000229507</v>
      </c>
      <c r="BD4471" t="str">
        <f>"שחר דאהמן"</f>
        <v>שחר דאהמן</v>
      </c>
    </row>
    <row r="4472" spans="1:56" x14ac:dyDescent="0.3">
      <c r="A4472" s="1">
        <v>42820</v>
      </c>
      <c r="B4472" t="str">
        <f>"SI176000403"</f>
        <v>SI176000403</v>
      </c>
      <c r="E4472" t="str">
        <f>"Y"</f>
        <v>Y</v>
      </c>
      <c r="F4472" t="str">
        <f>"חשבוניות מרכזות"</f>
        <v>חשבוניות מרכזות</v>
      </c>
      <c r="G4472" t="str">
        <f>"700065"</f>
        <v>700065</v>
      </c>
      <c r="H4472" t="str">
        <f>"אלתא מערכות בע""מ"</f>
        <v>אלתא מערכות בע"מ</v>
      </c>
      <c r="I4472" t="str">
        <f>"10"</f>
        <v>10</v>
      </c>
      <c r="J4472" t="str">
        <f>"OP-AR00477"</f>
        <v>OP-AR00477</v>
      </c>
      <c r="K4472" t="str">
        <f>"רתמה 4061D024-001"</f>
        <v>רתמה 4061D024-001</v>
      </c>
      <c r="L4472">
        <v>2</v>
      </c>
      <c r="M4472" t="str">
        <f>"יח"</f>
        <v>יח</v>
      </c>
      <c r="N4472">
        <v>2</v>
      </c>
      <c r="O4472" t="str">
        <f>"יח"</f>
        <v>יח</v>
      </c>
      <c r="P4472">
        <v>157</v>
      </c>
      <c r="Q4472" t="str">
        <f>"$"</f>
        <v>$</v>
      </c>
      <c r="R4472" t="str">
        <f>"הזמנה"</f>
        <v>הזמנה</v>
      </c>
      <c r="S4472">
        <v>0</v>
      </c>
      <c r="T4472">
        <v>314</v>
      </c>
      <c r="U4472">
        <v>0</v>
      </c>
      <c r="V4472">
        <v>314</v>
      </c>
      <c r="W4472" t="str">
        <f>"$"</f>
        <v>$</v>
      </c>
      <c r="X4472">
        <v>0</v>
      </c>
      <c r="Y4472">
        <v>0</v>
      </c>
      <c r="Z4472">
        <v>0</v>
      </c>
      <c r="AA4472" t="str">
        <f>"Y"</f>
        <v>Y</v>
      </c>
      <c r="AB4472" t="str">
        <f>"SO17000020"</f>
        <v>SO17000020</v>
      </c>
      <c r="AC4472">
        <v>3</v>
      </c>
      <c r="AD4472" s="1">
        <v>42743</v>
      </c>
      <c r="AE4472" t="str">
        <f>"SH17000717"</f>
        <v>SH17000717</v>
      </c>
      <c r="AF4472" t="str">
        <f>"משלוחים ללקוח"</f>
        <v>משלוחים ללקוח</v>
      </c>
      <c r="AG4472" s="1">
        <v>42817</v>
      </c>
      <c r="AM4472" t="str">
        <f>"10"</f>
        <v>10</v>
      </c>
      <c r="AN4472" t="str">
        <f>"500000"</f>
        <v>500000</v>
      </c>
      <c r="AO4472" t="str">
        <f>"הכנסות  מלקוחות"</f>
        <v>הכנסות  מלקוחות</v>
      </c>
      <c r="AQ4472" t="str">
        <f>"017"</f>
        <v>017</v>
      </c>
      <c r="AR4472">
        <v>0</v>
      </c>
      <c r="AS4472">
        <v>0</v>
      </c>
      <c r="AT4472">
        <v>3.6459999999999999</v>
      </c>
      <c r="AX4472" t="str">
        <f>"E000230232"</f>
        <v>E000230232</v>
      </c>
      <c r="BD4472" t="str">
        <f>"שחר דאהמן"</f>
        <v>שחר דאהמן</v>
      </c>
    </row>
    <row r="4473" spans="1:56" x14ac:dyDescent="0.3">
      <c r="A4473" s="1">
        <v>42820</v>
      </c>
      <c r="B4473" t="str">
        <f>"SI176000403"</f>
        <v>SI176000403</v>
      </c>
      <c r="E4473" t="str">
        <f>"Y"</f>
        <v>Y</v>
      </c>
      <c r="F4473" t="str">
        <f>"חשבוניות מרכזות"</f>
        <v>חשבוניות מרכזות</v>
      </c>
      <c r="G4473" t="str">
        <f>"700065"</f>
        <v>700065</v>
      </c>
      <c r="H4473" t="str">
        <f>"אלתא מערכות בע""מ"</f>
        <v>אלתא מערכות בע"מ</v>
      </c>
      <c r="I4473" t="str">
        <f>"10"</f>
        <v>10</v>
      </c>
      <c r="J4473" t="str">
        <f>"OP-AR00478"</f>
        <v>OP-AR00478</v>
      </c>
      <c r="K4473" t="str">
        <f>"רתמה 4061D028-001"</f>
        <v>רתמה 4061D028-001</v>
      </c>
      <c r="L4473">
        <v>2</v>
      </c>
      <c r="M4473" t="str">
        <f>"יח"</f>
        <v>יח</v>
      </c>
      <c r="N4473">
        <v>2</v>
      </c>
      <c r="O4473" t="str">
        <f>"יח"</f>
        <v>יח</v>
      </c>
      <c r="P4473">
        <v>281</v>
      </c>
      <c r="Q4473" t="str">
        <f>"$"</f>
        <v>$</v>
      </c>
      <c r="R4473" t="str">
        <f>"הזמנה"</f>
        <v>הזמנה</v>
      </c>
      <c r="S4473">
        <v>0</v>
      </c>
      <c r="T4473">
        <v>562</v>
      </c>
      <c r="U4473">
        <v>0</v>
      </c>
      <c r="V4473">
        <v>562</v>
      </c>
      <c r="W4473" t="str">
        <f>"$"</f>
        <v>$</v>
      </c>
      <c r="X4473">
        <v>0</v>
      </c>
      <c r="Y4473">
        <v>0</v>
      </c>
      <c r="Z4473">
        <v>0</v>
      </c>
      <c r="AA4473" t="str">
        <f>"Y"</f>
        <v>Y</v>
      </c>
      <c r="AB4473" t="str">
        <f>"SO17000020"</f>
        <v>SO17000020</v>
      </c>
      <c r="AC4473">
        <v>12</v>
      </c>
      <c r="AD4473" s="1">
        <v>42743</v>
      </c>
      <c r="AE4473" t="str">
        <f>"SH17000719"</f>
        <v>SH17000719</v>
      </c>
      <c r="AF4473" t="str">
        <f>"משלוחים ללקוח"</f>
        <v>משלוחים ללקוח</v>
      </c>
      <c r="AG4473" s="1">
        <v>42817</v>
      </c>
      <c r="AM4473" t="str">
        <f>"10"</f>
        <v>10</v>
      </c>
      <c r="AN4473" t="str">
        <f>"500000"</f>
        <v>500000</v>
      </c>
      <c r="AO4473" t="str">
        <f>"הכנסות  מלקוחות"</f>
        <v>הכנסות  מלקוחות</v>
      </c>
      <c r="AQ4473" t="str">
        <f>"017"</f>
        <v>017</v>
      </c>
      <c r="AR4473">
        <v>0</v>
      </c>
      <c r="AS4473">
        <v>0</v>
      </c>
      <c r="AT4473">
        <v>3.6459999999999999</v>
      </c>
      <c r="AX4473" t="str">
        <f>"E000230232"</f>
        <v>E000230232</v>
      </c>
      <c r="BD4473" t="str">
        <f>"שחר דאהמן"</f>
        <v>שחר דאהמן</v>
      </c>
    </row>
    <row r="4474" spans="1:56" x14ac:dyDescent="0.3">
      <c r="A4474" s="1">
        <v>42820</v>
      </c>
      <c r="B4474" t="str">
        <f>"SI176000403"</f>
        <v>SI176000403</v>
      </c>
      <c r="E4474" t="str">
        <f>"Y"</f>
        <v>Y</v>
      </c>
      <c r="F4474" t="str">
        <f>"חשבוניות מרכזות"</f>
        <v>חשבוניות מרכזות</v>
      </c>
      <c r="G4474" t="str">
        <f>"700065"</f>
        <v>700065</v>
      </c>
      <c r="H4474" t="str">
        <f>"אלתא מערכות בע""מ"</f>
        <v>אלתא מערכות בע"מ</v>
      </c>
      <c r="I4474" t="str">
        <f>"10"</f>
        <v>10</v>
      </c>
      <c r="J4474" t="str">
        <f>"OP-AR00481"</f>
        <v>OP-AR00481</v>
      </c>
      <c r="K4474" t="str">
        <f>"רתמה 4061D036-001"</f>
        <v>רתמה 4061D036-001</v>
      </c>
      <c r="L4474">
        <v>2</v>
      </c>
      <c r="M4474" t="str">
        <f>"יח"</f>
        <v>יח</v>
      </c>
      <c r="N4474">
        <v>2</v>
      </c>
      <c r="O4474" t="str">
        <f>"יח"</f>
        <v>יח</v>
      </c>
      <c r="P4474">
        <v>398</v>
      </c>
      <c r="Q4474" t="str">
        <f>"$"</f>
        <v>$</v>
      </c>
      <c r="R4474" t="str">
        <f>"הזמנה"</f>
        <v>הזמנה</v>
      </c>
      <c r="S4474">
        <v>0</v>
      </c>
      <c r="T4474">
        <v>796</v>
      </c>
      <c r="U4474">
        <v>0</v>
      </c>
      <c r="V4474">
        <v>796</v>
      </c>
      <c r="W4474" t="str">
        <f>"$"</f>
        <v>$</v>
      </c>
      <c r="X4474">
        <v>0</v>
      </c>
      <c r="Y4474">
        <v>0</v>
      </c>
      <c r="Z4474">
        <v>0</v>
      </c>
      <c r="AA4474" t="str">
        <f>"Y"</f>
        <v>Y</v>
      </c>
      <c r="AB4474" t="str">
        <f>"SO17000020"</f>
        <v>SO17000020</v>
      </c>
      <c r="AC4474">
        <v>7</v>
      </c>
      <c r="AD4474" s="1">
        <v>42743</v>
      </c>
      <c r="AE4474" t="str">
        <f>"SH17000718"</f>
        <v>SH17000718</v>
      </c>
      <c r="AF4474" t="str">
        <f>"משלוחים ללקוח"</f>
        <v>משלוחים ללקוח</v>
      </c>
      <c r="AG4474" s="1">
        <v>42817</v>
      </c>
      <c r="AM4474" t="str">
        <f>"10"</f>
        <v>10</v>
      </c>
      <c r="AN4474" t="str">
        <f>"500000"</f>
        <v>500000</v>
      </c>
      <c r="AO4474" t="str">
        <f>"הכנסות  מלקוחות"</f>
        <v>הכנסות  מלקוחות</v>
      </c>
      <c r="AQ4474" t="str">
        <f>"017"</f>
        <v>017</v>
      </c>
      <c r="AR4474">
        <v>0</v>
      </c>
      <c r="AS4474">
        <v>0</v>
      </c>
      <c r="AT4474">
        <v>3.6459999999999999</v>
      </c>
      <c r="AX4474" t="str">
        <f>"E000230232"</f>
        <v>E000230232</v>
      </c>
      <c r="BD4474" t="str">
        <f>"שחר דאהמן"</f>
        <v>שחר דאהמן</v>
      </c>
    </row>
    <row r="4475" spans="1:56" x14ac:dyDescent="0.3">
      <c r="A4475" s="1">
        <v>42820</v>
      </c>
      <c r="B4475" t="str">
        <f>"SI176000403"</f>
        <v>SI176000403</v>
      </c>
      <c r="E4475" t="str">
        <f>"Y"</f>
        <v>Y</v>
      </c>
      <c r="F4475" t="str">
        <f>"חשבוניות מרכזות"</f>
        <v>חשבוניות מרכזות</v>
      </c>
      <c r="G4475" t="str">
        <f>"700065"</f>
        <v>700065</v>
      </c>
      <c r="H4475" t="str">
        <f>"אלתא מערכות בע""מ"</f>
        <v>אלתא מערכות בע"מ</v>
      </c>
      <c r="I4475" t="str">
        <f>"10"</f>
        <v>10</v>
      </c>
      <c r="J4475" t="str">
        <f>"OP-AR00485"</f>
        <v>OP-AR00485</v>
      </c>
      <c r="K4475" t="str">
        <f>"רתמה 4061D038-001"</f>
        <v>רתמה 4061D038-001</v>
      </c>
      <c r="L4475">
        <v>2</v>
      </c>
      <c r="M4475" t="str">
        <f>"יח"</f>
        <v>יח</v>
      </c>
      <c r="N4475">
        <v>2</v>
      </c>
      <c r="O4475" t="str">
        <f>"יח"</f>
        <v>יח</v>
      </c>
      <c r="P4475">
        <v>241</v>
      </c>
      <c r="Q4475" t="str">
        <f>"$"</f>
        <v>$</v>
      </c>
      <c r="R4475" t="str">
        <f>"הזמנה"</f>
        <v>הזמנה</v>
      </c>
      <c r="S4475">
        <v>0</v>
      </c>
      <c r="T4475">
        <v>482</v>
      </c>
      <c r="U4475">
        <v>0</v>
      </c>
      <c r="V4475">
        <v>482</v>
      </c>
      <c r="W4475" t="str">
        <f>"$"</f>
        <v>$</v>
      </c>
      <c r="X4475">
        <v>0</v>
      </c>
      <c r="Y4475">
        <v>0</v>
      </c>
      <c r="Z4475">
        <v>0</v>
      </c>
      <c r="AA4475" t="str">
        <f>"Y"</f>
        <v>Y</v>
      </c>
      <c r="AB4475" t="str">
        <f>"SO17000020"</f>
        <v>SO17000020</v>
      </c>
      <c r="AC4475">
        <v>8</v>
      </c>
      <c r="AD4475" s="1">
        <v>42743</v>
      </c>
      <c r="AE4475" t="str">
        <f>"SH17000720"</f>
        <v>SH17000720</v>
      </c>
      <c r="AF4475" t="str">
        <f>"משלוחים ללקוח"</f>
        <v>משלוחים ללקוח</v>
      </c>
      <c r="AG4475" s="1">
        <v>42817</v>
      </c>
      <c r="AM4475" t="str">
        <f>"10"</f>
        <v>10</v>
      </c>
      <c r="AN4475" t="str">
        <f>"500000"</f>
        <v>500000</v>
      </c>
      <c r="AO4475" t="str">
        <f>"הכנסות  מלקוחות"</f>
        <v>הכנסות  מלקוחות</v>
      </c>
      <c r="AQ4475" t="str">
        <f>"017"</f>
        <v>017</v>
      </c>
      <c r="AR4475">
        <v>0</v>
      </c>
      <c r="AS4475">
        <v>0</v>
      </c>
      <c r="AT4475">
        <v>3.6459999999999999</v>
      </c>
      <c r="AX4475" t="str">
        <f>"E000230232"</f>
        <v>E000230232</v>
      </c>
      <c r="BD4475" t="str">
        <f>"שחר דאהמן"</f>
        <v>שחר דאהמן</v>
      </c>
    </row>
    <row r="4476" spans="1:56" x14ac:dyDescent="0.3">
      <c r="A4476" s="1">
        <v>42817</v>
      </c>
      <c r="B4476" t="str">
        <f>"SI176000408"</f>
        <v>SI176000408</v>
      </c>
      <c r="C4476" t="str">
        <f>"PR16001195"</f>
        <v>PR16001195</v>
      </c>
      <c r="E4476" t="str">
        <f>"Y"</f>
        <v>Y</v>
      </c>
      <c r="F4476" t="str">
        <f>"חשבוניות מרכזות"</f>
        <v>חשבוניות מרכזות</v>
      </c>
      <c r="G4476" t="str">
        <f>"700065"</f>
        <v>700065</v>
      </c>
      <c r="H4476" t="str">
        <f>"אלתא מערכות בע""מ"</f>
        <v>אלתא מערכות בע"מ</v>
      </c>
      <c r="I4476" t="str">
        <f>"10"</f>
        <v>10</v>
      </c>
      <c r="J4476" t="str">
        <f>"OP-AR00466"</f>
        <v>OP-AR00466</v>
      </c>
      <c r="K4476" t="str">
        <f>"רתמה REV;B 1036N633-001"</f>
        <v>רתמה REV;B 1036N633-001</v>
      </c>
      <c r="L4476">
        <v>9</v>
      </c>
      <c r="M4476" t="str">
        <f>"יח"</f>
        <v>יח</v>
      </c>
      <c r="N4476">
        <v>9</v>
      </c>
      <c r="O4476" t="str">
        <f>"יח"</f>
        <v>יח</v>
      </c>
      <c r="P4476">
        <v>618</v>
      </c>
      <c r="Q4476" t="str">
        <f>"$"</f>
        <v>$</v>
      </c>
      <c r="R4476" t="str">
        <f>"הזמנה"</f>
        <v>הזמנה</v>
      </c>
      <c r="S4476">
        <v>0</v>
      </c>
      <c r="T4476" s="2">
        <v>5562</v>
      </c>
      <c r="U4476">
        <v>0</v>
      </c>
      <c r="V4476" s="2">
        <v>5562</v>
      </c>
      <c r="W4476" t="str">
        <f>"$"</f>
        <v>$</v>
      </c>
      <c r="X4476">
        <v>0</v>
      </c>
      <c r="Y4476">
        <v>0</v>
      </c>
      <c r="Z4476">
        <v>0</v>
      </c>
      <c r="AA4476" t="str">
        <f>"Y"</f>
        <v>Y</v>
      </c>
      <c r="AB4476" t="str">
        <f>"SO160000918"</f>
        <v>SO160000918</v>
      </c>
      <c r="AC4476">
        <v>3</v>
      </c>
      <c r="AD4476" s="1">
        <v>42724</v>
      </c>
      <c r="AE4476" t="str">
        <f>"SH17000708"</f>
        <v>SH17000708</v>
      </c>
      <c r="AF4476" t="str">
        <f>"משלוחים ללקוח"</f>
        <v>משלוחים ללקוח</v>
      </c>
      <c r="AG4476" s="1">
        <v>42816</v>
      </c>
      <c r="AM4476" t="str">
        <f>"10"</f>
        <v>10</v>
      </c>
      <c r="AN4476" t="str">
        <f>"500000"</f>
        <v>500000</v>
      </c>
      <c r="AO4476" t="str">
        <f>"הכנסות  מלקוחות"</f>
        <v>הכנסות  מלקוחות</v>
      </c>
      <c r="AQ4476" t="str">
        <f>"017"</f>
        <v>017</v>
      </c>
      <c r="AR4476">
        <v>0</v>
      </c>
      <c r="AS4476">
        <v>0</v>
      </c>
      <c r="AT4476">
        <v>3.645</v>
      </c>
      <c r="AX4476" t="str">
        <f>"E000229507"</f>
        <v>E000229507</v>
      </c>
      <c r="BD4476" t="str">
        <f>"שחר דאהמן"</f>
        <v>שחר דאהמן</v>
      </c>
    </row>
    <row r="4477" spans="1:56" x14ac:dyDescent="0.3">
      <c r="A4477" s="1">
        <v>42817</v>
      </c>
      <c r="B4477" t="str">
        <f>"SI176000405"</f>
        <v>SI176000405</v>
      </c>
      <c r="C4477" t="str">
        <f>"PR17001453"</f>
        <v>PR17001453</v>
      </c>
      <c r="D4477" t="str">
        <f>"PR17001453"</f>
        <v>PR17001453</v>
      </c>
      <c r="E4477" t="str">
        <f>"Y"</f>
        <v>Y</v>
      </c>
      <c r="F4477" t="str">
        <f>"חשבוניות מרכזות"</f>
        <v>חשבוניות מרכזות</v>
      </c>
      <c r="G4477" t="str">
        <f>"700065"</f>
        <v>700065</v>
      </c>
      <c r="H4477" t="str">
        <f>"אלתא מערכות בע""מ"</f>
        <v>אלתא מערכות בע"מ</v>
      </c>
      <c r="I4477" t="str">
        <f>"10"</f>
        <v>10</v>
      </c>
      <c r="J4477" t="str">
        <f>"OP-AR00552"</f>
        <v>OP-AR00552</v>
      </c>
      <c r="K4477" t="str">
        <f>"רתמה 1032H441-001"</f>
        <v>רתמה 1032H441-001</v>
      </c>
      <c r="L4477">
        <v>10</v>
      </c>
      <c r="M4477" t="str">
        <f>"יח"</f>
        <v>יח</v>
      </c>
      <c r="N4477">
        <v>10</v>
      </c>
      <c r="O4477" t="str">
        <f>"יח"</f>
        <v>יח</v>
      </c>
      <c r="P4477">
        <v>325</v>
      </c>
      <c r="Q4477" t="str">
        <f>"$"</f>
        <v>$</v>
      </c>
      <c r="R4477" t="str">
        <f>"הזמנה"</f>
        <v>הזמנה</v>
      </c>
      <c r="S4477">
        <v>0</v>
      </c>
      <c r="T4477" s="2">
        <v>3250</v>
      </c>
      <c r="U4477">
        <v>0</v>
      </c>
      <c r="V4477" s="2">
        <v>3250</v>
      </c>
      <c r="W4477" t="str">
        <f>"$"</f>
        <v>$</v>
      </c>
      <c r="X4477">
        <v>0</v>
      </c>
      <c r="Y4477">
        <v>0</v>
      </c>
      <c r="Z4477">
        <v>0</v>
      </c>
      <c r="AA4477" t="str">
        <f>"Y"</f>
        <v>Y</v>
      </c>
      <c r="AB4477" t="str">
        <f>"SO17000180"</f>
        <v>SO17000180</v>
      </c>
      <c r="AC4477">
        <v>1</v>
      </c>
      <c r="AD4477" s="1">
        <v>42799</v>
      </c>
      <c r="AE4477" t="str">
        <f>"SH17000707"</f>
        <v>SH17000707</v>
      </c>
      <c r="AF4477" t="str">
        <f>"משלוחים ללקוח"</f>
        <v>משלוחים ללקוח</v>
      </c>
      <c r="AG4477" s="1">
        <v>42816</v>
      </c>
      <c r="AM4477" t="str">
        <f>"10"</f>
        <v>10</v>
      </c>
      <c r="AN4477" t="str">
        <f>"500000"</f>
        <v>500000</v>
      </c>
      <c r="AO4477" t="str">
        <f>"הכנסות  מלקוחות"</f>
        <v>הכנסות  מלקוחות</v>
      </c>
      <c r="AQ4477" t="str">
        <f>"004"</f>
        <v>004</v>
      </c>
      <c r="AR4477">
        <v>0</v>
      </c>
      <c r="AS4477">
        <v>0</v>
      </c>
      <c r="AT4477">
        <v>3.645</v>
      </c>
      <c r="AX4477" t="str">
        <f>"E000233577"</f>
        <v>E000233577</v>
      </c>
      <c r="BD4477" t="str">
        <f>"איציק חדד"</f>
        <v>איציק חדד</v>
      </c>
    </row>
    <row r="4478" spans="1:56" x14ac:dyDescent="0.3">
      <c r="A4478" s="1">
        <v>42817</v>
      </c>
      <c r="B4478" t="str">
        <f>"SI176000390"</f>
        <v>SI176000390</v>
      </c>
      <c r="C4478" t="str">
        <f>"PR16001193"</f>
        <v>PR16001193</v>
      </c>
      <c r="E4478" t="str">
        <f>"Y"</f>
        <v>Y</v>
      </c>
      <c r="F4478" t="str">
        <f>"חשבוניות מרכזות"</f>
        <v>חשבוניות מרכזות</v>
      </c>
      <c r="G4478" t="str">
        <f>"700065"</f>
        <v>700065</v>
      </c>
      <c r="H4478" t="str">
        <f>"אלתא מערכות בע""מ"</f>
        <v>אלתא מערכות בע"מ</v>
      </c>
      <c r="I4478" t="str">
        <f>"10"</f>
        <v>10</v>
      </c>
      <c r="J4478" t="str">
        <f>"OP-AR00464"</f>
        <v>OP-AR00464</v>
      </c>
      <c r="K4478" t="str">
        <f>"רתמה REV;A 1036N631-001"</f>
        <v>רתמה REV;A 1036N631-001</v>
      </c>
      <c r="L4478">
        <v>3</v>
      </c>
      <c r="M4478" t="str">
        <f>"יח"</f>
        <v>יח</v>
      </c>
      <c r="N4478">
        <v>3</v>
      </c>
      <c r="O4478" t="str">
        <f>"יח"</f>
        <v>יח</v>
      </c>
      <c r="P4478">
        <v>910</v>
      </c>
      <c r="Q4478" t="str">
        <f>"$"</f>
        <v>$</v>
      </c>
      <c r="R4478" t="str">
        <f>"הזמנה"</f>
        <v>הזמנה</v>
      </c>
      <c r="S4478">
        <v>0</v>
      </c>
      <c r="T4478" s="2">
        <v>2730</v>
      </c>
      <c r="U4478">
        <v>0</v>
      </c>
      <c r="V4478" s="2">
        <v>2730</v>
      </c>
      <c r="W4478" t="str">
        <f>"$"</f>
        <v>$</v>
      </c>
      <c r="X4478">
        <v>0</v>
      </c>
      <c r="Y4478">
        <v>0</v>
      </c>
      <c r="Z4478">
        <v>0</v>
      </c>
      <c r="AA4478" t="str">
        <f>"Y"</f>
        <v>Y</v>
      </c>
      <c r="AB4478" t="str">
        <f>"SO160000918"</f>
        <v>SO160000918</v>
      </c>
      <c r="AC4478">
        <v>1</v>
      </c>
      <c r="AD4478" s="1">
        <v>42724</v>
      </c>
      <c r="AE4478" t="str">
        <f>"SH17000686"</f>
        <v>SH17000686</v>
      </c>
      <c r="AF4478" t="str">
        <f>"משלוחים ללקוח"</f>
        <v>משלוחים ללקוח</v>
      </c>
      <c r="AG4478" s="1">
        <v>42814</v>
      </c>
      <c r="AM4478" t="str">
        <f>"10"</f>
        <v>10</v>
      </c>
      <c r="AN4478" t="str">
        <f>"500000"</f>
        <v>500000</v>
      </c>
      <c r="AO4478" t="str">
        <f>"הכנסות  מלקוחות"</f>
        <v>הכנסות  מלקוחות</v>
      </c>
      <c r="AQ4478" t="str">
        <f>"017"</f>
        <v>017</v>
      </c>
      <c r="AR4478">
        <v>0</v>
      </c>
      <c r="AS4478">
        <v>0</v>
      </c>
      <c r="AT4478">
        <v>3.6560000000000001</v>
      </c>
      <c r="AX4478" t="str">
        <f>"E000229507"</f>
        <v>E000229507</v>
      </c>
      <c r="BD4478" t="str">
        <f>"שחר דאהמן"</f>
        <v>שחר דאהמן</v>
      </c>
    </row>
    <row r="4479" spans="1:56" x14ac:dyDescent="0.3">
      <c r="A4479" s="1">
        <v>42817</v>
      </c>
      <c r="B4479" t="str">
        <f>"SI176000377"</f>
        <v>SI176000377</v>
      </c>
      <c r="C4479" t="str">
        <f>"PR16000667"</f>
        <v>PR16000667</v>
      </c>
      <c r="E4479" t="str">
        <f>"Y"</f>
        <v>Y</v>
      </c>
      <c r="F4479" t="str">
        <f>"חשבוניות מרכזות"</f>
        <v>חשבוניות מרכזות</v>
      </c>
      <c r="G4479" t="str">
        <f>"700065"</f>
        <v>700065</v>
      </c>
      <c r="H4479" t="str">
        <f>"אלתא מערכות בע""מ"</f>
        <v>אלתא מערכות בע"מ</v>
      </c>
      <c r="I4479" t="str">
        <f>"10"</f>
        <v>10</v>
      </c>
      <c r="J4479" t="str">
        <f>"000"</f>
        <v>000</v>
      </c>
      <c r="K4479" t="str">
        <f>"תכנון והתקנת ארון EMP"</f>
        <v>תכנון והתקנת ארון EMP</v>
      </c>
      <c r="L4479">
        <v>-1</v>
      </c>
      <c r="M4479" t="str">
        <f>"יח"</f>
        <v>יח</v>
      </c>
      <c r="N4479">
        <v>-1</v>
      </c>
      <c r="O4479" t="str">
        <f>"יח"</f>
        <v>יח</v>
      </c>
      <c r="P4479" s="2">
        <v>39994</v>
      </c>
      <c r="Q4479" t="str">
        <f>"$"</f>
        <v>$</v>
      </c>
      <c r="R4479" t="str">
        <f>"הזמנה"</f>
        <v>הזמנה</v>
      </c>
      <c r="S4479">
        <v>0</v>
      </c>
      <c r="T4479" s="2">
        <v>-39994</v>
      </c>
      <c r="U4479">
        <v>0</v>
      </c>
      <c r="V4479" s="2">
        <v>-39994</v>
      </c>
      <c r="W4479" t="str">
        <f>"$"</f>
        <v>$</v>
      </c>
      <c r="X4479">
        <v>0</v>
      </c>
      <c r="Y4479">
        <v>0</v>
      </c>
      <c r="Z4479">
        <v>0</v>
      </c>
      <c r="AA4479" t="str">
        <f>"Y"</f>
        <v>Y</v>
      </c>
      <c r="AC4479">
        <v>0</v>
      </c>
      <c r="AM4479" t="str">
        <f>"10"</f>
        <v>10</v>
      </c>
      <c r="AN4479" t="str">
        <f>"500000"</f>
        <v>500000</v>
      </c>
      <c r="AO4479" t="str">
        <f>"הכנסות  מלקוחות"</f>
        <v>הכנסות  מלקוחות</v>
      </c>
      <c r="AQ4479" t="str">
        <f>"007"</f>
        <v>007</v>
      </c>
      <c r="AR4479">
        <v>0</v>
      </c>
      <c r="AS4479">
        <v>0</v>
      </c>
      <c r="AT4479">
        <v>3.7850000000000001</v>
      </c>
      <c r="BB4479" t="str">
        <f>"Y"</f>
        <v>Y</v>
      </c>
      <c r="BD4479" t="str">
        <f>"רוני דידי"</f>
        <v>רוני דידי</v>
      </c>
    </row>
    <row r="4480" spans="1:56" x14ac:dyDescent="0.3">
      <c r="A4480" s="1">
        <v>42801</v>
      </c>
      <c r="B4480" t="str">
        <f>"SI176000340"</f>
        <v>SI176000340</v>
      </c>
      <c r="C4480" t="str">
        <f>"PR16001193"</f>
        <v>PR16001193</v>
      </c>
      <c r="E4480" t="str">
        <f>"Y"</f>
        <v>Y</v>
      </c>
      <c r="F4480" t="str">
        <f>"חשבוניות מרכזות"</f>
        <v>חשבוניות מרכזות</v>
      </c>
      <c r="G4480" t="str">
        <f>"700065"</f>
        <v>700065</v>
      </c>
      <c r="H4480" t="str">
        <f>"אלתא מערכות בע""מ"</f>
        <v>אלתא מערכות בע"מ</v>
      </c>
      <c r="I4480" t="str">
        <f>"10"</f>
        <v>10</v>
      </c>
      <c r="J4480" t="str">
        <f>"OP-AR00464"</f>
        <v>OP-AR00464</v>
      </c>
      <c r="K4480" t="str">
        <f>"רתמה REV;A 1036N631-001"</f>
        <v>רתמה REV;A 1036N631-001</v>
      </c>
      <c r="L4480">
        <v>8</v>
      </c>
      <c r="M4480" t="str">
        <f>"יח"</f>
        <v>יח</v>
      </c>
      <c r="N4480">
        <v>8</v>
      </c>
      <c r="O4480" t="str">
        <f>"יח"</f>
        <v>יח</v>
      </c>
      <c r="P4480">
        <v>910</v>
      </c>
      <c r="Q4480" t="str">
        <f>"$"</f>
        <v>$</v>
      </c>
      <c r="R4480" t="str">
        <f>"הזמנה"</f>
        <v>הזמנה</v>
      </c>
      <c r="S4480">
        <v>0</v>
      </c>
      <c r="T4480" s="2">
        <v>7280</v>
      </c>
      <c r="U4480">
        <v>0</v>
      </c>
      <c r="V4480" s="2">
        <v>7280</v>
      </c>
      <c r="W4480" t="str">
        <f>"$"</f>
        <v>$</v>
      </c>
      <c r="X4480">
        <v>0</v>
      </c>
      <c r="Y4480">
        <v>0</v>
      </c>
      <c r="Z4480">
        <v>0</v>
      </c>
      <c r="AA4480" t="str">
        <f>"Y"</f>
        <v>Y</v>
      </c>
      <c r="AB4480" t="str">
        <f>"SO160000918"</f>
        <v>SO160000918</v>
      </c>
      <c r="AC4480">
        <v>1</v>
      </c>
      <c r="AD4480" s="1">
        <v>42724</v>
      </c>
      <c r="AE4480" t="str">
        <f>"SH17000578"</f>
        <v>SH17000578</v>
      </c>
      <c r="AF4480" t="str">
        <f>"משלוחים ללקוח"</f>
        <v>משלוחים ללקוח</v>
      </c>
      <c r="AG4480" s="1">
        <v>42799</v>
      </c>
      <c r="AM4480" t="str">
        <f>"10"</f>
        <v>10</v>
      </c>
      <c r="AN4480" t="str">
        <f>"500000"</f>
        <v>500000</v>
      </c>
      <c r="AO4480" t="str">
        <f>"הכנסות  מלקוחות"</f>
        <v>הכנסות  מלקוחות</v>
      </c>
      <c r="AQ4480" t="str">
        <f>"017"</f>
        <v>017</v>
      </c>
      <c r="AR4480">
        <v>0</v>
      </c>
      <c r="AS4480">
        <v>0</v>
      </c>
      <c r="AT4480">
        <v>3.6789999999999998</v>
      </c>
      <c r="AX4480" t="str">
        <f>"E000229507"</f>
        <v>E000229507</v>
      </c>
      <c r="BD4480" t="str">
        <f>"שחר דאהמן"</f>
        <v>שחר דאהמן</v>
      </c>
    </row>
    <row r="4481" spans="1:56" x14ac:dyDescent="0.3">
      <c r="A4481" s="1">
        <v>42800</v>
      </c>
      <c r="B4481" t="str">
        <f>"SI176000341"</f>
        <v>SI176000341</v>
      </c>
      <c r="C4481" t="str">
        <f>"PR17001433"</f>
        <v>PR17001433</v>
      </c>
      <c r="D4481" t="str">
        <f>"PR17001433"</f>
        <v>PR17001433</v>
      </c>
      <c r="E4481" t="str">
        <f>"Y"</f>
        <v>Y</v>
      </c>
      <c r="F4481" t="str">
        <f>"חשבוניות מרכזות"</f>
        <v>חשבוניות מרכזות</v>
      </c>
      <c r="G4481" t="str">
        <f>"700065"</f>
        <v>700065</v>
      </c>
      <c r="H4481" t="str">
        <f>"אלתא מערכות בע""מ"</f>
        <v>אלתא מערכות בע"מ</v>
      </c>
      <c r="I4481" t="str">
        <f>"10"</f>
        <v>10</v>
      </c>
      <c r="J4481" t="str">
        <f>"000"</f>
        <v>000</v>
      </c>
      <c r="K4481" t="str">
        <f>"שדרוג לוח טל שמיים"</f>
        <v>שדרוג לוח טל שמיים</v>
      </c>
      <c r="L4481">
        <v>1</v>
      </c>
      <c r="M4481" t="str">
        <f>"יח"</f>
        <v>יח</v>
      </c>
      <c r="N4481">
        <v>1</v>
      </c>
      <c r="O4481" t="str">
        <f>"יח"</f>
        <v>יח</v>
      </c>
      <c r="P4481" s="2">
        <v>3150</v>
      </c>
      <c r="Q4481" t="str">
        <f>"$"</f>
        <v>$</v>
      </c>
      <c r="R4481" t="str">
        <f>"הזמנה"</f>
        <v>הזמנה</v>
      </c>
      <c r="S4481">
        <v>0</v>
      </c>
      <c r="T4481" s="2">
        <v>3150</v>
      </c>
      <c r="U4481">
        <v>0</v>
      </c>
      <c r="V4481" s="2">
        <v>3150</v>
      </c>
      <c r="W4481" t="str">
        <f>"$"</f>
        <v>$</v>
      </c>
      <c r="X4481">
        <v>0</v>
      </c>
      <c r="Y4481">
        <v>0</v>
      </c>
      <c r="Z4481">
        <v>0</v>
      </c>
      <c r="AA4481" t="str">
        <f>"Y"</f>
        <v>Y</v>
      </c>
      <c r="AB4481" t="str">
        <f>"SO17000084"</f>
        <v>SO17000084</v>
      </c>
      <c r="AC4481">
        <v>1</v>
      </c>
      <c r="AD4481" s="1">
        <v>42775</v>
      </c>
      <c r="AM4481" t="str">
        <f>"10"</f>
        <v>10</v>
      </c>
      <c r="AN4481" t="str">
        <f>"500000"</f>
        <v>500000</v>
      </c>
      <c r="AO4481" t="str">
        <f>"הכנסות  מלקוחות"</f>
        <v>הכנסות  מלקוחות</v>
      </c>
      <c r="AQ4481" t="str">
        <f>"007"</f>
        <v>007</v>
      </c>
      <c r="AR4481">
        <v>0</v>
      </c>
      <c r="AS4481">
        <v>0</v>
      </c>
      <c r="AT4481">
        <v>3.6789999999999998</v>
      </c>
      <c r="AX4481" t="str">
        <f>"E000230539"</f>
        <v>E000230539</v>
      </c>
      <c r="BD4481" t="str">
        <f>"רוני דידי"</f>
        <v>רוני דידי</v>
      </c>
    </row>
    <row r="4482" spans="1:56" x14ac:dyDescent="0.3">
      <c r="A4482" s="1">
        <v>42794</v>
      </c>
      <c r="B4482" t="str">
        <f>"SI176000343"</f>
        <v>SI176000343</v>
      </c>
      <c r="C4482" t="str">
        <f>"PR16000443"</f>
        <v>PR16000443</v>
      </c>
      <c r="D4482" t="str">
        <f>"PR16000443"</f>
        <v>PR16000443</v>
      </c>
      <c r="E4482" t="str">
        <f>"Y"</f>
        <v>Y</v>
      </c>
      <c r="F4482" t="str">
        <f>"חשבוניות מרכזות"</f>
        <v>חשבוניות מרכזות</v>
      </c>
      <c r="G4482" t="str">
        <f>"700065"</f>
        <v>700065</v>
      </c>
      <c r="H4482" t="str">
        <f>"אלתא מערכות בע""מ"</f>
        <v>אלתא מערכות בע"מ</v>
      </c>
      <c r="I4482" t="str">
        <f>"10"</f>
        <v>10</v>
      </c>
      <c r="J4482" t="str">
        <f>"OP-AR00311"</f>
        <v>OP-AR00311</v>
      </c>
      <c r="K4482" t="str">
        <f>"מערכת כיבוי למכם 2 במבנה קוביה"</f>
        <v>מערכת כיבוי למכם 2 במבנה קוביה</v>
      </c>
      <c r="L4482">
        <v>1</v>
      </c>
      <c r="M4482" t="str">
        <f>"יח"</f>
        <v>יח</v>
      </c>
      <c r="N4482">
        <v>1</v>
      </c>
      <c r="O4482" t="str">
        <f>"יח"</f>
        <v>יח</v>
      </c>
      <c r="P4482" s="2">
        <v>8800</v>
      </c>
      <c r="Q4482" t="str">
        <f>"$"</f>
        <v>$</v>
      </c>
      <c r="R4482" t="str">
        <f>"הזמנה"</f>
        <v>הזמנה</v>
      </c>
      <c r="S4482">
        <v>0</v>
      </c>
      <c r="T4482" s="2">
        <v>8800</v>
      </c>
      <c r="U4482">
        <v>0</v>
      </c>
      <c r="V4482" s="2">
        <v>8800</v>
      </c>
      <c r="W4482" t="str">
        <f>"$"</f>
        <v>$</v>
      </c>
      <c r="X4482">
        <v>0</v>
      </c>
      <c r="Y4482">
        <v>0</v>
      </c>
      <c r="Z4482">
        <v>0</v>
      </c>
      <c r="AA4482" t="str">
        <f>"Y"</f>
        <v>Y</v>
      </c>
      <c r="AB4482" t="str">
        <f>"SO160000304"</f>
        <v>SO160000304</v>
      </c>
      <c r="AC4482">
        <v>1</v>
      </c>
      <c r="AD4482" s="1">
        <v>42492</v>
      </c>
      <c r="AE4482" t="str">
        <f>"SH17000245"</f>
        <v>SH17000245</v>
      </c>
      <c r="AF4482" t="str">
        <f>"משלוחים ללקוח"</f>
        <v>משלוחים ללקוח</v>
      </c>
      <c r="AG4482" s="1">
        <v>42760</v>
      </c>
      <c r="AM4482" t="str">
        <f>"10"</f>
        <v>10</v>
      </c>
      <c r="AN4482" t="str">
        <f>"500000"</f>
        <v>500000</v>
      </c>
      <c r="AO4482" t="str">
        <f>"הכנסות  מלקוחות"</f>
        <v>הכנסות  מלקוחות</v>
      </c>
      <c r="AQ4482" t="str">
        <f>"007"</f>
        <v>007</v>
      </c>
      <c r="AR4482">
        <v>0</v>
      </c>
      <c r="AS4482">
        <v>0</v>
      </c>
      <c r="AT4482">
        <v>3.6589999999999998</v>
      </c>
      <c r="AX4482" t="str">
        <f>"E000216910"</f>
        <v>E000216910</v>
      </c>
      <c r="BD4482" t="str">
        <f>"רוני דידי"</f>
        <v>רוני דידי</v>
      </c>
    </row>
    <row r="4483" spans="1:56" x14ac:dyDescent="0.3">
      <c r="A4483" s="1">
        <v>42794</v>
      </c>
      <c r="B4483" t="str">
        <f>"SI176000314"</f>
        <v>SI176000314</v>
      </c>
      <c r="C4483" t="str">
        <f>"PR15003235"</f>
        <v>PR15003235</v>
      </c>
      <c r="E4483" t="str">
        <f>"Y"</f>
        <v>Y</v>
      </c>
      <c r="F4483" t="str">
        <f>"חשבוניות מרכזות"</f>
        <v>חשבוניות מרכזות</v>
      </c>
      <c r="G4483" t="str">
        <f>"700065"</f>
        <v>700065</v>
      </c>
      <c r="H4483" t="str">
        <f>"אלתא מערכות בע""מ"</f>
        <v>אלתא מערכות בע"מ</v>
      </c>
      <c r="I4483" t="str">
        <f>"10"</f>
        <v>10</v>
      </c>
      <c r="J4483" t="str">
        <f>"OP-AR09107-2"</f>
        <v>OP-AR09107-2</v>
      </c>
      <c r="K4483" t="str">
        <f>"לוח AUX BOX מק""ט לקוח 1026L320-002"</f>
        <v>לוח AUX BOX מק"ט לקוח 1026L320-002</v>
      </c>
      <c r="L4483">
        <v>1</v>
      </c>
      <c r="M4483" t="str">
        <f>"יח"</f>
        <v>יח</v>
      </c>
      <c r="N4483">
        <v>1</v>
      </c>
      <c r="O4483" t="str">
        <f>"יח"</f>
        <v>יח</v>
      </c>
      <c r="P4483" s="2">
        <v>11263.95</v>
      </c>
      <c r="Q4483" t="str">
        <f>"$"</f>
        <v>$</v>
      </c>
      <c r="R4483" t="str">
        <f>"הזמנה"</f>
        <v>הזמנה</v>
      </c>
      <c r="S4483">
        <v>0</v>
      </c>
      <c r="T4483" s="2">
        <v>11263.95</v>
      </c>
      <c r="U4483">
        <v>0</v>
      </c>
      <c r="V4483" s="2">
        <v>11263.95</v>
      </c>
      <c r="W4483" t="str">
        <f>"$"</f>
        <v>$</v>
      </c>
      <c r="X4483">
        <v>0</v>
      </c>
      <c r="Y4483">
        <v>0</v>
      </c>
      <c r="Z4483">
        <v>0</v>
      </c>
      <c r="AA4483" t="str">
        <f>"Y"</f>
        <v>Y</v>
      </c>
      <c r="AB4483" t="str">
        <f>"SO150003697"</f>
        <v>SO150003697</v>
      </c>
      <c r="AC4483">
        <v>9</v>
      </c>
      <c r="AD4483" s="1">
        <v>42283</v>
      </c>
      <c r="AE4483" t="str">
        <f>"SH17000538"</f>
        <v>SH17000538</v>
      </c>
      <c r="AF4483" t="str">
        <f>"משלוחים ללקוח"</f>
        <v>משלוחים ללקוח</v>
      </c>
      <c r="AG4483" s="1">
        <v>42793</v>
      </c>
      <c r="AM4483" t="str">
        <f>"10"</f>
        <v>10</v>
      </c>
      <c r="AN4483" t="str">
        <f>"500000"</f>
        <v>500000</v>
      </c>
      <c r="AO4483" t="str">
        <f>"הכנסות  מלקוחות"</f>
        <v>הכנסות  מלקוחות</v>
      </c>
      <c r="AQ4483" t="str">
        <f>"007"</f>
        <v>007</v>
      </c>
      <c r="AR4483">
        <v>0</v>
      </c>
      <c r="AS4483">
        <v>0</v>
      </c>
      <c r="AT4483">
        <v>3.6589999999999998</v>
      </c>
      <c r="AX4483" t="str">
        <f>"E000200592"</f>
        <v>E000200592</v>
      </c>
      <c r="BD4483" t="str">
        <f>"רוני דידי"</f>
        <v>רוני דידי</v>
      </c>
    </row>
    <row r="4484" spans="1:56" x14ac:dyDescent="0.3">
      <c r="A4484" s="1">
        <v>42794</v>
      </c>
      <c r="B4484" t="str">
        <f>"SI176000314"</f>
        <v>SI176000314</v>
      </c>
      <c r="C4484" t="str">
        <f>"PR15003235"</f>
        <v>PR15003235</v>
      </c>
      <c r="E4484" t="str">
        <f>"Y"</f>
        <v>Y</v>
      </c>
      <c r="F4484" t="str">
        <f>"חשבוניות מרכזות"</f>
        <v>חשבוניות מרכזות</v>
      </c>
      <c r="G4484" t="str">
        <f>"700065"</f>
        <v>700065</v>
      </c>
      <c r="H4484" t="str">
        <f>"אלתא מערכות בע""מ"</f>
        <v>אלתא מערכות בע"מ</v>
      </c>
      <c r="I4484" t="str">
        <f>"10"</f>
        <v>10</v>
      </c>
      <c r="J4484" t="str">
        <f>"OP-AR09107-2"</f>
        <v>OP-AR09107-2</v>
      </c>
      <c r="K4484" t="str">
        <f>"לוח AUX BOX מק""ט לקוח 1026L320-002"</f>
        <v>לוח AUX BOX מק"ט לקוח 1026L320-002</v>
      </c>
      <c r="L4484">
        <v>1</v>
      </c>
      <c r="M4484" t="str">
        <f>"יח"</f>
        <v>יח</v>
      </c>
      <c r="N4484">
        <v>1</v>
      </c>
      <c r="O4484" t="str">
        <f>"יח"</f>
        <v>יח</v>
      </c>
      <c r="P4484" s="2">
        <v>11263.95</v>
      </c>
      <c r="Q4484" t="str">
        <f>"$"</f>
        <v>$</v>
      </c>
      <c r="R4484" t="str">
        <f>"הזמנה"</f>
        <v>הזמנה</v>
      </c>
      <c r="S4484">
        <v>0</v>
      </c>
      <c r="T4484" s="2">
        <v>11263.95</v>
      </c>
      <c r="U4484">
        <v>0</v>
      </c>
      <c r="V4484" s="2">
        <v>11263.95</v>
      </c>
      <c r="W4484" t="str">
        <f>"$"</f>
        <v>$</v>
      </c>
      <c r="X4484">
        <v>0</v>
      </c>
      <c r="Y4484">
        <v>0</v>
      </c>
      <c r="Z4484">
        <v>0</v>
      </c>
      <c r="AA4484" t="str">
        <f>"Y"</f>
        <v>Y</v>
      </c>
      <c r="AB4484" t="str">
        <f>"SO150003697"</f>
        <v>SO150003697</v>
      </c>
      <c r="AC4484">
        <v>10</v>
      </c>
      <c r="AD4484" s="1">
        <v>42283</v>
      </c>
      <c r="AE4484" t="str">
        <f>"SH17000538"</f>
        <v>SH17000538</v>
      </c>
      <c r="AF4484" t="str">
        <f>"משלוחים ללקוח"</f>
        <v>משלוחים ללקוח</v>
      </c>
      <c r="AG4484" s="1">
        <v>42793</v>
      </c>
      <c r="AM4484" t="str">
        <f>"10"</f>
        <v>10</v>
      </c>
      <c r="AN4484" t="str">
        <f>"500000"</f>
        <v>500000</v>
      </c>
      <c r="AO4484" t="str">
        <f>"הכנסות  מלקוחות"</f>
        <v>הכנסות  מלקוחות</v>
      </c>
      <c r="AQ4484" t="str">
        <f>"007"</f>
        <v>007</v>
      </c>
      <c r="AR4484">
        <v>0</v>
      </c>
      <c r="AS4484">
        <v>0</v>
      </c>
      <c r="AT4484">
        <v>3.6589999999999998</v>
      </c>
      <c r="AX4484" t="str">
        <f>"E000200592"</f>
        <v>E000200592</v>
      </c>
      <c r="BD4484" t="str">
        <f>"רוני דידי"</f>
        <v>רוני דידי</v>
      </c>
    </row>
    <row r="4485" spans="1:56" x14ac:dyDescent="0.3">
      <c r="A4485" s="1">
        <v>42794</v>
      </c>
      <c r="B4485" t="str">
        <f>"SI176000314"</f>
        <v>SI176000314</v>
      </c>
      <c r="C4485" t="str">
        <f>"PR15003235"</f>
        <v>PR15003235</v>
      </c>
      <c r="E4485" t="str">
        <f>"Y"</f>
        <v>Y</v>
      </c>
      <c r="F4485" t="str">
        <f>"חשבוניות מרכזות"</f>
        <v>חשבוניות מרכזות</v>
      </c>
      <c r="G4485" t="str">
        <f>"700065"</f>
        <v>700065</v>
      </c>
      <c r="H4485" t="str">
        <f>"אלתא מערכות בע""מ"</f>
        <v>אלתא מערכות בע"מ</v>
      </c>
      <c r="I4485" t="str">
        <f>"10"</f>
        <v>10</v>
      </c>
      <c r="J4485" t="str">
        <f>"OP-AR09107-2"</f>
        <v>OP-AR09107-2</v>
      </c>
      <c r="K4485" t="str">
        <f>"לוח AUX BOX מק""ט לקוח 1026L320-002"</f>
        <v>לוח AUX BOX מק"ט לקוח 1026L320-002</v>
      </c>
      <c r="L4485">
        <v>1</v>
      </c>
      <c r="M4485" t="str">
        <f>"יח"</f>
        <v>יח</v>
      </c>
      <c r="N4485">
        <v>1</v>
      </c>
      <c r="O4485" t="str">
        <f>"יח"</f>
        <v>יח</v>
      </c>
      <c r="P4485" s="2">
        <v>11263.95</v>
      </c>
      <c r="Q4485" t="str">
        <f>"$"</f>
        <v>$</v>
      </c>
      <c r="R4485" t="str">
        <f>"הזמנה"</f>
        <v>הזמנה</v>
      </c>
      <c r="S4485">
        <v>0</v>
      </c>
      <c r="T4485" s="2">
        <v>11263.95</v>
      </c>
      <c r="U4485">
        <v>0</v>
      </c>
      <c r="V4485" s="2">
        <v>11263.95</v>
      </c>
      <c r="W4485" t="str">
        <f>"$"</f>
        <v>$</v>
      </c>
      <c r="X4485">
        <v>0</v>
      </c>
      <c r="Y4485">
        <v>0</v>
      </c>
      <c r="Z4485">
        <v>0</v>
      </c>
      <c r="AA4485" t="str">
        <f>"Y"</f>
        <v>Y</v>
      </c>
      <c r="AB4485" t="str">
        <f>"SO150003697"</f>
        <v>SO150003697</v>
      </c>
      <c r="AC4485">
        <v>11</v>
      </c>
      <c r="AD4485" s="1">
        <v>42283</v>
      </c>
      <c r="AE4485" t="str">
        <f>"SH17000538"</f>
        <v>SH17000538</v>
      </c>
      <c r="AF4485" t="str">
        <f>"משלוחים ללקוח"</f>
        <v>משלוחים ללקוח</v>
      </c>
      <c r="AG4485" s="1">
        <v>42793</v>
      </c>
      <c r="AM4485" t="str">
        <f>"10"</f>
        <v>10</v>
      </c>
      <c r="AN4485" t="str">
        <f>"500000"</f>
        <v>500000</v>
      </c>
      <c r="AO4485" t="str">
        <f>"הכנסות  מלקוחות"</f>
        <v>הכנסות  מלקוחות</v>
      </c>
      <c r="AQ4485" t="str">
        <f>"007"</f>
        <v>007</v>
      </c>
      <c r="AR4485">
        <v>0</v>
      </c>
      <c r="AS4485">
        <v>0</v>
      </c>
      <c r="AT4485">
        <v>3.6589999999999998</v>
      </c>
      <c r="AX4485" t="str">
        <f>"E000200592"</f>
        <v>E000200592</v>
      </c>
      <c r="BD4485" t="str">
        <f>"רוני דידי"</f>
        <v>רוני דידי</v>
      </c>
    </row>
    <row r="4486" spans="1:56" x14ac:dyDescent="0.3">
      <c r="A4486" s="1">
        <v>42793</v>
      </c>
      <c r="B4486" t="str">
        <f>"SI176000305"</f>
        <v>SI176000305</v>
      </c>
      <c r="C4486" t="str">
        <f>"PR14001687"</f>
        <v>PR14001687</v>
      </c>
      <c r="D4486" t="str">
        <f>"PR14001687"</f>
        <v>PR14001687</v>
      </c>
      <c r="E4486" t="str">
        <f>"Y"</f>
        <v>Y</v>
      </c>
      <c r="F4486" t="str">
        <f>"חשבוניות מרכזות"</f>
        <v>חשבוניות מרכזות</v>
      </c>
      <c r="G4486" t="str">
        <f>"700065"</f>
        <v>700065</v>
      </c>
      <c r="H4486" t="str">
        <f>"אלתא מערכות בע""מ"</f>
        <v>אלתא מערכות בע"מ</v>
      </c>
      <c r="I4486" t="str">
        <f>"10"</f>
        <v>10</v>
      </c>
      <c r="J4486" t="str">
        <f>"999"</f>
        <v>999</v>
      </c>
      <c r="K4486" t="str">
        <f>"עלויות פיתוח + אימות פיתוח ואנליזה תרמית"</f>
        <v>עלויות פיתוח + אימות פיתוח ואנליזה תרמית</v>
      </c>
      <c r="L4486">
        <v>1</v>
      </c>
      <c r="M4486" t="str">
        <f>"חל"</f>
        <v>חל</v>
      </c>
      <c r="N4486">
        <v>1</v>
      </c>
      <c r="O4486" t="str">
        <f>"חל"</f>
        <v>חל</v>
      </c>
      <c r="P4486" s="2">
        <v>10467.85</v>
      </c>
      <c r="Q4486" t="str">
        <f>"$"</f>
        <v>$</v>
      </c>
      <c r="R4486" t="str">
        <f>"הזמנה"</f>
        <v>הזמנה</v>
      </c>
      <c r="S4486">
        <v>0</v>
      </c>
      <c r="T4486" s="2">
        <v>10467.85</v>
      </c>
      <c r="U4486">
        <v>0</v>
      </c>
      <c r="V4486" s="2">
        <v>10467.85</v>
      </c>
      <c r="W4486" t="str">
        <f>"$"</f>
        <v>$</v>
      </c>
      <c r="X4486">
        <v>0</v>
      </c>
      <c r="Y4486">
        <v>0</v>
      </c>
      <c r="Z4486">
        <v>0</v>
      </c>
      <c r="AA4486" t="str">
        <f>"Y"</f>
        <v>Y</v>
      </c>
      <c r="AB4486" t="str">
        <f>"SO140002001"</f>
        <v>SO140002001</v>
      </c>
      <c r="AC4486">
        <v>7</v>
      </c>
      <c r="AD4486" s="1">
        <v>41786</v>
      </c>
      <c r="AM4486" t="str">
        <f>"10"</f>
        <v>10</v>
      </c>
      <c r="AN4486" t="str">
        <f>"500000"</f>
        <v>500000</v>
      </c>
      <c r="AO4486" t="str">
        <f>"הכנסות  מלקוחות"</f>
        <v>הכנסות  מלקוחות</v>
      </c>
      <c r="AQ4486" t="str">
        <f>"007"</f>
        <v>007</v>
      </c>
      <c r="AR4486">
        <v>0</v>
      </c>
      <c r="AS4486">
        <v>0</v>
      </c>
      <c r="AT4486">
        <v>3.6789999999999998</v>
      </c>
      <c r="AX4486" t="str">
        <f>"E000174899"</f>
        <v>E000174899</v>
      </c>
      <c r="BD4486" t="str">
        <f>"רוני דידי"</f>
        <v>רוני דידי</v>
      </c>
    </row>
    <row r="4487" spans="1:56" x14ac:dyDescent="0.3">
      <c r="A4487" s="1">
        <v>42793</v>
      </c>
      <c r="B4487" t="str">
        <f>"SI176000303"</f>
        <v>SI176000303</v>
      </c>
      <c r="C4487" t="str">
        <f>"PR16001241"</f>
        <v>PR16001241</v>
      </c>
      <c r="E4487" t="str">
        <f>"Y"</f>
        <v>Y</v>
      </c>
      <c r="F4487" t="str">
        <f>"חשבוניות מרכזות"</f>
        <v>חשבוניות מרכזות</v>
      </c>
      <c r="G4487" t="str">
        <f>"700065"</f>
        <v>700065</v>
      </c>
      <c r="H4487" t="str">
        <f>"אלתא מערכות בע""מ"</f>
        <v>אלתא מערכות בע"מ</v>
      </c>
      <c r="I4487" t="str">
        <f>"10"</f>
        <v>10</v>
      </c>
      <c r="J4487" t="str">
        <f>"OP-AR00469"</f>
        <v>OP-AR00469</v>
      </c>
      <c r="K4487" t="str">
        <f>"רתמה 2021E630-001"</f>
        <v>רתמה 2021E630-001</v>
      </c>
      <c r="L4487">
        <v>2</v>
      </c>
      <c r="M4487" t="str">
        <f>"יח"</f>
        <v>יח</v>
      </c>
      <c r="N4487">
        <v>2</v>
      </c>
      <c r="O4487" t="str">
        <f>"יח"</f>
        <v>יח</v>
      </c>
      <c r="P4487">
        <v>100</v>
      </c>
      <c r="Q4487" t="str">
        <f>"$"</f>
        <v>$</v>
      </c>
      <c r="R4487" t="str">
        <f>"הזמנה"</f>
        <v>הזמנה</v>
      </c>
      <c r="S4487">
        <v>0</v>
      </c>
      <c r="T4487">
        <v>200</v>
      </c>
      <c r="U4487">
        <v>0</v>
      </c>
      <c r="V4487">
        <v>200</v>
      </c>
      <c r="W4487" t="str">
        <f>"$"</f>
        <v>$</v>
      </c>
      <c r="X4487">
        <v>0</v>
      </c>
      <c r="Y4487">
        <v>0</v>
      </c>
      <c r="Z4487">
        <v>0</v>
      </c>
      <c r="AA4487" t="str">
        <f>"Y"</f>
        <v>Y</v>
      </c>
      <c r="AB4487" t="str">
        <f>"SO160000942"</f>
        <v>SO160000942</v>
      </c>
      <c r="AC4487">
        <v>1</v>
      </c>
      <c r="AD4487" s="1">
        <v>42729</v>
      </c>
      <c r="AE4487" t="str">
        <f>"SH17000521"</f>
        <v>SH17000521</v>
      </c>
      <c r="AF4487" t="str">
        <f>"משלוחים ללקוח"</f>
        <v>משלוחים ללקוח</v>
      </c>
      <c r="AG4487" s="1">
        <v>42792</v>
      </c>
      <c r="AM4487" t="str">
        <f>"10"</f>
        <v>10</v>
      </c>
      <c r="AN4487" t="str">
        <f>"500000"</f>
        <v>500000</v>
      </c>
      <c r="AO4487" t="str">
        <f>"הכנסות  מלקוחות"</f>
        <v>הכנסות  מלקוחות</v>
      </c>
      <c r="AQ4487" t="str">
        <f>"017"</f>
        <v>017</v>
      </c>
      <c r="AR4487">
        <v>0</v>
      </c>
      <c r="AS4487">
        <v>0</v>
      </c>
      <c r="AT4487">
        <v>3.6789999999999998</v>
      </c>
      <c r="AX4487" t="str">
        <f>"E000230064"</f>
        <v>E000230064</v>
      </c>
      <c r="BD4487" t="str">
        <f>"שחר דאהמן"</f>
        <v>שחר דאהמן</v>
      </c>
    </row>
    <row r="4488" spans="1:56" x14ac:dyDescent="0.3">
      <c r="A4488" s="1">
        <v>42793</v>
      </c>
      <c r="B4488" t="str">
        <f>"SI176000302"</f>
        <v>SI176000302</v>
      </c>
      <c r="E4488" t="str">
        <f>"Y"</f>
        <v>Y</v>
      </c>
      <c r="F4488" t="str">
        <f>"חשבוניות מרכזות"</f>
        <v>חשבוניות מרכזות</v>
      </c>
      <c r="G4488" t="str">
        <f>"700065"</f>
        <v>700065</v>
      </c>
      <c r="H4488" t="str">
        <f>"אלתא מערכות בע""מ"</f>
        <v>אלתא מערכות בע"מ</v>
      </c>
      <c r="I4488" t="str">
        <f>"10"</f>
        <v>10</v>
      </c>
      <c r="J4488" t="str">
        <f>"OP-AR00464"</f>
        <v>OP-AR00464</v>
      </c>
      <c r="K4488" t="str">
        <f>"רתמה REV;A 1036N631-001"</f>
        <v>רתמה REV;A 1036N631-001</v>
      </c>
      <c r="L4488">
        <v>4</v>
      </c>
      <c r="M4488" t="str">
        <f>"יח"</f>
        <v>יח</v>
      </c>
      <c r="N4488">
        <v>4</v>
      </c>
      <c r="O4488" t="str">
        <f>"יח"</f>
        <v>יח</v>
      </c>
      <c r="P4488">
        <v>910</v>
      </c>
      <c r="Q4488" t="str">
        <f>"$"</f>
        <v>$</v>
      </c>
      <c r="R4488" t="str">
        <f>"הזמנה"</f>
        <v>הזמנה</v>
      </c>
      <c r="S4488">
        <v>0</v>
      </c>
      <c r="T4488" s="2">
        <v>3640</v>
      </c>
      <c r="U4488">
        <v>0</v>
      </c>
      <c r="V4488" s="2">
        <v>3640</v>
      </c>
      <c r="W4488" t="str">
        <f>"$"</f>
        <v>$</v>
      </c>
      <c r="X4488">
        <v>0</v>
      </c>
      <c r="Y4488">
        <v>0</v>
      </c>
      <c r="Z4488">
        <v>0</v>
      </c>
      <c r="AA4488" t="str">
        <f>"Y"</f>
        <v>Y</v>
      </c>
      <c r="AB4488" t="str">
        <f>"SO160000918"</f>
        <v>SO160000918</v>
      </c>
      <c r="AC4488">
        <v>1</v>
      </c>
      <c r="AD4488" s="1">
        <v>42724</v>
      </c>
      <c r="AE4488" t="str">
        <f>"SH17000522"</f>
        <v>SH17000522</v>
      </c>
      <c r="AF4488" t="str">
        <f>"משלוחים ללקוח"</f>
        <v>משלוחים ללקוח</v>
      </c>
      <c r="AG4488" s="1">
        <v>42792</v>
      </c>
      <c r="AM4488" t="str">
        <f>"10"</f>
        <v>10</v>
      </c>
      <c r="AN4488" t="str">
        <f>"500000"</f>
        <v>500000</v>
      </c>
      <c r="AO4488" t="str">
        <f>"הכנסות  מלקוחות"</f>
        <v>הכנסות  מלקוחות</v>
      </c>
      <c r="AQ4488" t="str">
        <f>"017"</f>
        <v>017</v>
      </c>
      <c r="AR4488">
        <v>0</v>
      </c>
      <c r="AS4488">
        <v>0</v>
      </c>
      <c r="AT4488">
        <v>3.6789999999999998</v>
      </c>
      <c r="AX4488" t="str">
        <f>"E000229507"</f>
        <v>E000229507</v>
      </c>
      <c r="BD4488" t="str">
        <f>"שחר דאהמן"</f>
        <v>שחר דאהמן</v>
      </c>
    </row>
    <row r="4489" spans="1:56" x14ac:dyDescent="0.3">
      <c r="A4489" s="1">
        <v>42793</v>
      </c>
      <c r="B4489" t="str">
        <f>"SI176000302"</f>
        <v>SI176000302</v>
      </c>
      <c r="E4489" t="str">
        <f>"Y"</f>
        <v>Y</v>
      </c>
      <c r="F4489" t="str">
        <f>"חשבוניות מרכזות"</f>
        <v>חשבוניות מרכזות</v>
      </c>
      <c r="G4489" t="str">
        <f>"700065"</f>
        <v>700065</v>
      </c>
      <c r="H4489" t="str">
        <f>"אלתא מערכות בע""מ"</f>
        <v>אלתא מערכות בע"מ</v>
      </c>
      <c r="I4489" t="str">
        <f>"10"</f>
        <v>10</v>
      </c>
      <c r="J4489" t="str">
        <f>"OP-AR00465"</f>
        <v>OP-AR00465</v>
      </c>
      <c r="K4489" t="str">
        <f>"רתמה REV;B 1036N632-001"</f>
        <v>רתמה REV;B 1036N632-001</v>
      </c>
      <c r="L4489">
        <v>4</v>
      </c>
      <c r="M4489" t="str">
        <f>"יח"</f>
        <v>יח</v>
      </c>
      <c r="N4489">
        <v>4</v>
      </c>
      <c r="O4489" t="str">
        <f>"יח"</f>
        <v>יח</v>
      </c>
      <c r="P4489" s="2">
        <v>1087</v>
      </c>
      <c r="Q4489" t="str">
        <f>"$"</f>
        <v>$</v>
      </c>
      <c r="R4489" t="str">
        <f>"הזמנה"</f>
        <v>הזמנה</v>
      </c>
      <c r="S4489">
        <v>0</v>
      </c>
      <c r="T4489" s="2">
        <v>4348</v>
      </c>
      <c r="U4489">
        <v>0</v>
      </c>
      <c r="V4489" s="2">
        <v>4348</v>
      </c>
      <c r="W4489" t="str">
        <f>"$"</f>
        <v>$</v>
      </c>
      <c r="X4489">
        <v>0</v>
      </c>
      <c r="Y4489">
        <v>0</v>
      </c>
      <c r="Z4489">
        <v>0</v>
      </c>
      <c r="AA4489" t="str">
        <f>"Y"</f>
        <v>Y</v>
      </c>
      <c r="AB4489" t="str">
        <f>"SO160000918"</f>
        <v>SO160000918</v>
      </c>
      <c r="AC4489">
        <v>2</v>
      </c>
      <c r="AD4489" s="1">
        <v>42724</v>
      </c>
      <c r="AE4489" t="str">
        <f>"SH17000523"</f>
        <v>SH17000523</v>
      </c>
      <c r="AF4489" t="str">
        <f>"משלוחים ללקוח"</f>
        <v>משלוחים ללקוח</v>
      </c>
      <c r="AG4489" s="1">
        <v>42792</v>
      </c>
      <c r="AM4489" t="str">
        <f>"10"</f>
        <v>10</v>
      </c>
      <c r="AN4489" t="str">
        <f>"500000"</f>
        <v>500000</v>
      </c>
      <c r="AO4489" t="str">
        <f>"הכנסות  מלקוחות"</f>
        <v>הכנסות  מלקוחות</v>
      </c>
      <c r="AQ4489" t="str">
        <f>"017"</f>
        <v>017</v>
      </c>
      <c r="AR4489">
        <v>0</v>
      </c>
      <c r="AS4489">
        <v>0</v>
      </c>
      <c r="AT4489">
        <v>3.6789999999999998</v>
      </c>
      <c r="AX4489" t="str">
        <f>"E000229507"</f>
        <v>E000229507</v>
      </c>
      <c r="BD4489" t="str">
        <f>"שחר דאהמן"</f>
        <v>שחר דאהמן</v>
      </c>
    </row>
    <row r="4490" spans="1:56" x14ac:dyDescent="0.3">
      <c r="A4490" s="1">
        <v>42793</v>
      </c>
      <c r="B4490" t="str">
        <f>"SI176000302"</f>
        <v>SI176000302</v>
      </c>
      <c r="E4490" t="str">
        <f>"Y"</f>
        <v>Y</v>
      </c>
      <c r="F4490" t="str">
        <f>"חשבוניות מרכזות"</f>
        <v>חשבוניות מרכזות</v>
      </c>
      <c r="G4490" t="str">
        <f>"700065"</f>
        <v>700065</v>
      </c>
      <c r="H4490" t="str">
        <f>"אלתא מערכות בע""מ"</f>
        <v>אלתא מערכות בע"מ</v>
      </c>
      <c r="I4490" t="str">
        <f>"10"</f>
        <v>10</v>
      </c>
      <c r="J4490" t="str">
        <f>"OP-AR00466"</f>
        <v>OP-AR00466</v>
      </c>
      <c r="K4490" t="str">
        <f>"רתמה REV;B 1036N633-001"</f>
        <v>רתמה REV;B 1036N633-001</v>
      </c>
      <c r="L4490">
        <v>4</v>
      </c>
      <c r="M4490" t="str">
        <f>"יח"</f>
        <v>יח</v>
      </c>
      <c r="N4490">
        <v>4</v>
      </c>
      <c r="O4490" t="str">
        <f>"יח"</f>
        <v>יח</v>
      </c>
      <c r="P4490">
        <v>618</v>
      </c>
      <c r="Q4490" t="str">
        <f>"$"</f>
        <v>$</v>
      </c>
      <c r="R4490" t="str">
        <f>"הזמנה"</f>
        <v>הזמנה</v>
      </c>
      <c r="S4490">
        <v>0</v>
      </c>
      <c r="T4490" s="2">
        <v>2472</v>
      </c>
      <c r="U4490">
        <v>0</v>
      </c>
      <c r="V4490" s="2">
        <v>2472</v>
      </c>
      <c r="W4490" t="str">
        <f>"$"</f>
        <v>$</v>
      </c>
      <c r="X4490">
        <v>0</v>
      </c>
      <c r="Y4490">
        <v>0</v>
      </c>
      <c r="Z4490">
        <v>0</v>
      </c>
      <c r="AA4490" t="str">
        <f>"Y"</f>
        <v>Y</v>
      </c>
      <c r="AB4490" t="str">
        <f>"SO160000918"</f>
        <v>SO160000918</v>
      </c>
      <c r="AC4490">
        <v>3</v>
      </c>
      <c r="AD4490" s="1">
        <v>42724</v>
      </c>
      <c r="AE4490" t="str">
        <f>"SH17000524"</f>
        <v>SH17000524</v>
      </c>
      <c r="AF4490" t="str">
        <f>"משלוחים ללקוח"</f>
        <v>משלוחים ללקוח</v>
      </c>
      <c r="AG4490" s="1">
        <v>42792</v>
      </c>
      <c r="AM4490" t="str">
        <f>"10"</f>
        <v>10</v>
      </c>
      <c r="AN4490" t="str">
        <f>"500000"</f>
        <v>500000</v>
      </c>
      <c r="AO4490" t="str">
        <f>"הכנסות  מלקוחות"</f>
        <v>הכנסות  מלקוחות</v>
      </c>
      <c r="AQ4490" t="str">
        <f>"017"</f>
        <v>017</v>
      </c>
      <c r="AR4490">
        <v>0</v>
      </c>
      <c r="AS4490">
        <v>0</v>
      </c>
      <c r="AT4490">
        <v>3.6789999999999998</v>
      </c>
      <c r="AX4490" t="str">
        <f>"E000229507"</f>
        <v>E000229507</v>
      </c>
      <c r="BD4490" t="str">
        <f>"שחר דאהמן"</f>
        <v>שחר דאהמן</v>
      </c>
    </row>
    <row r="4491" spans="1:56" x14ac:dyDescent="0.3">
      <c r="A4491" s="1">
        <v>42792</v>
      </c>
      <c r="B4491" t="str">
        <f>"SI176000290"</f>
        <v>SI176000290</v>
      </c>
      <c r="C4491" t="str">
        <f>"PR14002143"</f>
        <v>PR14002143</v>
      </c>
      <c r="E4491" t="str">
        <f>"Y"</f>
        <v>Y</v>
      </c>
      <c r="F4491" t="str">
        <f>"חשבוניות מרכזות"</f>
        <v>חשבוניות מרכזות</v>
      </c>
      <c r="G4491" t="str">
        <f>"700065"</f>
        <v>700065</v>
      </c>
      <c r="H4491" t="str">
        <f>"אלתא מערכות בע""מ"</f>
        <v>אלתא מערכות בע"מ</v>
      </c>
      <c r="I4491" t="str">
        <f>"10"</f>
        <v>10</v>
      </c>
      <c r="J4491" t="str">
        <f>"OP-AR00081"</f>
        <v>OP-AR00081</v>
      </c>
      <c r="K4491" t="str">
        <f>"NRE ליחידות PDB/PDU"</f>
        <v>NRE ליחידות PDB/PDU</v>
      </c>
      <c r="L4491">
        <v>0.5</v>
      </c>
      <c r="M4491" t="str">
        <f>"חל"</f>
        <v>חל</v>
      </c>
      <c r="N4491">
        <v>0.5</v>
      </c>
      <c r="O4491" t="str">
        <f>"חל"</f>
        <v>חל</v>
      </c>
      <c r="P4491" s="2">
        <v>60928</v>
      </c>
      <c r="Q4491" t="str">
        <f>"$"</f>
        <v>$</v>
      </c>
      <c r="R4491" t="str">
        <f>"הזמנה"</f>
        <v>הזמנה</v>
      </c>
      <c r="S4491">
        <v>0</v>
      </c>
      <c r="T4491" s="2">
        <v>30464</v>
      </c>
      <c r="U4491">
        <v>0</v>
      </c>
      <c r="V4491" s="2">
        <v>30464</v>
      </c>
      <c r="W4491" t="str">
        <f>"$"</f>
        <v>$</v>
      </c>
      <c r="X4491">
        <v>0</v>
      </c>
      <c r="Y4491">
        <v>0</v>
      </c>
      <c r="Z4491">
        <v>0</v>
      </c>
      <c r="AA4491" t="str">
        <f>"Y"</f>
        <v>Y</v>
      </c>
      <c r="AB4491" t="str">
        <f>"SO140002474"</f>
        <v>SO140002474</v>
      </c>
      <c r="AC4491">
        <v>2</v>
      </c>
      <c r="AD4491" s="1">
        <v>41939</v>
      </c>
      <c r="AM4491" t="str">
        <f>"10"</f>
        <v>10</v>
      </c>
      <c r="AN4491" t="str">
        <f>"500000"</f>
        <v>500000</v>
      </c>
      <c r="AO4491" t="str">
        <f>"הכנסות  מלקוחות"</f>
        <v>הכנסות  מלקוחות</v>
      </c>
      <c r="AQ4491" t="str">
        <f>"007"</f>
        <v>007</v>
      </c>
      <c r="AR4491">
        <v>0</v>
      </c>
      <c r="AS4491">
        <v>0</v>
      </c>
      <c r="AT4491">
        <v>3.698</v>
      </c>
      <c r="AX4491" t="str">
        <f>"E000182402"</f>
        <v>E000182402</v>
      </c>
      <c r="BD4491" t="str">
        <f>"רוני דידי"</f>
        <v>רוני דידי</v>
      </c>
    </row>
    <row r="4492" spans="1:56" x14ac:dyDescent="0.3">
      <c r="A4492" s="1">
        <v>42790</v>
      </c>
      <c r="B4492" t="str">
        <f>"SI176000286"</f>
        <v>SI176000286</v>
      </c>
      <c r="C4492" t="str">
        <f>"PR15002885"</f>
        <v>PR15002885</v>
      </c>
      <c r="D4492" t="str">
        <f>"PR15002885"</f>
        <v>PR15002885</v>
      </c>
      <c r="E4492" t="str">
        <f>"Y"</f>
        <v>Y</v>
      </c>
      <c r="F4492" t="str">
        <f>"חשבוניות מרכזות"</f>
        <v>חשבוניות מרכזות</v>
      </c>
      <c r="G4492" t="str">
        <f>"700065"</f>
        <v>700065</v>
      </c>
      <c r="H4492" t="str">
        <f>"אלתא מערכות בע""מ"</f>
        <v>אלתא מערכות בע"מ</v>
      </c>
      <c r="I4492" t="str">
        <f>"10"</f>
        <v>10</v>
      </c>
      <c r="J4492" t="str">
        <f>"999"</f>
        <v>999</v>
      </c>
      <c r="K4492" t="str">
        <f>"הארכת כבלי תשתית בטל שחר"</f>
        <v>הארכת כבלי תשתית בטל שחר</v>
      </c>
      <c r="L4492">
        <v>1</v>
      </c>
      <c r="M4492" t="str">
        <f>"חל"</f>
        <v>חל</v>
      </c>
      <c r="N4492">
        <v>1</v>
      </c>
      <c r="O4492" t="str">
        <f>"חל"</f>
        <v>חל</v>
      </c>
      <c r="P4492" s="2">
        <v>3261</v>
      </c>
      <c r="Q4492" t="str">
        <f>"$"</f>
        <v>$</v>
      </c>
      <c r="R4492" t="str">
        <f>"הזמנה"</f>
        <v>הזמנה</v>
      </c>
      <c r="S4492">
        <v>0</v>
      </c>
      <c r="T4492" s="2">
        <v>3261</v>
      </c>
      <c r="U4492">
        <v>0</v>
      </c>
      <c r="V4492" s="2">
        <v>3261</v>
      </c>
      <c r="W4492" t="str">
        <f>"$"</f>
        <v>$</v>
      </c>
      <c r="X4492">
        <v>0</v>
      </c>
      <c r="Y4492">
        <v>0</v>
      </c>
      <c r="Z4492">
        <v>0</v>
      </c>
      <c r="AA4492" t="str">
        <f>"Y"</f>
        <v>Y</v>
      </c>
      <c r="AB4492" t="str">
        <f>"SO17000159"</f>
        <v>SO17000159</v>
      </c>
      <c r="AC4492">
        <v>1</v>
      </c>
      <c r="AD4492" s="1">
        <v>42789</v>
      </c>
      <c r="AM4492" t="str">
        <f>"10"</f>
        <v>10</v>
      </c>
      <c r="AN4492" t="str">
        <f>"500000"</f>
        <v>500000</v>
      </c>
      <c r="AO4492" t="str">
        <f>"הכנסות  מלקוחות"</f>
        <v>הכנסות  מלקוחות</v>
      </c>
      <c r="AQ4492" t="str">
        <f>"007"</f>
        <v>007</v>
      </c>
      <c r="AR4492">
        <v>0</v>
      </c>
      <c r="AS4492">
        <v>0</v>
      </c>
      <c r="AT4492">
        <v>3.698</v>
      </c>
      <c r="AX4492" t="str">
        <f>"E000233944"</f>
        <v>E000233944</v>
      </c>
      <c r="BD4492" t="str">
        <f>"רוני דידי"</f>
        <v>רוני דידי</v>
      </c>
    </row>
    <row r="4493" spans="1:56" x14ac:dyDescent="0.3">
      <c r="A4493" s="1">
        <v>42783</v>
      </c>
      <c r="B4493" t="str">
        <f>"SI176000209"</f>
        <v>SI176000209</v>
      </c>
      <c r="E4493" t="str">
        <f>"Y"</f>
        <v>Y</v>
      </c>
      <c r="F4493" t="str">
        <f>"חשבוניות מרכזות"</f>
        <v>חשבוניות מרכזות</v>
      </c>
      <c r="G4493" t="str">
        <f>"700065"</f>
        <v>700065</v>
      </c>
      <c r="H4493" t="str">
        <f>"אלתא מערכות בע""מ"</f>
        <v>אלתא מערכות בע"מ</v>
      </c>
      <c r="I4493" t="str">
        <f>"10"</f>
        <v>10</v>
      </c>
      <c r="J4493" t="str">
        <f>"OP-AR00470"</f>
        <v>OP-AR00470</v>
      </c>
      <c r="K4493" t="str">
        <f>"רתמה 2021E636-001"</f>
        <v>רתמה 2021E636-001</v>
      </c>
      <c r="L4493">
        <v>2</v>
      </c>
      <c r="M4493" t="str">
        <f>"יח"</f>
        <v>יח</v>
      </c>
      <c r="N4493">
        <v>2</v>
      </c>
      <c r="O4493" t="str">
        <f>"יח"</f>
        <v>יח</v>
      </c>
      <c r="P4493">
        <v>415</v>
      </c>
      <c r="Q4493" t="str">
        <f>"$"</f>
        <v>$</v>
      </c>
      <c r="R4493" t="str">
        <f>"הזמנה"</f>
        <v>הזמנה</v>
      </c>
      <c r="S4493">
        <v>0</v>
      </c>
      <c r="T4493">
        <v>830</v>
      </c>
      <c r="U4493">
        <v>0</v>
      </c>
      <c r="V4493">
        <v>830</v>
      </c>
      <c r="W4493" t="str">
        <f>"$"</f>
        <v>$</v>
      </c>
      <c r="X4493">
        <v>0</v>
      </c>
      <c r="Y4493">
        <v>0</v>
      </c>
      <c r="Z4493">
        <v>0</v>
      </c>
      <c r="AA4493" t="str">
        <f>"Y"</f>
        <v>Y</v>
      </c>
      <c r="AB4493" t="str">
        <f>"SO160000942"</f>
        <v>SO160000942</v>
      </c>
      <c r="AC4493">
        <v>2</v>
      </c>
      <c r="AD4493" s="1">
        <v>42729</v>
      </c>
      <c r="AE4493" t="str">
        <f>"SH17000442"</f>
        <v>SH17000442</v>
      </c>
      <c r="AF4493" t="str">
        <f>"משלוחים ללקוח"</f>
        <v>משלוחים ללקוח</v>
      </c>
      <c r="AG4493" s="1">
        <v>42782</v>
      </c>
      <c r="AM4493" t="str">
        <f>"10"</f>
        <v>10</v>
      </c>
      <c r="AN4493" t="str">
        <f>"500000"</f>
        <v>500000</v>
      </c>
      <c r="AO4493" t="str">
        <f>"הכנסות  מלקוחות"</f>
        <v>הכנסות  מלקוחות</v>
      </c>
      <c r="AQ4493" t="str">
        <f>"017"</f>
        <v>017</v>
      </c>
      <c r="AR4493">
        <v>0</v>
      </c>
      <c r="AS4493">
        <v>0</v>
      </c>
      <c r="AT4493">
        <v>3.7160000000000002</v>
      </c>
      <c r="AX4493" t="str">
        <f>"E000230064"</f>
        <v>E000230064</v>
      </c>
      <c r="BD4493" t="str">
        <f>"שחר דאהמן"</f>
        <v>שחר דאהמן</v>
      </c>
    </row>
    <row r="4494" spans="1:56" x14ac:dyDescent="0.3">
      <c r="A4494" s="1">
        <v>42783</v>
      </c>
      <c r="B4494" t="str">
        <f>"SI176000209"</f>
        <v>SI176000209</v>
      </c>
      <c r="E4494" t="str">
        <f>"Y"</f>
        <v>Y</v>
      </c>
      <c r="F4494" t="str">
        <f>"חשבוניות מרכזות"</f>
        <v>חשבוניות מרכזות</v>
      </c>
      <c r="G4494" t="str">
        <f>"700065"</f>
        <v>700065</v>
      </c>
      <c r="H4494" t="str">
        <f>"אלתא מערכות בע""מ"</f>
        <v>אלתא מערכות בע"מ</v>
      </c>
      <c r="I4494" t="str">
        <f>"10"</f>
        <v>10</v>
      </c>
      <c r="J4494" t="str">
        <f>"OP-AR00471"</f>
        <v>OP-AR00471</v>
      </c>
      <c r="K4494" t="str">
        <f>"רתמה 2021E638-001"</f>
        <v>רתמה 2021E638-001</v>
      </c>
      <c r="L4494">
        <v>2</v>
      </c>
      <c r="M4494" t="str">
        <f>"יח"</f>
        <v>יח</v>
      </c>
      <c r="N4494">
        <v>2</v>
      </c>
      <c r="O4494" t="str">
        <f>"יח"</f>
        <v>יח</v>
      </c>
      <c r="P4494">
        <v>300</v>
      </c>
      <c r="Q4494" t="str">
        <f>"$"</f>
        <v>$</v>
      </c>
      <c r="R4494" t="str">
        <f>"הזמנה"</f>
        <v>הזמנה</v>
      </c>
      <c r="S4494">
        <v>0</v>
      </c>
      <c r="T4494">
        <v>600</v>
      </c>
      <c r="U4494">
        <v>0</v>
      </c>
      <c r="V4494">
        <v>600</v>
      </c>
      <c r="W4494" t="str">
        <f>"$"</f>
        <v>$</v>
      </c>
      <c r="X4494">
        <v>0</v>
      </c>
      <c r="Y4494">
        <v>0</v>
      </c>
      <c r="Z4494">
        <v>0</v>
      </c>
      <c r="AA4494" t="str">
        <f>"Y"</f>
        <v>Y</v>
      </c>
      <c r="AB4494" t="str">
        <f>"SO160000942"</f>
        <v>SO160000942</v>
      </c>
      <c r="AC4494">
        <v>3</v>
      </c>
      <c r="AD4494" s="1">
        <v>42729</v>
      </c>
      <c r="AE4494" t="str">
        <f>"SH17000443"</f>
        <v>SH17000443</v>
      </c>
      <c r="AF4494" t="str">
        <f>"משלוחים ללקוח"</f>
        <v>משלוחים ללקוח</v>
      </c>
      <c r="AG4494" s="1">
        <v>42782</v>
      </c>
      <c r="AM4494" t="str">
        <f>"10"</f>
        <v>10</v>
      </c>
      <c r="AN4494" t="str">
        <f>"500000"</f>
        <v>500000</v>
      </c>
      <c r="AO4494" t="str">
        <f>"הכנסות  מלקוחות"</f>
        <v>הכנסות  מלקוחות</v>
      </c>
      <c r="AQ4494" t="str">
        <f>"017"</f>
        <v>017</v>
      </c>
      <c r="AR4494">
        <v>0</v>
      </c>
      <c r="AS4494">
        <v>0</v>
      </c>
      <c r="AT4494">
        <v>3.7160000000000002</v>
      </c>
      <c r="AX4494" t="str">
        <f>"E000230064"</f>
        <v>E000230064</v>
      </c>
      <c r="BD4494" t="str">
        <f>"שחר דאהמן"</f>
        <v>שחר דאהמן</v>
      </c>
    </row>
    <row r="4495" spans="1:56" x14ac:dyDescent="0.3">
      <c r="A4495" s="1">
        <v>42780</v>
      </c>
      <c r="B4495" t="str">
        <f>"SI176000192"</f>
        <v>SI176000192</v>
      </c>
      <c r="E4495" t="str">
        <f>"Y"</f>
        <v>Y</v>
      </c>
      <c r="F4495" t="str">
        <f>"חשבוניות מרכזות"</f>
        <v>חשבוניות מרכזות</v>
      </c>
      <c r="G4495" t="str">
        <f>"700065"</f>
        <v>700065</v>
      </c>
      <c r="H4495" t="str">
        <f>"אלתא מערכות בע""מ"</f>
        <v>אלתא מערכות בע"מ</v>
      </c>
      <c r="I4495" t="str">
        <f>"10"</f>
        <v>10</v>
      </c>
      <c r="J4495" t="str">
        <f>"OP-AR00464"</f>
        <v>OP-AR00464</v>
      </c>
      <c r="K4495" t="str">
        <f>"רתמה REV;A 1036N631-001"</f>
        <v>רתמה REV;A 1036N631-001</v>
      </c>
      <c r="L4495">
        <v>2</v>
      </c>
      <c r="M4495" t="str">
        <f>"יח"</f>
        <v>יח</v>
      </c>
      <c r="N4495">
        <v>2</v>
      </c>
      <c r="O4495" t="str">
        <f>"יח"</f>
        <v>יח</v>
      </c>
      <c r="P4495">
        <v>910</v>
      </c>
      <c r="Q4495" t="str">
        <f>"$"</f>
        <v>$</v>
      </c>
      <c r="R4495" t="str">
        <f>"הזמנה"</f>
        <v>הזמנה</v>
      </c>
      <c r="S4495">
        <v>0</v>
      </c>
      <c r="T4495" s="2">
        <v>1820</v>
      </c>
      <c r="U4495">
        <v>0</v>
      </c>
      <c r="V4495" s="2">
        <v>1820</v>
      </c>
      <c r="W4495" t="str">
        <f>"$"</f>
        <v>$</v>
      </c>
      <c r="X4495">
        <v>0</v>
      </c>
      <c r="Y4495">
        <v>0</v>
      </c>
      <c r="Z4495">
        <v>0</v>
      </c>
      <c r="AA4495" t="str">
        <f>"Y"</f>
        <v>Y</v>
      </c>
      <c r="AB4495" t="str">
        <f>"SO160000918"</f>
        <v>SO160000918</v>
      </c>
      <c r="AC4495">
        <v>1</v>
      </c>
      <c r="AD4495" s="1">
        <v>42724</v>
      </c>
      <c r="AE4495" t="str">
        <f>"SH17000402"</f>
        <v>SH17000402</v>
      </c>
      <c r="AF4495" t="str">
        <f>"משלוחים ללקוח"</f>
        <v>משלוחים ללקוח</v>
      </c>
      <c r="AG4495" s="1">
        <v>42779</v>
      </c>
      <c r="AM4495" t="str">
        <f>"10"</f>
        <v>10</v>
      </c>
      <c r="AN4495" t="str">
        <f>"500000"</f>
        <v>500000</v>
      </c>
      <c r="AO4495" t="str">
        <f>"הכנסות  מלקוחות"</f>
        <v>הכנסות  מלקוחות</v>
      </c>
      <c r="AQ4495" t="str">
        <f>"017"</f>
        <v>017</v>
      </c>
      <c r="AR4495">
        <v>0</v>
      </c>
      <c r="AS4495">
        <v>0</v>
      </c>
      <c r="AT4495">
        <v>3.746</v>
      </c>
      <c r="AX4495" t="str">
        <f>"E000229507"</f>
        <v>E000229507</v>
      </c>
      <c r="BD4495" t="str">
        <f>"שחר דאהמן"</f>
        <v>שחר דאהמן</v>
      </c>
    </row>
    <row r="4496" spans="1:56" x14ac:dyDescent="0.3">
      <c r="A4496" s="1">
        <v>42780</v>
      </c>
      <c r="B4496" t="str">
        <f>"SI176000192"</f>
        <v>SI176000192</v>
      </c>
      <c r="E4496" t="str">
        <f>"Y"</f>
        <v>Y</v>
      </c>
      <c r="F4496" t="str">
        <f>"חשבוניות מרכזות"</f>
        <v>חשבוניות מרכזות</v>
      </c>
      <c r="G4496" t="str">
        <f>"700065"</f>
        <v>700065</v>
      </c>
      <c r="H4496" t="str">
        <f>"אלתא מערכות בע""מ"</f>
        <v>אלתא מערכות בע"מ</v>
      </c>
      <c r="I4496" t="str">
        <f>"10"</f>
        <v>10</v>
      </c>
      <c r="J4496" t="str">
        <f>"OP-AR00465"</f>
        <v>OP-AR00465</v>
      </c>
      <c r="K4496" t="str">
        <f>"רתמה REV;B 1036N632-001"</f>
        <v>רתמה REV;B 1036N632-001</v>
      </c>
      <c r="L4496">
        <v>2</v>
      </c>
      <c r="M4496" t="str">
        <f>"יח"</f>
        <v>יח</v>
      </c>
      <c r="N4496">
        <v>2</v>
      </c>
      <c r="O4496" t="str">
        <f>"יח"</f>
        <v>יח</v>
      </c>
      <c r="P4496" s="2">
        <v>1087</v>
      </c>
      <c r="Q4496" t="str">
        <f>"$"</f>
        <v>$</v>
      </c>
      <c r="R4496" t="str">
        <f>"הזמנה"</f>
        <v>הזמנה</v>
      </c>
      <c r="S4496">
        <v>0</v>
      </c>
      <c r="T4496" s="2">
        <v>2174</v>
      </c>
      <c r="U4496">
        <v>0</v>
      </c>
      <c r="V4496" s="2">
        <v>2174</v>
      </c>
      <c r="W4496" t="str">
        <f>"$"</f>
        <v>$</v>
      </c>
      <c r="X4496">
        <v>0</v>
      </c>
      <c r="Y4496">
        <v>0</v>
      </c>
      <c r="Z4496">
        <v>0</v>
      </c>
      <c r="AA4496" t="str">
        <f>"Y"</f>
        <v>Y</v>
      </c>
      <c r="AB4496" t="str">
        <f>"SO160000918"</f>
        <v>SO160000918</v>
      </c>
      <c r="AC4496">
        <v>2</v>
      </c>
      <c r="AD4496" s="1">
        <v>42724</v>
      </c>
      <c r="AE4496" t="str">
        <f>"SH17000403"</f>
        <v>SH17000403</v>
      </c>
      <c r="AF4496" t="str">
        <f>"משלוחים ללקוח"</f>
        <v>משלוחים ללקוח</v>
      </c>
      <c r="AG4496" s="1">
        <v>42779</v>
      </c>
      <c r="AM4496" t="str">
        <f>"10"</f>
        <v>10</v>
      </c>
      <c r="AN4496" t="str">
        <f>"500000"</f>
        <v>500000</v>
      </c>
      <c r="AO4496" t="str">
        <f>"הכנסות  מלקוחות"</f>
        <v>הכנסות  מלקוחות</v>
      </c>
      <c r="AQ4496" t="str">
        <f>"017"</f>
        <v>017</v>
      </c>
      <c r="AR4496">
        <v>0</v>
      </c>
      <c r="AS4496">
        <v>0</v>
      </c>
      <c r="AT4496">
        <v>3.746</v>
      </c>
      <c r="AX4496" t="str">
        <f>"E000229507"</f>
        <v>E000229507</v>
      </c>
      <c r="BD4496" t="str">
        <f>"שחר דאהמן"</f>
        <v>שחר דאהמן</v>
      </c>
    </row>
    <row r="4497" spans="1:56" x14ac:dyDescent="0.3">
      <c r="A4497" s="1">
        <v>42780</v>
      </c>
      <c r="B4497" t="str">
        <f>"SI176000192"</f>
        <v>SI176000192</v>
      </c>
      <c r="E4497" t="str">
        <f>"Y"</f>
        <v>Y</v>
      </c>
      <c r="F4497" t="str">
        <f>"חשבוניות מרכזות"</f>
        <v>חשבוניות מרכזות</v>
      </c>
      <c r="G4497" t="str">
        <f>"700065"</f>
        <v>700065</v>
      </c>
      <c r="H4497" t="str">
        <f>"אלתא מערכות בע""מ"</f>
        <v>אלתא מערכות בע"מ</v>
      </c>
      <c r="I4497" t="str">
        <f>"10"</f>
        <v>10</v>
      </c>
      <c r="J4497" t="str">
        <f>"OP-AR00466"</f>
        <v>OP-AR00466</v>
      </c>
      <c r="K4497" t="str">
        <f>"רתמה REV;B 1036N633-001"</f>
        <v>רתמה REV;B 1036N633-001</v>
      </c>
      <c r="L4497">
        <v>2</v>
      </c>
      <c r="M4497" t="str">
        <f>"יח"</f>
        <v>יח</v>
      </c>
      <c r="N4497">
        <v>2</v>
      </c>
      <c r="O4497" t="str">
        <f>"יח"</f>
        <v>יח</v>
      </c>
      <c r="P4497">
        <v>618</v>
      </c>
      <c r="Q4497" t="str">
        <f>"$"</f>
        <v>$</v>
      </c>
      <c r="R4497" t="str">
        <f>"הזמנה"</f>
        <v>הזמנה</v>
      </c>
      <c r="S4497">
        <v>0</v>
      </c>
      <c r="T4497" s="2">
        <v>1236</v>
      </c>
      <c r="U4497">
        <v>0</v>
      </c>
      <c r="V4497" s="2">
        <v>1236</v>
      </c>
      <c r="W4497" t="str">
        <f>"$"</f>
        <v>$</v>
      </c>
      <c r="X4497">
        <v>0</v>
      </c>
      <c r="Y4497">
        <v>0</v>
      </c>
      <c r="Z4497">
        <v>0</v>
      </c>
      <c r="AA4497" t="str">
        <f>"Y"</f>
        <v>Y</v>
      </c>
      <c r="AB4497" t="str">
        <f>"SO160000918"</f>
        <v>SO160000918</v>
      </c>
      <c r="AC4497">
        <v>3</v>
      </c>
      <c r="AD4497" s="1">
        <v>42724</v>
      </c>
      <c r="AE4497" t="str">
        <f>"SH17000404"</f>
        <v>SH17000404</v>
      </c>
      <c r="AF4497" t="str">
        <f>"משלוחים ללקוח"</f>
        <v>משלוחים ללקוח</v>
      </c>
      <c r="AG4497" s="1">
        <v>42779</v>
      </c>
      <c r="AM4497" t="str">
        <f>"10"</f>
        <v>10</v>
      </c>
      <c r="AN4497" t="str">
        <f>"500000"</f>
        <v>500000</v>
      </c>
      <c r="AO4497" t="str">
        <f>"הכנסות  מלקוחות"</f>
        <v>הכנסות  מלקוחות</v>
      </c>
      <c r="AQ4497" t="str">
        <f>"017"</f>
        <v>017</v>
      </c>
      <c r="AR4497">
        <v>0</v>
      </c>
      <c r="AS4497">
        <v>0</v>
      </c>
      <c r="AT4497">
        <v>3.746</v>
      </c>
      <c r="AX4497" t="str">
        <f>"E000229507"</f>
        <v>E000229507</v>
      </c>
      <c r="BD4497" t="str">
        <f>"שחר דאהמן"</f>
        <v>שחר דאהמן</v>
      </c>
    </row>
    <row r="4498" spans="1:56" x14ac:dyDescent="0.3">
      <c r="A4498" s="1">
        <v>42766</v>
      </c>
      <c r="B4498" t="str">
        <f>"SI176000143"</f>
        <v>SI176000143</v>
      </c>
      <c r="C4498" t="str">
        <f>"PR16000667"</f>
        <v>PR16000667</v>
      </c>
      <c r="E4498" t="str">
        <f>"Y"</f>
        <v>Y</v>
      </c>
      <c r="F4498" t="str">
        <f>"חשבוניות מרכזות"</f>
        <v>חשבוניות מרכזות</v>
      </c>
      <c r="G4498" t="str">
        <f>"700065"</f>
        <v>700065</v>
      </c>
      <c r="H4498" t="str">
        <f>"אלתא מערכות בע""מ"</f>
        <v>אלתא מערכות בע"מ</v>
      </c>
      <c r="I4498" t="str">
        <f>"10"</f>
        <v>10</v>
      </c>
      <c r="J4498" t="str">
        <f>"000"</f>
        <v>000</v>
      </c>
      <c r="K4498" t="str">
        <f>"תכנון והתקנת ארון EMP"</f>
        <v>תכנון והתקנת ארון EMP</v>
      </c>
      <c r="L4498">
        <v>1</v>
      </c>
      <c r="M4498" t="str">
        <f>"יח"</f>
        <v>יח</v>
      </c>
      <c r="N4498">
        <v>1</v>
      </c>
      <c r="O4498" t="str">
        <f>"יח"</f>
        <v>יח</v>
      </c>
      <c r="P4498" s="2">
        <v>39994</v>
      </c>
      <c r="Q4498" t="str">
        <f>"$"</f>
        <v>$</v>
      </c>
      <c r="R4498" t="str">
        <f>"הזמנה"</f>
        <v>הזמנה</v>
      </c>
      <c r="S4498">
        <v>0</v>
      </c>
      <c r="T4498" s="2">
        <v>39994</v>
      </c>
      <c r="U4498">
        <v>0</v>
      </c>
      <c r="V4498" s="2">
        <v>39994</v>
      </c>
      <c r="W4498" t="str">
        <f>"$"</f>
        <v>$</v>
      </c>
      <c r="X4498">
        <v>0</v>
      </c>
      <c r="Y4498">
        <v>0</v>
      </c>
      <c r="Z4498">
        <v>0</v>
      </c>
      <c r="AA4498" t="str">
        <f>"Y"</f>
        <v>Y</v>
      </c>
      <c r="AC4498">
        <v>0</v>
      </c>
      <c r="AM4498" t="str">
        <f>"10"</f>
        <v>10</v>
      </c>
      <c r="AN4498" t="str">
        <f>"500000"</f>
        <v>500000</v>
      </c>
      <c r="AO4498" t="str">
        <f>"הכנסות  מלקוחות"</f>
        <v>הכנסות  מלקוחות</v>
      </c>
      <c r="AQ4498" t="str">
        <f>"007"</f>
        <v>007</v>
      </c>
      <c r="AR4498">
        <v>0</v>
      </c>
      <c r="AS4498">
        <v>0</v>
      </c>
      <c r="AT4498">
        <v>3.7850000000000001</v>
      </c>
      <c r="BB4498" t="str">
        <f>"Y"</f>
        <v>Y</v>
      </c>
      <c r="BD4498" t="str">
        <f>"רוני דידי"</f>
        <v>רוני דידי</v>
      </c>
    </row>
    <row r="4499" spans="1:56" x14ac:dyDescent="0.3">
      <c r="A4499" s="1">
        <v>42765</v>
      </c>
      <c r="B4499" t="str">
        <f>"SI176000139"</f>
        <v>SI176000139</v>
      </c>
      <c r="E4499" t="str">
        <f>"Y"</f>
        <v>Y</v>
      </c>
      <c r="F4499" t="str">
        <f>"חשבוניות מרכזות"</f>
        <v>חשבוניות מרכזות</v>
      </c>
      <c r="G4499" t="str">
        <f>"700065"</f>
        <v>700065</v>
      </c>
      <c r="H4499" t="str">
        <f>"אלתא מערכות בע""מ"</f>
        <v>אלתא מערכות בע"מ</v>
      </c>
      <c r="I4499" t="str">
        <f>"10"</f>
        <v>10</v>
      </c>
      <c r="J4499" t="str">
        <f>"OP-AR00466"</f>
        <v>OP-AR00466</v>
      </c>
      <c r="K4499" t="str">
        <f>"רתמה REV;B 1036N633-001"</f>
        <v>רתמה REV;B 1036N633-001</v>
      </c>
      <c r="L4499">
        <v>2</v>
      </c>
      <c r="M4499" t="str">
        <f>"יח"</f>
        <v>יח</v>
      </c>
      <c r="N4499">
        <v>2</v>
      </c>
      <c r="O4499" t="str">
        <f>"יח"</f>
        <v>יח</v>
      </c>
      <c r="P4499">
        <v>618</v>
      </c>
      <c r="Q4499" t="str">
        <f>"$"</f>
        <v>$</v>
      </c>
      <c r="R4499" t="str">
        <f>"הזמנה"</f>
        <v>הזמנה</v>
      </c>
      <c r="S4499">
        <v>0</v>
      </c>
      <c r="T4499" s="2">
        <v>1236</v>
      </c>
      <c r="U4499">
        <v>0</v>
      </c>
      <c r="V4499" s="2">
        <v>1236</v>
      </c>
      <c r="W4499" t="str">
        <f>"$"</f>
        <v>$</v>
      </c>
      <c r="X4499">
        <v>0</v>
      </c>
      <c r="Y4499">
        <v>0</v>
      </c>
      <c r="Z4499">
        <v>0</v>
      </c>
      <c r="AA4499" t="str">
        <f>"Y"</f>
        <v>Y</v>
      </c>
      <c r="AB4499" t="str">
        <f>"SO160000918"</f>
        <v>SO160000918</v>
      </c>
      <c r="AC4499">
        <v>3</v>
      </c>
      <c r="AD4499" s="1">
        <v>42724</v>
      </c>
      <c r="AE4499" t="str">
        <f>"SH17000290"</f>
        <v>SH17000290</v>
      </c>
      <c r="AF4499" t="str">
        <f>"משלוחים ללקוח"</f>
        <v>משלוחים ללקוח</v>
      </c>
      <c r="AG4499" s="1">
        <v>42764</v>
      </c>
      <c r="AM4499" t="str">
        <f>"10"</f>
        <v>10</v>
      </c>
      <c r="AN4499" t="str">
        <f>"500000"</f>
        <v>500000</v>
      </c>
      <c r="AO4499" t="str">
        <f>"הכנסות  מלקוחות"</f>
        <v>הכנסות  מלקוחות</v>
      </c>
      <c r="AQ4499" t="str">
        <f>"017"</f>
        <v>017</v>
      </c>
      <c r="AR4499">
        <v>0</v>
      </c>
      <c r="AS4499">
        <v>0</v>
      </c>
      <c r="AT4499">
        <v>3.798</v>
      </c>
      <c r="AX4499" t="str">
        <f>"E000229507"</f>
        <v>E000229507</v>
      </c>
      <c r="BD4499" t="str">
        <f>"שחר דאהמן"</f>
        <v>שחר דאהמן</v>
      </c>
    </row>
    <row r="4500" spans="1:56" x14ac:dyDescent="0.3">
      <c r="A4500" s="1">
        <v>42765</v>
      </c>
      <c r="B4500" t="str">
        <f>"SI176000139"</f>
        <v>SI176000139</v>
      </c>
      <c r="E4500" t="str">
        <f>"Y"</f>
        <v>Y</v>
      </c>
      <c r="F4500" t="str">
        <f>"חשבוניות מרכזות"</f>
        <v>חשבוניות מרכזות</v>
      </c>
      <c r="G4500" t="str">
        <f>"700065"</f>
        <v>700065</v>
      </c>
      <c r="H4500" t="str">
        <f>"אלתא מערכות בע""מ"</f>
        <v>אלתא מערכות בע"מ</v>
      </c>
      <c r="I4500" t="str">
        <f>"10"</f>
        <v>10</v>
      </c>
      <c r="J4500" t="str">
        <f>"OP-AR00465"</f>
        <v>OP-AR00465</v>
      </c>
      <c r="K4500" t="str">
        <f>"רתמה REV;B 1036N632-001"</f>
        <v>רתמה REV;B 1036N632-001</v>
      </c>
      <c r="L4500">
        <v>2</v>
      </c>
      <c r="M4500" t="str">
        <f>"יח"</f>
        <v>יח</v>
      </c>
      <c r="N4500">
        <v>2</v>
      </c>
      <c r="O4500" t="str">
        <f>"יח"</f>
        <v>יח</v>
      </c>
      <c r="P4500" s="2">
        <v>1087</v>
      </c>
      <c r="Q4500" t="str">
        <f>"$"</f>
        <v>$</v>
      </c>
      <c r="R4500" t="str">
        <f>"הזמנה"</f>
        <v>הזמנה</v>
      </c>
      <c r="S4500">
        <v>0</v>
      </c>
      <c r="T4500" s="2">
        <v>2174</v>
      </c>
      <c r="U4500">
        <v>0</v>
      </c>
      <c r="V4500" s="2">
        <v>2174</v>
      </c>
      <c r="W4500" t="str">
        <f>"$"</f>
        <v>$</v>
      </c>
      <c r="X4500">
        <v>0</v>
      </c>
      <c r="Y4500">
        <v>0</v>
      </c>
      <c r="Z4500">
        <v>0</v>
      </c>
      <c r="AA4500" t="str">
        <f>"Y"</f>
        <v>Y</v>
      </c>
      <c r="AB4500" t="str">
        <f>"SO160000918"</f>
        <v>SO160000918</v>
      </c>
      <c r="AC4500">
        <v>2</v>
      </c>
      <c r="AD4500" s="1">
        <v>42724</v>
      </c>
      <c r="AE4500" t="str">
        <f>"SH17000291"</f>
        <v>SH17000291</v>
      </c>
      <c r="AF4500" t="str">
        <f>"משלוחים ללקוח"</f>
        <v>משלוחים ללקוח</v>
      </c>
      <c r="AG4500" s="1">
        <v>42764</v>
      </c>
      <c r="AM4500" t="str">
        <f>"10"</f>
        <v>10</v>
      </c>
      <c r="AN4500" t="str">
        <f>"500000"</f>
        <v>500000</v>
      </c>
      <c r="AO4500" t="str">
        <f>"הכנסות  מלקוחות"</f>
        <v>הכנסות  מלקוחות</v>
      </c>
      <c r="AQ4500" t="str">
        <f>"017"</f>
        <v>017</v>
      </c>
      <c r="AR4500">
        <v>0</v>
      </c>
      <c r="AS4500">
        <v>0</v>
      </c>
      <c r="AT4500">
        <v>3.798</v>
      </c>
      <c r="AX4500" t="str">
        <f>"E000229507"</f>
        <v>E000229507</v>
      </c>
      <c r="BD4500" t="str">
        <f>"שחר דאהמן"</f>
        <v>שחר דאהמן</v>
      </c>
    </row>
    <row r="4501" spans="1:56" x14ac:dyDescent="0.3">
      <c r="A4501" s="1">
        <v>42765</v>
      </c>
      <c r="B4501" t="str">
        <f>"SI176000139"</f>
        <v>SI176000139</v>
      </c>
      <c r="E4501" t="str">
        <f>"Y"</f>
        <v>Y</v>
      </c>
      <c r="F4501" t="str">
        <f>"חשבוניות מרכזות"</f>
        <v>חשבוניות מרכזות</v>
      </c>
      <c r="G4501" t="str">
        <f>"700065"</f>
        <v>700065</v>
      </c>
      <c r="H4501" t="str">
        <f>"אלתא מערכות בע""מ"</f>
        <v>אלתא מערכות בע"מ</v>
      </c>
      <c r="I4501" t="str">
        <f>"10"</f>
        <v>10</v>
      </c>
      <c r="J4501" t="str">
        <f>"OP-AR00464"</f>
        <v>OP-AR00464</v>
      </c>
      <c r="K4501" t="str">
        <f>"רתמה REV;A 1036N631-001"</f>
        <v>רתמה REV;A 1036N631-001</v>
      </c>
      <c r="L4501">
        <v>2</v>
      </c>
      <c r="M4501" t="str">
        <f>"יח"</f>
        <v>יח</v>
      </c>
      <c r="N4501">
        <v>2</v>
      </c>
      <c r="O4501" t="str">
        <f>"יח"</f>
        <v>יח</v>
      </c>
      <c r="P4501">
        <v>910</v>
      </c>
      <c r="Q4501" t="str">
        <f>"$"</f>
        <v>$</v>
      </c>
      <c r="R4501" t="str">
        <f>"הזמנה"</f>
        <v>הזמנה</v>
      </c>
      <c r="S4501">
        <v>0</v>
      </c>
      <c r="T4501" s="2">
        <v>1820</v>
      </c>
      <c r="U4501">
        <v>0</v>
      </c>
      <c r="V4501" s="2">
        <v>1820</v>
      </c>
      <c r="W4501" t="str">
        <f>"$"</f>
        <v>$</v>
      </c>
      <c r="X4501">
        <v>0</v>
      </c>
      <c r="Y4501">
        <v>0</v>
      </c>
      <c r="Z4501">
        <v>0</v>
      </c>
      <c r="AA4501" t="str">
        <f>"Y"</f>
        <v>Y</v>
      </c>
      <c r="AB4501" t="str">
        <f>"SO160000918"</f>
        <v>SO160000918</v>
      </c>
      <c r="AC4501">
        <v>1</v>
      </c>
      <c r="AD4501" s="1">
        <v>42724</v>
      </c>
      <c r="AE4501" t="str">
        <f>"SH17000292"</f>
        <v>SH17000292</v>
      </c>
      <c r="AF4501" t="str">
        <f>"משלוחים ללקוח"</f>
        <v>משלוחים ללקוח</v>
      </c>
      <c r="AG4501" s="1">
        <v>42764</v>
      </c>
      <c r="AM4501" t="str">
        <f>"10"</f>
        <v>10</v>
      </c>
      <c r="AN4501" t="str">
        <f>"500000"</f>
        <v>500000</v>
      </c>
      <c r="AO4501" t="str">
        <f>"הכנסות  מלקוחות"</f>
        <v>הכנסות  מלקוחות</v>
      </c>
      <c r="AQ4501" t="str">
        <f>"017"</f>
        <v>017</v>
      </c>
      <c r="AR4501">
        <v>0</v>
      </c>
      <c r="AS4501">
        <v>0</v>
      </c>
      <c r="AT4501">
        <v>3.798</v>
      </c>
      <c r="AX4501" t="str">
        <f>"E000229507"</f>
        <v>E000229507</v>
      </c>
      <c r="BD4501" t="str">
        <f>"שחר דאהמן"</f>
        <v>שחר דאהמן</v>
      </c>
    </row>
    <row r="4502" spans="1:56" x14ac:dyDescent="0.3">
      <c r="A4502" s="1">
        <v>42760</v>
      </c>
      <c r="B4502" t="str">
        <f>"SI176000107"</f>
        <v>SI176000107</v>
      </c>
      <c r="C4502" t="str">
        <f>"PR16001145"</f>
        <v>PR16001145</v>
      </c>
      <c r="D4502" t="str">
        <f>"PR16001145"</f>
        <v>PR16001145</v>
      </c>
      <c r="E4502" t="str">
        <f>"Y"</f>
        <v>Y</v>
      </c>
      <c r="F4502" t="str">
        <f>"חשבוניות מרכזות"</f>
        <v>חשבוניות מרכזות</v>
      </c>
      <c r="G4502" t="str">
        <f>"700065"</f>
        <v>700065</v>
      </c>
      <c r="H4502" t="str">
        <f>"אלתא מערכות בע""מ"</f>
        <v>אלתא מערכות בע"מ</v>
      </c>
      <c r="I4502" t="str">
        <f>"10"</f>
        <v>10</v>
      </c>
      <c r="J4502" t="str">
        <f>"OP-AR00459"</f>
        <v>OP-AR00459</v>
      </c>
      <c r="K4502" t="str">
        <f>"רתמה 4002T701-001"</f>
        <v>רתמה 4002T701-001</v>
      </c>
      <c r="L4502">
        <v>5</v>
      </c>
      <c r="M4502" t="str">
        <f>"יח"</f>
        <v>יח</v>
      </c>
      <c r="N4502">
        <v>5</v>
      </c>
      <c r="O4502" t="str">
        <f>"יח"</f>
        <v>יח</v>
      </c>
      <c r="P4502">
        <v>910</v>
      </c>
      <c r="Q4502" t="str">
        <f>"$"</f>
        <v>$</v>
      </c>
      <c r="R4502" t="str">
        <f>"הזמנה"</f>
        <v>הזמנה</v>
      </c>
      <c r="S4502">
        <v>0</v>
      </c>
      <c r="T4502" s="2">
        <v>4550</v>
      </c>
      <c r="U4502">
        <v>0</v>
      </c>
      <c r="V4502" s="2">
        <v>4550</v>
      </c>
      <c r="W4502" t="str">
        <f>"$"</f>
        <v>$</v>
      </c>
      <c r="X4502">
        <v>0</v>
      </c>
      <c r="Y4502">
        <v>0</v>
      </c>
      <c r="Z4502">
        <v>0</v>
      </c>
      <c r="AA4502" t="str">
        <f>"Y"</f>
        <v>Y</v>
      </c>
      <c r="AB4502" t="str">
        <f>"SO160000886"</f>
        <v>SO160000886</v>
      </c>
      <c r="AC4502">
        <v>1</v>
      </c>
      <c r="AD4502" s="1">
        <v>42703</v>
      </c>
      <c r="AE4502" t="str">
        <f>"SH17000200"</f>
        <v>SH17000200</v>
      </c>
      <c r="AF4502" t="str">
        <f>"משלוחים ללקוח"</f>
        <v>משלוחים ללקוח</v>
      </c>
      <c r="AG4502" s="1">
        <v>42754</v>
      </c>
      <c r="AM4502" t="str">
        <f>"10"</f>
        <v>10</v>
      </c>
      <c r="AN4502" t="str">
        <f>"500000"</f>
        <v>500000</v>
      </c>
      <c r="AO4502" t="str">
        <f>"הכנסות  מלקוחות"</f>
        <v>הכנסות  מלקוחות</v>
      </c>
      <c r="AQ4502" t="str">
        <f>"017"</f>
        <v>017</v>
      </c>
      <c r="AR4502">
        <v>0</v>
      </c>
      <c r="AS4502">
        <v>0</v>
      </c>
      <c r="AT4502">
        <v>3.7869999999999999</v>
      </c>
      <c r="AX4502" t="str">
        <f>"E000228523"</f>
        <v>E000228523</v>
      </c>
      <c r="BD4502" t="str">
        <f>"שחר דאהמן"</f>
        <v>שחר דאהמן</v>
      </c>
    </row>
    <row r="4503" spans="1:56" x14ac:dyDescent="0.3">
      <c r="A4503" s="1">
        <v>42758</v>
      </c>
      <c r="B4503" t="str">
        <f>"SI176000100"</f>
        <v>SI176000100</v>
      </c>
      <c r="E4503" t="str">
        <f>"Y"</f>
        <v>Y</v>
      </c>
      <c r="F4503" t="str">
        <f>"חשבוניות מרכזות"</f>
        <v>חשבוניות מרכזות</v>
      </c>
      <c r="G4503" t="str">
        <f>"700065"</f>
        <v>700065</v>
      </c>
      <c r="H4503" t="str">
        <f>"אלתא מערכות בע""מ"</f>
        <v>אלתא מערכות בע"מ</v>
      </c>
      <c r="I4503" t="str">
        <f>"10"</f>
        <v>10</v>
      </c>
      <c r="J4503" t="str">
        <f>"OP-AR00461"</f>
        <v>OP-AR00461</v>
      </c>
      <c r="K4503" t="str">
        <f>"רתמה 2015F637-002"</f>
        <v>רתמה 2015F637-002</v>
      </c>
      <c r="L4503">
        <v>6</v>
      </c>
      <c r="M4503" t="str">
        <f>"יח"</f>
        <v>יח</v>
      </c>
      <c r="N4503">
        <v>6</v>
      </c>
      <c r="O4503" t="str">
        <f>"יח"</f>
        <v>יח</v>
      </c>
      <c r="P4503">
        <v>75</v>
      </c>
      <c r="Q4503" t="str">
        <f>"$"</f>
        <v>$</v>
      </c>
      <c r="R4503" t="str">
        <f>"הזמנה"</f>
        <v>הזמנה</v>
      </c>
      <c r="S4503">
        <v>0</v>
      </c>
      <c r="T4503">
        <v>450</v>
      </c>
      <c r="U4503">
        <v>0</v>
      </c>
      <c r="V4503">
        <v>450</v>
      </c>
      <c r="W4503" t="str">
        <f>"$"</f>
        <v>$</v>
      </c>
      <c r="X4503">
        <v>0</v>
      </c>
      <c r="Y4503">
        <v>0</v>
      </c>
      <c r="Z4503">
        <v>0</v>
      </c>
      <c r="AA4503" t="str">
        <f>"Y"</f>
        <v>Y</v>
      </c>
      <c r="AB4503" t="str">
        <f>"SO160000898"</f>
        <v>SO160000898</v>
      </c>
      <c r="AC4503">
        <v>1</v>
      </c>
      <c r="AD4503" s="1">
        <v>42712</v>
      </c>
      <c r="AE4503" t="str">
        <f>"SH17000196"</f>
        <v>SH17000196</v>
      </c>
      <c r="AF4503" t="str">
        <f>"משלוחים ללקוח"</f>
        <v>משלוחים ללקוח</v>
      </c>
      <c r="AG4503" s="1">
        <v>42754</v>
      </c>
      <c r="AM4503" t="str">
        <f>"10"</f>
        <v>10</v>
      </c>
      <c r="AN4503" t="str">
        <f>"500000"</f>
        <v>500000</v>
      </c>
      <c r="AO4503" t="str">
        <f>"הכנסות  מלקוחות"</f>
        <v>הכנסות  מלקוחות</v>
      </c>
      <c r="AQ4503" t="str">
        <f>"017"</f>
        <v>017</v>
      </c>
      <c r="AR4503">
        <v>0</v>
      </c>
      <c r="AS4503">
        <v>0</v>
      </c>
      <c r="AT4503">
        <v>3.8109999999999999</v>
      </c>
      <c r="AX4503" t="str">
        <f>"E000229026"</f>
        <v>E000229026</v>
      </c>
      <c r="BD4503" t="str">
        <f>"שחר דאהמן"</f>
        <v>שחר דאהמן</v>
      </c>
    </row>
    <row r="4504" spans="1:56" x14ac:dyDescent="0.3">
      <c r="A4504" s="1">
        <v>42758</v>
      </c>
      <c r="B4504" t="str">
        <f>"SI176000100"</f>
        <v>SI176000100</v>
      </c>
      <c r="E4504" t="str">
        <f>"Y"</f>
        <v>Y</v>
      </c>
      <c r="F4504" t="str">
        <f>"חשבוניות מרכזות"</f>
        <v>חשבוניות מרכזות</v>
      </c>
      <c r="G4504" t="str">
        <f>"700065"</f>
        <v>700065</v>
      </c>
      <c r="H4504" t="str">
        <f>"אלתא מערכות בע""מ"</f>
        <v>אלתא מערכות בע"מ</v>
      </c>
      <c r="I4504" t="str">
        <f>"10"</f>
        <v>10</v>
      </c>
      <c r="J4504" t="str">
        <f>"OP-AR00462"</f>
        <v>OP-AR00462</v>
      </c>
      <c r="K4504" t="str">
        <f>"רתמה 2015F975-001"</f>
        <v>רתמה 2015F975-001</v>
      </c>
      <c r="L4504">
        <v>6</v>
      </c>
      <c r="M4504" t="str">
        <f>"יח"</f>
        <v>יח</v>
      </c>
      <c r="N4504">
        <v>6</v>
      </c>
      <c r="O4504" t="str">
        <f>"יח"</f>
        <v>יח</v>
      </c>
      <c r="P4504">
        <v>35</v>
      </c>
      <c r="Q4504" t="str">
        <f>"$"</f>
        <v>$</v>
      </c>
      <c r="R4504" t="str">
        <f>"הזמנה"</f>
        <v>הזמנה</v>
      </c>
      <c r="S4504">
        <v>0</v>
      </c>
      <c r="T4504">
        <v>210</v>
      </c>
      <c r="U4504">
        <v>0</v>
      </c>
      <c r="V4504">
        <v>210</v>
      </c>
      <c r="W4504" t="str">
        <f>"$"</f>
        <v>$</v>
      </c>
      <c r="X4504">
        <v>0</v>
      </c>
      <c r="Y4504">
        <v>0</v>
      </c>
      <c r="Z4504">
        <v>0</v>
      </c>
      <c r="AA4504" t="str">
        <f>"Y"</f>
        <v>Y</v>
      </c>
      <c r="AB4504" t="str">
        <f>"SO160000898"</f>
        <v>SO160000898</v>
      </c>
      <c r="AC4504">
        <v>2</v>
      </c>
      <c r="AD4504" s="1">
        <v>42712</v>
      </c>
      <c r="AE4504" t="str">
        <f>"SH17000197"</f>
        <v>SH17000197</v>
      </c>
      <c r="AF4504" t="str">
        <f>"משלוחים ללקוח"</f>
        <v>משלוחים ללקוח</v>
      </c>
      <c r="AG4504" s="1">
        <v>42754</v>
      </c>
      <c r="AM4504" t="str">
        <f>"10"</f>
        <v>10</v>
      </c>
      <c r="AN4504" t="str">
        <f>"500000"</f>
        <v>500000</v>
      </c>
      <c r="AO4504" t="str">
        <f>"הכנסות  מלקוחות"</f>
        <v>הכנסות  מלקוחות</v>
      </c>
      <c r="AQ4504" t="str">
        <f>"017"</f>
        <v>017</v>
      </c>
      <c r="AR4504">
        <v>0</v>
      </c>
      <c r="AS4504">
        <v>0</v>
      </c>
      <c r="AT4504">
        <v>3.8109999999999999</v>
      </c>
      <c r="AX4504" t="str">
        <f>"E000229026"</f>
        <v>E000229026</v>
      </c>
      <c r="BD4504" t="str">
        <f>"שחר דאהמן"</f>
        <v>שחר דאהמן</v>
      </c>
    </row>
    <row r="4505" spans="1:56" x14ac:dyDescent="0.3">
      <c r="A4505" s="1">
        <v>42758</v>
      </c>
      <c r="B4505" t="str">
        <f>"SI176000099"</f>
        <v>SI176000099</v>
      </c>
      <c r="E4505" t="str">
        <f>"Y"</f>
        <v>Y</v>
      </c>
      <c r="F4505" t="str">
        <f>"חשבוניות מרכזות"</f>
        <v>חשבוניות מרכזות</v>
      </c>
      <c r="G4505" t="str">
        <f>"700065"</f>
        <v>700065</v>
      </c>
      <c r="H4505" t="str">
        <f>"אלתא מערכות בע""מ"</f>
        <v>אלתא מערכות בע"מ</v>
      </c>
      <c r="I4505" t="str">
        <f>"10"</f>
        <v>10</v>
      </c>
      <c r="J4505" t="str">
        <f>"OP-AR00462"</f>
        <v>OP-AR00462</v>
      </c>
      <c r="K4505" t="str">
        <f>"רתמה 2015F975-001"</f>
        <v>רתמה 2015F975-001</v>
      </c>
      <c r="L4505">
        <v>-6</v>
      </c>
      <c r="M4505" t="str">
        <f>"יח"</f>
        <v>יח</v>
      </c>
      <c r="N4505">
        <v>-6</v>
      </c>
      <c r="O4505" t="str">
        <f>"יח"</f>
        <v>יח</v>
      </c>
      <c r="P4505">
        <v>35</v>
      </c>
      <c r="Q4505" t="str">
        <f>"$"</f>
        <v>$</v>
      </c>
      <c r="R4505" t="str">
        <f>"הזמנה"</f>
        <v>הזמנה</v>
      </c>
      <c r="S4505">
        <v>0</v>
      </c>
      <c r="T4505">
        <v>-210</v>
      </c>
      <c r="U4505">
        <v>0</v>
      </c>
      <c r="V4505">
        <v>-210</v>
      </c>
      <c r="W4505" t="str">
        <f>"$"</f>
        <v>$</v>
      </c>
      <c r="X4505">
        <v>0</v>
      </c>
      <c r="Y4505">
        <v>0</v>
      </c>
      <c r="Z4505">
        <v>0</v>
      </c>
      <c r="AA4505" t="str">
        <f>"Y"</f>
        <v>Y</v>
      </c>
      <c r="AC4505">
        <v>0</v>
      </c>
      <c r="AM4505" t="str">
        <f>"10"</f>
        <v>10</v>
      </c>
      <c r="AN4505" t="str">
        <f>"500000"</f>
        <v>500000</v>
      </c>
      <c r="AO4505" t="str">
        <f>"הכנסות  מלקוחות"</f>
        <v>הכנסות  מלקוחות</v>
      </c>
      <c r="AQ4505" t="str">
        <f>"017"</f>
        <v>017</v>
      </c>
      <c r="AR4505">
        <v>0</v>
      </c>
      <c r="AS4505">
        <v>0</v>
      </c>
      <c r="AT4505">
        <v>3.8109999999999999</v>
      </c>
      <c r="BB4505" t="str">
        <f>"Y"</f>
        <v>Y</v>
      </c>
      <c r="BD4505" t="str">
        <f>"שחר דאהמן"</f>
        <v>שחר דאהמן</v>
      </c>
    </row>
    <row r="4506" spans="1:56" x14ac:dyDescent="0.3">
      <c r="A4506" s="1">
        <v>42758</v>
      </c>
      <c r="B4506" t="str">
        <f>"SI176000099"</f>
        <v>SI176000099</v>
      </c>
      <c r="E4506" t="str">
        <f>"Y"</f>
        <v>Y</v>
      </c>
      <c r="F4506" t="str">
        <f>"חשבוניות מרכזות"</f>
        <v>חשבוניות מרכזות</v>
      </c>
      <c r="G4506" t="str">
        <f>"700065"</f>
        <v>700065</v>
      </c>
      <c r="H4506" t="str">
        <f>"אלתא מערכות בע""מ"</f>
        <v>אלתא מערכות בע"מ</v>
      </c>
      <c r="I4506" t="str">
        <f>"10"</f>
        <v>10</v>
      </c>
      <c r="J4506" t="str">
        <f>"OP-AR00461"</f>
        <v>OP-AR00461</v>
      </c>
      <c r="K4506" t="str">
        <f>"רתמה 2015F637-002"</f>
        <v>רתמה 2015F637-002</v>
      </c>
      <c r="L4506">
        <v>-6</v>
      </c>
      <c r="M4506" t="str">
        <f>"יח"</f>
        <v>יח</v>
      </c>
      <c r="N4506">
        <v>-6</v>
      </c>
      <c r="O4506" t="str">
        <f>"יח"</f>
        <v>יח</v>
      </c>
      <c r="P4506">
        <v>75</v>
      </c>
      <c r="Q4506" t="str">
        <f>"$"</f>
        <v>$</v>
      </c>
      <c r="R4506" t="str">
        <f>"הזמנה"</f>
        <v>הזמנה</v>
      </c>
      <c r="S4506">
        <v>0</v>
      </c>
      <c r="T4506">
        <v>-450</v>
      </c>
      <c r="U4506">
        <v>0</v>
      </c>
      <c r="V4506">
        <v>-450</v>
      </c>
      <c r="W4506" t="str">
        <f>"$"</f>
        <v>$</v>
      </c>
      <c r="X4506">
        <v>0</v>
      </c>
      <c r="Y4506">
        <v>0</v>
      </c>
      <c r="Z4506">
        <v>0</v>
      </c>
      <c r="AA4506" t="str">
        <f>"Y"</f>
        <v>Y</v>
      </c>
      <c r="AC4506">
        <v>0</v>
      </c>
      <c r="AM4506" t="str">
        <f>"10"</f>
        <v>10</v>
      </c>
      <c r="AN4506" t="str">
        <f>"500000"</f>
        <v>500000</v>
      </c>
      <c r="AO4506" t="str">
        <f>"הכנסות  מלקוחות"</f>
        <v>הכנסות  מלקוחות</v>
      </c>
      <c r="AQ4506" t="str">
        <f>"017"</f>
        <v>017</v>
      </c>
      <c r="AR4506">
        <v>0</v>
      </c>
      <c r="AS4506">
        <v>0</v>
      </c>
      <c r="AT4506">
        <v>3.8109999999999999</v>
      </c>
      <c r="BB4506" t="str">
        <f>"Y"</f>
        <v>Y</v>
      </c>
      <c r="BD4506" t="str">
        <f>"שחר דאהמן"</f>
        <v>שחר דאהמן</v>
      </c>
    </row>
    <row r="4507" spans="1:56" x14ac:dyDescent="0.3">
      <c r="A4507" s="1">
        <v>42758</v>
      </c>
      <c r="B4507" t="str">
        <f>"SI176000098"</f>
        <v>SI176000098</v>
      </c>
      <c r="E4507" t="str">
        <f>"Y"</f>
        <v>Y</v>
      </c>
      <c r="F4507" t="str">
        <f>"חשבוניות מרכזות"</f>
        <v>חשבוניות מרכזות</v>
      </c>
      <c r="G4507" t="str">
        <f>"700065"</f>
        <v>700065</v>
      </c>
      <c r="H4507" t="str">
        <f>"אלתא מערכות בע""מ"</f>
        <v>אלתא מערכות בע"מ</v>
      </c>
      <c r="I4507" t="str">
        <f>"10"</f>
        <v>10</v>
      </c>
      <c r="J4507" t="str">
        <f>"OP-AR00462"</f>
        <v>OP-AR00462</v>
      </c>
      <c r="K4507" t="str">
        <f>"רתמה 2015F975-001"</f>
        <v>רתמה 2015F975-001</v>
      </c>
      <c r="L4507">
        <v>6</v>
      </c>
      <c r="M4507" t="str">
        <f>"יח"</f>
        <v>יח</v>
      </c>
      <c r="N4507">
        <v>6</v>
      </c>
      <c r="O4507" t="str">
        <f>"יח"</f>
        <v>יח</v>
      </c>
      <c r="P4507">
        <v>35</v>
      </c>
      <c r="Q4507" t="str">
        <f>"$"</f>
        <v>$</v>
      </c>
      <c r="R4507" t="str">
        <f>"הזמנה"</f>
        <v>הזמנה</v>
      </c>
      <c r="S4507">
        <v>0</v>
      </c>
      <c r="T4507">
        <v>210</v>
      </c>
      <c r="U4507">
        <v>0</v>
      </c>
      <c r="V4507">
        <v>210</v>
      </c>
      <c r="W4507" t="str">
        <f>"$"</f>
        <v>$</v>
      </c>
      <c r="X4507">
        <v>0</v>
      </c>
      <c r="Y4507">
        <v>0</v>
      </c>
      <c r="Z4507">
        <v>0</v>
      </c>
      <c r="AA4507" t="str">
        <f>"Y"</f>
        <v>Y</v>
      </c>
      <c r="AC4507">
        <v>0</v>
      </c>
      <c r="AM4507" t="str">
        <f>"10"</f>
        <v>10</v>
      </c>
      <c r="AN4507" t="str">
        <f>"500000"</f>
        <v>500000</v>
      </c>
      <c r="AO4507" t="str">
        <f>"הכנסות  מלקוחות"</f>
        <v>הכנסות  מלקוחות</v>
      </c>
      <c r="AQ4507" t="str">
        <f>"017"</f>
        <v>017</v>
      </c>
      <c r="AR4507">
        <v>0</v>
      </c>
      <c r="AS4507">
        <v>0</v>
      </c>
      <c r="AT4507">
        <v>3.8109999999999999</v>
      </c>
      <c r="BB4507" t="str">
        <f>"Y"</f>
        <v>Y</v>
      </c>
      <c r="BD4507" t="str">
        <f>"שחר דאהמן"</f>
        <v>שחר דאהמן</v>
      </c>
    </row>
    <row r="4508" spans="1:56" x14ac:dyDescent="0.3">
      <c r="A4508" s="1">
        <v>42758</v>
      </c>
      <c r="B4508" t="str">
        <f>"SI176000098"</f>
        <v>SI176000098</v>
      </c>
      <c r="E4508" t="str">
        <f>"Y"</f>
        <v>Y</v>
      </c>
      <c r="F4508" t="str">
        <f>"חשבוניות מרכזות"</f>
        <v>חשבוניות מרכזות</v>
      </c>
      <c r="G4508" t="str">
        <f>"700065"</f>
        <v>700065</v>
      </c>
      <c r="H4508" t="str">
        <f>"אלתא מערכות בע""מ"</f>
        <v>אלתא מערכות בע"מ</v>
      </c>
      <c r="I4508" t="str">
        <f>"10"</f>
        <v>10</v>
      </c>
      <c r="J4508" t="str">
        <f>"OP-AR00461"</f>
        <v>OP-AR00461</v>
      </c>
      <c r="K4508" t="str">
        <f>"רתמה 2015F637-002"</f>
        <v>רתמה 2015F637-002</v>
      </c>
      <c r="L4508">
        <v>6</v>
      </c>
      <c r="M4508" t="str">
        <f>"יח"</f>
        <v>יח</v>
      </c>
      <c r="N4508">
        <v>6</v>
      </c>
      <c r="O4508" t="str">
        <f>"יח"</f>
        <v>יח</v>
      </c>
      <c r="P4508">
        <v>75</v>
      </c>
      <c r="Q4508" t="str">
        <f>"$"</f>
        <v>$</v>
      </c>
      <c r="R4508" t="str">
        <f>"הזמנה"</f>
        <v>הזמנה</v>
      </c>
      <c r="S4508">
        <v>0</v>
      </c>
      <c r="T4508">
        <v>450</v>
      </c>
      <c r="U4508">
        <v>0</v>
      </c>
      <c r="V4508">
        <v>450</v>
      </c>
      <c r="W4508" t="str">
        <f>"$"</f>
        <v>$</v>
      </c>
      <c r="X4508">
        <v>0</v>
      </c>
      <c r="Y4508">
        <v>0</v>
      </c>
      <c r="Z4508">
        <v>0</v>
      </c>
      <c r="AA4508" t="str">
        <f>"Y"</f>
        <v>Y</v>
      </c>
      <c r="AC4508">
        <v>0</v>
      </c>
      <c r="AM4508" t="str">
        <f>"10"</f>
        <v>10</v>
      </c>
      <c r="AN4508" t="str">
        <f>"500000"</f>
        <v>500000</v>
      </c>
      <c r="AO4508" t="str">
        <f>"הכנסות  מלקוחות"</f>
        <v>הכנסות  מלקוחות</v>
      </c>
      <c r="AQ4508" t="str">
        <f>"017"</f>
        <v>017</v>
      </c>
      <c r="AR4508">
        <v>0</v>
      </c>
      <c r="AS4508">
        <v>0</v>
      </c>
      <c r="AT4508">
        <v>3.8109999999999999</v>
      </c>
      <c r="BB4508" t="str">
        <f>"Y"</f>
        <v>Y</v>
      </c>
      <c r="BD4508" t="str">
        <f>"שחר דאהמן"</f>
        <v>שחר דאהמן</v>
      </c>
    </row>
    <row r="4509" spans="1:56" x14ac:dyDescent="0.3">
      <c r="A4509" s="1">
        <v>42754</v>
      </c>
      <c r="B4509" t="str">
        <f>"SI176000076"</f>
        <v>SI176000076</v>
      </c>
      <c r="C4509" t="str">
        <f>"PR15003235"</f>
        <v>PR15003235</v>
      </c>
      <c r="E4509" t="str">
        <f>"Y"</f>
        <v>Y</v>
      </c>
      <c r="F4509" t="str">
        <f>"חשבוניות מרכזות"</f>
        <v>חשבוניות מרכזות</v>
      </c>
      <c r="G4509" t="str">
        <f>"700065"</f>
        <v>700065</v>
      </c>
      <c r="H4509" t="str">
        <f>"אלתא מערכות בע""מ"</f>
        <v>אלתא מערכות בע"מ</v>
      </c>
      <c r="I4509" t="str">
        <f>"10"</f>
        <v>10</v>
      </c>
      <c r="J4509" t="str">
        <f>"OP-AR09107-2"</f>
        <v>OP-AR09107-2</v>
      </c>
      <c r="K4509" t="str">
        <f>"לוח AUX BOX מק""ט לקוח 1026L320-002"</f>
        <v>לוח AUX BOX מק"ט לקוח 1026L320-002</v>
      </c>
      <c r="L4509">
        <v>1</v>
      </c>
      <c r="M4509" t="str">
        <f>"יח"</f>
        <v>יח</v>
      </c>
      <c r="N4509">
        <v>1</v>
      </c>
      <c r="O4509" t="str">
        <f>"יח"</f>
        <v>יח</v>
      </c>
      <c r="P4509" s="2">
        <v>11263.95</v>
      </c>
      <c r="Q4509" t="str">
        <f>"$"</f>
        <v>$</v>
      </c>
      <c r="R4509" t="str">
        <f>"הזמנה"</f>
        <v>הזמנה</v>
      </c>
      <c r="S4509">
        <v>0</v>
      </c>
      <c r="T4509" s="2">
        <v>11263.95</v>
      </c>
      <c r="U4509">
        <v>0</v>
      </c>
      <c r="V4509" s="2">
        <v>11263.95</v>
      </c>
      <c r="W4509" t="str">
        <f>"$"</f>
        <v>$</v>
      </c>
      <c r="X4509">
        <v>0</v>
      </c>
      <c r="Y4509">
        <v>0</v>
      </c>
      <c r="Z4509">
        <v>0</v>
      </c>
      <c r="AA4509" t="str">
        <f>"Y"</f>
        <v>Y</v>
      </c>
      <c r="AB4509" t="str">
        <f>"SO150003697"</f>
        <v>SO150003697</v>
      </c>
      <c r="AC4509">
        <v>8</v>
      </c>
      <c r="AD4509" s="1">
        <v>42283</v>
      </c>
      <c r="AE4509" t="str">
        <f>"SH17000176"</f>
        <v>SH17000176</v>
      </c>
      <c r="AF4509" t="str">
        <f>"משלוחים ללקוח"</f>
        <v>משלוחים ללקוח</v>
      </c>
      <c r="AG4509" s="1">
        <v>42753</v>
      </c>
      <c r="AM4509" t="str">
        <f>"10"</f>
        <v>10</v>
      </c>
      <c r="AN4509" t="str">
        <f>"500000"</f>
        <v>500000</v>
      </c>
      <c r="AO4509" t="str">
        <f>"הכנסות  מלקוחות"</f>
        <v>הכנסות  מלקוחות</v>
      </c>
      <c r="AQ4509" t="str">
        <f>"007"</f>
        <v>007</v>
      </c>
      <c r="AR4509">
        <v>0</v>
      </c>
      <c r="AS4509">
        <v>0</v>
      </c>
      <c r="AT4509">
        <v>3.81</v>
      </c>
      <c r="AX4509" t="str">
        <f>"E000200592"</f>
        <v>E000200592</v>
      </c>
      <c r="BD4509" t="str">
        <f>"רוני דידי"</f>
        <v>רוני דידי</v>
      </c>
    </row>
    <row r="4510" spans="1:56" x14ac:dyDescent="0.3">
      <c r="A4510" s="1">
        <v>42754</v>
      </c>
      <c r="B4510" t="str">
        <f>"SI176000074"</f>
        <v>SI176000074</v>
      </c>
      <c r="C4510" t="str">
        <f>"PR16000668"</f>
        <v>PR16000668</v>
      </c>
      <c r="D4510" t="str">
        <f>"PR16000668"</f>
        <v>PR16000668</v>
      </c>
      <c r="E4510" t="str">
        <f>"Y"</f>
        <v>Y</v>
      </c>
      <c r="F4510" t="str">
        <f>"חשבוניות מרכזות"</f>
        <v>חשבוניות מרכזות</v>
      </c>
      <c r="G4510" t="str">
        <f>"700065"</f>
        <v>700065</v>
      </c>
      <c r="H4510" t="str">
        <f>"אלתא מערכות בע""מ"</f>
        <v>אלתא מערכות בע"מ</v>
      </c>
      <c r="I4510" t="str">
        <f>"10"</f>
        <v>10</v>
      </c>
      <c r="J4510" t="str">
        <f>"OP-AR00367"</f>
        <v>OP-AR00367</v>
      </c>
      <c r="K4510" t="str">
        <f>"קופסת בקרה PLUS התקנה"</f>
        <v>קופסת בקרה PLUS התקנה</v>
      </c>
      <c r="L4510">
        <v>3</v>
      </c>
      <c r="M4510" t="str">
        <f>"יח"</f>
        <v>יח</v>
      </c>
      <c r="N4510">
        <v>3</v>
      </c>
      <c r="O4510" t="str">
        <f>"יח"</f>
        <v>יח</v>
      </c>
      <c r="P4510" s="2">
        <v>2900</v>
      </c>
      <c r="Q4510" t="str">
        <f>"$"</f>
        <v>$</v>
      </c>
      <c r="R4510" t="str">
        <f>"הזמנה"</f>
        <v>הזמנה</v>
      </c>
      <c r="S4510">
        <v>0</v>
      </c>
      <c r="T4510" s="2">
        <v>8700</v>
      </c>
      <c r="U4510">
        <v>0</v>
      </c>
      <c r="V4510" s="2">
        <v>8700</v>
      </c>
      <c r="W4510" t="str">
        <f>"$"</f>
        <v>$</v>
      </c>
      <c r="X4510">
        <v>0</v>
      </c>
      <c r="Y4510">
        <v>0</v>
      </c>
      <c r="Z4510">
        <v>0</v>
      </c>
      <c r="AA4510" t="str">
        <f>"Y"</f>
        <v>Y</v>
      </c>
      <c r="AB4510" t="str">
        <f>"SO160000514"</f>
        <v>SO160000514</v>
      </c>
      <c r="AC4510">
        <v>1</v>
      </c>
      <c r="AD4510" s="1">
        <v>42561</v>
      </c>
      <c r="AE4510" t="str">
        <f>"SH17000179"</f>
        <v>SH17000179</v>
      </c>
      <c r="AF4510" t="str">
        <f>"משלוחים ללקוח"</f>
        <v>משלוחים ללקוח</v>
      </c>
      <c r="AG4510" s="1">
        <v>42753</v>
      </c>
      <c r="AM4510" t="str">
        <f>"10"</f>
        <v>10</v>
      </c>
      <c r="AN4510" t="str">
        <f>"500000"</f>
        <v>500000</v>
      </c>
      <c r="AO4510" t="str">
        <f>"הכנסות  מלקוחות"</f>
        <v>הכנסות  מלקוחות</v>
      </c>
      <c r="AQ4510" t="str">
        <f>"007"</f>
        <v>007</v>
      </c>
      <c r="AR4510">
        <v>0</v>
      </c>
      <c r="AS4510">
        <v>0</v>
      </c>
      <c r="AT4510">
        <v>3.81</v>
      </c>
      <c r="AX4510" t="str">
        <f>"E000220541"</f>
        <v>E000220541</v>
      </c>
      <c r="BD4510" t="str">
        <f>"רוני דידי"</f>
        <v>רוני דידי</v>
      </c>
    </row>
    <row r="4511" spans="1:56" x14ac:dyDescent="0.3">
      <c r="A4511" s="1">
        <v>42747</v>
      </c>
      <c r="B4511" t="str">
        <f>"SI176000053"</f>
        <v>SI176000053</v>
      </c>
      <c r="C4511" t="str">
        <f>"PR15003501"</f>
        <v>PR15003501</v>
      </c>
      <c r="E4511" t="str">
        <f>"Y"</f>
        <v>Y</v>
      </c>
      <c r="F4511" t="str">
        <f>"חשבוניות מרכזות"</f>
        <v>חשבוניות מרכזות</v>
      </c>
      <c r="G4511" t="str">
        <f>"700065"</f>
        <v>700065</v>
      </c>
      <c r="H4511" t="str">
        <f>"אלתא מערכות בע""מ"</f>
        <v>אלתא מערכות בע"מ</v>
      </c>
      <c r="I4511" t="str">
        <f>"10"</f>
        <v>10</v>
      </c>
      <c r="J4511" t="str">
        <f>"OP-AR09105"</f>
        <v>OP-AR09105</v>
      </c>
      <c r="K4511" t="str">
        <f>"לוח LB-PDB מק""ט לקוח 1026L310-002"</f>
        <v>לוח LB-PDB מק"ט לקוח 1026L310-002</v>
      </c>
      <c r="L4511">
        <v>1</v>
      </c>
      <c r="M4511" t="str">
        <f>"יח"</f>
        <v>יח</v>
      </c>
      <c r="N4511">
        <v>1</v>
      </c>
      <c r="O4511" t="str">
        <f>"יח"</f>
        <v>יח</v>
      </c>
      <c r="P4511" s="2">
        <v>25450</v>
      </c>
      <c r="Q4511" t="str">
        <f>"$"</f>
        <v>$</v>
      </c>
      <c r="R4511" t="str">
        <f>"הזמנה"</f>
        <v>הזמנה</v>
      </c>
      <c r="S4511">
        <v>0</v>
      </c>
      <c r="T4511" s="2">
        <v>25450</v>
      </c>
      <c r="U4511">
        <v>0</v>
      </c>
      <c r="V4511" s="2">
        <v>25450</v>
      </c>
      <c r="W4511" t="str">
        <f>"$"</f>
        <v>$</v>
      </c>
      <c r="X4511">
        <v>0</v>
      </c>
      <c r="Y4511">
        <v>0</v>
      </c>
      <c r="Z4511">
        <v>0</v>
      </c>
      <c r="AA4511" t="str">
        <f>"Y"</f>
        <v>Y</v>
      </c>
      <c r="AB4511" t="str">
        <f>"SO12T000001"</f>
        <v>SO12T000001</v>
      </c>
      <c r="AC4511">
        <v>23</v>
      </c>
      <c r="AD4511" s="1">
        <v>41256</v>
      </c>
      <c r="AE4511" t="str">
        <f>"SH17000081"</f>
        <v>SH17000081</v>
      </c>
      <c r="AF4511" t="str">
        <f>"משלוחים ללקוח"</f>
        <v>משלוחים ללקוח</v>
      </c>
      <c r="AG4511" s="1">
        <v>42743</v>
      </c>
      <c r="AM4511" t="str">
        <f>"10"</f>
        <v>10</v>
      </c>
      <c r="AN4511" t="str">
        <f>"500000"</f>
        <v>500000</v>
      </c>
      <c r="AO4511" t="str">
        <f>"הכנסות  מלקוחות"</f>
        <v>הכנסות  מלקוחות</v>
      </c>
      <c r="AQ4511" t="str">
        <f>"007"</f>
        <v>007</v>
      </c>
      <c r="AR4511">
        <v>0</v>
      </c>
      <c r="AS4511">
        <v>0</v>
      </c>
      <c r="AT4511">
        <v>3.8519999999999999</v>
      </c>
      <c r="AX4511" t="str">
        <f>"E000093662"</f>
        <v>E000093662</v>
      </c>
      <c r="BD4511" t="str">
        <f>"רוני דידי"</f>
        <v>רוני דידי</v>
      </c>
    </row>
    <row r="4512" spans="1:56" x14ac:dyDescent="0.3">
      <c r="A4512" s="1">
        <v>42747</v>
      </c>
      <c r="B4512" t="str">
        <f>"SI176000053"</f>
        <v>SI176000053</v>
      </c>
      <c r="C4512" t="str">
        <f>"PR15003501"</f>
        <v>PR15003501</v>
      </c>
      <c r="E4512" t="str">
        <f>"Y"</f>
        <v>Y</v>
      </c>
      <c r="F4512" t="str">
        <f>"חשבוניות מרכזות"</f>
        <v>חשבוניות מרכזות</v>
      </c>
      <c r="G4512" t="str">
        <f>"700065"</f>
        <v>700065</v>
      </c>
      <c r="H4512" t="str">
        <f>"אלתא מערכות בע""מ"</f>
        <v>אלתא מערכות בע"מ</v>
      </c>
      <c r="I4512" t="str">
        <f>"10"</f>
        <v>10</v>
      </c>
      <c r="J4512" t="str">
        <f>"OP-AR09105"</f>
        <v>OP-AR09105</v>
      </c>
      <c r="K4512" t="str">
        <f>"לוח LB-PDB מק""ט לקוח 1026L310-002"</f>
        <v>לוח LB-PDB מק"ט לקוח 1026L310-002</v>
      </c>
      <c r="L4512">
        <v>1</v>
      </c>
      <c r="M4512" t="str">
        <f>"יח"</f>
        <v>יח</v>
      </c>
      <c r="N4512">
        <v>1</v>
      </c>
      <c r="O4512" t="str">
        <f>"יח"</f>
        <v>יח</v>
      </c>
      <c r="P4512" s="2">
        <v>25450</v>
      </c>
      <c r="Q4512" t="str">
        <f>"$"</f>
        <v>$</v>
      </c>
      <c r="R4512" t="str">
        <f>"הזמנה"</f>
        <v>הזמנה</v>
      </c>
      <c r="S4512">
        <v>0</v>
      </c>
      <c r="T4512" s="2">
        <v>25450</v>
      </c>
      <c r="U4512">
        <v>0</v>
      </c>
      <c r="V4512" s="2">
        <v>25450</v>
      </c>
      <c r="W4512" t="str">
        <f>"$"</f>
        <v>$</v>
      </c>
      <c r="X4512">
        <v>0</v>
      </c>
      <c r="Y4512">
        <v>0</v>
      </c>
      <c r="Z4512">
        <v>0</v>
      </c>
      <c r="AA4512" t="str">
        <f>"Y"</f>
        <v>Y</v>
      </c>
      <c r="AB4512" t="str">
        <f>"SO12T000001"</f>
        <v>SO12T000001</v>
      </c>
      <c r="AC4512">
        <v>36</v>
      </c>
      <c r="AD4512" s="1">
        <v>41256</v>
      </c>
      <c r="AE4512" t="str">
        <f>"SH17000081"</f>
        <v>SH17000081</v>
      </c>
      <c r="AF4512" t="str">
        <f>"משלוחים ללקוח"</f>
        <v>משלוחים ללקוח</v>
      </c>
      <c r="AG4512" s="1">
        <v>42743</v>
      </c>
      <c r="AM4512" t="str">
        <f>"10"</f>
        <v>10</v>
      </c>
      <c r="AN4512" t="str">
        <f>"500000"</f>
        <v>500000</v>
      </c>
      <c r="AO4512" t="str">
        <f>"הכנסות  מלקוחות"</f>
        <v>הכנסות  מלקוחות</v>
      </c>
      <c r="AQ4512" t="str">
        <f>"007"</f>
        <v>007</v>
      </c>
      <c r="AR4512">
        <v>0</v>
      </c>
      <c r="AS4512">
        <v>0</v>
      </c>
      <c r="AT4512">
        <v>3.8519999999999999</v>
      </c>
      <c r="AX4512" t="str">
        <f>"E000093662"</f>
        <v>E000093662</v>
      </c>
      <c r="BD4512" t="str">
        <f>"רוני דידי"</f>
        <v>רוני דידי</v>
      </c>
    </row>
    <row r="4513" spans="1:56" x14ac:dyDescent="0.3">
      <c r="A4513" s="1">
        <v>42747</v>
      </c>
      <c r="B4513" t="str">
        <f>"SI176000053"</f>
        <v>SI176000053</v>
      </c>
      <c r="C4513" t="str">
        <f>"PR15003501"</f>
        <v>PR15003501</v>
      </c>
      <c r="E4513" t="str">
        <f>"Y"</f>
        <v>Y</v>
      </c>
      <c r="F4513" t="str">
        <f>"חשבוניות מרכזות"</f>
        <v>חשבוניות מרכזות</v>
      </c>
      <c r="G4513" t="str">
        <f>"700065"</f>
        <v>700065</v>
      </c>
      <c r="H4513" t="str">
        <f>"אלתא מערכות בע""מ"</f>
        <v>אלתא מערכות בע"מ</v>
      </c>
      <c r="I4513" t="str">
        <f>"10"</f>
        <v>10</v>
      </c>
      <c r="J4513" t="str">
        <f>"OP-AR09105"</f>
        <v>OP-AR09105</v>
      </c>
      <c r="K4513" t="str">
        <f>"לוח LB-PDB מק""ט לקוח 1026L310-002"</f>
        <v>לוח LB-PDB מק"ט לקוח 1026L310-002</v>
      </c>
      <c r="L4513">
        <v>1</v>
      </c>
      <c r="M4513" t="str">
        <f>"יח"</f>
        <v>יח</v>
      </c>
      <c r="N4513">
        <v>1</v>
      </c>
      <c r="O4513" t="str">
        <f>"יח"</f>
        <v>יח</v>
      </c>
      <c r="P4513" s="2">
        <v>25450</v>
      </c>
      <c r="Q4513" t="str">
        <f>"$"</f>
        <v>$</v>
      </c>
      <c r="R4513" t="str">
        <f>"הזמנה"</f>
        <v>הזמנה</v>
      </c>
      <c r="S4513">
        <v>0</v>
      </c>
      <c r="T4513" s="2">
        <v>25450</v>
      </c>
      <c r="U4513">
        <v>0</v>
      </c>
      <c r="V4513" s="2">
        <v>25450</v>
      </c>
      <c r="W4513" t="str">
        <f>"$"</f>
        <v>$</v>
      </c>
      <c r="X4513">
        <v>0</v>
      </c>
      <c r="Y4513">
        <v>0</v>
      </c>
      <c r="Z4513">
        <v>0</v>
      </c>
      <c r="AA4513" t="str">
        <f>"Y"</f>
        <v>Y</v>
      </c>
      <c r="AB4513" t="str">
        <f>"SO12T000001"</f>
        <v>SO12T000001</v>
      </c>
      <c r="AC4513">
        <v>55</v>
      </c>
      <c r="AD4513" s="1">
        <v>41256</v>
      </c>
      <c r="AE4513" t="str">
        <f>"SH17000081"</f>
        <v>SH17000081</v>
      </c>
      <c r="AF4513" t="str">
        <f>"משלוחים ללקוח"</f>
        <v>משלוחים ללקוח</v>
      </c>
      <c r="AG4513" s="1">
        <v>42743</v>
      </c>
      <c r="AM4513" t="str">
        <f>"10"</f>
        <v>10</v>
      </c>
      <c r="AN4513" t="str">
        <f>"500000"</f>
        <v>500000</v>
      </c>
      <c r="AO4513" t="str">
        <f>"הכנסות  מלקוחות"</f>
        <v>הכנסות  מלקוחות</v>
      </c>
      <c r="AQ4513" t="str">
        <f>"007"</f>
        <v>007</v>
      </c>
      <c r="AR4513">
        <v>0</v>
      </c>
      <c r="AS4513">
        <v>0</v>
      </c>
      <c r="AT4513">
        <v>3.8519999999999999</v>
      </c>
      <c r="AX4513" t="str">
        <f>"E000093662"</f>
        <v>E000093662</v>
      </c>
      <c r="BD4513" t="str">
        <f>"רוני דידי"</f>
        <v>רוני דידי</v>
      </c>
    </row>
    <row r="4514" spans="1:56" x14ac:dyDescent="0.3">
      <c r="A4514" s="1">
        <v>42747</v>
      </c>
      <c r="B4514" t="str">
        <f>"SI176000052"</f>
        <v>SI176000052</v>
      </c>
      <c r="C4514" t="str">
        <f>"PR16000866"</f>
        <v>PR16000866</v>
      </c>
      <c r="D4514" t="str">
        <f>"PR16000866"</f>
        <v>PR16000866</v>
      </c>
      <c r="E4514" t="str">
        <f>"Y"</f>
        <v>Y</v>
      </c>
      <c r="F4514" t="str">
        <f>"חשבוניות מרכזות"</f>
        <v>חשבוניות מרכזות</v>
      </c>
      <c r="G4514" t="str">
        <f>"700065"</f>
        <v>700065</v>
      </c>
      <c r="H4514" t="str">
        <f>"אלתא מערכות בע""מ"</f>
        <v>אלתא מערכות בע"מ</v>
      </c>
      <c r="I4514" t="str">
        <f>"10"</f>
        <v>10</v>
      </c>
      <c r="J4514" t="str">
        <f>"OP-AR00418"</f>
        <v>OP-AR00418</v>
      </c>
      <c r="K4514" t="str">
        <f>"מסד CARMA RACK 1038N403-001"</f>
        <v>מסד CARMA RACK 1038N403-001</v>
      </c>
      <c r="L4514">
        <v>2</v>
      </c>
      <c r="M4514" t="str">
        <f>"יח"</f>
        <v>יח</v>
      </c>
      <c r="N4514">
        <v>2</v>
      </c>
      <c r="O4514" t="str">
        <f>"יח"</f>
        <v>יח</v>
      </c>
      <c r="P4514" s="2">
        <v>23030</v>
      </c>
      <c r="Q4514" t="str">
        <f>"$"</f>
        <v>$</v>
      </c>
      <c r="R4514" t="str">
        <f>"הזמנה"</f>
        <v>הזמנה</v>
      </c>
      <c r="S4514">
        <v>0</v>
      </c>
      <c r="T4514" s="2">
        <v>46060</v>
      </c>
      <c r="U4514">
        <v>0</v>
      </c>
      <c r="V4514" s="2">
        <v>46060</v>
      </c>
      <c r="W4514" t="str">
        <f>"$"</f>
        <v>$</v>
      </c>
      <c r="X4514">
        <v>0</v>
      </c>
      <c r="Y4514">
        <v>0</v>
      </c>
      <c r="Z4514">
        <v>0</v>
      </c>
      <c r="AA4514" t="str">
        <f>"Y"</f>
        <v>Y</v>
      </c>
      <c r="AB4514" t="str">
        <f>"SO160000645"</f>
        <v>SO160000645</v>
      </c>
      <c r="AC4514">
        <v>1</v>
      </c>
      <c r="AD4514" s="1">
        <v>42618</v>
      </c>
      <c r="AE4514" t="str">
        <f>"SH17000095"</f>
        <v>SH17000095</v>
      </c>
      <c r="AF4514" t="str">
        <f>"משלוחים ללקוח"</f>
        <v>משלוחים ללקוח</v>
      </c>
      <c r="AG4514" s="1">
        <v>42744</v>
      </c>
      <c r="AM4514" t="str">
        <f>"10"</f>
        <v>10</v>
      </c>
      <c r="AN4514" t="str">
        <f>"500000"</f>
        <v>500000</v>
      </c>
      <c r="AO4514" t="str">
        <f>"הכנסות  מלקוחות"</f>
        <v>הכנסות  מלקוחות</v>
      </c>
      <c r="AQ4514" t="str">
        <f>"007"</f>
        <v>007</v>
      </c>
      <c r="AR4514">
        <v>0</v>
      </c>
      <c r="AS4514">
        <v>0</v>
      </c>
      <c r="AT4514">
        <v>3.8519999999999999</v>
      </c>
      <c r="AX4514" t="str">
        <f>"E000224453"</f>
        <v>E000224453</v>
      </c>
      <c r="BD4514" t="str">
        <f>"רוני דידי"</f>
        <v>רוני דידי</v>
      </c>
    </row>
    <row r="4515" spans="1:56" x14ac:dyDescent="0.3">
      <c r="A4515" s="1">
        <v>42746</v>
      </c>
      <c r="B4515" t="str">
        <f>"SI176000036"</f>
        <v>SI176000036</v>
      </c>
      <c r="C4515" t="str">
        <f>"PR16001247"</f>
        <v>PR16001247</v>
      </c>
      <c r="D4515" t="str">
        <f>"PR16001247"</f>
        <v>PR16001247</v>
      </c>
      <c r="E4515" t="str">
        <f>"Y"</f>
        <v>Y</v>
      </c>
      <c r="F4515" t="str">
        <f>"חשבוניות מרכזות"</f>
        <v>חשבוניות מרכזות</v>
      </c>
      <c r="G4515" t="str">
        <f>"700065"</f>
        <v>700065</v>
      </c>
      <c r="H4515" t="str">
        <f>"אלתא מערכות בע""מ"</f>
        <v>אלתא מערכות בע"מ</v>
      </c>
      <c r="I4515" t="str">
        <f>"10"</f>
        <v>10</v>
      </c>
      <c r="J4515" t="str">
        <f>"000"</f>
        <v>000</v>
      </c>
      <c r="K4515" t="str">
        <f>"התקנת אנטנות GPS גג מבנה במבה טל שחר"</f>
        <v>התקנת אנטנות GPS גג מבנה במבה טל שחר</v>
      </c>
      <c r="L4515">
        <v>1</v>
      </c>
      <c r="M4515" t="str">
        <f>"יח"</f>
        <v>יח</v>
      </c>
      <c r="N4515">
        <v>1</v>
      </c>
      <c r="O4515" t="str">
        <f>"יח"</f>
        <v>יח</v>
      </c>
      <c r="P4515" s="2">
        <v>2100</v>
      </c>
      <c r="Q4515" t="str">
        <f>"$"</f>
        <v>$</v>
      </c>
      <c r="R4515" t="str">
        <f>"הזמנה"</f>
        <v>הזמנה</v>
      </c>
      <c r="S4515">
        <v>0</v>
      </c>
      <c r="T4515" s="2">
        <v>2100</v>
      </c>
      <c r="U4515">
        <v>0</v>
      </c>
      <c r="V4515" s="2">
        <v>2100</v>
      </c>
      <c r="W4515" t="str">
        <f>"$"</f>
        <v>$</v>
      </c>
      <c r="X4515">
        <v>0</v>
      </c>
      <c r="Y4515">
        <v>0</v>
      </c>
      <c r="Z4515">
        <v>0</v>
      </c>
      <c r="AA4515" t="str">
        <f>"Y"</f>
        <v>Y</v>
      </c>
      <c r="AB4515" t="str">
        <f>"SO160000948"</f>
        <v>SO160000948</v>
      </c>
      <c r="AC4515">
        <v>1</v>
      </c>
      <c r="AD4515" s="1">
        <v>42730</v>
      </c>
      <c r="AM4515" t="str">
        <f>"10"</f>
        <v>10</v>
      </c>
      <c r="AN4515" t="str">
        <f>"500000"</f>
        <v>500000</v>
      </c>
      <c r="AO4515" t="str">
        <f>"הכנסות  מלקוחות"</f>
        <v>הכנסות  מלקוחות</v>
      </c>
      <c r="AQ4515" t="str">
        <f>"007"</f>
        <v>007</v>
      </c>
      <c r="AR4515">
        <v>0</v>
      </c>
      <c r="AS4515">
        <v>0</v>
      </c>
      <c r="AT4515">
        <v>3.8450000000000002</v>
      </c>
      <c r="AX4515" t="str">
        <f>"E000230093"</f>
        <v>E000230093</v>
      </c>
      <c r="BD4515" t="str">
        <f>"רוני דידי"</f>
        <v>רוני דידי</v>
      </c>
    </row>
    <row r="4516" spans="1:56" x14ac:dyDescent="0.3">
      <c r="A4516" s="1">
        <v>42726</v>
      </c>
      <c r="B4516" t="str">
        <f>"SI160001742"</f>
        <v>SI160001742</v>
      </c>
      <c r="C4516" t="str">
        <f>"PR15002885"</f>
        <v>PR15002885</v>
      </c>
      <c r="D4516" t="str">
        <f>"PR15002885"</f>
        <v>PR15002885</v>
      </c>
      <c r="E4516" t="str">
        <f>"Y"</f>
        <v>Y</v>
      </c>
      <c r="F4516" t="str">
        <f>"חשבוניות מרכזות"</f>
        <v>חשבוניות מרכזות</v>
      </c>
      <c r="G4516" t="str">
        <f>"700065"</f>
        <v>700065</v>
      </c>
      <c r="H4516" t="str">
        <f>"אלתא מערכות בע""מ"</f>
        <v>אלתא מערכות בע"מ</v>
      </c>
      <c r="I4516" t="str">
        <f>"10"</f>
        <v>10</v>
      </c>
      <c r="J4516" t="str">
        <f>"000"</f>
        <v>000</v>
      </c>
      <c r="K4516" t="str">
        <f>"NRE"</f>
        <v>NRE</v>
      </c>
      <c r="L4516">
        <v>1</v>
      </c>
      <c r="M4516" t="str">
        <f>"יח"</f>
        <v>יח</v>
      </c>
      <c r="N4516">
        <v>1</v>
      </c>
      <c r="O4516" t="str">
        <f>"יח"</f>
        <v>יח</v>
      </c>
      <c r="P4516" s="2">
        <v>4200</v>
      </c>
      <c r="Q4516" t="str">
        <f>"$"</f>
        <v>$</v>
      </c>
      <c r="R4516" t="str">
        <f>"הזמנה"</f>
        <v>הזמנה</v>
      </c>
      <c r="S4516">
        <v>0</v>
      </c>
      <c r="T4516" s="2">
        <v>4200</v>
      </c>
      <c r="U4516">
        <v>0</v>
      </c>
      <c r="V4516" s="2">
        <v>4200</v>
      </c>
      <c r="W4516" t="str">
        <f>"$"</f>
        <v>$</v>
      </c>
      <c r="X4516">
        <v>0</v>
      </c>
      <c r="Y4516">
        <v>0</v>
      </c>
      <c r="Z4516">
        <v>0</v>
      </c>
      <c r="AA4516" t="str">
        <f>"Y"</f>
        <v>Y</v>
      </c>
      <c r="AB4516" t="str">
        <f>"SO150003361"</f>
        <v>SO150003361</v>
      </c>
      <c r="AC4516">
        <v>1</v>
      </c>
      <c r="AD4516" s="1">
        <v>42170</v>
      </c>
      <c r="AM4516" t="str">
        <f>"10"</f>
        <v>10</v>
      </c>
      <c r="AN4516" t="str">
        <f>"500000"</f>
        <v>500000</v>
      </c>
      <c r="AO4516" t="str">
        <f>"הכנסות  מלקוחות"</f>
        <v>הכנסות  מלקוחות</v>
      </c>
      <c r="AQ4516" t="str">
        <f>"007"</f>
        <v>007</v>
      </c>
      <c r="AR4516">
        <v>0</v>
      </c>
      <c r="AS4516">
        <v>0</v>
      </c>
      <c r="AT4516">
        <v>3.83</v>
      </c>
      <c r="AX4516" t="str">
        <f>"E000198614"</f>
        <v>E000198614</v>
      </c>
      <c r="BD4516" t="str">
        <f>"רוני דידי"</f>
        <v>רוני דידי</v>
      </c>
    </row>
    <row r="4517" spans="1:56" x14ac:dyDescent="0.3">
      <c r="A4517" s="1">
        <v>42726</v>
      </c>
      <c r="B4517" t="str">
        <f>"SI160001742"</f>
        <v>SI160001742</v>
      </c>
      <c r="C4517" t="str">
        <f>"PR15002885"</f>
        <v>PR15002885</v>
      </c>
      <c r="D4517" t="str">
        <f>"PR15002885"</f>
        <v>PR15002885</v>
      </c>
      <c r="E4517" t="str">
        <f>"Y"</f>
        <v>Y</v>
      </c>
      <c r="F4517" t="str">
        <f>"חשבוניות מרכזות"</f>
        <v>חשבוניות מרכזות</v>
      </c>
      <c r="G4517" t="str">
        <f>"700065"</f>
        <v>700065</v>
      </c>
      <c r="H4517" t="str">
        <f>"אלתא מערכות בע""מ"</f>
        <v>אלתא מערכות בע"מ</v>
      </c>
      <c r="I4517" t="str">
        <f>"10"</f>
        <v>10</v>
      </c>
      <c r="J4517" t="str">
        <f>"OP-AR00177"</f>
        <v>OP-AR00177</v>
      </c>
      <c r="K4517" t="str">
        <f>"אספקה והתקנת ציוד חיצוני חדר בקרה טל שחר"</f>
        <v>אספקה והתקנת ציוד חיצוני חדר בקרה טל שחר</v>
      </c>
      <c r="L4517">
        <v>1</v>
      </c>
      <c r="M4517" t="str">
        <f>"יח"</f>
        <v>יח</v>
      </c>
      <c r="N4517">
        <v>1</v>
      </c>
      <c r="O4517" t="str">
        <f>"יח"</f>
        <v>יח</v>
      </c>
      <c r="P4517" s="2">
        <v>17803</v>
      </c>
      <c r="Q4517" t="str">
        <f>"$"</f>
        <v>$</v>
      </c>
      <c r="R4517" t="str">
        <f>"הזמנה"</f>
        <v>הזמנה</v>
      </c>
      <c r="S4517">
        <v>0</v>
      </c>
      <c r="T4517" s="2">
        <v>17803</v>
      </c>
      <c r="U4517">
        <v>0</v>
      </c>
      <c r="V4517" s="2">
        <v>17803</v>
      </c>
      <c r="W4517" t="str">
        <f>"$"</f>
        <v>$</v>
      </c>
      <c r="X4517">
        <v>0</v>
      </c>
      <c r="Y4517">
        <v>0</v>
      </c>
      <c r="Z4517">
        <v>0</v>
      </c>
      <c r="AA4517" t="str">
        <f>"Y"</f>
        <v>Y</v>
      </c>
      <c r="AB4517" t="str">
        <f>"SO150003361"</f>
        <v>SO150003361</v>
      </c>
      <c r="AC4517">
        <v>2</v>
      </c>
      <c r="AD4517" s="1">
        <v>42170</v>
      </c>
      <c r="AM4517" t="str">
        <f>"10"</f>
        <v>10</v>
      </c>
      <c r="AN4517" t="str">
        <f>"500000"</f>
        <v>500000</v>
      </c>
      <c r="AO4517" t="str">
        <f>"הכנסות  מלקוחות"</f>
        <v>הכנסות  מלקוחות</v>
      </c>
      <c r="AQ4517" t="str">
        <f>"007"</f>
        <v>007</v>
      </c>
      <c r="AR4517">
        <v>0</v>
      </c>
      <c r="AS4517">
        <v>0</v>
      </c>
      <c r="AT4517">
        <v>3.83</v>
      </c>
      <c r="AX4517" t="str">
        <f>"E000198614"</f>
        <v>E000198614</v>
      </c>
      <c r="BD4517" t="str">
        <f>"רוני דידי"</f>
        <v>רוני דידי</v>
      </c>
    </row>
    <row r="4518" spans="1:56" x14ac:dyDescent="0.3">
      <c r="A4518" s="1">
        <v>42726</v>
      </c>
      <c r="B4518" t="str">
        <f>"SI160001742"</f>
        <v>SI160001742</v>
      </c>
      <c r="C4518" t="str">
        <f>"PR15002885"</f>
        <v>PR15002885</v>
      </c>
      <c r="D4518" t="str">
        <f>"PR15002885"</f>
        <v>PR15002885</v>
      </c>
      <c r="E4518" t="str">
        <f>"Y"</f>
        <v>Y</v>
      </c>
      <c r="F4518" t="str">
        <f>"חשבוניות מרכזות"</f>
        <v>חשבוניות מרכזות</v>
      </c>
      <c r="G4518" t="str">
        <f>"700065"</f>
        <v>700065</v>
      </c>
      <c r="H4518" t="str">
        <f>"אלתא מערכות בע""מ"</f>
        <v>אלתא מערכות בע"מ</v>
      </c>
      <c r="I4518" t="str">
        <f>"10"</f>
        <v>10</v>
      </c>
      <c r="J4518" t="str">
        <f>"OP-AR00178"</f>
        <v>OP-AR00178</v>
      </c>
      <c r="K4518" t="str">
        <f>"אספקה והתקנת ציוד פנימי חדר בקרה טל שחר"</f>
        <v>אספקה והתקנת ציוד פנימי חדר בקרה טל שחר</v>
      </c>
      <c r="L4518">
        <v>1</v>
      </c>
      <c r="M4518" t="str">
        <f>"יח"</f>
        <v>יח</v>
      </c>
      <c r="N4518">
        <v>1</v>
      </c>
      <c r="O4518" t="str">
        <f>"יח"</f>
        <v>יח</v>
      </c>
      <c r="P4518" s="2">
        <v>4893</v>
      </c>
      <c r="Q4518" t="str">
        <f>"$"</f>
        <v>$</v>
      </c>
      <c r="R4518" t="str">
        <f>"הזמנה"</f>
        <v>הזמנה</v>
      </c>
      <c r="S4518">
        <v>0</v>
      </c>
      <c r="T4518" s="2">
        <v>4893</v>
      </c>
      <c r="U4518">
        <v>0</v>
      </c>
      <c r="V4518" s="2">
        <v>4893</v>
      </c>
      <c r="W4518" t="str">
        <f>"$"</f>
        <v>$</v>
      </c>
      <c r="X4518">
        <v>0</v>
      </c>
      <c r="Y4518">
        <v>0</v>
      </c>
      <c r="Z4518">
        <v>0</v>
      </c>
      <c r="AA4518" t="str">
        <f>"Y"</f>
        <v>Y</v>
      </c>
      <c r="AB4518" t="str">
        <f>"SO150003361"</f>
        <v>SO150003361</v>
      </c>
      <c r="AC4518">
        <v>3</v>
      </c>
      <c r="AD4518" s="1">
        <v>42170</v>
      </c>
      <c r="AM4518" t="str">
        <f>"10"</f>
        <v>10</v>
      </c>
      <c r="AN4518" t="str">
        <f>"500000"</f>
        <v>500000</v>
      </c>
      <c r="AO4518" t="str">
        <f>"הכנסות  מלקוחות"</f>
        <v>הכנסות  מלקוחות</v>
      </c>
      <c r="AQ4518" t="str">
        <f>"007"</f>
        <v>007</v>
      </c>
      <c r="AR4518">
        <v>0</v>
      </c>
      <c r="AS4518">
        <v>0</v>
      </c>
      <c r="AT4518">
        <v>3.83</v>
      </c>
      <c r="AX4518" t="str">
        <f>"E000198614"</f>
        <v>E000198614</v>
      </c>
      <c r="BD4518" t="str">
        <f>"רוני דידי"</f>
        <v>רוני דידי</v>
      </c>
    </row>
    <row r="4519" spans="1:56" x14ac:dyDescent="0.3">
      <c r="A4519" s="1">
        <v>42701</v>
      </c>
      <c r="B4519" t="str">
        <f>"SI160001651"</f>
        <v>SI160001651</v>
      </c>
      <c r="C4519" t="str">
        <f>"PR16000754"</f>
        <v>PR16000754</v>
      </c>
      <c r="D4519" t="str">
        <f>"PR16000754"</f>
        <v>PR16000754</v>
      </c>
      <c r="E4519" t="str">
        <f>"Y"</f>
        <v>Y</v>
      </c>
      <c r="F4519" t="str">
        <f>"חשבוניות מרכזות"</f>
        <v>חשבוניות מרכזות</v>
      </c>
      <c r="G4519" t="str">
        <f>"700065"</f>
        <v>700065</v>
      </c>
      <c r="H4519" t="str">
        <f>"אלתא מערכות בע""מ"</f>
        <v>אלתא מערכות בע"מ</v>
      </c>
      <c r="I4519" t="str">
        <f>"10"</f>
        <v>10</v>
      </c>
      <c r="J4519" t="str">
        <f>"GN9992222"</f>
        <v>GN9992222</v>
      </c>
      <c r="K4519" t="str">
        <f>"בדיקת מתקן"</f>
        <v>בדיקת מתקן</v>
      </c>
      <c r="L4519">
        <v>1</v>
      </c>
      <c r="M4519" t="str">
        <f>"יח"</f>
        <v>יח</v>
      </c>
      <c r="N4519">
        <v>1</v>
      </c>
      <c r="O4519" t="str">
        <f>"יח"</f>
        <v>יח</v>
      </c>
      <c r="P4519" s="2">
        <v>1350</v>
      </c>
      <c r="Q4519" t="str">
        <f>"$"</f>
        <v>$</v>
      </c>
      <c r="R4519" t="str">
        <f>"הזמנה"</f>
        <v>הזמנה</v>
      </c>
      <c r="S4519">
        <v>0</v>
      </c>
      <c r="T4519" s="2">
        <v>1350</v>
      </c>
      <c r="U4519">
        <v>0</v>
      </c>
      <c r="V4519" s="2">
        <v>1350</v>
      </c>
      <c r="W4519" t="str">
        <f>"$"</f>
        <v>$</v>
      </c>
      <c r="X4519">
        <v>0</v>
      </c>
      <c r="Y4519">
        <v>0</v>
      </c>
      <c r="Z4519">
        <v>0</v>
      </c>
      <c r="AA4519" t="str">
        <f>"Y"</f>
        <v>Y</v>
      </c>
      <c r="AB4519" t="str">
        <f>"SO160000585"</f>
        <v>SO160000585</v>
      </c>
      <c r="AC4519">
        <v>1</v>
      </c>
      <c r="AD4519" s="1">
        <v>42591</v>
      </c>
      <c r="AM4519" t="str">
        <f>"10"</f>
        <v>10</v>
      </c>
      <c r="AN4519" t="str">
        <f>"500000"</f>
        <v>500000</v>
      </c>
      <c r="AO4519" t="str">
        <f>"הכנסות  מלקוחות"</f>
        <v>הכנסות  מלקוחות</v>
      </c>
      <c r="AQ4519" t="str">
        <f>"007"</f>
        <v>007</v>
      </c>
      <c r="AR4519">
        <v>0</v>
      </c>
      <c r="AS4519">
        <v>0</v>
      </c>
      <c r="AT4519">
        <v>3.871</v>
      </c>
      <c r="AX4519" t="str">
        <f>"E000223508"</f>
        <v>E000223508</v>
      </c>
      <c r="BD4519" t="str">
        <f>"רוני דידי"</f>
        <v>רוני דידי</v>
      </c>
    </row>
    <row r="4520" spans="1:56" x14ac:dyDescent="0.3">
      <c r="A4520" s="1">
        <v>42680</v>
      </c>
      <c r="B4520" t="str">
        <f>"SI160001508"</f>
        <v>SI160001508</v>
      </c>
      <c r="C4520" t="str">
        <f>"PR16000893"</f>
        <v>PR16000893</v>
      </c>
      <c r="D4520" t="str">
        <f>"PR16000893"</f>
        <v>PR16000893</v>
      </c>
      <c r="E4520" t="str">
        <f>"Y"</f>
        <v>Y</v>
      </c>
      <c r="F4520" t="str">
        <f>"חשבוניות מרכזות"</f>
        <v>חשבוניות מרכזות</v>
      </c>
      <c r="G4520" t="str">
        <f>"700065"</f>
        <v>700065</v>
      </c>
      <c r="H4520" t="str">
        <f>"אלתא מערכות בע""מ"</f>
        <v>אלתא מערכות בע"מ</v>
      </c>
      <c r="I4520" t="str">
        <f>"10"</f>
        <v>10</v>
      </c>
      <c r="J4520" t="str">
        <f>"000"</f>
        <v>000</v>
      </c>
      <c r="K4520" t="str">
        <f>"החלפת מיקום ללוח הזנה בטל שחר"</f>
        <v>החלפת מיקום ללוח הזנה בטל שחר</v>
      </c>
      <c r="L4520">
        <v>1</v>
      </c>
      <c r="M4520" t="str">
        <f>"יח"</f>
        <v>יח</v>
      </c>
      <c r="N4520">
        <v>1</v>
      </c>
      <c r="O4520" t="str">
        <f>"יח"</f>
        <v>יח</v>
      </c>
      <c r="P4520">
        <v>820</v>
      </c>
      <c r="Q4520" t="str">
        <f>"$"</f>
        <v>$</v>
      </c>
      <c r="R4520" t="str">
        <f>"הזמנה"</f>
        <v>הזמנה</v>
      </c>
      <c r="S4520">
        <v>0</v>
      </c>
      <c r="T4520">
        <v>820</v>
      </c>
      <c r="U4520">
        <v>0</v>
      </c>
      <c r="V4520">
        <v>820</v>
      </c>
      <c r="W4520" t="str">
        <f>"$"</f>
        <v>$</v>
      </c>
      <c r="X4520">
        <v>0</v>
      </c>
      <c r="Y4520">
        <v>0</v>
      </c>
      <c r="Z4520">
        <v>0</v>
      </c>
      <c r="AA4520" t="str">
        <f>"Y"</f>
        <v>Y</v>
      </c>
      <c r="AB4520" t="str">
        <f>"SO160000657"</f>
        <v>SO160000657</v>
      </c>
      <c r="AC4520">
        <v>1</v>
      </c>
      <c r="AD4520" s="1">
        <v>42620</v>
      </c>
      <c r="AM4520" t="str">
        <f>"10"</f>
        <v>10</v>
      </c>
      <c r="AN4520" t="str">
        <f>"500000"</f>
        <v>500000</v>
      </c>
      <c r="AO4520" t="str">
        <f>"הכנסות  מלקוחות"</f>
        <v>הכנסות  מלקוחות</v>
      </c>
      <c r="AQ4520" t="str">
        <f>"007"</f>
        <v>007</v>
      </c>
      <c r="AR4520">
        <v>0</v>
      </c>
      <c r="AS4520">
        <v>0</v>
      </c>
      <c r="AT4520">
        <v>3.8069999999999999</v>
      </c>
      <c r="AX4520" t="str">
        <f>"E000224771"</f>
        <v>E000224771</v>
      </c>
      <c r="BD4520" t="str">
        <f>"רוני דידי"</f>
        <v>רוני דידי</v>
      </c>
    </row>
    <row r="4521" spans="1:56" x14ac:dyDescent="0.3">
      <c r="A4521" s="1">
        <v>42653</v>
      </c>
      <c r="B4521" t="str">
        <f>"SI160001382"</f>
        <v>SI160001382</v>
      </c>
      <c r="C4521" t="str">
        <f>"PR16000838"</f>
        <v>PR16000838</v>
      </c>
      <c r="D4521" t="str">
        <f>"PR16000838"</f>
        <v>PR16000838</v>
      </c>
      <c r="E4521" t="str">
        <f>"Y"</f>
        <v>Y</v>
      </c>
      <c r="F4521" t="str">
        <f>"חשבוניות מרכזות"</f>
        <v>חשבוניות מרכזות</v>
      </c>
      <c r="G4521" t="str">
        <f>"700065"</f>
        <v>700065</v>
      </c>
      <c r="H4521" t="str">
        <f>"אלתא מערכות בע""מ"</f>
        <v>אלתא מערכות בע"מ</v>
      </c>
      <c r="I4521" t="str">
        <f>"10"</f>
        <v>10</v>
      </c>
      <c r="J4521" t="str">
        <f>"OP-AR00415"</f>
        <v>OP-AR00415</v>
      </c>
      <c r="K4521" t="str">
        <f>"TAL SHAMAIM 270VDC BOX"</f>
        <v>TAL SHAMAIM 270VDC BOX</v>
      </c>
      <c r="L4521">
        <v>1</v>
      </c>
      <c r="M4521" t="str">
        <f>"יח"</f>
        <v>יח</v>
      </c>
      <c r="N4521">
        <v>1</v>
      </c>
      <c r="O4521" t="str">
        <f>"יח"</f>
        <v>יח</v>
      </c>
      <c r="P4521" s="2">
        <v>14500</v>
      </c>
      <c r="Q4521" t="str">
        <f>"$"</f>
        <v>$</v>
      </c>
      <c r="R4521" t="str">
        <f>"הזמנה"</f>
        <v>הזמנה</v>
      </c>
      <c r="S4521">
        <v>0</v>
      </c>
      <c r="T4521" s="2">
        <v>14500</v>
      </c>
      <c r="U4521">
        <v>0</v>
      </c>
      <c r="V4521" s="2">
        <v>14500</v>
      </c>
      <c r="W4521" t="str">
        <f>"$"</f>
        <v>$</v>
      </c>
      <c r="X4521">
        <v>0</v>
      </c>
      <c r="Y4521">
        <v>0</v>
      </c>
      <c r="Z4521">
        <v>0</v>
      </c>
      <c r="AA4521" t="str">
        <f>"Y"</f>
        <v>Y</v>
      </c>
      <c r="AB4521" t="str">
        <f>"SO160000622"</f>
        <v>SO160000622</v>
      </c>
      <c r="AC4521">
        <v>1</v>
      </c>
      <c r="AD4521" s="1">
        <v>42607</v>
      </c>
      <c r="AE4521" t="str">
        <f>"SH16002304"</f>
        <v>SH16002304</v>
      </c>
      <c r="AF4521" t="str">
        <f>"משלוחים ללקוח"</f>
        <v>משלוחים ללקוח</v>
      </c>
      <c r="AG4521" s="1">
        <v>42652</v>
      </c>
      <c r="AM4521" t="str">
        <f>"10"</f>
        <v>10</v>
      </c>
      <c r="AN4521" t="str">
        <f>"500000"</f>
        <v>500000</v>
      </c>
      <c r="AO4521" t="str">
        <f>"הכנסות  מלקוחות"</f>
        <v>הכנסות  מלקוחות</v>
      </c>
      <c r="AQ4521" t="str">
        <f>"007"</f>
        <v>007</v>
      </c>
      <c r="AR4521">
        <v>0</v>
      </c>
      <c r="AS4521">
        <v>0</v>
      </c>
      <c r="AT4521">
        <v>3.794</v>
      </c>
      <c r="AX4521" t="str">
        <f>"E000224305"</f>
        <v>E000224305</v>
      </c>
      <c r="BD4521" t="str">
        <f>"רוני דידי"</f>
        <v>רוני דידי</v>
      </c>
    </row>
    <row r="4522" spans="1:56" x14ac:dyDescent="0.3">
      <c r="A4522" s="1">
        <v>42641</v>
      </c>
      <c r="B4522" t="str">
        <f>"SI160001351"</f>
        <v>SI160001351</v>
      </c>
      <c r="C4522" t="str">
        <f>"PR16000539"</f>
        <v>PR16000539</v>
      </c>
      <c r="D4522" t="str">
        <f>"PR16000539"</f>
        <v>PR16000539</v>
      </c>
      <c r="E4522" t="str">
        <f>"Y"</f>
        <v>Y</v>
      </c>
      <c r="F4522" t="str">
        <f>"חשבוניות מרכזות"</f>
        <v>חשבוניות מרכזות</v>
      </c>
      <c r="G4522" t="str">
        <f>"700065"</f>
        <v>700065</v>
      </c>
      <c r="H4522" t="str">
        <f>"אלתא מערכות בע""מ"</f>
        <v>אלתא מערכות בע"מ</v>
      </c>
      <c r="I4522" t="str">
        <f>"10"</f>
        <v>10</v>
      </c>
      <c r="J4522" t="str">
        <f>"OP-AR00273"</f>
        <v>OP-AR00273</v>
      </c>
      <c r="K4522" t="str">
        <f>"התקנת מסד 1036H570-001"</f>
        <v>התקנת מסד 1036H570-001</v>
      </c>
      <c r="L4522">
        <v>1</v>
      </c>
      <c r="M4522" t="str">
        <f>"יח"</f>
        <v>יח</v>
      </c>
      <c r="N4522">
        <v>1</v>
      </c>
      <c r="O4522" t="str">
        <f>"יח"</f>
        <v>יח</v>
      </c>
      <c r="P4522" s="2">
        <v>24950</v>
      </c>
      <c r="Q4522" t="str">
        <f>"$"</f>
        <v>$</v>
      </c>
      <c r="R4522" t="str">
        <f>"הזמנה"</f>
        <v>הזמנה</v>
      </c>
      <c r="S4522">
        <v>0</v>
      </c>
      <c r="T4522" s="2">
        <v>24950</v>
      </c>
      <c r="U4522">
        <v>0</v>
      </c>
      <c r="V4522" s="2">
        <v>24950</v>
      </c>
      <c r="W4522" t="str">
        <f>"$"</f>
        <v>$</v>
      </c>
      <c r="X4522">
        <v>0</v>
      </c>
      <c r="Y4522">
        <v>0</v>
      </c>
      <c r="Z4522">
        <v>0</v>
      </c>
      <c r="AA4522" t="str">
        <f>"Y"</f>
        <v>Y</v>
      </c>
      <c r="AB4522" t="str">
        <f>"SO160000512"</f>
        <v>SO160000512</v>
      </c>
      <c r="AC4522">
        <v>1</v>
      </c>
      <c r="AD4522" s="1">
        <v>42561</v>
      </c>
      <c r="AE4522" t="str">
        <f>"SH16002220"</f>
        <v>SH16002220</v>
      </c>
      <c r="AF4522" t="str">
        <f>"משלוחים ללקוח"</f>
        <v>משלוחים ללקוח</v>
      </c>
      <c r="AG4522" s="1">
        <v>42639</v>
      </c>
      <c r="AM4522" t="str">
        <f>"10"</f>
        <v>10</v>
      </c>
      <c r="AN4522" t="str">
        <f>"500000"</f>
        <v>500000</v>
      </c>
      <c r="AO4522" t="str">
        <f>"הכנסות  מלקוחות"</f>
        <v>הכנסות  מלקוחות</v>
      </c>
      <c r="AQ4522" t="str">
        <f>"007"</f>
        <v>007</v>
      </c>
      <c r="AR4522">
        <v>0</v>
      </c>
      <c r="AS4522">
        <v>0</v>
      </c>
      <c r="AT4522">
        <v>3.746</v>
      </c>
      <c r="AX4522" t="str">
        <f>"E000220972"</f>
        <v>E000220972</v>
      </c>
      <c r="BD4522" t="str">
        <f>"רוני דידי"</f>
        <v>רוני דידי</v>
      </c>
    </row>
    <row r="4523" spans="1:56" x14ac:dyDescent="0.3">
      <c r="A4523" s="1">
        <v>42641</v>
      </c>
      <c r="B4523" t="str">
        <f>"SI160001350"</f>
        <v>SI160001350</v>
      </c>
      <c r="C4523" t="str">
        <f>"PR16000539"</f>
        <v>PR16000539</v>
      </c>
      <c r="D4523" t="str">
        <f>"PR16000539"</f>
        <v>PR16000539</v>
      </c>
      <c r="E4523" t="str">
        <f>"Y"</f>
        <v>Y</v>
      </c>
      <c r="F4523" t="str">
        <f>"חשבוניות מרכזות"</f>
        <v>חשבוניות מרכזות</v>
      </c>
      <c r="G4523" t="str">
        <f>"700065"</f>
        <v>700065</v>
      </c>
      <c r="H4523" t="str">
        <f>"אלתא מערכות בע""מ"</f>
        <v>אלתא מערכות בע"מ</v>
      </c>
      <c r="I4523" t="str">
        <f>"10"</f>
        <v>10</v>
      </c>
      <c r="J4523" t="str">
        <f>"OP-AR00273"</f>
        <v>OP-AR00273</v>
      </c>
      <c r="K4523" t="str">
        <f>"התקנת מסד 1036H570-001"</f>
        <v>התקנת מסד 1036H570-001</v>
      </c>
      <c r="L4523">
        <v>2</v>
      </c>
      <c r="M4523" t="str">
        <f>"יח"</f>
        <v>יח</v>
      </c>
      <c r="N4523">
        <v>2</v>
      </c>
      <c r="O4523" t="str">
        <f>"יח"</f>
        <v>יח</v>
      </c>
      <c r="P4523" s="2">
        <v>24950</v>
      </c>
      <c r="Q4523" t="str">
        <f>"$"</f>
        <v>$</v>
      </c>
      <c r="R4523" t="str">
        <f>"הזמנה"</f>
        <v>הזמנה</v>
      </c>
      <c r="S4523">
        <v>0</v>
      </c>
      <c r="T4523" s="2">
        <v>49900</v>
      </c>
      <c r="U4523">
        <v>0</v>
      </c>
      <c r="V4523" s="2">
        <v>49900</v>
      </c>
      <c r="W4523" t="str">
        <f>"$"</f>
        <v>$</v>
      </c>
      <c r="X4523">
        <v>0</v>
      </c>
      <c r="Y4523">
        <v>0</v>
      </c>
      <c r="Z4523">
        <v>0</v>
      </c>
      <c r="AA4523" t="str">
        <f>"Y"</f>
        <v>Y</v>
      </c>
      <c r="AB4523" t="str">
        <f>"SO160000390"</f>
        <v>SO160000390</v>
      </c>
      <c r="AC4523">
        <v>1</v>
      </c>
      <c r="AD4523" s="1">
        <v>42522</v>
      </c>
      <c r="AE4523" t="str">
        <f>"SH16002221"</f>
        <v>SH16002221</v>
      </c>
      <c r="AF4523" t="str">
        <f>"משלוחים ללקוח"</f>
        <v>משלוחים ללקוח</v>
      </c>
      <c r="AG4523" s="1">
        <v>42639</v>
      </c>
      <c r="AM4523" t="str">
        <f>"10"</f>
        <v>10</v>
      </c>
      <c r="AN4523" t="str">
        <f>"500000"</f>
        <v>500000</v>
      </c>
      <c r="AO4523" t="str">
        <f>"הכנסות  מלקוחות"</f>
        <v>הכנסות  מלקוחות</v>
      </c>
      <c r="AQ4523" t="str">
        <f>"007"</f>
        <v>007</v>
      </c>
      <c r="AR4523">
        <v>0</v>
      </c>
      <c r="AS4523">
        <v>0</v>
      </c>
      <c r="AT4523">
        <v>3.746</v>
      </c>
      <c r="AX4523" t="str">
        <f>"E000219050"</f>
        <v>E000219050</v>
      </c>
      <c r="BD4523" t="str">
        <f>"רוני דידי"</f>
        <v>רוני דידי</v>
      </c>
    </row>
    <row r="4524" spans="1:56" x14ac:dyDescent="0.3">
      <c r="A4524" s="1">
        <v>42621</v>
      </c>
      <c r="B4524" t="str">
        <f>"SI160001212"</f>
        <v>SI160001212</v>
      </c>
      <c r="C4524" t="str">
        <f>"PR16000678"</f>
        <v>PR16000678</v>
      </c>
      <c r="D4524" t="str">
        <f>"PR16000678"</f>
        <v>PR16000678</v>
      </c>
      <c r="E4524" t="str">
        <f>"Y"</f>
        <v>Y</v>
      </c>
      <c r="F4524" t="str">
        <f>"חשבוניות מרכזות"</f>
        <v>חשבוניות מרכזות</v>
      </c>
      <c r="G4524" t="str">
        <f>"700065"</f>
        <v>700065</v>
      </c>
      <c r="H4524" t="str">
        <f>"אלתא מערכות בע""מ"</f>
        <v>אלתא מערכות בע"מ</v>
      </c>
      <c r="I4524" t="str">
        <f>"10"</f>
        <v>10</v>
      </c>
      <c r="J4524" t="str">
        <f>"OP-AR00381"</f>
        <v>OP-AR00381</v>
      </c>
      <c r="K4524" t="str">
        <f>"מערך לבדיקת מערכת מתח גבוה בDC"</f>
        <v>מערך לבדיקת מערכת מתח גבוה בDC</v>
      </c>
      <c r="L4524">
        <v>1</v>
      </c>
      <c r="M4524" t="str">
        <f>"יח"</f>
        <v>יח</v>
      </c>
      <c r="N4524">
        <v>1</v>
      </c>
      <c r="O4524" t="str">
        <f>"יח"</f>
        <v>יח</v>
      </c>
      <c r="P4524" s="2">
        <v>4200</v>
      </c>
      <c r="Q4524" t="str">
        <f>"$"</f>
        <v>$</v>
      </c>
      <c r="R4524" t="str">
        <f>"הזמנה"</f>
        <v>הזמנה</v>
      </c>
      <c r="S4524">
        <v>0</v>
      </c>
      <c r="T4524" s="2">
        <v>4200</v>
      </c>
      <c r="U4524">
        <v>0</v>
      </c>
      <c r="V4524" s="2">
        <v>4200</v>
      </c>
      <c r="W4524" t="str">
        <f>"$"</f>
        <v>$</v>
      </c>
      <c r="X4524">
        <v>0</v>
      </c>
      <c r="Y4524">
        <v>0</v>
      </c>
      <c r="Z4524">
        <v>0</v>
      </c>
      <c r="AA4524" t="str">
        <f>"Y"</f>
        <v>Y</v>
      </c>
      <c r="AB4524" t="str">
        <f>"SO160000516"</f>
        <v>SO160000516</v>
      </c>
      <c r="AC4524">
        <v>1</v>
      </c>
      <c r="AD4524" s="1">
        <v>42561</v>
      </c>
      <c r="AE4524" t="str">
        <f>"SH16002030"</f>
        <v>SH16002030</v>
      </c>
      <c r="AF4524" t="str">
        <f>"משלוחים ללקוח"</f>
        <v>משלוחים ללקוח</v>
      </c>
      <c r="AG4524" s="1">
        <v>42619</v>
      </c>
      <c r="AM4524" t="str">
        <f>"10"</f>
        <v>10</v>
      </c>
      <c r="AN4524" t="str">
        <f>"500000"</f>
        <v>500000</v>
      </c>
      <c r="AO4524" t="str">
        <f>"הכנסות  מלקוחות"</f>
        <v>הכנסות  מלקוחות</v>
      </c>
      <c r="AQ4524" t="str">
        <f>"007"</f>
        <v>007</v>
      </c>
      <c r="AR4524">
        <v>0</v>
      </c>
      <c r="AS4524">
        <v>0</v>
      </c>
      <c r="AT4524">
        <v>3.766</v>
      </c>
      <c r="AX4524" t="str">
        <f>"E000221263"</f>
        <v>E000221263</v>
      </c>
      <c r="BD4524" t="str">
        <f>"רוני דידי"</f>
        <v>רוני דידי</v>
      </c>
    </row>
    <row r="4525" spans="1:56" x14ac:dyDescent="0.3">
      <c r="A4525" s="1">
        <v>42610</v>
      </c>
      <c r="B4525" t="str">
        <f>"SI160001113"</f>
        <v>SI160001113</v>
      </c>
      <c r="C4525" t="str">
        <f>"PR16000374"</f>
        <v>PR16000374</v>
      </c>
      <c r="D4525" t="str">
        <f>"PR16000374"</f>
        <v>PR16000374</v>
      </c>
      <c r="E4525" t="str">
        <f>"Y"</f>
        <v>Y</v>
      </c>
      <c r="F4525" t="str">
        <f>"חשבוניות מרכזות"</f>
        <v>חשבוניות מרכזות</v>
      </c>
      <c r="G4525" t="str">
        <f>"700065"</f>
        <v>700065</v>
      </c>
      <c r="H4525" t="str">
        <f>"אלתא מערכות בע""מ"</f>
        <v>אלתא מערכות בע"מ</v>
      </c>
      <c r="I4525" t="str">
        <f>"10"</f>
        <v>10</v>
      </c>
      <c r="J4525" t="str">
        <f>"OP-AR00312"</f>
        <v>OP-AR00312</v>
      </c>
      <c r="K4525" t="str">
        <f>"הזנה למבנה במבה זמני"</f>
        <v>הזנה למבנה במבה זמני</v>
      </c>
      <c r="L4525">
        <v>1</v>
      </c>
      <c r="M4525" t="str">
        <f>"יח"</f>
        <v>יח</v>
      </c>
      <c r="N4525">
        <v>1</v>
      </c>
      <c r="O4525" t="str">
        <f>"יח"</f>
        <v>יח</v>
      </c>
      <c r="P4525" s="2">
        <v>4390</v>
      </c>
      <c r="Q4525" t="str">
        <f>"$"</f>
        <v>$</v>
      </c>
      <c r="R4525" t="str">
        <f>"ידני"</f>
        <v>ידני</v>
      </c>
      <c r="S4525">
        <v>0</v>
      </c>
      <c r="T4525" s="2">
        <v>4390</v>
      </c>
      <c r="U4525">
        <v>0</v>
      </c>
      <c r="V4525" s="2">
        <v>4390</v>
      </c>
      <c r="W4525" t="str">
        <f>"$"</f>
        <v>$</v>
      </c>
      <c r="X4525">
        <v>0</v>
      </c>
      <c r="Y4525">
        <v>0</v>
      </c>
      <c r="Z4525">
        <v>0</v>
      </c>
      <c r="AA4525" t="str">
        <f>"Y"</f>
        <v>Y</v>
      </c>
      <c r="AB4525" t="str">
        <f>"SO160000308"</f>
        <v>SO160000308</v>
      </c>
      <c r="AC4525">
        <v>1</v>
      </c>
      <c r="AD4525" s="1">
        <v>42492</v>
      </c>
      <c r="AE4525" t="str">
        <f>"SH16001122"</f>
        <v>SH16001122</v>
      </c>
      <c r="AF4525" t="str">
        <f>"משלוחים ללקוח"</f>
        <v>משלוחים ללקוח</v>
      </c>
      <c r="AG4525" s="1">
        <v>42514</v>
      </c>
      <c r="AM4525" t="str">
        <f>"10"</f>
        <v>10</v>
      </c>
      <c r="AN4525" t="str">
        <f>"500000"</f>
        <v>500000</v>
      </c>
      <c r="AO4525" t="str">
        <f>"הכנסות  מלקוחות"</f>
        <v>הכנסות  מלקוחות</v>
      </c>
      <c r="AQ4525" t="str">
        <f>"007"</f>
        <v>007</v>
      </c>
      <c r="AR4525">
        <v>0</v>
      </c>
      <c r="AS4525">
        <v>0</v>
      </c>
      <c r="AT4525">
        <v>3.754</v>
      </c>
      <c r="AX4525" t="str">
        <f>"E000216911"</f>
        <v>E000216911</v>
      </c>
      <c r="BD4525" t="str">
        <f>"רוני דידי"</f>
        <v>רוני דידי</v>
      </c>
    </row>
    <row r="4526" spans="1:56" x14ac:dyDescent="0.3">
      <c r="A4526" s="1">
        <v>42610</v>
      </c>
      <c r="B4526" t="str">
        <f>"SI160001112"</f>
        <v>SI160001112</v>
      </c>
      <c r="C4526" t="str">
        <f>"PR16000374"</f>
        <v>PR16000374</v>
      </c>
      <c r="E4526" t="str">
        <f>"Y"</f>
        <v>Y</v>
      </c>
      <c r="F4526" t="str">
        <f>"חשבוניות מרכזות"</f>
        <v>חשבוניות מרכזות</v>
      </c>
      <c r="G4526" t="str">
        <f>"700065"</f>
        <v>700065</v>
      </c>
      <c r="H4526" t="str">
        <f>"אלתא מערכות בע""מ"</f>
        <v>אלתא מערכות בע"מ</v>
      </c>
      <c r="I4526" t="str">
        <f>"10"</f>
        <v>10</v>
      </c>
      <c r="J4526" t="str">
        <f>"OP-AR00312"</f>
        <v>OP-AR00312</v>
      </c>
      <c r="K4526" t="str">
        <f>"הזנה למבנה במבה זמני"</f>
        <v>הזנה למבנה במבה זמני</v>
      </c>
      <c r="L4526">
        <v>-1</v>
      </c>
      <c r="M4526" t="str">
        <f>"יח"</f>
        <v>יח</v>
      </c>
      <c r="N4526">
        <v>-1</v>
      </c>
      <c r="O4526" t="str">
        <f>"יח"</f>
        <v>יח</v>
      </c>
      <c r="P4526" s="2">
        <v>4390</v>
      </c>
      <c r="Q4526" t="str">
        <f>"$"</f>
        <v>$</v>
      </c>
      <c r="R4526" t="str">
        <f>"הזמנה"</f>
        <v>הזמנה</v>
      </c>
      <c r="S4526">
        <v>0</v>
      </c>
      <c r="T4526" s="2">
        <v>-4390</v>
      </c>
      <c r="U4526">
        <v>0</v>
      </c>
      <c r="V4526" s="2">
        <v>-4390</v>
      </c>
      <c r="W4526" t="str">
        <f>"$"</f>
        <v>$</v>
      </c>
      <c r="X4526">
        <v>0</v>
      </c>
      <c r="Y4526">
        <v>0</v>
      </c>
      <c r="Z4526">
        <v>0</v>
      </c>
      <c r="AA4526" t="str">
        <f>"Y"</f>
        <v>Y</v>
      </c>
      <c r="AC4526">
        <v>0</v>
      </c>
      <c r="AM4526" t="str">
        <f>"10"</f>
        <v>10</v>
      </c>
      <c r="AN4526" t="str">
        <f>"500000"</f>
        <v>500000</v>
      </c>
      <c r="AO4526" t="str">
        <f>"הכנסות  מלקוחות"</f>
        <v>הכנסות  מלקוחות</v>
      </c>
      <c r="AQ4526" t="str">
        <f>"007"</f>
        <v>007</v>
      </c>
      <c r="AR4526">
        <v>0</v>
      </c>
      <c r="AS4526">
        <v>0</v>
      </c>
      <c r="AT4526">
        <v>3.8490000000000002</v>
      </c>
      <c r="BB4526" t="str">
        <f>"Y"</f>
        <v>Y</v>
      </c>
      <c r="BD4526" t="str">
        <f>"רוני דידי"</f>
        <v>רוני דידי</v>
      </c>
    </row>
    <row r="4527" spans="1:56" x14ac:dyDescent="0.3">
      <c r="A4527" s="1">
        <v>42592</v>
      </c>
      <c r="B4527" t="str">
        <f>"SI160001037"</f>
        <v>SI160001037</v>
      </c>
      <c r="C4527" t="str">
        <f>"PR16000675"</f>
        <v>PR16000675</v>
      </c>
      <c r="E4527" t="str">
        <f>"Y"</f>
        <v>Y</v>
      </c>
      <c r="F4527" t="str">
        <f>"חשבוניות מרכזות"</f>
        <v>חשבוניות מרכזות</v>
      </c>
      <c r="G4527" t="str">
        <f>"700065"</f>
        <v>700065</v>
      </c>
      <c r="H4527" t="str">
        <f>"אלתא מערכות בע""מ"</f>
        <v>אלתא מערכות בע"מ</v>
      </c>
      <c r="I4527" t="str">
        <f>"10"</f>
        <v>10</v>
      </c>
      <c r="J4527" t="str">
        <f>"OP-AR00374"</f>
        <v>OP-AR00374</v>
      </c>
      <c r="K4527" t="str">
        <f>"רתמה 1026N548-001"</f>
        <v>רתמה 1026N548-001</v>
      </c>
      <c r="L4527">
        <v>1</v>
      </c>
      <c r="M4527" t="str">
        <f>"יח"</f>
        <v>יח</v>
      </c>
      <c r="N4527">
        <v>1</v>
      </c>
      <c r="O4527" t="str">
        <f>"יח"</f>
        <v>יח</v>
      </c>
      <c r="P4527">
        <v>403.09</v>
      </c>
      <c r="Q4527" t="str">
        <f>"$"</f>
        <v>$</v>
      </c>
      <c r="R4527" t="str">
        <f>"הזמנה"</f>
        <v>הזמנה</v>
      </c>
      <c r="S4527">
        <v>0</v>
      </c>
      <c r="T4527">
        <v>403.09</v>
      </c>
      <c r="U4527">
        <v>0</v>
      </c>
      <c r="V4527">
        <v>403.09</v>
      </c>
      <c r="W4527" t="str">
        <f>"$"</f>
        <v>$</v>
      </c>
      <c r="X4527">
        <v>0</v>
      </c>
      <c r="Y4527">
        <v>0</v>
      </c>
      <c r="Z4527">
        <v>0</v>
      </c>
      <c r="AA4527" t="str">
        <f>"Y"</f>
        <v>Y</v>
      </c>
      <c r="AB4527" t="str">
        <f>"SO160000499"</f>
        <v>SO160000499</v>
      </c>
      <c r="AC4527">
        <v>2</v>
      </c>
      <c r="AD4527" s="1">
        <v>42557</v>
      </c>
      <c r="AE4527" t="str">
        <f>"SH16001810"</f>
        <v>SH16001810</v>
      </c>
      <c r="AF4527" t="str">
        <f>"משלוחים ללקוח"</f>
        <v>משלוחים ללקוח</v>
      </c>
      <c r="AG4527" s="1">
        <v>42592</v>
      </c>
      <c r="AM4527" t="str">
        <f>"10"</f>
        <v>10</v>
      </c>
      <c r="AN4527" t="str">
        <f>"500000"</f>
        <v>500000</v>
      </c>
      <c r="AO4527" t="str">
        <f>"הכנסות  מלקוחות"</f>
        <v>הכנסות  מלקוחות</v>
      </c>
      <c r="AQ4527" t="str">
        <f>"017"</f>
        <v>017</v>
      </c>
      <c r="AR4527">
        <v>0</v>
      </c>
      <c r="AS4527">
        <v>0</v>
      </c>
      <c r="AT4527">
        <v>3.8109999999999999</v>
      </c>
      <c r="AX4527" t="str">
        <f>"E000221271"</f>
        <v>E000221271</v>
      </c>
      <c r="BD4527" t="str">
        <f>"שחר דאהמן"</f>
        <v>שחר דאהמן</v>
      </c>
    </row>
    <row r="4528" spans="1:56" x14ac:dyDescent="0.3">
      <c r="A4528" s="1">
        <v>42592</v>
      </c>
      <c r="B4528" t="str">
        <f>"SI160001035"</f>
        <v>SI160001035</v>
      </c>
      <c r="C4528" t="str">
        <f>"PR16000674"</f>
        <v>PR16000674</v>
      </c>
      <c r="E4528" t="str">
        <f>"Y"</f>
        <v>Y</v>
      </c>
      <c r="F4528" t="str">
        <f>"חשבוניות מרכזות"</f>
        <v>חשבוניות מרכזות</v>
      </c>
      <c r="G4528" t="str">
        <f>"700065"</f>
        <v>700065</v>
      </c>
      <c r="H4528" t="str">
        <f>"אלתא מערכות בע""מ"</f>
        <v>אלתא מערכות בע"מ</v>
      </c>
      <c r="I4528" t="str">
        <f>"10"</f>
        <v>10</v>
      </c>
      <c r="J4528" t="str">
        <f>"OP-AR00373"</f>
        <v>OP-AR00373</v>
      </c>
      <c r="K4528" t="str">
        <f>"רתמה 1026N540-001"</f>
        <v>רתמה 1026N540-001</v>
      </c>
      <c r="L4528">
        <v>1</v>
      </c>
      <c r="M4528" t="str">
        <f>"יח"</f>
        <v>יח</v>
      </c>
      <c r="N4528">
        <v>1</v>
      </c>
      <c r="O4528" t="str">
        <f>"יח"</f>
        <v>יח</v>
      </c>
      <c r="P4528">
        <v>720.5</v>
      </c>
      <c r="Q4528" t="str">
        <f>"$"</f>
        <v>$</v>
      </c>
      <c r="R4528" t="str">
        <f>"הזמנה"</f>
        <v>הזמנה</v>
      </c>
      <c r="S4528">
        <v>0</v>
      </c>
      <c r="T4528">
        <v>720.5</v>
      </c>
      <c r="U4528">
        <v>0</v>
      </c>
      <c r="V4528">
        <v>720.5</v>
      </c>
      <c r="W4528" t="str">
        <f>"$"</f>
        <v>$</v>
      </c>
      <c r="X4528">
        <v>0</v>
      </c>
      <c r="Y4528">
        <v>0</v>
      </c>
      <c r="Z4528">
        <v>0</v>
      </c>
      <c r="AA4528" t="str">
        <f>"Y"</f>
        <v>Y</v>
      </c>
      <c r="AB4528" t="str">
        <f>"SO160000499"</f>
        <v>SO160000499</v>
      </c>
      <c r="AC4528">
        <v>1</v>
      </c>
      <c r="AD4528" s="1">
        <v>42557</v>
      </c>
      <c r="AE4528" t="str">
        <f>"SH16001809"</f>
        <v>SH16001809</v>
      </c>
      <c r="AF4528" t="str">
        <f>"משלוחים ללקוח"</f>
        <v>משלוחים ללקוח</v>
      </c>
      <c r="AG4528" s="1">
        <v>42592</v>
      </c>
      <c r="AM4528" t="str">
        <f>"10"</f>
        <v>10</v>
      </c>
      <c r="AN4528" t="str">
        <f>"500000"</f>
        <v>500000</v>
      </c>
      <c r="AO4528" t="str">
        <f>"הכנסות  מלקוחות"</f>
        <v>הכנסות  מלקוחות</v>
      </c>
      <c r="AQ4528" t="str">
        <f>"017"</f>
        <v>017</v>
      </c>
      <c r="AR4528">
        <v>0</v>
      </c>
      <c r="AS4528">
        <v>0</v>
      </c>
      <c r="AT4528">
        <v>3.8109999999999999</v>
      </c>
      <c r="AX4528" t="str">
        <f>"E000221271"</f>
        <v>E000221271</v>
      </c>
      <c r="BD4528" t="str">
        <f>"שחר דאהמן"</f>
        <v>שחר דאהמן</v>
      </c>
    </row>
    <row r="4529" spans="1:56" x14ac:dyDescent="0.3">
      <c r="A4529" s="1">
        <v>42592</v>
      </c>
      <c r="B4529" t="str">
        <f>"SI160001034"</f>
        <v>SI160001034</v>
      </c>
      <c r="C4529" t="str">
        <f>"PR16000677"</f>
        <v>PR16000677</v>
      </c>
      <c r="E4529" t="str">
        <f>"Y"</f>
        <v>Y</v>
      </c>
      <c r="F4529" t="str">
        <f>"חשבוניות מרכזות"</f>
        <v>חשבוניות מרכזות</v>
      </c>
      <c r="G4529" t="str">
        <f>"700065"</f>
        <v>700065</v>
      </c>
      <c r="H4529" t="str">
        <f>"אלתא מערכות בע""מ"</f>
        <v>אלתא מערכות בע"מ</v>
      </c>
      <c r="I4529" t="str">
        <f>"10"</f>
        <v>10</v>
      </c>
      <c r="J4529" t="str">
        <f>"OP-AR00375"</f>
        <v>OP-AR00375</v>
      </c>
      <c r="K4529" t="str">
        <f>"רתמה 1026N549-001"</f>
        <v>רתמה 1026N549-001</v>
      </c>
      <c r="L4529">
        <v>1</v>
      </c>
      <c r="M4529" t="str">
        <f>"יח"</f>
        <v>יח</v>
      </c>
      <c r="N4529">
        <v>1</v>
      </c>
      <c r="O4529" t="str">
        <f>"יח"</f>
        <v>יח</v>
      </c>
      <c r="P4529">
        <v>493.9</v>
      </c>
      <c r="Q4529" t="str">
        <f>"$"</f>
        <v>$</v>
      </c>
      <c r="R4529" t="str">
        <f>"הזמנה"</f>
        <v>הזמנה</v>
      </c>
      <c r="S4529">
        <v>0</v>
      </c>
      <c r="T4529">
        <v>493.9</v>
      </c>
      <c r="U4529">
        <v>0</v>
      </c>
      <c r="V4529">
        <v>493.9</v>
      </c>
      <c r="W4529" t="str">
        <f>"$"</f>
        <v>$</v>
      </c>
      <c r="X4529">
        <v>0</v>
      </c>
      <c r="Y4529">
        <v>0</v>
      </c>
      <c r="Z4529">
        <v>0</v>
      </c>
      <c r="AA4529" t="str">
        <f>"Y"</f>
        <v>Y</v>
      </c>
      <c r="AB4529" t="str">
        <f>"SO160000499"</f>
        <v>SO160000499</v>
      </c>
      <c r="AC4529">
        <v>3</v>
      </c>
      <c r="AD4529" s="1">
        <v>42557</v>
      </c>
      <c r="AE4529" t="str">
        <f>"SH16001808"</f>
        <v>SH16001808</v>
      </c>
      <c r="AF4529" t="str">
        <f>"משלוחים ללקוח"</f>
        <v>משלוחים ללקוח</v>
      </c>
      <c r="AG4529" s="1">
        <v>42592</v>
      </c>
      <c r="AM4529" t="str">
        <f>"10"</f>
        <v>10</v>
      </c>
      <c r="AN4529" t="str">
        <f>"500000"</f>
        <v>500000</v>
      </c>
      <c r="AO4529" t="str">
        <f>"הכנסות  מלקוחות"</f>
        <v>הכנסות  מלקוחות</v>
      </c>
      <c r="AQ4529" t="str">
        <f>"017"</f>
        <v>017</v>
      </c>
      <c r="AR4529">
        <v>0</v>
      </c>
      <c r="AS4529">
        <v>0</v>
      </c>
      <c r="AT4529">
        <v>3.8109999999999999</v>
      </c>
      <c r="AX4529" t="str">
        <f>"E000221271"</f>
        <v>E000221271</v>
      </c>
      <c r="BD4529" t="str">
        <f>"שחר דאהמן"</f>
        <v>שחר דאהמן</v>
      </c>
    </row>
    <row r="4530" spans="1:56" x14ac:dyDescent="0.3">
      <c r="A4530" s="1">
        <v>42592</v>
      </c>
      <c r="B4530" t="str">
        <f>"SI160001033"</f>
        <v>SI160001033</v>
      </c>
      <c r="C4530" t="str">
        <f>"PR16000665"</f>
        <v>PR16000665</v>
      </c>
      <c r="E4530" t="str">
        <f>"Y"</f>
        <v>Y</v>
      </c>
      <c r="F4530" t="str">
        <f>"חשבוניות מרכזות"</f>
        <v>חשבוניות מרכזות</v>
      </c>
      <c r="G4530" t="str">
        <f>"700065"</f>
        <v>700065</v>
      </c>
      <c r="H4530" t="str">
        <f>"אלתא מערכות בע""מ"</f>
        <v>אלתא מערכות בע"מ</v>
      </c>
      <c r="I4530" t="str">
        <f>"10"</f>
        <v>10</v>
      </c>
      <c r="J4530" t="str">
        <f>"OP-AR00366"</f>
        <v>OP-AR00366</v>
      </c>
      <c r="K4530" t="str">
        <f>"רתמה 9002W016-001"</f>
        <v>רתמה 9002W016-001</v>
      </c>
      <c r="L4530">
        <v>1</v>
      </c>
      <c r="M4530" t="str">
        <f>"יח"</f>
        <v>יח</v>
      </c>
      <c r="N4530">
        <v>1</v>
      </c>
      <c r="O4530" t="str">
        <f>"יח"</f>
        <v>יח</v>
      </c>
      <c r="P4530">
        <v>525.71</v>
      </c>
      <c r="Q4530" t="str">
        <f>"$"</f>
        <v>$</v>
      </c>
      <c r="R4530" t="str">
        <f>"הזמנה"</f>
        <v>הזמנה</v>
      </c>
      <c r="S4530">
        <v>0</v>
      </c>
      <c r="T4530">
        <v>525.71</v>
      </c>
      <c r="U4530">
        <v>0</v>
      </c>
      <c r="V4530">
        <v>525.71</v>
      </c>
      <c r="W4530" t="str">
        <f>"$"</f>
        <v>$</v>
      </c>
      <c r="X4530">
        <v>0</v>
      </c>
      <c r="Y4530">
        <v>0</v>
      </c>
      <c r="Z4530">
        <v>0</v>
      </c>
      <c r="AA4530" t="str">
        <f>"Y"</f>
        <v>Y</v>
      </c>
      <c r="AB4530" t="str">
        <f>"SO160000500"</f>
        <v>SO160000500</v>
      </c>
      <c r="AC4530">
        <v>3</v>
      </c>
      <c r="AD4530" s="1">
        <v>42557</v>
      </c>
      <c r="AE4530" t="str">
        <f>"SH16001803"</f>
        <v>SH16001803</v>
      </c>
      <c r="AF4530" t="str">
        <f>"משלוחים ללקוח"</f>
        <v>משלוחים ללקוח</v>
      </c>
      <c r="AG4530" s="1">
        <v>42592</v>
      </c>
      <c r="AM4530" t="str">
        <f>"10"</f>
        <v>10</v>
      </c>
      <c r="AN4530" t="str">
        <f>"500000"</f>
        <v>500000</v>
      </c>
      <c r="AO4530" t="str">
        <f>"הכנסות  מלקוחות"</f>
        <v>הכנסות  מלקוחות</v>
      </c>
      <c r="AQ4530" t="str">
        <f>"017"</f>
        <v>017</v>
      </c>
      <c r="AR4530">
        <v>0</v>
      </c>
      <c r="AS4530">
        <v>0</v>
      </c>
      <c r="AT4530">
        <v>3.8109999999999999</v>
      </c>
      <c r="AX4530" t="str">
        <f>"E000221201"</f>
        <v>E000221201</v>
      </c>
      <c r="BD4530" t="str">
        <f>"שחר דאהמן"</f>
        <v>שחר דאהמן</v>
      </c>
    </row>
    <row r="4531" spans="1:56" x14ac:dyDescent="0.3">
      <c r="A4531" s="1">
        <v>42592</v>
      </c>
      <c r="B4531" t="str">
        <f>"SI160001032"</f>
        <v>SI160001032</v>
      </c>
      <c r="C4531" t="str">
        <f>"PR16000664"</f>
        <v>PR16000664</v>
      </c>
      <c r="E4531" t="str">
        <f>"Y"</f>
        <v>Y</v>
      </c>
      <c r="F4531" t="str">
        <f>"חשבוניות מרכזות"</f>
        <v>חשבוניות מרכזות</v>
      </c>
      <c r="G4531" t="str">
        <f>"700065"</f>
        <v>700065</v>
      </c>
      <c r="H4531" t="str">
        <f>"אלתא מערכות בע""מ"</f>
        <v>אלתא מערכות בע"מ</v>
      </c>
      <c r="I4531" t="str">
        <f>"10"</f>
        <v>10</v>
      </c>
      <c r="J4531" t="str">
        <f>"OP-AR00365"</f>
        <v>OP-AR00365</v>
      </c>
      <c r="K4531" t="str">
        <f>"רתמה 9002W015-001"</f>
        <v>רתמה 9002W015-001</v>
      </c>
      <c r="L4531">
        <v>1</v>
      </c>
      <c r="M4531" t="str">
        <f>"יח"</f>
        <v>יח</v>
      </c>
      <c r="N4531">
        <v>1</v>
      </c>
      <c r="O4531" t="str">
        <f>"יח"</f>
        <v>יח</v>
      </c>
      <c r="P4531" s="2">
        <v>1097.77</v>
      </c>
      <c r="Q4531" t="str">
        <f>"$"</f>
        <v>$</v>
      </c>
      <c r="R4531" t="str">
        <f>"הזמנה"</f>
        <v>הזמנה</v>
      </c>
      <c r="S4531">
        <v>0</v>
      </c>
      <c r="T4531" s="2">
        <v>1097.77</v>
      </c>
      <c r="U4531">
        <v>0</v>
      </c>
      <c r="V4531" s="2">
        <v>1097.77</v>
      </c>
      <c r="W4531" t="str">
        <f>"$"</f>
        <v>$</v>
      </c>
      <c r="X4531">
        <v>0</v>
      </c>
      <c r="Y4531">
        <v>0</v>
      </c>
      <c r="Z4531">
        <v>0</v>
      </c>
      <c r="AA4531" t="str">
        <f>"Y"</f>
        <v>Y</v>
      </c>
      <c r="AB4531" t="str">
        <f>"SO160000500"</f>
        <v>SO160000500</v>
      </c>
      <c r="AC4531">
        <v>2</v>
      </c>
      <c r="AD4531" s="1">
        <v>42557</v>
      </c>
      <c r="AE4531" t="str">
        <f>"SH16001802"</f>
        <v>SH16001802</v>
      </c>
      <c r="AF4531" t="str">
        <f>"משלוחים ללקוח"</f>
        <v>משלוחים ללקוח</v>
      </c>
      <c r="AG4531" s="1">
        <v>42592</v>
      </c>
      <c r="AM4531" t="str">
        <f>"10"</f>
        <v>10</v>
      </c>
      <c r="AN4531" t="str">
        <f>"500000"</f>
        <v>500000</v>
      </c>
      <c r="AO4531" t="str">
        <f>"הכנסות  מלקוחות"</f>
        <v>הכנסות  מלקוחות</v>
      </c>
      <c r="AQ4531" t="str">
        <f>"017"</f>
        <v>017</v>
      </c>
      <c r="AR4531">
        <v>0</v>
      </c>
      <c r="AS4531">
        <v>0</v>
      </c>
      <c r="AT4531">
        <v>3.8109999999999999</v>
      </c>
      <c r="AX4531" t="str">
        <f>"E000221201"</f>
        <v>E000221201</v>
      </c>
      <c r="BD4531" t="str">
        <f>"שחר דאהמן"</f>
        <v>שחר דאהמן</v>
      </c>
    </row>
    <row r="4532" spans="1:56" x14ac:dyDescent="0.3">
      <c r="A4532" s="1">
        <v>42592</v>
      </c>
      <c r="B4532" t="str">
        <f>"SI160001030"</f>
        <v>SI160001030</v>
      </c>
      <c r="C4532" t="str">
        <f>"PR16000663"</f>
        <v>PR16000663</v>
      </c>
      <c r="E4532" t="str">
        <f>"Y"</f>
        <v>Y</v>
      </c>
      <c r="F4532" t="str">
        <f>"חשבוניות מרכזות"</f>
        <v>חשבוניות מרכזות</v>
      </c>
      <c r="G4532" t="str">
        <f>"700065"</f>
        <v>700065</v>
      </c>
      <c r="H4532" t="str">
        <f>"אלתא מערכות בע""מ"</f>
        <v>אלתא מערכות בע"מ</v>
      </c>
      <c r="I4532" t="str">
        <f>"10"</f>
        <v>10</v>
      </c>
      <c r="J4532" t="str">
        <f>"OP-AR00364"</f>
        <v>OP-AR00364</v>
      </c>
      <c r="K4532" t="str">
        <f>"רתמה HARNESS W1011 OTS RACK2 9002W011-001"</f>
        <v>רתמה HARNESS W1011 OTS RACK2 9002W011-001</v>
      </c>
      <c r="L4532">
        <v>1</v>
      </c>
      <c r="M4532" t="str">
        <f>"יח"</f>
        <v>יח</v>
      </c>
      <c r="N4532">
        <v>1</v>
      </c>
      <c r="O4532" t="str">
        <f>"יח"</f>
        <v>יח</v>
      </c>
      <c r="P4532">
        <v>172.26</v>
      </c>
      <c r="Q4532" t="str">
        <f>"$"</f>
        <v>$</v>
      </c>
      <c r="R4532" t="str">
        <f>"הזמנה"</f>
        <v>הזמנה</v>
      </c>
      <c r="S4532">
        <v>0</v>
      </c>
      <c r="T4532">
        <v>172.26</v>
      </c>
      <c r="U4532">
        <v>0</v>
      </c>
      <c r="V4532">
        <v>172.26</v>
      </c>
      <c r="W4532" t="str">
        <f>"$"</f>
        <v>$</v>
      </c>
      <c r="X4532">
        <v>0</v>
      </c>
      <c r="Y4532">
        <v>0</v>
      </c>
      <c r="Z4532">
        <v>0</v>
      </c>
      <c r="AA4532" t="str">
        <f>"Y"</f>
        <v>Y</v>
      </c>
      <c r="AB4532" t="str">
        <f>"SO160000500"</f>
        <v>SO160000500</v>
      </c>
      <c r="AC4532">
        <v>1</v>
      </c>
      <c r="AD4532" s="1">
        <v>42557</v>
      </c>
      <c r="AE4532" t="str">
        <f>"SH16001801"</f>
        <v>SH16001801</v>
      </c>
      <c r="AF4532" t="str">
        <f>"משלוחים ללקוח"</f>
        <v>משלוחים ללקוח</v>
      </c>
      <c r="AG4532" s="1">
        <v>42592</v>
      </c>
      <c r="AM4532" t="str">
        <f>"10"</f>
        <v>10</v>
      </c>
      <c r="AN4532" t="str">
        <f>"500000"</f>
        <v>500000</v>
      </c>
      <c r="AO4532" t="str">
        <f>"הכנסות  מלקוחות"</f>
        <v>הכנסות  מלקוחות</v>
      </c>
      <c r="AQ4532" t="str">
        <f>"017"</f>
        <v>017</v>
      </c>
      <c r="AR4532">
        <v>0</v>
      </c>
      <c r="AS4532">
        <v>0</v>
      </c>
      <c r="AT4532">
        <v>3.8109999999999999</v>
      </c>
      <c r="AX4532" t="str">
        <f>"E000221201"</f>
        <v>E000221201</v>
      </c>
      <c r="BD4532" t="str">
        <f>"שחר דאהמן"</f>
        <v>שחר דאהמן</v>
      </c>
    </row>
    <row r="4533" spans="1:56" x14ac:dyDescent="0.3">
      <c r="A4533" s="1">
        <v>42565</v>
      </c>
      <c r="B4533" t="str">
        <f>"SI160000885"</f>
        <v>SI160000885</v>
      </c>
      <c r="C4533" t="str">
        <f>"PR14002143"</f>
        <v>PR14002143</v>
      </c>
      <c r="E4533" t="str">
        <f>"Y"</f>
        <v>Y</v>
      </c>
      <c r="F4533" t="str">
        <f>"חשבוניות מרכזות"</f>
        <v>חשבוניות מרכזות</v>
      </c>
      <c r="G4533" t="str">
        <f>"700065"</f>
        <v>700065</v>
      </c>
      <c r="H4533" t="str">
        <f>"אלתא מערכות בע""מ"</f>
        <v>אלתא מערכות בע"מ</v>
      </c>
      <c r="I4533" t="str">
        <f>"10"</f>
        <v>10</v>
      </c>
      <c r="J4533" t="str">
        <f>"OP-AR00083"</f>
        <v>OP-AR00083</v>
      </c>
      <c r="K4533" t="str">
        <f>"יצור מערכת 1029B631-001 RE - PDU"</f>
        <v>יצור מערכת 1029B631-001 RE - PDU</v>
      </c>
      <c r="L4533">
        <v>-1</v>
      </c>
      <c r="M4533" t="str">
        <f>"יח"</f>
        <v>יח</v>
      </c>
      <c r="N4533">
        <v>-1</v>
      </c>
      <c r="O4533" t="str">
        <f>"יח"</f>
        <v>יח</v>
      </c>
      <c r="P4533" s="2">
        <v>100588</v>
      </c>
      <c r="Q4533" t="str">
        <f>"$"</f>
        <v>$</v>
      </c>
      <c r="R4533" t="str">
        <f>"הזמנה"</f>
        <v>הזמנה</v>
      </c>
      <c r="S4533">
        <v>0</v>
      </c>
      <c r="T4533" s="2">
        <v>-100588</v>
      </c>
      <c r="U4533">
        <v>0</v>
      </c>
      <c r="V4533" s="2">
        <v>-100588</v>
      </c>
      <c r="W4533" t="str">
        <f>"$"</f>
        <v>$</v>
      </c>
      <c r="X4533">
        <v>0</v>
      </c>
      <c r="Y4533">
        <v>0</v>
      </c>
      <c r="Z4533">
        <v>0</v>
      </c>
      <c r="AA4533" t="str">
        <f>"Y"</f>
        <v>Y</v>
      </c>
      <c r="AC4533">
        <v>0</v>
      </c>
      <c r="AM4533" t="str">
        <f>"10"</f>
        <v>10</v>
      </c>
      <c r="AN4533" t="str">
        <f>"500000"</f>
        <v>500000</v>
      </c>
      <c r="AO4533" t="str">
        <f>"הכנסות  מלקוחות"</f>
        <v>הכנסות  מלקוחות</v>
      </c>
      <c r="AQ4533" t="str">
        <f>"007"</f>
        <v>007</v>
      </c>
      <c r="AR4533">
        <v>0</v>
      </c>
      <c r="AS4533">
        <v>0</v>
      </c>
      <c r="AT4533">
        <v>3.871</v>
      </c>
      <c r="BB4533" t="str">
        <f>"Y"</f>
        <v>Y</v>
      </c>
      <c r="BD4533" t="str">
        <f>"רוני דידי"</f>
        <v>רוני דידי</v>
      </c>
    </row>
    <row r="4534" spans="1:56" x14ac:dyDescent="0.3">
      <c r="A4534" s="1">
        <v>42565</v>
      </c>
      <c r="B4534" t="str">
        <f>"SI160000884"</f>
        <v>SI160000884</v>
      </c>
      <c r="C4534" t="str">
        <f>"PR14002143"</f>
        <v>PR14002143</v>
      </c>
      <c r="E4534" t="str">
        <f>"Y"</f>
        <v>Y</v>
      </c>
      <c r="F4534" t="str">
        <f>"חשבוניות מרכזות"</f>
        <v>חשבוניות מרכזות</v>
      </c>
      <c r="G4534" t="str">
        <f>"700065"</f>
        <v>700065</v>
      </c>
      <c r="H4534" t="str">
        <f>"אלתא מערכות בע""מ"</f>
        <v>אלתא מערכות בע"מ</v>
      </c>
      <c r="I4534" t="str">
        <f>"10"</f>
        <v>10</v>
      </c>
      <c r="J4534" t="str">
        <f>"OP-AR00083"</f>
        <v>OP-AR00083</v>
      </c>
      <c r="K4534" t="str">
        <f>"יצור מערכת 1029B631-001 RE - PDU"</f>
        <v>יצור מערכת 1029B631-001 RE - PDU</v>
      </c>
      <c r="L4534">
        <v>1</v>
      </c>
      <c r="M4534" t="str">
        <f>"יח"</f>
        <v>יח</v>
      </c>
      <c r="N4534">
        <v>1</v>
      </c>
      <c r="O4534" t="str">
        <f>"יח"</f>
        <v>יח</v>
      </c>
      <c r="P4534" s="2">
        <v>100588</v>
      </c>
      <c r="Q4534" t="str">
        <f>"$"</f>
        <v>$</v>
      </c>
      <c r="R4534" t="str">
        <f>"הזמנה"</f>
        <v>הזמנה</v>
      </c>
      <c r="S4534">
        <v>0</v>
      </c>
      <c r="T4534" s="2">
        <v>100588</v>
      </c>
      <c r="U4534">
        <v>0</v>
      </c>
      <c r="V4534" s="2">
        <v>100588</v>
      </c>
      <c r="W4534" t="str">
        <f>"$"</f>
        <v>$</v>
      </c>
      <c r="X4534">
        <v>0</v>
      </c>
      <c r="Y4534">
        <v>0</v>
      </c>
      <c r="Z4534">
        <v>0</v>
      </c>
      <c r="AA4534" t="str">
        <f>"Y"</f>
        <v>Y</v>
      </c>
      <c r="AC4534">
        <v>0</v>
      </c>
      <c r="AM4534" t="str">
        <f>"10"</f>
        <v>10</v>
      </c>
      <c r="AN4534" t="str">
        <f>"500000"</f>
        <v>500000</v>
      </c>
      <c r="AO4534" t="str">
        <f>"הכנסות  מלקוחות"</f>
        <v>הכנסות  מלקוחות</v>
      </c>
      <c r="AQ4534" t="str">
        <f>"007"</f>
        <v>007</v>
      </c>
      <c r="AR4534">
        <v>0</v>
      </c>
      <c r="AS4534">
        <v>0</v>
      </c>
      <c r="AT4534">
        <v>3.871</v>
      </c>
      <c r="BB4534" t="str">
        <f>"Y"</f>
        <v>Y</v>
      </c>
      <c r="BD4534" t="str">
        <f>"רוני דידי"</f>
        <v>רוני דידי</v>
      </c>
    </row>
    <row r="4535" spans="1:56" x14ac:dyDescent="0.3">
      <c r="A4535" s="1">
        <v>42565</v>
      </c>
      <c r="B4535" t="str">
        <f>"SI160000883"</f>
        <v>SI160000883</v>
      </c>
      <c r="C4535" t="str">
        <f>"PR15003500"</f>
        <v>PR15003500</v>
      </c>
      <c r="E4535" t="str">
        <f>"Y"</f>
        <v>Y</v>
      </c>
      <c r="F4535" t="str">
        <f>"חשבוניות מרכזות"</f>
        <v>חשבוניות מרכזות</v>
      </c>
      <c r="G4535" t="str">
        <f>"700065"</f>
        <v>700065</v>
      </c>
      <c r="H4535" t="str">
        <f>"אלתא מערכות בע""מ"</f>
        <v>אלתא מערכות בע"מ</v>
      </c>
      <c r="I4535" t="str">
        <f>"10"</f>
        <v>10</v>
      </c>
      <c r="J4535" t="str">
        <f>"OP-AR09105"</f>
        <v>OP-AR09105</v>
      </c>
      <c r="K4535" t="str">
        <f>"לוח LB-PDB מק""ט לקוח 1026L310-002"</f>
        <v>לוח LB-PDB מק"ט לקוח 1026L310-002</v>
      </c>
      <c r="L4535">
        <v>1</v>
      </c>
      <c r="M4535" t="str">
        <f>"יח"</f>
        <v>יח</v>
      </c>
      <c r="N4535">
        <v>1</v>
      </c>
      <c r="O4535" t="str">
        <f>"יח"</f>
        <v>יח</v>
      </c>
      <c r="P4535" s="2">
        <v>25450</v>
      </c>
      <c r="Q4535" t="str">
        <f>"$"</f>
        <v>$</v>
      </c>
      <c r="R4535" t="str">
        <f>"הזמנה"</f>
        <v>הזמנה</v>
      </c>
      <c r="S4535">
        <v>0</v>
      </c>
      <c r="T4535" s="2">
        <v>25450</v>
      </c>
      <c r="U4535">
        <v>0</v>
      </c>
      <c r="V4535" s="2">
        <v>25450</v>
      </c>
      <c r="W4535" t="str">
        <f>"$"</f>
        <v>$</v>
      </c>
      <c r="X4535">
        <v>0</v>
      </c>
      <c r="Y4535">
        <v>0</v>
      </c>
      <c r="Z4535">
        <v>0</v>
      </c>
      <c r="AA4535" t="str">
        <f>"Y"</f>
        <v>Y</v>
      </c>
      <c r="AB4535" t="str">
        <f>"SO12T000001"</f>
        <v>SO12T000001</v>
      </c>
      <c r="AC4535">
        <v>29</v>
      </c>
      <c r="AD4535" s="1">
        <v>41256</v>
      </c>
      <c r="AE4535" t="str">
        <f>"SH16001572"</f>
        <v>SH16001572</v>
      </c>
      <c r="AF4535" t="str">
        <f>"משלוחים ללקוח"</f>
        <v>משלוחים ללקוח</v>
      </c>
      <c r="AG4535" s="1">
        <v>42564</v>
      </c>
      <c r="AM4535" t="str">
        <f>"10"</f>
        <v>10</v>
      </c>
      <c r="AN4535" t="str">
        <f>"500000"</f>
        <v>500000</v>
      </c>
      <c r="AO4535" t="str">
        <f>"הכנסות  מלקוחות"</f>
        <v>הכנסות  מלקוחות</v>
      </c>
      <c r="AQ4535" t="str">
        <f>"007"</f>
        <v>007</v>
      </c>
      <c r="AR4535">
        <v>0</v>
      </c>
      <c r="AS4535">
        <v>0</v>
      </c>
      <c r="AT4535">
        <v>3.871</v>
      </c>
      <c r="AX4535" t="str">
        <f>"E000093662"</f>
        <v>E000093662</v>
      </c>
      <c r="BD4535" t="str">
        <f>"רוני דידי"</f>
        <v>רוני דידי</v>
      </c>
    </row>
    <row r="4536" spans="1:56" x14ac:dyDescent="0.3">
      <c r="A4536" s="1">
        <v>42565</v>
      </c>
      <c r="B4536" t="str">
        <f>"SI160000883"</f>
        <v>SI160000883</v>
      </c>
      <c r="C4536" t="str">
        <f>"PR15003500"</f>
        <v>PR15003500</v>
      </c>
      <c r="E4536" t="str">
        <f>"Y"</f>
        <v>Y</v>
      </c>
      <c r="F4536" t="str">
        <f>"חשבוניות מרכזות"</f>
        <v>חשבוניות מרכזות</v>
      </c>
      <c r="G4536" t="str">
        <f>"700065"</f>
        <v>700065</v>
      </c>
      <c r="H4536" t="str">
        <f>"אלתא מערכות בע""מ"</f>
        <v>אלתא מערכות בע"מ</v>
      </c>
      <c r="I4536" t="str">
        <f>"10"</f>
        <v>10</v>
      </c>
      <c r="J4536" t="str">
        <f>"OP-AR09105"</f>
        <v>OP-AR09105</v>
      </c>
      <c r="K4536" t="str">
        <f>"לוח LB-PDB מק""ט לקוח 1026L310-002"</f>
        <v>לוח LB-PDB מק"ט לקוח 1026L310-002</v>
      </c>
      <c r="L4536">
        <v>1</v>
      </c>
      <c r="M4536" t="str">
        <f>"יח"</f>
        <v>יח</v>
      </c>
      <c r="N4536">
        <v>1</v>
      </c>
      <c r="O4536" t="str">
        <f>"יח"</f>
        <v>יח</v>
      </c>
      <c r="P4536" s="2">
        <v>25450</v>
      </c>
      <c r="Q4536" t="str">
        <f>"$"</f>
        <v>$</v>
      </c>
      <c r="R4536" t="str">
        <f>"הזמנה"</f>
        <v>הזמנה</v>
      </c>
      <c r="S4536">
        <v>0</v>
      </c>
      <c r="T4536" s="2">
        <v>25450</v>
      </c>
      <c r="U4536">
        <v>0</v>
      </c>
      <c r="V4536" s="2">
        <v>25450</v>
      </c>
      <c r="W4536" t="str">
        <f>"$"</f>
        <v>$</v>
      </c>
      <c r="X4536">
        <v>0</v>
      </c>
      <c r="Y4536">
        <v>0</v>
      </c>
      <c r="Z4536">
        <v>0</v>
      </c>
      <c r="AA4536" t="str">
        <f>"Y"</f>
        <v>Y</v>
      </c>
      <c r="AB4536" t="str">
        <f>"SO12T000001"</f>
        <v>SO12T000001</v>
      </c>
      <c r="AC4536">
        <v>35</v>
      </c>
      <c r="AD4536" s="1">
        <v>41256</v>
      </c>
      <c r="AE4536" t="str">
        <f>"SH16001572"</f>
        <v>SH16001572</v>
      </c>
      <c r="AF4536" t="str">
        <f>"משלוחים ללקוח"</f>
        <v>משלוחים ללקוח</v>
      </c>
      <c r="AG4536" s="1">
        <v>42564</v>
      </c>
      <c r="AM4536" t="str">
        <f>"10"</f>
        <v>10</v>
      </c>
      <c r="AN4536" t="str">
        <f>"500000"</f>
        <v>500000</v>
      </c>
      <c r="AO4536" t="str">
        <f>"הכנסות  מלקוחות"</f>
        <v>הכנסות  מלקוחות</v>
      </c>
      <c r="AQ4536" t="str">
        <f>"007"</f>
        <v>007</v>
      </c>
      <c r="AR4536">
        <v>0</v>
      </c>
      <c r="AS4536">
        <v>0</v>
      </c>
      <c r="AT4536">
        <v>3.871</v>
      </c>
      <c r="AX4536" t="str">
        <f>"E000093662"</f>
        <v>E000093662</v>
      </c>
      <c r="BD4536" t="str">
        <f>"רוני דידי"</f>
        <v>רוני דידי</v>
      </c>
    </row>
    <row r="4537" spans="1:56" x14ac:dyDescent="0.3">
      <c r="A4537" s="1">
        <v>42551</v>
      </c>
      <c r="B4537" t="str">
        <f>"SI160000886"</f>
        <v>SI160000886</v>
      </c>
      <c r="C4537" t="str">
        <f>"PR15003266"</f>
        <v>PR15003266</v>
      </c>
      <c r="E4537" t="str">
        <f>"Y"</f>
        <v>Y</v>
      </c>
      <c r="F4537" t="str">
        <f>"חשבוניות מרכזות"</f>
        <v>חשבוניות מרכזות</v>
      </c>
      <c r="G4537" t="str">
        <f>"700065"</f>
        <v>700065</v>
      </c>
      <c r="H4537" t="str">
        <f>"אלתא מערכות בע""מ"</f>
        <v>אלתא מערכות בע"מ</v>
      </c>
      <c r="I4537" t="str">
        <f>"10"</f>
        <v>10</v>
      </c>
      <c r="J4537" t="str">
        <f>"OP-AR00083"</f>
        <v>OP-AR00083</v>
      </c>
      <c r="K4537" t="str">
        <f>"יצור מערכת 1029B631-001 RE - PDU"</f>
        <v>יצור מערכת 1029B631-001 RE - PDU</v>
      </c>
      <c r="L4537">
        <v>1</v>
      </c>
      <c r="M4537" t="str">
        <f>"יח"</f>
        <v>יח</v>
      </c>
      <c r="N4537">
        <v>1</v>
      </c>
      <c r="O4537" t="str">
        <f>"יח"</f>
        <v>יח</v>
      </c>
      <c r="P4537" s="2">
        <v>100588</v>
      </c>
      <c r="Q4537" t="str">
        <f>"$"</f>
        <v>$</v>
      </c>
      <c r="R4537" t="str">
        <f>"הזמנה"</f>
        <v>הזמנה</v>
      </c>
      <c r="S4537">
        <v>0</v>
      </c>
      <c r="T4537" s="2">
        <v>100588</v>
      </c>
      <c r="U4537">
        <v>0</v>
      </c>
      <c r="V4537" s="2">
        <v>100588</v>
      </c>
      <c r="W4537" t="str">
        <f>"$"</f>
        <v>$</v>
      </c>
      <c r="X4537">
        <v>0</v>
      </c>
      <c r="Y4537">
        <v>0</v>
      </c>
      <c r="Z4537">
        <v>0</v>
      </c>
      <c r="AA4537" t="str">
        <f>"Y"</f>
        <v>Y</v>
      </c>
      <c r="AB4537" t="str">
        <f>"SO140002474"</f>
        <v>SO140002474</v>
      </c>
      <c r="AC4537">
        <v>5</v>
      </c>
      <c r="AD4537" s="1">
        <v>41939</v>
      </c>
      <c r="AE4537" t="str">
        <f>"SH16001573"</f>
        <v>SH16001573</v>
      </c>
      <c r="AF4537" t="str">
        <f>"משלוחים ללקוח"</f>
        <v>משלוחים ללקוח</v>
      </c>
      <c r="AG4537" s="1">
        <v>42564</v>
      </c>
      <c r="AM4537" t="str">
        <f>"10"</f>
        <v>10</v>
      </c>
      <c r="AN4537" t="str">
        <f>"500000"</f>
        <v>500000</v>
      </c>
      <c r="AO4537" t="str">
        <f>"הכנסות  מלקוחות"</f>
        <v>הכנסות  מלקוחות</v>
      </c>
      <c r="AQ4537" t="str">
        <f>"007"</f>
        <v>007</v>
      </c>
      <c r="AR4537">
        <v>0</v>
      </c>
      <c r="AS4537">
        <v>0</v>
      </c>
      <c r="AT4537">
        <v>3.8460000000000001</v>
      </c>
      <c r="AX4537" t="str">
        <f>"E000182402"</f>
        <v>E000182402</v>
      </c>
      <c r="BD4537" t="str">
        <f>"רוני דידי"</f>
        <v>רוני דידי</v>
      </c>
    </row>
    <row r="4538" spans="1:56" x14ac:dyDescent="0.3">
      <c r="A4538" s="1">
        <v>42551</v>
      </c>
      <c r="B4538" t="str">
        <f>"SI160000839"</f>
        <v>SI160000839</v>
      </c>
      <c r="C4538" t="str">
        <f>"PR15003500"</f>
        <v>PR15003500</v>
      </c>
      <c r="E4538" t="str">
        <f>"Y"</f>
        <v>Y</v>
      </c>
      <c r="F4538" t="str">
        <f>"חשבוניות מרכזות"</f>
        <v>חשבוניות מרכזות</v>
      </c>
      <c r="G4538" t="str">
        <f>"700065"</f>
        <v>700065</v>
      </c>
      <c r="H4538" t="str">
        <f>"אלתא מערכות בע""מ"</f>
        <v>אלתא מערכות בע"מ</v>
      </c>
      <c r="I4538" t="str">
        <f>"10"</f>
        <v>10</v>
      </c>
      <c r="J4538" t="str">
        <f>"OP-AR09105"</f>
        <v>OP-AR09105</v>
      </c>
      <c r="K4538" t="str">
        <f>"לוח LB-PDB מק""ט לקוח 1026L310-002"</f>
        <v>לוח LB-PDB מק"ט לקוח 1026L310-002</v>
      </c>
      <c r="L4538">
        <v>1</v>
      </c>
      <c r="M4538" t="str">
        <f>"יח"</f>
        <v>יח</v>
      </c>
      <c r="N4538">
        <v>1</v>
      </c>
      <c r="O4538" t="str">
        <f>"יח"</f>
        <v>יח</v>
      </c>
      <c r="P4538" s="2">
        <v>25450</v>
      </c>
      <c r="Q4538" t="str">
        <f>"$"</f>
        <v>$</v>
      </c>
      <c r="R4538" t="str">
        <f>"הזמנה"</f>
        <v>הזמנה</v>
      </c>
      <c r="S4538">
        <v>0</v>
      </c>
      <c r="T4538" s="2">
        <v>25450</v>
      </c>
      <c r="U4538">
        <v>0</v>
      </c>
      <c r="V4538" s="2">
        <v>25450</v>
      </c>
      <c r="W4538" t="str">
        <f>"$"</f>
        <v>$</v>
      </c>
      <c r="X4538">
        <v>0</v>
      </c>
      <c r="Y4538">
        <v>0</v>
      </c>
      <c r="Z4538">
        <v>0</v>
      </c>
      <c r="AA4538" t="str">
        <f>"Y"</f>
        <v>Y</v>
      </c>
      <c r="AB4538" t="str">
        <f>"SO12T000001"</f>
        <v>SO12T000001</v>
      </c>
      <c r="AC4538">
        <v>18</v>
      </c>
      <c r="AD4538" s="1">
        <v>41256</v>
      </c>
      <c r="AE4538" t="str">
        <f>"SH16001462"</f>
        <v>SH16001462</v>
      </c>
      <c r="AF4538" t="str">
        <f>"משלוחים ללקוח"</f>
        <v>משלוחים ללקוח</v>
      </c>
      <c r="AG4538" s="1">
        <v>42551</v>
      </c>
      <c r="AM4538" t="str">
        <f>"10"</f>
        <v>10</v>
      </c>
      <c r="AN4538" t="str">
        <f>"500000"</f>
        <v>500000</v>
      </c>
      <c r="AO4538" t="str">
        <f>"הכנסות  מלקוחות"</f>
        <v>הכנסות  מלקוחות</v>
      </c>
      <c r="AQ4538" t="str">
        <f>"007"</f>
        <v>007</v>
      </c>
      <c r="AR4538">
        <v>0</v>
      </c>
      <c r="AS4538">
        <v>0</v>
      </c>
      <c r="AT4538">
        <v>3.8460000000000001</v>
      </c>
      <c r="AX4538" t="str">
        <f>"E000093662"</f>
        <v>E000093662</v>
      </c>
      <c r="BD4538" t="str">
        <f>"רוני דידי"</f>
        <v>רוני דידי</v>
      </c>
    </row>
    <row r="4539" spans="1:56" x14ac:dyDescent="0.3">
      <c r="A4539" s="1">
        <v>42551</v>
      </c>
      <c r="B4539" t="str">
        <f>"SI160000839"</f>
        <v>SI160000839</v>
      </c>
      <c r="C4539" t="str">
        <f>"PR15003500"</f>
        <v>PR15003500</v>
      </c>
      <c r="E4539" t="str">
        <f>"Y"</f>
        <v>Y</v>
      </c>
      <c r="F4539" t="str">
        <f>"חשבוניות מרכזות"</f>
        <v>חשבוניות מרכזות</v>
      </c>
      <c r="G4539" t="str">
        <f>"700065"</f>
        <v>700065</v>
      </c>
      <c r="H4539" t="str">
        <f>"אלתא מערכות בע""מ"</f>
        <v>אלתא מערכות בע"מ</v>
      </c>
      <c r="I4539" t="str">
        <f>"10"</f>
        <v>10</v>
      </c>
      <c r="J4539" t="str">
        <f>"OP-AR09105"</f>
        <v>OP-AR09105</v>
      </c>
      <c r="K4539" t="str">
        <f>"לוח LB-PDB מק""ט לקוח 1026L310-002"</f>
        <v>לוח LB-PDB מק"ט לקוח 1026L310-002</v>
      </c>
      <c r="L4539">
        <v>1</v>
      </c>
      <c r="M4539" t="str">
        <f>"יח"</f>
        <v>יח</v>
      </c>
      <c r="N4539">
        <v>1</v>
      </c>
      <c r="O4539" t="str">
        <f>"יח"</f>
        <v>יח</v>
      </c>
      <c r="P4539" s="2">
        <v>25450</v>
      </c>
      <c r="Q4539" t="str">
        <f>"$"</f>
        <v>$</v>
      </c>
      <c r="R4539" t="str">
        <f>"הזמנה"</f>
        <v>הזמנה</v>
      </c>
      <c r="S4539">
        <v>0</v>
      </c>
      <c r="T4539" s="2">
        <v>25450</v>
      </c>
      <c r="U4539">
        <v>0</v>
      </c>
      <c r="V4539" s="2">
        <v>25450</v>
      </c>
      <c r="W4539" t="str">
        <f>"$"</f>
        <v>$</v>
      </c>
      <c r="X4539">
        <v>0</v>
      </c>
      <c r="Y4539">
        <v>0</v>
      </c>
      <c r="Z4539">
        <v>0</v>
      </c>
      <c r="AA4539" t="str">
        <f>"Y"</f>
        <v>Y</v>
      </c>
      <c r="AB4539" t="str">
        <f>"SO12T000001"</f>
        <v>SO12T000001</v>
      </c>
      <c r="AC4539">
        <v>22</v>
      </c>
      <c r="AD4539" s="1">
        <v>41256</v>
      </c>
      <c r="AE4539" t="str">
        <f>"SH16001462"</f>
        <v>SH16001462</v>
      </c>
      <c r="AF4539" t="str">
        <f>"משלוחים ללקוח"</f>
        <v>משלוחים ללקוח</v>
      </c>
      <c r="AG4539" s="1">
        <v>42551</v>
      </c>
      <c r="AM4539" t="str">
        <f>"10"</f>
        <v>10</v>
      </c>
      <c r="AN4539" t="str">
        <f>"500000"</f>
        <v>500000</v>
      </c>
      <c r="AO4539" t="str">
        <f>"הכנסות  מלקוחות"</f>
        <v>הכנסות  מלקוחות</v>
      </c>
      <c r="AQ4539" t="str">
        <f>"007"</f>
        <v>007</v>
      </c>
      <c r="AR4539">
        <v>0</v>
      </c>
      <c r="AS4539">
        <v>0</v>
      </c>
      <c r="AT4539">
        <v>3.8460000000000001</v>
      </c>
      <c r="AX4539" t="str">
        <f>"E000093662"</f>
        <v>E000093662</v>
      </c>
      <c r="BD4539" t="str">
        <f>"רוני דידי"</f>
        <v>רוני דידי</v>
      </c>
    </row>
    <row r="4540" spans="1:56" x14ac:dyDescent="0.3">
      <c r="A4540" s="1">
        <v>42551</v>
      </c>
      <c r="B4540" t="str">
        <f>"SI160000821"</f>
        <v>SI160000821</v>
      </c>
      <c r="C4540" t="str">
        <f>"PR15003236"</f>
        <v>PR15003236</v>
      </c>
      <c r="E4540" t="str">
        <f>"Y"</f>
        <v>Y</v>
      </c>
      <c r="F4540" t="str">
        <f>"חשבוניות מרכזות"</f>
        <v>חשבוניות מרכזות</v>
      </c>
      <c r="G4540" t="str">
        <f>"700065"</f>
        <v>700065</v>
      </c>
      <c r="H4540" t="str">
        <f>"אלתא מערכות בע""מ"</f>
        <v>אלתא מערכות בע"מ</v>
      </c>
      <c r="I4540" t="str">
        <f>"10"</f>
        <v>10</v>
      </c>
      <c r="J4540" t="str">
        <f>"OP-AR09107-2"</f>
        <v>OP-AR09107-2</v>
      </c>
      <c r="K4540" t="str">
        <f>"לוח AUX BOX מק""ט לקוח 1026L320-002"</f>
        <v>לוח AUX BOX מק"ט לקוח 1026L320-002</v>
      </c>
      <c r="L4540">
        <v>1</v>
      </c>
      <c r="M4540" t="str">
        <f>"יח"</f>
        <v>יח</v>
      </c>
      <c r="N4540">
        <v>1</v>
      </c>
      <c r="O4540" t="str">
        <f>"יח"</f>
        <v>יח</v>
      </c>
      <c r="P4540" s="2">
        <v>11637.58</v>
      </c>
      <c r="Q4540" t="str">
        <f>"$"</f>
        <v>$</v>
      </c>
      <c r="R4540" t="str">
        <f>"הזמנה"</f>
        <v>הזמנה</v>
      </c>
      <c r="S4540">
        <v>0</v>
      </c>
      <c r="T4540" s="2">
        <v>11637.58</v>
      </c>
      <c r="U4540">
        <v>0</v>
      </c>
      <c r="V4540" s="2">
        <v>11637.58</v>
      </c>
      <c r="W4540" t="str">
        <f>"$"</f>
        <v>$</v>
      </c>
      <c r="X4540">
        <v>0</v>
      </c>
      <c r="Y4540">
        <v>0</v>
      </c>
      <c r="Z4540">
        <v>0</v>
      </c>
      <c r="AA4540" t="str">
        <f>"Y"</f>
        <v>Y</v>
      </c>
      <c r="AB4540" t="str">
        <f>"SO150003697"</f>
        <v>SO150003697</v>
      </c>
      <c r="AC4540">
        <v>4</v>
      </c>
      <c r="AD4540" s="1">
        <v>42283</v>
      </c>
      <c r="AE4540" t="str">
        <f>"SH16001451"</f>
        <v>SH16001451</v>
      </c>
      <c r="AF4540" t="str">
        <f>"משלוחים ללקוח"</f>
        <v>משלוחים ללקוח</v>
      </c>
      <c r="AG4540" s="1">
        <v>42550</v>
      </c>
      <c r="AM4540" t="str">
        <f>"10"</f>
        <v>10</v>
      </c>
      <c r="AN4540" t="str">
        <f>"500000"</f>
        <v>500000</v>
      </c>
      <c r="AO4540" t="str">
        <f>"הכנסות  מלקוחות"</f>
        <v>הכנסות  מלקוחות</v>
      </c>
      <c r="AQ4540" t="str">
        <f>"007"</f>
        <v>007</v>
      </c>
      <c r="AR4540">
        <v>0</v>
      </c>
      <c r="AS4540">
        <v>0</v>
      </c>
      <c r="AT4540">
        <v>3.8580000000000001</v>
      </c>
      <c r="AX4540" t="str">
        <f>"E000200592"</f>
        <v>E000200592</v>
      </c>
      <c r="BD4540" t="str">
        <f>"רוני דידי"</f>
        <v>רוני דידי</v>
      </c>
    </row>
    <row r="4541" spans="1:56" x14ac:dyDescent="0.3">
      <c r="A4541" s="1">
        <v>42551</v>
      </c>
      <c r="B4541" t="str">
        <f>"SI160000821"</f>
        <v>SI160000821</v>
      </c>
      <c r="C4541" t="str">
        <f>"PR15003236"</f>
        <v>PR15003236</v>
      </c>
      <c r="E4541" t="str">
        <f>"Y"</f>
        <v>Y</v>
      </c>
      <c r="F4541" t="str">
        <f>"חשבוניות מרכזות"</f>
        <v>חשבוניות מרכזות</v>
      </c>
      <c r="G4541" t="str">
        <f>"700065"</f>
        <v>700065</v>
      </c>
      <c r="H4541" t="str">
        <f>"אלתא מערכות בע""מ"</f>
        <v>אלתא מערכות בע"מ</v>
      </c>
      <c r="I4541" t="str">
        <f>"10"</f>
        <v>10</v>
      </c>
      <c r="J4541" t="str">
        <f>"OP-AR09107-2"</f>
        <v>OP-AR09107-2</v>
      </c>
      <c r="K4541" t="str">
        <f>"לוח AUX BOX מק""ט לקוח 1026L320-002"</f>
        <v>לוח AUX BOX מק"ט לקוח 1026L320-002</v>
      </c>
      <c r="L4541">
        <v>1</v>
      </c>
      <c r="M4541" t="str">
        <f>"יח"</f>
        <v>יח</v>
      </c>
      <c r="N4541">
        <v>1</v>
      </c>
      <c r="O4541" t="str">
        <f>"יח"</f>
        <v>יח</v>
      </c>
      <c r="P4541" s="2">
        <v>11637.58</v>
      </c>
      <c r="Q4541" t="str">
        <f>"$"</f>
        <v>$</v>
      </c>
      <c r="R4541" t="str">
        <f>"הזמנה"</f>
        <v>הזמנה</v>
      </c>
      <c r="S4541">
        <v>0</v>
      </c>
      <c r="T4541" s="2">
        <v>11637.58</v>
      </c>
      <c r="U4541">
        <v>0</v>
      </c>
      <c r="V4541" s="2">
        <v>11637.58</v>
      </c>
      <c r="W4541" t="str">
        <f>"$"</f>
        <v>$</v>
      </c>
      <c r="X4541">
        <v>0</v>
      </c>
      <c r="Y4541">
        <v>0</v>
      </c>
      <c r="Z4541">
        <v>0</v>
      </c>
      <c r="AA4541" t="str">
        <f>"Y"</f>
        <v>Y</v>
      </c>
      <c r="AB4541" t="str">
        <f>"SO150003697"</f>
        <v>SO150003697</v>
      </c>
      <c r="AC4541">
        <v>5</v>
      </c>
      <c r="AD4541" s="1">
        <v>42283</v>
      </c>
      <c r="AE4541" t="str">
        <f>"SH16001451"</f>
        <v>SH16001451</v>
      </c>
      <c r="AF4541" t="str">
        <f>"משלוחים ללקוח"</f>
        <v>משלוחים ללקוח</v>
      </c>
      <c r="AG4541" s="1">
        <v>42550</v>
      </c>
      <c r="AM4541" t="str">
        <f>"10"</f>
        <v>10</v>
      </c>
      <c r="AN4541" t="str">
        <f>"500000"</f>
        <v>500000</v>
      </c>
      <c r="AO4541" t="str">
        <f>"הכנסות  מלקוחות"</f>
        <v>הכנסות  מלקוחות</v>
      </c>
      <c r="AQ4541" t="str">
        <f>"007"</f>
        <v>007</v>
      </c>
      <c r="AR4541">
        <v>0</v>
      </c>
      <c r="AS4541">
        <v>0</v>
      </c>
      <c r="AT4541">
        <v>3.8580000000000001</v>
      </c>
      <c r="AX4541" t="str">
        <f>"E000200592"</f>
        <v>E000200592</v>
      </c>
      <c r="BD4541" t="str">
        <f>"רוני דידי"</f>
        <v>רוני דידי</v>
      </c>
    </row>
    <row r="4542" spans="1:56" x14ac:dyDescent="0.3">
      <c r="A4542" s="1">
        <v>42551</v>
      </c>
      <c r="B4542" t="str">
        <f>"SI160000821"</f>
        <v>SI160000821</v>
      </c>
      <c r="C4542" t="str">
        <f>"PR15003236"</f>
        <v>PR15003236</v>
      </c>
      <c r="E4542" t="str">
        <f>"Y"</f>
        <v>Y</v>
      </c>
      <c r="F4542" t="str">
        <f>"חשבוניות מרכזות"</f>
        <v>חשבוניות מרכזות</v>
      </c>
      <c r="G4542" t="str">
        <f>"700065"</f>
        <v>700065</v>
      </c>
      <c r="H4542" t="str">
        <f>"אלתא מערכות בע""מ"</f>
        <v>אלתא מערכות בע"מ</v>
      </c>
      <c r="I4542" t="str">
        <f>"10"</f>
        <v>10</v>
      </c>
      <c r="J4542" t="str">
        <f>"OP-AR09107-2"</f>
        <v>OP-AR09107-2</v>
      </c>
      <c r="K4542" t="str">
        <f>"לוח AUX BOX מק""ט לקוח 1026L320-002"</f>
        <v>לוח AUX BOX מק"ט לקוח 1026L320-002</v>
      </c>
      <c r="L4542">
        <v>1</v>
      </c>
      <c r="M4542" t="str">
        <f>"יח"</f>
        <v>יח</v>
      </c>
      <c r="N4542">
        <v>1</v>
      </c>
      <c r="O4542" t="str">
        <f>"יח"</f>
        <v>יח</v>
      </c>
      <c r="P4542" s="2">
        <v>11637.58</v>
      </c>
      <c r="Q4542" t="str">
        <f>"$"</f>
        <v>$</v>
      </c>
      <c r="R4542" t="str">
        <f>"הזמנה"</f>
        <v>הזמנה</v>
      </c>
      <c r="S4542">
        <v>0</v>
      </c>
      <c r="T4542" s="2">
        <v>11637.58</v>
      </c>
      <c r="U4542">
        <v>0</v>
      </c>
      <c r="V4542" s="2">
        <v>11637.58</v>
      </c>
      <c r="W4542" t="str">
        <f>"$"</f>
        <v>$</v>
      </c>
      <c r="X4542">
        <v>0</v>
      </c>
      <c r="Y4542">
        <v>0</v>
      </c>
      <c r="Z4542">
        <v>0</v>
      </c>
      <c r="AA4542" t="str">
        <f>"Y"</f>
        <v>Y</v>
      </c>
      <c r="AB4542" t="str">
        <f>"SO150003697"</f>
        <v>SO150003697</v>
      </c>
      <c r="AC4542">
        <v>6</v>
      </c>
      <c r="AD4542" s="1">
        <v>42283</v>
      </c>
      <c r="AE4542" t="str">
        <f>"SH16001451"</f>
        <v>SH16001451</v>
      </c>
      <c r="AF4542" t="str">
        <f>"משלוחים ללקוח"</f>
        <v>משלוחים ללקוח</v>
      </c>
      <c r="AG4542" s="1">
        <v>42550</v>
      </c>
      <c r="AM4542" t="str">
        <f>"10"</f>
        <v>10</v>
      </c>
      <c r="AN4542" t="str">
        <f>"500000"</f>
        <v>500000</v>
      </c>
      <c r="AO4542" t="str">
        <f>"הכנסות  מלקוחות"</f>
        <v>הכנסות  מלקוחות</v>
      </c>
      <c r="AQ4542" t="str">
        <f>"007"</f>
        <v>007</v>
      </c>
      <c r="AR4542">
        <v>0</v>
      </c>
      <c r="AS4542">
        <v>0</v>
      </c>
      <c r="AT4542">
        <v>3.8580000000000001</v>
      </c>
      <c r="AX4542" t="str">
        <f>"E000200592"</f>
        <v>E000200592</v>
      </c>
      <c r="BD4542" t="str">
        <f>"רוני דידי"</f>
        <v>רוני דידי</v>
      </c>
    </row>
    <row r="4543" spans="1:56" x14ac:dyDescent="0.3">
      <c r="A4543" s="1">
        <v>42551</v>
      </c>
      <c r="B4543" t="str">
        <f>"SI160000821"</f>
        <v>SI160000821</v>
      </c>
      <c r="C4543" t="str">
        <f>"PR15003236"</f>
        <v>PR15003236</v>
      </c>
      <c r="E4543" t="str">
        <f>"Y"</f>
        <v>Y</v>
      </c>
      <c r="F4543" t="str">
        <f>"חשבוניות מרכזות"</f>
        <v>חשבוניות מרכזות</v>
      </c>
      <c r="G4543" t="str">
        <f>"700065"</f>
        <v>700065</v>
      </c>
      <c r="H4543" t="str">
        <f>"אלתא מערכות בע""מ"</f>
        <v>אלתא מערכות בע"מ</v>
      </c>
      <c r="I4543" t="str">
        <f>"10"</f>
        <v>10</v>
      </c>
      <c r="J4543" t="str">
        <f>"OP-AR09107-2"</f>
        <v>OP-AR09107-2</v>
      </c>
      <c r="K4543" t="str">
        <f>"לוח AUX BOX מק""ט לקוח 1026L320-002"</f>
        <v>לוח AUX BOX מק"ט לקוח 1026L320-002</v>
      </c>
      <c r="L4543">
        <v>1</v>
      </c>
      <c r="M4543" t="str">
        <f>"יח"</f>
        <v>יח</v>
      </c>
      <c r="N4543">
        <v>1</v>
      </c>
      <c r="O4543" t="str">
        <f>"יח"</f>
        <v>יח</v>
      </c>
      <c r="P4543" s="2">
        <v>11637.58</v>
      </c>
      <c r="Q4543" t="str">
        <f>"$"</f>
        <v>$</v>
      </c>
      <c r="R4543" t="str">
        <f>"הזמנה"</f>
        <v>הזמנה</v>
      </c>
      <c r="S4543">
        <v>0</v>
      </c>
      <c r="T4543" s="2">
        <v>11637.58</v>
      </c>
      <c r="U4543">
        <v>0</v>
      </c>
      <c r="V4543" s="2">
        <v>11637.58</v>
      </c>
      <c r="W4543" t="str">
        <f>"$"</f>
        <v>$</v>
      </c>
      <c r="X4543">
        <v>0</v>
      </c>
      <c r="Y4543">
        <v>0</v>
      </c>
      <c r="Z4543">
        <v>0</v>
      </c>
      <c r="AA4543" t="str">
        <f>"Y"</f>
        <v>Y</v>
      </c>
      <c r="AB4543" t="str">
        <f>"SO150003697"</f>
        <v>SO150003697</v>
      </c>
      <c r="AC4543">
        <v>7</v>
      </c>
      <c r="AD4543" s="1">
        <v>42283</v>
      </c>
      <c r="AE4543" t="str">
        <f>"SH16001451"</f>
        <v>SH16001451</v>
      </c>
      <c r="AF4543" t="str">
        <f>"משלוחים ללקוח"</f>
        <v>משלוחים ללקוח</v>
      </c>
      <c r="AG4543" s="1">
        <v>42550</v>
      </c>
      <c r="AM4543" t="str">
        <f>"10"</f>
        <v>10</v>
      </c>
      <c r="AN4543" t="str">
        <f>"500000"</f>
        <v>500000</v>
      </c>
      <c r="AO4543" t="str">
        <f>"הכנסות  מלקוחות"</f>
        <v>הכנסות  מלקוחות</v>
      </c>
      <c r="AQ4543" t="str">
        <f>"007"</f>
        <v>007</v>
      </c>
      <c r="AR4543">
        <v>0</v>
      </c>
      <c r="AS4543">
        <v>0</v>
      </c>
      <c r="AT4543">
        <v>3.8580000000000001</v>
      </c>
      <c r="AX4543" t="str">
        <f>"E000200592"</f>
        <v>E000200592</v>
      </c>
      <c r="BD4543" t="str">
        <f>"רוני דידי"</f>
        <v>רוני דידי</v>
      </c>
    </row>
    <row r="4544" spans="1:56" x14ac:dyDescent="0.3">
      <c r="A4544" s="1">
        <v>42534</v>
      </c>
      <c r="B4544" t="str">
        <f>"SI160000704"</f>
        <v>SI160000704</v>
      </c>
      <c r="C4544" t="str">
        <f>"PR16000374"</f>
        <v>PR16000374</v>
      </c>
      <c r="E4544" t="str">
        <f>"Y"</f>
        <v>Y</v>
      </c>
      <c r="F4544" t="str">
        <f>"חשבוניות מרכזות"</f>
        <v>חשבוניות מרכזות</v>
      </c>
      <c r="G4544" t="str">
        <f>"700065"</f>
        <v>700065</v>
      </c>
      <c r="H4544" t="str">
        <f>"אלתא מערכות בע""מ"</f>
        <v>אלתא מערכות בע"מ</v>
      </c>
      <c r="I4544" t="str">
        <f>"10"</f>
        <v>10</v>
      </c>
      <c r="J4544" t="str">
        <f>"OP-AR00312"</f>
        <v>OP-AR00312</v>
      </c>
      <c r="K4544" t="str">
        <f>"הזנה למבנה במבה זמני"</f>
        <v>הזנה למבנה במבה זמני</v>
      </c>
      <c r="L4544">
        <v>1</v>
      </c>
      <c r="M4544" t="str">
        <f>"יח"</f>
        <v>יח</v>
      </c>
      <c r="N4544">
        <v>1</v>
      </c>
      <c r="O4544" t="str">
        <f>"יח"</f>
        <v>יח</v>
      </c>
      <c r="P4544" s="2">
        <v>4390</v>
      </c>
      <c r="Q4544" t="str">
        <f>"$"</f>
        <v>$</v>
      </c>
      <c r="R4544" t="str">
        <f>"הזמנה"</f>
        <v>הזמנה</v>
      </c>
      <c r="S4544">
        <v>0</v>
      </c>
      <c r="T4544" s="2">
        <v>4390</v>
      </c>
      <c r="U4544">
        <v>0</v>
      </c>
      <c r="V4544" s="2">
        <v>4390</v>
      </c>
      <c r="W4544" t="str">
        <f>"$"</f>
        <v>$</v>
      </c>
      <c r="X4544">
        <v>0</v>
      </c>
      <c r="Y4544">
        <v>0</v>
      </c>
      <c r="Z4544">
        <v>0</v>
      </c>
      <c r="AA4544" t="str">
        <f>"Y"</f>
        <v>Y</v>
      </c>
      <c r="AC4544">
        <v>0</v>
      </c>
      <c r="AM4544" t="str">
        <f>"10"</f>
        <v>10</v>
      </c>
      <c r="AN4544" t="str">
        <f>"500000"</f>
        <v>500000</v>
      </c>
      <c r="AO4544" t="str">
        <f>"הכנסות  מלקוחות"</f>
        <v>הכנסות  מלקוחות</v>
      </c>
      <c r="AQ4544" t="str">
        <f>"007"</f>
        <v>007</v>
      </c>
      <c r="AR4544">
        <v>0</v>
      </c>
      <c r="AS4544">
        <v>0</v>
      </c>
      <c r="AT4544">
        <v>3.8490000000000002</v>
      </c>
      <c r="BB4544" t="str">
        <f>"Y"</f>
        <v>Y</v>
      </c>
      <c r="BD4544" t="str">
        <f>"רוני דידי"</f>
        <v>רוני דידי</v>
      </c>
    </row>
    <row r="4545" spans="1:56" x14ac:dyDescent="0.3">
      <c r="A4545" s="1">
        <v>42519</v>
      </c>
      <c r="B4545" t="str">
        <f>"SI160000615"</f>
        <v>SI160000615</v>
      </c>
      <c r="C4545" t="str">
        <f>"PR16000150"</f>
        <v>PR16000150</v>
      </c>
      <c r="D4545" t="str">
        <f>"PR16000150"</f>
        <v>PR16000150</v>
      </c>
      <c r="E4545" t="str">
        <f>"Y"</f>
        <v>Y</v>
      </c>
      <c r="F4545" t="str">
        <f>"חשבוניות מרכזות"</f>
        <v>חשבוניות מרכזות</v>
      </c>
      <c r="G4545" t="str">
        <f>"700065"</f>
        <v>700065</v>
      </c>
      <c r="H4545" t="str">
        <f>"אלתא מערכות בע""מ"</f>
        <v>אלתא מערכות בע"מ</v>
      </c>
      <c r="I4545" t="str">
        <f>"10"</f>
        <v>10</v>
      </c>
      <c r="J4545" t="str">
        <f>"OP-AR09107-2"</f>
        <v>OP-AR09107-2</v>
      </c>
      <c r="K4545" t="str">
        <f>"לוח AUX BOX מק""ט לקוח 1026L320-002"</f>
        <v>לוח AUX BOX מק"ט לקוח 1026L320-002</v>
      </c>
      <c r="L4545">
        <v>1</v>
      </c>
      <c r="M4545" t="str">
        <f>"יח"</f>
        <v>יח</v>
      </c>
      <c r="N4545">
        <v>1</v>
      </c>
      <c r="O4545" t="str">
        <f>"יח"</f>
        <v>יח</v>
      </c>
      <c r="P4545" s="2">
        <v>3548</v>
      </c>
      <c r="Q4545" t="str">
        <f>"$"</f>
        <v>$</v>
      </c>
      <c r="R4545" t="str">
        <f>"הזמנה"</f>
        <v>הזמנה</v>
      </c>
      <c r="S4545">
        <v>0</v>
      </c>
      <c r="T4545" s="2">
        <v>3548</v>
      </c>
      <c r="U4545">
        <v>0</v>
      </c>
      <c r="V4545" s="2">
        <v>3548</v>
      </c>
      <c r="W4545" t="str">
        <f>"$"</f>
        <v>$</v>
      </c>
      <c r="X4545">
        <v>0</v>
      </c>
      <c r="Y4545">
        <v>0</v>
      </c>
      <c r="Z4545">
        <v>0</v>
      </c>
      <c r="AA4545" t="str">
        <f>"Y"</f>
        <v>Y</v>
      </c>
      <c r="AB4545" t="str">
        <f>"SO160000223"</f>
        <v>SO160000223</v>
      </c>
      <c r="AC4545">
        <v>1</v>
      </c>
      <c r="AD4545" s="1">
        <v>42458</v>
      </c>
      <c r="AE4545" t="str">
        <f>"SH16001142"</f>
        <v>SH16001142</v>
      </c>
      <c r="AF4545" t="str">
        <f>"משלוחים ללקוח"</f>
        <v>משלוחים ללקוח</v>
      </c>
      <c r="AG4545" s="1">
        <v>42516</v>
      </c>
      <c r="AM4545" t="str">
        <f>"10"</f>
        <v>10</v>
      </c>
      <c r="AN4545" t="str">
        <f>"500000"</f>
        <v>500000</v>
      </c>
      <c r="AO4545" t="str">
        <f>"הכנסות  מלקוחות"</f>
        <v>הכנסות  מלקוחות</v>
      </c>
      <c r="AQ4545" t="str">
        <f>"007"</f>
        <v>007</v>
      </c>
      <c r="AR4545">
        <v>0</v>
      </c>
      <c r="AS4545">
        <v>0</v>
      </c>
      <c r="AT4545">
        <v>3.8450000000000002</v>
      </c>
      <c r="AX4545" t="str">
        <f>"E000211201"</f>
        <v>E000211201</v>
      </c>
      <c r="BD4545" t="str">
        <f>"רוני דידי"</f>
        <v>רוני דידי</v>
      </c>
    </row>
    <row r="4546" spans="1:56" x14ac:dyDescent="0.3">
      <c r="A4546" s="1">
        <v>42519</v>
      </c>
      <c r="B4546" t="str">
        <f>"SI160000614"</f>
        <v>SI160000614</v>
      </c>
      <c r="C4546" t="str">
        <f>"PR15003499"</f>
        <v>PR15003499</v>
      </c>
      <c r="E4546" t="str">
        <f>"Y"</f>
        <v>Y</v>
      </c>
      <c r="F4546" t="str">
        <f>"חשבוניות מרכזות"</f>
        <v>חשבוניות מרכזות</v>
      </c>
      <c r="G4546" t="str">
        <f>"700065"</f>
        <v>700065</v>
      </c>
      <c r="H4546" t="str">
        <f>"אלתא מערכות בע""מ"</f>
        <v>אלתא מערכות בע"מ</v>
      </c>
      <c r="I4546" t="str">
        <f>"10"</f>
        <v>10</v>
      </c>
      <c r="J4546" t="str">
        <f>"OP-AR09105"</f>
        <v>OP-AR09105</v>
      </c>
      <c r="K4546" t="str">
        <f>"לוח LB-PDB מק""ט לקוח 1026L310-002"</f>
        <v>לוח LB-PDB מק"ט לקוח 1026L310-002</v>
      </c>
      <c r="L4546">
        <v>1</v>
      </c>
      <c r="M4546" t="str">
        <f>"יח"</f>
        <v>יח</v>
      </c>
      <c r="N4546">
        <v>1</v>
      </c>
      <c r="O4546" t="str">
        <f>"יח"</f>
        <v>יח</v>
      </c>
      <c r="P4546" s="2">
        <v>25450</v>
      </c>
      <c r="Q4546" t="str">
        <f>"$"</f>
        <v>$</v>
      </c>
      <c r="R4546" t="str">
        <f>"הזמנה"</f>
        <v>הזמנה</v>
      </c>
      <c r="S4546">
        <v>0</v>
      </c>
      <c r="T4546" s="2">
        <v>25450</v>
      </c>
      <c r="U4546">
        <v>0</v>
      </c>
      <c r="V4546" s="2">
        <v>25450</v>
      </c>
      <c r="W4546" t="str">
        <f>"$"</f>
        <v>$</v>
      </c>
      <c r="X4546">
        <v>0</v>
      </c>
      <c r="Y4546">
        <v>0</v>
      </c>
      <c r="Z4546">
        <v>0</v>
      </c>
      <c r="AA4546" t="str">
        <f>"Y"</f>
        <v>Y</v>
      </c>
      <c r="AB4546" t="str">
        <f>"SO12T000001"</f>
        <v>SO12T000001</v>
      </c>
      <c r="AC4546">
        <v>28</v>
      </c>
      <c r="AD4546" s="1">
        <v>41256</v>
      </c>
      <c r="AE4546" t="str">
        <f>"SH16001141"</f>
        <v>SH16001141</v>
      </c>
      <c r="AF4546" t="str">
        <f>"משלוחים ללקוח"</f>
        <v>משלוחים ללקוח</v>
      </c>
      <c r="AG4546" s="1">
        <v>42516</v>
      </c>
      <c r="AM4546" t="str">
        <f>"10"</f>
        <v>10</v>
      </c>
      <c r="AN4546" t="str">
        <f>"500000"</f>
        <v>500000</v>
      </c>
      <c r="AO4546" t="str">
        <f>"הכנסות  מלקוחות"</f>
        <v>הכנסות  מלקוחות</v>
      </c>
      <c r="AQ4546" t="str">
        <f>"007"</f>
        <v>007</v>
      </c>
      <c r="AR4546">
        <v>0</v>
      </c>
      <c r="AS4546">
        <v>0</v>
      </c>
      <c r="AT4546">
        <v>3.8450000000000002</v>
      </c>
      <c r="AX4546" t="str">
        <f>"E000093662"</f>
        <v>E000093662</v>
      </c>
      <c r="BD4546" t="str">
        <f>"רוני דידי"</f>
        <v>רוני דידי</v>
      </c>
    </row>
    <row r="4547" spans="1:56" x14ac:dyDescent="0.3">
      <c r="A4547" s="1">
        <v>42496</v>
      </c>
      <c r="B4547" t="str">
        <f>"SI160000514"</f>
        <v>SI160000514</v>
      </c>
      <c r="C4547" t="str">
        <f>"PR15002885"</f>
        <v>PR15002885</v>
      </c>
      <c r="D4547" t="str">
        <f>"PR15002885"</f>
        <v>PR15002885</v>
      </c>
      <c r="E4547" t="str">
        <f>"Y"</f>
        <v>Y</v>
      </c>
      <c r="F4547" t="str">
        <f>"חשבוניות מרכזות"</f>
        <v>חשבוניות מרכזות</v>
      </c>
      <c r="G4547" t="str">
        <f>"700065"</f>
        <v>700065</v>
      </c>
      <c r="H4547" t="str">
        <f>"אלתא מערכות בע""מ"</f>
        <v>אלתא מערכות בע"מ</v>
      </c>
      <c r="I4547" t="str">
        <f>"10"</f>
        <v>10</v>
      </c>
      <c r="J4547" t="str">
        <f>"OP-AR00181"</f>
        <v>OP-AR00181</v>
      </c>
      <c r="K4547" t="str">
        <f>"אספקה מסד 1036Y030-001 PRCU CRCU חדר בקרה טל שחר"</f>
        <v>אספקה מסד 1036Y030-001 PRCU CRCU חדר בקרה טל שחר</v>
      </c>
      <c r="L4547">
        <v>1</v>
      </c>
      <c r="M4547" t="str">
        <f>"יח"</f>
        <v>יח</v>
      </c>
      <c r="N4547">
        <v>1</v>
      </c>
      <c r="O4547" t="str">
        <f>"יח"</f>
        <v>יח</v>
      </c>
      <c r="P4547" s="2">
        <v>4306</v>
      </c>
      <c r="Q4547" t="str">
        <f>"$"</f>
        <v>$</v>
      </c>
      <c r="R4547" t="str">
        <f>"הזמנה"</f>
        <v>הזמנה</v>
      </c>
      <c r="S4547">
        <v>0</v>
      </c>
      <c r="T4547" s="2">
        <v>4306</v>
      </c>
      <c r="U4547">
        <v>0</v>
      </c>
      <c r="V4547" s="2">
        <v>4306</v>
      </c>
      <c r="W4547" t="str">
        <f>"$"</f>
        <v>$</v>
      </c>
      <c r="X4547">
        <v>0</v>
      </c>
      <c r="Y4547">
        <v>0</v>
      </c>
      <c r="Z4547">
        <v>0</v>
      </c>
      <c r="AA4547" t="str">
        <f>"Y"</f>
        <v>Y</v>
      </c>
      <c r="AB4547" t="str">
        <f>"SO150003361"</f>
        <v>SO150003361</v>
      </c>
      <c r="AC4547">
        <v>4</v>
      </c>
      <c r="AD4547" s="1">
        <v>42170</v>
      </c>
      <c r="AE4547" t="str">
        <f>"SH16001019"</f>
        <v>SH16001019</v>
      </c>
      <c r="AF4547" t="str">
        <f>"משלוחים ללקוח"</f>
        <v>משלוחים ללקוח</v>
      </c>
      <c r="AG4547" s="1">
        <v>42499</v>
      </c>
      <c r="AM4547" t="str">
        <f>"10"</f>
        <v>10</v>
      </c>
      <c r="AN4547" t="str">
        <f>"500000"</f>
        <v>500000</v>
      </c>
      <c r="AO4547" t="str">
        <f>"הכנסות  מלקוחות"</f>
        <v>הכנסות  מלקוחות</v>
      </c>
      <c r="AQ4547" t="str">
        <f>"007"</f>
        <v>007</v>
      </c>
      <c r="AR4547">
        <v>0</v>
      </c>
      <c r="AS4547">
        <v>0</v>
      </c>
      <c r="AT4547">
        <v>3.7879999999999998</v>
      </c>
      <c r="AX4547" t="str">
        <f>"E000198614"</f>
        <v>E000198614</v>
      </c>
      <c r="BD4547" t="str">
        <f>"רוני דידי"</f>
        <v>רוני דידי</v>
      </c>
    </row>
    <row r="4548" spans="1:56" x14ac:dyDescent="0.3">
      <c r="A4548" s="1">
        <v>42496</v>
      </c>
      <c r="B4548" t="str">
        <f>"SI160000514"</f>
        <v>SI160000514</v>
      </c>
      <c r="C4548" t="str">
        <f>"PR15002885"</f>
        <v>PR15002885</v>
      </c>
      <c r="D4548" t="str">
        <f>"PR15002885"</f>
        <v>PR15002885</v>
      </c>
      <c r="E4548" t="str">
        <f>"Y"</f>
        <v>Y</v>
      </c>
      <c r="F4548" t="str">
        <f>"חשבוניות מרכזות"</f>
        <v>חשבוניות מרכזות</v>
      </c>
      <c r="G4548" t="str">
        <f>"700065"</f>
        <v>700065</v>
      </c>
      <c r="H4548" t="str">
        <f>"אלתא מערכות בע""מ"</f>
        <v>אלתא מערכות בע"מ</v>
      </c>
      <c r="I4548" t="str">
        <f>"10"</f>
        <v>10</v>
      </c>
      <c r="J4548" t="str">
        <f>"OP-AR00179"</f>
        <v>OP-AR00179</v>
      </c>
      <c r="K4548" t="str">
        <f>"אספקה מסד שרתים 1036Y010-001 חדר בקרה טל שחר"</f>
        <v>אספקה מסד שרתים 1036Y010-001 חדר בקרה טל שחר</v>
      </c>
      <c r="L4548">
        <v>1</v>
      </c>
      <c r="M4548" t="str">
        <f>"יח"</f>
        <v>יח</v>
      </c>
      <c r="N4548">
        <v>1</v>
      </c>
      <c r="O4548" t="str">
        <f>"יח"</f>
        <v>יח</v>
      </c>
      <c r="P4548" s="2">
        <v>8757</v>
      </c>
      <c r="Q4548" t="str">
        <f>"$"</f>
        <v>$</v>
      </c>
      <c r="R4548" t="str">
        <f>"הזמנה"</f>
        <v>הזמנה</v>
      </c>
      <c r="S4548">
        <v>0</v>
      </c>
      <c r="T4548" s="2">
        <v>8757</v>
      </c>
      <c r="U4548">
        <v>0</v>
      </c>
      <c r="V4548" s="2">
        <v>8757</v>
      </c>
      <c r="W4548" t="str">
        <f>"$"</f>
        <v>$</v>
      </c>
      <c r="X4548">
        <v>0</v>
      </c>
      <c r="Y4548">
        <v>0</v>
      </c>
      <c r="Z4548">
        <v>0</v>
      </c>
      <c r="AA4548" t="str">
        <f>"Y"</f>
        <v>Y</v>
      </c>
      <c r="AB4548" t="str">
        <f>"SO150003361"</f>
        <v>SO150003361</v>
      </c>
      <c r="AC4548">
        <v>5</v>
      </c>
      <c r="AD4548" s="1">
        <v>42170</v>
      </c>
      <c r="AE4548" t="str">
        <f>"SH16001019"</f>
        <v>SH16001019</v>
      </c>
      <c r="AF4548" t="str">
        <f>"משלוחים ללקוח"</f>
        <v>משלוחים ללקוח</v>
      </c>
      <c r="AG4548" s="1">
        <v>42499</v>
      </c>
      <c r="AM4548" t="str">
        <f>"10"</f>
        <v>10</v>
      </c>
      <c r="AN4548" t="str">
        <f>"500000"</f>
        <v>500000</v>
      </c>
      <c r="AO4548" t="str">
        <f>"הכנסות  מלקוחות"</f>
        <v>הכנסות  מלקוחות</v>
      </c>
      <c r="AQ4548" t="str">
        <f>"007"</f>
        <v>007</v>
      </c>
      <c r="AR4548">
        <v>0</v>
      </c>
      <c r="AS4548">
        <v>0</v>
      </c>
      <c r="AT4548">
        <v>3.7879999999999998</v>
      </c>
      <c r="AX4548" t="str">
        <f>"E000198614"</f>
        <v>E000198614</v>
      </c>
      <c r="BD4548" t="str">
        <f>"רוני דידי"</f>
        <v>רוני דידי</v>
      </c>
    </row>
    <row r="4549" spans="1:56" x14ac:dyDescent="0.3">
      <c r="A4549" s="1">
        <v>42496</v>
      </c>
      <c r="B4549" t="str">
        <f>"SI160000514"</f>
        <v>SI160000514</v>
      </c>
      <c r="C4549" t="str">
        <f>"PR15002885"</f>
        <v>PR15002885</v>
      </c>
      <c r="D4549" t="str">
        <f>"PR15002885"</f>
        <v>PR15002885</v>
      </c>
      <c r="E4549" t="str">
        <f>"Y"</f>
        <v>Y</v>
      </c>
      <c r="F4549" t="str">
        <f>"חשבוניות מרכזות"</f>
        <v>חשבוניות מרכזות</v>
      </c>
      <c r="G4549" t="str">
        <f>"700065"</f>
        <v>700065</v>
      </c>
      <c r="H4549" t="str">
        <f>"אלתא מערכות בע""מ"</f>
        <v>אלתא מערכות בע"מ</v>
      </c>
      <c r="I4549" t="str">
        <f>"10"</f>
        <v>10</v>
      </c>
      <c r="J4549" t="str">
        <f>"OP-AR00180"</f>
        <v>OP-AR00180</v>
      </c>
      <c r="K4549" t="str">
        <f>"אספקה מסד עיבוד אות 1036Y020-001 חדר בקרה טל שחר"</f>
        <v>אספקה מסד עיבוד אות 1036Y020-001 חדר בקרה טל שחר</v>
      </c>
      <c r="L4549">
        <v>1</v>
      </c>
      <c r="M4549" t="str">
        <f>"יח"</f>
        <v>יח</v>
      </c>
      <c r="N4549">
        <v>1</v>
      </c>
      <c r="O4549" t="str">
        <f>"יח"</f>
        <v>יח</v>
      </c>
      <c r="P4549" s="2">
        <v>6656</v>
      </c>
      <c r="Q4549" t="str">
        <f>"$"</f>
        <v>$</v>
      </c>
      <c r="R4549" t="str">
        <f>"הזמנה"</f>
        <v>הזמנה</v>
      </c>
      <c r="S4549">
        <v>0</v>
      </c>
      <c r="T4549" s="2">
        <v>6656</v>
      </c>
      <c r="U4549">
        <v>0</v>
      </c>
      <c r="V4549" s="2">
        <v>6656</v>
      </c>
      <c r="W4549" t="str">
        <f>"$"</f>
        <v>$</v>
      </c>
      <c r="X4549">
        <v>0</v>
      </c>
      <c r="Y4549">
        <v>0</v>
      </c>
      <c r="Z4549">
        <v>0</v>
      </c>
      <c r="AA4549" t="str">
        <f>"Y"</f>
        <v>Y</v>
      </c>
      <c r="AB4549" t="str">
        <f>"SO150003361"</f>
        <v>SO150003361</v>
      </c>
      <c r="AC4549">
        <v>6</v>
      </c>
      <c r="AD4549" s="1">
        <v>42170</v>
      </c>
      <c r="AE4549" t="str">
        <f>"SH16001019"</f>
        <v>SH16001019</v>
      </c>
      <c r="AF4549" t="str">
        <f>"משלוחים ללקוח"</f>
        <v>משלוחים ללקוח</v>
      </c>
      <c r="AG4549" s="1">
        <v>42499</v>
      </c>
      <c r="AM4549" t="str">
        <f>"10"</f>
        <v>10</v>
      </c>
      <c r="AN4549" t="str">
        <f>"500000"</f>
        <v>500000</v>
      </c>
      <c r="AO4549" t="str">
        <f>"הכנסות  מלקוחות"</f>
        <v>הכנסות  מלקוחות</v>
      </c>
      <c r="AQ4549" t="str">
        <f>"007"</f>
        <v>007</v>
      </c>
      <c r="AR4549">
        <v>0</v>
      </c>
      <c r="AS4549">
        <v>0</v>
      </c>
      <c r="AT4549">
        <v>3.7879999999999998</v>
      </c>
      <c r="AX4549" t="str">
        <f>"E000198614"</f>
        <v>E000198614</v>
      </c>
      <c r="BD4549" t="str">
        <f>"רוני דידי"</f>
        <v>רוני דידי</v>
      </c>
    </row>
    <row r="4550" spans="1:56" x14ac:dyDescent="0.3">
      <c r="A4550" s="1">
        <v>42494</v>
      </c>
      <c r="B4550" t="str">
        <f>"SI160000495"</f>
        <v>SI160000495</v>
      </c>
      <c r="E4550" t="str">
        <f>"Y"</f>
        <v>Y</v>
      </c>
      <c r="F4550" t="str">
        <f>"חשבוניות מרכזות"</f>
        <v>חשבוניות מרכזות</v>
      </c>
      <c r="G4550" t="str">
        <f>"700065"</f>
        <v>700065</v>
      </c>
      <c r="H4550" t="str">
        <f>"אלתא מערכות בע""מ"</f>
        <v>אלתא מערכות בע"מ</v>
      </c>
      <c r="I4550" t="str">
        <f>"10"</f>
        <v>10</v>
      </c>
      <c r="J4550" t="str">
        <f>"OP-ML00060"</f>
        <v>OP-ML00060</v>
      </c>
      <c r="K4550" t="str">
        <f>"1U STU - SERIAL FIBER CONVERTER UNIT"</f>
        <v>1U STU - SERIAL FIBER CONVERTER UNIT</v>
      </c>
      <c r="L4550">
        <v>-1</v>
      </c>
      <c r="M4550" t="str">
        <f>"יח"</f>
        <v>יח</v>
      </c>
      <c r="N4550">
        <v>-1</v>
      </c>
      <c r="O4550" t="str">
        <f>"יח"</f>
        <v>יח</v>
      </c>
      <c r="P4550" s="2">
        <v>3000</v>
      </c>
      <c r="Q4550" t="str">
        <f>"$"</f>
        <v>$</v>
      </c>
      <c r="R4550" t="str">
        <f>"הזמנה"</f>
        <v>הזמנה</v>
      </c>
      <c r="S4550">
        <v>0</v>
      </c>
      <c r="T4550" s="2">
        <v>-3000</v>
      </c>
      <c r="U4550">
        <v>0</v>
      </c>
      <c r="V4550" s="2">
        <v>-3000</v>
      </c>
      <c r="W4550" t="str">
        <f>"$"</f>
        <v>$</v>
      </c>
      <c r="X4550">
        <v>0</v>
      </c>
      <c r="Y4550">
        <v>0</v>
      </c>
      <c r="Z4550">
        <v>0</v>
      </c>
      <c r="AA4550" t="str">
        <f>"Y"</f>
        <v>Y</v>
      </c>
      <c r="AC4550">
        <v>0</v>
      </c>
      <c r="AM4550" t="str">
        <f>"10"</f>
        <v>10</v>
      </c>
      <c r="AN4550" t="str">
        <f>"500000"</f>
        <v>500000</v>
      </c>
      <c r="AO4550" t="str">
        <f>"הכנסות  מלקוחות"</f>
        <v>הכנסות  מלקוחות</v>
      </c>
      <c r="AQ4550" t="str">
        <f>"004"</f>
        <v>004</v>
      </c>
      <c r="AR4550">
        <v>0</v>
      </c>
      <c r="AS4550">
        <v>0</v>
      </c>
      <c r="AT4550">
        <v>3.7469999999999999</v>
      </c>
      <c r="BB4550" t="str">
        <f>"Y"</f>
        <v>Y</v>
      </c>
      <c r="BD4550" t="str">
        <f>"איציק חדד"</f>
        <v>איציק חדד</v>
      </c>
    </row>
    <row r="4551" spans="1:56" x14ac:dyDescent="0.3">
      <c r="A4551" s="1">
        <v>42494</v>
      </c>
      <c r="B4551" t="str">
        <f>"SI160000495"</f>
        <v>SI160000495</v>
      </c>
      <c r="E4551" t="str">
        <f>"Y"</f>
        <v>Y</v>
      </c>
      <c r="F4551" t="str">
        <f>"חשבוניות מרכזות"</f>
        <v>חשבוניות מרכזות</v>
      </c>
      <c r="G4551" t="str">
        <f>"700065"</f>
        <v>700065</v>
      </c>
      <c r="H4551" t="str">
        <f>"אלתא מערכות בע""מ"</f>
        <v>אלתא מערכות בע"מ</v>
      </c>
      <c r="I4551" t="str">
        <f>"10"</f>
        <v>10</v>
      </c>
      <c r="J4551" t="str">
        <f>"OP-ML00060"</f>
        <v>OP-ML00060</v>
      </c>
      <c r="K4551" t="str">
        <f>"1U STU - SERIAL FIBER CONVERTER UNIT"</f>
        <v>1U STU - SERIAL FIBER CONVERTER UNIT</v>
      </c>
      <c r="L4551">
        <v>-4</v>
      </c>
      <c r="M4551" t="str">
        <f>"יח"</f>
        <v>יח</v>
      </c>
      <c r="N4551">
        <v>-4</v>
      </c>
      <c r="O4551" t="str">
        <f>"יח"</f>
        <v>יח</v>
      </c>
      <c r="P4551" s="2">
        <v>3000</v>
      </c>
      <c r="Q4551" t="str">
        <f>"$"</f>
        <v>$</v>
      </c>
      <c r="R4551" t="str">
        <f>"הזמנה"</f>
        <v>הזמנה</v>
      </c>
      <c r="S4551">
        <v>0</v>
      </c>
      <c r="T4551" s="2">
        <v>-12000</v>
      </c>
      <c r="U4551">
        <v>0</v>
      </c>
      <c r="V4551" s="2">
        <v>-12000</v>
      </c>
      <c r="W4551" t="str">
        <f>"$"</f>
        <v>$</v>
      </c>
      <c r="X4551">
        <v>0</v>
      </c>
      <c r="Y4551">
        <v>0</v>
      </c>
      <c r="Z4551">
        <v>0</v>
      </c>
      <c r="AA4551" t="str">
        <f>"Y"</f>
        <v>Y</v>
      </c>
      <c r="AC4551">
        <v>0</v>
      </c>
      <c r="AM4551" t="str">
        <f>"10"</f>
        <v>10</v>
      </c>
      <c r="AN4551" t="str">
        <f>"500000"</f>
        <v>500000</v>
      </c>
      <c r="AO4551" t="str">
        <f>"הכנסות  מלקוחות"</f>
        <v>הכנסות  מלקוחות</v>
      </c>
      <c r="AQ4551" t="str">
        <f>"004"</f>
        <v>004</v>
      </c>
      <c r="AR4551">
        <v>0</v>
      </c>
      <c r="AS4551">
        <v>0</v>
      </c>
      <c r="AT4551">
        <v>3.7469999999999999</v>
      </c>
      <c r="BB4551" t="str">
        <f>"Y"</f>
        <v>Y</v>
      </c>
      <c r="BD4551" t="str">
        <f>"איציק חדד"</f>
        <v>איציק חדד</v>
      </c>
    </row>
    <row r="4552" spans="1:56" x14ac:dyDescent="0.3">
      <c r="A4552" s="1">
        <v>42494</v>
      </c>
      <c r="B4552" t="str">
        <f>"SI160000494"</f>
        <v>SI160000494</v>
      </c>
      <c r="E4552" t="str">
        <f>"Y"</f>
        <v>Y</v>
      </c>
      <c r="F4552" t="str">
        <f>"חשבוניות מרכזות"</f>
        <v>חשבוניות מרכזות</v>
      </c>
      <c r="G4552" t="str">
        <f>"700065"</f>
        <v>700065</v>
      </c>
      <c r="H4552" t="str">
        <f>"אלתא מערכות בע""מ"</f>
        <v>אלתא מערכות בע"מ</v>
      </c>
      <c r="I4552" t="str">
        <f>"10"</f>
        <v>10</v>
      </c>
      <c r="J4552" t="str">
        <f>"OP-ML00060"</f>
        <v>OP-ML00060</v>
      </c>
      <c r="K4552" t="str">
        <f>"1U STU - SERIAL FIBER CONVERTER UNIT"</f>
        <v>1U STU - SERIAL FIBER CONVERTER UNIT</v>
      </c>
      <c r="L4552">
        <v>1</v>
      </c>
      <c r="M4552" t="str">
        <f>"יח"</f>
        <v>יח</v>
      </c>
      <c r="N4552">
        <v>1</v>
      </c>
      <c r="O4552" t="str">
        <f>"יח"</f>
        <v>יח</v>
      </c>
      <c r="P4552" s="2">
        <v>3000</v>
      </c>
      <c r="Q4552" t="str">
        <f>"$"</f>
        <v>$</v>
      </c>
      <c r="R4552" t="str">
        <f>"הזמנה"</f>
        <v>הזמנה</v>
      </c>
      <c r="S4552">
        <v>0</v>
      </c>
      <c r="T4552" s="2">
        <v>3000</v>
      </c>
      <c r="U4552">
        <v>0</v>
      </c>
      <c r="V4552" s="2">
        <v>3000</v>
      </c>
      <c r="W4552" t="str">
        <f>"$"</f>
        <v>$</v>
      </c>
      <c r="X4552">
        <v>0</v>
      </c>
      <c r="Y4552">
        <v>0</v>
      </c>
      <c r="Z4552">
        <v>0</v>
      </c>
      <c r="AA4552" t="str">
        <f>"Y"</f>
        <v>Y</v>
      </c>
      <c r="AC4552">
        <v>0</v>
      </c>
      <c r="AM4552" t="str">
        <f>"10"</f>
        <v>10</v>
      </c>
      <c r="AN4552" t="str">
        <f>"500000"</f>
        <v>500000</v>
      </c>
      <c r="AO4552" t="str">
        <f>"הכנסות  מלקוחות"</f>
        <v>הכנסות  מלקוחות</v>
      </c>
      <c r="AQ4552" t="str">
        <f>"004"</f>
        <v>004</v>
      </c>
      <c r="AR4552">
        <v>0</v>
      </c>
      <c r="AS4552">
        <v>0</v>
      </c>
      <c r="AT4552">
        <v>3.7469999999999999</v>
      </c>
      <c r="BB4552" t="str">
        <f>"Y"</f>
        <v>Y</v>
      </c>
      <c r="BD4552" t="str">
        <f>"איציק חדד"</f>
        <v>איציק חדד</v>
      </c>
    </row>
    <row r="4553" spans="1:56" x14ac:dyDescent="0.3">
      <c r="A4553" s="1">
        <v>42494</v>
      </c>
      <c r="B4553" t="str">
        <f>"SI160000494"</f>
        <v>SI160000494</v>
      </c>
      <c r="E4553" t="str">
        <f>"Y"</f>
        <v>Y</v>
      </c>
      <c r="F4553" t="str">
        <f>"חשבוניות מרכזות"</f>
        <v>חשבוניות מרכזות</v>
      </c>
      <c r="G4553" t="str">
        <f>"700065"</f>
        <v>700065</v>
      </c>
      <c r="H4553" t="str">
        <f>"אלתא מערכות בע""מ"</f>
        <v>אלתא מערכות בע"מ</v>
      </c>
      <c r="I4553" t="str">
        <f>"10"</f>
        <v>10</v>
      </c>
      <c r="J4553" t="str">
        <f>"OP-ML00060"</f>
        <v>OP-ML00060</v>
      </c>
      <c r="K4553" t="str">
        <f>"1U STU - SERIAL FIBER CONVERTER UNIT"</f>
        <v>1U STU - SERIAL FIBER CONVERTER UNIT</v>
      </c>
      <c r="L4553">
        <v>4</v>
      </c>
      <c r="M4553" t="str">
        <f>"יח"</f>
        <v>יח</v>
      </c>
      <c r="N4553">
        <v>4</v>
      </c>
      <c r="O4553" t="str">
        <f>"יח"</f>
        <v>יח</v>
      </c>
      <c r="P4553" s="2">
        <v>3000</v>
      </c>
      <c r="Q4553" t="str">
        <f>"$"</f>
        <v>$</v>
      </c>
      <c r="R4553" t="str">
        <f>"הזמנה"</f>
        <v>הזמנה</v>
      </c>
      <c r="S4553">
        <v>0</v>
      </c>
      <c r="T4553" s="2">
        <v>12000</v>
      </c>
      <c r="U4553">
        <v>0</v>
      </c>
      <c r="V4553" s="2">
        <v>12000</v>
      </c>
      <c r="W4553" t="str">
        <f>"$"</f>
        <v>$</v>
      </c>
      <c r="X4553">
        <v>0</v>
      </c>
      <c r="Y4553">
        <v>0</v>
      </c>
      <c r="Z4553">
        <v>0</v>
      </c>
      <c r="AA4553" t="str">
        <f>"Y"</f>
        <v>Y</v>
      </c>
      <c r="AC4553">
        <v>0</v>
      </c>
      <c r="AM4553" t="str">
        <f>"10"</f>
        <v>10</v>
      </c>
      <c r="AN4553" t="str">
        <f>"500000"</f>
        <v>500000</v>
      </c>
      <c r="AO4553" t="str">
        <f>"הכנסות  מלקוחות"</f>
        <v>הכנסות  מלקוחות</v>
      </c>
      <c r="AQ4553" t="str">
        <f>"004"</f>
        <v>004</v>
      </c>
      <c r="AR4553">
        <v>0</v>
      </c>
      <c r="AS4553">
        <v>0</v>
      </c>
      <c r="AT4553">
        <v>3.7469999999999999</v>
      </c>
      <c r="BB4553" t="str">
        <f>"Y"</f>
        <v>Y</v>
      </c>
      <c r="BD4553" t="str">
        <f>"איציק חדד"</f>
        <v>איציק חדד</v>
      </c>
    </row>
    <row r="4554" spans="1:56" x14ac:dyDescent="0.3">
      <c r="A4554" s="1">
        <v>42493</v>
      </c>
      <c r="B4554" t="str">
        <f>"SI160000496"</f>
        <v>SI160000496</v>
      </c>
      <c r="E4554" t="str">
        <f>"Y"</f>
        <v>Y</v>
      </c>
      <c r="F4554" t="str">
        <f>"חשבוניות מרכזות"</f>
        <v>חשבוניות מרכזות</v>
      </c>
      <c r="G4554" t="str">
        <f>"700065"</f>
        <v>700065</v>
      </c>
      <c r="H4554" t="str">
        <f>"אלתא מערכות בע""מ"</f>
        <v>אלתא מערכות בע"מ</v>
      </c>
      <c r="I4554" t="str">
        <f>"10"</f>
        <v>10</v>
      </c>
      <c r="J4554" t="str">
        <f>"OP-ML00060"</f>
        <v>OP-ML00060</v>
      </c>
      <c r="K4554" t="str">
        <f>"1U STU - SERIAL FIBER CONVERTER UNIT"</f>
        <v>1U STU - SERIAL FIBER CONVERTER UNIT</v>
      </c>
      <c r="L4554">
        <v>1</v>
      </c>
      <c r="M4554" t="str">
        <f>"יח"</f>
        <v>יח</v>
      </c>
      <c r="N4554">
        <v>1</v>
      </c>
      <c r="O4554" t="str">
        <f>"יח"</f>
        <v>יח</v>
      </c>
      <c r="P4554" s="2">
        <v>3000</v>
      </c>
      <c r="Q4554" t="str">
        <f>"$"</f>
        <v>$</v>
      </c>
      <c r="R4554" t="str">
        <f>"הזמנה"</f>
        <v>הזמנה</v>
      </c>
      <c r="S4554">
        <v>0</v>
      </c>
      <c r="T4554" s="2">
        <v>3000</v>
      </c>
      <c r="U4554">
        <v>0</v>
      </c>
      <c r="V4554" s="2">
        <v>3000</v>
      </c>
      <c r="W4554" t="str">
        <f>"$"</f>
        <v>$</v>
      </c>
      <c r="X4554">
        <v>0</v>
      </c>
      <c r="Y4554">
        <v>0</v>
      </c>
      <c r="Z4554">
        <v>0</v>
      </c>
      <c r="AA4554" t="str">
        <f>"Y"</f>
        <v>Y</v>
      </c>
      <c r="AB4554" t="str">
        <f>"SO160000117"</f>
        <v>SO160000117</v>
      </c>
      <c r="AC4554">
        <v>1</v>
      </c>
      <c r="AD4554" s="1">
        <v>42415</v>
      </c>
      <c r="AE4554" t="str">
        <f>"SH16000985"</f>
        <v>SH16000985</v>
      </c>
      <c r="AF4554" t="str">
        <f>"משלוחים ללקוח"</f>
        <v>משלוחים ללקוח</v>
      </c>
      <c r="AG4554" s="1">
        <v>42493</v>
      </c>
      <c r="AM4554" t="str">
        <f>"10"</f>
        <v>10</v>
      </c>
      <c r="AN4554" t="str">
        <f>"500000"</f>
        <v>500000</v>
      </c>
      <c r="AO4554" t="str">
        <f>"הכנסות  מלקוחות"</f>
        <v>הכנסות  מלקוחות</v>
      </c>
      <c r="AQ4554" t="str">
        <f>"004"</f>
        <v>004</v>
      </c>
      <c r="AR4554">
        <v>0</v>
      </c>
      <c r="AS4554">
        <v>0</v>
      </c>
      <c r="AT4554">
        <v>3.7469999999999999</v>
      </c>
      <c r="AX4554" t="str">
        <f>"E000211675"</f>
        <v>E000211675</v>
      </c>
      <c r="BD4554" t="str">
        <f>"איציק חדד"</f>
        <v>איציק חדד</v>
      </c>
    </row>
    <row r="4555" spans="1:56" x14ac:dyDescent="0.3">
      <c r="A4555" s="1">
        <v>42493</v>
      </c>
      <c r="B4555" t="str">
        <f>"SI160000496"</f>
        <v>SI160000496</v>
      </c>
      <c r="E4555" t="str">
        <f>"Y"</f>
        <v>Y</v>
      </c>
      <c r="F4555" t="str">
        <f>"חשבוניות מרכזות"</f>
        <v>חשבוניות מרכזות</v>
      </c>
      <c r="G4555" t="str">
        <f>"700065"</f>
        <v>700065</v>
      </c>
      <c r="H4555" t="str">
        <f>"אלתא מערכות בע""מ"</f>
        <v>אלתא מערכות בע"מ</v>
      </c>
      <c r="I4555" t="str">
        <f>"10"</f>
        <v>10</v>
      </c>
      <c r="J4555" t="str">
        <f>"OP-ML00060"</f>
        <v>OP-ML00060</v>
      </c>
      <c r="K4555" t="str">
        <f>"1U STU - SERIAL FIBER CONVERTER UNIT"</f>
        <v>1U STU - SERIAL FIBER CONVERTER UNIT</v>
      </c>
      <c r="L4555">
        <v>4</v>
      </c>
      <c r="M4555" t="str">
        <f>"יח"</f>
        <v>יח</v>
      </c>
      <c r="N4555">
        <v>4</v>
      </c>
      <c r="O4555" t="str">
        <f>"יח"</f>
        <v>יח</v>
      </c>
      <c r="P4555" s="2">
        <v>3000</v>
      </c>
      <c r="Q4555" t="str">
        <f>"$"</f>
        <v>$</v>
      </c>
      <c r="R4555" t="str">
        <f>"הזמנה"</f>
        <v>הזמנה</v>
      </c>
      <c r="S4555">
        <v>0</v>
      </c>
      <c r="T4555" s="2">
        <v>12000</v>
      </c>
      <c r="U4555">
        <v>0</v>
      </c>
      <c r="V4555" s="2">
        <v>12000</v>
      </c>
      <c r="W4555" t="str">
        <f>"$"</f>
        <v>$</v>
      </c>
      <c r="X4555">
        <v>0</v>
      </c>
      <c r="Y4555">
        <v>0</v>
      </c>
      <c r="Z4555">
        <v>0</v>
      </c>
      <c r="AA4555" t="str">
        <f>"Y"</f>
        <v>Y</v>
      </c>
      <c r="AB4555" t="str">
        <f>"SO160000117"</f>
        <v>SO160000117</v>
      </c>
      <c r="AC4555">
        <v>1</v>
      </c>
      <c r="AD4555" s="1">
        <v>42415</v>
      </c>
      <c r="AE4555" t="str">
        <f>"SH16000987"</f>
        <v>SH16000987</v>
      </c>
      <c r="AF4555" t="str">
        <f>"משלוחים ללקוח"</f>
        <v>משלוחים ללקוח</v>
      </c>
      <c r="AG4555" s="1">
        <v>42493</v>
      </c>
      <c r="AM4555" t="str">
        <f>"10"</f>
        <v>10</v>
      </c>
      <c r="AN4555" t="str">
        <f>"500000"</f>
        <v>500000</v>
      </c>
      <c r="AO4555" t="str">
        <f>"הכנסות  מלקוחות"</f>
        <v>הכנסות  מלקוחות</v>
      </c>
      <c r="AQ4555" t="str">
        <f>"004"</f>
        <v>004</v>
      </c>
      <c r="AR4555">
        <v>0</v>
      </c>
      <c r="AS4555">
        <v>0</v>
      </c>
      <c r="AT4555">
        <v>3.7469999999999999</v>
      </c>
      <c r="AX4555" t="str">
        <f>"E000211675"</f>
        <v>E000211675</v>
      </c>
      <c r="BD4555" t="str">
        <f>"איציק חדד"</f>
        <v>איציק חדד</v>
      </c>
    </row>
    <row r="4556" spans="1:56" x14ac:dyDescent="0.3">
      <c r="A4556" s="1">
        <v>42493</v>
      </c>
      <c r="B4556" t="str">
        <f>"SI160000486"</f>
        <v>SI160000486</v>
      </c>
      <c r="C4556" t="str">
        <f>"PR14001687"</f>
        <v>PR14001687</v>
      </c>
      <c r="D4556" t="str">
        <f>"PR14001687"</f>
        <v>PR14001687</v>
      </c>
      <c r="E4556" t="str">
        <f>"Y"</f>
        <v>Y</v>
      </c>
      <c r="F4556" t="str">
        <f>"חשבוניות מרכזות"</f>
        <v>חשבוניות מרכזות</v>
      </c>
      <c r="G4556" t="str">
        <f>"700065"</f>
        <v>700065</v>
      </c>
      <c r="H4556" t="str">
        <f>"אלתא מערכות בע""מ"</f>
        <v>אלתא מערכות בע"מ</v>
      </c>
      <c r="I4556" t="str">
        <f>"10"</f>
        <v>10</v>
      </c>
      <c r="J4556" t="str">
        <f>"OP-AR00062"</f>
        <v>OP-AR00062</v>
      </c>
      <c r="K4556" t="str">
        <f>"מערכת SMV 4007W880-001"</f>
        <v>מערכת SMV 4007W880-001</v>
      </c>
      <c r="L4556">
        <v>1</v>
      </c>
      <c r="M4556" t="str">
        <f>"יח"</f>
        <v>יח</v>
      </c>
      <c r="N4556">
        <v>1</v>
      </c>
      <c r="O4556" t="str">
        <f>"יח"</f>
        <v>יח</v>
      </c>
      <c r="P4556" s="2">
        <v>36452.6</v>
      </c>
      <c r="Q4556" t="str">
        <f>"$"</f>
        <v>$</v>
      </c>
      <c r="R4556" t="str">
        <f>"הזמנה"</f>
        <v>הזמנה</v>
      </c>
      <c r="S4556">
        <v>0</v>
      </c>
      <c r="T4556" s="2">
        <v>36452.6</v>
      </c>
      <c r="U4556">
        <v>0</v>
      </c>
      <c r="V4556" s="2">
        <v>36452.6</v>
      </c>
      <c r="W4556" t="str">
        <f>"$"</f>
        <v>$</v>
      </c>
      <c r="X4556">
        <v>0</v>
      </c>
      <c r="Y4556">
        <v>0</v>
      </c>
      <c r="Z4556">
        <v>0</v>
      </c>
      <c r="AA4556" t="str">
        <f>"Y"</f>
        <v>Y</v>
      </c>
      <c r="AB4556" t="str">
        <f>"SO140002001"</f>
        <v>SO140002001</v>
      </c>
      <c r="AC4556">
        <v>1</v>
      </c>
      <c r="AD4556" s="1">
        <v>41786</v>
      </c>
      <c r="AE4556" t="str">
        <f>"SH16000159"</f>
        <v>SH16000159</v>
      </c>
      <c r="AF4556" t="str">
        <f>"משלוחים ללקוח"</f>
        <v>משלוחים ללקוח</v>
      </c>
      <c r="AG4556" s="1">
        <v>42394</v>
      </c>
      <c r="AM4556" t="str">
        <f>"10"</f>
        <v>10</v>
      </c>
      <c r="AN4556" t="str">
        <f>"500000"</f>
        <v>500000</v>
      </c>
      <c r="AO4556" t="str">
        <f>"הכנסות  מלקוחות"</f>
        <v>הכנסות  מלקוחות</v>
      </c>
      <c r="AQ4556" t="str">
        <f>"007"</f>
        <v>007</v>
      </c>
      <c r="AR4556">
        <v>0</v>
      </c>
      <c r="AS4556">
        <v>0</v>
      </c>
      <c r="AT4556">
        <v>3.7469999999999999</v>
      </c>
      <c r="AX4556" t="str">
        <f>"E000174899"</f>
        <v>E000174899</v>
      </c>
      <c r="BD4556" t="str">
        <f>"רוני דידי"</f>
        <v>רוני דידי</v>
      </c>
    </row>
    <row r="4557" spans="1:56" x14ac:dyDescent="0.3">
      <c r="A4557" s="1">
        <v>42487</v>
      </c>
      <c r="B4557" t="str">
        <f>"SI160000517"</f>
        <v>SI160000517</v>
      </c>
      <c r="C4557" t="str">
        <f>"PR16000109"</f>
        <v>PR16000109</v>
      </c>
      <c r="D4557" t="str">
        <f>"PR16000109"</f>
        <v>PR16000109</v>
      </c>
      <c r="E4557" t="str">
        <f>"Y"</f>
        <v>Y</v>
      </c>
      <c r="F4557" t="str">
        <f>"חשבוניות מרכזות"</f>
        <v>חשבוניות מרכזות</v>
      </c>
      <c r="G4557" t="str">
        <f>"700065"</f>
        <v>700065</v>
      </c>
      <c r="H4557" t="str">
        <f>"אלתא מערכות בע""מ"</f>
        <v>אלתא מערכות בע"מ</v>
      </c>
      <c r="I4557" t="str">
        <f>"10"</f>
        <v>10</v>
      </c>
      <c r="J4557" t="str">
        <f>"OP-AR00264"</f>
        <v>OP-AR00264</v>
      </c>
      <c r="K4557" t="str">
        <f>"רתמה 9002W003-001 HARNESS W1003 OTS I-OWS"</f>
        <v>רתמה 9002W003-001 HARNESS W1003 OTS I-OWS</v>
      </c>
      <c r="L4557">
        <v>1</v>
      </c>
      <c r="M4557" t="str">
        <f>"יח"</f>
        <v>יח</v>
      </c>
      <c r="N4557">
        <v>1</v>
      </c>
      <c r="O4557" t="str">
        <f>"יח"</f>
        <v>יח</v>
      </c>
      <c r="P4557">
        <v>506</v>
      </c>
      <c r="Q4557" t="str">
        <f>"$"</f>
        <v>$</v>
      </c>
      <c r="R4557" t="str">
        <f>"ידני"</f>
        <v>ידני</v>
      </c>
      <c r="S4557">
        <v>0</v>
      </c>
      <c r="T4557">
        <v>506</v>
      </c>
      <c r="U4557">
        <v>0</v>
      </c>
      <c r="V4557">
        <v>506</v>
      </c>
      <c r="W4557" t="str">
        <f>"$"</f>
        <v>$</v>
      </c>
      <c r="X4557">
        <v>0</v>
      </c>
      <c r="Y4557">
        <v>0</v>
      </c>
      <c r="Z4557">
        <v>0</v>
      </c>
      <c r="AA4557" t="str">
        <f>"Y"</f>
        <v>Y</v>
      </c>
      <c r="AB4557" t="str">
        <f>"SO160000332"</f>
        <v>SO160000332</v>
      </c>
      <c r="AC4557">
        <v>1</v>
      </c>
      <c r="AD4557" s="1">
        <v>42500</v>
      </c>
      <c r="AM4557" t="str">
        <f>"10"</f>
        <v>10</v>
      </c>
      <c r="AN4557" t="str">
        <f>"500000"</f>
        <v>500000</v>
      </c>
      <c r="AO4557" t="str">
        <f>"הכנסות  מלקוחות"</f>
        <v>הכנסות  מלקוחות</v>
      </c>
      <c r="AQ4557" t="str">
        <f>"004"</f>
        <v>004</v>
      </c>
      <c r="AR4557">
        <v>0</v>
      </c>
      <c r="AS4557">
        <v>0</v>
      </c>
      <c r="AT4557">
        <v>3.7679999999999998</v>
      </c>
      <c r="AX4557" t="str">
        <f>"E000210570"</f>
        <v>E000210570</v>
      </c>
      <c r="BD4557" t="str">
        <f>"איציק חדד"</f>
        <v>איציק חדד</v>
      </c>
    </row>
    <row r="4558" spans="1:56" x14ac:dyDescent="0.3">
      <c r="A4558" s="1">
        <v>42487</v>
      </c>
      <c r="B4558" t="str">
        <f>"SI160000517"</f>
        <v>SI160000517</v>
      </c>
      <c r="C4558" t="str">
        <f>"PR16000109"</f>
        <v>PR16000109</v>
      </c>
      <c r="D4558" t="str">
        <f>"PR16000109"</f>
        <v>PR16000109</v>
      </c>
      <c r="E4558" t="str">
        <f>"Y"</f>
        <v>Y</v>
      </c>
      <c r="F4558" t="str">
        <f>"חשבוניות מרכזות"</f>
        <v>חשבוניות מרכזות</v>
      </c>
      <c r="G4558" t="str">
        <f>"700065"</f>
        <v>700065</v>
      </c>
      <c r="H4558" t="str">
        <f>"אלתא מערכות בע""מ"</f>
        <v>אלתא מערכות בע"מ</v>
      </c>
      <c r="I4558" t="str">
        <f>"10"</f>
        <v>10</v>
      </c>
      <c r="J4558" t="str">
        <f>"OP-AR00265"</f>
        <v>OP-AR00265</v>
      </c>
      <c r="K4558" t="str">
        <f>"רתמה 9002W004-01 HARNESS W1004 OTS T-OWS"</f>
        <v>רתמה 9002W004-01 HARNESS W1004 OTS T-OWS</v>
      </c>
      <c r="L4558">
        <v>1</v>
      </c>
      <c r="M4558" t="str">
        <f>"יח"</f>
        <v>יח</v>
      </c>
      <c r="N4558">
        <v>1</v>
      </c>
      <c r="O4558" t="str">
        <f>"יח"</f>
        <v>יח</v>
      </c>
      <c r="P4558" s="2">
        <v>4252</v>
      </c>
      <c r="Q4558" t="str">
        <f>"$"</f>
        <v>$</v>
      </c>
      <c r="R4558" t="str">
        <f>"ידני"</f>
        <v>ידני</v>
      </c>
      <c r="S4558">
        <v>0</v>
      </c>
      <c r="T4558" s="2">
        <v>4252</v>
      </c>
      <c r="U4558">
        <v>0</v>
      </c>
      <c r="V4558" s="2">
        <v>4252</v>
      </c>
      <c r="W4558" t="str">
        <f>"$"</f>
        <v>$</v>
      </c>
      <c r="X4558">
        <v>0</v>
      </c>
      <c r="Y4558">
        <v>0</v>
      </c>
      <c r="Z4558">
        <v>0</v>
      </c>
      <c r="AA4558" t="str">
        <f>"Y"</f>
        <v>Y</v>
      </c>
      <c r="AB4558" t="str">
        <f>"SO160000332"</f>
        <v>SO160000332</v>
      </c>
      <c r="AC4558">
        <v>2</v>
      </c>
      <c r="AD4558" s="1">
        <v>42500</v>
      </c>
      <c r="AM4558" t="str">
        <f>"10"</f>
        <v>10</v>
      </c>
      <c r="AN4558" t="str">
        <f>"500000"</f>
        <v>500000</v>
      </c>
      <c r="AO4558" t="str">
        <f>"הכנסות  מלקוחות"</f>
        <v>הכנסות  מלקוחות</v>
      </c>
      <c r="AQ4558" t="str">
        <f>"004"</f>
        <v>004</v>
      </c>
      <c r="AR4558">
        <v>0</v>
      </c>
      <c r="AS4558">
        <v>0</v>
      </c>
      <c r="AT4558">
        <v>3.7679999999999998</v>
      </c>
      <c r="AX4558" t="str">
        <f>"E000210570"</f>
        <v>E000210570</v>
      </c>
      <c r="BD4558" t="str">
        <f>"איציק חדד"</f>
        <v>איציק חדד</v>
      </c>
    </row>
    <row r="4559" spans="1:56" x14ac:dyDescent="0.3">
      <c r="A4559" s="1">
        <v>42487</v>
      </c>
      <c r="B4559" t="str">
        <f>"SI160000517"</f>
        <v>SI160000517</v>
      </c>
      <c r="C4559" t="str">
        <f>"PR16000109"</f>
        <v>PR16000109</v>
      </c>
      <c r="D4559" t="str">
        <f>"PR16000109"</f>
        <v>PR16000109</v>
      </c>
      <c r="E4559" t="str">
        <f>"Y"</f>
        <v>Y</v>
      </c>
      <c r="F4559" t="str">
        <f>"חשבוניות מרכזות"</f>
        <v>חשבוניות מרכזות</v>
      </c>
      <c r="G4559" t="str">
        <f>"700065"</f>
        <v>700065</v>
      </c>
      <c r="H4559" t="str">
        <f>"אלתא מערכות בע""מ"</f>
        <v>אלתא מערכות בע"מ</v>
      </c>
      <c r="I4559" t="str">
        <f>"10"</f>
        <v>10</v>
      </c>
      <c r="J4559" t="str">
        <f>"OP-AR00266"</f>
        <v>OP-AR00266</v>
      </c>
      <c r="K4559" t="str">
        <f>"רתמה 9002W005-001 HARNESS W1005 OTS I-OWS"</f>
        <v>רתמה 9002W005-001 HARNESS W1005 OTS I-OWS</v>
      </c>
      <c r="L4559">
        <v>1</v>
      </c>
      <c r="M4559" t="str">
        <f>"יח"</f>
        <v>יח</v>
      </c>
      <c r="N4559">
        <v>1</v>
      </c>
      <c r="O4559" t="str">
        <f>"יח"</f>
        <v>יח</v>
      </c>
      <c r="P4559" s="2">
        <v>3049</v>
      </c>
      <c r="Q4559" t="str">
        <f>"$"</f>
        <v>$</v>
      </c>
      <c r="R4559" t="str">
        <f>"ידני"</f>
        <v>ידני</v>
      </c>
      <c r="S4559">
        <v>0</v>
      </c>
      <c r="T4559" s="2">
        <v>3049</v>
      </c>
      <c r="U4559">
        <v>0</v>
      </c>
      <c r="V4559" s="2">
        <v>3049</v>
      </c>
      <c r="W4559" t="str">
        <f>"$"</f>
        <v>$</v>
      </c>
      <c r="X4559">
        <v>0</v>
      </c>
      <c r="Y4559">
        <v>0</v>
      </c>
      <c r="Z4559">
        <v>0</v>
      </c>
      <c r="AA4559" t="str">
        <f>"Y"</f>
        <v>Y</v>
      </c>
      <c r="AB4559" t="str">
        <f>"SO160000332"</f>
        <v>SO160000332</v>
      </c>
      <c r="AC4559">
        <v>3</v>
      </c>
      <c r="AD4559" s="1">
        <v>42500</v>
      </c>
      <c r="AM4559" t="str">
        <f>"10"</f>
        <v>10</v>
      </c>
      <c r="AN4559" t="str">
        <f>"500000"</f>
        <v>500000</v>
      </c>
      <c r="AO4559" t="str">
        <f>"הכנסות  מלקוחות"</f>
        <v>הכנסות  מלקוחות</v>
      </c>
      <c r="AQ4559" t="str">
        <f>"004"</f>
        <v>004</v>
      </c>
      <c r="AR4559">
        <v>0</v>
      </c>
      <c r="AS4559">
        <v>0</v>
      </c>
      <c r="AT4559">
        <v>3.7679999999999998</v>
      </c>
      <c r="AX4559" t="str">
        <f>"E000210570"</f>
        <v>E000210570</v>
      </c>
      <c r="BD4559" t="str">
        <f>"איציק חדד"</f>
        <v>איציק חדד</v>
      </c>
    </row>
    <row r="4560" spans="1:56" x14ac:dyDescent="0.3">
      <c r="A4560" s="1">
        <v>42487</v>
      </c>
      <c r="B4560" t="str">
        <f>"SI160000517"</f>
        <v>SI160000517</v>
      </c>
      <c r="C4560" t="str">
        <f>"PR16000109"</f>
        <v>PR16000109</v>
      </c>
      <c r="D4560" t="str">
        <f>"PR16000109"</f>
        <v>PR16000109</v>
      </c>
      <c r="E4560" t="str">
        <f>"Y"</f>
        <v>Y</v>
      </c>
      <c r="F4560" t="str">
        <f>"חשבוניות מרכזות"</f>
        <v>חשבוניות מרכזות</v>
      </c>
      <c r="G4560" t="str">
        <f>"700065"</f>
        <v>700065</v>
      </c>
      <c r="H4560" t="str">
        <f>"אלתא מערכות בע""מ"</f>
        <v>אלתא מערכות בע"מ</v>
      </c>
      <c r="I4560" t="str">
        <f>"10"</f>
        <v>10</v>
      </c>
      <c r="J4560" t="str">
        <f>"OP-AR00267"</f>
        <v>OP-AR00267</v>
      </c>
      <c r="K4560" t="str">
        <f>"רתמה  9002W006-001 HARNESS W1006 OTS T-OWS"</f>
        <v>רתמה  9002W006-001 HARNESS W1006 OTS T-OWS</v>
      </c>
      <c r="L4560">
        <v>1</v>
      </c>
      <c r="M4560" t="str">
        <f>"יח"</f>
        <v>יח</v>
      </c>
      <c r="N4560">
        <v>1</v>
      </c>
      <c r="O4560" t="str">
        <f>"יח"</f>
        <v>יח</v>
      </c>
      <c r="P4560">
        <v>481</v>
      </c>
      <c r="Q4560" t="str">
        <f>"$"</f>
        <v>$</v>
      </c>
      <c r="R4560" t="str">
        <f>"הזמנה"</f>
        <v>הזמנה</v>
      </c>
      <c r="S4560">
        <v>0</v>
      </c>
      <c r="T4560">
        <v>481</v>
      </c>
      <c r="U4560">
        <v>0</v>
      </c>
      <c r="V4560">
        <v>481</v>
      </c>
      <c r="W4560" t="str">
        <f>"$"</f>
        <v>$</v>
      </c>
      <c r="X4560">
        <v>0</v>
      </c>
      <c r="Y4560">
        <v>0</v>
      </c>
      <c r="Z4560">
        <v>0</v>
      </c>
      <c r="AA4560" t="str">
        <f>"Y"</f>
        <v>Y</v>
      </c>
      <c r="AB4560" t="str">
        <f>"SO160000332"</f>
        <v>SO160000332</v>
      </c>
      <c r="AC4560">
        <v>4</v>
      </c>
      <c r="AD4560" s="1">
        <v>42500</v>
      </c>
      <c r="AM4560" t="str">
        <f>"10"</f>
        <v>10</v>
      </c>
      <c r="AN4560" t="str">
        <f>"500000"</f>
        <v>500000</v>
      </c>
      <c r="AO4560" t="str">
        <f>"הכנסות  מלקוחות"</f>
        <v>הכנסות  מלקוחות</v>
      </c>
      <c r="AQ4560" t="str">
        <f>"004"</f>
        <v>004</v>
      </c>
      <c r="AR4560">
        <v>0</v>
      </c>
      <c r="AS4560">
        <v>0</v>
      </c>
      <c r="AT4560">
        <v>3.7679999999999998</v>
      </c>
      <c r="AX4560" t="str">
        <f>"E000210570"</f>
        <v>E000210570</v>
      </c>
      <c r="BD4560" t="str">
        <f>"איציק חדד"</f>
        <v>איציק חדד</v>
      </c>
    </row>
    <row r="4561" spans="1:56" x14ac:dyDescent="0.3">
      <c r="A4561" s="1">
        <v>42487</v>
      </c>
      <c r="B4561" t="str">
        <f>"SI160000517"</f>
        <v>SI160000517</v>
      </c>
      <c r="C4561" t="str">
        <f>"PR16000109"</f>
        <v>PR16000109</v>
      </c>
      <c r="D4561" t="str">
        <f>"PR16000109"</f>
        <v>PR16000109</v>
      </c>
      <c r="E4561" t="str">
        <f>"Y"</f>
        <v>Y</v>
      </c>
      <c r="F4561" t="str">
        <f>"חשבוניות מרכזות"</f>
        <v>חשבוניות מרכזות</v>
      </c>
      <c r="G4561" t="str">
        <f>"700065"</f>
        <v>700065</v>
      </c>
      <c r="H4561" t="str">
        <f>"אלתא מערכות בע""מ"</f>
        <v>אלתא מערכות בע"מ</v>
      </c>
      <c r="I4561" t="str">
        <f>"10"</f>
        <v>10</v>
      </c>
      <c r="J4561" t="str">
        <f>"OP-AR00268"</f>
        <v>OP-AR00268</v>
      </c>
      <c r="K4561" t="str">
        <f>"רתמה 9002W009-001 HARNESS W1009 OTS RACK2 DAIU"</f>
        <v>רתמה 9002W009-001 HARNESS W1009 OTS RACK2 DAIU</v>
      </c>
      <c r="L4561">
        <v>1</v>
      </c>
      <c r="M4561" t="str">
        <f>"יח"</f>
        <v>יח</v>
      </c>
      <c r="N4561">
        <v>1</v>
      </c>
      <c r="O4561" t="str">
        <f>"יח"</f>
        <v>יח</v>
      </c>
      <c r="P4561" s="2">
        <v>1309</v>
      </c>
      <c r="Q4561" t="str">
        <f>"$"</f>
        <v>$</v>
      </c>
      <c r="R4561" t="str">
        <f>"הזמנה"</f>
        <v>הזמנה</v>
      </c>
      <c r="S4561">
        <v>0</v>
      </c>
      <c r="T4561" s="2">
        <v>1309</v>
      </c>
      <c r="U4561">
        <v>0</v>
      </c>
      <c r="V4561" s="2">
        <v>1309</v>
      </c>
      <c r="W4561" t="str">
        <f>"$"</f>
        <v>$</v>
      </c>
      <c r="X4561">
        <v>0</v>
      </c>
      <c r="Y4561">
        <v>0</v>
      </c>
      <c r="Z4561">
        <v>0</v>
      </c>
      <c r="AA4561" t="str">
        <f>"Y"</f>
        <v>Y</v>
      </c>
      <c r="AB4561" t="str">
        <f>"SO160000332"</f>
        <v>SO160000332</v>
      </c>
      <c r="AC4561">
        <v>5</v>
      </c>
      <c r="AD4561" s="1">
        <v>42500</v>
      </c>
      <c r="AM4561" t="str">
        <f>"10"</f>
        <v>10</v>
      </c>
      <c r="AN4561" t="str">
        <f>"500000"</f>
        <v>500000</v>
      </c>
      <c r="AO4561" t="str">
        <f>"הכנסות  מלקוחות"</f>
        <v>הכנסות  מלקוחות</v>
      </c>
      <c r="AQ4561" t="str">
        <f>"004"</f>
        <v>004</v>
      </c>
      <c r="AR4561">
        <v>0</v>
      </c>
      <c r="AS4561">
        <v>0</v>
      </c>
      <c r="AT4561">
        <v>3.7679999999999998</v>
      </c>
      <c r="AX4561" t="str">
        <f>"E000210570"</f>
        <v>E000210570</v>
      </c>
      <c r="BD4561" t="str">
        <f>"איציק חדד"</f>
        <v>איציק חדד</v>
      </c>
    </row>
    <row r="4562" spans="1:56" x14ac:dyDescent="0.3">
      <c r="A4562" s="1">
        <v>42487</v>
      </c>
      <c r="B4562" t="str">
        <f>"SI160000517"</f>
        <v>SI160000517</v>
      </c>
      <c r="C4562" t="str">
        <f>"PR16000109"</f>
        <v>PR16000109</v>
      </c>
      <c r="D4562" t="str">
        <f>"PR16000109"</f>
        <v>PR16000109</v>
      </c>
      <c r="E4562" t="str">
        <f>"Y"</f>
        <v>Y</v>
      </c>
      <c r="F4562" t="str">
        <f>"חשבוניות מרכזות"</f>
        <v>חשבוניות מרכזות</v>
      </c>
      <c r="G4562" t="str">
        <f>"700065"</f>
        <v>700065</v>
      </c>
      <c r="H4562" t="str">
        <f>"אלתא מערכות בע""מ"</f>
        <v>אלתא מערכות בע"מ</v>
      </c>
      <c r="I4562" t="str">
        <f>"10"</f>
        <v>10</v>
      </c>
      <c r="J4562" t="str">
        <f>"OP-AR00269"</f>
        <v>OP-AR00269</v>
      </c>
      <c r="K4562" t="str">
        <f>"רתמה 9002W010-001 HARNESS W1010 OTS RACK2 T-OWS"</f>
        <v>רתמה 9002W010-001 HARNESS W1010 OTS RACK2 T-OWS</v>
      </c>
      <c r="L4562">
        <v>1</v>
      </c>
      <c r="M4562" t="str">
        <f>"יח"</f>
        <v>יח</v>
      </c>
      <c r="N4562">
        <v>1</v>
      </c>
      <c r="O4562" t="str">
        <f>"יח"</f>
        <v>יח</v>
      </c>
      <c r="P4562">
        <v>188</v>
      </c>
      <c r="Q4562" t="str">
        <f>"$"</f>
        <v>$</v>
      </c>
      <c r="R4562" t="str">
        <f>"הזמנה"</f>
        <v>הזמנה</v>
      </c>
      <c r="S4562">
        <v>0</v>
      </c>
      <c r="T4562">
        <v>188</v>
      </c>
      <c r="U4562">
        <v>0</v>
      </c>
      <c r="V4562">
        <v>188</v>
      </c>
      <c r="W4562" t="str">
        <f>"$"</f>
        <v>$</v>
      </c>
      <c r="X4562">
        <v>0</v>
      </c>
      <c r="Y4562">
        <v>0</v>
      </c>
      <c r="Z4562">
        <v>0</v>
      </c>
      <c r="AA4562" t="str">
        <f>"Y"</f>
        <v>Y</v>
      </c>
      <c r="AB4562" t="str">
        <f>"SO160000332"</f>
        <v>SO160000332</v>
      </c>
      <c r="AC4562">
        <v>6</v>
      </c>
      <c r="AD4562" s="1">
        <v>42500</v>
      </c>
      <c r="AM4562" t="str">
        <f>"10"</f>
        <v>10</v>
      </c>
      <c r="AN4562" t="str">
        <f>"500000"</f>
        <v>500000</v>
      </c>
      <c r="AO4562" t="str">
        <f>"הכנסות  מלקוחות"</f>
        <v>הכנסות  מלקוחות</v>
      </c>
      <c r="AQ4562" t="str">
        <f>"004"</f>
        <v>004</v>
      </c>
      <c r="AR4562">
        <v>0</v>
      </c>
      <c r="AS4562">
        <v>0</v>
      </c>
      <c r="AT4562">
        <v>3.7679999999999998</v>
      </c>
      <c r="AX4562" t="str">
        <f>"E000210570"</f>
        <v>E000210570</v>
      </c>
      <c r="BD4562" t="str">
        <f>"איציק חדד"</f>
        <v>איציק חדד</v>
      </c>
    </row>
    <row r="4563" spans="1:56" x14ac:dyDescent="0.3">
      <c r="A4563" s="1">
        <v>42487</v>
      </c>
      <c r="B4563" t="str">
        <f>"SI160000517"</f>
        <v>SI160000517</v>
      </c>
      <c r="C4563" t="str">
        <f>"PR16000109"</f>
        <v>PR16000109</v>
      </c>
      <c r="D4563" t="str">
        <f>"PR16000109"</f>
        <v>PR16000109</v>
      </c>
      <c r="E4563" t="str">
        <f>"Y"</f>
        <v>Y</v>
      </c>
      <c r="F4563" t="str">
        <f>"חשבוניות מרכזות"</f>
        <v>חשבוניות מרכזות</v>
      </c>
      <c r="G4563" t="str">
        <f>"700065"</f>
        <v>700065</v>
      </c>
      <c r="H4563" t="str">
        <f>"אלתא מערכות בע""מ"</f>
        <v>אלתא מערכות בע"מ</v>
      </c>
      <c r="I4563" t="str">
        <f>"10"</f>
        <v>10</v>
      </c>
      <c r="J4563" t="str">
        <f>"OP-AR00270"</f>
        <v>OP-AR00270</v>
      </c>
      <c r="K4563" t="str">
        <f>"רתמה 9002W013-001 COAX CABLE W1013 OTS RACK2"</f>
        <v>רתמה 9002W013-001 COAX CABLE W1013 OTS RACK2</v>
      </c>
      <c r="L4563">
        <v>1</v>
      </c>
      <c r="M4563" t="str">
        <f>"יח"</f>
        <v>יח</v>
      </c>
      <c r="N4563">
        <v>1</v>
      </c>
      <c r="O4563" t="str">
        <f>"יח"</f>
        <v>יח</v>
      </c>
      <c r="P4563">
        <v>60</v>
      </c>
      <c r="Q4563" t="str">
        <f>"$"</f>
        <v>$</v>
      </c>
      <c r="R4563" t="str">
        <f>"הזמנה"</f>
        <v>הזמנה</v>
      </c>
      <c r="S4563">
        <v>0</v>
      </c>
      <c r="T4563">
        <v>60</v>
      </c>
      <c r="U4563">
        <v>0</v>
      </c>
      <c r="V4563">
        <v>60</v>
      </c>
      <c r="W4563" t="str">
        <f>"$"</f>
        <v>$</v>
      </c>
      <c r="X4563">
        <v>0</v>
      </c>
      <c r="Y4563">
        <v>0</v>
      </c>
      <c r="Z4563">
        <v>0</v>
      </c>
      <c r="AA4563" t="str">
        <f>"Y"</f>
        <v>Y</v>
      </c>
      <c r="AB4563" t="str">
        <f>"SO160000332"</f>
        <v>SO160000332</v>
      </c>
      <c r="AC4563">
        <v>7</v>
      </c>
      <c r="AD4563" s="1">
        <v>42500</v>
      </c>
      <c r="AM4563" t="str">
        <f>"10"</f>
        <v>10</v>
      </c>
      <c r="AN4563" t="str">
        <f>"500000"</f>
        <v>500000</v>
      </c>
      <c r="AO4563" t="str">
        <f>"הכנסות  מלקוחות"</f>
        <v>הכנסות  מלקוחות</v>
      </c>
      <c r="AQ4563" t="str">
        <f>"004"</f>
        <v>004</v>
      </c>
      <c r="AR4563">
        <v>0</v>
      </c>
      <c r="AS4563">
        <v>0</v>
      </c>
      <c r="AT4563">
        <v>3.7679999999999998</v>
      </c>
      <c r="AX4563" t="str">
        <f>"E000210570"</f>
        <v>E000210570</v>
      </c>
      <c r="BD4563" t="str">
        <f>"איציק חדד"</f>
        <v>איציק חדד</v>
      </c>
    </row>
    <row r="4564" spans="1:56" x14ac:dyDescent="0.3">
      <c r="A4564" s="1">
        <v>42487</v>
      </c>
      <c r="B4564" t="str">
        <f>"SI160000517"</f>
        <v>SI160000517</v>
      </c>
      <c r="C4564" t="str">
        <f>"PR16000109"</f>
        <v>PR16000109</v>
      </c>
      <c r="D4564" t="str">
        <f>"PR16000109"</f>
        <v>PR16000109</v>
      </c>
      <c r="E4564" t="str">
        <f>"Y"</f>
        <v>Y</v>
      </c>
      <c r="F4564" t="str">
        <f>"חשבוניות מרכזות"</f>
        <v>חשבוניות מרכזות</v>
      </c>
      <c r="G4564" t="str">
        <f>"700065"</f>
        <v>700065</v>
      </c>
      <c r="H4564" t="str">
        <f>"אלתא מערכות בע""מ"</f>
        <v>אלתא מערכות בע"מ</v>
      </c>
      <c r="I4564" t="str">
        <f>"10"</f>
        <v>10</v>
      </c>
      <c r="J4564" t="str">
        <f>"OP-AR00271"</f>
        <v>OP-AR00271</v>
      </c>
      <c r="K4564" t="str">
        <f>"רתמה  9002W008-001 HARNESS W1008 OTS RACK2 MLIU"</f>
        <v>רתמה  9002W008-001 HARNESS W1008 OTS RACK2 MLIU</v>
      </c>
      <c r="L4564">
        <v>1</v>
      </c>
      <c r="M4564" t="str">
        <f>"יח"</f>
        <v>יח</v>
      </c>
      <c r="N4564">
        <v>1</v>
      </c>
      <c r="O4564" t="str">
        <f>"יח"</f>
        <v>יח</v>
      </c>
      <c r="P4564">
        <v>188</v>
      </c>
      <c r="Q4564" t="str">
        <f>"$"</f>
        <v>$</v>
      </c>
      <c r="R4564" t="str">
        <f>"הזמנה"</f>
        <v>הזמנה</v>
      </c>
      <c r="S4564">
        <v>0</v>
      </c>
      <c r="T4564">
        <v>188</v>
      </c>
      <c r="U4564">
        <v>0</v>
      </c>
      <c r="V4564">
        <v>188</v>
      </c>
      <c r="W4564" t="str">
        <f>"$"</f>
        <v>$</v>
      </c>
      <c r="X4564">
        <v>0</v>
      </c>
      <c r="Y4564">
        <v>0</v>
      </c>
      <c r="Z4564">
        <v>0</v>
      </c>
      <c r="AA4564" t="str">
        <f>"Y"</f>
        <v>Y</v>
      </c>
      <c r="AB4564" t="str">
        <f>"SO160000332"</f>
        <v>SO160000332</v>
      </c>
      <c r="AC4564">
        <v>8</v>
      </c>
      <c r="AD4564" s="1">
        <v>42500</v>
      </c>
      <c r="AM4564" t="str">
        <f>"10"</f>
        <v>10</v>
      </c>
      <c r="AN4564" t="str">
        <f>"500000"</f>
        <v>500000</v>
      </c>
      <c r="AO4564" t="str">
        <f>"הכנסות  מלקוחות"</f>
        <v>הכנסות  מלקוחות</v>
      </c>
      <c r="AQ4564" t="str">
        <f>"004"</f>
        <v>004</v>
      </c>
      <c r="AR4564">
        <v>0</v>
      </c>
      <c r="AS4564">
        <v>0</v>
      </c>
      <c r="AT4564">
        <v>3.7679999999999998</v>
      </c>
      <c r="AX4564" t="str">
        <f>"E000210570"</f>
        <v>E000210570</v>
      </c>
      <c r="BD4564" t="str">
        <f>"איציק חדד"</f>
        <v>איציק חדד</v>
      </c>
    </row>
    <row r="4565" spans="1:56" x14ac:dyDescent="0.3">
      <c r="A4565" s="1">
        <v>42487</v>
      </c>
      <c r="B4565" t="str">
        <f>"SI160000517"</f>
        <v>SI160000517</v>
      </c>
      <c r="C4565" t="str">
        <f>"PR16000109"</f>
        <v>PR16000109</v>
      </c>
      <c r="D4565" t="str">
        <f>"PR16000109"</f>
        <v>PR16000109</v>
      </c>
      <c r="E4565" t="str">
        <f>"Y"</f>
        <v>Y</v>
      </c>
      <c r="F4565" t="str">
        <f>"חשבוניות מרכזות"</f>
        <v>חשבוניות מרכזות</v>
      </c>
      <c r="G4565" t="str">
        <f>"700065"</f>
        <v>700065</v>
      </c>
      <c r="H4565" t="str">
        <f>"אלתא מערכות בע""מ"</f>
        <v>אלתא מערכות בע"מ</v>
      </c>
      <c r="I4565" t="str">
        <f>"10"</f>
        <v>10</v>
      </c>
      <c r="J4565" t="str">
        <f>"OP-AR00272"</f>
        <v>OP-AR00272</v>
      </c>
      <c r="K4565" t="str">
        <f>"רתמה 9002W014-001 HARNESS W1014 OTS RACK2"</f>
        <v>רתמה 9002W014-001 HARNESS W1014 OTS RACK2</v>
      </c>
      <c r="L4565">
        <v>1</v>
      </c>
      <c r="M4565" t="str">
        <f>"יח"</f>
        <v>יח</v>
      </c>
      <c r="N4565">
        <v>1</v>
      </c>
      <c r="O4565" t="str">
        <f>"יח"</f>
        <v>יח</v>
      </c>
      <c r="P4565">
        <v>225</v>
      </c>
      <c r="Q4565" t="str">
        <f>"$"</f>
        <v>$</v>
      </c>
      <c r="R4565" t="str">
        <f>"הזמנה"</f>
        <v>הזמנה</v>
      </c>
      <c r="S4565">
        <v>0</v>
      </c>
      <c r="T4565">
        <v>225</v>
      </c>
      <c r="U4565">
        <v>0</v>
      </c>
      <c r="V4565">
        <v>225</v>
      </c>
      <c r="W4565" t="str">
        <f>"$"</f>
        <v>$</v>
      </c>
      <c r="X4565">
        <v>0</v>
      </c>
      <c r="Y4565">
        <v>0</v>
      </c>
      <c r="Z4565">
        <v>0</v>
      </c>
      <c r="AA4565" t="str">
        <f>"Y"</f>
        <v>Y</v>
      </c>
      <c r="AB4565" t="str">
        <f>"SO160000332"</f>
        <v>SO160000332</v>
      </c>
      <c r="AC4565">
        <v>9</v>
      </c>
      <c r="AD4565" s="1">
        <v>42500</v>
      </c>
      <c r="AM4565" t="str">
        <f>"10"</f>
        <v>10</v>
      </c>
      <c r="AN4565" t="str">
        <f>"500000"</f>
        <v>500000</v>
      </c>
      <c r="AO4565" t="str">
        <f>"הכנסות  מלקוחות"</f>
        <v>הכנסות  מלקוחות</v>
      </c>
      <c r="AQ4565" t="str">
        <f>"004"</f>
        <v>004</v>
      </c>
      <c r="AR4565">
        <v>0</v>
      </c>
      <c r="AS4565">
        <v>0</v>
      </c>
      <c r="AT4565">
        <v>3.7679999999999998</v>
      </c>
      <c r="AX4565" t="str">
        <f>"E000210570"</f>
        <v>E000210570</v>
      </c>
      <c r="BD4565" t="str">
        <f>"איציק חדד"</f>
        <v>איציק חדד</v>
      </c>
    </row>
    <row r="4566" spans="1:56" x14ac:dyDescent="0.3">
      <c r="A4566" s="1">
        <v>42487</v>
      </c>
      <c r="B4566" t="str">
        <f>"SI160000517"</f>
        <v>SI160000517</v>
      </c>
      <c r="C4566" t="str">
        <f>"PR16000109"</f>
        <v>PR16000109</v>
      </c>
      <c r="D4566" t="str">
        <f>"PR16000109"</f>
        <v>PR16000109</v>
      </c>
      <c r="E4566" t="str">
        <f>"Y"</f>
        <v>Y</v>
      </c>
      <c r="F4566" t="str">
        <f>"חשבוניות מרכזות"</f>
        <v>חשבוניות מרכזות</v>
      </c>
      <c r="G4566" t="str">
        <f>"700065"</f>
        <v>700065</v>
      </c>
      <c r="H4566" t="str">
        <f>"אלתא מערכות בע""מ"</f>
        <v>אלתא מערכות בע"מ</v>
      </c>
      <c r="I4566" t="str">
        <f>"10"</f>
        <v>10</v>
      </c>
      <c r="J4566" t="str">
        <f>"OP-AR00264"</f>
        <v>OP-AR00264</v>
      </c>
      <c r="K4566" t="str">
        <f>"רתמה 9002W003-001 HARNESS W1003 OTS I-OWS"</f>
        <v>רתמה 9002W003-001 HARNESS W1003 OTS I-OWS</v>
      </c>
      <c r="L4566">
        <v>5</v>
      </c>
      <c r="M4566" t="str">
        <f>"יח"</f>
        <v>יח</v>
      </c>
      <c r="N4566">
        <v>5</v>
      </c>
      <c r="O4566" t="str">
        <f>"יח"</f>
        <v>יח</v>
      </c>
      <c r="P4566">
        <v>586</v>
      </c>
      <c r="Q4566" t="str">
        <f>"$"</f>
        <v>$</v>
      </c>
      <c r="R4566" t="str">
        <f>"הזמנה"</f>
        <v>הזמנה</v>
      </c>
      <c r="S4566">
        <v>0</v>
      </c>
      <c r="T4566" s="2">
        <v>2930</v>
      </c>
      <c r="U4566">
        <v>0</v>
      </c>
      <c r="V4566" s="2">
        <v>2930</v>
      </c>
      <c r="W4566" t="str">
        <f>"$"</f>
        <v>$</v>
      </c>
      <c r="X4566">
        <v>0</v>
      </c>
      <c r="Y4566">
        <v>0</v>
      </c>
      <c r="Z4566">
        <v>0</v>
      </c>
      <c r="AA4566" t="str">
        <f>"Y"</f>
        <v>Y</v>
      </c>
      <c r="AB4566" t="str">
        <f>"SO160000332"</f>
        <v>SO160000332</v>
      </c>
      <c r="AC4566">
        <v>10</v>
      </c>
      <c r="AD4566" s="1">
        <v>42500</v>
      </c>
      <c r="AM4566" t="str">
        <f>"10"</f>
        <v>10</v>
      </c>
      <c r="AN4566" t="str">
        <f>"500000"</f>
        <v>500000</v>
      </c>
      <c r="AO4566" t="str">
        <f>"הכנסות  מלקוחות"</f>
        <v>הכנסות  מלקוחות</v>
      </c>
      <c r="AQ4566" t="str">
        <f>"004"</f>
        <v>004</v>
      </c>
      <c r="AR4566">
        <v>0</v>
      </c>
      <c r="AS4566">
        <v>0</v>
      </c>
      <c r="AT4566">
        <v>3.7679999999999998</v>
      </c>
      <c r="AX4566" t="str">
        <f>"E000210570"</f>
        <v>E000210570</v>
      </c>
      <c r="BD4566" t="str">
        <f>"איציק חדד"</f>
        <v>איציק חדד</v>
      </c>
    </row>
    <row r="4567" spans="1:56" x14ac:dyDescent="0.3">
      <c r="A4567" s="1">
        <v>42481</v>
      </c>
      <c r="B4567" t="str">
        <f>"SI160000461"</f>
        <v>SI160000461</v>
      </c>
      <c r="C4567" t="str">
        <f>"PR14001687"</f>
        <v>PR14001687</v>
      </c>
      <c r="D4567" t="str">
        <f>"PR14001687"</f>
        <v>PR14001687</v>
      </c>
      <c r="E4567" t="str">
        <f>"Y"</f>
        <v>Y</v>
      </c>
      <c r="F4567" t="str">
        <f>"חשבוניות מרכזות"</f>
        <v>חשבוניות מרכזות</v>
      </c>
      <c r="G4567" t="str">
        <f>"700065"</f>
        <v>700065</v>
      </c>
      <c r="H4567" t="str">
        <f>"אלתא מערכות בע""מ"</f>
        <v>אלתא מערכות בע"מ</v>
      </c>
      <c r="I4567" t="str">
        <f>"10"</f>
        <v>10</v>
      </c>
      <c r="J4567" t="str">
        <f>"OP-AR00062"</f>
        <v>OP-AR00062</v>
      </c>
      <c r="K4567" t="str">
        <f>"מערכת SMV 4007W880-001"</f>
        <v>מערכת SMV 4007W880-001</v>
      </c>
      <c r="L4567">
        <v>3</v>
      </c>
      <c r="M4567" t="str">
        <f>"יח"</f>
        <v>יח</v>
      </c>
      <c r="N4567">
        <v>3</v>
      </c>
      <c r="O4567" t="str">
        <f>"יח"</f>
        <v>יח</v>
      </c>
      <c r="P4567" s="2">
        <v>36452.6</v>
      </c>
      <c r="Q4567" t="str">
        <f>"$"</f>
        <v>$</v>
      </c>
      <c r="R4567" t="str">
        <f>"הזמנה"</f>
        <v>הזמנה</v>
      </c>
      <c r="S4567">
        <v>0</v>
      </c>
      <c r="T4567" s="2">
        <v>109357.8</v>
      </c>
      <c r="U4567">
        <v>0</v>
      </c>
      <c r="V4567" s="2">
        <v>109357.8</v>
      </c>
      <c r="W4567" t="str">
        <f>"$"</f>
        <v>$</v>
      </c>
      <c r="X4567">
        <v>0</v>
      </c>
      <c r="Y4567">
        <v>0</v>
      </c>
      <c r="Z4567">
        <v>0</v>
      </c>
      <c r="AA4567" t="str">
        <f>"Y"</f>
        <v>Y</v>
      </c>
      <c r="AB4567" t="str">
        <f>"SO140002001"</f>
        <v>SO140002001</v>
      </c>
      <c r="AC4567">
        <v>2</v>
      </c>
      <c r="AD4567" s="1">
        <v>41786</v>
      </c>
      <c r="AE4567" t="str">
        <f>"SH16000923"</f>
        <v>SH16000923</v>
      </c>
      <c r="AF4567" t="str">
        <f>"משלוחים ללקוח"</f>
        <v>משלוחים ללקוח</v>
      </c>
      <c r="AG4567" s="1">
        <v>42480</v>
      </c>
      <c r="AM4567" t="str">
        <f>"10"</f>
        <v>10</v>
      </c>
      <c r="AN4567" t="str">
        <f>"500000"</f>
        <v>500000</v>
      </c>
      <c r="AO4567" t="str">
        <f>"הכנסות  מלקוחות"</f>
        <v>הכנסות  מלקוחות</v>
      </c>
      <c r="AQ4567" t="str">
        <f>"007"</f>
        <v>007</v>
      </c>
      <c r="AR4567">
        <v>0</v>
      </c>
      <c r="AS4567">
        <v>0</v>
      </c>
      <c r="AT4567">
        <v>3.7639999999999998</v>
      </c>
      <c r="AX4567" t="str">
        <f>"E000174899"</f>
        <v>E000174899</v>
      </c>
      <c r="BD4567" t="str">
        <f>"רוני דידי"</f>
        <v>רוני דידי</v>
      </c>
    </row>
    <row r="4568" spans="1:56" x14ac:dyDescent="0.3">
      <c r="A4568" s="1">
        <v>42481</v>
      </c>
      <c r="B4568" t="str">
        <f>"SI160000460"</f>
        <v>SI160000460</v>
      </c>
      <c r="C4568" t="str">
        <f>"PR14001687"</f>
        <v>PR14001687</v>
      </c>
      <c r="E4568" t="str">
        <f>"Y"</f>
        <v>Y</v>
      </c>
      <c r="F4568" t="str">
        <f>"חשבוניות מרכזות"</f>
        <v>חשבוניות מרכזות</v>
      </c>
      <c r="G4568" t="str">
        <f>"700065"</f>
        <v>700065</v>
      </c>
      <c r="H4568" t="str">
        <f>"אלתא מערכות בע""מ"</f>
        <v>אלתא מערכות בע"מ</v>
      </c>
      <c r="I4568" t="str">
        <f>"10"</f>
        <v>10</v>
      </c>
      <c r="J4568" t="str">
        <f>"OP-AR00062"</f>
        <v>OP-AR00062</v>
      </c>
      <c r="K4568" t="str">
        <f>"מערכת SMV 4007W880-001"</f>
        <v>מערכת SMV 4007W880-001</v>
      </c>
      <c r="L4568">
        <v>-3</v>
      </c>
      <c r="M4568" t="str">
        <f>"יח"</f>
        <v>יח</v>
      </c>
      <c r="N4568">
        <v>-3</v>
      </c>
      <c r="O4568" t="str">
        <f>"יח"</f>
        <v>יח</v>
      </c>
      <c r="P4568" s="2">
        <v>36452.6</v>
      </c>
      <c r="Q4568" t="str">
        <f>"$"</f>
        <v>$</v>
      </c>
      <c r="R4568" t="str">
        <f>"הזמנה"</f>
        <v>הזמנה</v>
      </c>
      <c r="S4568">
        <v>0</v>
      </c>
      <c r="T4568" s="2">
        <v>-109357.8</v>
      </c>
      <c r="U4568">
        <v>0</v>
      </c>
      <c r="V4568" s="2">
        <v>-109357.8</v>
      </c>
      <c r="W4568" t="str">
        <f>"$"</f>
        <v>$</v>
      </c>
      <c r="X4568">
        <v>0</v>
      </c>
      <c r="Y4568">
        <v>0</v>
      </c>
      <c r="Z4568">
        <v>0</v>
      </c>
      <c r="AA4568" t="str">
        <f>"Y"</f>
        <v>Y</v>
      </c>
      <c r="AC4568">
        <v>0</v>
      </c>
      <c r="AM4568" t="str">
        <f>"10"</f>
        <v>10</v>
      </c>
      <c r="AN4568" t="str">
        <f>"500000"</f>
        <v>500000</v>
      </c>
      <c r="AO4568" t="str">
        <f>"הכנסות  מלקוחות"</f>
        <v>הכנסות  מלקוחות</v>
      </c>
      <c r="AQ4568" t="str">
        <f>"007"</f>
        <v>007</v>
      </c>
      <c r="AR4568">
        <v>0</v>
      </c>
      <c r="AS4568">
        <v>0</v>
      </c>
      <c r="AT4568">
        <v>3.758</v>
      </c>
      <c r="BB4568" t="str">
        <f>"Y"</f>
        <v>Y</v>
      </c>
      <c r="BD4568" t="str">
        <f>"רוני דידי"</f>
        <v>רוני דידי</v>
      </c>
    </row>
    <row r="4569" spans="1:56" x14ac:dyDescent="0.3">
      <c r="A4569" s="1">
        <v>42481</v>
      </c>
      <c r="B4569" t="str">
        <f>"SI160000453"</f>
        <v>SI160000453</v>
      </c>
      <c r="C4569" t="str">
        <f>"PR14001687"</f>
        <v>PR14001687</v>
      </c>
      <c r="E4569" t="str">
        <f>"Y"</f>
        <v>Y</v>
      </c>
      <c r="F4569" t="str">
        <f>"חשבוניות מרכזות"</f>
        <v>חשבוניות מרכזות</v>
      </c>
      <c r="G4569" t="str">
        <f>"700065"</f>
        <v>700065</v>
      </c>
      <c r="H4569" t="str">
        <f>"אלתא מערכות בע""מ"</f>
        <v>אלתא מערכות בע"מ</v>
      </c>
      <c r="I4569" t="str">
        <f>"10"</f>
        <v>10</v>
      </c>
      <c r="J4569" t="str">
        <f>"OP-AR00062"</f>
        <v>OP-AR00062</v>
      </c>
      <c r="K4569" t="str">
        <f>"מערכת SMV 4007W880-001"</f>
        <v>מערכת SMV 4007W880-001</v>
      </c>
      <c r="L4569">
        <v>3</v>
      </c>
      <c r="M4569" t="str">
        <f>"יח"</f>
        <v>יח</v>
      </c>
      <c r="N4569">
        <v>3</v>
      </c>
      <c r="O4569" t="str">
        <f>"יח"</f>
        <v>יח</v>
      </c>
      <c r="P4569" s="2">
        <v>36452.6</v>
      </c>
      <c r="Q4569" t="str">
        <f>"$"</f>
        <v>$</v>
      </c>
      <c r="R4569" t="str">
        <f>"הזמנה"</f>
        <v>הזמנה</v>
      </c>
      <c r="S4569">
        <v>0</v>
      </c>
      <c r="T4569" s="2">
        <v>109357.8</v>
      </c>
      <c r="U4569">
        <v>0</v>
      </c>
      <c r="V4569" s="2">
        <v>109357.8</v>
      </c>
      <c r="W4569" t="str">
        <f>"$"</f>
        <v>$</v>
      </c>
      <c r="X4569">
        <v>0</v>
      </c>
      <c r="Y4569">
        <v>0</v>
      </c>
      <c r="Z4569">
        <v>0</v>
      </c>
      <c r="AA4569" t="str">
        <f>"Y"</f>
        <v>Y</v>
      </c>
      <c r="AC4569">
        <v>0</v>
      </c>
      <c r="AM4569" t="str">
        <f>"10"</f>
        <v>10</v>
      </c>
      <c r="AN4569" t="str">
        <f>"500000"</f>
        <v>500000</v>
      </c>
      <c r="AO4569" t="str">
        <f>"הכנסות  מלקוחות"</f>
        <v>הכנסות  מלקוחות</v>
      </c>
      <c r="AQ4569" t="str">
        <f>"007"</f>
        <v>007</v>
      </c>
      <c r="AR4569">
        <v>0</v>
      </c>
      <c r="AS4569">
        <v>0</v>
      </c>
      <c r="AT4569">
        <v>3.758</v>
      </c>
      <c r="BB4569" t="str">
        <f>"Y"</f>
        <v>Y</v>
      </c>
      <c r="BD4569" t="str">
        <f>"רוני דידי"</f>
        <v>רוני דידי</v>
      </c>
    </row>
    <row r="4570" spans="1:56" x14ac:dyDescent="0.3">
      <c r="A4570" s="1">
        <v>42461</v>
      </c>
      <c r="B4570" t="str">
        <f>"SI160000485"</f>
        <v>SI160000485</v>
      </c>
      <c r="C4570" t="str">
        <f>"PR14001687"</f>
        <v>PR14001687</v>
      </c>
      <c r="E4570" t="str">
        <f>"Y"</f>
        <v>Y</v>
      </c>
      <c r="F4570" t="str">
        <f>"חשבוניות מרכזות"</f>
        <v>חשבוניות מרכזות</v>
      </c>
      <c r="G4570" t="str">
        <f>"700065"</f>
        <v>700065</v>
      </c>
      <c r="H4570" t="str">
        <f>"אלתא מערכות בע""מ"</f>
        <v>אלתא מערכות בע"מ</v>
      </c>
      <c r="I4570" t="str">
        <f>"10"</f>
        <v>10</v>
      </c>
      <c r="J4570" t="str">
        <f>"OP-AR00062"</f>
        <v>OP-AR00062</v>
      </c>
      <c r="K4570" t="str">
        <f>"מערכת SMV 4007W880-001"</f>
        <v>מערכת SMV 4007W880-001</v>
      </c>
      <c r="L4570">
        <v>-1</v>
      </c>
      <c r="M4570" t="str">
        <f>"יח"</f>
        <v>יח</v>
      </c>
      <c r="N4570">
        <v>-1</v>
      </c>
      <c r="O4570" t="str">
        <f>"יח"</f>
        <v>יח</v>
      </c>
      <c r="P4570" s="2">
        <v>36452.6</v>
      </c>
      <c r="Q4570" t="str">
        <f>"$"</f>
        <v>$</v>
      </c>
      <c r="R4570" t="str">
        <f>"הזמנה"</f>
        <v>הזמנה</v>
      </c>
      <c r="S4570">
        <v>0</v>
      </c>
      <c r="T4570" s="2">
        <v>-36452.6</v>
      </c>
      <c r="U4570">
        <v>0</v>
      </c>
      <c r="V4570" s="2">
        <v>-36452.6</v>
      </c>
      <c r="W4570" t="str">
        <f>"$"</f>
        <v>$</v>
      </c>
      <c r="X4570">
        <v>0</v>
      </c>
      <c r="Y4570">
        <v>0</v>
      </c>
      <c r="Z4570">
        <v>0</v>
      </c>
      <c r="AA4570" t="str">
        <f>"Y"</f>
        <v>Y</v>
      </c>
      <c r="AC4570">
        <v>0</v>
      </c>
      <c r="AM4570" t="str">
        <f>"10"</f>
        <v>10</v>
      </c>
      <c r="AN4570" t="str">
        <f>"500000"</f>
        <v>500000</v>
      </c>
      <c r="AO4570" t="str">
        <f>"הכנסות  מלקוחות"</f>
        <v>הכנסות  מלקוחות</v>
      </c>
      <c r="AQ4570" t="str">
        <f>"007"</f>
        <v>007</v>
      </c>
      <c r="AR4570">
        <v>0</v>
      </c>
      <c r="AS4570">
        <v>0</v>
      </c>
      <c r="AT4570">
        <v>3.972</v>
      </c>
      <c r="BB4570" t="str">
        <f>"Y"</f>
        <v>Y</v>
      </c>
      <c r="BD4570" t="str">
        <f>"רוני דידי"</f>
        <v>רוני דידי</v>
      </c>
    </row>
    <row r="4571" spans="1:56" x14ac:dyDescent="0.3">
      <c r="A4571" s="1">
        <v>42460</v>
      </c>
      <c r="B4571" t="str">
        <f>"SI160000413"</f>
        <v>SI160000413</v>
      </c>
      <c r="C4571" t="str">
        <f>"PR15003361"</f>
        <v>PR15003361</v>
      </c>
      <c r="E4571" t="str">
        <f>"Y"</f>
        <v>Y</v>
      </c>
      <c r="F4571" t="str">
        <f>"חשבוניות מרכזות"</f>
        <v>חשבוניות מרכזות</v>
      </c>
      <c r="G4571" t="str">
        <f>"700065"</f>
        <v>700065</v>
      </c>
      <c r="H4571" t="str">
        <f>"אלתא מערכות בע""מ"</f>
        <v>אלתא מערכות בע"מ</v>
      </c>
      <c r="I4571" t="str">
        <f>"10"</f>
        <v>10</v>
      </c>
      <c r="J4571" t="str">
        <f>"OP-PS00062"</f>
        <v>OP-PS00062</v>
      </c>
      <c r="K4571" t="str">
        <f>"MODULAR UPS 6U 7.5KVA 5MIN"</f>
        <v>MODULAR UPS 6U 7.5KVA 5MIN</v>
      </c>
      <c r="L4571">
        <v>-1</v>
      </c>
      <c r="M4571" t="str">
        <f>"יח"</f>
        <v>יח</v>
      </c>
      <c r="N4571">
        <v>-1</v>
      </c>
      <c r="O4571" t="str">
        <f>"יח"</f>
        <v>יח</v>
      </c>
      <c r="P4571" s="2">
        <v>14332.5</v>
      </c>
      <c r="Q4571" t="str">
        <f>"$"</f>
        <v>$</v>
      </c>
      <c r="R4571" t="str">
        <f>"הזמנה"</f>
        <v>הזמנה</v>
      </c>
      <c r="S4571">
        <v>0</v>
      </c>
      <c r="T4571" s="2">
        <v>-14332.5</v>
      </c>
      <c r="U4571">
        <v>0</v>
      </c>
      <c r="V4571" s="2">
        <v>-14332.5</v>
      </c>
      <c r="W4571" t="str">
        <f>"$"</f>
        <v>$</v>
      </c>
      <c r="X4571">
        <v>0</v>
      </c>
      <c r="Y4571">
        <v>0</v>
      </c>
      <c r="Z4571">
        <v>0</v>
      </c>
      <c r="AA4571" t="str">
        <f>"Y"</f>
        <v>Y</v>
      </c>
      <c r="AC4571">
        <v>0</v>
      </c>
      <c r="AM4571" t="str">
        <f>"10"</f>
        <v>10</v>
      </c>
      <c r="AN4571" t="str">
        <f>"500000"</f>
        <v>500000</v>
      </c>
      <c r="AO4571" t="str">
        <f>"הכנסות  מלקוחות"</f>
        <v>הכנסות  מלקוחות</v>
      </c>
      <c r="AQ4571" t="str">
        <f>"007"</f>
        <v>007</v>
      </c>
      <c r="AR4571">
        <v>0</v>
      </c>
      <c r="AS4571">
        <v>0</v>
      </c>
      <c r="AT4571">
        <v>3.8889999999999998</v>
      </c>
      <c r="BB4571" t="str">
        <f>"Y"</f>
        <v>Y</v>
      </c>
      <c r="BD4571" t="str">
        <f>"רוני דידי"</f>
        <v>רוני דידי</v>
      </c>
    </row>
    <row r="4572" spans="1:56" x14ac:dyDescent="0.3">
      <c r="A4572" s="1">
        <v>42460</v>
      </c>
      <c r="B4572" t="str">
        <f>"SI160000386"</f>
        <v>SI160000386</v>
      </c>
      <c r="C4572" t="str">
        <f>"PR14001687"</f>
        <v>PR14001687</v>
      </c>
      <c r="D4572" t="str">
        <f>"PR14001687"</f>
        <v>PR14001687</v>
      </c>
      <c r="E4572" t="str">
        <f>"Y"</f>
        <v>Y</v>
      </c>
      <c r="F4572" t="str">
        <f>"חשבוניות מרכזות"</f>
        <v>חשבוניות מרכזות</v>
      </c>
      <c r="G4572" t="str">
        <f>"700065"</f>
        <v>700065</v>
      </c>
      <c r="H4572" t="str">
        <f>"אלתא מערכות בע""מ"</f>
        <v>אלתא מערכות בע"מ</v>
      </c>
      <c r="I4572" t="str">
        <f>"10"</f>
        <v>10</v>
      </c>
      <c r="J4572" t="str">
        <f>"OP-AR00063"</f>
        <v>OP-AR00063</v>
      </c>
      <c r="K4572" t="str">
        <f>"מערכת CSV 4007W890-001"</f>
        <v>מערכת CSV 4007W890-001</v>
      </c>
      <c r="L4572">
        <v>3</v>
      </c>
      <c r="M4572" t="str">
        <f>"יח"</f>
        <v>יח</v>
      </c>
      <c r="N4572">
        <v>3</v>
      </c>
      <c r="O4572" t="str">
        <f>"יח"</f>
        <v>יח</v>
      </c>
      <c r="P4572" s="2">
        <v>31223.33</v>
      </c>
      <c r="Q4572" t="str">
        <f>"$"</f>
        <v>$</v>
      </c>
      <c r="R4572" t="str">
        <f>"הזמנה"</f>
        <v>הזמנה</v>
      </c>
      <c r="S4572">
        <v>0</v>
      </c>
      <c r="T4572" s="2">
        <v>93669.99</v>
      </c>
      <c r="U4572">
        <v>0</v>
      </c>
      <c r="V4572" s="2">
        <v>93669.99</v>
      </c>
      <c r="W4572" t="str">
        <f>"$"</f>
        <v>$</v>
      </c>
      <c r="X4572">
        <v>0</v>
      </c>
      <c r="Y4572">
        <v>0</v>
      </c>
      <c r="Z4572">
        <v>0</v>
      </c>
      <c r="AA4572" t="str">
        <f>"Y"</f>
        <v>Y</v>
      </c>
      <c r="AB4572" t="str">
        <f>"SO140002001"</f>
        <v>SO140002001</v>
      </c>
      <c r="AC4572">
        <v>4</v>
      </c>
      <c r="AD4572" s="1">
        <v>41786</v>
      </c>
      <c r="AE4572" t="str">
        <f>"SH16000745"</f>
        <v>SH16000745</v>
      </c>
      <c r="AF4572" t="str">
        <f>"משלוחים ללקוח"</f>
        <v>משלוחים ללקוח</v>
      </c>
      <c r="AG4572" s="1">
        <v>42460</v>
      </c>
      <c r="AM4572" t="str">
        <f>"10"</f>
        <v>10</v>
      </c>
      <c r="AN4572" t="str">
        <f>"500000"</f>
        <v>500000</v>
      </c>
      <c r="AO4572" t="str">
        <f>"הכנסות  מלקוחות"</f>
        <v>הכנסות  מלקוחות</v>
      </c>
      <c r="AQ4572" t="str">
        <f>"007"</f>
        <v>007</v>
      </c>
      <c r="AR4572">
        <v>0</v>
      </c>
      <c r="AS4572">
        <v>0</v>
      </c>
      <c r="AT4572">
        <v>3.766</v>
      </c>
      <c r="AX4572" t="str">
        <f>"E000174899"</f>
        <v>E000174899</v>
      </c>
      <c r="BD4572" t="str">
        <f>"רוני דידי"</f>
        <v>רוני דידי</v>
      </c>
    </row>
    <row r="4573" spans="1:56" x14ac:dyDescent="0.3">
      <c r="A4573" s="1">
        <v>42460</v>
      </c>
      <c r="B4573" t="str">
        <f>"SI160000385"</f>
        <v>SI160000385</v>
      </c>
      <c r="C4573" t="str">
        <f>"PR15002450"</f>
        <v>PR15002450</v>
      </c>
      <c r="E4573" t="str">
        <f>"Y"</f>
        <v>Y</v>
      </c>
      <c r="F4573" t="str">
        <f>"חשבוניות מרכזות"</f>
        <v>חשבוניות מרכזות</v>
      </c>
      <c r="G4573" t="str">
        <f>"700065"</f>
        <v>700065</v>
      </c>
      <c r="H4573" t="str">
        <f>"אלתא מערכות בע""מ"</f>
        <v>אלתא מערכות בע"מ</v>
      </c>
      <c r="I4573" t="str">
        <f>"10"</f>
        <v>10</v>
      </c>
      <c r="J4573" t="str">
        <f>"OP-AR09107-2"</f>
        <v>OP-AR09107-2</v>
      </c>
      <c r="K4573" t="str">
        <f>"לוח AUX BOX מק""ט לקוח 1026L320-002"</f>
        <v>לוח AUX BOX מק"ט לקוח 1026L320-002</v>
      </c>
      <c r="L4573">
        <v>1</v>
      </c>
      <c r="M4573" t="str">
        <f>"יח"</f>
        <v>יח</v>
      </c>
      <c r="N4573">
        <v>1</v>
      </c>
      <c r="O4573" t="str">
        <f>"יח"</f>
        <v>יח</v>
      </c>
      <c r="P4573" s="2">
        <v>3548</v>
      </c>
      <c r="Q4573" t="str">
        <f>"$"</f>
        <v>$</v>
      </c>
      <c r="R4573" t="str">
        <f>"הזמנה"</f>
        <v>הזמנה</v>
      </c>
      <c r="S4573">
        <v>0</v>
      </c>
      <c r="T4573" s="2">
        <v>3548</v>
      </c>
      <c r="U4573">
        <v>0</v>
      </c>
      <c r="V4573" s="2">
        <v>3548</v>
      </c>
      <c r="W4573" t="str">
        <f>"$"</f>
        <v>$</v>
      </c>
      <c r="X4573">
        <v>0</v>
      </c>
      <c r="Y4573">
        <v>0</v>
      </c>
      <c r="Z4573">
        <v>0</v>
      </c>
      <c r="AA4573" t="str">
        <f>"Y"</f>
        <v>Y</v>
      </c>
      <c r="AB4573" t="str">
        <f>"SO160000199"</f>
        <v>SO160000199</v>
      </c>
      <c r="AC4573">
        <v>1</v>
      </c>
      <c r="AD4573" s="1">
        <v>42444</v>
      </c>
      <c r="AE4573" t="str">
        <f>"SH16000744"</f>
        <v>SH16000744</v>
      </c>
      <c r="AF4573" t="str">
        <f>"משלוחים ללקוח"</f>
        <v>משלוחים ללקוח</v>
      </c>
      <c r="AG4573" s="1">
        <v>42460</v>
      </c>
      <c r="AM4573" t="str">
        <f>"10"</f>
        <v>10</v>
      </c>
      <c r="AN4573" t="str">
        <f>"500000"</f>
        <v>500000</v>
      </c>
      <c r="AO4573" t="str">
        <f>"הכנסות  מלקוחות"</f>
        <v>הכנסות  מלקוחות</v>
      </c>
      <c r="AQ4573" t="str">
        <f>"007"</f>
        <v>007</v>
      </c>
      <c r="AR4573">
        <v>0</v>
      </c>
      <c r="AS4573">
        <v>0</v>
      </c>
      <c r="AT4573">
        <v>3.766</v>
      </c>
      <c r="AX4573" t="str">
        <f>"E000180946"</f>
        <v>E000180946</v>
      </c>
      <c r="BD4573" t="str">
        <f>"רוני דידי"</f>
        <v>רוני דידי</v>
      </c>
    </row>
    <row r="4574" spans="1:56" x14ac:dyDescent="0.3">
      <c r="A4574" s="1">
        <v>42460</v>
      </c>
      <c r="B4574" t="str">
        <f>"SI160000384"</f>
        <v>SI160000384</v>
      </c>
      <c r="C4574" t="str">
        <f>"PR15002450"</f>
        <v>PR15002450</v>
      </c>
      <c r="E4574" t="str">
        <f>"Y"</f>
        <v>Y</v>
      </c>
      <c r="F4574" t="str">
        <f>"חשבוניות מרכזות"</f>
        <v>חשבוניות מרכזות</v>
      </c>
      <c r="G4574" t="str">
        <f>"700065"</f>
        <v>700065</v>
      </c>
      <c r="H4574" t="str">
        <f>"אלתא מערכות בע""מ"</f>
        <v>אלתא מערכות בע"מ</v>
      </c>
      <c r="I4574" t="str">
        <f>"10"</f>
        <v>10</v>
      </c>
      <c r="J4574" t="str">
        <f>"OP-AR09107-2"</f>
        <v>OP-AR09107-2</v>
      </c>
      <c r="K4574" t="str">
        <f>"לוח AUX BOX מק""ט לקוח 1026L320-002"</f>
        <v>לוח AUX BOX מק"ט לקוח 1026L320-002</v>
      </c>
      <c r="L4574">
        <v>-1</v>
      </c>
      <c r="M4574" t="str">
        <f>"יח"</f>
        <v>יח</v>
      </c>
      <c r="N4574">
        <v>-1</v>
      </c>
      <c r="O4574" t="str">
        <f>"יח"</f>
        <v>יח</v>
      </c>
      <c r="P4574" s="2">
        <v>3548</v>
      </c>
      <c r="Q4574" t="str">
        <f>"$"</f>
        <v>$</v>
      </c>
      <c r="R4574" t="str">
        <f>"ידני"</f>
        <v>ידני</v>
      </c>
      <c r="S4574">
        <v>0</v>
      </c>
      <c r="T4574" s="2">
        <v>-3548</v>
      </c>
      <c r="U4574">
        <v>0</v>
      </c>
      <c r="V4574" s="2">
        <v>-3548</v>
      </c>
      <c r="W4574" t="str">
        <f>"$"</f>
        <v>$</v>
      </c>
      <c r="X4574">
        <v>0</v>
      </c>
      <c r="Y4574">
        <v>0</v>
      </c>
      <c r="Z4574">
        <v>0</v>
      </c>
      <c r="AA4574" t="str">
        <f>"Y"</f>
        <v>Y</v>
      </c>
      <c r="AC4574">
        <v>0</v>
      </c>
      <c r="AM4574" t="str">
        <f>"10"</f>
        <v>10</v>
      </c>
      <c r="AN4574" t="str">
        <f>"500000"</f>
        <v>500000</v>
      </c>
      <c r="AO4574" t="str">
        <f>"הכנסות  מלקוחות"</f>
        <v>הכנסות  מלקוחות</v>
      </c>
      <c r="AQ4574" t="str">
        <f>"007"</f>
        <v>007</v>
      </c>
      <c r="AR4574">
        <v>0</v>
      </c>
      <c r="AS4574">
        <v>0</v>
      </c>
      <c r="AT4574">
        <v>3.8260000000000001</v>
      </c>
      <c r="BB4574" t="str">
        <f>"Y"</f>
        <v>Y</v>
      </c>
      <c r="BD4574" t="str">
        <f>"רוני דידי"</f>
        <v>רוני דידי</v>
      </c>
    </row>
    <row r="4575" spans="1:56" x14ac:dyDescent="0.3">
      <c r="A4575" s="1">
        <v>42460</v>
      </c>
      <c r="B4575" t="str">
        <f>"SI160000383"</f>
        <v>SI160000383</v>
      </c>
      <c r="C4575" t="str">
        <f>"PR14001687"</f>
        <v>PR14001687</v>
      </c>
      <c r="E4575" t="str">
        <f>"Y"</f>
        <v>Y</v>
      </c>
      <c r="F4575" t="str">
        <f>"חשבוניות מרכזות"</f>
        <v>חשבוניות מרכזות</v>
      </c>
      <c r="G4575" t="str">
        <f>"700065"</f>
        <v>700065</v>
      </c>
      <c r="H4575" t="str">
        <f>"אלתא מערכות בע""מ"</f>
        <v>אלתא מערכות בע"מ</v>
      </c>
      <c r="I4575" t="str">
        <f>"10"</f>
        <v>10</v>
      </c>
      <c r="J4575" t="str">
        <f>"OP-AR00063"</f>
        <v>OP-AR00063</v>
      </c>
      <c r="K4575" t="str">
        <f>"מערכת CSV 4007W890-001"</f>
        <v>מערכת CSV 4007W890-001</v>
      </c>
      <c r="L4575">
        <v>-3</v>
      </c>
      <c r="M4575" t="str">
        <f>"יח"</f>
        <v>יח</v>
      </c>
      <c r="N4575">
        <v>-3</v>
      </c>
      <c r="O4575" t="str">
        <f>"יח"</f>
        <v>יח</v>
      </c>
      <c r="P4575" s="2">
        <v>31223.33</v>
      </c>
      <c r="Q4575" t="str">
        <f>"$"</f>
        <v>$</v>
      </c>
      <c r="R4575" t="str">
        <f>"ידני"</f>
        <v>ידני</v>
      </c>
      <c r="S4575">
        <v>0</v>
      </c>
      <c r="T4575" s="2">
        <v>-93669.99</v>
      </c>
      <c r="U4575">
        <v>0</v>
      </c>
      <c r="V4575" s="2">
        <v>-93669.99</v>
      </c>
      <c r="W4575" t="str">
        <f>"$"</f>
        <v>$</v>
      </c>
      <c r="X4575">
        <v>0</v>
      </c>
      <c r="Y4575">
        <v>0</v>
      </c>
      <c r="Z4575">
        <v>0</v>
      </c>
      <c r="AA4575" t="str">
        <f>"Y"</f>
        <v>Y</v>
      </c>
      <c r="AC4575">
        <v>0</v>
      </c>
      <c r="AM4575" t="str">
        <f>"10"</f>
        <v>10</v>
      </c>
      <c r="AN4575" t="str">
        <f>"500000"</f>
        <v>500000</v>
      </c>
      <c r="AO4575" t="str">
        <f>"הכנסות  מלקוחות"</f>
        <v>הכנסות  מלקוחות</v>
      </c>
      <c r="AQ4575" t="str">
        <f>"007"</f>
        <v>007</v>
      </c>
      <c r="AR4575">
        <v>0</v>
      </c>
      <c r="AS4575">
        <v>0</v>
      </c>
      <c r="AT4575">
        <v>3.8260000000000001</v>
      </c>
      <c r="BB4575" t="str">
        <f>"Y"</f>
        <v>Y</v>
      </c>
      <c r="BD4575" t="str">
        <f>"רוני דידי"</f>
        <v>רוני דידי</v>
      </c>
    </row>
    <row r="4576" spans="1:56" x14ac:dyDescent="0.3">
      <c r="A4576" s="1">
        <v>42460</v>
      </c>
      <c r="B4576" t="str">
        <f>"SI160000357"</f>
        <v>SI160000357</v>
      </c>
      <c r="C4576" t="str">
        <f>"PR14001687"</f>
        <v>PR14001687</v>
      </c>
      <c r="E4576" t="str">
        <f>"Y"</f>
        <v>Y</v>
      </c>
      <c r="F4576" t="str">
        <f>"חשבוניות מרכזות"</f>
        <v>חשבוניות מרכזות</v>
      </c>
      <c r="G4576" t="str">
        <f>"700065"</f>
        <v>700065</v>
      </c>
      <c r="H4576" t="str">
        <f>"אלתא מערכות בע""מ"</f>
        <v>אלתא מערכות בע"מ</v>
      </c>
      <c r="I4576" t="str">
        <f>"10"</f>
        <v>10</v>
      </c>
      <c r="J4576" t="str">
        <f>"OP-AR00063"</f>
        <v>OP-AR00063</v>
      </c>
      <c r="K4576" t="str">
        <f>"מערכת CSV 4007W890-001"</f>
        <v>מערכת CSV 4007W890-001</v>
      </c>
      <c r="L4576">
        <v>3</v>
      </c>
      <c r="M4576" t="str">
        <f>"יח"</f>
        <v>יח</v>
      </c>
      <c r="N4576">
        <v>3</v>
      </c>
      <c r="O4576" t="str">
        <f>"יח"</f>
        <v>יח</v>
      </c>
      <c r="P4576" s="2">
        <v>31223.33</v>
      </c>
      <c r="Q4576" t="str">
        <f>"$"</f>
        <v>$</v>
      </c>
      <c r="R4576" t="str">
        <f>"ידני"</f>
        <v>ידני</v>
      </c>
      <c r="S4576">
        <v>0</v>
      </c>
      <c r="T4576" s="2">
        <v>93669.99</v>
      </c>
      <c r="U4576">
        <v>0</v>
      </c>
      <c r="V4576" s="2">
        <v>93669.99</v>
      </c>
      <c r="W4576" t="str">
        <f>"$"</f>
        <v>$</v>
      </c>
      <c r="X4576">
        <v>0</v>
      </c>
      <c r="Y4576">
        <v>0</v>
      </c>
      <c r="Z4576">
        <v>0</v>
      </c>
      <c r="AA4576" t="str">
        <f>"Y"</f>
        <v>Y</v>
      </c>
      <c r="AC4576">
        <v>0</v>
      </c>
      <c r="AM4576" t="str">
        <f>"10"</f>
        <v>10</v>
      </c>
      <c r="AN4576" t="str">
        <f>"500000"</f>
        <v>500000</v>
      </c>
      <c r="AO4576" t="str">
        <f>"הכנסות  מלקוחות"</f>
        <v>הכנסות  מלקוחות</v>
      </c>
      <c r="AQ4576" t="str">
        <f>"007"</f>
        <v>007</v>
      </c>
      <c r="AR4576">
        <v>0</v>
      </c>
      <c r="AS4576">
        <v>0</v>
      </c>
      <c r="AT4576">
        <v>3.8260000000000001</v>
      </c>
      <c r="BB4576" t="str">
        <f>"Y"</f>
        <v>Y</v>
      </c>
      <c r="BD4576" t="str">
        <f>"רוני דידי"</f>
        <v>רוני דידי</v>
      </c>
    </row>
    <row r="4577" spans="1:56" x14ac:dyDescent="0.3">
      <c r="A4577" s="1">
        <v>42460</v>
      </c>
      <c r="B4577" t="str">
        <f>"SI160000355"</f>
        <v>SI160000355</v>
      </c>
      <c r="C4577" t="str">
        <f>"PR15002450"</f>
        <v>PR15002450</v>
      </c>
      <c r="E4577" t="str">
        <f>"Y"</f>
        <v>Y</v>
      </c>
      <c r="F4577" t="str">
        <f>"חשבוניות מרכזות"</f>
        <v>חשבוניות מרכזות</v>
      </c>
      <c r="G4577" t="str">
        <f>"700065"</f>
        <v>700065</v>
      </c>
      <c r="H4577" t="str">
        <f>"אלתא מערכות בע""מ"</f>
        <v>אלתא מערכות בע"מ</v>
      </c>
      <c r="I4577" t="str">
        <f>"10"</f>
        <v>10</v>
      </c>
      <c r="J4577" t="str">
        <f>"OP-AR09107-2"</f>
        <v>OP-AR09107-2</v>
      </c>
      <c r="K4577" t="str">
        <f>"לוח AUX BOX מק""ט לקוח 1026L320-002"</f>
        <v>לוח AUX BOX מק"ט לקוח 1026L320-002</v>
      </c>
      <c r="L4577">
        <v>1</v>
      </c>
      <c r="M4577" t="str">
        <f>"יח"</f>
        <v>יח</v>
      </c>
      <c r="N4577">
        <v>1</v>
      </c>
      <c r="O4577" t="str">
        <f>"יח"</f>
        <v>יח</v>
      </c>
      <c r="P4577" s="2">
        <v>3548</v>
      </c>
      <c r="Q4577" t="str">
        <f>"$"</f>
        <v>$</v>
      </c>
      <c r="R4577" t="str">
        <f>"ידני"</f>
        <v>ידני</v>
      </c>
      <c r="S4577">
        <v>0</v>
      </c>
      <c r="T4577" s="2">
        <v>3548</v>
      </c>
      <c r="U4577">
        <v>0</v>
      </c>
      <c r="V4577" s="2">
        <v>3548</v>
      </c>
      <c r="W4577" t="str">
        <f>"$"</f>
        <v>$</v>
      </c>
      <c r="X4577">
        <v>0</v>
      </c>
      <c r="Y4577">
        <v>0</v>
      </c>
      <c r="Z4577">
        <v>0</v>
      </c>
      <c r="AA4577" t="str">
        <f>"Y"</f>
        <v>Y</v>
      </c>
      <c r="AC4577">
        <v>0</v>
      </c>
      <c r="AM4577" t="str">
        <f>"10"</f>
        <v>10</v>
      </c>
      <c r="AN4577" t="str">
        <f>"500000"</f>
        <v>500000</v>
      </c>
      <c r="AO4577" t="str">
        <f>"הכנסות  מלקוחות"</f>
        <v>הכנסות  מלקוחות</v>
      </c>
      <c r="AQ4577" t="str">
        <f>"007"</f>
        <v>007</v>
      </c>
      <c r="AR4577">
        <v>0</v>
      </c>
      <c r="AS4577">
        <v>0</v>
      </c>
      <c r="AT4577">
        <v>3.8260000000000001</v>
      </c>
      <c r="BB4577" t="str">
        <f>"Y"</f>
        <v>Y</v>
      </c>
      <c r="BD4577" t="str">
        <f>"רוני דידי"</f>
        <v>רוני דידי</v>
      </c>
    </row>
    <row r="4578" spans="1:56" x14ac:dyDescent="0.3">
      <c r="A4578" s="1">
        <v>42459</v>
      </c>
      <c r="B4578" t="str">
        <f>"SI160000332"</f>
        <v>SI160000332</v>
      </c>
      <c r="C4578" t="str">
        <f>"PR16000184"</f>
        <v>PR16000184</v>
      </c>
      <c r="E4578" t="str">
        <f>"Y"</f>
        <v>Y</v>
      </c>
      <c r="F4578" t="str">
        <f>"חשבוניות מרכזות"</f>
        <v>חשבוניות מרכזות</v>
      </c>
      <c r="G4578" t="str">
        <f>"700065"</f>
        <v>700065</v>
      </c>
      <c r="H4578" t="str">
        <f>"אלתא מערכות בע""מ"</f>
        <v>אלתא מערכות בע"מ</v>
      </c>
      <c r="I4578" t="str">
        <f>"10"</f>
        <v>10</v>
      </c>
      <c r="J4578" t="str">
        <f>"CB1100123"</f>
        <v>CB1100123</v>
      </c>
      <c r="K4578" t="str">
        <f>"LB-PDB BATTERY CHARGER CABLE"</f>
        <v>LB-PDB BATTERY CHARGER CABLE</v>
      </c>
      <c r="L4578">
        <v>3</v>
      </c>
      <c r="M4578" t="str">
        <f>"יח"</f>
        <v>יח</v>
      </c>
      <c r="N4578">
        <v>3</v>
      </c>
      <c r="O4578" t="str">
        <f>"יח"</f>
        <v>יח</v>
      </c>
      <c r="P4578">
        <v>190</v>
      </c>
      <c r="Q4578" t="str">
        <f>"$"</f>
        <v>$</v>
      </c>
      <c r="R4578" t="str">
        <f>"הזמנה"</f>
        <v>הזמנה</v>
      </c>
      <c r="S4578">
        <v>0</v>
      </c>
      <c r="T4578">
        <v>570</v>
      </c>
      <c r="U4578">
        <v>0</v>
      </c>
      <c r="V4578">
        <v>570</v>
      </c>
      <c r="W4578" t="str">
        <f>"$"</f>
        <v>$</v>
      </c>
      <c r="X4578">
        <v>0</v>
      </c>
      <c r="Y4578">
        <v>0</v>
      </c>
      <c r="Z4578">
        <v>0</v>
      </c>
      <c r="AA4578" t="str">
        <f>"Y"</f>
        <v>Y</v>
      </c>
      <c r="AB4578" t="str">
        <f>"SO160000222"</f>
        <v>SO160000222</v>
      </c>
      <c r="AC4578">
        <v>1</v>
      </c>
      <c r="AD4578" s="1">
        <v>42458</v>
      </c>
      <c r="AE4578" t="str">
        <f>"SH16000719"</f>
        <v>SH16000719</v>
      </c>
      <c r="AF4578" t="str">
        <f>"משלוחים ללקוח"</f>
        <v>משלוחים ללקוח</v>
      </c>
      <c r="AG4578" s="1">
        <v>42458</v>
      </c>
      <c r="AM4578" t="str">
        <f>"10"</f>
        <v>10</v>
      </c>
      <c r="AN4578" t="str">
        <f>"500000"</f>
        <v>500000</v>
      </c>
      <c r="AO4578" t="str">
        <f>"הכנסות  מלקוחות"</f>
        <v>הכנסות  מלקוחות</v>
      </c>
      <c r="AQ4578" t="str">
        <f>"007"</f>
        <v>007</v>
      </c>
      <c r="AR4578">
        <v>0</v>
      </c>
      <c r="AS4578">
        <v>0</v>
      </c>
      <c r="AT4578">
        <v>3.8260000000000001</v>
      </c>
      <c r="AX4578" t="str">
        <f>"E000213803"</f>
        <v>E000213803</v>
      </c>
      <c r="BD4578" t="str">
        <f>"רוני דידי"</f>
        <v>רוני דידי</v>
      </c>
    </row>
    <row r="4579" spans="1:56" x14ac:dyDescent="0.3">
      <c r="A4579" s="1">
        <v>42459</v>
      </c>
      <c r="B4579" t="str">
        <f>"SI160000331"</f>
        <v>SI160000331</v>
      </c>
      <c r="C4579" t="str">
        <f>"PR14001687"</f>
        <v>PR14001687</v>
      </c>
      <c r="D4579" t="str">
        <f>"PR14001687"</f>
        <v>PR14001687</v>
      </c>
      <c r="E4579" t="str">
        <f>"Y"</f>
        <v>Y</v>
      </c>
      <c r="F4579" t="str">
        <f>"חשבוניות מרכזות"</f>
        <v>חשבוניות מרכזות</v>
      </c>
      <c r="G4579" t="str">
        <f>"700065"</f>
        <v>700065</v>
      </c>
      <c r="H4579" t="str">
        <f>"אלתא מערכות בע""מ"</f>
        <v>אלתא מערכות בע"מ</v>
      </c>
      <c r="I4579" t="str">
        <f>"10"</f>
        <v>10</v>
      </c>
      <c r="J4579" t="str">
        <f>"OP-AR00063"</f>
        <v>OP-AR00063</v>
      </c>
      <c r="K4579" t="str">
        <f>"מערכת CSV 4007W890-001"</f>
        <v>מערכת CSV 4007W890-001</v>
      </c>
      <c r="L4579">
        <v>1</v>
      </c>
      <c r="M4579" t="str">
        <f>"יח"</f>
        <v>יח</v>
      </c>
      <c r="N4579">
        <v>1</v>
      </c>
      <c r="O4579" t="str">
        <f>"יח"</f>
        <v>יח</v>
      </c>
      <c r="P4579" s="2">
        <v>31223.33</v>
      </c>
      <c r="Q4579" t="str">
        <f>"$"</f>
        <v>$</v>
      </c>
      <c r="R4579" t="str">
        <f>"הזמנה"</f>
        <v>הזמנה</v>
      </c>
      <c r="S4579">
        <v>0</v>
      </c>
      <c r="T4579" s="2">
        <v>31223.33</v>
      </c>
      <c r="U4579">
        <v>0</v>
      </c>
      <c r="V4579" s="2">
        <v>31223.33</v>
      </c>
      <c r="W4579" t="str">
        <f>"$"</f>
        <v>$</v>
      </c>
      <c r="X4579">
        <v>0</v>
      </c>
      <c r="Y4579">
        <v>0</v>
      </c>
      <c r="Z4579">
        <v>0</v>
      </c>
      <c r="AA4579" t="str">
        <f>"Y"</f>
        <v>Y</v>
      </c>
      <c r="AB4579" t="str">
        <f>"SO140002001"</f>
        <v>SO140002001</v>
      </c>
      <c r="AC4579">
        <v>3</v>
      </c>
      <c r="AD4579" s="1">
        <v>41786</v>
      </c>
      <c r="AE4579" t="str">
        <f>"SH16000687"</f>
        <v>SH16000687</v>
      </c>
      <c r="AF4579" t="str">
        <f>"משלוחים ללקוח"</f>
        <v>משלוחים ללקוח</v>
      </c>
      <c r="AG4579" s="1">
        <v>42452</v>
      </c>
      <c r="AM4579" t="str">
        <f>"10"</f>
        <v>10</v>
      </c>
      <c r="AN4579" t="str">
        <f>"500000"</f>
        <v>500000</v>
      </c>
      <c r="AO4579" t="str">
        <f>"הכנסות  מלקוחות"</f>
        <v>הכנסות  מלקוחות</v>
      </c>
      <c r="AQ4579" t="str">
        <f>"007"</f>
        <v>007</v>
      </c>
      <c r="AR4579">
        <v>0</v>
      </c>
      <c r="AS4579">
        <v>0</v>
      </c>
      <c r="AT4579">
        <v>3.8260000000000001</v>
      </c>
      <c r="AX4579" t="str">
        <f>"E000174899"</f>
        <v>E000174899</v>
      </c>
      <c r="BD4579" t="str">
        <f>"רוני דידי"</f>
        <v>רוני דידי</v>
      </c>
    </row>
    <row r="4580" spans="1:56" x14ac:dyDescent="0.3">
      <c r="A4580" s="1">
        <v>42459</v>
      </c>
      <c r="B4580" t="str">
        <f>"SI160000329"</f>
        <v>SI160000329</v>
      </c>
      <c r="C4580" t="str">
        <f>"PR16000110"</f>
        <v>PR16000110</v>
      </c>
      <c r="E4580" t="str">
        <f>"Y"</f>
        <v>Y</v>
      </c>
      <c r="F4580" t="str">
        <f>"חשבוניות מרכזות"</f>
        <v>חשבוניות מרכזות</v>
      </c>
      <c r="G4580" t="str">
        <f>"700065"</f>
        <v>700065</v>
      </c>
      <c r="H4580" t="str">
        <f>"אלתא מערכות בע""מ"</f>
        <v>אלתא מערכות בע"מ</v>
      </c>
      <c r="I4580" t="str">
        <f>"10"</f>
        <v>10</v>
      </c>
      <c r="J4580" t="str">
        <f>"OP-AR00273"</f>
        <v>OP-AR00273</v>
      </c>
      <c r="K4580" t="str">
        <f>"התקנת מסד 1036H570-001"</f>
        <v>התקנת מסד 1036H570-001</v>
      </c>
      <c r="L4580">
        <v>1</v>
      </c>
      <c r="M4580" t="str">
        <f>"יח"</f>
        <v>יח</v>
      </c>
      <c r="N4580">
        <v>1</v>
      </c>
      <c r="O4580" t="str">
        <f>"יח"</f>
        <v>יח</v>
      </c>
      <c r="P4580" s="2">
        <v>25750</v>
      </c>
      <c r="Q4580" t="str">
        <f>"$"</f>
        <v>$</v>
      </c>
      <c r="R4580" t="str">
        <f>"הזמנה"</f>
        <v>הזמנה</v>
      </c>
      <c r="S4580">
        <v>0</v>
      </c>
      <c r="T4580" s="2">
        <v>25750</v>
      </c>
      <c r="U4580">
        <v>0</v>
      </c>
      <c r="V4580" s="2">
        <v>25750</v>
      </c>
      <c r="W4580" t="str">
        <f>"$"</f>
        <v>$</v>
      </c>
      <c r="X4580">
        <v>0</v>
      </c>
      <c r="Y4580">
        <v>0</v>
      </c>
      <c r="Z4580">
        <v>0</v>
      </c>
      <c r="AA4580" t="str">
        <f>"Y"</f>
        <v>Y</v>
      </c>
      <c r="AB4580" t="str">
        <f>"SO160000115"</f>
        <v>SO160000115</v>
      </c>
      <c r="AC4580">
        <v>1</v>
      </c>
      <c r="AD4580" s="1">
        <v>42415</v>
      </c>
      <c r="AE4580" t="str">
        <f>"SH16000641"</f>
        <v>SH16000641</v>
      </c>
      <c r="AF4580" t="str">
        <f>"משלוחים ללקוח"</f>
        <v>משלוחים ללקוח</v>
      </c>
      <c r="AG4580" s="1">
        <v>42446</v>
      </c>
      <c r="AM4580" t="str">
        <f>"10"</f>
        <v>10</v>
      </c>
      <c r="AN4580" t="str">
        <f>"500000"</f>
        <v>500000</v>
      </c>
      <c r="AO4580" t="str">
        <f>"הכנסות  מלקוחות"</f>
        <v>הכנסות  מלקוחות</v>
      </c>
      <c r="AQ4580" t="str">
        <f>"007"</f>
        <v>007</v>
      </c>
      <c r="AR4580">
        <v>0</v>
      </c>
      <c r="AS4580">
        <v>0</v>
      </c>
      <c r="AT4580">
        <v>3.8260000000000001</v>
      </c>
      <c r="AX4580" t="str">
        <f>"E000212490"</f>
        <v>E000212490</v>
      </c>
      <c r="BD4580" t="str">
        <f>"רוני דידי"</f>
        <v>רוני דידי</v>
      </c>
    </row>
    <row r="4581" spans="1:56" x14ac:dyDescent="0.3">
      <c r="A4581" s="1">
        <v>42459</v>
      </c>
      <c r="B4581" t="str">
        <f>"CR160000015"</f>
        <v>CR160000015</v>
      </c>
      <c r="C4581" t="str">
        <f>"PR14002337"</f>
        <v>PR14002337</v>
      </c>
      <c r="E4581" t="str">
        <f>"Y"</f>
        <v>Y</v>
      </c>
      <c r="F4581" t="str">
        <f>"חשבוניות זיכוי"</f>
        <v>חשבוניות זיכוי</v>
      </c>
      <c r="G4581" t="str">
        <f>"700065"</f>
        <v>700065</v>
      </c>
      <c r="H4581" t="str">
        <f>"אלתא מערכות בע""מ"</f>
        <v>אלתא מערכות בע"מ</v>
      </c>
      <c r="I4581" t="str">
        <f>"10"</f>
        <v>10</v>
      </c>
      <c r="J4581" t="str">
        <f>"999"</f>
        <v>999</v>
      </c>
      <c r="K4581" t="str">
        <f>"זיכוי לחשבונית 4767"</f>
        <v>זיכוי לחשבונית 4767</v>
      </c>
      <c r="L4581">
        <v>1</v>
      </c>
      <c r="M4581" t="str">
        <f>"חל"</f>
        <v>חל</v>
      </c>
      <c r="N4581">
        <v>1</v>
      </c>
      <c r="O4581" t="str">
        <f>"חל"</f>
        <v>חל</v>
      </c>
      <c r="P4581">
        <v>137</v>
      </c>
      <c r="Q4581" t="str">
        <f>"$"</f>
        <v>$</v>
      </c>
      <c r="R4581" t="str">
        <f>"ידני"</f>
        <v>ידני</v>
      </c>
      <c r="S4581">
        <v>0</v>
      </c>
      <c r="T4581">
        <v>137</v>
      </c>
      <c r="U4581">
        <v>0</v>
      </c>
      <c r="V4581">
        <v>137</v>
      </c>
      <c r="W4581" t="str">
        <f>"$"</f>
        <v>$</v>
      </c>
      <c r="X4581">
        <v>0</v>
      </c>
      <c r="Y4581">
        <v>0</v>
      </c>
      <c r="Z4581">
        <v>0</v>
      </c>
      <c r="AA4581" t="str">
        <f>"Y"</f>
        <v>Y</v>
      </c>
      <c r="AC4581">
        <v>0</v>
      </c>
      <c r="AM4581" t="str">
        <f>"10"</f>
        <v>10</v>
      </c>
      <c r="AN4581" t="str">
        <f>"500000"</f>
        <v>500000</v>
      </c>
      <c r="AO4581" t="str">
        <f>"הכנסות  מלקוחות"</f>
        <v>הכנסות  מלקוחות</v>
      </c>
      <c r="AR4581">
        <v>0</v>
      </c>
      <c r="AS4581">
        <v>0</v>
      </c>
      <c r="AT4581">
        <v>3.9550000000000001</v>
      </c>
    </row>
    <row r="4582" spans="1:56" x14ac:dyDescent="0.3">
      <c r="A4582" s="1">
        <v>42457</v>
      </c>
      <c r="B4582" t="str">
        <f>"SI160000319"</f>
        <v>SI160000319</v>
      </c>
      <c r="C4582" t="str">
        <f>"PR16000132"</f>
        <v>PR16000132</v>
      </c>
      <c r="E4582" t="str">
        <f>"Y"</f>
        <v>Y</v>
      </c>
      <c r="F4582" t="str">
        <f>"חשבוניות מרכזות"</f>
        <v>חשבוניות מרכזות</v>
      </c>
      <c r="G4582" t="str">
        <f>"700065"</f>
        <v>700065</v>
      </c>
      <c r="H4582" t="str">
        <f>"אלתא מערכות בע""מ"</f>
        <v>אלתא מערכות בע"מ</v>
      </c>
      <c r="I4582" t="str">
        <f>"10"</f>
        <v>10</v>
      </c>
      <c r="J4582" t="str">
        <f>"OP-AR00275"</f>
        <v>OP-AR00275</v>
      </c>
      <c r="K4582" t="str">
        <f>"ייצור מסד 5050G470-001 "" 19"</f>
        <v>ייצור מסד 5050G470-001 " 19</v>
      </c>
      <c r="L4582">
        <v>1</v>
      </c>
      <c r="M4582" t="str">
        <f>"יח"</f>
        <v>יח</v>
      </c>
      <c r="N4582">
        <v>1</v>
      </c>
      <c r="O4582" t="str">
        <f>"יח"</f>
        <v>יח</v>
      </c>
      <c r="P4582" s="2">
        <v>3150</v>
      </c>
      <c r="Q4582" t="str">
        <f>"$"</f>
        <v>$</v>
      </c>
      <c r="R4582" t="str">
        <f>"הזמנה"</f>
        <v>הזמנה</v>
      </c>
      <c r="S4582">
        <v>0</v>
      </c>
      <c r="T4582" s="2">
        <v>3150</v>
      </c>
      <c r="U4582">
        <v>0</v>
      </c>
      <c r="V4582" s="2">
        <v>3150</v>
      </c>
      <c r="W4582" t="str">
        <f>"$"</f>
        <v>$</v>
      </c>
      <c r="X4582">
        <v>0</v>
      </c>
      <c r="Y4582">
        <v>0</v>
      </c>
      <c r="Z4582">
        <v>0</v>
      </c>
      <c r="AA4582" t="str">
        <f>"Y"</f>
        <v>Y</v>
      </c>
      <c r="AB4582" t="str">
        <f>"SO160000116"</f>
        <v>SO160000116</v>
      </c>
      <c r="AC4582">
        <v>1</v>
      </c>
      <c r="AD4582" s="1">
        <v>42415</v>
      </c>
      <c r="AE4582" t="str">
        <f>"SH16000640"</f>
        <v>SH16000640</v>
      </c>
      <c r="AF4582" t="str">
        <f>"משלוחים ללקוח"</f>
        <v>משלוחים ללקוח</v>
      </c>
      <c r="AG4582" s="1">
        <v>42446</v>
      </c>
      <c r="AM4582" t="str">
        <f>"10"</f>
        <v>10</v>
      </c>
      <c r="AN4582" t="str">
        <f>"500000"</f>
        <v>500000</v>
      </c>
      <c r="AO4582" t="str">
        <f>"הכנסות  מלקוחות"</f>
        <v>הכנסות  מלקוחות</v>
      </c>
      <c r="AQ4582" t="str">
        <f>"004"</f>
        <v>004</v>
      </c>
      <c r="AR4582">
        <v>0</v>
      </c>
      <c r="AS4582">
        <v>0</v>
      </c>
      <c r="AT4582">
        <v>3.8420000000000001</v>
      </c>
      <c r="AX4582" t="str">
        <f>"E000211512"</f>
        <v>E000211512</v>
      </c>
      <c r="BD4582" t="str">
        <f>"איציק חדד"</f>
        <v>איציק חדד</v>
      </c>
    </row>
    <row r="4583" spans="1:56" x14ac:dyDescent="0.3">
      <c r="A4583" s="1">
        <v>42457</v>
      </c>
      <c r="B4583" t="str">
        <f>"SI160000319"</f>
        <v>SI160000319</v>
      </c>
      <c r="C4583" t="str">
        <f>"PR16000132"</f>
        <v>PR16000132</v>
      </c>
      <c r="E4583" t="str">
        <f>"Y"</f>
        <v>Y</v>
      </c>
      <c r="F4583" t="str">
        <f>"חשבוניות מרכזות"</f>
        <v>חשבוניות מרכזות</v>
      </c>
      <c r="G4583" t="str">
        <f>"700065"</f>
        <v>700065</v>
      </c>
      <c r="H4583" t="str">
        <f>"אלתא מערכות בע""מ"</f>
        <v>אלתא מערכות בע"מ</v>
      </c>
      <c r="I4583" t="str">
        <f>"10"</f>
        <v>10</v>
      </c>
      <c r="J4583" t="str">
        <f>"OP-AR00275"</f>
        <v>OP-AR00275</v>
      </c>
      <c r="K4583" t="str">
        <f>"ייצור מסד 5050G470-001 "" 19"</f>
        <v>ייצור מסד 5050G470-001 " 19</v>
      </c>
      <c r="L4583">
        <v>1</v>
      </c>
      <c r="M4583" t="str">
        <f>"יח"</f>
        <v>יח</v>
      </c>
      <c r="N4583">
        <v>1</v>
      </c>
      <c r="O4583" t="str">
        <f>"יח"</f>
        <v>יח</v>
      </c>
      <c r="P4583" s="2">
        <v>3150</v>
      </c>
      <c r="Q4583" t="str">
        <f>"$"</f>
        <v>$</v>
      </c>
      <c r="R4583" t="str">
        <f>"הזמנה"</f>
        <v>הזמנה</v>
      </c>
      <c r="S4583">
        <v>0</v>
      </c>
      <c r="T4583" s="2">
        <v>3150</v>
      </c>
      <c r="U4583">
        <v>0</v>
      </c>
      <c r="V4583" s="2">
        <v>3150</v>
      </c>
      <c r="W4583" t="str">
        <f>"$"</f>
        <v>$</v>
      </c>
      <c r="X4583">
        <v>0</v>
      </c>
      <c r="Y4583">
        <v>0</v>
      </c>
      <c r="Z4583">
        <v>0</v>
      </c>
      <c r="AA4583" t="str">
        <f>"Y"</f>
        <v>Y</v>
      </c>
      <c r="AB4583" t="str">
        <f>"SO160000116"</f>
        <v>SO160000116</v>
      </c>
      <c r="AC4583">
        <v>2</v>
      </c>
      <c r="AD4583" s="1">
        <v>42415</v>
      </c>
      <c r="AE4583" t="str">
        <f>"SH16000640"</f>
        <v>SH16000640</v>
      </c>
      <c r="AF4583" t="str">
        <f>"משלוחים ללקוח"</f>
        <v>משלוחים ללקוח</v>
      </c>
      <c r="AG4583" s="1">
        <v>42446</v>
      </c>
      <c r="AM4583" t="str">
        <f>"10"</f>
        <v>10</v>
      </c>
      <c r="AN4583" t="str">
        <f>"500000"</f>
        <v>500000</v>
      </c>
      <c r="AO4583" t="str">
        <f>"הכנסות  מלקוחות"</f>
        <v>הכנסות  מלקוחות</v>
      </c>
      <c r="AQ4583" t="str">
        <f>"004"</f>
        <v>004</v>
      </c>
      <c r="AR4583">
        <v>0</v>
      </c>
      <c r="AS4583">
        <v>0</v>
      </c>
      <c r="AT4583">
        <v>3.8420000000000001</v>
      </c>
      <c r="AX4583" t="str">
        <f>"E000211512"</f>
        <v>E000211512</v>
      </c>
      <c r="BD4583" t="str">
        <f>"איציק חדד"</f>
        <v>איציק חדד</v>
      </c>
    </row>
    <row r="4584" spans="1:56" x14ac:dyDescent="0.3">
      <c r="A4584" s="1">
        <v>42457</v>
      </c>
      <c r="B4584" t="str">
        <f>"SI160000319"</f>
        <v>SI160000319</v>
      </c>
      <c r="C4584" t="str">
        <f>"PR16000132"</f>
        <v>PR16000132</v>
      </c>
      <c r="E4584" t="str">
        <f>"Y"</f>
        <v>Y</v>
      </c>
      <c r="F4584" t="str">
        <f>"חשבוניות מרכזות"</f>
        <v>חשבוניות מרכזות</v>
      </c>
      <c r="G4584" t="str">
        <f>"700065"</f>
        <v>700065</v>
      </c>
      <c r="H4584" t="str">
        <f>"אלתא מערכות בע""מ"</f>
        <v>אלתא מערכות בע"מ</v>
      </c>
      <c r="I4584" t="str">
        <f>"10"</f>
        <v>10</v>
      </c>
      <c r="J4584" t="str">
        <f>"OP-AR00275"</f>
        <v>OP-AR00275</v>
      </c>
      <c r="K4584" t="str">
        <f>"ייצור מסד 5050G470-001 "" 19"</f>
        <v>ייצור מסד 5050G470-001 " 19</v>
      </c>
      <c r="L4584">
        <v>1</v>
      </c>
      <c r="M4584" t="str">
        <f>"יח"</f>
        <v>יח</v>
      </c>
      <c r="N4584">
        <v>1</v>
      </c>
      <c r="O4584" t="str">
        <f>"יח"</f>
        <v>יח</v>
      </c>
      <c r="P4584" s="2">
        <v>3150</v>
      </c>
      <c r="Q4584" t="str">
        <f>"$"</f>
        <v>$</v>
      </c>
      <c r="R4584" t="str">
        <f>"הזמנה"</f>
        <v>הזמנה</v>
      </c>
      <c r="S4584">
        <v>0</v>
      </c>
      <c r="T4584" s="2">
        <v>3150</v>
      </c>
      <c r="U4584">
        <v>0</v>
      </c>
      <c r="V4584" s="2">
        <v>3150</v>
      </c>
      <c r="W4584" t="str">
        <f>"$"</f>
        <v>$</v>
      </c>
      <c r="X4584">
        <v>0</v>
      </c>
      <c r="Y4584">
        <v>0</v>
      </c>
      <c r="Z4584">
        <v>0</v>
      </c>
      <c r="AA4584" t="str">
        <f>"Y"</f>
        <v>Y</v>
      </c>
      <c r="AB4584" t="str">
        <f>"SO160000116"</f>
        <v>SO160000116</v>
      </c>
      <c r="AC4584">
        <v>3</v>
      </c>
      <c r="AD4584" s="1">
        <v>42415</v>
      </c>
      <c r="AE4584" t="str">
        <f>"SH16000640"</f>
        <v>SH16000640</v>
      </c>
      <c r="AF4584" t="str">
        <f>"משלוחים ללקוח"</f>
        <v>משלוחים ללקוח</v>
      </c>
      <c r="AG4584" s="1">
        <v>42446</v>
      </c>
      <c r="AM4584" t="str">
        <f>"10"</f>
        <v>10</v>
      </c>
      <c r="AN4584" t="str">
        <f>"500000"</f>
        <v>500000</v>
      </c>
      <c r="AO4584" t="str">
        <f>"הכנסות  מלקוחות"</f>
        <v>הכנסות  מלקוחות</v>
      </c>
      <c r="AQ4584" t="str">
        <f>"004"</f>
        <v>004</v>
      </c>
      <c r="AR4584">
        <v>0</v>
      </c>
      <c r="AS4584">
        <v>0</v>
      </c>
      <c r="AT4584">
        <v>3.8420000000000001</v>
      </c>
      <c r="AX4584" t="str">
        <f>"E000211512"</f>
        <v>E000211512</v>
      </c>
      <c r="BD4584" t="str">
        <f>"איציק חדד"</f>
        <v>איציק חדד</v>
      </c>
    </row>
    <row r="4585" spans="1:56" x14ac:dyDescent="0.3">
      <c r="A4585" s="1">
        <v>42456</v>
      </c>
      <c r="B4585" t="str">
        <f>"SI160000314"</f>
        <v>SI160000314</v>
      </c>
      <c r="C4585" t="str">
        <f>"PR16000132"</f>
        <v>PR16000132</v>
      </c>
      <c r="E4585" t="str">
        <f>"Y"</f>
        <v>Y</v>
      </c>
      <c r="F4585" t="str">
        <f>"חשבוניות מרכזות"</f>
        <v>חשבוניות מרכזות</v>
      </c>
      <c r="G4585" t="str">
        <f>"700065"</f>
        <v>700065</v>
      </c>
      <c r="H4585" t="str">
        <f>"אלתא מערכות בע""מ"</f>
        <v>אלתא מערכות בע"מ</v>
      </c>
      <c r="I4585" t="str">
        <f>"10"</f>
        <v>10</v>
      </c>
      <c r="J4585" t="str">
        <f>"OP-AR00275"</f>
        <v>OP-AR00275</v>
      </c>
      <c r="K4585" t="str">
        <f>"ייצור מסד 5050G470-001 "" 19"</f>
        <v>ייצור מסד 5050G470-001 " 19</v>
      </c>
      <c r="L4585">
        <v>1</v>
      </c>
      <c r="M4585" t="str">
        <f>"יח"</f>
        <v>יח</v>
      </c>
      <c r="N4585">
        <v>1</v>
      </c>
      <c r="O4585" t="str">
        <f>"יח"</f>
        <v>יח</v>
      </c>
      <c r="P4585" s="2">
        <v>3150</v>
      </c>
      <c r="Q4585" t="str">
        <f>"$"</f>
        <v>$</v>
      </c>
      <c r="R4585" t="str">
        <f>"הזמנה"</f>
        <v>הזמנה</v>
      </c>
      <c r="S4585">
        <v>0</v>
      </c>
      <c r="T4585" s="2">
        <v>3150</v>
      </c>
      <c r="U4585">
        <v>0</v>
      </c>
      <c r="V4585" s="2">
        <v>3150</v>
      </c>
      <c r="W4585" t="str">
        <f>"$"</f>
        <v>$</v>
      </c>
      <c r="X4585">
        <v>0</v>
      </c>
      <c r="Y4585">
        <v>0</v>
      </c>
      <c r="Z4585">
        <v>0</v>
      </c>
      <c r="AA4585" t="str">
        <f>"Y"</f>
        <v>Y</v>
      </c>
      <c r="AB4585" t="str">
        <f>"SO160000116"</f>
        <v>SO160000116</v>
      </c>
      <c r="AC4585">
        <v>4</v>
      </c>
      <c r="AD4585" s="1">
        <v>42415</v>
      </c>
      <c r="AE4585" t="str">
        <f>"SH16000686"</f>
        <v>SH16000686</v>
      </c>
      <c r="AF4585" t="str">
        <f>"משלוחים ללקוח"</f>
        <v>משלוחים ללקוח</v>
      </c>
      <c r="AG4585" s="1">
        <v>42452</v>
      </c>
      <c r="AM4585" t="str">
        <f>"10"</f>
        <v>10</v>
      </c>
      <c r="AN4585" t="str">
        <f>"500000"</f>
        <v>500000</v>
      </c>
      <c r="AO4585" t="str">
        <f>"הכנסות  מלקוחות"</f>
        <v>הכנסות  מלקוחות</v>
      </c>
      <c r="AQ4585" t="str">
        <f>"004"</f>
        <v>004</v>
      </c>
      <c r="AR4585">
        <v>0</v>
      </c>
      <c r="AS4585">
        <v>0</v>
      </c>
      <c r="AT4585">
        <v>3.8420000000000001</v>
      </c>
      <c r="AX4585" t="str">
        <f>"E000211512"</f>
        <v>E000211512</v>
      </c>
      <c r="BD4585" t="str">
        <f>"איציק חדד"</f>
        <v>איציק חדד</v>
      </c>
    </row>
    <row r="4586" spans="1:56" x14ac:dyDescent="0.3">
      <c r="A4586" s="1">
        <v>42443</v>
      </c>
      <c r="B4586" t="str">
        <f>"SI160000293"</f>
        <v>SI160000293</v>
      </c>
      <c r="C4586" t="str">
        <f>"PR15003455"</f>
        <v>PR15003455</v>
      </c>
      <c r="D4586" t="str">
        <f>"PR15003455"</f>
        <v>PR15003455</v>
      </c>
      <c r="E4586" t="str">
        <f>"Y"</f>
        <v>Y</v>
      </c>
      <c r="F4586" t="str">
        <f>"חשבוניות מרכזות"</f>
        <v>חשבוניות מרכזות</v>
      </c>
      <c r="G4586" t="str">
        <f>"700065"</f>
        <v>700065</v>
      </c>
      <c r="H4586" t="str">
        <f>"אלתא מערכות בע""מ"</f>
        <v>אלתא מערכות בע"מ</v>
      </c>
      <c r="I4586" t="str">
        <f>"10"</f>
        <v>10</v>
      </c>
      <c r="J4586" t="str">
        <f>"OP-AR00236"</f>
        <v>OP-AR00236</v>
      </c>
      <c r="K4586" t="str">
        <f>"ייצור OTS PDU"</f>
        <v>ייצור OTS PDU</v>
      </c>
      <c r="L4586">
        <v>2</v>
      </c>
      <c r="M4586" t="str">
        <f>"יח"</f>
        <v>יח</v>
      </c>
      <c r="N4586">
        <v>2</v>
      </c>
      <c r="O4586" t="str">
        <f>"יח"</f>
        <v>יח</v>
      </c>
      <c r="P4586" s="2">
        <v>5835</v>
      </c>
      <c r="Q4586" t="str">
        <f>"$"</f>
        <v>$</v>
      </c>
      <c r="R4586" t="str">
        <f>"הזמנה"</f>
        <v>הזמנה</v>
      </c>
      <c r="S4586">
        <v>0</v>
      </c>
      <c r="T4586" s="2">
        <v>11670</v>
      </c>
      <c r="U4586">
        <v>0</v>
      </c>
      <c r="V4586" s="2">
        <v>11670</v>
      </c>
      <c r="W4586" t="str">
        <f>"$"</f>
        <v>$</v>
      </c>
      <c r="X4586">
        <v>0</v>
      </c>
      <c r="Y4586">
        <v>0</v>
      </c>
      <c r="Z4586">
        <v>0</v>
      </c>
      <c r="AA4586" t="str">
        <f>"Y"</f>
        <v>Y</v>
      </c>
      <c r="AB4586" t="str">
        <f>"SO150003923"</f>
        <v>SO150003923</v>
      </c>
      <c r="AC4586">
        <v>1</v>
      </c>
      <c r="AD4586" s="1">
        <v>42334</v>
      </c>
      <c r="AE4586" t="str">
        <f>"SH16000602"</f>
        <v>SH16000602</v>
      </c>
      <c r="AF4586" t="str">
        <f>"משלוחים ללקוח"</f>
        <v>משלוחים ללקוח</v>
      </c>
      <c r="AG4586" s="1">
        <v>42442</v>
      </c>
      <c r="AM4586" t="str">
        <f>"10"</f>
        <v>10</v>
      </c>
      <c r="AN4586" t="str">
        <f>"500000"</f>
        <v>500000</v>
      </c>
      <c r="AO4586" t="str">
        <f>"הכנסות  מלקוחות"</f>
        <v>הכנסות  מלקוחות</v>
      </c>
      <c r="AQ4586" t="str">
        <f>"007"</f>
        <v>007</v>
      </c>
      <c r="AR4586">
        <v>0</v>
      </c>
      <c r="AS4586">
        <v>0</v>
      </c>
      <c r="AT4586">
        <v>3.8780000000000001</v>
      </c>
      <c r="AX4586" t="str">
        <f>"E000207882"</f>
        <v>E000207882</v>
      </c>
      <c r="BD4586" t="str">
        <f>"רוני דידי"</f>
        <v>רוני דידי</v>
      </c>
    </row>
    <row r="4587" spans="1:56" x14ac:dyDescent="0.3">
      <c r="A4587" s="1">
        <v>42443</v>
      </c>
      <c r="B4587" t="str">
        <f>"SI160000292"</f>
        <v>SI160000292</v>
      </c>
      <c r="C4587" t="str">
        <f>"PR15003361"</f>
        <v>PR15003361</v>
      </c>
      <c r="E4587" t="str">
        <f>"Y"</f>
        <v>Y</v>
      </c>
      <c r="F4587" t="str">
        <f>"חשבוניות מרכזות"</f>
        <v>חשבוניות מרכזות</v>
      </c>
      <c r="G4587" t="str">
        <f>"700065"</f>
        <v>700065</v>
      </c>
      <c r="H4587" t="str">
        <f>"אלתא מערכות בע""מ"</f>
        <v>אלתא מערכות בע"מ</v>
      </c>
      <c r="I4587" t="str">
        <f>"10"</f>
        <v>10</v>
      </c>
      <c r="J4587" t="str">
        <f>"OP-PS00062"</f>
        <v>OP-PS00062</v>
      </c>
      <c r="K4587" t="str">
        <f>"MODULAR UPS 6U 7.5KVA 5MIN"</f>
        <v>MODULAR UPS 6U 7.5KVA 5MIN</v>
      </c>
      <c r="L4587">
        <v>2</v>
      </c>
      <c r="M4587" t="str">
        <f>"יח"</f>
        <v>יח</v>
      </c>
      <c r="N4587">
        <v>2</v>
      </c>
      <c r="O4587" t="str">
        <f>"יח"</f>
        <v>יח</v>
      </c>
      <c r="P4587" s="2">
        <v>14332.5</v>
      </c>
      <c r="Q4587" t="str">
        <f>"$"</f>
        <v>$</v>
      </c>
      <c r="R4587" t="str">
        <f>"הזמנה"</f>
        <v>הזמנה</v>
      </c>
      <c r="S4587">
        <v>0</v>
      </c>
      <c r="T4587" s="2">
        <v>28665</v>
      </c>
      <c r="U4587">
        <v>0</v>
      </c>
      <c r="V4587" s="2">
        <v>28665</v>
      </c>
      <c r="W4587" t="str">
        <f>"$"</f>
        <v>$</v>
      </c>
      <c r="X4587">
        <v>0</v>
      </c>
      <c r="Y4587">
        <v>0</v>
      </c>
      <c r="Z4587">
        <v>0</v>
      </c>
      <c r="AA4587" t="str">
        <f>"Y"</f>
        <v>Y</v>
      </c>
      <c r="AB4587" t="str">
        <f>"SO150003866"</f>
        <v>SO150003866</v>
      </c>
      <c r="AC4587">
        <v>3</v>
      </c>
      <c r="AD4587" s="1">
        <v>42323</v>
      </c>
      <c r="AE4587" t="str">
        <f>"SH16000601"</f>
        <v>SH16000601</v>
      </c>
      <c r="AF4587" t="str">
        <f>"משלוחים ללקוח"</f>
        <v>משלוחים ללקוח</v>
      </c>
      <c r="AG4587" s="1">
        <v>42442</v>
      </c>
      <c r="AM4587" t="str">
        <f>"10"</f>
        <v>10</v>
      </c>
      <c r="AN4587" t="str">
        <f>"500000"</f>
        <v>500000</v>
      </c>
      <c r="AO4587" t="str">
        <f>"הכנסות  מלקוחות"</f>
        <v>הכנסות  מלקוחות</v>
      </c>
      <c r="AQ4587" t="str">
        <f>"007"</f>
        <v>007</v>
      </c>
      <c r="AR4587">
        <v>0</v>
      </c>
      <c r="AS4587">
        <v>0</v>
      </c>
      <c r="AT4587">
        <v>3.8780000000000001</v>
      </c>
      <c r="AX4587" t="str">
        <f>"E000206100"</f>
        <v>E000206100</v>
      </c>
      <c r="BD4587" t="str">
        <f>"רוני דידי"</f>
        <v>רוני דידי</v>
      </c>
    </row>
    <row r="4588" spans="1:56" x14ac:dyDescent="0.3">
      <c r="A4588" s="1">
        <v>42443</v>
      </c>
      <c r="B4588" t="str">
        <f>"SI160000291"</f>
        <v>SI160000291</v>
      </c>
      <c r="C4588" t="str">
        <f>"PR15003361"</f>
        <v>PR15003361</v>
      </c>
      <c r="E4588" t="str">
        <f>"Y"</f>
        <v>Y</v>
      </c>
      <c r="F4588" t="str">
        <f>"חשבוניות מרכזות"</f>
        <v>חשבוניות מרכזות</v>
      </c>
      <c r="G4588" t="str">
        <f>"700065"</f>
        <v>700065</v>
      </c>
      <c r="H4588" t="str">
        <f>"אלתא מערכות בע""מ"</f>
        <v>אלתא מערכות בע"מ</v>
      </c>
      <c r="I4588" t="str">
        <f>"10"</f>
        <v>10</v>
      </c>
      <c r="J4588" t="str">
        <f>"OP-PS00062"</f>
        <v>OP-PS00062</v>
      </c>
      <c r="K4588" t="str">
        <f>"MODULAR UPS 6U 7.5KVA 5MIN"</f>
        <v>MODULAR UPS 6U 7.5KVA 5MIN</v>
      </c>
      <c r="L4588">
        <v>-2</v>
      </c>
      <c r="M4588" t="str">
        <f>"יח"</f>
        <v>יח</v>
      </c>
      <c r="N4588">
        <v>-2</v>
      </c>
      <c r="O4588" t="str">
        <f>"יח"</f>
        <v>יח</v>
      </c>
      <c r="P4588" s="2">
        <v>14332.5</v>
      </c>
      <c r="Q4588" t="str">
        <f>"$"</f>
        <v>$</v>
      </c>
      <c r="R4588" t="str">
        <f>"הזמנה"</f>
        <v>הזמנה</v>
      </c>
      <c r="S4588">
        <v>0</v>
      </c>
      <c r="T4588" s="2">
        <v>-28665</v>
      </c>
      <c r="U4588">
        <v>0</v>
      </c>
      <c r="V4588" s="2">
        <v>-28665</v>
      </c>
      <c r="W4588" t="str">
        <f>"$"</f>
        <v>$</v>
      </c>
      <c r="X4588">
        <v>0</v>
      </c>
      <c r="Y4588">
        <v>0</v>
      </c>
      <c r="Z4588">
        <v>0</v>
      </c>
      <c r="AA4588" t="str">
        <f>"Y"</f>
        <v>Y</v>
      </c>
      <c r="AC4588">
        <v>0</v>
      </c>
      <c r="AM4588" t="str">
        <f>"10"</f>
        <v>10</v>
      </c>
      <c r="AN4588" t="str">
        <f>"500000"</f>
        <v>500000</v>
      </c>
      <c r="AO4588" t="str">
        <f>"הכנסות  מלקוחות"</f>
        <v>הכנסות  מלקוחות</v>
      </c>
      <c r="AQ4588" t="str">
        <f>"007"</f>
        <v>007</v>
      </c>
      <c r="AR4588">
        <v>0</v>
      </c>
      <c r="AS4588">
        <v>0</v>
      </c>
      <c r="AT4588">
        <v>3.875</v>
      </c>
      <c r="BB4588" t="str">
        <f>"Y"</f>
        <v>Y</v>
      </c>
      <c r="BD4588" t="str">
        <f>"רוני דידי"</f>
        <v>רוני דידי</v>
      </c>
    </row>
    <row r="4589" spans="1:56" x14ac:dyDescent="0.3">
      <c r="A4589" s="1">
        <v>42443</v>
      </c>
      <c r="B4589" t="str">
        <f>"SI160000290"</f>
        <v>SI160000290</v>
      </c>
      <c r="C4589" t="str">
        <f>"PR15003455"</f>
        <v>PR15003455</v>
      </c>
      <c r="E4589" t="str">
        <f>"Y"</f>
        <v>Y</v>
      </c>
      <c r="F4589" t="str">
        <f>"חשבוניות מרכזות"</f>
        <v>חשבוניות מרכזות</v>
      </c>
      <c r="G4589" t="str">
        <f>"700065"</f>
        <v>700065</v>
      </c>
      <c r="H4589" t="str">
        <f>"אלתא מערכות בע""מ"</f>
        <v>אלתא מערכות בע"מ</v>
      </c>
      <c r="I4589" t="str">
        <f>"10"</f>
        <v>10</v>
      </c>
      <c r="J4589" t="str">
        <f>"OP-AR00236"</f>
        <v>OP-AR00236</v>
      </c>
      <c r="K4589" t="str">
        <f>"ייצור OTS PDU"</f>
        <v>ייצור OTS PDU</v>
      </c>
      <c r="L4589">
        <v>-2</v>
      </c>
      <c r="M4589" t="str">
        <f>"יח"</f>
        <v>יח</v>
      </c>
      <c r="N4589">
        <v>-2</v>
      </c>
      <c r="O4589" t="str">
        <f>"יח"</f>
        <v>יח</v>
      </c>
      <c r="P4589" s="2">
        <v>5835</v>
      </c>
      <c r="Q4589" t="str">
        <f>"$"</f>
        <v>$</v>
      </c>
      <c r="R4589" t="str">
        <f>"הזמנה"</f>
        <v>הזמנה</v>
      </c>
      <c r="S4589">
        <v>0</v>
      </c>
      <c r="T4589" s="2">
        <v>-11670</v>
      </c>
      <c r="U4589">
        <v>0</v>
      </c>
      <c r="V4589" s="2">
        <v>-11670</v>
      </c>
      <c r="W4589" t="str">
        <f>"$"</f>
        <v>$</v>
      </c>
      <c r="X4589">
        <v>0</v>
      </c>
      <c r="Y4589">
        <v>0</v>
      </c>
      <c r="Z4589">
        <v>0</v>
      </c>
      <c r="AA4589" t="str">
        <f>"Y"</f>
        <v>Y</v>
      </c>
      <c r="AC4589">
        <v>0</v>
      </c>
      <c r="AM4589" t="str">
        <f>"10"</f>
        <v>10</v>
      </c>
      <c r="AN4589" t="str">
        <f>"500000"</f>
        <v>500000</v>
      </c>
      <c r="AO4589" t="str">
        <f>"הכנסות  מלקוחות"</f>
        <v>הכנסות  מלקוחות</v>
      </c>
      <c r="AQ4589" t="str">
        <f>"007"</f>
        <v>007</v>
      </c>
      <c r="AR4589">
        <v>0</v>
      </c>
      <c r="AS4589">
        <v>0</v>
      </c>
      <c r="AT4589">
        <v>3.875</v>
      </c>
      <c r="BB4589" t="str">
        <f>"Y"</f>
        <v>Y</v>
      </c>
      <c r="BD4589" t="str">
        <f>"רוני דידי"</f>
        <v>רוני דידי</v>
      </c>
    </row>
    <row r="4590" spans="1:56" x14ac:dyDescent="0.3">
      <c r="A4590" s="1">
        <v>42443</v>
      </c>
      <c r="B4590" t="str">
        <f>"SI160000278"</f>
        <v>SI160000278</v>
      </c>
      <c r="C4590" t="str">
        <f>"PR15003455"</f>
        <v>PR15003455</v>
      </c>
      <c r="E4590" t="str">
        <f>"Y"</f>
        <v>Y</v>
      </c>
      <c r="F4590" t="str">
        <f>"חשבוניות מרכזות"</f>
        <v>חשבוניות מרכזות</v>
      </c>
      <c r="G4590" t="str">
        <f>"700065"</f>
        <v>700065</v>
      </c>
      <c r="H4590" t="str">
        <f>"אלתא מערכות בע""מ"</f>
        <v>אלתא מערכות בע"מ</v>
      </c>
      <c r="I4590" t="str">
        <f>"10"</f>
        <v>10</v>
      </c>
      <c r="J4590" t="str">
        <f>"OP-AR00236"</f>
        <v>OP-AR00236</v>
      </c>
      <c r="K4590" t="str">
        <f>"ייצור OTS PDU"</f>
        <v>ייצור OTS PDU</v>
      </c>
      <c r="L4590">
        <v>2</v>
      </c>
      <c r="M4590" t="str">
        <f>"יח"</f>
        <v>יח</v>
      </c>
      <c r="N4590">
        <v>2</v>
      </c>
      <c r="O4590" t="str">
        <f>"יח"</f>
        <v>יח</v>
      </c>
      <c r="P4590" s="2">
        <v>5835</v>
      </c>
      <c r="Q4590" t="str">
        <f>"$"</f>
        <v>$</v>
      </c>
      <c r="R4590" t="str">
        <f>"הזמנה"</f>
        <v>הזמנה</v>
      </c>
      <c r="S4590">
        <v>0</v>
      </c>
      <c r="T4590" s="2">
        <v>11670</v>
      </c>
      <c r="U4590">
        <v>0</v>
      </c>
      <c r="V4590" s="2">
        <v>11670</v>
      </c>
      <c r="W4590" t="str">
        <f>"$"</f>
        <v>$</v>
      </c>
      <c r="X4590">
        <v>0</v>
      </c>
      <c r="Y4590">
        <v>0</v>
      </c>
      <c r="Z4590">
        <v>0</v>
      </c>
      <c r="AA4590" t="str">
        <f>"Y"</f>
        <v>Y</v>
      </c>
      <c r="AC4590">
        <v>0</v>
      </c>
      <c r="AM4590" t="str">
        <f>"10"</f>
        <v>10</v>
      </c>
      <c r="AN4590" t="str">
        <f>"500000"</f>
        <v>500000</v>
      </c>
      <c r="AO4590" t="str">
        <f>"הכנסות  מלקוחות"</f>
        <v>הכנסות  מלקוחות</v>
      </c>
      <c r="AQ4590" t="str">
        <f>"007"</f>
        <v>007</v>
      </c>
      <c r="AR4590">
        <v>0</v>
      </c>
      <c r="AS4590">
        <v>0</v>
      </c>
      <c r="AT4590">
        <v>3.875</v>
      </c>
      <c r="BB4590" t="str">
        <f>"Y"</f>
        <v>Y</v>
      </c>
      <c r="BD4590" t="str">
        <f>"רוני דידי"</f>
        <v>רוני דידי</v>
      </c>
    </row>
    <row r="4591" spans="1:56" x14ac:dyDescent="0.3">
      <c r="A4591" s="1">
        <v>42443</v>
      </c>
      <c r="B4591" t="str">
        <f>"SI160000277"</f>
        <v>SI160000277</v>
      </c>
      <c r="C4591" t="str">
        <f>"PR15003361"</f>
        <v>PR15003361</v>
      </c>
      <c r="E4591" t="str">
        <f>"Y"</f>
        <v>Y</v>
      </c>
      <c r="F4591" t="str">
        <f>"חשבוניות מרכזות"</f>
        <v>חשבוניות מרכזות</v>
      </c>
      <c r="G4591" t="str">
        <f>"700065"</f>
        <v>700065</v>
      </c>
      <c r="H4591" t="str">
        <f>"אלתא מערכות בע""מ"</f>
        <v>אלתא מערכות בע"מ</v>
      </c>
      <c r="I4591" t="str">
        <f>"10"</f>
        <v>10</v>
      </c>
      <c r="J4591" t="str">
        <f>"OP-PS00062"</f>
        <v>OP-PS00062</v>
      </c>
      <c r="K4591" t="str">
        <f>"MODULAR UPS 6U 7.5KVA 5MIN"</f>
        <v>MODULAR UPS 6U 7.5KVA 5MIN</v>
      </c>
      <c r="L4591">
        <v>2</v>
      </c>
      <c r="M4591" t="str">
        <f>"יח"</f>
        <v>יח</v>
      </c>
      <c r="N4591">
        <v>2</v>
      </c>
      <c r="O4591" t="str">
        <f>"יח"</f>
        <v>יח</v>
      </c>
      <c r="P4591" s="2">
        <v>14332.5</v>
      </c>
      <c r="Q4591" t="str">
        <f>"$"</f>
        <v>$</v>
      </c>
      <c r="R4591" t="str">
        <f>"הזמנה"</f>
        <v>הזמנה</v>
      </c>
      <c r="S4591">
        <v>0</v>
      </c>
      <c r="T4591" s="2">
        <v>28665</v>
      </c>
      <c r="U4591">
        <v>0</v>
      </c>
      <c r="V4591" s="2">
        <v>28665</v>
      </c>
      <c r="W4591" t="str">
        <f>"$"</f>
        <v>$</v>
      </c>
      <c r="X4591">
        <v>0</v>
      </c>
      <c r="Y4591">
        <v>0</v>
      </c>
      <c r="Z4591">
        <v>0</v>
      </c>
      <c r="AA4591" t="str">
        <f>"Y"</f>
        <v>Y</v>
      </c>
      <c r="AC4591">
        <v>0</v>
      </c>
      <c r="AM4591" t="str">
        <f>"10"</f>
        <v>10</v>
      </c>
      <c r="AN4591" t="str">
        <f>"500000"</f>
        <v>500000</v>
      </c>
      <c r="AO4591" t="str">
        <f>"הכנסות  מלקוחות"</f>
        <v>הכנסות  מלקוחות</v>
      </c>
      <c r="AQ4591" t="str">
        <f>"007"</f>
        <v>007</v>
      </c>
      <c r="AR4591">
        <v>0</v>
      </c>
      <c r="AS4591">
        <v>0</v>
      </c>
      <c r="AT4591">
        <v>3.875</v>
      </c>
      <c r="BB4591" t="str">
        <f>"Y"</f>
        <v>Y</v>
      </c>
      <c r="BD4591" t="str">
        <f>"רוני דידי"</f>
        <v>רוני דידי</v>
      </c>
    </row>
    <row r="4592" spans="1:56" x14ac:dyDescent="0.3">
      <c r="A4592" s="1">
        <v>42438</v>
      </c>
      <c r="B4592" t="str">
        <f>"SI160000264"</f>
        <v>SI160000264</v>
      </c>
      <c r="C4592" t="str">
        <f>"PR15003361"</f>
        <v>PR15003361</v>
      </c>
      <c r="E4592" t="str">
        <f>"Y"</f>
        <v>Y</v>
      </c>
      <c r="F4592" t="str">
        <f>"חשבוניות מרכזות"</f>
        <v>חשבוניות מרכזות</v>
      </c>
      <c r="G4592" t="str">
        <f>"700065"</f>
        <v>700065</v>
      </c>
      <c r="H4592" t="str">
        <f>"אלתא מערכות בע""מ"</f>
        <v>אלתא מערכות בע"מ</v>
      </c>
      <c r="I4592" t="str">
        <f>"10"</f>
        <v>10</v>
      </c>
      <c r="J4592" t="str">
        <f>"OP-PS00062"</f>
        <v>OP-PS00062</v>
      </c>
      <c r="K4592" t="str">
        <f>"MODULAR UPS 6U 7.5KVA 5MIN"</f>
        <v>MODULAR UPS 6U 7.5KVA 5MIN</v>
      </c>
      <c r="L4592">
        <v>1</v>
      </c>
      <c r="M4592" t="str">
        <f>"יח"</f>
        <v>יח</v>
      </c>
      <c r="N4592">
        <v>1</v>
      </c>
      <c r="O4592" t="str">
        <f>"יח"</f>
        <v>יח</v>
      </c>
      <c r="P4592" s="2">
        <v>14332.5</v>
      </c>
      <c r="Q4592" t="str">
        <f>"$"</f>
        <v>$</v>
      </c>
      <c r="R4592" t="str">
        <f>"הזמנה"</f>
        <v>הזמנה</v>
      </c>
      <c r="S4592">
        <v>0</v>
      </c>
      <c r="T4592" s="2">
        <v>14332.5</v>
      </c>
      <c r="U4592">
        <v>0</v>
      </c>
      <c r="V4592" s="2">
        <v>14332.5</v>
      </c>
      <c r="W4592" t="str">
        <f>"$"</f>
        <v>$</v>
      </c>
      <c r="X4592">
        <v>0</v>
      </c>
      <c r="Y4592">
        <v>0</v>
      </c>
      <c r="Z4592">
        <v>0</v>
      </c>
      <c r="AA4592" t="str">
        <f>"Y"</f>
        <v>Y</v>
      </c>
      <c r="AB4592" t="str">
        <f>"SO150003866"</f>
        <v>SO150003866</v>
      </c>
      <c r="AC4592">
        <v>2</v>
      </c>
      <c r="AD4592" s="1">
        <v>42323</v>
      </c>
      <c r="AE4592" t="str">
        <f>"SH16000544"</f>
        <v>SH16000544</v>
      </c>
      <c r="AF4592" t="str">
        <f>"משלוחים ללקוח"</f>
        <v>משלוחים ללקוח</v>
      </c>
      <c r="AG4592" s="1">
        <v>42436</v>
      </c>
      <c r="AM4592" t="str">
        <f>"10"</f>
        <v>10</v>
      </c>
      <c r="AN4592" t="str">
        <f>"500000"</f>
        <v>500000</v>
      </c>
      <c r="AO4592" t="str">
        <f>"הכנסות  מלקוחות"</f>
        <v>הכנסות  מלקוחות</v>
      </c>
      <c r="AQ4592" t="str">
        <f>"007"</f>
        <v>007</v>
      </c>
      <c r="AR4592">
        <v>0</v>
      </c>
      <c r="AS4592">
        <v>0</v>
      </c>
      <c r="AT4592">
        <v>3.911</v>
      </c>
      <c r="AX4592" t="str">
        <f>"E000206100"</f>
        <v>E000206100</v>
      </c>
      <c r="BD4592" t="str">
        <f>"רוני דידי"</f>
        <v>רוני דידי</v>
      </c>
    </row>
    <row r="4593" spans="1:56" x14ac:dyDescent="0.3">
      <c r="A4593" s="1">
        <v>42430</v>
      </c>
      <c r="B4593" t="str">
        <f>"SI160000414"</f>
        <v>SI160000414</v>
      </c>
      <c r="C4593" t="str">
        <f>"PR15003361"</f>
        <v>PR15003361</v>
      </c>
      <c r="E4593" t="str">
        <f>"Y"</f>
        <v>Y</v>
      </c>
      <c r="F4593" t="str">
        <f>"חשבוניות מרכזות"</f>
        <v>חשבוניות מרכזות</v>
      </c>
      <c r="G4593" t="str">
        <f>"700065"</f>
        <v>700065</v>
      </c>
      <c r="H4593" t="str">
        <f>"אלתא מערכות בע""מ"</f>
        <v>אלתא מערכות בע"מ</v>
      </c>
      <c r="I4593" t="str">
        <f>"10"</f>
        <v>10</v>
      </c>
      <c r="J4593" t="str">
        <f>"OP-PS00062"</f>
        <v>OP-PS00062</v>
      </c>
      <c r="K4593" t="str">
        <f>"MODULAR UPS 6U 7.5KVA 5MIN"</f>
        <v>MODULAR UPS 6U 7.5KVA 5MIN</v>
      </c>
      <c r="L4593">
        <v>1</v>
      </c>
      <c r="M4593" t="str">
        <f>"יח"</f>
        <v>יח</v>
      </c>
      <c r="N4593">
        <v>1</v>
      </c>
      <c r="O4593" t="str">
        <f>"יח"</f>
        <v>יח</v>
      </c>
      <c r="P4593" s="2">
        <v>14332.5</v>
      </c>
      <c r="Q4593" t="str">
        <f>"$"</f>
        <v>$</v>
      </c>
      <c r="R4593" t="str">
        <f>"הזמנה"</f>
        <v>הזמנה</v>
      </c>
      <c r="S4593">
        <v>0</v>
      </c>
      <c r="T4593" s="2">
        <v>14332.5</v>
      </c>
      <c r="U4593">
        <v>0</v>
      </c>
      <c r="V4593" s="2">
        <v>14332.5</v>
      </c>
      <c r="W4593" t="str">
        <f>"$"</f>
        <v>$</v>
      </c>
      <c r="X4593">
        <v>0</v>
      </c>
      <c r="Y4593">
        <v>0</v>
      </c>
      <c r="Z4593">
        <v>0</v>
      </c>
      <c r="AA4593" t="str">
        <f>"Y"</f>
        <v>Y</v>
      </c>
      <c r="AB4593" t="str">
        <f>"SO150003866"</f>
        <v>SO150003866</v>
      </c>
      <c r="AC4593">
        <v>1</v>
      </c>
      <c r="AD4593" s="1">
        <v>42323</v>
      </c>
      <c r="AE4593" t="str">
        <f>"SH16000319"</f>
        <v>SH16000319</v>
      </c>
      <c r="AF4593" t="str">
        <f>"משלוחים ללקוח"</f>
        <v>משלוחים ללקוח</v>
      </c>
      <c r="AG4593" s="1">
        <v>42415</v>
      </c>
      <c r="AM4593" t="str">
        <f>"10"</f>
        <v>10</v>
      </c>
      <c r="AN4593" t="str">
        <f>"500000"</f>
        <v>500000</v>
      </c>
      <c r="AO4593" t="str">
        <f>"הכנסות  מלקוחות"</f>
        <v>הכנסות  מלקוחות</v>
      </c>
      <c r="AQ4593" t="str">
        <f>"007"</f>
        <v>007</v>
      </c>
      <c r="AR4593">
        <v>0</v>
      </c>
      <c r="AS4593">
        <v>0</v>
      </c>
      <c r="AT4593">
        <v>3.9020000000000001</v>
      </c>
      <c r="AX4593" t="str">
        <f>"E000206100"</f>
        <v>E000206100</v>
      </c>
      <c r="BD4593" t="str">
        <f>"רוני דידי"</f>
        <v>רוני דידי</v>
      </c>
    </row>
    <row r="4594" spans="1:56" x14ac:dyDescent="0.3">
      <c r="A4594" s="1">
        <v>42416</v>
      </c>
      <c r="B4594" t="str">
        <f>"SI160000168"</f>
        <v>SI160000168</v>
      </c>
      <c r="C4594" t="str">
        <f>"PR15003361"</f>
        <v>PR15003361</v>
      </c>
      <c r="E4594" t="str">
        <f>"Y"</f>
        <v>Y</v>
      </c>
      <c r="F4594" t="str">
        <f>"חשבוניות מרכזות"</f>
        <v>חשבוניות מרכזות</v>
      </c>
      <c r="G4594" t="str">
        <f>"700065"</f>
        <v>700065</v>
      </c>
      <c r="H4594" t="str">
        <f>"אלתא מערכות בע""מ"</f>
        <v>אלתא מערכות בע"מ</v>
      </c>
      <c r="I4594" t="str">
        <f>"10"</f>
        <v>10</v>
      </c>
      <c r="J4594" t="str">
        <f>"OP-PS00062"</f>
        <v>OP-PS00062</v>
      </c>
      <c r="K4594" t="str">
        <f>"MODULAR UPS 6U 7.5KVA 5MIN"</f>
        <v>MODULAR UPS 6U 7.5KVA 5MIN</v>
      </c>
      <c r="L4594">
        <v>1</v>
      </c>
      <c r="M4594" t="str">
        <f>"יח"</f>
        <v>יח</v>
      </c>
      <c r="N4594">
        <v>1</v>
      </c>
      <c r="O4594" t="str">
        <f>"יח"</f>
        <v>יח</v>
      </c>
      <c r="P4594" s="2">
        <v>14332.5</v>
      </c>
      <c r="Q4594" t="str">
        <f>"$"</f>
        <v>$</v>
      </c>
      <c r="R4594" t="str">
        <f>"הזמנה"</f>
        <v>הזמנה</v>
      </c>
      <c r="S4594">
        <v>0</v>
      </c>
      <c r="T4594" s="2">
        <v>14332.5</v>
      </c>
      <c r="U4594">
        <v>0</v>
      </c>
      <c r="V4594" s="2">
        <v>14332.5</v>
      </c>
      <c r="W4594" t="str">
        <f>"$"</f>
        <v>$</v>
      </c>
      <c r="X4594">
        <v>0</v>
      </c>
      <c r="Y4594">
        <v>0</v>
      </c>
      <c r="Z4594">
        <v>0</v>
      </c>
      <c r="AA4594" t="str">
        <f>"Y"</f>
        <v>Y</v>
      </c>
      <c r="AC4594">
        <v>0</v>
      </c>
      <c r="AM4594" t="str">
        <f>"10"</f>
        <v>10</v>
      </c>
      <c r="AN4594" t="str">
        <f>"500000"</f>
        <v>500000</v>
      </c>
      <c r="AO4594" t="str">
        <f>"הכנסות  מלקוחות"</f>
        <v>הכנסות  מלקוחות</v>
      </c>
      <c r="AQ4594" t="str">
        <f>"007"</f>
        <v>007</v>
      </c>
      <c r="AR4594">
        <v>0</v>
      </c>
      <c r="AS4594">
        <v>0</v>
      </c>
      <c r="AT4594">
        <v>3.8889999999999998</v>
      </c>
      <c r="BB4594" t="str">
        <f>"Y"</f>
        <v>Y</v>
      </c>
      <c r="BD4594" t="str">
        <f>"רוני דידי"</f>
        <v>רוני דידי</v>
      </c>
    </row>
    <row r="4595" spans="1:56" x14ac:dyDescent="0.3">
      <c r="A4595" s="1">
        <v>42397</v>
      </c>
      <c r="B4595" t="str">
        <f>"SI160000083"</f>
        <v>SI160000083</v>
      </c>
      <c r="C4595" t="str">
        <f>"PR14001687"</f>
        <v>PR14001687</v>
      </c>
      <c r="E4595" t="str">
        <f>"Y"</f>
        <v>Y</v>
      </c>
      <c r="F4595" t="str">
        <f>"חשבוניות מרכזות"</f>
        <v>חשבוניות מרכזות</v>
      </c>
      <c r="G4595" t="str">
        <f>"700065"</f>
        <v>700065</v>
      </c>
      <c r="H4595" t="str">
        <f>"אלתא מערכות בע""מ"</f>
        <v>אלתא מערכות בע"מ</v>
      </c>
      <c r="I4595" t="str">
        <f>"10"</f>
        <v>10</v>
      </c>
      <c r="J4595" t="str">
        <f>"OP-AR00062"</f>
        <v>OP-AR00062</v>
      </c>
      <c r="K4595" t="str">
        <f>"מערכת SMV 4007W880-001"</f>
        <v>מערכת SMV 4007W880-001</v>
      </c>
      <c r="L4595">
        <v>1</v>
      </c>
      <c r="M4595" t="str">
        <f>"יח"</f>
        <v>יח</v>
      </c>
      <c r="N4595">
        <v>1</v>
      </c>
      <c r="O4595" t="str">
        <f>"יח"</f>
        <v>יח</v>
      </c>
      <c r="P4595" s="2">
        <v>36452.6</v>
      </c>
      <c r="Q4595" t="str">
        <f>"$"</f>
        <v>$</v>
      </c>
      <c r="R4595" t="str">
        <f>"הזמנה"</f>
        <v>הזמנה</v>
      </c>
      <c r="S4595">
        <v>0</v>
      </c>
      <c r="T4595" s="2">
        <v>36452.6</v>
      </c>
      <c r="U4595">
        <v>0</v>
      </c>
      <c r="V4595" s="2">
        <v>36452.6</v>
      </c>
      <c r="W4595" t="str">
        <f>"$"</f>
        <v>$</v>
      </c>
      <c r="X4595">
        <v>0</v>
      </c>
      <c r="Y4595">
        <v>0</v>
      </c>
      <c r="Z4595">
        <v>0</v>
      </c>
      <c r="AA4595" t="str">
        <f>"Y"</f>
        <v>Y</v>
      </c>
      <c r="AC4595">
        <v>0</v>
      </c>
      <c r="AM4595" t="str">
        <f>"10"</f>
        <v>10</v>
      </c>
      <c r="AN4595" t="str">
        <f>"500000"</f>
        <v>500000</v>
      </c>
      <c r="AO4595" t="str">
        <f>"הכנסות  מלקוחות"</f>
        <v>הכנסות  מלקוחות</v>
      </c>
      <c r="AQ4595" t="str">
        <f>"007"</f>
        <v>007</v>
      </c>
      <c r="AR4595">
        <v>0</v>
      </c>
      <c r="AS4595">
        <v>0</v>
      </c>
      <c r="AT4595">
        <v>3.972</v>
      </c>
      <c r="BB4595" t="str">
        <f>"Y"</f>
        <v>Y</v>
      </c>
      <c r="BD4595" t="str">
        <f>"רוני דידי"</f>
        <v>רוני דידי</v>
      </c>
    </row>
    <row r="4596" spans="1:56" x14ac:dyDescent="0.3">
      <c r="A4596" s="1">
        <v>42395</v>
      </c>
      <c r="B4596" t="str">
        <f>"SI160000067"</f>
        <v>SI160000067</v>
      </c>
      <c r="C4596" t="str">
        <f>"PR12000054"</f>
        <v>PR12000054</v>
      </c>
      <c r="D4596" t="str">
        <f>"PR12000054"</f>
        <v>PR12000054</v>
      </c>
      <c r="E4596" t="str">
        <f>"Y"</f>
        <v>Y</v>
      </c>
      <c r="F4596" t="str">
        <f>"חשבוניות מרכזות"</f>
        <v>חשבוניות מרכזות</v>
      </c>
      <c r="G4596" t="str">
        <f>"700065"</f>
        <v>700065</v>
      </c>
      <c r="H4596" t="str">
        <f>"אלתא מערכות בע""מ"</f>
        <v>אלתא מערכות בע"מ</v>
      </c>
      <c r="I4596" t="str">
        <f>"10"</f>
        <v>10</v>
      </c>
      <c r="J4596" t="str">
        <f>"OP-AR22457"</f>
        <v>OP-AR22457</v>
      </c>
      <c r="K4596" t="str">
        <f>"PDB CONNECTORS PINS"</f>
        <v>PDB CONNECTORS PINS</v>
      </c>
      <c r="L4596">
        <v>0.5</v>
      </c>
      <c r="M4596" t="str">
        <f>"חל"</f>
        <v>חל</v>
      </c>
      <c r="N4596">
        <v>0.5</v>
      </c>
      <c r="O4596" t="str">
        <f>"חל"</f>
        <v>חל</v>
      </c>
      <c r="P4596" s="2">
        <v>15411.4</v>
      </c>
      <c r="Q4596" t="str">
        <f>"$"</f>
        <v>$</v>
      </c>
      <c r="R4596" t="str">
        <f>"הזמנה"</f>
        <v>הזמנה</v>
      </c>
      <c r="S4596">
        <v>0</v>
      </c>
      <c r="T4596" s="2">
        <v>7705.7</v>
      </c>
      <c r="U4596">
        <v>0</v>
      </c>
      <c r="V4596" s="2">
        <v>7705.7</v>
      </c>
      <c r="W4596" t="str">
        <f>"$"</f>
        <v>$</v>
      </c>
      <c r="X4596">
        <v>0</v>
      </c>
      <c r="Y4596">
        <v>0</v>
      </c>
      <c r="Z4596">
        <v>0</v>
      </c>
      <c r="AA4596" t="str">
        <f>"Y"</f>
        <v>Y</v>
      </c>
      <c r="AB4596" t="str">
        <f>"SO12T000003"</f>
        <v>SO12T000003</v>
      </c>
      <c r="AC4596">
        <v>1</v>
      </c>
      <c r="AD4596" s="1">
        <v>41256</v>
      </c>
      <c r="AM4596" t="str">
        <f>"10"</f>
        <v>10</v>
      </c>
      <c r="AN4596" t="str">
        <f>"500000"</f>
        <v>500000</v>
      </c>
      <c r="AO4596" t="str">
        <f>"הכנסות  מלקוחות"</f>
        <v>הכנסות  מלקוחות</v>
      </c>
      <c r="AQ4596" t="str">
        <f>"007"</f>
        <v>007</v>
      </c>
      <c r="AR4596">
        <v>0</v>
      </c>
      <c r="AS4596">
        <v>0</v>
      </c>
      <c r="AT4596">
        <v>3.9820000000000002</v>
      </c>
      <c r="AX4596" t="str">
        <f>"E000121310"</f>
        <v>E000121310</v>
      </c>
      <c r="BD4596" t="str">
        <f>"רוני דידי"</f>
        <v>רוני דידי</v>
      </c>
    </row>
    <row r="4597" spans="1:56" x14ac:dyDescent="0.3">
      <c r="A4597" s="1">
        <v>42373</v>
      </c>
      <c r="B4597" t="str">
        <f>"SI160000018"</f>
        <v>SI160000018</v>
      </c>
      <c r="C4597" t="str">
        <f>"PR15002885"</f>
        <v>PR15002885</v>
      </c>
      <c r="D4597" t="str">
        <f>"PR15002885"</f>
        <v>PR15002885</v>
      </c>
      <c r="E4597" t="str">
        <f>"Y"</f>
        <v>Y</v>
      </c>
      <c r="F4597" t="str">
        <f>"חשבוניות מרכזות"</f>
        <v>חשבוניות מרכזות</v>
      </c>
      <c r="G4597" t="str">
        <f>"700065"</f>
        <v>700065</v>
      </c>
      <c r="H4597" t="str">
        <f>"אלתא מערכות בע""מ"</f>
        <v>אלתא מערכות בע"מ</v>
      </c>
      <c r="I4597" t="str">
        <f>"10"</f>
        <v>10</v>
      </c>
      <c r="J4597" t="str">
        <f>"000"</f>
        <v>000</v>
      </c>
      <c r="K4597" t="str">
        <f>"כבילה יעודית פנימית במבה"</f>
        <v>כבילה יעודית פנימית במבה</v>
      </c>
      <c r="L4597">
        <v>1</v>
      </c>
      <c r="M4597" t="str">
        <f>"יח"</f>
        <v>יח</v>
      </c>
      <c r="N4597">
        <v>1</v>
      </c>
      <c r="O4597" t="str">
        <f>"יח"</f>
        <v>יח</v>
      </c>
      <c r="P4597" s="2">
        <v>7000</v>
      </c>
      <c r="Q4597" t="str">
        <f>"$"</f>
        <v>$</v>
      </c>
      <c r="R4597" t="str">
        <f>"הזמנה"</f>
        <v>הזמנה</v>
      </c>
      <c r="S4597">
        <v>0</v>
      </c>
      <c r="T4597" s="2">
        <v>7000</v>
      </c>
      <c r="U4597">
        <v>0</v>
      </c>
      <c r="V4597" s="2">
        <v>7000</v>
      </c>
      <c r="W4597" t="str">
        <f>"$"</f>
        <v>$</v>
      </c>
      <c r="X4597">
        <v>0</v>
      </c>
      <c r="Y4597">
        <v>0</v>
      </c>
      <c r="Z4597">
        <v>0</v>
      </c>
      <c r="AA4597" t="str">
        <f>"Y"</f>
        <v>Y</v>
      </c>
      <c r="AB4597" t="str">
        <f>"SO150003652"</f>
        <v>SO150003652</v>
      </c>
      <c r="AC4597">
        <v>4</v>
      </c>
      <c r="AD4597" s="1">
        <v>42257</v>
      </c>
      <c r="AM4597" t="str">
        <f>"10"</f>
        <v>10</v>
      </c>
      <c r="AN4597" t="str">
        <f>"500000"</f>
        <v>500000</v>
      </c>
      <c r="AO4597" t="str">
        <f>"הכנסות  מלקוחות"</f>
        <v>הכנסות  מלקוחות</v>
      </c>
      <c r="AQ4597" t="str">
        <f>"007"</f>
        <v>007</v>
      </c>
      <c r="AR4597">
        <v>0</v>
      </c>
      <c r="AS4597">
        <v>0</v>
      </c>
      <c r="AT4597">
        <v>3.9020000000000001</v>
      </c>
      <c r="AX4597" t="str">
        <f>"E000203898"</f>
        <v>E000203898</v>
      </c>
      <c r="BD4597" t="str">
        <f>"רוני דידי"</f>
        <v>רוני דידי</v>
      </c>
    </row>
    <row r="4598" spans="1:56" x14ac:dyDescent="0.3">
      <c r="A4598" s="1">
        <v>42373</v>
      </c>
      <c r="B4598" t="str">
        <f>"SI160000018"</f>
        <v>SI160000018</v>
      </c>
      <c r="C4598" t="str">
        <f>"PR15002885"</f>
        <v>PR15002885</v>
      </c>
      <c r="D4598" t="str">
        <f>"PR15002885"</f>
        <v>PR15002885</v>
      </c>
      <c r="E4598" t="str">
        <f>"Y"</f>
        <v>Y</v>
      </c>
      <c r="F4598" t="str">
        <f>"חשבוניות מרכזות"</f>
        <v>חשבוניות מרכזות</v>
      </c>
      <c r="G4598" t="str">
        <f>"700065"</f>
        <v>700065</v>
      </c>
      <c r="H4598" t="str">
        <f>"אלתא מערכות בע""מ"</f>
        <v>אלתא מערכות בע"מ</v>
      </c>
      <c r="I4598" t="str">
        <f>"10"</f>
        <v>10</v>
      </c>
      <c r="J4598" t="str">
        <f>"000"</f>
        <v>000</v>
      </c>
      <c r="K4598" t="str">
        <f>"כבילה חיצונית"</f>
        <v>כבילה חיצונית</v>
      </c>
      <c r="L4598">
        <v>1</v>
      </c>
      <c r="M4598" t="str">
        <f>"יח"</f>
        <v>יח</v>
      </c>
      <c r="N4598">
        <v>1</v>
      </c>
      <c r="O4598" t="str">
        <f>"יח"</f>
        <v>יח</v>
      </c>
      <c r="P4598" s="2">
        <v>7000</v>
      </c>
      <c r="Q4598" t="str">
        <f>"$"</f>
        <v>$</v>
      </c>
      <c r="R4598" t="str">
        <f>"הזמנה"</f>
        <v>הזמנה</v>
      </c>
      <c r="S4598">
        <v>0</v>
      </c>
      <c r="T4598" s="2">
        <v>7000</v>
      </c>
      <c r="U4598">
        <v>0</v>
      </c>
      <c r="V4598" s="2">
        <v>7000</v>
      </c>
      <c r="W4598" t="str">
        <f>"$"</f>
        <v>$</v>
      </c>
      <c r="X4598">
        <v>0</v>
      </c>
      <c r="Y4598">
        <v>0</v>
      </c>
      <c r="Z4598">
        <v>0</v>
      </c>
      <c r="AA4598" t="str">
        <f>"Y"</f>
        <v>Y</v>
      </c>
      <c r="AB4598" t="str">
        <f>"SO150003652"</f>
        <v>SO150003652</v>
      </c>
      <c r="AC4598">
        <v>5</v>
      </c>
      <c r="AD4598" s="1">
        <v>42257</v>
      </c>
      <c r="AM4598" t="str">
        <f>"10"</f>
        <v>10</v>
      </c>
      <c r="AN4598" t="str">
        <f>"500000"</f>
        <v>500000</v>
      </c>
      <c r="AO4598" t="str">
        <f>"הכנסות  מלקוחות"</f>
        <v>הכנסות  מלקוחות</v>
      </c>
      <c r="AQ4598" t="str">
        <f>"007"</f>
        <v>007</v>
      </c>
      <c r="AR4598">
        <v>0</v>
      </c>
      <c r="AS4598">
        <v>0</v>
      </c>
      <c r="AT4598">
        <v>3.9020000000000001</v>
      </c>
      <c r="AX4598" t="str">
        <f>"E000203898"</f>
        <v>E000203898</v>
      </c>
      <c r="BD4598" t="str">
        <f>"רוני דידי"</f>
        <v>רוני דידי</v>
      </c>
    </row>
    <row r="4599" spans="1:56" x14ac:dyDescent="0.3">
      <c r="A4599" s="1">
        <v>42373</v>
      </c>
      <c r="B4599" t="str">
        <f>"SI160000016"</f>
        <v>SI160000016</v>
      </c>
      <c r="C4599" t="str">
        <f>"PR12000118"</f>
        <v>PR12000118</v>
      </c>
      <c r="D4599" t="str">
        <f>"PR12000118"</f>
        <v>PR12000118</v>
      </c>
      <c r="E4599" t="str">
        <f>"Y"</f>
        <v>Y</v>
      </c>
      <c r="F4599" t="str">
        <f>"חשבוניות מרכזות"</f>
        <v>חשבוניות מרכזות</v>
      </c>
      <c r="G4599" t="str">
        <f>"700065"</f>
        <v>700065</v>
      </c>
      <c r="H4599" t="str">
        <f>"אלתא מערכות בע""מ"</f>
        <v>אלתא מערכות בע"מ</v>
      </c>
      <c r="I4599" t="str">
        <f>"10"</f>
        <v>10</v>
      </c>
      <c r="J4599" t="str">
        <f>"000"</f>
        <v>000</v>
      </c>
      <c r="K4599" t="str">
        <f>"שינוי ב PDB שהוזמן בהזמנה 93662"</f>
        <v>שינוי ב PDB שהוזמן בהזמנה 93662</v>
      </c>
      <c r="L4599">
        <v>1</v>
      </c>
      <c r="M4599" t="str">
        <f>"יח"</f>
        <v>יח</v>
      </c>
      <c r="N4599">
        <v>1</v>
      </c>
      <c r="O4599" t="str">
        <f>"יח"</f>
        <v>יח</v>
      </c>
      <c r="P4599" s="2">
        <v>8237</v>
      </c>
      <c r="Q4599" t="str">
        <f>"$"</f>
        <v>$</v>
      </c>
      <c r="R4599" t="str">
        <f>"הזמנה"</f>
        <v>הזמנה</v>
      </c>
      <c r="S4599">
        <v>0</v>
      </c>
      <c r="T4599" s="2">
        <v>8237</v>
      </c>
      <c r="U4599">
        <v>0</v>
      </c>
      <c r="V4599" s="2">
        <v>8237</v>
      </c>
      <c r="W4599" t="str">
        <f>"$"</f>
        <v>$</v>
      </c>
      <c r="X4599">
        <v>0</v>
      </c>
      <c r="Y4599">
        <v>0</v>
      </c>
      <c r="Z4599">
        <v>0</v>
      </c>
      <c r="AA4599" t="str">
        <f>"Y"</f>
        <v>Y</v>
      </c>
      <c r="AB4599" t="str">
        <f>"SO130000662"</f>
        <v>SO130000662</v>
      </c>
      <c r="AC4599">
        <v>1</v>
      </c>
      <c r="AD4599" s="1">
        <v>41456</v>
      </c>
      <c r="AM4599" t="str">
        <f>"10"</f>
        <v>10</v>
      </c>
      <c r="AN4599" t="str">
        <f>"500000"</f>
        <v>500000</v>
      </c>
      <c r="AO4599" t="str">
        <f>"הכנסות  מלקוחות"</f>
        <v>הכנסות  מלקוחות</v>
      </c>
      <c r="AQ4599" t="str">
        <f>"007"</f>
        <v>007</v>
      </c>
      <c r="AR4599">
        <v>0</v>
      </c>
      <c r="AS4599">
        <v>0</v>
      </c>
      <c r="AT4599">
        <v>3.9020000000000001</v>
      </c>
      <c r="AX4599" t="str">
        <f>"E000153412"</f>
        <v>E000153412</v>
      </c>
      <c r="BD4599" t="str">
        <f>"רוני דידי"</f>
        <v>רוני דידי</v>
      </c>
    </row>
    <row r="4600" spans="1:56" x14ac:dyDescent="0.3">
      <c r="A4600" s="1">
        <v>42373</v>
      </c>
      <c r="B4600" t="str">
        <f>"SI160000016"</f>
        <v>SI160000016</v>
      </c>
      <c r="C4600" t="str">
        <f>"PR12000118"</f>
        <v>PR12000118</v>
      </c>
      <c r="D4600" t="str">
        <f>"PR12000118"</f>
        <v>PR12000118</v>
      </c>
      <c r="E4600" t="str">
        <f>"Y"</f>
        <v>Y</v>
      </c>
      <c r="F4600" t="str">
        <f>"חשבוניות מרכזות"</f>
        <v>חשבוניות מרכזות</v>
      </c>
      <c r="G4600" t="str">
        <f>"700065"</f>
        <v>700065</v>
      </c>
      <c r="H4600" t="str">
        <f>"אלתא מערכות בע""מ"</f>
        <v>אלתא מערכות בע"מ</v>
      </c>
      <c r="I4600" t="str">
        <f>"10"</f>
        <v>10</v>
      </c>
      <c r="J4600" t="str">
        <f>"000"</f>
        <v>000</v>
      </c>
      <c r="K4600" t="str">
        <f>"שינוי ב AUXBOX שהוזמן בהזמנה 93662"</f>
        <v>שינוי ב AUXBOX שהוזמן בהזמנה 93662</v>
      </c>
      <c r="L4600">
        <v>1</v>
      </c>
      <c r="M4600" t="str">
        <f>"יח"</f>
        <v>יח</v>
      </c>
      <c r="N4600">
        <v>1</v>
      </c>
      <c r="O4600" t="str">
        <f>"יח"</f>
        <v>יח</v>
      </c>
      <c r="P4600" s="2">
        <v>7226</v>
      </c>
      <c r="Q4600" t="str">
        <f>"$"</f>
        <v>$</v>
      </c>
      <c r="R4600" t="str">
        <f>"הזמנה"</f>
        <v>הזמנה</v>
      </c>
      <c r="S4600">
        <v>0</v>
      </c>
      <c r="T4600" s="2">
        <v>7226</v>
      </c>
      <c r="U4600">
        <v>0</v>
      </c>
      <c r="V4600" s="2">
        <v>7226</v>
      </c>
      <c r="W4600" t="str">
        <f>"$"</f>
        <v>$</v>
      </c>
      <c r="X4600">
        <v>0</v>
      </c>
      <c r="Y4600">
        <v>0</v>
      </c>
      <c r="Z4600">
        <v>0</v>
      </c>
      <c r="AA4600" t="str">
        <f>"Y"</f>
        <v>Y</v>
      </c>
      <c r="AB4600" t="str">
        <f>"SO130000662"</f>
        <v>SO130000662</v>
      </c>
      <c r="AC4600">
        <v>2</v>
      </c>
      <c r="AD4600" s="1">
        <v>41456</v>
      </c>
      <c r="AM4600" t="str">
        <f>"10"</f>
        <v>10</v>
      </c>
      <c r="AN4600" t="str">
        <f>"500000"</f>
        <v>500000</v>
      </c>
      <c r="AO4600" t="str">
        <f>"הכנסות  מלקוחות"</f>
        <v>הכנסות  מלקוחות</v>
      </c>
      <c r="AQ4600" t="str">
        <f>"007"</f>
        <v>007</v>
      </c>
      <c r="AR4600">
        <v>0</v>
      </c>
      <c r="AS4600">
        <v>0</v>
      </c>
      <c r="AT4600">
        <v>3.9020000000000001</v>
      </c>
      <c r="AX4600" t="str">
        <f>"E000153412"</f>
        <v>E000153412</v>
      </c>
      <c r="BD4600" t="str">
        <f>"רוני דידי"</f>
        <v>רוני דידי</v>
      </c>
    </row>
    <row r="4601" spans="1:56" x14ac:dyDescent="0.3">
      <c r="A4601" s="1">
        <v>42372</v>
      </c>
      <c r="B4601" t="str">
        <f>"SI160000017"</f>
        <v>SI160000017</v>
      </c>
      <c r="C4601" t="str">
        <f>"PR15002652"</f>
        <v>PR15002652</v>
      </c>
      <c r="D4601" t="str">
        <f>"PR15002652"</f>
        <v>PR15002652</v>
      </c>
      <c r="E4601" t="str">
        <f>"Y"</f>
        <v>Y</v>
      </c>
      <c r="F4601" t="str">
        <f>"חשבוניות מרכזות"</f>
        <v>חשבוניות מרכזות</v>
      </c>
      <c r="G4601" t="str">
        <f>"700065"</f>
        <v>700065</v>
      </c>
      <c r="H4601" t="str">
        <f>"אלתא מערכות בע""מ"</f>
        <v>אלתא מערכות בע"מ</v>
      </c>
      <c r="I4601" t="str">
        <f>"10"</f>
        <v>10</v>
      </c>
      <c r="J4601" t="str">
        <f>"OP-AR00096"</f>
        <v>OP-AR00096</v>
      </c>
      <c r="K4601" t="str">
        <f>"מסמכי בדיקות וצב""ד ניסוי קצר LB"</f>
        <v>מסמכי בדיקות וצב"ד ניסוי קצר LB</v>
      </c>
      <c r="L4601">
        <v>1</v>
      </c>
      <c r="M4601" t="str">
        <f>"יח"</f>
        <v>יח</v>
      </c>
      <c r="N4601">
        <v>1</v>
      </c>
      <c r="O4601" t="str">
        <f>"יח"</f>
        <v>יח</v>
      </c>
      <c r="P4601" s="2">
        <v>13460</v>
      </c>
      <c r="Q4601" t="str">
        <f>"$"</f>
        <v>$</v>
      </c>
      <c r="R4601" t="str">
        <f>"הזמנה"</f>
        <v>הזמנה</v>
      </c>
      <c r="S4601">
        <v>0</v>
      </c>
      <c r="T4601" s="2">
        <v>13460</v>
      </c>
      <c r="U4601">
        <v>0</v>
      </c>
      <c r="V4601" s="2">
        <v>13460</v>
      </c>
      <c r="W4601" t="str">
        <f>"$"</f>
        <v>$</v>
      </c>
      <c r="X4601">
        <v>0</v>
      </c>
      <c r="Y4601">
        <v>0</v>
      </c>
      <c r="Z4601">
        <v>0</v>
      </c>
      <c r="AA4601" t="str">
        <f>"Y"</f>
        <v>Y</v>
      </c>
      <c r="AB4601" t="str">
        <f>"SO150003115"</f>
        <v>SO150003115</v>
      </c>
      <c r="AC4601">
        <v>1</v>
      </c>
      <c r="AD4601" s="1">
        <v>42095</v>
      </c>
      <c r="AM4601" t="str">
        <f>"10"</f>
        <v>10</v>
      </c>
      <c r="AN4601" t="str">
        <f>"500000"</f>
        <v>500000</v>
      </c>
      <c r="AO4601" t="str">
        <f>"הכנסות  מלקוחות"</f>
        <v>הכנסות  מלקוחות</v>
      </c>
      <c r="AQ4601" t="str">
        <f>"007"</f>
        <v>007</v>
      </c>
      <c r="AR4601">
        <v>0</v>
      </c>
      <c r="AS4601">
        <v>0</v>
      </c>
      <c r="AT4601">
        <v>3.9020000000000001</v>
      </c>
      <c r="AX4601" t="str">
        <f>"E000195247"</f>
        <v>E000195247</v>
      </c>
      <c r="BD4601" t="str">
        <f>"רוני דידי"</f>
        <v>רוני דידי</v>
      </c>
    </row>
    <row r="4602" spans="1:56" x14ac:dyDescent="0.3">
      <c r="A4602" s="1">
        <v>42372</v>
      </c>
      <c r="B4602" t="str">
        <f>"SI160000008"</f>
        <v>SI160000008</v>
      </c>
      <c r="C4602" t="str">
        <f>"PR12000054"</f>
        <v>PR12000054</v>
      </c>
      <c r="E4602" t="str">
        <f>"Y"</f>
        <v>Y</v>
      </c>
      <c r="F4602" t="str">
        <f>"חשבוניות מרכזות"</f>
        <v>חשבוניות מרכזות</v>
      </c>
      <c r="G4602" t="str">
        <f>"700065"</f>
        <v>700065</v>
      </c>
      <c r="H4602" t="str">
        <f>"אלתא מערכות בע""מ"</f>
        <v>אלתא מערכות בע"מ</v>
      </c>
      <c r="I4602" t="str">
        <f>"10"</f>
        <v>10</v>
      </c>
      <c r="J4602" t="str">
        <f>"OP-AR01763"</f>
        <v>OP-AR01763</v>
      </c>
      <c r="K4602" t="str">
        <f>"לוח PDB - אב טיפוס"</f>
        <v>לוח PDB - אב טיפוס</v>
      </c>
      <c r="L4602">
        <v>0.33500000000000002</v>
      </c>
      <c r="M4602" t="str">
        <f>"חל"</f>
        <v>חל</v>
      </c>
      <c r="N4602">
        <v>0.33500000000000002</v>
      </c>
      <c r="O4602" t="str">
        <f>"חל"</f>
        <v>חל</v>
      </c>
      <c r="P4602" s="2">
        <v>83400</v>
      </c>
      <c r="Q4602" t="str">
        <f>"$"</f>
        <v>$</v>
      </c>
      <c r="R4602" t="str">
        <f>"הזמנה"</f>
        <v>הזמנה</v>
      </c>
      <c r="S4602">
        <v>0</v>
      </c>
      <c r="T4602" s="2">
        <v>27939</v>
      </c>
      <c r="U4602">
        <v>0</v>
      </c>
      <c r="V4602" s="2">
        <v>27939</v>
      </c>
      <c r="W4602" t="str">
        <f>"$"</f>
        <v>$</v>
      </c>
      <c r="X4602">
        <v>0</v>
      </c>
      <c r="Y4602">
        <v>0</v>
      </c>
      <c r="Z4602">
        <v>0</v>
      </c>
      <c r="AA4602" t="str">
        <f>"Y"</f>
        <v>Y</v>
      </c>
      <c r="AB4602" t="str">
        <f>"SO12T000001"</f>
        <v>SO12T000001</v>
      </c>
      <c r="AC4602">
        <v>2</v>
      </c>
      <c r="AD4602" s="1">
        <v>41256</v>
      </c>
      <c r="AM4602" t="str">
        <f>"10"</f>
        <v>10</v>
      </c>
      <c r="AN4602" t="str">
        <f>"500000"</f>
        <v>500000</v>
      </c>
      <c r="AO4602" t="str">
        <f>"הכנסות  מלקוחות"</f>
        <v>הכנסות  מלקוחות</v>
      </c>
      <c r="AQ4602" t="str">
        <f>"007"</f>
        <v>007</v>
      </c>
      <c r="AR4602">
        <v>0</v>
      </c>
      <c r="AS4602">
        <v>0</v>
      </c>
      <c r="AT4602">
        <v>3.9020000000000001</v>
      </c>
      <c r="AX4602" t="str">
        <f>"E000093662"</f>
        <v>E000093662</v>
      </c>
      <c r="BD4602" t="str">
        <f>"רוני דידי"</f>
        <v>רוני דידי</v>
      </c>
    </row>
    <row r="4603" spans="1:56" x14ac:dyDescent="0.3">
      <c r="A4603" s="1">
        <v>42372</v>
      </c>
      <c r="B4603" t="str">
        <f>"SI160000008"</f>
        <v>SI160000008</v>
      </c>
      <c r="C4603" t="str">
        <f>"PR12000054"</f>
        <v>PR12000054</v>
      </c>
      <c r="E4603" t="str">
        <f>"Y"</f>
        <v>Y</v>
      </c>
      <c r="F4603" t="str">
        <f>"חשבוניות מרכזות"</f>
        <v>חשבוניות מרכזות</v>
      </c>
      <c r="G4603" t="str">
        <f>"700065"</f>
        <v>700065</v>
      </c>
      <c r="H4603" t="str">
        <f>"אלתא מערכות בע""מ"</f>
        <v>אלתא מערכות בע"מ</v>
      </c>
      <c r="I4603" t="str">
        <f>"10"</f>
        <v>10</v>
      </c>
      <c r="J4603" t="str">
        <f>"OP-AR09104"</f>
        <v>OP-AR09104</v>
      </c>
      <c r="K4603" t="str">
        <f>"עלויות שלב אימות פיתוח"</f>
        <v>עלויות שלב אימות פיתוח</v>
      </c>
      <c r="L4603">
        <v>0.5</v>
      </c>
      <c r="M4603" t="str">
        <f>"חל"</f>
        <v>חל</v>
      </c>
      <c r="N4603">
        <v>0.5</v>
      </c>
      <c r="O4603" t="str">
        <f>"חל"</f>
        <v>חל</v>
      </c>
      <c r="P4603" s="2">
        <v>166300</v>
      </c>
      <c r="Q4603" t="str">
        <f>"$"</f>
        <v>$</v>
      </c>
      <c r="R4603" t="str">
        <f>"הזמנה"</f>
        <v>הזמנה</v>
      </c>
      <c r="S4603">
        <v>0</v>
      </c>
      <c r="T4603" s="2">
        <v>83150</v>
      </c>
      <c r="U4603">
        <v>0</v>
      </c>
      <c r="V4603" s="2">
        <v>83150</v>
      </c>
      <c r="W4603" t="str">
        <f>"$"</f>
        <v>$</v>
      </c>
      <c r="X4603">
        <v>0</v>
      </c>
      <c r="Y4603">
        <v>0</v>
      </c>
      <c r="Z4603">
        <v>0</v>
      </c>
      <c r="AA4603" t="str">
        <f>"Y"</f>
        <v>Y</v>
      </c>
      <c r="AB4603" t="str">
        <f>"SO12T000001"</f>
        <v>SO12T000001</v>
      </c>
      <c r="AC4603">
        <v>3</v>
      </c>
      <c r="AD4603" s="1">
        <v>41256</v>
      </c>
      <c r="AM4603" t="str">
        <f>"10"</f>
        <v>10</v>
      </c>
      <c r="AN4603" t="str">
        <f>"500000"</f>
        <v>500000</v>
      </c>
      <c r="AO4603" t="str">
        <f>"הכנסות  מלקוחות"</f>
        <v>הכנסות  מלקוחות</v>
      </c>
      <c r="AQ4603" t="str">
        <f>"007"</f>
        <v>007</v>
      </c>
      <c r="AR4603">
        <v>0</v>
      </c>
      <c r="AS4603">
        <v>0</v>
      </c>
      <c r="AT4603">
        <v>3.9020000000000001</v>
      </c>
      <c r="AX4603" t="str">
        <f>"E000093662"</f>
        <v>E000093662</v>
      </c>
      <c r="BD4603" t="str">
        <f>"רוני דידי"</f>
        <v>רוני דידי</v>
      </c>
    </row>
    <row r="4604" spans="1:56" x14ac:dyDescent="0.3">
      <c r="A4604" s="1">
        <v>42372</v>
      </c>
      <c r="B4604" t="str">
        <f>"SI160000007"</f>
        <v>SI160000007</v>
      </c>
      <c r="C4604" t="str">
        <f>"PR12000054"</f>
        <v>PR12000054</v>
      </c>
      <c r="D4604" t="str">
        <f>"PR12000054"</f>
        <v>PR12000054</v>
      </c>
      <c r="E4604" t="str">
        <f>"Y"</f>
        <v>Y</v>
      </c>
      <c r="F4604" t="str">
        <f>"חשבוניות מרכזות"</f>
        <v>חשבוניות מרכזות</v>
      </c>
      <c r="G4604" t="str">
        <f>"700065"</f>
        <v>700065</v>
      </c>
      <c r="H4604" t="str">
        <f>"אלתא מערכות בע""מ"</f>
        <v>אלתא מערכות בע"מ</v>
      </c>
      <c r="I4604" t="str">
        <f>"10"</f>
        <v>10</v>
      </c>
      <c r="J4604" t="str">
        <f>"OP-AR22459"</f>
        <v>OP-AR22459</v>
      </c>
      <c r="K4604" t="str">
        <f>"NREPDB CONNECTORS PINS"</f>
        <v>NREPDB CONNECTORS PINS</v>
      </c>
      <c r="L4604">
        <v>1</v>
      </c>
      <c r="M4604" t="str">
        <f>"חל"</f>
        <v>חל</v>
      </c>
      <c r="N4604">
        <v>1</v>
      </c>
      <c r="O4604" t="str">
        <f>"חל"</f>
        <v>חל</v>
      </c>
      <c r="P4604">
        <v>300</v>
      </c>
      <c r="Q4604" t="str">
        <f>"$"</f>
        <v>$</v>
      </c>
      <c r="R4604" t="str">
        <f>"הזמנה"</f>
        <v>הזמנה</v>
      </c>
      <c r="S4604">
        <v>0</v>
      </c>
      <c r="T4604">
        <v>300</v>
      </c>
      <c r="U4604">
        <v>0</v>
      </c>
      <c r="V4604">
        <v>300</v>
      </c>
      <c r="W4604" t="str">
        <f>"$"</f>
        <v>$</v>
      </c>
      <c r="X4604">
        <v>0</v>
      </c>
      <c r="Y4604">
        <v>0</v>
      </c>
      <c r="Z4604">
        <v>0</v>
      </c>
      <c r="AA4604" t="str">
        <f>"Y"</f>
        <v>Y</v>
      </c>
      <c r="AB4604" t="str">
        <f>"SO12T000003"</f>
        <v>SO12T000003</v>
      </c>
      <c r="AC4604">
        <v>3</v>
      </c>
      <c r="AD4604" s="1">
        <v>41256</v>
      </c>
      <c r="AM4604" t="str">
        <f>"10"</f>
        <v>10</v>
      </c>
      <c r="AN4604" t="str">
        <f>"500000"</f>
        <v>500000</v>
      </c>
      <c r="AO4604" t="str">
        <f>"הכנסות  מלקוחות"</f>
        <v>הכנסות  מלקוחות</v>
      </c>
      <c r="AQ4604" t="str">
        <f>"007"</f>
        <v>007</v>
      </c>
      <c r="AR4604">
        <v>0</v>
      </c>
      <c r="AS4604">
        <v>0</v>
      </c>
      <c r="AT4604">
        <v>3.9020000000000001</v>
      </c>
      <c r="AX4604" t="str">
        <f>"E000121310"</f>
        <v>E000121310</v>
      </c>
      <c r="BD4604" t="str">
        <f>"רוני דידי"</f>
        <v>רוני דידי</v>
      </c>
    </row>
    <row r="4605" spans="1:56" x14ac:dyDescent="0.3">
      <c r="A4605" s="1">
        <v>42372</v>
      </c>
      <c r="B4605" t="str">
        <f>"SI160000007"</f>
        <v>SI160000007</v>
      </c>
      <c r="C4605" t="str">
        <f>"PR12000054"</f>
        <v>PR12000054</v>
      </c>
      <c r="D4605" t="str">
        <f>"PR12000054"</f>
        <v>PR12000054</v>
      </c>
      <c r="E4605" t="str">
        <f>"Y"</f>
        <v>Y</v>
      </c>
      <c r="F4605" t="str">
        <f>"חשבוניות מרכזות"</f>
        <v>חשבוניות מרכזות</v>
      </c>
      <c r="G4605" t="str">
        <f>"700065"</f>
        <v>700065</v>
      </c>
      <c r="H4605" t="str">
        <f>"אלתא מערכות בע""מ"</f>
        <v>אלתא מערכות בע"מ</v>
      </c>
      <c r="I4605" t="str">
        <f>"10"</f>
        <v>10</v>
      </c>
      <c r="J4605" t="str">
        <f>"OP-AR22461"</f>
        <v>OP-AR22461</v>
      </c>
      <c r="K4605" t="str">
        <f>"HVJB GLENAIR CONNCTORS"</f>
        <v>HVJB GLENAIR CONNCTORS</v>
      </c>
      <c r="L4605">
        <v>0.5</v>
      </c>
      <c r="M4605" t="str">
        <f>"חל"</f>
        <v>חל</v>
      </c>
      <c r="N4605">
        <v>0.5</v>
      </c>
      <c r="O4605" t="str">
        <f>"חל"</f>
        <v>חל</v>
      </c>
      <c r="P4605" s="2">
        <v>8628.24</v>
      </c>
      <c r="Q4605" t="str">
        <f>"$"</f>
        <v>$</v>
      </c>
      <c r="R4605" t="str">
        <f>"הזמנה"</f>
        <v>הזמנה</v>
      </c>
      <c r="S4605">
        <v>0</v>
      </c>
      <c r="T4605" s="2">
        <v>4314.12</v>
      </c>
      <c r="U4605">
        <v>0</v>
      </c>
      <c r="V4605" s="2">
        <v>4314.12</v>
      </c>
      <c r="W4605" t="str">
        <f>"$"</f>
        <v>$</v>
      </c>
      <c r="X4605">
        <v>0</v>
      </c>
      <c r="Y4605">
        <v>0</v>
      </c>
      <c r="Z4605">
        <v>0</v>
      </c>
      <c r="AA4605" t="str">
        <f>"Y"</f>
        <v>Y</v>
      </c>
      <c r="AB4605" t="str">
        <f>"SO12T000003"</f>
        <v>SO12T000003</v>
      </c>
      <c r="AC4605">
        <v>4</v>
      </c>
      <c r="AD4605" s="1">
        <v>41256</v>
      </c>
      <c r="AM4605" t="str">
        <f>"10"</f>
        <v>10</v>
      </c>
      <c r="AN4605" t="str">
        <f>"500000"</f>
        <v>500000</v>
      </c>
      <c r="AO4605" t="str">
        <f>"הכנסות  מלקוחות"</f>
        <v>הכנסות  מלקוחות</v>
      </c>
      <c r="AQ4605" t="str">
        <f>"007"</f>
        <v>007</v>
      </c>
      <c r="AR4605">
        <v>0</v>
      </c>
      <c r="AS4605">
        <v>0</v>
      </c>
      <c r="AT4605">
        <v>3.9020000000000001</v>
      </c>
      <c r="AX4605" t="str">
        <f>"E000121310"</f>
        <v>E000121310</v>
      </c>
      <c r="BD4605" t="str">
        <f>"רוני דידי"</f>
        <v>רוני דידי</v>
      </c>
    </row>
    <row r="4606" spans="1:56" x14ac:dyDescent="0.3">
      <c r="A4606" s="1">
        <v>42372</v>
      </c>
      <c r="B4606" t="str">
        <f>"SI160000006"</f>
        <v>SI160000006</v>
      </c>
      <c r="C4606" t="str">
        <f>"PR12000061"</f>
        <v>PR12000061</v>
      </c>
      <c r="D4606" t="str">
        <f>"PR12000061"</f>
        <v>PR12000061</v>
      </c>
      <c r="E4606" t="str">
        <f>"Y"</f>
        <v>Y</v>
      </c>
      <c r="F4606" t="str">
        <f>"חשבוניות מרכזות"</f>
        <v>חשבוניות מרכזות</v>
      </c>
      <c r="G4606" t="str">
        <f>"700065"</f>
        <v>700065</v>
      </c>
      <c r="H4606" t="str">
        <f>"אלתא מערכות בע""מ"</f>
        <v>אלתא מערכות בע"מ</v>
      </c>
      <c r="I4606" t="str">
        <f>"10"</f>
        <v>10</v>
      </c>
      <c r="J4606" t="str">
        <f>"000"</f>
        <v>000</v>
      </c>
      <c r="K4606" t="str">
        <f>"לויי ייצור בהודו"</f>
        <v>לויי ייצור בהודו</v>
      </c>
      <c r="L4606">
        <v>1</v>
      </c>
      <c r="M4606" t="str">
        <f>"יח"</f>
        <v>יח</v>
      </c>
      <c r="N4606">
        <v>1</v>
      </c>
      <c r="O4606" t="str">
        <f>"יח"</f>
        <v>יח</v>
      </c>
      <c r="P4606" s="2">
        <v>20130</v>
      </c>
      <c r="Q4606" t="str">
        <f>"$"</f>
        <v>$</v>
      </c>
      <c r="R4606" t="str">
        <f>"הזמנה"</f>
        <v>הזמנה</v>
      </c>
      <c r="S4606">
        <v>0</v>
      </c>
      <c r="T4606" s="2">
        <v>20130</v>
      </c>
      <c r="U4606">
        <v>0</v>
      </c>
      <c r="V4606" s="2">
        <v>20130</v>
      </c>
      <c r="W4606" t="str">
        <f>"$"</f>
        <v>$</v>
      </c>
      <c r="X4606">
        <v>0</v>
      </c>
      <c r="Y4606">
        <v>0</v>
      </c>
      <c r="Z4606">
        <v>0</v>
      </c>
      <c r="AA4606" t="str">
        <f>"Y"</f>
        <v>Y</v>
      </c>
      <c r="AB4606" t="str">
        <f>"SO130000065"</f>
        <v>SO130000065</v>
      </c>
      <c r="AC4606">
        <v>3</v>
      </c>
      <c r="AD4606" s="1">
        <v>41297</v>
      </c>
      <c r="AM4606" t="str">
        <f>"10"</f>
        <v>10</v>
      </c>
      <c r="AN4606" t="str">
        <f>"500000"</f>
        <v>500000</v>
      </c>
      <c r="AO4606" t="str">
        <f>"הכנסות  מלקוחות"</f>
        <v>הכנסות  מלקוחות</v>
      </c>
      <c r="AQ4606" t="str">
        <f>"007"</f>
        <v>007</v>
      </c>
      <c r="AR4606">
        <v>0</v>
      </c>
      <c r="AS4606">
        <v>0</v>
      </c>
      <c r="AT4606">
        <v>3.9020000000000001</v>
      </c>
      <c r="AX4606" t="str">
        <f>"E000119136"</f>
        <v>E000119136</v>
      </c>
      <c r="BD4606" t="str">
        <f>"רוני דידי"</f>
        <v>רוני דידי</v>
      </c>
    </row>
    <row r="4607" spans="1:56" x14ac:dyDescent="0.3">
      <c r="A4607" s="1">
        <v>42372</v>
      </c>
      <c r="B4607" t="str">
        <f>"SI160000005"</f>
        <v>SI160000005</v>
      </c>
      <c r="C4607" t="str">
        <f>"PR12000061"</f>
        <v>PR12000061</v>
      </c>
      <c r="D4607" t="str">
        <f>"PR12000061"</f>
        <v>PR12000061</v>
      </c>
      <c r="E4607" t="str">
        <f>"Y"</f>
        <v>Y</v>
      </c>
      <c r="F4607" t="str">
        <f>"חשבוניות מרכזות"</f>
        <v>חשבוניות מרכזות</v>
      </c>
      <c r="G4607" t="str">
        <f>"700065"</f>
        <v>700065</v>
      </c>
      <c r="H4607" t="str">
        <f>"אלתא מערכות בע""מ"</f>
        <v>אלתא מערכות בע"מ</v>
      </c>
      <c r="I4607" t="str">
        <f>"10"</f>
        <v>10</v>
      </c>
      <c r="J4607" t="str">
        <f>"000"</f>
        <v>000</v>
      </c>
      <c r="K4607" t="str">
        <f>"NRE-QUALIFICATION TESTS AND ANALYSES"</f>
        <v>NRE-QUALIFICATION TESTS AND ANALYSES</v>
      </c>
      <c r="L4607">
        <v>1</v>
      </c>
      <c r="M4607" t="str">
        <f>"יח"</f>
        <v>יח</v>
      </c>
      <c r="N4607">
        <v>1</v>
      </c>
      <c r="O4607" t="str">
        <f>"יח"</f>
        <v>יח</v>
      </c>
      <c r="P4607" s="2">
        <v>75007</v>
      </c>
      <c r="Q4607" t="str">
        <f>"$"</f>
        <v>$</v>
      </c>
      <c r="R4607" t="str">
        <f>"הזמנה"</f>
        <v>הזמנה</v>
      </c>
      <c r="S4607">
        <v>0</v>
      </c>
      <c r="T4607" s="2">
        <v>75007</v>
      </c>
      <c r="U4607">
        <v>0</v>
      </c>
      <c r="V4607" s="2">
        <v>75007</v>
      </c>
      <c r="W4607" t="str">
        <f>"$"</f>
        <v>$</v>
      </c>
      <c r="X4607">
        <v>0</v>
      </c>
      <c r="Y4607">
        <v>0</v>
      </c>
      <c r="Z4607">
        <v>0</v>
      </c>
      <c r="AA4607" t="str">
        <f>"Y"</f>
        <v>Y</v>
      </c>
      <c r="AB4607" t="str">
        <f>"SO130000065"</f>
        <v>SO130000065</v>
      </c>
      <c r="AC4607">
        <v>2</v>
      </c>
      <c r="AD4607" s="1">
        <v>41297</v>
      </c>
      <c r="AM4607" t="str">
        <f>"10"</f>
        <v>10</v>
      </c>
      <c r="AN4607" t="str">
        <f>"500000"</f>
        <v>500000</v>
      </c>
      <c r="AO4607" t="str">
        <f>"הכנסות  מלקוחות"</f>
        <v>הכנסות  מלקוחות</v>
      </c>
      <c r="AQ4607" t="str">
        <f>"007"</f>
        <v>007</v>
      </c>
      <c r="AR4607">
        <v>0</v>
      </c>
      <c r="AS4607">
        <v>0</v>
      </c>
      <c r="AT4607">
        <v>3.9020000000000001</v>
      </c>
      <c r="AX4607" t="str">
        <f>"E000119136"</f>
        <v>E000119136</v>
      </c>
      <c r="BD4607" t="str">
        <f>"רוני דידי"</f>
        <v>רוני דידי</v>
      </c>
    </row>
    <row r="4608" spans="1:56" x14ac:dyDescent="0.3">
      <c r="A4608" s="1">
        <v>42372</v>
      </c>
      <c r="B4608" t="str">
        <f>"SI160000004"</f>
        <v>SI160000004</v>
      </c>
      <c r="C4608" t="str">
        <f>"PR12000054"</f>
        <v>PR12000054</v>
      </c>
      <c r="D4608" t="str">
        <f>"PR12000054"</f>
        <v>PR12000054</v>
      </c>
      <c r="E4608" t="str">
        <f>"Y"</f>
        <v>Y</v>
      </c>
      <c r="F4608" t="str">
        <f>"חשבוניות מרכזות"</f>
        <v>חשבוניות מרכזות</v>
      </c>
      <c r="G4608" t="str">
        <f>"700065"</f>
        <v>700065</v>
      </c>
      <c r="H4608" t="str">
        <f>"אלתא מערכות בע""מ"</f>
        <v>אלתא מערכות בע"מ</v>
      </c>
      <c r="I4608" t="str">
        <f>"10"</f>
        <v>10</v>
      </c>
      <c r="J4608" t="str">
        <f>"OP-AR12236"</f>
        <v>OP-AR12236</v>
      </c>
      <c r="K4608" t="str">
        <f>"NRE-PDB"</f>
        <v>NRE-PDB</v>
      </c>
      <c r="L4608">
        <v>1</v>
      </c>
      <c r="M4608" t="str">
        <f>"יח"</f>
        <v>יח</v>
      </c>
      <c r="N4608">
        <v>1</v>
      </c>
      <c r="O4608" t="str">
        <f>"יח"</f>
        <v>יח</v>
      </c>
      <c r="P4608" s="2">
        <v>4550</v>
      </c>
      <c r="Q4608" t="str">
        <f>"$"</f>
        <v>$</v>
      </c>
      <c r="R4608" t="str">
        <f>"הזמנה"</f>
        <v>הזמנה</v>
      </c>
      <c r="S4608">
        <v>0</v>
      </c>
      <c r="T4608" s="2">
        <v>4550</v>
      </c>
      <c r="U4608">
        <v>0</v>
      </c>
      <c r="V4608" s="2">
        <v>4550</v>
      </c>
      <c r="W4608" t="str">
        <f>"$"</f>
        <v>$</v>
      </c>
      <c r="X4608">
        <v>0</v>
      </c>
      <c r="Y4608">
        <v>0</v>
      </c>
      <c r="Z4608">
        <v>0</v>
      </c>
      <c r="AA4608" t="str">
        <f>"Y"</f>
        <v>Y</v>
      </c>
      <c r="AB4608" t="str">
        <f>"SO12T000002"</f>
        <v>SO12T000002</v>
      </c>
      <c r="AC4608">
        <v>1</v>
      </c>
      <c r="AD4608" s="1">
        <v>41256</v>
      </c>
      <c r="AM4608" t="str">
        <f>"10"</f>
        <v>10</v>
      </c>
      <c r="AN4608" t="str">
        <f>"500000"</f>
        <v>500000</v>
      </c>
      <c r="AO4608" t="str">
        <f>"הכנסות  מלקוחות"</f>
        <v>הכנסות  מלקוחות</v>
      </c>
      <c r="AQ4608" t="str">
        <f>"007"</f>
        <v>007</v>
      </c>
      <c r="AR4608">
        <v>0</v>
      </c>
      <c r="AS4608">
        <v>0</v>
      </c>
      <c r="AT4608">
        <v>3.9020000000000001</v>
      </c>
      <c r="AX4608" t="str">
        <f>"E000108300"</f>
        <v>E000108300</v>
      </c>
      <c r="BD4608" t="str">
        <f>"רוני דידי"</f>
        <v>רוני דידי</v>
      </c>
    </row>
    <row r="4609" spans="1:56" x14ac:dyDescent="0.3">
      <c r="A4609" s="1">
        <v>42372</v>
      </c>
      <c r="B4609" t="str">
        <f>"SI160000004"</f>
        <v>SI160000004</v>
      </c>
      <c r="C4609" t="str">
        <f>"PR12000054"</f>
        <v>PR12000054</v>
      </c>
      <c r="D4609" t="str">
        <f>"PR12000054"</f>
        <v>PR12000054</v>
      </c>
      <c r="E4609" t="str">
        <f>"Y"</f>
        <v>Y</v>
      </c>
      <c r="F4609" t="str">
        <f>"חשבוניות מרכזות"</f>
        <v>חשבוניות מרכזות</v>
      </c>
      <c r="G4609" t="str">
        <f>"700065"</f>
        <v>700065</v>
      </c>
      <c r="H4609" t="str">
        <f>"אלתא מערכות בע""מ"</f>
        <v>אלתא מערכות בע"מ</v>
      </c>
      <c r="I4609" t="str">
        <f>"10"</f>
        <v>10</v>
      </c>
      <c r="J4609" t="str">
        <f>"OP-AR12237"</f>
        <v>OP-AR12237</v>
      </c>
      <c r="K4609" t="str">
        <f>"MANAGMENT+NRE - AUX BOX"</f>
        <v>MANAGMENT+NRE - AUX BOX</v>
      </c>
      <c r="L4609">
        <v>1</v>
      </c>
      <c r="M4609" t="str">
        <f>"יח"</f>
        <v>יח</v>
      </c>
      <c r="N4609">
        <v>1</v>
      </c>
      <c r="O4609" t="str">
        <f>"יח"</f>
        <v>יח</v>
      </c>
      <c r="P4609" s="2">
        <v>18300</v>
      </c>
      <c r="Q4609" t="str">
        <f>"$"</f>
        <v>$</v>
      </c>
      <c r="R4609" t="str">
        <f>"הזמנה"</f>
        <v>הזמנה</v>
      </c>
      <c r="S4609">
        <v>0</v>
      </c>
      <c r="T4609" s="2">
        <v>18300</v>
      </c>
      <c r="U4609">
        <v>0</v>
      </c>
      <c r="V4609" s="2">
        <v>18300</v>
      </c>
      <c r="W4609" t="str">
        <f>"$"</f>
        <v>$</v>
      </c>
      <c r="X4609">
        <v>0</v>
      </c>
      <c r="Y4609">
        <v>0</v>
      </c>
      <c r="Z4609">
        <v>0</v>
      </c>
      <c r="AA4609" t="str">
        <f>"Y"</f>
        <v>Y</v>
      </c>
      <c r="AB4609" t="str">
        <f>"SO12T000002"</f>
        <v>SO12T000002</v>
      </c>
      <c r="AC4609">
        <v>2</v>
      </c>
      <c r="AD4609" s="1">
        <v>41256</v>
      </c>
      <c r="AM4609" t="str">
        <f>"10"</f>
        <v>10</v>
      </c>
      <c r="AN4609" t="str">
        <f>"500000"</f>
        <v>500000</v>
      </c>
      <c r="AO4609" t="str">
        <f>"הכנסות  מלקוחות"</f>
        <v>הכנסות  מלקוחות</v>
      </c>
      <c r="AQ4609" t="str">
        <f>"007"</f>
        <v>007</v>
      </c>
      <c r="AR4609">
        <v>0</v>
      </c>
      <c r="AS4609">
        <v>0</v>
      </c>
      <c r="AT4609">
        <v>3.9020000000000001</v>
      </c>
      <c r="AX4609" t="str">
        <f>"E000108300"</f>
        <v>E000108300</v>
      </c>
      <c r="BD4609" t="str">
        <f>"רוני דידי"</f>
        <v>רוני דידי</v>
      </c>
    </row>
    <row r="4610" spans="1:56" x14ac:dyDescent="0.3">
      <c r="A4610" s="1">
        <v>42365</v>
      </c>
      <c r="B4610" t="str">
        <f>"SI150004986"</f>
        <v>SI150004986</v>
      </c>
      <c r="C4610" t="str">
        <f>"PR15003146"</f>
        <v>PR15003146</v>
      </c>
      <c r="D4610" t="str">
        <f>"PR15003146"</f>
        <v>PR15003146</v>
      </c>
      <c r="E4610" t="str">
        <f>"Y"</f>
        <v>Y</v>
      </c>
      <c r="F4610" t="str">
        <f>"חשבוניות מרכזות"</f>
        <v>חשבוניות מרכזות</v>
      </c>
      <c r="G4610" t="str">
        <f>"700065"</f>
        <v>700065</v>
      </c>
      <c r="H4610" t="str">
        <f>"אלתא מערכות בע""מ"</f>
        <v>אלתא מערכות בע"מ</v>
      </c>
      <c r="I4610" t="str">
        <f>"10"</f>
        <v>10</v>
      </c>
      <c r="J4610" t="str">
        <f>"OP-AR00185"</f>
        <v>OP-AR00185</v>
      </c>
      <c r="K4610" t="str">
        <f>"רתמה GDT CABLE W112 4044B360-003"</f>
        <v>רתמה GDT CABLE W112 4044B360-003</v>
      </c>
      <c r="L4610">
        <v>4</v>
      </c>
      <c r="M4610" t="str">
        <f>"יח"</f>
        <v>יח</v>
      </c>
      <c r="N4610">
        <v>4</v>
      </c>
      <c r="O4610" t="str">
        <f>"יח"</f>
        <v>יח</v>
      </c>
      <c r="P4610">
        <v>376</v>
      </c>
      <c r="Q4610" t="str">
        <f>"$"</f>
        <v>$</v>
      </c>
      <c r="R4610" t="str">
        <f>"הזמנה"</f>
        <v>הזמנה</v>
      </c>
      <c r="S4610">
        <v>0</v>
      </c>
      <c r="T4610" s="2">
        <v>1504</v>
      </c>
      <c r="U4610">
        <v>0</v>
      </c>
      <c r="V4610" s="2">
        <v>1504</v>
      </c>
      <c r="W4610" t="str">
        <f>"$"</f>
        <v>$</v>
      </c>
      <c r="X4610">
        <v>0</v>
      </c>
      <c r="Y4610">
        <v>0</v>
      </c>
      <c r="Z4610">
        <v>0</v>
      </c>
      <c r="AA4610" t="str">
        <f>"Y"</f>
        <v>Y</v>
      </c>
      <c r="AB4610" t="str">
        <f>"SO150003733"</f>
        <v>SO150003733</v>
      </c>
      <c r="AC4610">
        <v>1</v>
      </c>
      <c r="AD4610" s="1">
        <v>42288</v>
      </c>
      <c r="AE4610" t="str">
        <f>"SH15006361"</f>
        <v>SH15006361</v>
      </c>
      <c r="AF4610" t="str">
        <f>"משלוחים ללקוח"</f>
        <v>משלוחים ללקוח</v>
      </c>
      <c r="AG4610" s="1">
        <v>42359</v>
      </c>
      <c r="AM4610" t="str">
        <f>"10"</f>
        <v>10</v>
      </c>
      <c r="AN4610" t="str">
        <f>"500000"</f>
        <v>500000</v>
      </c>
      <c r="AO4610" t="str">
        <f>"הכנסות  מלקוחות"</f>
        <v>הכנסות  מלקוחות</v>
      </c>
      <c r="AQ4610" t="str">
        <f>"007"</f>
        <v>007</v>
      </c>
      <c r="AR4610">
        <v>0</v>
      </c>
      <c r="AS4610">
        <v>0</v>
      </c>
      <c r="AT4610">
        <v>3.8919999999999999</v>
      </c>
      <c r="AX4610" t="str">
        <f>"E000202960"</f>
        <v>E000202960</v>
      </c>
      <c r="BD4610" t="str">
        <f>"רוני דידי"</f>
        <v>רוני דידי</v>
      </c>
    </row>
    <row r="4611" spans="1:56" x14ac:dyDescent="0.3">
      <c r="A4611" s="1">
        <v>42365</v>
      </c>
      <c r="B4611" t="str">
        <f>"SI150004986"</f>
        <v>SI150004986</v>
      </c>
      <c r="C4611" t="str">
        <f>"PR15003146"</f>
        <v>PR15003146</v>
      </c>
      <c r="D4611" t="str">
        <f>"PR15003146"</f>
        <v>PR15003146</v>
      </c>
      <c r="E4611" t="str">
        <f>"Y"</f>
        <v>Y</v>
      </c>
      <c r="F4611" t="str">
        <f>"חשבוניות מרכזות"</f>
        <v>חשבוניות מרכזות</v>
      </c>
      <c r="G4611" t="str">
        <f>"700065"</f>
        <v>700065</v>
      </c>
      <c r="H4611" t="str">
        <f>"אלתא מערכות בע""מ"</f>
        <v>אלתא מערכות בע"מ</v>
      </c>
      <c r="I4611" t="str">
        <f>"10"</f>
        <v>10</v>
      </c>
      <c r="J4611" t="str">
        <f>"OP-AR00186"</f>
        <v>OP-AR00186</v>
      </c>
      <c r="K4611" t="str">
        <f>"רתמה CABLE PWR, DATA AND KEY W06108 4045B723-002"</f>
        <v>רתמה CABLE PWR, DATA AND KEY W06108 4045B723-002</v>
      </c>
      <c r="L4611">
        <v>2</v>
      </c>
      <c r="M4611" t="str">
        <f>"יח"</f>
        <v>יח</v>
      </c>
      <c r="N4611">
        <v>2</v>
      </c>
      <c r="O4611" t="str">
        <f>"יח"</f>
        <v>יח</v>
      </c>
      <c r="P4611" s="2">
        <v>1880</v>
      </c>
      <c r="Q4611" t="str">
        <f>"$"</f>
        <v>$</v>
      </c>
      <c r="R4611" t="str">
        <f>"הזמנה"</f>
        <v>הזמנה</v>
      </c>
      <c r="S4611">
        <v>0</v>
      </c>
      <c r="T4611" s="2">
        <v>3760</v>
      </c>
      <c r="U4611">
        <v>0</v>
      </c>
      <c r="V4611" s="2">
        <v>3760</v>
      </c>
      <c r="W4611" t="str">
        <f>"$"</f>
        <v>$</v>
      </c>
      <c r="X4611">
        <v>0</v>
      </c>
      <c r="Y4611">
        <v>0</v>
      </c>
      <c r="Z4611">
        <v>0</v>
      </c>
      <c r="AA4611" t="str">
        <f>"Y"</f>
        <v>Y</v>
      </c>
      <c r="AB4611" t="str">
        <f>"SO150003733"</f>
        <v>SO150003733</v>
      </c>
      <c r="AC4611">
        <v>2</v>
      </c>
      <c r="AD4611" s="1">
        <v>42288</v>
      </c>
      <c r="AE4611" t="str">
        <f>"SH15006361"</f>
        <v>SH15006361</v>
      </c>
      <c r="AF4611" t="str">
        <f>"משלוחים ללקוח"</f>
        <v>משלוחים ללקוח</v>
      </c>
      <c r="AG4611" s="1">
        <v>42359</v>
      </c>
      <c r="AM4611" t="str">
        <f>"10"</f>
        <v>10</v>
      </c>
      <c r="AN4611" t="str">
        <f>"500000"</f>
        <v>500000</v>
      </c>
      <c r="AO4611" t="str">
        <f>"הכנסות  מלקוחות"</f>
        <v>הכנסות  מלקוחות</v>
      </c>
      <c r="AQ4611" t="str">
        <f>"007"</f>
        <v>007</v>
      </c>
      <c r="AR4611">
        <v>0</v>
      </c>
      <c r="AS4611">
        <v>0</v>
      </c>
      <c r="AT4611">
        <v>3.8919999999999999</v>
      </c>
      <c r="AX4611" t="str">
        <f>"E000202960"</f>
        <v>E000202960</v>
      </c>
      <c r="BD4611" t="str">
        <f>"רוני דידי"</f>
        <v>רוני דידי</v>
      </c>
    </row>
    <row r="4612" spans="1:56" x14ac:dyDescent="0.3">
      <c r="A4612" s="1">
        <v>42365</v>
      </c>
      <c r="B4612" t="str">
        <f>"SI150004986"</f>
        <v>SI150004986</v>
      </c>
      <c r="C4612" t="str">
        <f>"PR15003146"</f>
        <v>PR15003146</v>
      </c>
      <c r="D4612" t="str">
        <f>"PR15003146"</f>
        <v>PR15003146</v>
      </c>
      <c r="E4612" t="str">
        <f>"Y"</f>
        <v>Y</v>
      </c>
      <c r="F4612" t="str">
        <f>"חשבוניות מרכזות"</f>
        <v>חשבוניות מרכזות</v>
      </c>
      <c r="G4612" t="str">
        <f>"700065"</f>
        <v>700065</v>
      </c>
      <c r="H4612" t="str">
        <f>"אלתא מערכות בע""מ"</f>
        <v>אלתא מערכות בע"מ</v>
      </c>
      <c r="I4612" t="str">
        <f>"10"</f>
        <v>10</v>
      </c>
      <c r="J4612" t="str">
        <f>"OP-AR00187"</f>
        <v>OP-AR00187</v>
      </c>
      <c r="K4612" t="str">
        <f>"רתמה CABLE LRDT GND W06109 4045B724-001"</f>
        <v>רתמה CABLE LRDT GND W06109 4045B724-001</v>
      </c>
      <c r="L4612">
        <v>2</v>
      </c>
      <c r="M4612" t="str">
        <f>"יח"</f>
        <v>יח</v>
      </c>
      <c r="N4612">
        <v>2</v>
      </c>
      <c r="O4612" t="str">
        <f>"יח"</f>
        <v>יח</v>
      </c>
      <c r="P4612">
        <v>150</v>
      </c>
      <c r="Q4612" t="str">
        <f>"$"</f>
        <v>$</v>
      </c>
      <c r="R4612" t="str">
        <f>"הזמנה"</f>
        <v>הזמנה</v>
      </c>
      <c r="S4612">
        <v>0</v>
      </c>
      <c r="T4612">
        <v>300</v>
      </c>
      <c r="U4612">
        <v>0</v>
      </c>
      <c r="V4612">
        <v>300</v>
      </c>
      <c r="W4612" t="str">
        <f>"$"</f>
        <v>$</v>
      </c>
      <c r="X4612">
        <v>0</v>
      </c>
      <c r="Y4612">
        <v>0</v>
      </c>
      <c r="Z4612">
        <v>0</v>
      </c>
      <c r="AA4612" t="str">
        <f>"Y"</f>
        <v>Y</v>
      </c>
      <c r="AB4612" t="str">
        <f>"SO150003733"</f>
        <v>SO150003733</v>
      </c>
      <c r="AC4612">
        <v>3</v>
      </c>
      <c r="AD4612" s="1">
        <v>42288</v>
      </c>
      <c r="AE4612" t="str">
        <f>"SH15006361"</f>
        <v>SH15006361</v>
      </c>
      <c r="AF4612" t="str">
        <f>"משלוחים ללקוח"</f>
        <v>משלוחים ללקוח</v>
      </c>
      <c r="AG4612" s="1">
        <v>42359</v>
      </c>
      <c r="AM4612" t="str">
        <f>"10"</f>
        <v>10</v>
      </c>
      <c r="AN4612" t="str">
        <f>"500000"</f>
        <v>500000</v>
      </c>
      <c r="AO4612" t="str">
        <f>"הכנסות  מלקוחות"</f>
        <v>הכנסות  מלקוחות</v>
      </c>
      <c r="AQ4612" t="str">
        <f>"007"</f>
        <v>007</v>
      </c>
      <c r="AR4612">
        <v>0</v>
      </c>
      <c r="AS4612">
        <v>0</v>
      </c>
      <c r="AT4612">
        <v>3.8919999999999999</v>
      </c>
      <c r="AX4612" t="str">
        <f>"E000202960"</f>
        <v>E000202960</v>
      </c>
      <c r="BD4612" t="str">
        <f>"רוני דידי"</f>
        <v>רוני דידי</v>
      </c>
    </row>
    <row r="4613" spans="1:56" x14ac:dyDescent="0.3">
      <c r="A4613" s="1">
        <v>42365</v>
      </c>
      <c r="B4613" t="str">
        <f>"SI150004986"</f>
        <v>SI150004986</v>
      </c>
      <c r="C4613" t="str">
        <f>"PR15003146"</f>
        <v>PR15003146</v>
      </c>
      <c r="D4613" t="str">
        <f>"PR15003146"</f>
        <v>PR15003146</v>
      </c>
      <c r="E4613" t="str">
        <f>"Y"</f>
        <v>Y</v>
      </c>
      <c r="F4613" t="str">
        <f>"חשבוניות מרכזות"</f>
        <v>חשבוניות מרכזות</v>
      </c>
      <c r="G4613" t="str">
        <f>"700065"</f>
        <v>700065</v>
      </c>
      <c r="H4613" t="str">
        <f>"אלתא מערכות בע""מ"</f>
        <v>אלתא מערכות בע"מ</v>
      </c>
      <c r="I4613" t="str">
        <f>"10"</f>
        <v>10</v>
      </c>
      <c r="J4613" t="str">
        <f>"OP-AR00188"</f>
        <v>OP-AR00188</v>
      </c>
      <c r="K4613" t="str">
        <f>"רתמה CABLE PWR AND DATA KEY W07108 4045B726-002"</f>
        <v>רתמה CABLE PWR AND DATA KEY W07108 4045B726-002</v>
      </c>
      <c r="L4613">
        <v>1</v>
      </c>
      <c r="M4613" t="str">
        <f>"יח"</f>
        <v>יח</v>
      </c>
      <c r="N4613">
        <v>1</v>
      </c>
      <c r="O4613" t="str">
        <f>"יח"</f>
        <v>יח</v>
      </c>
      <c r="P4613" s="2">
        <v>2118</v>
      </c>
      <c r="Q4613" t="str">
        <f>"$"</f>
        <v>$</v>
      </c>
      <c r="R4613" t="str">
        <f>"הזמנה"</f>
        <v>הזמנה</v>
      </c>
      <c r="S4613">
        <v>0</v>
      </c>
      <c r="T4613" s="2">
        <v>2118</v>
      </c>
      <c r="U4613">
        <v>0</v>
      </c>
      <c r="V4613" s="2">
        <v>2118</v>
      </c>
      <c r="W4613" t="str">
        <f>"$"</f>
        <v>$</v>
      </c>
      <c r="X4613">
        <v>0</v>
      </c>
      <c r="Y4613">
        <v>0</v>
      </c>
      <c r="Z4613">
        <v>0</v>
      </c>
      <c r="AA4613" t="str">
        <f>"Y"</f>
        <v>Y</v>
      </c>
      <c r="AB4613" t="str">
        <f>"SO150003733"</f>
        <v>SO150003733</v>
      </c>
      <c r="AC4613">
        <v>4</v>
      </c>
      <c r="AD4613" s="1">
        <v>42288</v>
      </c>
      <c r="AE4613" t="str">
        <f>"SH15006361"</f>
        <v>SH15006361</v>
      </c>
      <c r="AF4613" t="str">
        <f>"משלוחים ללקוח"</f>
        <v>משלוחים ללקוח</v>
      </c>
      <c r="AG4613" s="1">
        <v>42359</v>
      </c>
      <c r="AM4613" t="str">
        <f>"10"</f>
        <v>10</v>
      </c>
      <c r="AN4613" t="str">
        <f>"500000"</f>
        <v>500000</v>
      </c>
      <c r="AO4613" t="str">
        <f>"הכנסות  מלקוחות"</f>
        <v>הכנסות  מלקוחות</v>
      </c>
      <c r="AQ4613" t="str">
        <f>"007"</f>
        <v>007</v>
      </c>
      <c r="AR4613">
        <v>0</v>
      </c>
      <c r="AS4613">
        <v>0</v>
      </c>
      <c r="AT4613">
        <v>3.8919999999999999</v>
      </c>
      <c r="AX4613" t="str">
        <f>"E000202960"</f>
        <v>E000202960</v>
      </c>
      <c r="BD4613" t="str">
        <f>"רוני דידי"</f>
        <v>רוני דידי</v>
      </c>
    </row>
    <row r="4614" spans="1:56" x14ac:dyDescent="0.3">
      <c r="A4614" s="1">
        <v>42334</v>
      </c>
      <c r="B4614" t="str">
        <f>"SI150004883"</f>
        <v>SI150004883</v>
      </c>
      <c r="C4614" t="str">
        <f>"PR15003255"</f>
        <v>PR15003255</v>
      </c>
      <c r="D4614" t="str">
        <f>"PR15003255"</f>
        <v>PR15003255</v>
      </c>
      <c r="E4614" t="str">
        <f>"Y"</f>
        <v>Y</v>
      </c>
      <c r="F4614" t="str">
        <f>"חשבוניות מרכזות"</f>
        <v>חשבוניות מרכזות</v>
      </c>
      <c r="G4614" t="str">
        <f>"700065"</f>
        <v>700065</v>
      </c>
      <c r="H4614" t="str">
        <f>"אלתא מערכות בע""מ"</f>
        <v>אלתא מערכות בע"מ</v>
      </c>
      <c r="I4614" t="str">
        <f>"10"</f>
        <v>10</v>
      </c>
      <c r="J4614" t="str">
        <f>"OP-AR00202"</f>
        <v>OP-AR00202</v>
      </c>
      <c r="K4614" t="str">
        <f>"רתמה 1027K732-001"</f>
        <v>רתמה 1027K732-001</v>
      </c>
      <c r="L4614">
        <v>4</v>
      </c>
      <c r="M4614" t="str">
        <f>"יח"</f>
        <v>יח</v>
      </c>
      <c r="N4614">
        <v>4</v>
      </c>
      <c r="O4614" t="str">
        <f>"יח"</f>
        <v>יח</v>
      </c>
      <c r="P4614">
        <v>110</v>
      </c>
      <c r="Q4614" t="str">
        <f>"$"</f>
        <v>$</v>
      </c>
      <c r="R4614" t="str">
        <f>"הזמנה"</f>
        <v>הזמנה</v>
      </c>
      <c r="S4614">
        <v>0</v>
      </c>
      <c r="T4614">
        <v>440</v>
      </c>
      <c r="U4614">
        <v>0</v>
      </c>
      <c r="V4614">
        <v>440</v>
      </c>
      <c r="W4614" t="str">
        <f>"$"</f>
        <v>$</v>
      </c>
      <c r="X4614">
        <v>0</v>
      </c>
      <c r="Y4614">
        <v>0</v>
      </c>
      <c r="Z4614">
        <v>0</v>
      </c>
      <c r="AA4614" t="str">
        <f>"Y"</f>
        <v>Y</v>
      </c>
      <c r="AB4614" t="str">
        <f>"SO150003741"</f>
        <v>SO150003741</v>
      </c>
      <c r="AC4614">
        <v>2</v>
      </c>
      <c r="AD4614" s="1">
        <v>42289</v>
      </c>
      <c r="AE4614" t="str">
        <f>"SH15006143"</f>
        <v>SH15006143</v>
      </c>
      <c r="AF4614" t="str">
        <f>"משלוחים ללקוח"</f>
        <v>משלוחים ללקוח</v>
      </c>
      <c r="AG4614" s="1">
        <v>42333</v>
      </c>
      <c r="AM4614" t="str">
        <f>"10"</f>
        <v>10</v>
      </c>
      <c r="AN4614" t="str">
        <f>"500000"</f>
        <v>500000</v>
      </c>
      <c r="AO4614" t="str">
        <f>"הכנסות  מלקוחות"</f>
        <v>הכנסות  מלקוחות</v>
      </c>
      <c r="AQ4614" t="str">
        <f>"007"</f>
        <v>007</v>
      </c>
      <c r="AR4614">
        <v>0</v>
      </c>
      <c r="AS4614">
        <v>0</v>
      </c>
      <c r="AT4614">
        <v>3.88</v>
      </c>
      <c r="AX4614" t="str">
        <f>"E000204832"</f>
        <v>E000204832</v>
      </c>
      <c r="BD4614" t="str">
        <f>"רוני דידי"</f>
        <v>רוני דידי</v>
      </c>
    </row>
    <row r="4615" spans="1:56" x14ac:dyDescent="0.3">
      <c r="A4615" s="1">
        <v>42334</v>
      </c>
      <c r="B4615" t="str">
        <f>"SI150004883"</f>
        <v>SI150004883</v>
      </c>
      <c r="C4615" t="str">
        <f>"PR15003255"</f>
        <v>PR15003255</v>
      </c>
      <c r="D4615" t="str">
        <f>"PR15003255"</f>
        <v>PR15003255</v>
      </c>
      <c r="E4615" t="str">
        <f>"Y"</f>
        <v>Y</v>
      </c>
      <c r="F4615" t="str">
        <f>"חשבוניות מרכזות"</f>
        <v>חשבוניות מרכזות</v>
      </c>
      <c r="G4615" t="str">
        <f>"700065"</f>
        <v>700065</v>
      </c>
      <c r="H4615" t="str">
        <f>"אלתא מערכות בע""מ"</f>
        <v>אלתא מערכות בע"מ</v>
      </c>
      <c r="I4615" t="str">
        <f>"10"</f>
        <v>10</v>
      </c>
      <c r="J4615" t="str">
        <f>"OP-AR00202"</f>
        <v>OP-AR00202</v>
      </c>
      <c r="K4615" t="str">
        <f>"רתמה 1027K732-001"</f>
        <v>רתמה 1027K732-001</v>
      </c>
      <c r="L4615">
        <v>3</v>
      </c>
      <c r="M4615" t="str">
        <f>"יח"</f>
        <v>יח</v>
      </c>
      <c r="N4615">
        <v>3</v>
      </c>
      <c r="O4615" t="str">
        <f>"יח"</f>
        <v>יח</v>
      </c>
      <c r="P4615">
        <v>110</v>
      </c>
      <c r="Q4615" t="str">
        <f>"$"</f>
        <v>$</v>
      </c>
      <c r="R4615" t="str">
        <f>"הזמנה"</f>
        <v>הזמנה</v>
      </c>
      <c r="S4615">
        <v>0</v>
      </c>
      <c r="T4615">
        <v>330</v>
      </c>
      <c r="U4615">
        <v>0</v>
      </c>
      <c r="V4615">
        <v>330</v>
      </c>
      <c r="W4615" t="str">
        <f>"$"</f>
        <v>$</v>
      </c>
      <c r="X4615">
        <v>0</v>
      </c>
      <c r="Y4615">
        <v>0</v>
      </c>
      <c r="Z4615">
        <v>0</v>
      </c>
      <c r="AA4615" t="str">
        <f>"Y"</f>
        <v>Y</v>
      </c>
      <c r="AB4615" t="str">
        <f>"SO150003741"</f>
        <v>SO150003741</v>
      </c>
      <c r="AC4615">
        <v>3</v>
      </c>
      <c r="AD4615" s="1">
        <v>42289</v>
      </c>
      <c r="AE4615" t="str">
        <f>"SH15006143"</f>
        <v>SH15006143</v>
      </c>
      <c r="AF4615" t="str">
        <f>"משלוחים ללקוח"</f>
        <v>משלוחים ללקוח</v>
      </c>
      <c r="AG4615" s="1">
        <v>42333</v>
      </c>
      <c r="AM4615" t="str">
        <f>"10"</f>
        <v>10</v>
      </c>
      <c r="AN4615" t="str">
        <f>"500000"</f>
        <v>500000</v>
      </c>
      <c r="AO4615" t="str">
        <f>"הכנסות  מלקוחות"</f>
        <v>הכנסות  מלקוחות</v>
      </c>
      <c r="AQ4615" t="str">
        <f>"007"</f>
        <v>007</v>
      </c>
      <c r="AR4615">
        <v>0</v>
      </c>
      <c r="AS4615">
        <v>0</v>
      </c>
      <c r="AT4615">
        <v>3.88</v>
      </c>
      <c r="AX4615" t="str">
        <f>"E000204832"</f>
        <v>E000204832</v>
      </c>
      <c r="BD4615" t="str">
        <f>"רוני דידי"</f>
        <v>רוני דידי</v>
      </c>
    </row>
    <row r="4616" spans="1:56" x14ac:dyDescent="0.3">
      <c r="A4616" s="1">
        <v>42334</v>
      </c>
      <c r="B4616" t="str">
        <f>"SI150004882"</f>
        <v>SI150004882</v>
      </c>
      <c r="C4616" t="str">
        <f>"PR15003262"</f>
        <v>PR15003262</v>
      </c>
      <c r="D4616" t="str">
        <f>"PR15003262"</f>
        <v>PR15003262</v>
      </c>
      <c r="E4616" t="str">
        <f>"Y"</f>
        <v>Y</v>
      </c>
      <c r="F4616" t="str">
        <f>"חשבוניות מרכזות"</f>
        <v>חשבוניות מרכזות</v>
      </c>
      <c r="G4616" t="str">
        <f>"700065"</f>
        <v>700065</v>
      </c>
      <c r="H4616" t="str">
        <f>"אלתא מערכות בע""מ"</f>
        <v>אלתא מערכות בע"מ</v>
      </c>
      <c r="I4616" t="str">
        <f>"10"</f>
        <v>10</v>
      </c>
      <c r="J4616" t="str">
        <f>"OP-AR00203"</f>
        <v>OP-AR00203</v>
      </c>
      <c r="K4616" t="str">
        <f>"רתמה 1092L398-001"</f>
        <v>רתמה 1092L398-001</v>
      </c>
      <c r="L4616">
        <v>2</v>
      </c>
      <c r="M4616" t="str">
        <f>"יח"</f>
        <v>יח</v>
      </c>
      <c r="N4616">
        <v>2</v>
      </c>
      <c r="O4616" t="str">
        <f>"יח"</f>
        <v>יח</v>
      </c>
      <c r="P4616">
        <v>412.5</v>
      </c>
      <c r="Q4616" t="str">
        <f>"$"</f>
        <v>$</v>
      </c>
      <c r="R4616" t="str">
        <f>"הזמנה"</f>
        <v>הזמנה</v>
      </c>
      <c r="S4616">
        <v>0</v>
      </c>
      <c r="T4616">
        <v>825</v>
      </c>
      <c r="U4616">
        <v>0</v>
      </c>
      <c r="V4616">
        <v>825</v>
      </c>
      <c r="W4616" t="str">
        <f>"$"</f>
        <v>$</v>
      </c>
      <c r="X4616">
        <v>0</v>
      </c>
      <c r="Y4616">
        <v>0</v>
      </c>
      <c r="Z4616">
        <v>0</v>
      </c>
      <c r="AA4616" t="str">
        <f>"Y"</f>
        <v>Y</v>
      </c>
      <c r="AB4616" t="str">
        <f>"SO150003740"</f>
        <v>SO150003740</v>
      </c>
      <c r="AC4616">
        <v>1</v>
      </c>
      <c r="AD4616" s="1">
        <v>42289</v>
      </c>
      <c r="AE4616" t="str">
        <f>"SH15006065"</f>
        <v>SH15006065</v>
      </c>
      <c r="AF4616" t="str">
        <f>"משלוחים ללקוח"</f>
        <v>משלוחים ללקוח</v>
      </c>
      <c r="AG4616" s="1">
        <v>42325</v>
      </c>
      <c r="AM4616" t="str">
        <f>"10"</f>
        <v>10</v>
      </c>
      <c r="AN4616" t="str">
        <f>"500000"</f>
        <v>500000</v>
      </c>
      <c r="AO4616" t="str">
        <f>"הכנסות  מלקוחות"</f>
        <v>הכנסות  מלקוחות</v>
      </c>
      <c r="AQ4616" t="str">
        <f>"007"</f>
        <v>007</v>
      </c>
      <c r="AR4616">
        <v>0</v>
      </c>
      <c r="AS4616">
        <v>0</v>
      </c>
      <c r="AT4616">
        <v>3.88</v>
      </c>
      <c r="AX4616" t="str">
        <f>"E000205156"</f>
        <v>E000205156</v>
      </c>
      <c r="BD4616" t="str">
        <f>"רוני דידי"</f>
        <v>רוני דידי</v>
      </c>
    </row>
    <row r="4617" spans="1:56" x14ac:dyDescent="0.3">
      <c r="A4617" s="1">
        <v>42332</v>
      </c>
      <c r="B4617" t="str">
        <f>"SI150004868"</f>
        <v>SI150004868</v>
      </c>
      <c r="C4617" t="str">
        <f>"PR15003234"</f>
        <v>PR15003234</v>
      </c>
      <c r="D4617" t="str">
        <f>"PR15003234"</f>
        <v>PR15003234</v>
      </c>
      <c r="E4617" t="str">
        <f>"Y"</f>
        <v>Y</v>
      </c>
      <c r="F4617" t="str">
        <f>"חשבוניות מרכזות"</f>
        <v>חשבוניות מרכזות</v>
      </c>
      <c r="G4617" t="str">
        <f>"700065"</f>
        <v>700065</v>
      </c>
      <c r="H4617" t="str">
        <f>"אלתא מערכות בע""מ"</f>
        <v>אלתא מערכות בע"מ</v>
      </c>
      <c r="I4617" t="str">
        <f>"10"</f>
        <v>10</v>
      </c>
      <c r="J4617" t="str">
        <f>"SH0100011"</f>
        <v>SH0100011</v>
      </c>
      <c r="K4617" t="str">
        <f>"שנאי 150KVA עם מארז עמיד בתנאי סביבה"</f>
        <v>שנאי 150KVA עם מארז עמיד בתנאי סביבה</v>
      </c>
      <c r="L4617">
        <v>1</v>
      </c>
      <c r="M4617" t="str">
        <f>"יח"</f>
        <v>יח</v>
      </c>
      <c r="N4617">
        <v>1</v>
      </c>
      <c r="O4617" t="str">
        <f>"יח"</f>
        <v>יח</v>
      </c>
      <c r="P4617" s="2">
        <v>14400</v>
      </c>
      <c r="Q4617" t="str">
        <f>"$"</f>
        <v>$</v>
      </c>
      <c r="R4617" t="str">
        <f>"הזמנה"</f>
        <v>הזמנה</v>
      </c>
      <c r="S4617">
        <v>0</v>
      </c>
      <c r="T4617" s="2">
        <v>14400</v>
      </c>
      <c r="U4617">
        <v>0</v>
      </c>
      <c r="V4617" s="2">
        <v>14400</v>
      </c>
      <c r="W4617" t="str">
        <f>"$"</f>
        <v>$</v>
      </c>
      <c r="X4617">
        <v>0</v>
      </c>
      <c r="Y4617">
        <v>0</v>
      </c>
      <c r="Z4617">
        <v>0</v>
      </c>
      <c r="AA4617" t="str">
        <f>"Y"</f>
        <v>Y</v>
      </c>
      <c r="AB4617" t="str">
        <f>"SO150003797"</f>
        <v>SO150003797</v>
      </c>
      <c r="AC4617">
        <v>1</v>
      </c>
      <c r="AD4617" s="1">
        <v>42305</v>
      </c>
      <c r="AE4617" t="str">
        <f>"SH15006050"</f>
        <v>SH15006050</v>
      </c>
      <c r="AF4617" t="str">
        <f>"משלוחים ללקוח"</f>
        <v>משלוחים ללקוח</v>
      </c>
      <c r="AG4617" s="1">
        <v>42324</v>
      </c>
      <c r="AM4617" t="str">
        <f>"10"</f>
        <v>10</v>
      </c>
      <c r="AN4617" t="str">
        <f>"500000"</f>
        <v>500000</v>
      </c>
      <c r="AO4617" t="str">
        <f>"הכנסות  מלקוחות"</f>
        <v>הכנסות  מלקוחות</v>
      </c>
      <c r="AQ4617" t="str">
        <f>"007"</f>
        <v>007</v>
      </c>
      <c r="AR4617">
        <v>0</v>
      </c>
      <c r="AS4617">
        <v>0</v>
      </c>
      <c r="AT4617">
        <v>3.8730000000000002</v>
      </c>
      <c r="AX4617" t="str">
        <f>"E000205671"</f>
        <v>E000205671</v>
      </c>
      <c r="BD4617" t="str">
        <f>"רוני דידי"</f>
        <v>רוני דידי</v>
      </c>
    </row>
    <row r="4618" spans="1:56" x14ac:dyDescent="0.3">
      <c r="A4618" s="1">
        <v>42306</v>
      </c>
      <c r="B4618" t="str">
        <f>"SI150004775"</f>
        <v>SI150004775</v>
      </c>
      <c r="C4618" t="str">
        <f>"PR15002885"</f>
        <v>PR15002885</v>
      </c>
      <c r="D4618" t="str">
        <f>"PR15002885"</f>
        <v>PR15002885</v>
      </c>
      <c r="E4618" t="str">
        <f>"Y"</f>
        <v>Y</v>
      </c>
      <c r="F4618" t="str">
        <f>"חשבוניות מרכזות"</f>
        <v>חשבוניות מרכזות</v>
      </c>
      <c r="G4618" t="str">
        <f>"700065"</f>
        <v>700065</v>
      </c>
      <c r="H4618" t="str">
        <f>"אלתא מערכות בע""מ"</f>
        <v>אלתא מערכות בע"מ</v>
      </c>
      <c r="I4618" t="str">
        <f>"10"</f>
        <v>10</v>
      </c>
      <c r="J4618" t="str">
        <f>"OP-AR00179"</f>
        <v>OP-AR00179</v>
      </c>
      <c r="K4618" t="str">
        <f>"אספקה מסד שרתים 1036Y010-001 חדר בקרה טל שחר"</f>
        <v>אספקה מסד שרתים 1036Y010-001 חדר בקרה טל שחר</v>
      </c>
      <c r="L4618">
        <v>1</v>
      </c>
      <c r="M4618" t="str">
        <f>"יח"</f>
        <v>יח</v>
      </c>
      <c r="N4618">
        <v>1</v>
      </c>
      <c r="O4618" t="str">
        <f>"יח"</f>
        <v>יח</v>
      </c>
      <c r="P4618" s="2">
        <v>8800</v>
      </c>
      <c r="Q4618" t="str">
        <f>"$"</f>
        <v>$</v>
      </c>
      <c r="R4618" t="str">
        <f>"הזמנה"</f>
        <v>הזמנה</v>
      </c>
      <c r="S4618">
        <v>0</v>
      </c>
      <c r="T4618" s="2">
        <v>8800</v>
      </c>
      <c r="U4618">
        <v>0</v>
      </c>
      <c r="V4618" s="2">
        <v>8800</v>
      </c>
      <c r="W4618" t="str">
        <f>"$"</f>
        <v>$</v>
      </c>
      <c r="X4618">
        <v>0</v>
      </c>
      <c r="Y4618">
        <v>0</v>
      </c>
      <c r="Z4618">
        <v>0</v>
      </c>
      <c r="AA4618" t="str">
        <f>"Y"</f>
        <v>Y</v>
      </c>
      <c r="AB4618" t="str">
        <f>"SO150003652"</f>
        <v>SO150003652</v>
      </c>
      <c r="AC4618">
        <v>1</v>
      </c>
      <c r="AD4618" s="1">
        <v>42257</v>
      </c>
      <c r="AE4618" t="str">
        <f>"SH15005880"</f>
        <v>SH15005880</v>
      </c>
      <c r="AF4618" t="str">
        <f>"משלוחים ללקוח"</f>
        <v>משלוחים ללקוח</v>
      </c>
      <c r="AG4618" s="1">
        <v>42305</v>
      </c>
      <c r="AM4618" t="str">
        <f>"10"</f>
        <v>10</v>
      </c>
      <c r="AN4618" t="str">
        <f>"500000"</f>
        <v>500000</v>
      </c>
      <c r="AO4618" t="str">
        <f>"הכנסות  מלקוחות"</f>
        <v>הכנסות  מלקוחות</v>
      </c>
      <c r="AQ4618" t="str">
        <f>"007"</f>
        <v>007</v>
      </c>
      <c r="AR4618">
        <v>0</v>
      </c>
      <c r="AS4618">
        <v>0</v>
      </c>
      <c r="AT4618">
        <v>3.883</v>
      </c>
      <c r="AX4618" t="str">
        <f>"E000203898"</f>
        <v>E000203898</v>
      </c>
      <c r="BD4618" t="str">
        <f>"רוני דידי"</f>
        <v>רוני דידי</v>
      </c>
    </row>
    <row r="4619" spans="1:56" x14ac:dyDescent="0.3">
      <c r="A4619" s="1">
        <v>42306</v>
      </c>
      <c r="B4619" t="str">
        <f>"SI150004775"</f>
        <v>SI150004775</v>
      </c>
      <c r="C4619" t="str">
        <f>"PR15002885"</f>
        <v>PR15002885</v>
      </c>
      <c r="D4619" t="str">
        <f>"PR15002885"</f>
        <v>PR15002885</v>
      </c>
      <c r="E4619" t="str">
        <f>"Y"</f>
        <v>Y</v>
      </c>
      <c r="F4619" t="str">
        <f>"חשבוניות מרכזות"</f>
        <v>חשבוניות מרכזות</v>
      </c>
      <c r="G4619" t="str">
        <f>"700065"</f>
        <v>700065</v>
      </c>
      <c r="H4619" t="str">
        <f>"אלתא מערכות בע""מ"</f>
        <v>אלתא מערכות בע"מ</v>
      </c>
      <c r="I4619" t="str">
        <f>"10"</f>
        <v>10</v>
      </c>
      <c r="J4619" t="str">
        <f>"OP-AR00180"</f>
        <v>OP-AR00180</v>
      </c>
      <c r="K4619" t="str">
        <f>"אספקה מסד עיבוד אות 1036Y020-001 חדר בקרה טל שחר"</f>
        <v>אספקה מסד עיבוד אות 1036Y020-001 חדר בקרה טל שחר</v>
      </c>
      <c r="L4619">
        <v>1</v>
      </c>
      <c r="M4619" t="str">
        <f>"יח"</f>
        <v>יח</v>
      </c>
      <c r="N4619">
        <v>1</v>
      </c>
      <c r="O4619" t="str">
        <f>"יח"</f>
        <v>יח</v>
      </c>
      <c r="P4619" s="2">
        <v>6700</v>
      </c>
      <c r="Q4619" t="str">
        <f>"$"</f>
        <v>$</v>
      </c>
      <c r="R4619" t="str">
        <f>"הזמנה"</f>
        <v>הזמנה</v>
      </c>
      <c r="S4619">
        <v>0</v>
      </c>
      <c r="T4619" s="2">
        <v>6700</v>
      </c>
      <c r="U4619">
        <v>0</v>
      </c>
      <c r="V4619" s="2">
        <v>6700</v>
      </c>
      <c r="W4619" t="str">
        <f>"$"</f>
        <v>$</v>
      </c>
      <c r="X4619">
        <v>0</v>
      </c>
      <c r="Y4619">
        <v>0</v>
      </c>
      <c r="Z4619">
        <v>0</v>
      </c>
      <c r="AA4619" t="str">
        <f>"Y"</f>
        <v>Y</v>
      </c>
      <c r="AB4619" t="str">
        <f>"SO150003652"</f>
        <v>SO150003652</v>
      </c>
      <c r="AC4619">
        <v>2</v>
      </c>
      <c r="AD4619" s="1">
        <v>42257</v>
      </c>
      <c r="AE4619" t="str">
        <f>"SH15005880"</f>
        <v>SH15005880</v>
      </c>
      <c r="AF4619" t="str">
        <f>"משלוחים ללקוח"</f>
        <v>משלוחים ללקוח</v>
      </c>
      <c r="AG4619" s="1">
        <v>42305</v>
      </c>
      <c r="AM4619" t="str">
        <f>"10"</f>
        <v>10</v>
      </c>
      <c r="AN4619" t="str">
        <f>"500000"</f>
        <v>500000</v>
      </c>
      <c r="AO4619" t="str">
        <f>"הכנסות  מלקוחות"</f>
        <v>הכנסות  מלקוחות</v>
      </c>
      <c r="AQ4619" t="str">
        <f>"007"</f>
        <v>007</v>
      </c>
      <c r="AR4619">
        <v>0</v>
      </c>
      <c r="AS4619">
        <v>0</v>
      </c>
      <c r="AT4619">
        <v>3.883</v>
      </c>
      <c r="AX4619" t="str">
        <f>"E000203898"</f>
        <v>E000203898</v>
      </c>
      <c r="BD4619" t="str">
        <f>"רוני דידי"</f>
        <v>רוני דידי</v>
      </c>
    </row>
    <row r="4620" spans="1:56" x14ac:dyDescent="0.3">
      <c r="A4620" s="1">
        <v>42306</v>
      </c>
      <c r="B4620" t="str">
        <f>"SI150004775"</f>
        <v>SI150004775</v>
      </c>
      <c r="C4620" t="str">
        <f>"PR15002885"</f>
        <v>PR15002885</v>
      </c>
      <c r="D4620" t="str">
        <f>"PR15002885"</f>
        <v>PR15002885</v>
      </c>
      <c r="E4620" t="str">
        <f>"Y"</f>
        <v>Y</v>
      </c>
      <c r="F4620" t="str">
        <f>"חשבוניות מרכזות"</f>
        <v>חשבוניות מרכזות</v>
      </c>
      <c r="G4620" t="str">
        <f>"700065"</f>
        <v>700065</v>
      </c>
      <c r="H4620" t="str">
        <f>"אלתא מערכות בע""מ"</f>
        <v>אלתא מערכות בע"מ</v>
      </c>
      <c r="I4620" t="str">
        <f>"10"</f>
        <v>10</v>
      </c>
      <c r="J4620" t="str">
        <f>"OP-AR00181"</f>
        <v>OP-AR00181</v>
      </c>
      <c r="K4620" t="str">
        <f>"אספקה מסד 1036Y030-001 PRCU CRCU חדר בקרה טל שחר"</f>
        <v>אספקה מסד 1036Y030-001 PRCU CRCU חדר בקרה טל שחר</v>
      </c>
      <c r="L4620">
        <v>1</v>
      </c>
      <c r="M4620" t="str">
        <f>"יח"</f>
        <v>יח</v>
      </c>
      <c r="N4620">
        <v>1</v>
      </c>
      <c r="O4620" t="str">
        <f>"יח"</f>
        <v>יח</v>
      </c>
      <c r="P4620" s="2">
        <v>4500</v>
      </c>
      <c r="Q4620" t="str">
        <f>"$"</f>
        <v>$</v>
      </c>
      <c r="R4620" t="str">
        <f>"הזמנה"</f>
        <v>הזמנה</v>
      </c>
      <c r="S4620">
        <v>0</v>
      </c>
      <c r="T4620" s="2">
        <v>4500</v>
      </c>
      <c r="U4620">
        <v>0</v>
      </c>
      <c r="V4620" s="2">
        <v>4500</v>
      </c>
      <c r="W4620" t="str">
        <f>"$"</f>
        <v>$</v>
      </c>
      <c r="X4620">
        <v>0</v>
      </c>
      <c r="Y4620">
        <v>0</v>
      </c>
      <c r="Z4620">
        <v>0</v>
      </c>
      <c r="AA4620" t="str">
        <f>"Y"</f>
        <v>Y</v>
      </c>
      <c r="AB4620" t="str">
        <f>"SO150003652"</f>
        <v>SO150003652</v>
      </c>
      <c r="AC4620">
        <v>3</v>
      </c>
      <c r="AD4620" s="1">
        <v>42257</v>
      </c>
      <c r="AE4620" t="str">
        <f>"SH15005880"</f>
        <v>SH15005880</v>
      </c>
      <c r="AF4620" t="str">
        <f>"משלוחים ללקוח"</f>
        <v>משלוחים ללקוח</v>
      </c>
      <c r="AG4620" s="1">
        <v>42305</v>
      </c>
      <c r="AM4620" t="str">
        <f>"10"</f>
        <v>10</v>
      </c>
      <c r="AN4620" t="str">
        <f>"500000"</f>
        <v>500000</v>
      </c>
      <c r="AO4620" t="str">
        <f>"הכנסות  מלקוחות"</f>
        <v>הכנסות  מלקוחות</v>
      </c>
      <c r="AQ4620" t="str">
        <f>"007"</f>
        <v>007</v>
      </c>
      <c r="AR4620">
        <v>0</v>
      </c>
      <c r="AS4620">
        <v>0</v>
      </c>
      <c r="AT4620">
        <v>3.883</v>
      </c>
      <c r="AX4620" t="str">
        <f>"E000203898"</f>
        <v>E000203898</v>
      </c>
      <c r="BD4620" t="str">
        <f>"רוני דידי"</f>
        <v>רוני דידי</v>
      </c>
    </row>
    <row r="4621" spans="1:56" x14ac:dyDescent="0.3">
      <c r="A4621" s="1">
        <v>42306</v>
      </c>
      <c r="B4621" t="str">
        <f>"SI150004773"</f>
        <v>SI150004773</v>
      </c>
      <c r="C4621" t="str">
        <f>"PR15002885"</f>
        <v>PR15002885</v>
      </c>
      <c r="E4621" t="str">
        <f>"Y"</f>
        <v>Y</v>
      </c>
      <c r="F4621" t="str">
        <f>"חשבוניות מרכזות"</f>
        <v>חשבוניות מרכזות</v>
      </c>
      <c r="G4621" t="str">
        <f>"700065"</f>
        <v>700065</v>
      </c>
      <c r="H4621" t="str">
        <f>"אלתא מערכות בע""מ"</f>
        <v>אלתא מערכות בע"מ</v>
      </c>
      <c r="I4621" t="str">
        <f>"10"</f>
        <v>10</v>
      </c>
      <c r="J4621" t="str">
        <f>"OP-AR00179"</f>
        <v>OP-AR00179</v>
      </c>
      <c r="K4621" t="str">
        <f>"אספקה מסד שרתים 1036Y010-001 חדר בקרה טל שחר"</f>
        <v>אספקה מסד שרתים 1036Y010-001 חדר בקרה טל שחר</v>
      </c>
      <c r="L4621">
        <v>-1</v>
      </c>
      <c r="M4621" t="str">
        <f>"יח"</f>
        <v>יח</v>
      </c>
      <c r="N4621">
        <v>-1</v>
      </c>
      <c r="O4621" t="str">
        <f>"יח"</f>
        <v>יח</v>
      </c>
      <c r="P4621" s="2">
        <v>8800</v>
      </c>
      <c r="Q4621" t="str">
        <f>"$"</f>
        <v>$</v>
      </c>
      <c r="R4621" t="str">
        <f>"הזמנה"</f>
        <v>הזמנה</v>
      </c>
      <c r="S4621">
        <v>0</v>
      </c>
      <c r="T4621" s="2">
        <v>-8800</v>
      </c>
      <c r="U4621">
        <v>0</v>
      </c>
      <c r="V4621" s="2">
        <v>-8800</v>
      </c>
      <c r="W4621" t="str">
        <f>"$"</f>
        <v>$</v>
      </c>
      <c r="X4621">
        <v>0</v>
      </c>
      <c r="Y4621">
        <v>0</v>
      </c>
      <c r="Z4621">
        <v>0</v>
      </c>
      <c r="AA4621" t="str">
        <f>"Y"</f>
        <v>Y</v>
      </c>
      <c r="AC4621">
        <v>0</v>
      </c>
      <c r="AM4621" t="str">
        <f>"10"</f>
        <v>10</v>
      </c>
      <c r="AN4621" t="str">
        <f>"500000"</f>
        <v>500000</v>
      </c>
      <c r="AO4621" t="str">
        <f>"הכנסות  מלקוחות"</f>
        <v>הכנסות  מלקוחות</v>
      </c>
      <c r="AQ4621" t="str">
        <f>"007"</f>
        <v>007</v>
      </c>
      <c r="AR4621">
        <v>0</v>
      </c>
      <c r="AS4621">
        <v>0</v>
      </c>
      <c r="AT4621">
        <v>3.883</v>
      </c>
      <c r="BB4621" t="str">
        <f>"Y"</f>
        <v>Y</v>
      </c>
      <c r="BD4621" t="str">
        <f>"רוני דידי"</f>
        <v>רוני דידי</v>
      </c>
    </row>
    <row r="4622" spans="1:56" x14ac:dyDescent="0.3">
      <c r="A4622" s="1">
        <v>42306</v>
      </c>
      <c r="B4622" t="str">
        <f>"SI150004773"</f>
        <v>SI150004773</v>
      </c>
      <c r="C4622" t="str">
        <f>"PR15002885"</f>
        <v>PR15002885</v>
      </c>
      <c r="E4622" t="str">
        <f>"Y"</f>
        <v>Y</v>
      </c>
      <c r="F4622" t="str">
        <f>"חשבוניות מרכזות"</f>
        <v>חשבוניות מרכזות</v>
      </c>
      <c r="G4622" t="str">
        <f>"700065"</f>
        <v>700065</v>
      </c>
      <c r="H4622" t="str">
        <f>"אלתא מערכות בע""מ"</f>
        <v>אלתא מערכות בע"מ</v>
      </c>
      <c r="I4622" t="str">
        <f>"10"</f>
        <v>10</v>
      </c>
      <c r="J4622" t="str">
        <f>"OP-AR00180"</f>
        <v>OP-AR00180</v>
      </c>
      <c r="K4622" t="str">
        <f>"אספקה מסד עיבוד אות 1036Y020-001 חדר בקרה טל שחר"</f>
        <v>אספקה מסד עיבוד אות 1036Y020-001 חדר בקרה טל שחר</v>
      </c>
      <c r="L4622">
        <v>-1</v>
      </c>
      <c r="M4622" t="str">
        <f>"יח"</f>
        <v>יח</v>
      </c>
      <c r="N4622">
        <v>-1</v>
      </c>
      <c r="O4622" t="str">
        <f>"יח"</f>
        <v>יח</v>
      </c>
      <c r="P4622" s="2">
        <v>6700</v>
      </c>
      <c r="Q4622" t="str">
        <f>"$"</f>
        <v>$</v>
      </c>
      <c r="R4622" t="str">
        <f>"הזמנה"</f>
        <v>הזמנה</v>
      </c>
      <c r="S4622">
        <v>0</v>
      </c>
      <c r="T4622" s="2">
        <v>-6700</v>
      </c>
      <c r="U4622">
        <v>0</v>
      </c>
      <c r="V4622" s="2">
        <v>-6700</v>
      </c>
      <c r="W4622" t="str">
        <f>"$"</f>
        <v>$</v>
      </c>
      <c r="X4622">
        <v>0</v>
      </c>
      <c r="Y4622">
        <v>0</v>
      </c>
      <c r="Z4622">
        <v>0</v>
      </c>
      <c r="AA4622" t="str">
        <f>"Y"</f>
        <v>Y</v>
      </c>
      <c r="AC4622">
        <v>0</v>
      </c>
      <c r="AM4622" t="str">
        <f>"10"</f>
        <v>10</v>
      </c>
      <c r="AN4622" t="str">
        <f>"500000"</f>
        <v>500000</v>
      </c>
      <c r="AO4622" t="str">
        <f>"הכנסות  מלקוחות"</f>
        <v>הכנסות  מלקוחות</v>
      </c>
      <c r="AQ4622" t="str">
        <f>"007"</f>
        <v>007</v>
      </c>
      <c r="AR4622">
        <v>0</v>
      </c>
      <c r="AS4622">
        <v>0</v>
      </c>
      <c r="AT4622">
        <v>3.883</v>
      </c>
      <c r="BB4622" t="str">
        <f>"Y"</f>
        <v>Y</v>
      </c>
      <c r="BD4622" t="str">
        <f>"רוני דידי"</f>
        <v>רוני דידי</v>
      </c>
    </row>
    <row r="4623" spans="1:56" x14ac:dyDescent="0.3">
      <c r="A4623" s="1">
        <v>42306</v>
      </c>
      <c r="B4623" t="str">
        <f>"SI150004773"</f>
        <v>SI150004773</v>
      </c>
      <c r="C4623" t="str">
        <f>"PR15002885"</f>
        <v>PR15002885</v>
      </c>
      <c r="E4623" t="str">
        <f>"Y"</f>
        <v>Y</v>
      </c>
      <c r="F4623" t="str">
        <f>"חשבוניות מרכזות"</f>
        <v>חשבוניות מרכזות</v>
      </c>
      <c r="G4623" t="str">
        <f>"700065"</f>
        <v>700065</v>
      </c>
      <c r="H4623" t="str">
        <f>"אלתא מערכות בע""מ"</f>
        <v>אלתא מערכות בע"מ</v>
      </c>
      <c r="I4623" t="str">
        <f>"10"</f>
        <v>10</v>
      </c>
      <c r="J4623" t="str">
        <f>"OP-AR00181"</f>
        <v>OP-AR00181</v>
      </c>
      <c r="K4623" t="str">
        <f>"אספקה מסד 1036Y030-001 PRCU CRCU חדר בקרה טל שחר"</f>
        <v>אספקה מסד 1036Y030-001 PRCU CRCU חדר בקרה טל שחר</v>
      </c>
      <c r="L4623">
        <v>-1</v>
      </c>
      <c r="M4623" t="str">
        <f>"יח"</f>
        <v>יח</v>
      </c>
      <c r="N4623">
        <v>-1</v>
      </c>
      <c r="O4623" t="str">
        <f>"יח"</f>
        <v>יח</v>
      </c>
      <c r="P4623" s="2">
        <v>4500</v>
      </c>
      <c r="Q4623" t="str">
        <f>"$"</f>
        <v>$</v>
      </c>
      <c r="R4623" t="str">
        <f>"הזמנה"</f>
        <v>הזמנה</v>
      </c>
      <c r="S4623">
        <v>0</v>
      </c>
      <c r="T4623" s="2">
        <v>-4500</v>
      </c>
      <c r="U4623">
        <v>0</v>
      </c>
      <c r="V4623" s="2">
        <v>-4500</v>
      </c>
      <c r="W4623" t="str">
        <f>"$"</f>
        <v>$</v>
      </c>
      <c r="X4623">
        <v>0</v>
      </c>
      <c r="Y4623">
        <v>0</v>
      </c>
      <c r="Z4623">
        <v>0</v>
      </c>
      <c r="AA4623" t="str">
        <f>"Y"</f>
        <v>Y</v>
      </c>
      <c r="AC4623">
        <v>0</v>
      </c>
      <c r="AM4623" t="str">
        <f>"10"</f>
        <v>10</v>
      </c>
      <c r="AN4623" t="str">
        <f>"500000"</f>
        <v>500000</v>
      </c>
      <c r="AO4623" t="str">
        <f>"הכנסות  מלקוחות"</f>
        <v>הכנסות  מלקוחות</v>
      </c>
      <c r="AQ4623" t="str">
        <f>"007"</f>
        <v>007</v>
      </c>
      <c r="AR4623">
        <v>0</v>
      </c>
      <c r="AS4623">
        <v>0</v>
      </c>
      <c r="AT4623">
        <v>3.883</v>
      </c>
      <c r="BB4623" t="str">
        <f>"Y"</f>
        <v>Y</v>
      </c>
      <c r="BD4623" t="str">
        <f>"רוני דידי"</f>
        <v>רוני דידי</v>
      </c>
    </row>
    <row r="4624" spans="1:56" x14ac:dyDescent="0.3">
      <c r="A4624" s="1">
        <v>42306</v>
      </c>
      <c r="B4624" t="str">
        <f>"SI150004772"</f>
        <v>SI150004772</v>
      </c>
      <c r="C4624" t="str">
        <f>"PR15002885"</f>
        <v>PR15002885</v>
      </c>
      <c r="E4624" t="str">
        <f>"Y"</f>
        <v>Y</v>
      </c>
      <c r="F4624" t="str">
        <f>"חשבוניות מרכזות"</f>
        <v>חשבוניות מרכזות</v>
      </c>
      <c r="G4624" t="str">
        <f>"700065"</f>
        <v>700065</v>
      </c>
      <c r="H4624" t="str">
        <f>"אלתא מערכות בע""מ"</f>
        <v>אלתא מערכות בע"מ</v>
      </c>
      <c r="I4624" t="str">
        <f>"10"</f>
        <v>10</v>
      </c>
      <c r="J4624" t="str">
        <f>"OP-AR00179"</f>
        <v>OP-AR00179</v>
      </c>
      <c r="K4624" t="str">
        <f>"אספקה מסד שרתים 1036Y010-001 חדר בקרה טל שחר"</f>
        <v>אספקה מסד שרתים 1036Y010-001 חדר בקרה טל שחר</v>
      </c>
      <c r="L4624">
        <v>1</v>
      </c>
      <c r="M4624" t="str">
        <f>"יח"</f>
        <v>יח</v>
      </c>
      <c r="N4624">
        <v>1</v>
      </c>
      <c r="O4624" t="str">
        <f>"יח"</f>
        <v>יח</v>
      </c>
      <c r="P4624" s="2">
        <v>8800</v>
      </c>
      <c r="Q4624" t="str">
        <f>"$"</f>
        <v>$</v>
      </c>
      <c r="R4624" t="str">
        <f>"הזמנה"</f>
        <v>הזמנה</v>
      </c>
      <c r="S4624">
        <v>0</v>
      </c>
      <c r="T4624" s="2">
        <v>8800</v>
      </c>
      <c r="U4624">
        <v>0</v>
      </c>
      <c r="V4624" s="2">
        <v>8800</v>
      </c>
      <c r="W4624" t="str">
        <f>"$"</f>
        <v>$</v>
      </c>
      <c r="X4624">
        <v>0</v>
      </c>
      <c r="Y4624">
        <v>0</v>
      </c>
      <c r="Z4624">
        <v>0</v>
      </c>
      <c r="AA4624" t="str">
        <f>"Y"</f>
        <v>Y</v>
      </c>
      <c r="AC4624">
        <v>0</v>
      </c>
      <c r="AM4624" t="str">
        <f>"10"</f>
        <v>10</v>
      </c>
      <c r="AN4624" t="str">
        <f>"500000"</f>
        <v>500000</v>
      </c>
      <c r="AO4624" t="str">
        <f>"הכנסות  מלקוחות"</f>
        <v>הכנסות  מלקוחות</v>
      </c>
      <c r="AQ4624" t="str">
        <f>"007"</f>
        <v>007</v>
      </c>
      <c r="AR4624">
        <v>0</v>
      </c>
      <c r="AS4624">
        <v>0</v>
      </c>
      <c r="AT4624">
        <v>3.883</v>
      </c>
      <c r="BB4624" t="str">
        <f>"Y"</f>
        <v>Y</v>
      </c>
      <c r="BD4624" t="str">
        <f>"רוני דידי"</f>
        <v>רוני דידי</v>
      </c>
    </row>
    <row r="4625" spans="1:56" x14ac:dyDescent="0.3">
      <c r="A4625" s="1">
        <v>42306</v>
      </c>
      <c r="B4625" t="str">
        <f>"SI150004772"</f>
        <v>SI150004772</v>
      </c>
      <c r="C4625" t="str">
        <f>"PR15002885"</f>
        <v>PR15002885</v>
      </c>
      <c r="E4625" t="str">
        <f>"Y"</f>
        <v>Y</v>
      </c>
      <c r="F4625" t="str">
        <f>"חשבוניות מרכזות"</f>
        <v>חשבוניות מרכזות</v>
      </c>
      <c r="G4625" t="str">
        <f>"700065"</f>
        <v>700065</v>
      </c>
      <c r="H4625" t="str">
        <f>"אלתא מערכות בע""מ"</f>
        <v>אלתא מערכות בע"מ</v>
      </c>
      <c r="I4625" t="str">
        <f>"10"</f>
        <v>10</v>
      </c>
      <c r="J4625" t="str">
        <f>"OP-AR00180"</f>
        <v>OP-AR00180</v>
      </c>
      <c r="K4625" t="str">
        <f>"אספקה מסד עיבוד אות 1036Y020-001 חדר בקרה טל שחר"</f>
        <v>אספקה מסד עיבוד אות 1036Y020-001 חדר בקרה טל שחר</v>
      </c>
      <c r="L4625">
        <v>1</v>
      </c>
      <c r="M4625" t="str">
        <f>"יח"</f>
        <v>יח</v>
      </c>
      <c r="N4625">
        <v>1</v>
      </c>
      <c r="O4625" t="str">
        <f>"יח"</f>
        <v>יח</v>
      </c>
      <c r="P4625" s="2">
        <v>6700</v>
      </c>
      <c r="Q4625" t="str">
        <f>"$"</f>
        <v>$</v>
      </c>
      <c r="R4625" t="str">
        <f>"הזמנה"</f>
        <v>הזמנה</v>
      </c>
      <c r="S4625">
        <v>0</v>
      </c>
      <c r="T4625" s="2">
        <v>6700</v>
      </c>
      <c r="U4625">
        <v>0</v>
      </c>
      <c r="V4625" s="2">
        <v>6700</v>
      </c>
      <c r="W4625" t="str">
        <f>"$"</f>
        <v>$</v>
      </c>
      <c r="X4625">
        <v>0</v>
      </c>
      <c r="Y4625">
        <v>0</v>
      </c>
      <c r="Z4625">
        <v>0</v>
      </c>
      <c r="AA4625" t="str">
        <f>"Y"</f>
        <v>Y</v>
      </c>
      <c r="AC4625">
        <v>0</v>
      </c>
      <c r="AM4625" t="str">
        <f>"10"</f>
        <v>10</v>
      </c>
      <c r="AN4625" t="str">
        <f>"500000"</f>
        <v>500000</v>
      </c>
      <c r="AO4625" t="str">
        <f>"הכנסות  מלקוחות"</f>
        <v>הכנסות  מלקוחות</v>
      </c>
      <c r="AQ4625" t="str">
        <f>"007"</f>
        <v>007</v>
      </c>
      <c r="AR4625">
        <v>0</v>
      </c>
      <c r="AS4625">
        <v>0</v>
      </c>
      <c r="AT4625">
        <v>3.883</v>
      </c>
      <c r="BB4625" t="str">
        <f>"Y"</f>
        <v>Y</v>
      </c>
      <c r="BD4625" t="str">
        <f>"רוני דידי"</f>
        <v>רוני דידי</v>
      </c>
    </row>
    <row r="4626" spans="1:56" x14ac:dyDescent="0.3">
      <c r="A4626" s="1">
        <v>42306</v>
      </c>
      <c r="B4626" t="str">
        <f>"SI150004772"</f>
        <v>SI150004772</v>
      </c>
      <c r="C4626" t="str">
        <f>"PR15002885"</f>
        <v>PR15002885</v>
      </c>
      <c r="E4626" t="str">
        <f>"Y"</f>
        <v>Y</v>
      </c>
      <c r="F4626" t="str">
        <f>"חשבוניות מרכזות"</f>
        <v>חשבוניות מרכזות</v>
      </c>
      <c r="G4626" t="str">
        <f>"700065"</f>
        <v>700065</v>
      </c>
      <c r="H4626" t="str">
        <f>"אלתא מערכות בע""מ"</f>
        <v>אלתא מערכות בע"מ</v>
      </c>
      <c r="I4626" t="str">
        <f>"10"</f>
        <v>10</v>
      </c>
      <c r="J4626" t="str">
        <f>"OP-AR00181"</f>
        <v>OP-AR00181</v>
      </c>
      <c r="K4626" t="str">
        <f>"אספקה מסד 1036Y030-001 PRCU CRCU חדר בקרה טל שחר"</f>
        <v>אספקה מסד 1036Y030-001 PRCU CRCU חדר בקרה טל שחר</v>
      </c>
      <c r="L4626">
        <v>1</v>
      </c>
      <c r="M4626" t="str">
        <f>"יח"</f>
        <v>יח</v>
      </c>
      <c r="N4626">
        <v>1</v>
      </c>
      <c r="O4626" t="str">
        <f>"יח"</f>
        <v>יח</v>
      </c>
      <c r="P4626" s="2">
        <v>4500</v>
      </c>
      <c r="Q4626" t="str">
        <f>"$"</f>
        <v>$</v>
      </c>
      <c r="R4626" t="str">
        <f>"הזמנה"</f>
        <v>הזמנה</v>
      </c>
      <c r="S4626">
        <v>0</v>
      </c>
      <c r="T4626" s="2">
        <v>4500</v>
      </c>
      <c r="U4626">
        <v>0</v>
      </c>
      <c r="V4626" s="2">
        <v>4500</v>
      </c>
      <c r="W4626" t="str">
        <f>"$"</f>
        <v>$</v>
      </c>
      <c r="X4626">
        <v>0</v>
      </c>
      <c r="Y4626">
        <v>0</v>
      </c>
      <c r="Z4626">
        <v>0</v>
      </c>
      <c r="AA4626" t="str">
        <f>"Y"</f>
        <v>Y</v>
      </c>
      <c r="AC4626">
        <v>0</v>
      </c>
      <c r="AM4626" t="str">
        <f>"10"</f>
        <v>10</v>
      </c>
      <c r="AN4626" t="str">
        <f>"500000"</f>
        <v>500000</v>
      </c>
      <c r="AO4626" t="str">
        <f>"הכנסות  מלקוחות"</f>
        <v>הכנסות  מלקוחות</v>
      </c>
      <c r="AQ4626" t="str">
        <f>"007"</f>
        <v>007</v>
      </c>
      <c r="AR4626">
        <v>0</v>
      </c>
      <c r="AS4626">
        <v>0</v>
      </c>
      <c r="AT4626">
        <v>3.883</v>
      </c>
      <c r="BB4626" t="str">
        <f>"Y"</f>
        <v>Y</v>
      </c>
      <c r="BD4626" t="str">
        <f>"רוני דידי"</f>
        <v>רוני דידי</v>
      </c>
    </row>
    <row r="4627" spans="1:56" x14ac:dyDescent="0.3">
      <c r="A4627" s="1">
        <v>42305</v>
      </c>
      <c r="B4627" t="str">
        <f>"SI150004705"</f>
        <v>SI150004705</v>
      </c>
      <c r="C4627" t="str">
        <f>"PR15003255"</f>
        <v>PR15003255</v>
      </c>
      <c r="D4627" t="str">
        <f>"PR15003255"</f>
        <v>PR15003255</v>
      </c>
      <c r="E4627" t="str">
        <f>"Y"</f>
        <v>Y</v>
      </c>
      <c r="F4627" t="str">
        <f>"חשבוניות מרכזות"</f>
        <v>חשבוניות מרכזות</v>
      </c>
      <c r="G4627" t="str">
        <f>"700065"</f>
        <v>700065</v>
      </c>
      <c r="H4627" t="str">
        <f>"אלתא מערכות בע""מ"</f>
        <v>אלתא מערכות בע"מ</v>
      </c>
      <c r="I4627" t="str">
        <f>"10"</f>
        <v>10</v>
      </c>
      <c r="J4627" t="str">
        <f>"OP-AR00201"</f>
        <v>OP-AR00201</v>
      </c>
      <c r="K4627" t="str">
        <f>"רתמה 1014T251-001"</f>
        <v>רתמה 1014T251-001</v>
      </c>
      <c r="L4627">
        <v>10</v>
      </c>
      <c r="M4627" t="str">
        <f>"יח"</f>
        <v>יח</v>
      </c>
      <c r="N4627">
        <v>10</v>
      </c>
      <c r="O4627" t="str">
        <f>"יח"</f>
        <v>יח</v>
      </c>
      <c r="P4627">
        <v>31</v>
      </c>
      <c r="Q4627" t="str">
        <f>"$"</f>
        <v>$</v>
      </c>
      <c r="R4627" t="str">
        <f>"ידני"</f>
        <v>ידני</v>
      </c>
      <c r="S4627">
        <v>0</v>
      </c>
      <c r="T4627">
        <v>310</v>
      </c>
      <c r="U4627">
        <v>0</v>
      </c>
      <c r="V4627">
        <v>310</v>
      </c>
      <c r="W4627" t="str">
        <f>"$"</f>
        <v>$</v>
      </c>
      <c r="X4627">
        <v>0</v>
      </c>
      <c r="Y4627">
        <v>0</v>
      </c>
      <c r="Z4627">
        <v>0</v>
      </c>
      <c r="AA4627" t="str">
        <f>"Y"</f>
        <v>Y</v>
      </c>
      <c r="AB4627" t="str">
        <f>"SO150003741"</f>
        <v>SO150003741</v>
      </c>
      <c r="AC4627">
        <v>1</v>
      </c>
      <c r="AD4627" s="1">
        <v>42289</v>
      </c>
      <c r="AM4627" t="str">
        <f>"10"</f>
        <v>10</v>
      </c>
      <c r="AN4627" t="str">
        <f>"500000"</f>
        <v>500000</v>
      </c>
      <c r="AO4627" t="str">
        <f>"הכנסות  מלקוחות"</f>
        <v>הכנסות  מלקוחות</v>
      </c>
      <c r="AQ4627" t="str">
        <f>"007"</f>
        <v>007</v>
      </c>
      <c r="AR4627">
        <v>0</v>
      </c>
      <c r="AS4627">
        <v>0</v>
      </c>
      <c r="AT4627">
        <v>3.8719999999999999</v>
      </c>
      <c r="AX4627" t="str">
        <f>"E000204832"</f>
        <v>E000204832</v>
      </c>
      <c r="BD4627" t="str">
        <f>"רוני דידי"</f>
        <v>רוני דידי</v>
      </c>
    </row>
    <row r="4628" spans="1:56" x14ac:dyDescent="0.3">
      <c r="A4628" s="1">
        <v>42304</v>
      </c>
      <c r="B4628" t="str">
        <f>"SI150004768"</f>
        <v>SI150004768</v>
      </c>
      <c r="C4628" t="str">
        <f>"PR14001687"</f>
        <v>PR14001687</v>
      </c>
      <c r="D4628" t="str">
        <f>"PR14001687"</f>
        <v>PR14001687</v>
      </c>
      <c r="E4628" t="str">
        <f>"Y"</f>
        <v>Y</v>
      </c>
      <c r="F4628" t="str">
        <f>"חשבוניות מרכזות"</f>
        <v>חשבוניות מרכזות</v>
      </c>
      <c r="G4628" t="str">
        <f>"700065"</f>
        <v>700065</v>
      </c>
      <c r="H4628" t="str">
        <f>"אלתא מערכות בע""מ"</f>
        <v>אלתא מערכות בע"מ</v>
      </c>
      <c r="I4628" t="str">
        <f>"10"</f>
        <v>10</v>
      </c>
      <c r="J4628" t="str">
        <f>"OP-AR00064"</f>
        <v>OP-AR00064</v>
      </c>
      <c r="K4628" t="str">
        <f>"מערכת SPDB 4007W900-001"</f>
        <v>מערכת SPDB 4007W900-001</v>
      </c>
      <c r="L4628">
        <v>5</v>
      </c>
      <c r="M4628" t="str">
        <f>"יח"</f>
        <v>יח</v>
      </c>
      <c r="N4628">
        <v>5</v>
      </c>
      <c r="O4628" t="str">
        <f>"יח"</f>
        <v>יח</v>
      </c>
      <c r="P4628" s="2">
        <v>4350.45</v>
      </c>
      <c r="Q4628" t="str">
        <f>"$"</f>
        <v>$</v>
      </c>
      <c r="R4628" t="str">
        <f>"הזמנה"</f>
        <v>הזמנה</v>
      </c>
      <c r="S4628">
        <v>0</v>
      </c>
      <c r="T4628" s="2">
        <v>21752.25</v>
      </c>
      <c r="U4628">
        <v>0</v>
      </c>
      <c r="V4628" s="2">
        <v>21752.25</v>
      </c>
      <c r="W4628" t="str">
        <f>"$"</f>
        <v>$</v>
      </c>
      <c r="X4628">
        <v>0</v>
      </c>
      <c r="Y4628">
        <v>0</v>
      </c>
      <c r="Z4628">
        <v>0</v>
      </c>
      <c r="AA4628" t="str">
        <f>"Y"</f>
        <v>Y</v>
      </c>
      <c r="AB4628" t="str">
        <f>"SO140002001"</f>
        <v>SO140002001</v>
      </c>
      <c r="AC4628">
        <v>5</v>
      </c>
      <c r="AD4628" s="1">
        <v>41786</v>
      </c>
      <c r="AE4628" t="str">
        <f>"SH15005836"</f>
        <v>SH15005836</v>
      </c>
      <c r="AF4628" t="str">
        <f>"משלוחים ללקוח"</f>
        <v>משלוחים ללקוח</v>
      </c>
      <c r="AG4628" s="1">
        <v>42302</v>
      </c>
      <c r="AM4628" t="str">
        <f>"10"</f>
        <v>10</v>
      </c>
      <c r="AN4628" t="str">
        <f>"500000"</f>
        <v>500000</v>
      </c>
      <c r="AO4628" t="str">
        <f>"הכנסות  מלקוחות"</f>
        <v>הכנסות  מלקוחות</v>
      </c>
      <c r="AQ4628" t="str">
        <f>"007"</f>
        <v>007</v>
      </c>
      <c r="AR4628">
        <v>0</v>
      </c>
      <c r="AS4628">
        <v>0</v>
      </c>
      <c r="AT4628">
        <v>3.8660000000000001</v>
      </c>
      <c r="AX4628" t="str">
        <f>"E000174899"</f>
        <v>E000174899</v>
      </c>
      <c r="BD4628" t="str">
        <f>"רוני דידי"</f>
        <v>רוני דידי</v>
      </c>
    </row>
    <row r="4629" spans="1:56" x14ac:dyDescent="0.3">
      <c r="A4629" s="1">
        <v>42304</v>
      </c>
      <c r="B4629" t="str">
        <f>"SI150004768"</f>
        <v>SI150004768</v>
      </c>
      <c r="C4629" t="str">
        <f>"PR14001687"</f>
        <v>PR14001687</v>
      </c>
      <c r="D4629" t="str">
        <f>"PR14001687"</f>
        <v>PR14001687</v>
      </c>
      <c r="E4629" t="str">
        <f>"Y"</f>
        <v>Y</v>
      </c>
      <c r="F4629" t="str">
        <f>"חשבוניות מרכזות"</f>
        <v>חשבוניות מרכזות</v>
      </c>
      <c r="G4629" t="str">
        <f>"700065"</f>
        <v>700065</v>
      </c>
      <c r="H4629" t="str">
        <f>"אלתא מערכות בע""מ"</f>
        <v>אלתא מערכות בע"מ</v>
      </c>
      <c r="I4629" t="str">
        <f>"10"</f>
        <v>10</v>
      </c>
      <c r="J4629" t="str">
        <f>"OP-AR00064"</f>
        <v>OP-AR00064</v>
      </c>
      <c r="K4629" t="str">
        <f>"מערכת SPDB 4007W900-001"</f>
        <v>מערכת SPDB 4007W900-001</v>
      </c>
      <c r="L4629">
        <v>17</v>
      </c>
      <c r="M4629" t="str">
        <f>"יח"</f>
        <v>יח</v>
      </c>
      <c r="N4629">
        <v>17</v>
      </c>
      <c r="O4629" t="str">
        <f>"יח"</f>
        <v>יח</v>
      </c>
      <c r="P4629" s="2">
        <v>4350.45</v>
      </c>
      <c r="Q4629" t="str">
        <f>"$"</f>
        <v>$</v>
      </c>
      <c r="R4629" t="str">
        <f>"הזמנה"</f>
        <v>הזמנה</v>
      </c>
      <c r="S4629">
        <v>0</v>
      </c>
      <c r="T4629" s="2">
        <v>73957.649999999994</v>
      </c>
      <c r="U4629">
        <v>0</v>
      </c>
      <c r="V4629" s="2">
        <v>73957.649999999994</v>
      </c>
      <c r="W4629" t="str">
        <f>"$"</f>
        <v>$</v>
      </c>
      <c r="X4629">
        <v>0</v>
      </c>
      <c r="Y4629">
        <v>0</v>
      </c>
      <c r="Z4629">
        <v>0</v>
      </c>
      <c r="AA4629" t="str">
        <f>"Y"</f>
        <v>Y</v>
      </c>
      <c r="AB4629" t="str">
        <f>"SO140002001"</f>
        <v>SO140002001</v>
      </c>
      <c r="AC4629">
        <v>6</v>
      </c>
      <c r="AD4629" s="1">
        <v>41786</v>
      </c>
      <c r="AE4629" t="str">
        <f>"SH15005836"</f>
        <v>SH15005836</v>
      </c>
      <c r="AF4629" t="str">
        <f>"משלוחים ללקוח"</f>
        <v>משלוחים ללקוח</v>
      </c>
      <c r="AG4629" s="1">
        <v>42302</v>
      </c>
      <c r="AM4629" t="str">
        <f>"10"</f>
        <v>10</v>
      </c>
      <c r="AN4629" t="str">
        <f>"500000"</f>
        <v>500000</v>
      </c>
      <c r="AO4629" t="str">
        <f>"הכנסות  מלקוחות"</f>
        <v>הכנסות  מלקוחות</v>
      </c>
      <c r="AQ4629" t="str">
        <f>"007"</f>
        <v>007</v>
      </c>
      <c r="AR4629">
        <v>0</v>
      </c>
      <c r="AS4629">
        <v>0</v>
      </c>
      <c r="AT4629">
        <v>3.8660000000000001</v>
      </c>
      <c r="AX4629" t="str">
        <f>"E000174899"</f>
        <v>E000174899</v>
      </c>
      <c r="BD4629" t="str">
        <f>"רוני דידי"</f>
        <v>רוני דידי</v>
      </c>
    </row>
    <row r="4630" spans="1:56" x14ac:dyDescent="0.3">
      <c r="A4630" s="1">
        <v>42304</v>
      </c>
      <c r="B4630" t="str">
        <f>"SI150004767"</f>
        <v>SI150004767</v>
      </c>
      <c r="C4630" t="str">
        <f>"PR14002337"</f>
        <v>PR14002337</v>
      </c>
      <c r="D4630" t="str">
        <f>"PR14002337"</f>
        <v>PR14002337</v>
      </c>
      <c r="E4630" t="str">
        <f>"Y"</f>
        <v>Y</v>
      </c>
      <c r="F4630" t="str">
        <f>"חשבוניות מרכזות"</f>
        <v>חשבוניות מרכזות</v>
      </c>
      <c r="G4630" t="str">
        <f>"700065"</f>
        <v>700065</v>
      </c>
      <c r="H4630" t="str">
        <f>"אלתא מערכות בע""מ"</f>
        <v>אלתא מערכות בע"מ</v>
      </c>
      <c r="I4630" t="str">
        <f>"10"</f>
        <v>10</v>
      </c>
      <c r="J4630" t="str">
        <f>"OP-AR00090"</f>
        <v>OP-AR00090</v>
      </c>
      <c r="K4630" t="str">
        <f>"מגירת PDU לחטיבת 1031P340-001 CU"</f>
        <v>מגירת PDU לחטיבת 1031P340-001 CU</v>
      </c>
      <c r="L4630">
        <v>1</v>
      </c>
      <c r="M4630" t="str">
        <f>"יח"</f>
        <v>יח</v>
      </c>
      <c r="N4630">
        <v>1</v>
      </c>
      <c r="O4630" t="str">
        <f>"יח"</f>
        <v>יח</v>
      </c>
      <c r="P4630" s="2">
        <v>6850</v>
      </c>
      <c r="Q4630" t="str">
        <f>"$"</f>
        <v>$</v>
      </c>
      <c r="R4630" t="str">
        <f>"הזמנה"</f>
        <v>הזמנה</v>
      </c>
      <c r="S4630">
        <v>0</v>
      </c>
      <c r="T4630" s="2">
        <v>6850</v>
      </c>
      <c r="U4630">
        <v>0</v>
      </c>
      <c r="V4630" s="2">
        <v>6850</v>
      </c>
      <c r="W4630" t="str">
        <f>"$"</f>
        <v>$</v>
      </c>
      <c r="X4630">
        <v>0</v>
      </c>
      <c r="Y4630">
        <v>0</v>
      </c>
      <c r="Z4630">
        <v>0</v>
      </c>
      <c r="AA4630" t="str">
        <f>"Y"</f>
        <v>Y</v>
      </c>
      <c r="AB4630" t="str">
        <f>"SO140002723"</f>
        <v>SO140002723</v>
      </c>
      <c r="AC4630">
        <v>1</v>
      </c>
      <c r="AD4630" s="1">
        <v>41997</v>
      </c>
      <c r="AE4630" t="str">
        <f>"SH15005837"</f>
        <v>SH15005837</v>
      </c>
      <c r="AF4630" t="str">
        <f>"משלוחים ללקוח"</f>
        <v>משלוחים ללקוח</v>
      </c>
      <c r="AG4630" s="1">
        <v>42302</v>
      </c>
      <c r="AM4630" t="str">
        <f>"10"</f>
        <v>10</v>
      </c>
      <c r="AN4630" t="str">
        <f>"500000"</f>
        <v>500000</v>
      </c>
      <c r="AO4630" t="str">
        <f>"הכנסות  מלקוחות"</f>
        <v>הכנסות  מלקוחות</v>
      </c>
      <c r="AQ4630" t="str">
        <f>"007"</f>
        <v>007</v>
      </c>
      <c r="AR4630">
        <v>0</v>
      </c>
      <c r="AS4630">
        <v>0</v>
      </c>
      <c r="AT4630">
        <v>3.8660000000000001</v>
      </c>
      <c r="AX4630" t="str">
        <f>"E000188166"</f>
        <v>E000188166</v>
      </c>
      <c r="BD4630" t="str">
        <f>"רוני דידי"</f>
        <v>רוני דידי</v>
      </c>
    </row>
    <row r="4631" spans="1:56" x14ac:dyDescent="0.3">
      <c r="A4631" s="1">
        <v>42303</v>
      </c>
      <c r="B4631" t="str">
        <f>"SI150004679"</f>
        <v>SI150004679</v>
      </c>
      <c r="C4631" t="str">
        <f>"PR14002143"</f>
        <v>PR14002143</v>
      </c>
      <c r="D4631" t="str">
        <f>"PR14002143"</f>
        <v>PR14002143</v>
      </c>
      <c r="E4631" t="str">
        <f>"Y"</f>
        <v>Y</v>
      </c>
      <c r="F4631" t="str">
        <f>"חשבוניות מרכזות"</f>
        <v>חשבוניות מרכזות</v>
      </c>
      <c r="G4631" t="str">
        <f>"700065"</f>
        <v>700065</v>
      </c>
      <c r="H4631" t="str">
        <f>"אלתא מערכות בע""מ"</f>
        <v>אלתא מערכות בע"מ</v>
      </c>
      <c r="I4631" t="str">
        <f>"10"</f>
        <v>10</v>
      </c>
      <c r="J4631" t="str">
        <f>"OP-AR00225"</f>
        <v>OP-AR00225</v>
      </c>
      <c r="K4631" t="str">
        <f>"ביצוע אנליזות תרמיות וחוזק PDB"</f>
        <v>ביצוע אנליזות תרמיות וחוזק PDB</v>
      </c>
      <c r="L4631">
        <v>1</v>
      </c>
      <c r="M4631" t="str">
        <f>"יח"</f>
        <v>יח</v>
      </c>
      <c r="N4631">
        <v>1</v>
      </c>
      <c r="O4631" t="str">
        <f>"יח"</f>
        <v>יח</v>
      </c>
      <c r="P4631" s="2">
        <v>16950</v>
      </c>
      <c r="Q4631" t="str">
        <f>"$"</f>
        <v>$</v>
      </c>
      <c r="R4631" t="str">
        <f>"ידני"</f>
        <v>ידני</v>
      </c>
      <c r="S4631">
        <v>0</v>
      </c>
      <c r="T4631" s="2">
        <v>16950</v>
      </c>
      <c r="U4631">
        <v>0</v>
      </c>
      <c r="V4631" s="2">
        <v>16950</v>
      </c>
      <c r="W4631" t="str">
        <f>"$"</f>
        <v>$</v>
      </c>
      <c r="X4631">
        <v>0</v>
      </c>
      <c r="Y4631">
        <v>0</v>
      </c>
      <c r="Z4631">
        <v>0</v>
      </c>
      <c r="AA4631" t="str">
        <f>"Y"</f>
        <v>Y</v>
      </c>
      <c r="AB4631" t="str">
        <f>"SO150003791"</f>
        <v>SO150003791</v>
      </c>
      <c r="AC4631">
        <v>1</v>
      </c>
      <c r="AD4631" s="1">
        <v>42303</v>
      </c>
      <c r="AM4631" t="str">
        <f>"10"</f>
        <v>10</v>
      </c>
      <c r="AN4631" t="str">
        <f>"500000"</f>
        <v>500000</v>
      </c>
      <c r="AO4631" t="str">
        <f>"הכנסות  מלקוחות"</f>
        <v>הכנסות  מלקוחות</v>
      </c>
      <c r="AQ4631" t="str">
        <f>"007"</f>
        <v>007</v>
      </c>
      <c r="AR4631">
        <v>0</v>
      </c>
      <c r="AS4631">
        <v>0</v>
      </c>
      <c r="AT4631">
        <v>3.8809999999999998</v>
      </c>
      <c r="AX4631" t="str">
        <f>"E000205151"</f>
        <v>E000205151</v>
      </c>
      <c r="BD4631" t="str">
        <f>"רוני דידי"</f>
        <v>רוני דידי</v>
      </c>
    </row>
    <row r="4632" spans="1:56" x14ac:dyDescent="0.3">
      <c r="A4632" s="1">
        <v>42296</v>
      </c>
      <c r="B4632" t="str">
        <f>"SI150004667"</f>
        <v>SI150004667</v>
      </c>
      <c r="C4632" t="str">
        <f>"PR15003276"</f>
        <v>PR15003276</v>
      </c>
      <c r="D4632" t="str">
        <f>"PR15003276"</f>
        <v>PR15003276</v>
      </c>
      <c r="E4632" t="str">
        <f>"Y"</f>
        <v>Y</v>
      </c>
      <c r="F4632" t="str">
        <f>"חשבוניות מרכזות"</f>
        <v>חשבוניות מרכזות</v>
      </c>
      <c r="G4632" t="str">
        <f>"700065"</f>
        <v>700065</v>
      </c>
      <c r="H4632" t="str">
        <f>"אלתא מערכות בע""מ"</f>
        <v>אלתא מערכות בע"מ</v>
      </c>
      <c r="I4632" t="str">
        <f>"10"</f>
        <v>10</v>
      </c>
      <c r="J4632" t="str">
        <f>"ZV9900005"</f>
        <v>ZV9900005</v>
      </c>
      <c r="K4632" t="str">
        <f>"Shelf Base 45 בסיס למגירה  700"</f>
        <v>Shelf Base 45 בסיס למגירה  700</v>
      </c>
      <c r="L4632">
        <v>10</v>
      </c>
      <c r="M4632" t="str">
        <f>"יח"</f>
        <v>יח</v>
      </c>
      <c r="N4632">
        <v>10</v>
      </c>
      <c r="O4632" t="str">
        <f>"יח"</f>
        <v>יח</v>
      </c>
      <c r="P4632">
        <v>25</v>
      </c>
      <c r="Q4632" t="str">
        <f>"$"</f>
        <v>$</v>
      </c>
      <c r="R4632" t="str">
        <f>"הזמנה"</f>
        <v>הזמנה</v>
      </c>
      <c r="S4632">
        <v>0</v>
      </c>
      <c r="T4632">
        <v>250</v>
      </c>
      <c r="U4632">
        <v>0</v>
      </c>
      <c r="V4632">
        <v>250</v>
      </c>
      <c r="W4632" t="str">
        <f>"$"</f>
        <v>$</v>
      </c>
      <c r="X4632">
        <v>0</v>
      </c>
      <c r="Y4632">
        <v>0</v>
      </c>
      <c r="Z4632">
        <v>0</v>
      </c>
      <c r="AA4632" t="str">
        <f>"Y"</f>
        <v>Y</v>
      </c>
      <c r="AB4632" t="str">
        <f>"SO150003770"</f>
        <v>SO150003770</v>
      </c>
      <c r="AC4632">
        <v>1</v>
      </c>
      <c r="AD4632" s="1">
        <v>42295</v>
      </c>
      <c r="AE4632" t="str">
        <f>"SH15005784"</f>
        <v>SH15005784</v>
      </c>
      <c r="AF4632" t="str">
        <f>"משלוחים ללקוח"</f>
        <v>משלוחים ללקוח</v>
      </c>
      <c r="AG4632" s="1">
        <v>42295</v>
      </c>
      <c r="AM4632" t="str">
        <f>"10"</f>
        <v>10</v>
      </c>
      <c r="AN4632" t="str">
        <f>"500000"</f>
        <v>500000</v>
      </c>
      <c r="AO4632" t="str">
        <f>"הכנסות  מלקוחות"</f>
        <v>הכנסות  מלקוחות</v>
      </c>
      <c r="AQ4632" t="str">
        <f>"007"</f>
        <v>007</v>
      </c>
      <c r="AR4632">
        <v>0</v>
      </c>
      <c r="AS4632">
        <v>0</v>
      </c>
      <c r="AT4632">
        <v>3.8420000000000001</v>
      </c>
      <c r="AX4632" t="str">
        <f>"E000205116"</f>
        <v>E000205116</v>
      </c>
      <c r="BD4632" t="str">
        <f>"רוני דידי"</f>
        <v>רוני דידי</v>
      </c>
    </row>
    <row r="4633" spans="1:56" x14ac:dyDescent="0.3">
      <c r="A4633" s="1">
        <v>42296</v>
      </c>
      <c r="B4633" t="str">
        <f>"SI150004667"</f>
        <v>SI150004667</v>
      </c>
      <c r="C4633" t="str">
        <f>"PR15003276"</f>
        <v>PR15003276</v>
      </c>
      <c r="D4633" t="str">
        <f>"PR15003276"</f>
        <v>PR15003276</v>
      </c>
      <c r="E4633" t="str">
        <f>"Y"</f>
        <v>Y</v>
      </c>
      <c r="F4633" t="str">
        <f>"חשבוניות מרכזות"</f>
        <v>חשבוניות מרכזות</v>
      </c>
      <c r="G4633" t="str">
        <f>"700065"</f>
        <v>700065</v>
      </c>
      <c r="H4633" t="str">
        <f>"אלתא מערכות בע""מ"</f>
        <v>אלתא מערכות בע"מ</v>
      </c>
      <c r="I4633" t="str">
        <f>"10"</f>
        <v>10</v>
      </c>
      <c r="J4633" t="str">
        <f>"ZV0100095"</f>
        <v>ZV0100095</v>
      </c>
      <c r="K4633" t="str">
        <f>"פנל עיור 19"" גובה 1U צבע שחור טקסטורה"</f>
        <v>פנל עיור 19" גובה 1U צבע שחור טקסטורה</v>
      </c>
      <c r="L4633">
        <v>12</v>
      </c>
      <c r="M4633" t="str">
        <f>"יח"</f>
        <v>יח</v>
      </c>
      <c r="N4633">
        <v>12</v>
      </c>
      <c r="O4633" t="str">
        <f>"יח"</f>
        <v>יח</v>
      </c>
      <c r="P4633">
        <v>5</v>
      </c>
      <c r="Q4633" t="str">
        <f>"$"</f>
        <v>$</v>
      </c>
      <c r="R4633" t="str">
        <f>"הזמנה"</f>
        <v>הזמנה</v>
      </c>
      <c r="S4633">
        <v>0</v>
      </c>
      <c r="T4633">
        <v>60</v>
      </c>
      <c r="U4633">
        <v>0</v>
      </c>
      <c r="V4633">
        <v>60</v>
      </c>
      <c r="W4633" t="str">
        <f>"$"</f>
        <v>$</v>
      </c>
      <c r="X4633">
        <v>0</v>
      </c>
      <c r="Y4633">
        <v>0</v>
      </c>
      <c r="Z4633">
        <v>0</v>
      </c>
      <c r="AA4633" t="str">
        <f>"Y"</f>
        <v>Y</v>
      </c>
      <c r="AB4633" t="str">
        <f>"SO150003770"</f>
        <v>SO150003770</v>
      </c>
      <c r="AC4633">
        <v>2</v>
      </c>
      <c r="AD4633" s="1">
        <v>42295</v>
      </c>
      <c r="AE4633" t="str">
        <f>"SH15005784"</f>
        <v>SH15005784</v>
      </c>
      <c r="AF4633" t="str">
        <f>"משלוחים ללקוח"</f>
        <v>משלוחים ללקוח</v>
      </c>
      <c r="AG4633" s="1">
        <v>42295</v>
      </c>
      <c r="AM4633" t="str">
        <f>"10"</f>
        <v>10</v>
      </c>
      <c r="AN4633" t="str">
        <f>"500000"</f>
        <v>500000</v>
      </c>
      <c r="AO4633" t="str">
        <f>"הכנסות  מלקוחות"</f>
        <v>הכנסות  מלקוחות</v>
      </c>
      <c r="AQ4633" t="str">
        <f>"007"</f>
        <v>007</v>
      </c>
      <c r="AR4633">
        <v>0</v>
      </c>
      <c r="AS4633">
        <v>0</v>
      </c>
      <c r="AT4633">
        <v>3.8420000000000001</v>
      </c>
      <c r="AX4633" t="str">
        <f>"E000205116"</f>
        <v>E000205116</v>
      </c>
      <c r="BD4633" t="str">
        <f>"רוני דידי"</f>
        <v>רוני דידי</v>
      </c>
    </row>
    <row r="4634" spans="1:56" x14ac:dyDescent="0.3">
      <c r="A4634" s="1">
        <v>42296</v>
      </c>
      <c r="B4634" t="str">
        <f>"SI150004667"</f>
        <v>SI150004667</v>
      </c>
      <c r="C4634" t="str">
        <f>"PR15003276"</f>
        <v>PR15003276</v>
      </c>
      <c r="D4634" t="str">
        <f>"PR15003276"</f>
        <v>PR15003276</v>
      </c>
      <c r="E4634" t="str">
        <f>"Y"</f>
        <v>Y</v>
      </c>
      <c r="F4634" t="str">
        <f>"חשבוניות מרכזות"</f>
        <v>חשבוניות מרכזות</v>
      </c>
      <c r="G4634" t="str">
        <f>"700065"</f>
        <v>700065</v>
      </c>
      <c r="H4634" t="str">
        <f>"אלתא מערכות בע""מ"</f>
        <v>אלתא מערכות בע"מ</v>
      </c>
      <c r="I4634" t="str">
        <f>"10"</f>
        <v>10</v>
      </c>
      <c r="J4634" t="str">
        <f>"ZV0196618"</f>
        <v>ZV0196618</v>
      </c>
      <c r="K4634" t="str">
        <f>"פנל עיור 19"" גובה 1U טקסטורה 7032"</f>
        <v>פנל עיור 19" גובה 1U טקסטורה 7032</v>
      </c>
      <c r="L4634">
        <v>12</v>
      </c>
      <c r="M4634" t="str">
        <f>"יח"</f>
        <v>יח</v>
      </c>
      <c r="N4634">
        <v>12</v>
      </c>
      <c r="O4634" t="str">
        <f>"יח"</f>
        <v>יח</v>
      </c>
      <c r="P4634">
        <v>5</v>
      </c>
      <c r="Q4634" t="str">
        <f>"$"</f>
        <v>$</v>
      </c>
      <c r="R4634" t="str">
        <f>"הזמנה"</f>
        <v>הזמנה</v>
      </c>
      <c r="S4634">
        <v>0</v>
      </c>
      <c r="T4634">
        <v>60</v>
      </c>
      <c r="U4634">
        <v>0</v>
      </c>
      <c r="V4634">
        <v>60</v>
      </c>
      <c r="W4634" t="str">
        <f>"$"</f>
        <v>$</v>
      </c>
      <c r="X4634">
        <v>0</v>
      </c>
      <c r="Y4634">
        <v>0</v>
      </c>
      <c r="Z4634">
        <v>0</v>
      </c>
      <c r="AA4634" t="str">
        <f>"Y"</f>
        <v>Y</v>
      </c>
      <c r="AB4634" t="str">
        <f>"SO150003770"</f>
        <v>SO150003770</v>
      </c>
      <c r="AC4634">
        <v>3</v>
      </c>
      <c r="AD4634" s="1">
        <v>42295</v>
      </c>
      <c r="AE4634" t="str">
        <f>"SH15005784"</f>
        <v>SH15005784</v>
      </c>
      <c r="AF4634" t="str">
        <f>"משלוחים ללקוח"</f>
        <v>משלוחים ללקוח</v>
      </c>
      <c r="AG4634" s="1">
        <v>42295</v>
      </c>
      <c r="AM4634" t="str">
        <f>"10"</f>
        <v>10</v>
      </c>
      <c r="AN4634" t="str">
        <f>"500000"</f>
        <v>500000</v>
      </c>
      <c r="AO4634" t="str">
        <f>"הכנסות  מלקוחות"</f>
        <v>הכנסות  מלקוחות</v>
      </c>
      <c r="AQ4634" t="str">
        <f>"007"</f>
        <v>007</v>
      </c>
      <c r="AR4634">
        <v>0</v>
      </c>
      <c r="AS4634">
        <v>0</v>
      </c>
      <c r="AT4634">
        <v>3.8420000000000001</v>
      </c>
      <c r="AX4634" t="str">
        <f>"E000205116"</f>
        <v>E000205116</v>
      </c>
      <c r="BD4634" t="str">
        <f>"רוני דידי"</f>
        <v>רוני דידי</v>
      </c>
    </row>
    <row r="4635" spans="1:56" x14ac:dyDescent="0.3">
      <c r="A4635" s="1">
        <v>42296</v>
      </c>
      <c r="B4635" t="str">
        <f>"SI150004666"</f>
        <v>SI150004666</v>
      </c>
      <c r="C4635" t="str">
        <f>"PR15003091"</f>
        <v>PR15003091</v>
      </c>
      <c r="D4635" t="str">
        <f>"PR15003091"</f>
        <v>PR15003091</v>
      </c>
      <c r="E4635" t="str">
        <f>"Y"</f>
        <v>Y</v>
      </c>
      <c r="F4635" t="str">
        <f>"חשבוניות מרכזות"</f>
        <v>חשבוניות מרכזות</v>
      </c>
      <c r="G4635" t="str">
        <f>"700065"</f>
        <v>700065</v>
      </c>
      <c r="H4635" t="str">
        <f>"אלתא מערכות בע""מ"</f>
        <v>אלתא מערכות בע"מ</v>
      </c>
      <c r="I4635" t="str">
        <f>"10"</f>
        <v>10</v>
      </c>
      <c r="J4635" t="str">
        <f>"OP-AR00175"</f>
        <v>OP-AR00175</v>
      </c>
      <c r="K4635" t="str">
        <f>"רתמה DLIW6 CABLE ASSY- 2109B760-001"</f>
        <v>רתמה DLIW6 CABLE ASSY- 2109B760-001</v>
      </c>
      <c r="L4635">
        <v>2</v>
      </c>
      <c r="M4635" t="str">
        <f>"יח"</f>
        <v>יח</v>
      </c>
      <c r="N4635">
        <v>2</v>
      </c>
      <c r="O4635" t="str">
        <f>"יח"</f>
        <v>יח</v>
      </c>
      <c r="P4635">
        <v>141.88</v>
      </c>
      <c r="Q4635" t="str">
        <f>"$"</f>
        <v>$</v>
      </c>
      <c r="R4635" t="str">
        <f>"הזמנה"</f>
        <v>הזמנה</v>
      </c>
      <c r="S4635">
        <v>0</v>
      </c>
      <c r="T4635">
        <v>283.76</v>
      </c>
      <c r="U4635">
        <v>0</v>
      </c>
      <c r="V4635">
        <v>283.76</v>
      </c>
      <c r="W4635" t="str">
        <f>"$"</f>
        <v>$</v>
      </c>
      <c r="X4635">
        <v>0</v>
      </c>
      <c r="Y4635">
        <v>0</v>
      </c>
      <c r="Z4635">
        <v>0</v>
      </c>
      <c r="AA4635" t="str">
        <f>"Y"</f>
        <v>Y</v>
      </c>
      <c r="AB4635" t="str">
        <f>"SO150003550"</f>
        <v>SO150003550</v>
      </c>
      <c r="AC4635">
        <v>1</v>
      </c>
      <c r="AD4635" s="1">
        <v>42229</v>
      </c>
      <c r="AE4635" t="str">
        <f>"SH15005787"</f>
        <v>SH15005787</v>
      </c>
      <c r="AF4635" t="str">
        <f>"משלוחים ללקוח"</f>
        <v>משלוחים ללקוח</v>
      </c>
      <c r="AG4635" s="1">
        <v>42295</v>
      </c>
      <c r="AM4635" t="str">
        <f>"10"</f>
        <v>10</v>
      </c>
      <c r="AN4635" t="str">
        <f>"500000"</f>
        <v>500000</v>
      </c>
      <c r="AO4635" t="str">
        <f>"הכנסות  מלקוחות"</f>
        <v>הכנסות  מלקוחות</v>
      </c>
      <c r="AQ4635" t="str">
        <f>"007"</f>
        <v>007</v>
      </c>
      <c r="AR4635">
        <v>0</v>
      </c>
      <c r="AS4635">
        <v>0</v>
      </c>
      <c r="AT4635">
        <v>3.8420000000000001</v>
      </c>
      <c r="AX4635" t="str">
        <f>"E000202939"</f>
        <v>E000202939</v>
      </c>
      <c r="BD4635" t="str">
        <f>"רוני דידי"</f>
        <v>רוני דידי</v>
      </c>
    </row>
    <row r="4636" spans="1:56" x14ac:dyDescent="0.3">
      <c r="A4636" s="1">
        <v>42296</v>
      </c>
      <c r="B4636" t="str">
        <f>"SI150004666"</f>
        <v>SI150004666</v>
      </c>
      <c r="C4636" t="str">
        <f>"PR15003091"</f>
        <v>PR15003091</v>
      </c>
      <c r="D4636" t="str">
        <f>"PR15003091"</f>
        <v>PR15003091</v>
      </c>
      <c r="E4636" t="str">
        <f>"Y"</f>
        <v>Y</v>
      </c>
      <c r="F4636" t="str">
        <f>"חשבוניות מרכזות"</f>
        <v>חשבוניות מרכזות</v>
      </c>
      <c r="G4636" t="str">
        <f>"700065"</f>
        <v>700065</v>
      </c>
      <c r="H4636" t="str">
        <f>"אלתא מערכות בע""מ"</f>
        <v>אלתא מערכות בע"מ</v>
      </c>
      <c r="I4636" t="str">
        <f>"10"</f>
        <v>10</v>
      </c>
      <c r="J4636" t="str">
        <f>"OP-AR00176"</f>
        <v>OP-AR00176</v>
      </c>
      <c r="K4636" t="str">
        <f>"רתמה BLKXW3 CABLE ASSY- 2114B154-001"</f>
        <v>רתמה BLKXW3 CABLE ASSY- 2114B154-001</v>
      </c>
      <c r="L4636">
        <v>3</v>
      </c>
      <c r="M4636" t="str">
        <f>"יח"</f>
        <v>יח</v>
      </c>
      <c r="N4636">
        <v>3</v>
      </c>
      <c r="O4636" t="str">
        <f>"יח"</f>
        <v>יח</v>
      </c>
      <c r="P4636">
        <v>272.11</v>
      </c>
      <c r="Q4636" t="str">
        <f>"$"</f>
        <v>$</v>
      </c>
      <c r="R4636" t="str">
        <f>"הזמנה"</f>
        <v>הזמנה</v>
      </c>
      <c r="S4636">
        <v>0</v>
      </c>
      <c r="T4636">
        <v>816.33</v>
      </c>
      <c r="U4636">
        <v>0</v>
      </c>
      <c r="V4636">
        <v>816.33</v>
      </c>
      <c r="W4636" t="str">
        <f>"$"</f>
        <v>$</v>
      </c>
      <c r="X4636">
        <v>0</v>
      </c>
      <c r="Y4636">
        <v>0</v>
      </c>
      <c r="Z4636">
        <v>0</v>
      </c>
      <c r="AA4636" t="str">
        <f>"Y"</f>
        <v>Y</v>
      </c>
      <c r="AB4636" t="str">
        <f>"SO150003550"</f>
        <v>SO150003550</v>
      </c>
      <c r="AC4636">
        <v>2</v>
      </c>
      <c r="AD4636" s="1">
        <v>42229</v>
      </c>
      <c r="AE4636" t="str">
        <f>"SH15005787"</f>
        <v>SH15005787</v>
      </c>
      <c r="AF4636" t="str">
        <f>"משלוחים ללקוח"</f>
        <v>משלוחים ללקוח</v>
      </c>
      <c r="AG4636" s="1">
        <v>42295</v>
      </c>
      <c r="AM4636" t="str">
        <f>"10"</f>
        <v>10</v>
      </c>
      <c r="AN4636" t="str">
        <f>"500000"</f>
        <v>500000</v>
      </c>
      <c r="AO4636" t="str">
        <f>"הכנסות  מלקוחות"</f>
        <v>הכנסות  מלקוחות</v>
      </c>
      <c r="AQ4636" t="str">
        <f>"007"</f>
        <v>007</v>
      </c>
      <c r="AR4636">
        <v>0</v>
      </c>
      <c r="AS4636">
        <v>0</v>
      </c>
      <c r="AT4636">
        <v>3.8420000000000001</v>
      </c>
      <c r="AX4636" t="str">
        <f>"E000202939"</f>
        <v>E000202939</v>
      </c>
      <c r="BD4636" t="str">
        <f>"רוני דידי"</f>
        <v>רוני דידי</v>
      </c>
    </row>
    <row r="4637" spans="1:56" x14ac:dyDescent="0.3">
      <c r="A4637" s="1">
        <v>42292</v>
      </c>
      <c r="B4637" t="str">
        <f>"SI150004652"</f>
        <v>SI150004652</v>
      </c>
      <c r="C4637" t="str">
        <f>"PR13000084"</f>
        <v>PR13000084</v>
      </c>
      <c r="E4637" t="str">
        <f>"Y"</f>
        <v>Y</v>
      </c>
      <c r="F4637" t="str">
        <f>"חשבוניות מרכזות"</f>
        <v>חשבוניות מרכזות</v>
      </c>
      <c r="G4637" t="str">
        <f>"700065"</f>
        <v>700065</v>
      </c>
      <c r="H4637" t="str">
        <f>"אלתא מערכות בע""מ"</f>
        <v>אלתא מערכות בע"מ</v>
      </c>
      <c r="I4637" t="str">
        <f>"10"</f>
        <v>10</v>
      </c>
      <c r="J4637" t="str">
        <f>"OP-AR09107-2"</f>
        <v>OP-AR09107-2</v>
      </c>
      <c r="K4637" t="str">
        <f>"לוח AUX BOX מק""ט לקוח 1026L320-002"</f>
        <v>לוח AUX BOX מק"ט לקוח 1026L320-002</v>
      </c>
      <c r="L4637">
        <v>-1</v>
      </c>
      <c r="M4637" t="str">
        <f>"יח"</f>
        <v>יח</v>
      </c>
      <c r="N4637">
        <v>-1</v>
      </c>
      <c r="O4637" t="str">
        <f>"יח"</f>
        <v>יח</v>
      </c>
      <c r="P4637" s="2">
        <v>11637.58</v>
      </c>
      <c r="Q4637" t="str">
        <f>"$"</f>
        <v>$</v>
      </c>
      <c r="R4637" t="str">
        <f>"הזמנה"</f>
        <v>הזמנה</v>
      </c>
      <c r="S4637">
        <v>0</v>
      </c>
      <c r="T4637" s="2">
        <v>-11637.58</v>
      </c>
      <c r="U4637">
        <v>0</v>
      </c>
      <c r="V4637" s="2">
        <v>-11637.58</v>
      </c>
      <c r="W4637" t="str">
        <f>"$"</f>
        <v>$</v>
      </c>
      <c r="X4637">
        <v>0</v>
      </c>
      <c r="Y4637">
        <v>0</v>
      </c>
      <c r="Z4637">
        <v>0</v>
      </c>
      <c r="AA4637" t="str">
        <f>"Y"</f>
        <v>Y</v>
      </c>
      <c r="AC4637">
        <v>0</v>
      </c>
      <c r="AM4637" t="str">
        <f>"10"</f>
        <v>10</v>
      </c>
      <c r="AN4637" t="str">
        <f>"500000"</f>
        <v>500000</v>
      </c>
      <c r="AO4637" t="str">
        <f>"הכנסות  מלקוחות"</f>
        <v>הכנסות  מלקוחות</v>
      </c>
      <c r="AQ4637" t="str">
        <f>"007"</f>
        <v>007</v>
      </c>
      <c r="AR4637">
        <v>0</v>
      </c>
      <c r="AS4637">
        <v>0</v>
      </c>
      <c r="AT4637">
        <v>3.85</v>
      </c>
      <c r="BB4637" t="str">
        <f>"Y"</f>
        <v>Y</v>
      </c>
      <c r="BD4637" t="str">
        <f>"רוני דידי"</f>
        <v>רוני דידי</v>
      </c>
    </row>
    <row r="4638" spans="1:56" x14ac:dyDescent="0.3">
      <c r="A4638" s="1">
        <v>42292</v>
      </c>
      <c r="B4638" t="str">
        <f>"SI150004652"</f>
        <v>SI150004652</v>
      </c>
      <c r="C4638" t="str">
        <f>"PR13000084"</f>
        <v>PR13000084</v>
      </c>
      <c r="E4638" t="str">
        <f>"Y"</f>
        <v>Y</v>
      </c>
      <c r="F4638" t="str">
        <f>"חשבוניות מרכזות"</f>
        <v>חשבוניות מרכזות</v>
      </c>
      <c r="G4638" t="str">
        <f>"700065"</f>
        <v>700065</v>
      </c>
      <c r="H4638" t="str">
        <f>"אלתא מערכות בע""מ"</f>
        <v>אלתא מערכות בע"מ</v>
      </c>
      <c r="I4638" t="str">
        <f>"10"</f>
        <v>10</v>
      </c>
      <c r="J4638" t="str">
        <f>"OP-AR09107-2"</f>
        <v>OP-AR09107-2</v>
      </c>
      <c r="K4638" t="str">
        <f>"לוח AUX BOX מק""ט לקוח 1026L320-002"</f>
        <v>לוח AUX BOX מק"ט לקוח 1026L320-002</v>
      </c>
      <c r="L4638">
        <v>-1</v>
      </c>
      <c r="M4638" t="str">
        <f>"יח"</f>
        <v>יח</v>
      </c>
      <c r="N4638">
        <v>-1</v>
      </c>
      <c r="O4638" t="str">
        <f>"יח"</f>
        <v>יח</v>
      </c>
      <c r="P4638" s="2">
        <v>11637.58</v>
      </c>
      <c r="Q4638" t="str">
        <f>"$"</f>
        <v>$</v>
      </c>
      <c r="R4638" t="str">
        <f>"הזמנה"</f>
        <v>הזמנה</v>
      </c>
      <c r="S4638">
        <v>0</v>
      </c>
      <c r="T4638" s="2">
        <v>-11637.58</v>
      </c>
      <c r="U4638">
        <v>0</v>
      </c>
      <c r="V4638" s="2">
        <v>-11637.58</v>
      </c>
      <c r="W4638" t="str">
        <f>"$"</f>
        <v>$</v>
      </c>
      <c r="X4638">
        <v>0</v>
      </c>
      <c r="Y4638">
        <v>0</v>
      </c>
      <c r="Z4638">
        <v>0</v>
      </c>
      <c r="AA4638" t="str">
        <f>"Y"</f>
        <v>Y</v>
      </c>
      <c r="AC4638">
        <v>0</v>
      </c>
      <c r="AM4638" t="str">
        <f>"10"</f>
        <v>10</v>
      </c>
      <c r="AN4638" t="str">
        <f>"500000"</f>
        <v>500000</v>
      </c>
      <c r="AO4638" t="str">
        <f>"הכנסות  מלקוחות"</f>
        <v>הכנסות  מלקוחות</v>
      </c>
      <c r="AQ4638" t="str">
        <f>"007"</f>
        <v>007</v>
      </c>
      <c r="AR4638">
        <v>0</v>
      </c>
      <c r="AS4638">
        <v>0</v>
      </c>
      <c r="AT4638">
        <v>3.85</v>
      </c>
      <c r="BB4638" t="str">
        <f>"Y"</f>
        <v>Y</v>
      </c>
      <c r="BD4638" t="str">
        <f>"רוני דידי"</f>
        <v>רוני דידי</v>
      </c>
    </row>
    <row r="4639" spans="1:56" x14ac:dyDescent="0.3">
      <c r="A4639" s="1">
        <v>42292</v>
      </c>
      <c r="B4639" t="str">
        <f>"SI150004652"</f>
        <v>SI150004652</v>
      </c>
      <c r="C4639" t="str">
        <f>"PR13000084"</f>
        <v>PR13000084</v>
      </c>
      <c r="E4639" t="str">
        <f>"Y"</f>
        <v>Y</v>
      </c>
      <c r="F4639" t="str">
        <f>"חשבוניות מרכזות"</f>
        <v>חשבוניות מרכזות</v>
      </c>
      <c r="G4639" t="str">
        <f>"700065"</f>
        <v>700065</v>
      </c>
      <c r="H4639" t="str">
        <f>"אלתא מערכות בע""מ"</f>
        <v>אלתא מערכות בע"מ</v>
      </c>
      <c r="I4639" t="str">
        <f>"10"</f>
        <v>10</v>
      </c>
      <c r="J4639" t="str">
        <f>"OP-AR09107-2"</f>
        <v>OP-AR09107-2</v>
      </c>
      <c r="K4639" t="str">
        <f>"לוח AUX BOX מק""ט לקוח 1026L320-002"</f>
        <v>לוח AUX BOX מק"ט לקוח 1026L320-002</v>
      </c>
      <c r="L4639">
        <v>-1</v>
      </c>
      <c r="M4639" t="str">
        <f>"יח"</f>
        <v>יח</v>
      </c>
      <c r="N4639">
        <v>-1</v>
      </c>
      <c r="O4639" t="str">
        <f>"יח"</f>
        <v>יח</v>
      </c>
      <c r="P4639" s="2">
        <v>11637.58</v>
      </c>
      <c r="Q4639" t="str">
        <f>"$"</f>
        <v>$</v>
      </c>
      <c r="R4639" t="str">
        <f>"הזמנה"</f>
        <v>הזמנה</v>
      </c>
      <c r="S4639">
        <v>0</v>
      </c>
      <c r="T4639" s="2">
        <v>-11637.58</v>
      </c>
      <c r="U4639">
        <v>0</v>
      </c>
      <c r="V4639" s="2">
        <v>-11637.58</v>
      </c>
      <c r="W4639" t="str">
        <f>"$"</f>
        <v>$</v>
      </c>
      <c r="X4639">
        <v>0</v>
      </c>
      <c r="Y4639">
        <v>0</v>
      </c>
      <c r="Z4639">
        <v>0</v>
      </c>
      <c r="AA4639" t="str">
        <f>"Y"</f>
        <v>Y</v>
      </c>
      <c r="AC4639">
        <v>0</v>
      </c>
      <c r="AM4639" t="str">
        <f>"10"</f>
        <v>10</v>
      </c>
      <c r="AN4639" t="str">
        <f>"500000"</f>
        <v>500000</v>
      </c>
      <c r="AO4639" t="str">
        <f>"הכנסות  מלקוחות"</f>
        <v>הכנסות  מלקוחות</v>
      </c>
      <c r="AQ4639" t="str">
        <f>"007"</f>
        <v>007</v>
      </c>
      <c r="AR4639">
        <v>0</v>
      </c>
      <c r="AS4639">
        <v>0</v>
      </c>
      <c r="AT4639">
        <v>3.85</v>
      </c>
      <c r="BB4639" t="str">
        <f>"Y"</f>
        <v>Y</v>
      </c>
      <c r="BD4639" t="str">
        <f>"רוני דידי"</f>
        <v>רוני דידי</v>
      </c>
    </row>
    <row r="4640" spans="1:56" x14ac:dyDescent="0.3">
      <c r="A4640" s="1">
        <v>42292</v>
      </c>
      <c r="B4640" t="str">
        <f>"SI150004647"</f>
        <v>SI150004647</v>
      </c>
      <c r="C4640" t="str">
        <f>"PR13000084"</f>
        <v>PR13000084</v>
      </c>
      <c r="E4640" t="str">
        <f>"Y"</f>
        <v>Y</v>
      </c>
      <c r="F4640" t="str">
        <f>"חשבוניות מרכזות"</f>
        <v>חשבוניות מרכזות</v>
      </c>
      <c r="G4640" t="str">
        <f>"700065"</f>
        <v>700065</v>
      </c>
      <c r="H4640" t="str">
        <f>"אלתא מערכות בע""מ"</f>
        <v>אלתא מערכות בע"מ</v>
      </c>
      <c r="I4640" t="str">
        <f>"10"</f>
        <v>10</v>
      </c>
      <c r="J4640" t="str">
        <f>"OP-AR09107-2"</f>
        <v>OP-AR09107-2</v>
      </c>
      <c r="K4640" t="str">
        <f>"לוח AUX BOX מק""ט לקוח 1026L320-002"</f>
        <v>לוח AUX BOX מק"ט לקוח 1026L320-002</v>
      </c>
      <c r="L4640">
        <v>1</v>
      </c>
      <c r="M4640" t="str">
        <f>"יח"</f>
        <v>יח</v>
      </c>
      <c r="N4640">
        <v>1</v>
      </c>
      <c r="O4640" t="str">
        <f>"יח"</f>
        <v>יח</v>
      </c>
      <c r="P4640" s="2">
        <v>11637.58</v>
      </c>
      <c r="Q4640" t="str">
        <f>"$"</f>
        <v>$</v>
      </c>
      <c r="R4640" t="str">
        <f>"הזמנה"</f>
        <v>הזמנה</v>
      </c>
      <c r="S4640">
        <v>0</v>
      </c>
      <c r="T4640" s="2">
        <v>11637.58</v>
      </c>
      <c r="U4640">
        <v>0</v>
      </c>
      <c r="V4640" s="2">
        <v>11637.58</v>
      </c>
      <c r="W4640" t="str">
        <f>"$"</f>
        <v>$</v>
      </c>
      <c r="X4640">
        <v>0</v>
      </c>
      <c r="Y4640">
        <v>0</v>
      </c>
      <c r="Z4640">
        <v>0</v>
      </c>
      <c r="AA4640" t="str">
        <f>"Y"</f>
        <v>Y</v>
      </c>
      <c r="AC4640">
        <v>0</v>
      </c>
      <c r="AM4640" t="str">
        <f>"10"</f>
        <v>10</v>
      </c>
      <c r="AN4640" t="str">
        <f>"500000"</f>
        <v>500000</v>
      </c>
      <c r="AO4640" t="str">
        <f>"הכנסות  מלקוחות"</f>
        <v>הכנסות  מלקוחות</v>
      </c>
      <c r="AQ4640" t="str">
        <f>"007"</f>
        <v>007</v>
      </c>
      <c r="AR4640">
        <v>0</v>
      </c>
      <c r="AS4640">
        <v>0</v>
      </c>
      <c r="AT4640">
        <v>3.85</v>
      </c>
      <c r="BB4640" t="str">
        <f>"Y"</f>
        <v>Y</v>
      </c>
      <c r="BD4640" t="str">
        <f>"רוני דידי"</f>
        <v>רוני דידי</v>
      </c>
    </row>
    <row r="4641" spans="1:56" x14ac:dyDescent="0.3">
      <c r="A4641" s="1">
        <v>42292</v>
      </c>
      <c r="B4641" t="str">
        <f>"SI150004647"</f>
        <v>SI150004647</v>
      </c>
      <c r="C4641" t="str">
        <f>"PR13000084"</f>
        <v>PR13000084</v>
      </c>
      <c r="E4641" t="str">
        <f>"Y"</f>
        <v>Y</v>
      </c>
      <c r="F4641" t="str">
        <f>"חשבוניות מרכזות"</f>
        <v>חשבוניות מרכזות</v>
      </c>
      <c r="G4641" t="str">
        <f>"700065"</f>
        <v>700065</v>
      </c>
      <c r="H4641" t="str">
        <f>"אלתא מערכות בע""מ"</f>
        <v>אלתא מערכות בע"מ</v>
      </c>
      <c r="I4641" t="str">
        <f>"10"</f>
        <v>10</v>
      </c>
      <c r="J4641" t="str">
        <f>"OP-AR09107-2"</f>
        <v>OP-AR09107-2</v>
      </c>
      <c r="K4641" t="str">
        <f>"לוח AUX BOX מק""ט לקוח 1026L320-002"</f>
        <v>לוח AUX BOX מק"ט לקוח 1026L320-002</v>
      </c>
      <c r="L4641">
        <v>1</v>
      </c>
      <c r="M4641" t="str">
        <f>"יח"</f>
        <v>יח</v>
      </c>
      <c r="N4641">
        <v>1</v>
      </c>
      <c r="O4641" t="str">
        <f>"יח"</f>
        <v>יח</v>
      </c>
      <c r="P4641" s="2">
        <v>11637.58</v>
      </c>
      <c r="Q4641" t="str">
        <f>"$"</f>
        <v>$</v>
      </c>
      <c r="R4641" t="str">
        <f>"הזמנה"</f>
        <v>הזמנה</v>
      </c>
      <c r="S4641">
        <v>0</v>
      </c>
      <c r="T4641" s="2">
        <v>11637.58</v>
      </c>
      <c r="U4641">
        <v>0</v>
      </c>
      <c r="V4641" s="2">
        <v>11637.58</v>
      </c>
      <c r="W4641" t="str">
        <f>"$"</f>
        <v>$</v>
      </c>
      <c r="X4641">
        <v>0</v>
      </c>
      <c r="Y4641">
        <v>0</v>
      </c>
      <c r="Z4641">
        <v>0</v>
      </c>
      <c r="AA4641" t="str">
        <f>"Y"</f>
        <v>Y</v>
      </c>
      <c r="AC4641">
        <v>0</v>
      </c>
      <c r="AM4641" t="str">
        <f>"10"</f>
        <v>10</v>
      </c>
      <c r="AN4641" t="str">
        <f>"500000"</f>
        <v>500000</v>
      </c>
      <c r="AO4641" t="str">
        <f>"הכנסות  מלקוחות"</f>
        <v>הכנסות  מלקוחות</v>
      </c>
      <c r="AQ4641" t="str">
        <f>"007"</f>
        <v>007</v>
      </c>
      <c r="AR4641">
        <v>0</v>
      </c>
      <c r="AS4641">
        <v>0</v>
      </c>
      <c r="AT4641">
        <v>3.85</v>
      </c>
      <c r="BB4641" t="str">
        <f>"Y"</f>
        <v>Y</v>
      </c>
      <c r="BD4641" t="str">
        <f>"רוני דידי"</f>
        <v>רוני דידי</v>
      </c>
    </row>
    <row r="4642" spans="1:56" x14ac:dyDescent="0.3">
      <c r="A4642" s="1">
        <v>42292</v>
      </c>
      <c r="B4642" t="str">
        <f>"SI150004647"</f>
        <v>SI150004647</v>
      </c>
      <c r="C4642" t="str">
        <f>"PR13000084"</f>
        <v>PR13000084</v>
      </c>
      <c r="E4642" t="str">
        <f>"Y"</f>
        <v>Y</v>
      </c>
      <c r="F4642" t="str">
        <f>"חשבוניות מרכזות"</f>
        <v>חשבוניות מרכזות</v>
      </c>
      <c r="G4642" t="str">
        <f>"700065"</f>
        <v>700065</v>
      </c>
      <c r="H4642" t="str">
        <f>"אלתא מערכות בע""מ"</f>
        <v>אלתא מערכות בע"מ</v>
      </c>
      <c r="I4642" t="str">
        <f>"10"</f>
        <v>10</v>
      </c>
      <c r="J4642" t="str">
        <f>"OP-AR09107-2"</f>
        <v>OP-AR09107-2</v>
      </c>
      <c r="K4642" t="str">
        <f>"לוח AUX BOX מק""ט לקוח 1026L320-002"</f>
        <v>לוח AUX BOX מק"ט לקוח 1026L320-002</v>
      </c>
      <c r="L4642">
        <v>1</v>
      </c>
      <c r="M4642" t="str">
        <f>"יח"</f>
        <v>יח</v>
      </c>
      <c r="N4642">
        <v>1</v>
      </c>
      <c r="O4642" t="str">
        <f>"יח"</f>
        <v>יח</v>
      </c>
      <c r="P4642" s="2">
        <v>11637.58</v>
      </c>
      <c r="Q4642" t="str">
        <f>"$"</f>
        <v>$</v>
      </c>
      <c r="R4642" t="str">
        <f>"הזמנה"</f>
        <v>הזמנה</v>
      </c>
      <c r="S4642">
        <v>0</v>
      </c>
      <c r="T4642" s="2">
        <v>11637.58</v>
      </c>
      <c r="U4642">
        <v>0</v>
      </c>
      <c r="V4642" s="2">
        <v>11637.58</v>
      </c>
      <c r="W4642" t="str">
        <f>"$"</f>
        <v>$</v>
      </c>
      <c r="X4642">
        <v>0</v>
      </c>
      <c r="Y4642">
        <v>0</v>
      </c>
      <c r="Z4642">
        <v>0</v>
      </c>
      <c r="AA4642" t="str">
        <f>"Y"</f>
        <v>Y</v>
      </c>
      <c r="AC4642">
        <v>0</v>
      </c>
      <c r="AM4642" t="str">
        <f>"10"</f>
        <v>10</v>
      </c>
      <c r="AN4642" t="str">
        <f>"500000"</f>
        <v>500000</v>
      </c>
      <c r="AO4642" t="str">
        <f>"הכנסות  מלקוחות"</f>
        <v>הכנסות  מלקוחות</v>
      </c>
      <c r="AQ4642" t="str">
        <f>"007"</f>
        <v>007</v>
      </c>
      <c r="AR4642">
        <v>0</v>
      </c>
      <c r="AS4642">
        <v>0</v>
      </c>
      <c r="AT4642">
        <v>3.85</v>
      </c>
      <c r="BB4642" t="str">
        <f>"Y"</f>
        <v>Y</v>
      </c>
      <c r="BD4642" t="str">
        <f>"רוני דידי"</f>
        <v>רוני דידי</v>
      </c>
    </row>
    <row r="4643" spans="1:56" x14ac:dyDescent="0.3">
      <c r="A4643" s="1">
        <v>42289</v>
      </c>
      <c r="B4643" t="str">
        <f>"SI150004653"</f>
        <v>SI150004653</v>
      </c>
      <c r="E4643" t="str">
        <f>"Y"</f>
        <v>Y</v>
      </c>
      <c r="F4643" t="str">
        <f>"חשבוניות מרכזות"</f>
        <v>חשבוניות מרכזות</v>
      </c>
      <c r="G4643" t="str">
        <f>"700065"</f>
        <v>700065</v>
      </c>
      <c r="H4643" t="str">
        <f>"אלתא מערכות בע""מ"</f>
        <v>אלתא מערכות בע"מ</v>
      </c>
      <c r="I4643" t="str">
        <f>"10"</f>
        <v>10</v>
      </c>
      <c r="J4643" t="str">
        <f>"OP-AR09107-2"</f>
        <v>OP-AR09107-2</v>
      </c>
      <c r="K4643" t="str">
        <f>"לוח AUX BOX מק""ט לקוח 1026L320-002"</f>
        <v>לוח AUX BOX מק"ט לקוח 1026L320-002</v>
      </c>
      <c r="L4643">
        <v>1</v>
      </c>
      <c r="M4643" t="str">
        <f>"יח"</f>
        <v>יח</v>
      </c>
      <c r="N4643">
        <v>1</v>
      </c>
      <c r="O4643" t="str">
        <f>"יח"</f>
        <v>יח</v>
      </c>
      <c r="P4643" s="2">
        <v>11637.58</v>
      </c>
      <c r="Q4643" t="str">
        <f>"$"</f>
        <v>$</v>
      </c>
      <c r="R4643" t="str">
        <f>"ידני"</f>
        <v>ידני</v>
      </c>
      <c r="S4643">
        <v>0</v>
      </c>
      <c r="T4643" s="2">
        <v>11637.58</v>
      </c>
      <c r="U4643">
        <v>0</v>
      </c>
      <c r="V4643" s="2">
        <v>11637.58</v>
      </c>
      <c r="W4643" t="str">
        <f>"$"</f>
        <v>$</v>
      </c>
      <c r="X4643">
        <v>0</v>
      </c>
      <c r="Y4643">
        <v>0</v>
      </c>
      <c r="Z4643">
        <v>0</v>
      </c>
      <c r="AA4643" t="str">
        <f>"Y"</f>
        <v>Y</v>
      </c>
      <c r="AB4643" t="str">
        <f>"SO150003697"</f>
        <v>SO150003697</v>
      </c>
      <c r="AC4643">
        <v>1</v>
      </c>
      <c r="AD4643" s="1">
        <v>42283</v>
      </c>
      <c r="AM4643" t="str">
        <f>"10"</f>
        <v>10</v>
      </c>
      <c r="AN4643" t="str">
        <f>"500000"</f>
        <v>500000</v>
      </c>
      <c r="AO4643" t="str">
        <f>"הכנסות  מלקוחות"</f>
        <v>הכנסות  מלקוחות</v>
      </c>
      <c r="AQ4643" t="str">
        <f>"007"</f>
        <v>007</v>
      </c>
      <c r="AR4643">
        <v>0</v>
      </c>
      <c r="AS4643">
        <v>0</v>
      </c>
      <c r="AT4643">
        <v>3.835</v>
      </c>
      <c r="AX4643" t="str">
        <f>"E000200592"</f>
        <v>E000200592</v>
      </c>
      <c r="BD4643" t="str">
        <f>"רוני דידי"</f>
        <v>רוני דידי</v>
      </c>
    </row>
    <row r="4644" spans="1:56" x14ac:dyDescent="0.3">
      <c r="A4644" s="1">
        <v>42289</v>
      </c>
      <c r="B4644" t="str">
        <f>"SI150004653"</f>
        <v>SI150004653</v>
      </c>
      <c r="E4644" t="str">
        <f>"Y"</f>
        <v>Y</v>
      </c>
      <c r="F4644" t="str">
        <f>"חשבוניות מרכזות"</f>
        <v>חשבוניות מרכזות</v>
      </c>
      <c r="G4644" t="str">
        <f>"700065"</f>
        <v>700065</v>
      </c>
      <c r="H4644" t="str">
        <f>"אלתא מערכות בע""מ"</f>
        <v>אלתא מערכות בע"מ</v>
      </c>
      <c r="I4644" t="str">
        <f>"10"</f>
        <v>10</v>
      </c>
      <c r="J4644" t="str">
        <f>"OP-AR09107-2"</f>
        <v>OP-AR09107-2</v>
      </c>
      <c r="K4644" t="str">
        <f>"לוח AUX BOX מק""ט לקוח 1026L320-002"</f>
        <v>לוח AUX BOX מק"ט לקוח 1026L320-002</v>
      </c>
      <c r="L4644">
        <v>1</v>
      </c>
      <c r="M4644" t="str">
        <f>"יח"</f>
        <v>יח</v>
      </c>
      <c r="N4644">
        <v>1</v>
      </c>
      <c r="O4644" t="str">
        <f>"יח"</f>
        <v>יח</v>
      </c>
      <c r="P4644" s="2">
        <v>11637.58</v>
      </c>
      <c r="Q4644" t="str">
        <f>"$"</f>
        <v>$</v>
      </c>
      <c r="R4644" t="str">
        <f>"ידני"</f>
        <v>ידני</v>
      </c>
      <c r="S4644">
        <v>0</v>
      </c>
      <c r="T4644" s="2">
        <v>11637.58</v>
      </c>
      <c r="U4644">
        <v>0</v>
      </c>
      <c r="V4644" s="2">
        <v>11637.58</v>
      </c>
      <c r="W4644" t="str">
        <f>"$"</f>
        <v>$</v>
      </c>
      <c r="X4644">
        <v>0</v>
      </c>
      <c r="Y4644">
        <v>0</v>
      </c>
      <c r="Z4644">
        <v>0</v>
      </c>
      <c r="AA4644" t="str">
        <f>"Y"</f>
        <v>Y</v>
      </c>
      <c r="AB4644" t="str">
        <f>"SO150003697"</f>
        <v>SO150003697</v>
      </c>
      <c r="AC4644">
        <v>2</v>
      </c>
      <c r="AD4644" s="1">
        <v>42283</v>
      </c>
      <c r="AM4644" t="str">
        <f>"10"</f>
        <v>10</v>
      </c>
      <c r="AN4644" t="str">
        <f>"500000"</f>
        <v>500000</v>
      </c>
      <c r="AO4644" t="str">
        <f>"הכנסות  מלקוחות"</f>
        <v>הכנסות  מלקוחות</v>
      </c>
      <c r="AQ4644" t="str">
        <f>"007"</f>
        <v>007</v>
      </c>
      <c r="AR4644">
        <v>0</v>
      </c>
      <c r="AS4644">
        <v>0</v>
      </c>
      <c r="AT4644">
        <v>3.835</v>
      </c>
      <c r="AX4644" t="str">
        <f>"E000200592"</f>
        <v>E000200592</v>
      </c>
      <c r="BD4644" t="str">
        <f>"רוני דידי"</f>
        <v>רוני דידי</v>
      </c>
    </row>
    <row r="4645" spans="1:56" x14ac:dyDescent="0.3">
      <c r="A4645" s="1">
        <v>42289</v>
      </c>
      <c r="B4645" t="str">
        <f>"SI150004653"</f>
        <v>SI150004653</v>
      </c>
      <c r="E4645" t="str">
        <f>"Y"</f>
        <v>Y</v>
      </c>
      <c r="F4645" t="str">
        <f>"חשבוניות מרכזות"</f>
        <v>חשבוניות מרכזות</v>
      </c>
      <c r="G4645" t="str">
        <f>"700065"</f>
        <v>700065</v>
      </c>
      <c r="H4645" t="str">
        <f>"אלתא מערכות בע""מ"</f>
        <v>אלתא מערכות בע"מ</v>
      </c>
      <c r="I4645" t="str">
        <f>"10"</f>
        <v>10</v>
      </c>
      <c r="J4645" t="str">
        <f>"OP-AR09107-2"</f>
        <v>OP-AR09107-2</v>
      </c>
      <c r="K4645" t="str">
        <f>"לוח AUX BOX מק""ט לקוח 1026L320-002"</f>
        <v>לוח AUX BOX מק"ט לקוח 1026L320-002</v>
      </c>
      <c r="L4645">
        <v>1</v>
      </c>
      <c r="M4645" t="str">
        <f>"יח"</f>
        <v>יח</v>
      </c>
      <c r="N4645">
        <v>1</v>
      </c>
      <c r="O4645" t="str">
        <f>"יח"</f>
        <v>יח</v>
      </c>
      <c r="P4645" s="2">
        <v>11637.58</v>
      </c>
      <c r="Q4645" t="str">
        <f>"$"</f>
        <v>$</v>
      </c>
      <c r="R4645" t="str">
        <f>"ידני"</f>
        <v>ידני</v>
      </c>
      <c r="S4645">
        <v>0</v>
      </c>
      <c r="T4645" s="2">
        <v>11637.58</v>
      </c>
      <c r="U4645">
        <v>0</v>
      </c>
      <c r="V4645" s="2">
        <v>11637.58</v>
      </c>
      <c r="W4645" t="str">
        <f>"$"</f>
        <v>$</v>
      </c>
      <c r="X4645">
        <v>0</v>
      </c>
      <c r="Y4645">
        <v>0</v>
      </c>
      <c r="Z4645">
        <v>0</v>
      </c>
      <c r="AA4645" t="str">
        <f>"Y"</f>
        <v>Y</v>
      </c>
      <c r="AB4645" t="str">
        <f>"SO150003697"</f>
        <v>SO150003697</v>
      </c>
      <c r="AC4645">
        <v>3</v>
      </c>
      <c r="AD4645" s="1">
        <v>42283</v>
      </c>
      <c r="AM4645" t="str">
        <f>"10"</f>
        <v>10</v>
      </c>
      <c r="AN4645" t="str">
        <f>"500000"</f>
        <v>500000</v>
      </c>
      <c r="AO4645" t="str">
        <f>"הכנסות  מלקוחות"</f>
        <v>הכנסות  מלקוחות</v>
      </c>
      <c r="AQ4645" t="str">
        <f>"007"</f>
        <v>007</v>
      </c>
      <c r="AR4645">
        <v>0</v>
      </c>
      <c r="AS4645">
        <v>0</v>
      </c>
      <c r="AT4645">
        <v>3.835</v>
      </c>
      <c r="AX4645" t="str">
        <f>"E000200592"</f>
        <v>E000200592</v>
      </c>
      <c r="BD4645" t="str">
        <f>"רוני דידי"</f>
        <v>רוני דידי</v>
      </c>
    </row>
    <row r="4646" spans="1:56" x14ac:dyDescent="0.3">
      <c r="A4646" s="1">
        <v>42267</v>
      </c>
      <c r="B4646" t="str">
        <f>"SI150004544"</f>
        <v>SI150004544</v>
      </c>
      <c r="E4646" t="str">
        <f>"Y"</f>
        <v>Y</v>
      </c>
      <c r="F4646" t="str">
        <f>"חשבוניות מרכזות"</f>
        <v>חשבוניות מרכזות</v>
      </c>
      <c r="G4646" t="str">
        <f>"700065"</f>
        <v>700065</v>
      </c>
      <c r="H4646" t="str">
        <f>"אלתא מערכות בע""מ"</f>
        <v>אלתא מערכות בע"מ</v>
      </c>
      <c r="I4646" t="str">
        <f>"10"</f>
        <v>10</v>
      </c>
      <c r="J4646" t="str">
        <f>"UP0130202"</f>
        <v>UP0130202</v>
      </c>
      <c r="K4646" t="str">
        <f>"UPS-GAIA 3K series On line,3kva,Single Phase"</f>
        <v>UPS-GAIA 3K series On line,3kva,Single Phase</v>
      </c>
      <c r="L4646">
        <v>4</v>
      </c>
      <c r="M4646" t="str">
        <f>"יח"</f>
        <v>יח</v>
      </c>
      <c r="N4646">
        <v>4</v>
      </c>
      <c r="O4646" t="str">
        <f>"יח"</f>
        <v>יח</v>
      </c>
      <c r="P4646">
        <v>890</v>
      </c>
      <c r="Q4646" t="str">
        <f>"$"</f>
        <v>$</v>
      </c>
      <c r="R4646" t="str">
        <f>"ידני"</f>
        <v>ידני</v>
      </c>
      <c r="S4646">
        <v>3</v>
      </c>
      <c r="T4646" s="2">
        <v>3453.2</v>
      </c>
      <c r="U4646">
        <v>0</v>
      </c>
      <c r="V4646" s="2">
        <v>3453.2</v>
      </c>
      <c r="W4646" t="str">
        <f>"$"</f>
        <v>$</v>
      </c>
      <c r="X4646">
        <v>0</v>
      </c>
      <c r="Y4646">
        <v>0</v>
      </c>
      <c r="Z4646">
        <v>0</v>
      </c>
      <c r="AA4646" t="str">
        <f>"Y"</f>
        <v>Y</v>
      </c>
      <c r="AB4646" t="str">
        <f>"SO150003630"</f>
        <v>SO150003630</v>
      </c>
      <c r="AC4646">
        <v>1</v>
      </c>
      <c r="AD4646" s="1">
        <v>42254</v>
      </c>
      <c r="AE4646" t="str">
        <f>"SH15005604"</f>
        <v>SH15005604</v>
      </c>
      <c r="AF4646" t="str">
        <f>"משלוחים ללקוח"</f>
        <v>משלוחים ללקוח</v>
      </c>
      <c r="AG4646" s="1">
        <v>42257</v>
      </c>
      <c r="AM4646" t="str">
        <f>"10"</f>
        <v>10</v>
      </c>
      <c r="AN4646" t="str">
        <f>"500000"</f>
        <v>500000</v>
      </c>
      <c r="AO4646" t="str">
        <f>"הכנסות  מלקוחות"</f>
        <v>הכנסות  מלקוחות</v>
      </c>
      <c r="AQ4646" t="str">
        <f>"007"</f>
        <v>007</v>
      </c>
      <c r="AR4646">
        <v>0</v>
      </c>
      <c r="AS4646">
        <v>0</v>
      </c>
      <c r="AT4646">
        <v>3.863</v>
      </c>
      <c r="AX4646" t="str">
        <f>"E000203214"</f>
        <v>E000203214</v>
      </c>
      <c r="BD4646" t="str">
        <f>"רוני דידי"</f>
        <v>רוני דידי</v>
      </c>
    </row>
    <row r="4647" spans="1:56" x14ac:dyDescent="0.3">
      <c r="A4647" s="1">
        <v>42267</v>
      </c>
      <c r="B4647" t="str">
        <f>"SI150004544"</f>
        <v>SI150004544</v>
      </c>
      <c r="E4647" t="str">
        <f>"Y"</f>
        <v>Y</v>
      </c>
      <c r="F4647" t="str">
        <f>"חשבוניות מרכזות"</f>
        <v>חשבוניות מרכזות</v>
      </c>
      <c r="G4647" t="str">
        <f>"700065"</f>
        <v>700065</v>
      </c>
      <c r="H4647" t="str">
        <f>"אלתא מערכות בע""מ"</f>
        <v>אלתא מערכות בע"מ</v>
      </c>
      <c r="I4647" t="str">
        <f>"10"</f>
        <v>10</v>
      </c>
      <c r="J4647" t="str">
        <f>"UP9930075"</f>
        <v>UP9930075</v>
      </c>
      <c r="K4647" t="str">
        <f>"SNMP CARD -DO114098"</f>
        <v>SNMP CARD -DO114098</v>
      </c>
      <c r="L4647">
        <v>4</v>
      </c>
      <c r="M4647" t="str">
        <f>"יח"</f>
        <v>יח</v>
      </c>
      <c r="N4647">
        <v>4</v>
      </c>
      <c r="O4647" t="str">
        <f>"יח"</f>
        <v>יח</v>
      </c>
      <c r="P4647">
        <v>0</v>
      </c>
      <c r="Q4647" t="str">
        <f>"$"</f>
        <v>$</v>
      </c>
      <c r="R4647" t="str">
        <f>"ידני"</f>
        <v>ידני</v>
      </c>
      <c r="S4647">
        <v>0</v>
      </c>
      <c r="T4647">
        <v>0</v>
      </c>
      <c r="U4647">
        <v>0</v>
      </c>
      <c r="V4647">
        <v>0</v>
      </c>
      <c r="W4647" t="str">
        <f>"$"</f>
        <v>$</v>
      </c>
      <c r="X4647">
        <v>0</v>
      </c>
      <c r="Y4647">
        <v>0</v>
      </c>
      <c r="Z4647">
        <v>0</v>
      </c>
      <c r="AA4647" t="str">
        <f>"Y"</f>
        <v>Y</v>
      </c>
      <c r="AB4647" t="str">
        <f>"SO150003630"</f>
        <v>SO150003630</v>
      </c>
      <c r="AC4647">
        <v>2</v>
      </c>
      <c r="AD4647" s="1">
        <v>42254</v>
      </c>
      <c r="AE4647" t="str">
        <f>"SH15005604"</f>
        <v>SH15005604</v>
      </c>
      <c r="AF4647" t="str">
        <f>"משלוחים ללקוח"</f>
        <v>משלוחים ללקוח</v>
      </c>
      <c r="AG4647" s="1">
        <v>42257</v>
      </c>
      <c r="AM4647" t="str">
        <f>"10"</f>
        <v>10</v>
      </c>
      <c r="AN4647" t="str">
        <f>"500000"</f>
        <v>500000</v>
      </c>
      <c r="AO4647" t="str">
        <f>"הכנסות  מלקוחות"</f>
        <v>הכנסות  מלקוחות</v>
      </c>
      <c r="AQ4647" t="str">
        <f>"007"</f>
        <v>007</v>
      </c>
      <c r="AR4647">
        <v>0</v>
      </c>
      <c r="AS4647">
        <v>0</v>
      </c>
      <c r="AT4647">
        <v>3.863</v>
      </c>
      <c r="AX4647" t="str">
        <f>"E000203214"</f>
        <v>E000203214</v>
      </c>
      <c r="BD4647" t="str">
        <f>"רוני דידי"</f>
        <v>רוני דידי</v>
      </c>
    </row>
    <row r="4648" spans="1:56" x14ac:dyDescent="0.3">
      <c r="A4648" s="1">
        <v>42267</v>
      </c>
      <c r="B4648" t="str">
        <f>"SI150004543"</f>
        <v>SI150004543</v>
      </c>
      <c r="C4648" t="str">
        <f>"PR14002337"</f>
        <v>PR14002337</v>
      </c>
      <c r="D4648" t="str">
        <f>"PR14002337"</f>
        <v>PR14002337</v>
      </c>
      <c r="E4648" t="str">
        <f>"Y"</f>
        <v>Y</v>
      </c>
      <c r="F4648" t="str">
        <f>"חשבוניות מרכזות"</f>
        <v>חשבוניות מרכזות</v>
      </c>
      <c r="G4648" t="str">
        <f>"700065"</f>
        <v>700065</v>
      </c>
      <c r="H4648" t="str">
        <f>"אלתא מערכות בע""מ"</f>
        <v>אלתא מערכות בע"מ</v>
      </c>
      <c r="I4648" t="str">
        <f>"10"</f>
        <v>10</v>
      </c>
      <c r="J4648" t="str">
        <f>"OP-AR00090"</f>
        <v>OP-AR00090</v>
      </c>
      <c r="K4648" t="str">
        <f>"מגירת PDU לחטיבת 1031P340-001 CU"</f>
        <v>מגירת PDU לחטיבת 1031P340-001 CU</v>
      </c>
      <c r="L4648">
        <v>2</v>
      </c>
      <c r="M4648" t="str">
        <f>"יח"</f>
        <v>יח</v>
      </c>
      <c r="N4648">
        <v>2</v>
      </c>
      <c r="O4648" t="str">
        <f>"יח"</f>
        <v>יח</v>
      </c>
      <c r="P4648" s="2">
        <v>6850</v>
      </c>
      <c r="Q4648" t="str">
        <f>"$"</f>
        <v>$</v>
      </c>
      <c r="R4648" t="str">
        <f>"ידני"</f>
        <v>ידני</v>
      </c>
      <c r="S4648">
        <v>0</v>
      </c>
      <c r="T4648" s="2">
        <v>13700</v>
      </c>
      <c r="U4648">
        <v>0</v>
      </c>
      <c r="V4648" s="2">
        <v>13700</v>
      </c>
      <c r="W4648" t="str">
        <f>"$"</f>
        <v>$</v>
      </c>
      <c r="X4648">
        <v>0</v>
      </c>
      <c r="Y4648">
        <v>0</v>
      </c>
      <c r="Z4648">
        <v>0</v>
      </c>
      <c r="AA4648" t="str">
        <f>"Y"</f>
        <v>Y</v>
      </c>
      <c r="AB4648" t="str">
        <f>"SO140002723"</f>
        <v>SO140002723</v>
      </c>
      <c r="AC4648">
        <v>1</v>
      </c>
      <c r="AD4648" s="1">
        <v>41997</v>
      </c>
      <c r="AE4648" t="str">
        <f>"SH15005628"</f>
        <v>SH15005628</v>
      </c>
      <c r="AF4648" t="str">
        <f>"משלוחים ללקוח"</f>
        <v>משלוחים ללקוח</v>
      </c>
      <c r="AG4648" s="1">
        <v>42264</v>
      </c>
      <c r="AM4648" t="str">
        <f>"10"</f>
        <v>10</v>
      </c>
      <c r="AN4648" t="str">
        <f>"500000"</f>
        <v>500000</v>
      </c>
      <c r="AO4648" t="str">
        <f>"הכנסות  מלקוחות"</f>
        <v>הכנסות  מלקוחות</v>
      </c>
      <c r="AQ4648" t="str">
        <f>"007"</f>
        <v>007</v>
      </c>
      <c r="AR4648">
        <v>0</v>
      </c>
      <c r="AS4648">
        <v>0</v>
      </c>
      <c r="AT4648">
        <v>3.863</v>
      </c>
      <c r="AX4648" t="str">
        <f>"E000188166"</f>
        <v>E000188166</v>
      </c>
      <c r="BD4648" t="str">
        <f>"רוני דידי"</f>
        <v>רוני דידי</v>
      </c>
    </row>
    <row r="4649" spans="1:56" x14ac:dyDescent="0.3">
      <c r="A4649" s="1">
        <v>42243</v>
      </c>
      <c r="B4649" t="str">
        <f>"SI150004495"</f>
        <v>SI150004495</v>
      </c>
      <c r="C4649" t="str">
        <f>"PR15002885"</f>
        <v>PR15002885</v>
      </c>
      <c r="E4649" t="str">
        <f>"Y"</f>
        <v>Y</v>
      </c>
      <c r="F4649" t="str">
        <f>"חשבוניות מרכזות"</f>
        <v>חשבוניות מרכזות</v>
      </c>
      <c r="G4649" t="str">
        <f>"700065"</f>
        <v>700065</v>
      </c>
      <c r="H4649" t="str">
        <f>"אלתא מערכות בע""מ"</f>
        <v>אלתא מערכות בע"מ</v>
      </c>
      <c r="I4649" t="str">
        <f>"10"</f>
        <v>10</v>
      </c>
      <c r="J4649" t="str">
        <f>"ZV0200083"</f>
        <v>ZV0200083</v>
      </c>
      <c r="K4649" t="str">
        <f>"ארון תקשורת 19"" 42U עומק 1000 שחור"</f>
        <v>ארון תקשורת 19" 42U עומק 1000 שחור</v>
      </c>
      <c r="L4649">
        <v>1</v>
      </c>
      <c r="M4649" t="str">
        <f>"יח"</f>
        <v>יח</v>
      </c>
      <c r="N4649">
        <v>1</v>
      </c>
      <c r="O4649" t="str">
        <f>"יח"</f>
        <v>יח</v>
      </c>
      <c r="P4649">
        <v>700</v>
      </c>
      <c r="Q4649" t="str">
        <f>"$"</f>
        <v>$</v>
      </c>
      <c r="R4649" t="str">
        <f>"ידני"</f>
        <v>ידני</v>
      </c>
      <c r="S4649">
        <v>0</v>
      </c>
      <c r="T4649">
        <v>700</v>
      </c>
      <c r="U4649">
        <v>0</v>
      </c>
      <c r="V4649">
        <v>700</v>
      </c>
      <c r="W4649" t="str">
        <f>"$"</f>
        <v>$</v>
      </c>
      <c r="X4649">
        <v>0</v>
      </c>
      <c r="Y4649">
        <v>0</v>
      </c>
      <c r="Z4649">
        <v>0</v>
      </c>
      <c r="AA4649" t="str">
        <f>"Y"</f>
        <v>Y</v>
      </c>
      <c r="AC4649">
        <v>0</v>
      </c>
      <c r="AE4649" t="str">
        <f>"SH15005491"</f>
        <v>SH15005491</v>
      </c>
      <c r="AF4649" t="str">
        <f>"משלוחים ללקוח"</f>
        <v>משלוחים ללקוח</v>
      </c>
      <c r="AG4649" s="1">
        <v>42243</v>
      </c>
      <c r="AM4649" t="str">
        <f>"10"</f>
        <v>10</v>
      </c>
      <c r="AN4649" t="str">
        <f>"500000"</f>
        <v>500000</v>
      </c>
      <c r="AO4649" t="str">
        <f>"הכנסות  מלקוחות"</f>
        <v>הכנסות  מלקוחות</v>
      </c>
      <c r="AQ4649" t="str">
        <f>"007"</f>
        <v>007</v>
      </c>
      <c r="AR4649">
        <v>0</v>
      </c>
      <c r="AS4649">
        <v>0</v>
      </c>
      <c r="AT4649">
        <v>3.9279999999999999</v>
      </c>
      <c r="BD4649" t="str">
        <f>"רוני דידי"</f>
        <v>רוני דידי</v>
      </c>
    </row>
    <row r="4650" spans="1:56" x14ac:dyDescent="0.3">
      <c r="A4650" s="1">
        <v>42243</v>
      </c>
      <c r="B4650" t="str">
        <f>"SI150004494"</f>
        <v>SI150004494</v>
      </c>
      <c r="C4650" t="str">
        <f>"PR15002885"</f>
        <v>PR15002885</v>
      </c>
      <c r="E4650" t="str">
        <f>"Y"</f>
        <v>Y</v>
      </c>
      <c r="F4650" t="str">
        <f>"חשבוניות מרכזות"</f>
        <v>חשבוניות מרכזות</v>
      </c>
      <c r="G4650" t="str">
        <f>"700065"</f>
        <v>700065</v>
      </c>
      <c r="H4650" t="str">
        <f>"אלתא מערכות בע""מ"</f>
        <v>אלתא מערכות בע"מ</v>
      </c>
      <c r="I4650" t="str">
        <f>"10"</f>
        <v>10</v>
      </c>
      <c r="J4650" t="str">
        <f>"ZV0200083"</f>
        <v>ZV0200083</v>
      </c>
      <c r="K4650" t="str">
        <f>"ארון תקשורת 19"" 42U עומק 1000 שחור"</f>
        <v>ארון תקשורת 19" 42U עומק 1000 שחור</v>
      </c>
      <c r="L4650">
        <v>-1</v>
      </c>
      <c r="M4650" t="str">
        <f>"יח"</f>
        <v>יח</v>
      </c>
      <c r="N4650">
        <v>-1</v>
      </c>
      <c r="O4650" t="str">
        <f>"יח"</f>
        <v>יח</v>
      </c>
      <c r="P4650">
        <v>700</v>
      </c>
      <c r="Q4650" t="str">
        <f>"$"</f>
        <v>$</v>
      </c>
      <c r="R4650" t="str">
        <f>"ידני"</f>
        <v>ידני</v>
      </c>
      <c r="S4650">
        <v>0</v>
      </c>
      <c r="T4650">
        <v>-700</v>
      </c>
      <c r="U4650">
        <v>0</v>
      </c>
      <c r="V4650">
        <v>-700</v>
      </c>
      <c r="W4650" t="str">
        <f>"$"</f>
        <v>$</v>
      </c>
      <c r="X4650">
        <v>0</v>
      </c>
      <c r="Y4650">
        <v>0</v>
      </c>
      <c r="Z4650">
        <v>0</v>
      </c>
      <c r="AA4650" t="str">
        <f>"Y"</f>
        <v>Y</v>
      </c>
      <c r="AC4650">
        <v>0</v>
      </c>
      <c r="AM4650" t="str">
        <f>"10"</f>
        <v>10</v>
      </c>
      <c r="AN4650" t="str">
        <f>"500000"</f>
        <v>500000</v>
      </c>
      <c r="AO4650" t="str">
        <f>"הכנסות  מלקוחות"</f>
        <v>הכנסות  מלקוחות</v>
      </c>
      <c r="AQ4650" t="str">
        <f>"007"</f>
        <v>007</v>
      </c>
      <c r="AR4650">
        <v>0</v>
      </c>
      <c r="AS4650">
        <v>0</v>
      </c>
      <c r="AT4650">
        <v>3.9279999999999999</v>
      </c>
      <c r="BB4650" t="str">
        <f>"Y"</f>
        <v>Y</v>
      </c>
      <c r="BD4650" t="str">
        <f>"רוני דידי"</f>
        <v>רוני דידי</v>
      </c>
    </row>
    <row r="4651" spans="1:56" x14ac:dyDescent="0.3">
      <c r="A4651" s="1">
        <v>42243</v>
      </c>
      <c r="B4651" t="str">
        <f>"SI150004493"</f>
        <v>SI150004493</v>
      </c>
      <c r="C4651" t="str">
        <f>"PR15002885"</f>
        <v>PR15002885</v>
      </c>
      <c r="E4651" t="str">
        <f>"Y"</f>
        <v>Y</v>
      </c>
      <c r="F4651" t="str">
        <f>"חשבוניות מרכזות"</f>
        <v>חשבוניות מרכזות</v>
      </c>
      <c r="G4651" t="str">
        <f>"700065"</f>
        <v>700065</v>
      </c>
      <c r="H4651" t="str">
        <f>"אלתא מערכות בע""מ"</f>
        <v>אלתא מערכות בע"מ</v>
      </c>
      <c r="I4651" t="str">
        <f>"10"</f>
        <v>10</v>
      </c>
      <c r="J4651" t="str">
        <f>"ZV0200083"</f>
        <v>ZV0200083</v>
      </c>
      <c r="K4651" t="str">
        <f>"ארון תקשורת 19"" 42U עומק 1000 שחור"</f>
        <v>ארון תקשורת 19" 42U עומק 1000 שחור</v>
      </c>
      <c r="L4651">
        <v>1</v>
      </c>
      <c r="M4651" t="str">
        <f>"יח"</f>
        <v>יח</v>
      </c>
      <c r="N4651">
        <v>1</v>
      </c>
      <c r="O4651" t="str">
        <f>"יח"</f>
        <v>יח</v>
      </c>
      <c r="P4651">
        <v>700</v>
      </c>
      <c r="Q4651" t="str">
        <f>"$"</f>
        <v>$</v>
      </c>
      <c r="R4651" t="str">
        <f>"ידני"</f>
        <v>ידני</v>
      </c>
      <c r="S4651">
        <v>0</v>
      </c>
      <c r="T4651">
        <v>700</v>
      </c>
      <c r="U4651">
        <v>0</v>
      </c>
      <c r="V4651">
        <v>700</v>
      </c>
      <c r="W4651" t="str">
        <f>"$"</f>
        <v>$</v>
      </c>
      <c r="X4651">
        <v>0</v>
      </c>
      <c r="Y4651">
        <v>0</v>
      </c>
      <c r="Z4651">
        <v>0</v>
      </c>
      <c r="AA4651" t="str">
        <f>"Y"</f>
        <v>Y</v>
      </c>
      <c r="AC4651">
        <v>0</v>
      </c>
      <c r="AM4651" t="str">
        <f>"10"</f>
        <v>10</v>
      </c>
      <c r="AN4651" t="str">
        <f>"500000"</f>
        <v>500000</v>
      </c>
      <c r="AO4651" t="str">
        <f>"הכנסות  מלקוחות"</f>
        <v>הכנסות  מלקוחות</v>
      </c>
      <c r="AQ4651" t="str">
        <f>"007"</f>
        <v>007</v>
      </c>
      <c r="AR4651">
        <v>0</v>
      </c>
      <c r="AS4651">
        <v>0</v>
      </c>
      <c r="AT4651">
        <v>3.9279999999999999</v>
      </c>
      <c r="BB4651" t="str">
        <f>"Y"</f>
        <v>Y</v>
      </c>
      <c r="BD4651" t="str">
        <f>"רוני דידי"</f>
        <v>רוני דידי</v>
      </c>
    </row>
    <row r="4652" spans="1:56" x14ac:dyDescent="0.3">
      <c r="A4652" s="1">
        <v>42215</v>
      </c>
      <c r="B4652" t="str">
        <f>"SI150004326"</f>
        <v>SI150004326</v>
      </c>
      <c r="C4652" t="str">
        <f>"PR15002735"</f>
        <v>PR15002735</v>
      </c>
      <c r="D4652" t="str">
        <f>"PR15002735"</f>
        <v>PR15002735</v>
      </c>
      <c r="E4652" t="str">
        <f>"Y"</f>
        <v>Y</v>
      </c>
      <c r="F4652" t="str">
        <f>"חשבוניות מרכזות"</f>
        <v>חשבוניות מרכזות</v>
      </c>
      <c r="G4652" t="str">
        <f>"700065"</f>
        <v>700065</v>
      </c>
      <c r="H4652" t="str">
        <f>"אלתא מערכות בע""מ"</f>
        <v>אלתא מערכות בע"מ</v>
      </c>
      <c r="I4652" t="str">
        <f>"10"</f>
        <v>10</v>
      </c>
      <c r="J4652" t="str">
        <f>"PA1000245"</f>
        <v>PA1000245</v>
      </c>
      <c r="K4652" t="str">
        <f>"POWER SUPPLY 230VAC to CH1:320VDC CH2:28VDC"</f>
        <v>POWER SUPPLY 230VAC to CH1:320VDC CH2:28VDC</v>
      </c>
      <c r="L4652">
        <v>1</v>
      </c>
      <c r="M4652" t="str">
        <f>"יח"</f>
        <v>יח</v>
      </c>
      <c r="N4652">
        <v>1</v>
      </c>
      <c r="O4652" t="str">
        <f>"יח"</f>
        <v>יח</v>
      </c>
      <c r="P4652" s="2">
        <v>2650</v>
      </c>
      <c r="Q4652" t="str">
        <f>"$"</f>
        <v>$</v>
      </c>
      <c r="R4652" t="str">
        <f>"ידני"</f>
        <v>ידני</v>
      </c>
      <c r="S4652">
        <v>0</v>
      </c>
      <c r="T4652" s="2">
        <v>2650</v>
      </c>
      <c r="U4652">
        <v>0</v>
      </c>
      <c r="V4652" s="2">
        <v>2650</v>
      </c>
      <c r="W4652" t="str">
        <f>"$"</f>
        <v>$</v>
      </c>
      <c r="X4652">
        <v>0</v>
      </c>
      <c r="Y4652">
        <v>0</v>
      </c>
      <c r="Z4652">
        <v>0</v>
      </c>
      <c r="AA4652" t="str">
        <f>"Y"</f>
        <v>Y</v>
      </c>
      <c r="AB4652" t="str">
        <f>"SO150003485"</f>
        <v>SO150003485</v>
      </c>
      <c r="AC4652">
        <v>1</v>
      </c>
      <c r="AD4652" s="1">
        <v>42213</v>
      </c>
      <c r="AE4652" t="str">
        <f>"SH15005252"</f>
        <v>SH15005252</v>
      </c>
      <c r="AF4652" t="str">
        <f>"משלוחים ללקוח"</f>
        <v>משלוחים ללקוח</v>
      </c>
      <c r="AG4652" s="1">
        <v>42214</v>
      </c>
      <c r="AM4652" t="str">
        <f>"10"</f>
        <v>10</v>
      </c>
      <c r="AN4652" t="str">
        <f>"500000"</f>
        <v>500000</v>
      </c>
      <c r="AO4652" t="str">
        <f>"הכנסות  מלקוחות"</f>
        <v>הכנסות  מלקוחות</v>
      </c>
      <c r="AQ4652" t="str">
        <f>"007"</f>
        <v>007</v>
      </c>
      <c r="AR4652">
        <v>0</v>
      </c>
      <c r="AS4652">
        <v>0</v>
      </c>
      <c r="AT4652">
        <v>3.7810000000000001</v>
      </c>
      <c r="AX4652" t="str">
        <f>"E000198600"</f>
        <v>E000198600</v>
      </c>
      <c r="BD4652" t="str">
        <f>"רוני דידי"</f>
        <v>רוני דידי</v>
      </c>
    </row>
    <row r="4653" spans="1:56" x14ac:dyDescent="0.3">
      <c r="A4653" s="1">
        <v>42215</v>
      </c>
      <c r="B4653" t="str">
        <f>"SI150004325"</f>
        <v>SI150004325</v>
      </c>
      <c r="C4653" t="str">
        <f>"PR15002735"</f>
        <v>PR15002735</v>
      </c>
      <c r="E4653" t="str">
        <f>"Y"</f>
        <v>Y</v>
      </c>
      <c r="F4653" t="str">
        <f>"חשבוניות מרכזות"</f>
        <v>חשבוניות מרכזות</v>
      </c>
      <c r="G4653" t="str">
        <f>"700065"</f>
        <v>700065</v>
      </c>
      <c r="H4653" t="str">
        <f>"אלתא מערכות בע""מ"</f>
        <v>אלתא מערכות בע"מ</v>
      </c>
      <c r="I4653" t="str">
        <f>"10"</f>
        <v>10</v>
      </c>
      <c r="J4653" t="str">
        <f>"PA1000245"</f>
        <v>PA1000245</v>
      </c>
      <c r="K4653" t="str">
        <f>"POWER SUPPLY 230VAC to CH1:320VDC CH2:28VDC"</f>
        <v>POWER SUPPLY 230VAC to CH1:320VDC CH2:28VDC</v>
      </c>
      <c r="L4653">
        <v>-1</v>
      </c>
      <c r="M4653" t="str">
        <f>"יח"</f>
        <v>יח</v>
      </c>
      <c r="N4653">
        <v>-1</v>
      </c>
      <c r="O4653" t="str">
        <f>"יח"</f>
        <v>יח</v>
      </c>
      <c r="P4653" s="2">
        <v>2650</v>
      </c>
      <c r="Q4653" t="str">
        <f>"$"</f>
        <v>$</v>
      </c>
      <c r="R4653" t="str">
        <f>"ידני"</f>
        <v>ידני</v>
      </c>
      <c r="S4653">
        <v>0</v>
      </c>
      <c r="T4653" s="2">
        <v>-2650</v>
      </c>
      <c r="U4653">
        <v>0</v>
      </c>
      <c r="V4653" s="2">
        <v>-2650</v>
      </c>
      <c r="W4653" t="str">
        <f>"$"</f>
        <v>$</v>
      </c>
      <c r="X4653">
        <v>0</v>
      </c>
      <c r="Y4653">
        <v>0</v>
      </c>
      <c r="Z4653">
        <v>0</v>
      </c>
      <c r="AA4653" t="str">
        <f>"Y"</f>
        <v>Y</v>
      </c>
      <c r="AC4653">
        <v>0</v>
      </c>
      <c r="AM4653" t="str">
        <f>"10"</f>
        <v>10</v>
      </c>
      <c r="AN4653" t="str">
        <f>"500000"</f>
        <v>500000</v>
      </c>
      <c r="AO4653" t="str">
        <f>"הכנסות  מלקוחות"</f>
        <v>הכנסות  מלקוחות</v>
      </c>
      <c r="AQ4653" t="str">
        <f>"007"</f>
        <v>007</v>
      </c>
      <c r="AR4653">
        <v>0</v>
      </c>
      <c r="AS4653">
        <v>0</v>
      </c>
      <c r="AT4653">
        <v>3.7810000000000001</v>
      </c>
      <c r="BB4653" t="str">
        <f>"Y"</f>
        <v>Y</v>
      </c>
      <c r="BD4653" t="str">
        <f>"רוני דידי"</f>
        <v>רוני דידי</v>
      </c>
    </row>
    <row r="4654" spans="1:56" x14ac:dyDescent="0.3">
      <c r="A4654" s="1">
        <v>42215</v>
      </c>
      <c r="B4654" t="str">
        <f>"SI150004324"</f>
        <v>SI150004324</v>
      </c>
      <c r="C4654" t="str">
        <f>"PR15002735"</f>
        <v>PR15002735</v>
      </c>
      <c r="D4654" t="str">
        <f>"PR15002735"</f>
        <v>PR15002735</v>
      </c>
      <c r="E4654" t="str">
        <f>"Y"</f>
        <v>Y</v>
      </c>
      <c r="F4654" t="str">
        <f>"חשבוניות מרכזות"</f>
        <v>חשבוניות מרכזות</v>
      </c>
      <c r="G4654" t="str">
        <f>"700065"</f>
        <v>700065</v>
      </c>
      <c r="H4654" t="str">
        <f>"אלתא מערכות בע""מ"</f>
        <v>אלתא מערכות בע"מ</v>
      </c>
      <c r="I4654" t="str">
        <f>"10"</f>
        <v>10</v>
      </c>
      <c r="J4654" t="str">
        <f>"PA1000245"</f>
        <v>PA1000245</v>
      </c>
      <c r="K4654" t="str">
        <f>"POWER SUPPLY 230VAC to CH1:320VDC CH2:28VDC"</f>
        <v>POWER SUPPLY 230VAC to CH1:320VDC CH2:28VDC</v>
      </c>
      <c r="L4654">
        <v>1</v>
      </c>
      <c r="M4654" t="str">
        <f>"יח"</f>
        <v>יח</v>
      </c>
      <c r="N4654">
        <v>1</v>
      </c>
      <c r="O4654" t="str">
        <f>"יח"</f>
        <v>יח</v>
      </c>
      <c r="P4654" s="2">
        <v>7450</v>
      </c>
      <c r="Q4654" t="str">
        <f>"$"</f>
        <v>$</v>
      </c>
      <c r="R4654" t="str">
        <f>"הזמנה"</f>
        <v>הזמנה</v>
      </c>
      <c r="S4654">
        <v>0</v>
      </c>
      <c r="T4654" s="2">
        <v>7450</v>
      </c>
      <c r="U4654">
        <v>0</v>
      </c>
      <c r="V4654" s="2">
        <v>7450</v>
      </c>
      <c r="W4654" t="str">
        <f>"$"</f>
        <v>$</v>
      </c>
      <c r="X4654">
        <v>0</v>
      </c>
      <c r="Y4654">
        <v>0</v>
      </c>
      <c r="Z4654">
        <v>0</v>
      </c>
      <c r="AA4654" t="str">
        <f>"Y"</f>
        <v>Y</v>
      </c>
      <c r="AB4654" t="str">
        <f>"SO150003158"</f>
        <v>SO150003158</v>
      </c>
      <c r="AC4654">
        <v>1</v>
      </c>
      <c r="AD4654" s="1">
        <v>42116</v>
      </c>
      <c r="AE4654" t="str">
        <f>"SH15005251"</f>
        <v>SH15005251</v>
      </c>
      <c r="AF4654" t="str">
        <f>"משלוחים ללקוח"</f>
        <v>משלוחים ללקוח</v>
      </c>
      <c r="AG4654" s="1">
        <v>42214</v>
      </c>
      <c r="AM4654" t="str">
        <f>"10"</f>
        <v>10</v>
      </c>
      <c r="AN4654" t="str">
        <f>"500000"</f>
        <v>500000</v>
      </c>
      <c r="AO4654" t="str">
        <f>"הכנסות  מלקוחות"</f>
        <v>הכנסות  מלקוחות</v>
      </c>
      <c r="AQ4654" t="str">
        <f>"007"</f>
        <v>007</v>
      </c>
      <c r="AR4654">
        <v>0</v>
      </c>
      <c r="AS4654">
        <v>0</v>
      </c>
      <c r="AT4654">
        <v>3.7810000000000001</v>
      </c>
      <c r="AX4654" t="str">
        <f>"E000196076"</f>
        <v>E000196076</v>
      </c>
      <c r="BD4654" t="str">
        <f>"רוני דידי"</f>
        <v>רוני דידי</v>
      </c>
    </row>
    <row r="4655" spans="1:56" x14ac:dyDescent="0.3">
      <c r="A4655" s="1">
        <v>42215</v>
      </c>
      <c r="B4655" t="str">
        <f>"SI150004322"</f>
        <v>SI150004322</v>
      </c>
      <c r="C4655" t="str">
        <f>"PR15002735"</f>
        <v>PR15002735</v>
      </c>
      <c r="E4655" t="str">
        <f>"Y"</f>
        <v>Y</v>
      </c>
      <c r="F4655" t="str">
        <f>"חשבוניות מרכזות"</f>
        <v>חשבוניות מרכזות</v>
      </c>
      <c r="G4655" t="str">
        <f>"700065"</f>
        <v>700065</v>
      </c>
      <c r="H4655" t="str">
        <f>"אלתא מערכות בע""מ"</f>
        <v>אלתא מערכות בע"מ</v>
      </c>
      <c r="I4655" t="str">
        <f>"10"</f>
        <v>10</v>
      </c>
      <c r="J4655" t="str">
        <f>"PA1000245"</f>
        <v>PA1000245</v>
      </c>
      <c r="K4655" t="str">
        <f>"POWER SUPPLY 230VAC to CH1:320VDC CH2:28VDC"</f>
        <v>POWER SUPPLY 230VAC to CH1:320VDC CH2:28VDC</v>
      </c>
      <c r="L4655">
        <v>1</v>
      </c>
      <c r="M4655" t="str">
        <f>"יח"</f>
        <v>יח</v>
      </c>
      <c r="N4655">
        <v>1</v>
      </c>
      <c r="O4655" t="str">
        <f>"יח"</f>
        <v>יח</v>
      </c>
      <c r="P4655" s="2">
        <v>2650</v>
      </c>
      <c r="Q4655" t="str">
        <f>"$"</f>
        <v>$</v>
      </c>
      <c r="R4655" t="str">
        <f>"ידני"</f>
        <v>ידני</v>
      </c>
      <c r="S4655">
        <v>0</v>
      </c>
      <c r="T4655" s="2">
        <v>2650</v>
      </c>
      <c r="U4655">
        <v>0</v>
      </c>
      <c r="V4655" s="2">
        <v>2650</v>
      </c>
      <c r="W4655" t="str">
        <f>"$"</f>
        <v>$</v>
      </c>
      <c r="X4655">
        <v>0</v>
      </c>
      <c r="Y4655">
        <v>0</v>
      </c>
      <c r="Z4655">
        <v>0</v>
      </c>
      <c r="AA4655" t="str">
        <f>"Y"</f>
        <v>Y</v>
      </c>
      <c r="AC4655">
        <v>0</v>
      </c>
      <c r="AM4655" t="str">
        <f>"10"</f>
        <v>10</v>
      </c>
      <c r="AN4655" t="str">
        <f>"500000"</f>
        <v>500000</v>
      </c>
      <c r="AO4655" t="str">
        <f>"הכנסות  מלקוחות"</f>
        <v>הכנסות  מלקוחות</v>
      </c>
      <c r="AQ4655" t="str">
        <f>"007"</f>
        <v>007</v>
      </c>
      <c r="AR4655">
        <v>0</v>
      </c>
      <c r="AS4655">
        <v>0</v>
      </c>
      <c r="AT4655">
        <v>3.7810000000000001</v>
      </c>
      <c r="BB4655" t="str">
        <f>"Y"</f>
        <v>Y</v>
      </c>
      <c r="BD4655" t="str">
        <f>"רוני דידי"</f>
        <v>רוני דידי</v>
      </c>
    </row>
    <row r="4656" spans="1:56" x14ac:dyDescent="0.3">
      <c r="A4656" s="1">
        <v>42184</v>
      </c>
      <c r="B4656" t="str">
        <f>"SI150004220"</f>
        <v>SI150004220</v>
      </c>
      <c r="C4656" t="str">
        <f>"PR14002243"</f>
        <v>PR14002243</v>
      </c>
      <c r="E4656" t="str">
        <f>"Y"</f>
        <v>Y</v>
      </c>
      <c r="F4656" t="str">
        <f>"חשבוניות מרכזות"</f>
        <v>חשבוניות מרכזות</v>
      </c>
      <c r="G4656" t="str">
        <f>"700065"</f>
        <v>700065</v>
      </c>
      <c r="H4656" t="str">
        <f>"אלתא מערכות בע""מ"</f>
        <v>אלתא מערכות בע"מ</v>
      </c>
      <c r="I4656" t="str">
        <f>"10"</f>
        <v>10</v>
      </c>
      <c r="J4656" t="str">
        <f>"OP-AR12324"</f>
        <v>OP-AR12324</v>
      </c>
      <c r="K4656" t="str">
        <f>"לוח חלוקה DC PDB מק""ט לקוח 1025A690-001"</f>
        <v>לוח חלוקה DC PDB מק"ט לקוח 1025A690-001</v>
      </c>
      <c r="L4656">
        <v>1</v>
      </c>
      <c r="M4656" t="str">
        <f>"יח"</f>
        <v>יח</v>
      </c>
      <c r="N4656">
        <v>1</v>
      </c>
      <c r="O4656" t="str">
        <f>"יח"</f>
        <v>יח</v>
      </c>
      <c r="P4656" s="2">
        <v>92000</v>
      </c>
      <c r="Q4656" t="str">
        <f>"$"</f>
        <v>$</v>
      </c>
      <c r="R4656" t="str">
        <f>"הזמנה"</f>
        <v>הזמנה</v>
      </c>
      <c r="S4656">
        <v>0</v>
      </c>
      <c r="T4656" s="2">
        <v>92000</v>
      </c>
      <c r="U4656">
        <v>0</v>
      </c>
      <c r="V4656" s="2">
        <v>92000</v>
      </c>
      <c r="W4656" t="str">
        <f>"$"</f>
        <v>$</v>
      </c>
      <c r="X4656">
        <v>0</v>
      </c>
      <c r="Y4656">
        <v>0</v>
      </c>
      <c r="Z4656">
        <v>0</v>
      </c>
      <c r="AA4656" t="str">
        <f>"Y"</f>
        <v>Y</v>
      </c>
      <c r="AB4656" t="str">
        <f>"SO140001607"</f>
        <v>SO140001607</v>
      </c>
      <c r="AC4656">
        <v>1</v>
      </c>
      <c r="AD4656" s="1">
        <v>41665</v>
      </c>
      <c r="AE4656" t="str">
        <f>"SH15005013"</f>
        <v>SH15005013</v>
      </c>
      <c r="AF4656" t="str">
        <f>"משלוחים ללקוח"</f>
        <v>משלוחים ללקוח</v>
      </c>
      <c r="AG4656" s="1">
        <v>42179</v>
      </c>
      <c r="AM4656" t="str">
        <f>"10"</f>
        <v>10</v>
      </c>
      <c r="AN4656" t="str">
        <f>"500000"</f>
        <v>500000</v>
      </c>
      <c r="AO4656" t="str">
        <f>"הכנסות  מלקוחות"</f>
        <v>הכנסות  מלקוחות</v>
      </c>
      <c r="AQ4656" t="str">
        <f>"007"</f>
        <v>007</v>
      </c>
      <c r="AR4656">
        <v>0</v>
      </c>
      <c r="AS4656">
        <v>0</v>
      </c>
      <c r="AT4656">
        <v>3.8</v>
      </c>
      <c r="AX4656" t="str">
        <f>"E000165940"</f>
        <v>E000165940</v>
      </c>
      <c r="BD4656" t="str">
        <f>"רוני דידי"</f>
        <v>רוני דידי</v>
      </c>
    </row>
    <row r="4657" spans="1:56" x14ac:dyDescent="0.3">
      <c r="A4657" s="1">
        <v>42184</v>
      </c>
      <c r="B4657" t="str">
        <f>"SI150004208"</f>
        <v>SI150004208</v>
      </c>
      <c r="C4657" t="str">
        <f>"PR12000054"</f>
        <v>PR12000054</v>
      </c>
      <c r="E4657" t="str">
        <f>"Y"</f>
        <v>Y</v>
      </c>
      <c r="F4657" t="str">
        <f>"חשבוניות מרכזות"</f>
        <v>חשבוניות מרכזות</v>
      </c>
      <c r="G4657" t="str">
        <f>"700065"</f>
        <v>700065</v>
      </c>
      <c r="H4657" t="str">
        <f>"אלתא מערכות בע""מ"</f>
        <v>אלתא מערכות בע"מ</v>
      </c>
      <c r="I4657" t="str">
        <f>"10"</f>
        <v>10</v>
      </c>
      <c r="J4657" t="str">
        <f>"OP-AR09105"</f>
        <v>OP-AR09105</v>
      </c>
      <c r="K4657" t="str">
        <f>"לוח LB-PDB מק""ט לקוח 1026L310-002"</f>
        <v>לוח LB-PDB מק"ט לקוח 1026L310-002</v>
      </c>
      <c r="L4657">
        <v>1</v>
      </c>
      <c r="M4657" t="str">
        <f>"יח"</f>
        <v>יח</v>
      </c>
      <c r="N4657">
        <v>1</v>
      </c>
      <c r="O4657" t="str">
        <f>"יח"</f>
        <v>יח</v>
      </c>
      <c r="P4657" s="2">
        <v>25450</v>
      </c>
      <c r="Q4657" t="str">
        <f>"$"</f>
        <v>$</v>
      </c>
      <c r="R4657" t="str">
        <f>"הזמנה"</f>
        <v>הזמנה</v>
      </c>
      <c r="S4657">
        <v>0</v>
      </c>
      <c r="T4657" s="2">
        <v>25450</v>
      </c>
      <c r="U4657">
        <v>0</v>
      </c>
      <c r="V4657" s="2">
        <v>25450</v>
      </c>
      <c r="W4657" t="str">
        <f>"$"</f>
        <v>$</v>
      </c>
      <c r="X4657">
        <v>0</v>
      </c>
      <c r="Y4657">
        <v>0</v>
      </c>
      <c r="Z4657">
        <v>0</v>
      </c>
      <c r="AA4657" t="str">
        <f>"Y"</f>
        <v>Y</v>
      </c>
      <c r="AB4657" t="str">
        <f>"SO12T000001"</f>
        <v>SO12T000001</v>
      </c>
      <c r="AC4657">
        <v>13</v>
      </c>
      <c r="AD4657" s="1">
        <v>41256</v>
      </c>
      <c r="AE4657" t="str">
        <f>"SH15005015"</f>
        <v>SH15005015</v>
      </c>
      <c r="AF4657" t="str">
        <f>"משלוחים ללקוח"</f>
        <v>משלוחים ללקוח</v>
      </c>
      <c r="AG4657" s="1">
        <v>42179</v>
      </c>
      <c r="AM4657" t="str">
        <f>"10"</f>
        <v>10</v>
      </c>
      <c r="AN4657" t="str">
        <f>"500000"</f>
        <v>500000</v>
      </c>
      <c r="AO4657" t="str">
        <f>"הכנסות  מלקוחות"</f>
        <v>הכנסות  מלקוחות</v>
      </c>
      <c r="AQ4657" t="str">
        <f>"007"</f>
        <v>007</v>
      </c>
      <c r="AR4657">
        <v>0</v>
      </c>
      <c r="AS4657">
        <v>0</v>
      </c>
      <c r="AT4657">
        <v>3.8</v>
      </c>
      <c r="AX4657" t="str">
        <f>"E000093662"</f>
        <v>E000093662</v>
      </c>
      <c r="BD4657" t="str">
        <f>"רוני דידי"</f>
        <v>רוני דידי</v>
      </c>
    </row>
    <row r="4658" spans="1:56" x14ac:dyDescent="0.3">
      <c r="A4658" s="1">
        <v>42176</v>
      </c>
      <c r="B4658" t="str">
        <f>"SI150004159"</f>
        <v>SI150004159</v>
      </c>
      <c r="C4658" t="str">
        <f>"PR15002866"</f>
        <v>PR15002866</v>
      </c>
      <c r="E4658" t="str">
        <f>"Y"</f>
        <v>Y</v>
      </c>
      <c r="F4658" t="str">
        <f>"חשבוניות מרכזות"</f>
        <v>חשבוניות מרכזות</v>
      </c>
      <c r="G4658" t="str">
        <f>"700065"</f>
        <v>700065</v>
      </c>
      <c r="H4658" t="str">
        <f>"אלתא מערכות בע""מ"</f>
        <v>אלתא מערכות בע"מ</v>
      </c>
      <c r="I4658" t="str">
        <f>"10"</f>
        <v>10</v>
      </c>
      <c r="J4658" t="str">
        <f>"000"</f>
        <v>000</v>
      </c>
      <c r="K4658" t="str">
        <f>"בדיקה ותיקון LPDB3 סידורי 1024K210-001 #002"</f>
        <v>בדיקה ותיקון LPDB3 סידורי 1024K210-001 #002</v>
      </c>
      <c r="L4658">
        <v>-1</v>
      </c>
      <c r="M4658" t="str">
        <f>"יח"</f>
        <v>יח</v>
      </c>
      <c r="N4658">
        <v>-1</v>
      </c>
      <c r="O4658" t="str">
        <f>"יח"</f>
        <v>יח</v>
      </c>
      <c r="P4658">
        <v>945</v>
      </c>
      <c r="Q4658" t="str">
        <f>"$"</f>
        <v>$</v>
      </c>
      <c r="R4658" t="str">
        <f>"ידני"</f>
        <v>ידני</v>
      </c>
      <c r="S4658">
        <v>0</v>
      </c>
      <c r="T4658">
        <v>-945</v>
      </c>
      <c r="U4658">
        <v>0</v>
      </c>
      <c r="V4658">
        <v>-945</v>
      </c>
      <c r="W4658" t="str">
        <f>"$"</f>
        <v>$</v>
      </c>
      <c r="X4658">
        <v>0</v>
      </c>
      <c r="Y4658">
        <v>0</v>
      </c>
      <c r="Z4658">
        <v>0</v>
      </c>
      <c r="AA4658" t="str">
        <f>"Y"</f>
        <v>Y</v>
      </c>
      <c r="AC4658">
        <v>0</v>
      </c>
      <c r="AM4658" t="str">
        <f>"10"</f>
        <v>10</v>
      </c>
      <c r="AN4658" t="str">
        <f>"500000"</f>
        <v>500000</v>
      </c>
      <c r="AO4658" t="str">
        <f>"הכנסות  מלקוחות"</f>
        <v>הכנסות  מלקוחות</v>
      </c>
      <c r="AR4658">
        <v>0</v>
      </c>
      <c r="AS4658">
        <v>0</v>
      </c>
      <c r="AT4658">
        <v>3.8119999999999998</v>
      </c>
      <c r="BB4658" t="str">
        <f>"Y"</f>
        <v>Y</v>
      </c>
    </row>
    <row r="4659" spans="1:56" x14ac:dyDescent="0.3">
      <c r="A4659" s="1">
        <v>42176</v>
      </c>
      <c r="B4659" t="str">
        <f>"SI150004158"</f>
        <v>SI150004158</v>
      </c>
      <c r="C4659" t="str">
        <f>"PR15002866"</f>
        <v>PR15002866</v>
      </c>
      <c r="E4659" t="str">
        <f>"Y"</f>
        <v>Y</v>
      </c>
      <c r="F4659" t="str">
        <f>"חשבוניות מרכזות"</f>
        <v>חשבוניות מרכזות</v>
      </c>
      <c r="G4659" t="str">
        <f>"700065"</f>
        <v>700065</v>
      </c>
      <c r="H4659" t="str">
        <f>"אלתא מערכות בע""מ"</f>
        <v>אלתא מערכות בע"מ</v>
      </c>
      <c r="I4659" t="str">
        <f>"10"</f>
        <v>10</v>
      </c>
      <c r="J4659" t="str">
        <f>"000"</f>
        <v>000</v>
      </c>
      <c r="K4659" t="str">
        <f>"בדיקה ותיקון LPDB3 סידורי 1024K210-001 #002"</f>
        <v>בדיקה ותיקון LPDB3 סידורי 1024K210-001 #002</v>
      </c>
      <c r="L4659">
        <v>1</v>
      </c>
      <c r="M4659" t="str">
        <f>"יח"</f>
        <v>יח</v>
      </c>
      <c r="N4659">
        <v>1</v>
      </c>
      <c r="O4659" t="str">
        <f>"יח"</f>
        <v>יח</v>
      </c>
      <c r="P4659">
        <v>945</v>
      </c>
      <c r="Q4659" t="str">
        <f>"$"</f>
        <v>$</v>
      </c>
      <c r="R4659" t="str">
        <f>"ידני"</f>
        <v>ידני</v>
      </c>
      <c r="S4659">
        <v>0</v>
      </c>
      <c r="T4659">
        <v>945</v>
      </c>
      <c r="U4659">
        <v>0</v>
      </c>
      <c r="V4659">
        <v>945</v>
      </c>
      <c r="W4659" t="str">
        <f>"$"</f>
        <v>$</v>
      </c>
      <c r="X4659">
        <v>0</v>
      </c>
      <c r="Y4659">
        <v>0</v>
      </c>
      <c r="Z4659">
        <v>0</v>
      </c>
      <c r="AA4659" t="str">
        <f>"Y"</f>
        <v>Y</v>
      </c>
      <c r="AC4659">
        <v>0</v>
      </c>
      <c r="AM4659" t="str">
        <f>"10"</f>
        <v>10</v>
      </c>
      <c r="AN4659" t="str">
        <f>"500000"</f>
        <v>500000</v>
      </c>
      <c r="AO4659" t="str">
        <f>"הכנסות  מלקוחות"</f>
        <v>הכנסות  מלקוחות</v>
      </c>
      <c r="AR4659">
        <v>0</v>
      </c>
      <c r="AS4659">
        <v>0</v>
      </c>
      <c r="AT4659">
        <v>3.8119999999999998</v>
      </c>
      <c r="BB4659" t="str">
        <f>"Y"</f>
        <v>Y</v>
      </c>
    </row>
    <row r="4660" spans="1:56" x14ac:dyDescent="0.3">
      <c r="A4660" s="1">
        <v>42173</v>
      </c>
      <c r="B4660" t="str">
        <f>"SI150004160"</f>
        <v>SI150004160</v>
      </c>
      <c r="C4660" t="str">
        <f>"PR15002866"</f>
        <v>PR15002866</v>
      </c>
      <c r="D4660" t="str">
        <f>"PR15002866"</f>
        <v>PR15002866</v>
      </c>
      <c r="E4660" t="str">
        <f>"Y"</f>
        <v>Y</v>
      </c>
      <c r="F4660" t="str">
        <f>"חשבוניות מרכזות"</f>
        <v>חשבוניות מרכזות</v>
      </c>
      <c r="G4660" t="str">
        <f>"700065"</f>
        <v>700065</v>
      </c>
      <c r="H4660" t="str">
        <f>"אלתא מערכות בע""מ"</f>
        <v>אלתא מערכות בע"מ</v>
      </c>
      <c r="I4660" t="str">
        <f>"10"</f>
        <v>10</v>
      </c>
      <c r="J4660" t="str">
        <f>"000"</f>
        <v>000</v>
      </c>
      <c r="K4660" t="str">
        <f>"בדיקה ותיקון LPDB3 סידורי 1024K210-001 #002"</f>
        <v>בדיקה ותיקון LPDB3 סידורי 1024K210-001 #002</v>
      </c>
      <c r="L4660">
        <v>1</v>
      </c>
      <c r="M4660" t="str">
        <f>"יח"</f>
        <v>יח</v>
      </c>
      <c r="N4660">
        <v>1</v>
      </c>
      <c r="O4660" t="str">
        <f>"יח"</f>
        <v>יח</v>
      </c>
      <c r="P4660">
        <v>945</v>
      </c>
      <c r="Q4660" t="str">
        <f>"$"</f>
        <v>$</v>
      </c>
      <c r="R4660" t="str">
        <f>"הזמנה"</f>
        <v>הזמנה</v>
      </c>
      <c r="S4660">
        <v>0</v>
      </c>
      <c r="T4660">
        <v>945</v>
      </c>
      <c r="U4660">
        <v>0</v>
      </c>
      <c r="V4660">
        <v>945</v>
      </c>
      <c r="W4660" t="str">
        <f>"$"</f>
        <v>$</v>
      </c>
      <c r="X4660">
        <v>0</v>
      </c>
      <c r="Y4660">
        <v>0</v>
      </c>
      <c r="Z4660">
        <v>0</v>
      </c>
      <c r="AA4660" t="str">
        <f>"Y"</f>
        <v>Y</v>
      </c>
      <c r="AB4660" t="str">
        <f>"SO150003359"</f>
        <v>SO150003359</v>
      </c>
      <c r="AC4660">
        <v>1</v>
      </c>
      <c r="AD4660" s="1">
        <v>42170</v>
      </c>
      <c r="AE4660" t="str">
        <f>"SH15004937"</f>
        <v>SH15004937</v>
      </c>
      <c r="AF4660" t="str">
        <f>"משלוחים ללקוח"</f>
        <v>משלוחים ללקוח</v>
      </c>
      <c r="AG4660" s="1">
        <v>42172</v>
      </c>
      <c r="AM4660" t="str">
        <f>"10"</f>
        <v>10</v>
      </c>
      <c r="AN4660" t="str">
        <f>"500000"</f>
        <v>500000</v>
      </c>
      <c r="AO4660" t="str">
        <f>"הכנסות  מלקוחות"</f>
        <v>הכנסות  מלקוחות</v>
      </c>
      <c r="AR4660">
        <v>0</v>
      </c>
      <c r="AS4660">
        <v>0</v>
      </c>
      <c r="AT4660">
        <v>3.8119999999999998</v>
      </c>
      <c r="AX4660" t="str">
        <f>"E000168245"</f>
        <v>E000168245</v>
      </c>
    </row>
    <row r="4661" spans="1:56" x14ac:dyDescent="0.3">
      <c r="A4661" s="1">
        <v>42152</v>
      </c>
      <c r="B4661" t="str">
        <f>"SI150004119"</f>
        <v>SI150004119</v>
      </c>
      <c r="C4661" t="str">
        <f>"PR12000054"</f>
        <v>PR12000054</v>
      </c>
      <c r="E4661" t="str">
        <f>"Y"</f>
        <v>Y</v>
      </c>
      <c r="F4661" t="str">
        <f>"חשבוניות מרכזות"</f>
        <v>חשבוניות מרכזות</v>
      </c>
      <c r="G4661" t="str">
        <f>"700065"</f>
        <v>700065</v>
      </c>
      <c r="H4661" t="str">
        <f>"אלתא מערכות בע""מ"</f>
        <v>אלתא מערכות בע"מ</v>
      </c>
      <c r="I4661" t="str">
        <f>"10"</f>
        <v>10</v>
      </c>
      <c r="J4661" t="str">
        <f>"OP-AR09106"</f>
        <v>OP-AR09106</v>
      </c>
      <c r="K4661" t="str">
        <f>"לוח 1026L230-001 HIGH VOLTAG JUCTION BOX"</f>
        <v>לוח 1026L230-001 HIGH VOLTAG JUCTION BOX</v>
      </c>
      <c r="L4661">
        <v>2</v>
      </c>
      <c r="M4661" t="str">
        <f>"יח"</f>
        <v>יח</v>
      </c>
      <c r="N4661">
        <v>2</v>
      </c>
      <c r="O4661" t="str">
        <f>"יח"</f>
        <v>יח</v>
      </c>
      <c r="P4661" s="2">
        <v>9900</v>
      </c>
      <c r="Q4661" t="str">
        <f>"$"</f>
        <v>$</v>
      </c>
      <c r="R4661" t="str">
        <f>"ידני"</f>
        <v>ידני</v>
      </c>
      <c r="S4661">
        <v>0</v>
      </c>
      <c r="T4661" s="2">
        <v>19800</v>
      </c>
      <c r="U4661">
        <v>0</v>
      </c>
      <c r="V4661" s="2">
        <v>19800</v>
      </c>
      <c r="W4661" t="str">
        <f>"$"</f>
        <v>$</v>
      </c>
      <c r="X4661">
        <v>0</v>
      </c>
      <c r="Y4661">
        <v>0</v>
      </c>
      <c r="Z4661">
        <v>0</v>
      </c>
      <c r="AA4661" t="str">
        <f>"Y"</f>
        <v>Y</v>
      </c>
      <c r="AB4661" t="str">
        <f>"SO12T000001"</f>
        <v>SO12T000001</v>
      </c>
      <c r="AC4661">
        <v>56</v>
      </c>
      <c r="AD4661" s="1">
        <v>41256</v>
      </c>
      <c r="AE4661" t="str">
        <f>"SH15004801"</f>
        <v>SH15004801</v>
      </c>
      <c r="AF4661" t="str">
        <f>"משלוחים ללקוח"</f>
        <v>משלוחים ללקוח</v>
      </c>
      <c r="AG4661" s="1">
        <v>42149</v>
      </c>
      <c r="AM4661" t="str">
        <f>"10"</f>
        <v>10</v>
      </c>
      <c r="AN4661" t="str">
        <f>"500000"</f>
        <v>500000</v>
      </c>
      <c r="AO4661" t="str">
        <f>"הכנסות  מלקוחות"</f>
        <v>הכנסות  מלקוחות</v>
      </c>
      <c r="AQ4661" t="str">
        <f>"007"</f>
        <v>007</v>
      </c>
      <c r="AR4661">
        <v>0</v>
      </c>
      <c r="AS4661">
        <v>0</v>
      </c>
      <c r="AT4661">
        <v>3.88</v>
      </c>
      <c r="AX4661" t="str">
        <f>"E000093662"</f>
        <v>E000093662</v>
      </c>
      <c r="BD4661" t="str">
        <f>"רוני דידי"</f>
        <v>רוני דידי</v>
      </c>
    </row>
    <row r="4662" spans="1:56" x14ac:dyDescent="0.3">
      <c r="A4662" s="1">
        <v>42152</v>
      </c>
      <c r="B4662" t="str">
        <f>"SI150004119"</f>
        <v>SI150004119</v>
      </c>
      <c r="C4662" t="str">
        <f>"PR12000054"</f>
        <v>PR12000054</v>
      </c>
      <c r="E4662" t="str">
        <f>"Y"</f>
        <v>Y</v>
      </c>
      <c r="F4662" t="str">
        <f>"חשבוניות מרכזות"</f>
        <v>חשבוניות מרכזות</v>
      </c>
      <c r="G4662" t="str">
        <f>"700065"</f>
        <v>700065</v>
      </c>
      <c r="H4662" t="str">
        <f>"אלתא מערכות בע""מ"</f>
        <v>אלתא מערכות בע"מ</v>
      </c>
      <c r="I4662" t="str">
        <f>"10"</f>
        <v>10</v>
      </c>
      <c r="J4662" t="str">
        <f>"OP-AR09106"</f>
        <v>OP-AR09106</v>
      </c>
      <c r="K4662" t="str">
        <f>"לוח 1026L230-001 HIGH VOLTAG JUCTION BOX"</f>
        <v>לוח 1026L230-001 HIGH VOLTAG JUCTION BOX</v>
      </c>
      <c r="L4662">
        <v>2</v>
      </c>
      <c r="M4662" t="str">
        <f>"יח"</f>
        <v>יח</v>
      </c>
      <c r="N4662">
        <v>2</v>
      </c>
      <c r="O4662" t="str">
        <f>"יח"</f>
        <v>יח</v>
      </c>
      <c r="P4662" s="2">
        <v>9900</v>
      </c>
      <c r="Q4662" t="str">
        <f>"$"</f>
        <v>$</v>
      </c>
      <c r="R4662" t="str">
        <f>"ידני"</f>
        <v>ידני</v>
      </c>
      <c r="S4662">
        <v>0</v>
      </c>
      <c r="T4662" s="2">
        <v>19800</v>
      </c>
      <c r="U4662">
        <v>0</v>
      </c>
      <c r="V4662" s="2">
        <v>19800</v>
      </c>
      <c r="W4662" t="str">
        <f>"$"</f>
        <v>$</v>
      </c>
      <c r="X4662">
        <v>0</v>
      </c>
      <c r="Y4662">
        <v>0</v>
      </c>
      <c r="Z4662">
        <v>0</v>
      </c>
      <c r="AA4662" t="str">
        <f>"Y"</f>
        <v>Y</v>
      </c>
      <c r="AB4662" t="str">
        <f>"SO12T000001"</f>
        <v>SO12T000001</v>
      </c>
      <c r="AC4662">
        <v>59</v>
      </c>
      <c r="AD4662" s="1">
        <v>41256</v>
      </c>
      <c r="AE4662" t="str">
        <f>"SH15004801"</f>
        <v>SH15004801</v>
      </c>
      <c r="AF4662" t="str">
        <f>"משלוחים ללקוח"</f>
        <v>משלוחים ללקוח</v>
      </c>
      <c r="AG4662" s="1">
        <v>42149</v>
      </c>
      <c r="AM4662" t="str">
        <f>"10"</f>
        <v>10</v>
      </c>
      <c r="AN4662" t="str">
        <f>"500000"</f>
        <v>500000</v>
      </c>
      <c r="AO4662" t="str">
        <f>"הכנסות  מלקוחות"</f>
        <v>הכנסות  מלקוחות</v>
      </c>
      <c r="AQ4662" t="str">
        <f>"007"</f>
        <v>007</v>
      </c>
      <c r="AR4662">
        <v>0</v>
      </c>
      <c r="AS4662">
        <v>0</v>
      </c>
      <c r="AT4662">
        <v>3.88</v>
      </c>
      <c r="AX4662" t="str">
        <f>"E000093662"</f>
        <v>E000093662</v>
      </c>
      <c r="BD4662" t="str">
        <f>"רוני דידי"</f>
        <v>רוני דידי</v>
      </c>
    </row>
    <row r="4663" spans="1:56" x14ac:dyDescent="0.3">
      <c r="A4663" s="1">
        <v>42152</v>
      </c>
      <c r="B4663" t="str">
        <f>"SI150004118"</f>
        <v>SI150004118</v>
      </c>
      <c r="C4663" t="str">
        <f>"PR14002243"</f>
        <v>PR14002243</v>
      </c>
      <c r="E4663" t="str">
        <f>"Y"</f>
        <v>Y</v>
      </c>
      <c r="F4663" t="str">
        <f>"חשבוניות מרכזות"</f>
        <v>חשבוניות מרכזות</v>
      </c>
      <c r="G4663" t="str">
        <f>"700065"</f>
        <v>700065</v>
      </c>
      <c r="H4663" t="str">
        <f>"אלתא מערכות בע""מ"</f>
        <v>אלתא מערכות בע"מ</v>
      </c>
      <c r="I4663" t="str">
        <f>"10"</f>
        <v>10</v>
      </c>
      <c r="J4663" t="str">
        <f>"OP-AR12324"</f>
        <v>OP-AR12324</v>
      </c>
      <c r="K4663" t="str">
        <f>"לוח חלוקה DC PDB מק""ט לקוח 1025A690-001"</f>
        <v>לוח חלוקה DC PDB מק"ט לקוח 1025A690-001</v>
      </c>
      <c r="L4663">
        <v>1</v>
      </c>
      <c r="M4663" t="str">
        <f>"יח"</f>
        <v>יח</v>
      </c>
      <c r="N4663">
        <v>1</v>
      </c>
      <c r="O4663" t="str">
        <f>"יח"</f>
        <v>יח</v>
      </c>
      <c r="P4663" s="2">
        <v>92000</v>
      </c>
      <c r="Q4663" t="str">
        <f>"$"</f>
        <v>$</v>
      </c>
      <c r="R4663" t="str">
        <f>"ידני"</f>
        <v>ידני</v>
      </c>
      <c r="S4663">
        <v>0</v>
      </c>
      <c r="T4663" s="2">
        <v>92000</v>
      </c>
      <c r="U4663">
        <v>0</v>
      </c>
      <c r="V4663" s="2">
        <v>92000</v>
      </c>
      <c r="W4663" t="str">
        <f>"$"</f>
        <v>$</v>
      </c>
      <c r="X4663">
        <v>0</v>
      </c>
      <c r="Y4663">
        <v>0</v>
      </c>
      <c r="Z4663">
        <v>0</v>
      </c>
      <c r="AA4663" t="str">
        <f>"Y"</f>
        <v>Y</v>
      </c>
      <c r="AB4663" t="str">
        <f>"SO140001607"</f>
        <v>SO140001607</v>
      </c>
      <c r="AC4663">
        <v>1</v>
      </c>
      <c r="AD4663" s="1">
        <v>41665</v>
      </c>
      <c r="AE4663" t="str">
        <f>"SH15004837"</f>
        <v>SH15004837</v>
      </c>
      <c r="AF4663" t="str">
        <f>"משלוחים ללקוח"</f>
        <v>משלוחים ללקוח</v>
      </c>
      <c r="AG4663" s="1">
        <v>42151</v>
      </c>
      <c r="AM4663" t="str">
        <f>"10"</f>
        <v>10</v>
      </c>
      <c r="AN4663" t="str">
        <f>"500000"</f>
        <v>500000</v>
      </c>
      <c r="AO4663" t="str">
        <f>"הכנסות  מלקוחות"</f>
        <v>הכנסות  מלקוחות</v>
      </c>
      <c r="AQ4663" t="str">
        <f>"007"</f>
        <v>007</v>
      </c>
      <c r="AR4663">
        <v>0</v>
      </c>
      <c r="AS4663">
        <v>0</v>
      </c>
      <c r="AT4663">
        <v>3.88</v>
      </c>
      <c r="AX4663" t="str">
        <f>"E000165940"</f>
        <v>E000165940</v>
      </c>
      <c r="BD4663" t="str">
        <f>"רוני דידי"</f>
        <v>רוני דידי</v>
      </c>
    </row>
    <row r="4664" spans="1:56" x14ac:dyDescent="0.3">
      <c r="A4664" s="1">
        <v>42152</v>
      </c>
      <c r="B4664" t="str">
        <f>"SI150004117"</f>
        <v>SI150004117</v>
      </c>
      <c r="C4664" t="str">
        <f>"PR14002243"</f>
        <v>PR14002243</v>
      </c>
      <c r="E4664" t="str">
        <f>"Y"</f>
        <v>Y</v>
      </c>
      <c r="F4664" t="str">
        <f>"חשבוניות מרכזות"</f>
        <v>חשבוניות מרכזות</v>
      </c>
      <c r="G4664" t="str">
        <f>"700065"</f>
        <v>700065</v>
      </c>
      <c r="H4664" t="str">
        <f>"אלתא מערכות בע""מ"</f>
        <v>אלתא מערכות בע"מ</v>
      </c>
      <c r="I4664" t="str">
        <f>"10"</f>
        <v>10</v>
      </c>
      <c r="J4664" t="str">
        <f>"OP-AR12324"</f>
        <v>OP-AR12324</v>
      </c>
      <c r="K4664" t="str">
        <f>"לוח חלוקה DC PDB מק""ט לקוח 1025A690-001"</f>
        <v>לוח חלוקה DC PDB מק"ט לקוח 1025A690-001</v>
      </c>
      <c r="L4664">
        <v>-1</v>
      </c>
      <c r="M4664" t="str">
        <f>"יח"</f>
        <v>יח</v>
      </c>
      <c r="N4664">
        <v>-1</v>
      </c>
      <c r="O4664" t="str">
        <f>"יח"</f>
        <v>יח</v>
      </c>
      <c r="P4664" s="2">
        <v>92000</v>
      </c>
      <c r="Q4664" t="str">
        <f>"$"</f>
        <v>$</v>
      </c>
      <c r="R4664" t="str">
        <f>"הזמנה"</f>
        <v>הזמנה</v>
      </c>
      <c r="S4664">
        <v>0</v>
      </c>
      <c r="T4664" s="2">
        <v>-92000</v>
      </c>
      <c r="U4664">
        <v>0</v>
      </c>
      <c r="V4664" s="2">
        <v>-92000</v>
      </c>
      <c r="W4664" t="str">
        <f>"$"</f>
        <v>$</v>
      </c>
      <c r="X4664">
        <v>0</v>
      </c>
      <c r="Y4664">
        <v>0</v>
      </c>
      <c r="Z4664">
        <v>0</v>
      </c>
      <c r="AA4664" t="str">
        <f>"Y"</f>
        <v>Y</v>
      </c>
      <c r="AC4664">
        <v>0</v>
      </c>
      <c r="AM4664" t="str">
        <f>"10"</f>
        <v>10</v>
      </c>
      <c r="AN4664" t="str">
        <f>"500000"</f>
        <v>500000</v>
      </c>
      <c r="AO4664" t="str">
        <f>"הכנסות  מלקוחות"</f>
        <v>הכנסות  מלקוחות</v>
      </c>
      <c r="AQ4664" t="str">
        <f>"007"</f>
        <v>007</v>
      </c>
      <c r="AR4664">
        <v>0</v>
      </c>
      <c r="AS4664">
        <v>0</v>
      </c>
      <c r="AT4664">
        <v>3.875</v>
      </c>
      <c r="BB4664" t="str">
        <f>"Y"</f>
        <v>Y</v>
      </c>
      <c r="BD4664" t="str">
        <f>"רוני דידי"</f>
        <v>רוני דידי</v>
      </c>
    </row>
    <row r="4665" spans="1:56" x14ac:dyDescent="0.3">
      <c r="A4665" s="1">
        <v>42152</v>
      </c>
      <c r="B4665" t="str">
        <f>"SI150004116"</f>
        <v>SI150004116</v>
      </c>
      <c r="C4665" t="str">
        <f>"PR12000054"</f>
        <v>PR12000054</v>
      </c>
      <c r="E4665" t="str">
        <f>"Y"</f>
        <v>Y</v>
      </c>
      <c r="F4665" t="str">
        <f>"חשבוניות מרכזות"</f>
        <v>חשבוניות מרכזות</v>
      </c>
      <c r="G4665" t="str">
        <f>"700065"</f>
        <v>700065</v>
      </c>
      <c r="H4665" t="str">
        <f>"אלתא מערכות בע""מ"</f>
        <v>אלתא מערכות בע"מ</v>
      </c>
      <c r="I4665" t="str">
        <f>"10"</f>
        <v>10</v>
      </c>
      <c r="J4665" t="str">
        <f>"OP-AR09106"</f>
        <v>OP-AR09106</v>
      </c>
      <c r="K4665" t="str">
        <f>"לוח 1026L230-001 HIGH VOLTAG JUCTION BOX"</f>
        <v>לוח 1026L230-001 HIGH VOLTAG JUCTION BOX</v>
      </c>
      <c r="L4665">
        <v>-2</v>
      </c>
      <c r="M4665" t="str">
        <f>"יח"</f>
        <v>יח</v>
      </c>
      <c r="N4665">
        <v>-2</v>
      </c>
      <c r="O4665" t="str">
        <f>"יח"</f>
        <v>יח</v>
      </c>
      <c r="P4665" s="2">
        <v>9900</v>
      </c>
      <c r="Q4665" t="str">
        <f>"$"</f>
        <v>$</v>
      </c>
      <c r="R4665" t="str">
        <f>"ידני"</f>
        <v>ידני</v>
      </c>
      <c r="S4665">
        <v>0</v>
      </c>
      <c r="T4665" s="2">
        <v>-19800</v>
      </c>
      <c r="U4665">
        <v>0</v>
      </c>
      <c r="V4665" s="2">
        <v>-19800</v>
      </c>
      <c r="W4665" t="str">
        <f>"$"</f>
        <v>$</v>
      </c>
      <c r="X4665">
        <v>0</v>
      </c>
      <c r="Y4665">
        <v>0</v>
      </c>
      <c r="Z4665">
        <v>0</v>
      </c>
      <c r="AA4665" t="str">
        <f>"Y"</f>
        <v>Y</v>
      </c>
      <c r="AC4665">
        <v>0</v>
      </c>
      <c r="AM4665" t="str">
        <f>"10"</f>
        <v>10</v>
      </c>
      <c r="AN4665" t="str">
        <f>"500000"</f>
        <v>500000</v>
      </c>
      <c r="AO4665" t="str">
        <f>"הכנסות  מלקוחות"</f>
        <v>הכנסות  מלקוחות</v>
      </c>
      <c r="AQ4665" t="str">
        <f>"007"</f>
        <v>007</v>
      </c>
      <c r="AR4665">
        <v>0</v>
      </c>
      <c r="AS4665">
        <v>0</v>
      </c>
      <c r="AT4665">
        <v>3.88</v>
      </c>
      <c r="BB4665" t="str">
        <f>"Y"</f>
        <v>Y</v>
      </c>
      <c r="BD4665" t="str">
        <f>"רוני דידי"</f>
        <v>רוני דידי</v>
      </c>
    </row>
    <row r="4666" spans="1:56" x14ac:dyDescent="0.3">
      <c r="A4666" s="1">
        <v>42152</v>
      </c>
      <c r="B4666" t="str">
        <f>"SI150004116"</f>
        <v>SI150004116</v>
      </c>
      <c r="C4666" t="str">
        <f>"PR12000054"</f>
        <v>PR12000054</v>
      </c>
      <c r="E4666" t="str">
        <f>"Y"</f>
        <v>Y</v>
      </c>
      <c r="F4666" t="str">
        <f>"חשבוניות מרכזות"</f>
        <v>חשבוניות מרכזות</v>
      </c>
      <c r="G4666" t="str">
        <f>"700065"</f>
        <v>700065</v>
      </c>
      <c r="H4666" t="str">
        <f>"אלתא מערכות בע""מ"</f>
        <v>אלתא מערכות בע"מ</v>
      </c>
      <c r="I4666" t="str">
        <f>"10"</f>
        <v>10</v>
      </c>
      <c r="J4666" t="str">
        <f>"OP-AR09106"</f>
        <v>OP-AR09106</v>
      </c>
      <c r="K4666" t="str">
        <f>"לוח 1026L230-001 HIGH VOLTAG JUCTION BOX"</f>
        <v>לוח 1026L230-001 HIGH VOLTAG JUCTION BOX</v>
      </c>
      <c r="L4666">
        <v>-2</v>
      </c>
      <c r="M4666" t="str">
        <f>"יח"</f>
        <v>יח</v>
      </c>
      <c r="N4666">
        <v>-2</v>
      </c>
      <c r="O4666" t="str">
        <f>"יח"</f>
        <v>יח</v>
      </c>
      <c r="P4666" s="2">
        <v>9900</v>
      </c>
      <c r="Q4666" t="str">
        <f>"$"</f>
        <v>$</v>
      </c>
      <c r="R4666" t="str">
        <f>"ידני"</f>
        <v>ידני</v>
      </c>
      <c r="S4666">
        <v>0</v>
      </c>
      <c r="T4666" s="2">
        <v>-19800</v>
      </c>
      <c r="U4666">
        <v>0</v>
      </c>
      <c r="V4666" s="2">
        <v>-19800</v>
      </c>
      <c r="W4666" t="str">
        <f>"$"</f>
        <v>$</v>
      </c>
      <c r="X4666">
        <v>0</v>
      </c>
      <c r="Y4666">
        <v>0</v>
      </c>
      <c r="Z4666">
        <v>0</v>
      </c>
      <c r="AA4666" t="str">
        <f>"Y"</f>
        <v>Y</v>
      </c>
      <c r="AC4666">
        <v>0</v>
      </c>
      <c r="AM4666" t="str">
        <f>"10"</f>
        <v>10</v>
      </c>
      <c r="AN4666" t="str">
        <f>"500000"</f>
        <v>500000</v>
      </c>
      <c r="AO4666" t="str">
        <f>"הכנסות  מלקוחות"</f>
        <v>הכנסות  מלקוחות</v>
      </c>
      <c r="AQ4666" t="str">
        <f>"007"</f>
        <v>007</v>
      </c>
      <c r="AR4666">
        <v>0</v>
      </c>
      <c r="AS4666">
        <v>0</v>
      </c>
      <c r="AT4666">
        <v>3.88</v>
      </c>
      <c r="BB4666" t="str">
        <f>"Y"</f>
        <v>Y</v>
      </c>
      <c r="BD4666" t="str">
        <f>"רוני דידי"</f>
        <v>רוני דידי</v>
      </c>
    </row>
    <row r="4667" spans="1:56" x14ac:dyDescent="0.3">
      <c r="A4667" s="1">
        <v>42152</v>
      </c>
      <c r="B4667" t="str">
        <f>"SI150004053"</f>
        <v>SI150004053</v>
      </c>
      <c r="C4667" t="str">
        <f>"PR12000054"</f>
        <v>PR12000054</v>
      </c>
      <c r="E4667" t="str">
        <f>"Y"</f>
        <v>Y</v>
      </c>
      <c r="F4667" t="str">
        <f>"חשבוניות מרכזות"</f>
        <v>חשבוניות מרכזות</v>
      </c>
      <c r="G4667" t="str">
        <f>"700065"</f>
        <v>700065</v>
      </c>
      <c r="H4667" t="str">
        <f>"אלתא מערכות בע""מ"</f>
        <v>אלתא מערכות בע"מ</v>
      </c>
      <c r="I4667" t="str">
        <f>"10"</f>
        <v>10</v>
      </c>
      <c r="J4667" t="str">
        <f>"OP-AR09106"</f>
        <v>OP-AR09106</v>
      </c>
      <c r="K4667" t="str">
        <f>"לוח 1026L230-001 HIGH VOLTAG JUCTION BOX"</f>
        <v>לוח 1026L230-001 HIGH VOLTAG JUCTION BOX</v>
      </c>
      <c r="L4667">
        <v>2</v>
      </c>
      <c r="M4667" t="str">
        <f>"יח"</f>
        <v>יח</v>
      </c>
      <c r="N4667">
        <v>2</v>
      </c>
      <c r="O4667" t="str">
        <f>"יח"</f>
        <v>יח</v>
      </c>
      <c r="P4667" s="2">
        <v>9900</v>
      </c>
      <c r="Q4667" t="str">
        <f>"$"</f>
        <v>$</v>
      </c>
      <c r="R4667" t="str">
        <f>"ידני"</f>
        <v>ידני</v>
      </c>
      <c r="S4667">
        <v>0</v>
      </c>
      <c r="T4667" s="2">
        <v>19800</v>
      </c>
      <c r="U4667">
        <v>0</v>
      </c>
      <c r="V4667" s="2">
        <v>19800</v>
      </c>
      <c r="W4667" t="str">
        <f>"$"</f>
        <v>$</v>
      </c>
      <c r="X4667">
        <v>0</v>
      </c>
      <c r="Y4667">
        <v>0</v>
      </c>
      <c r="Z4667">
        <v>0</v>
      </c>
      <c r="AA4667" t="str">
        <f>"Y"</f>
        <v>Y</v>
      </c>
      <c r="AC4667">
        <v>0</v>
      </c>
      <c r="AM4667" t="str">
        <f>"10"</f>
        <v>10</v>
      </c>
      <c r="AN4667" t="str">
        <f>"500000"</f>
        <v>500000</v>
      </c>
      <c r="AO4667" t="str">
        <f>"הכנסות  מלקוחות"</f>
        <v>הכנסות  מלקוחות</v>
      </c>
      <c r="AQ4667" t="str">
        <f>"007"</f>
        <v>007</v>
      </c>
      <c r="AR4667">
        <v>0</v>
      </c>
      <c r="AS4667">
        <v>0</v>
      </c>
      <c r="AT4667">
        <v>3.88</v>
      </c>
      <c r="BB4667" t="str">
        <f>"Y"</f>
        <v>Y</v>
      </c>
      <c r="BD4667" t="str">
        <f>"רוני דידי"</f>
        <v>רוני דידי</v>
      </c>
    </row>
    <row r="4668" spans="1:56" x14ac:dyDescent="0.3">
      <c r="A4668" s="1">
        <v>42152</v>
      </c>
      <c r="B4668" t="str">
        <f>"SI150004053"</f>
        <v>SI150004053</v>
      </c>
      <c r="C4668" t="str">
        <f>"PR12000054"</f>
        <v>PR12000054</v>
      </c>
      <c r="E4668" t="str">
        <f>"Y"</f>
        <v>Y</v>
      </c>
      <c r="F4668" t="str">
        <f>"חשבוניות מרכזות"</f>
        <v>חשבוניות מרכזות</v>
      </c>
      <c r="G4668" t="str">
        <f>"700065"</f>
        <v>700065</v>
      </c>
      <c r="H4668" t="str">
        <f>"אלתא מערכות בע""מ"</f>
        <v>אלתא מערכות בע"מ</v>
      </c>
      <c r="I4668" t="str">
        <f>"10"</f>
        <v>10</v>
      </c>
      <c r="J4668" t="str">
        <f>"OP-AR09106"</f>
        <v>OP-AR09106</v>
      </c>
      <c r="K4668" t="str">
        <f>"לוח 1026L230-001 HIGH VOLTAG JUCTION BOX"</f>
        <v>לוח 1026L230-001 HIGH VOLTAG JUCTION BOX</v>
      </c>
      <c r="L4668">
        <v>2</v>
      </c>
      <c r="M4668" t="str">
        <f>"יח"</f>
        <v>יח</v>
      </c>
      <c r="N4668">
        <v>2</v>
      </c>
      <c r="O4668" t="str">
        <f>"יח"</f>
        <v>יח</v>
      </c>
      <c r="P4668" s="2">
        <v>9900</v>
      </c>
      <c r="Q4668" t="str">
        <f>"$"</f>
        <v>$</v>
      </c>
      <c r="R4668" t="str">
        <f>"ידני"</f>
        <v>ידני</v>
      </c>
      <c r="S4668">
        <v>0</v>
      </c>
      <c r="T4668" s="2">
        <v>19800</v>
      </c>
      <c r="U4668">
        <v>0</v>
      </c>
      <c r="V4668" s="2">
        <v>19800</v>
      </c>
      <c r="W4668" t="str">
        <f>"$"</f>
        <v>$</v>
      </c>
      <c r="X4668">
        <v>0</v>
      </c>
      <c r="Y4668">
        <v>0</v>
      </c>
      <c r="Z4668">
        <v>0</v>
      </c>
      <c r="AA4668" t="str">
        <f>"Y"</f>
        <v>Y</v>
      </c>
      <c r="AC4668">
        <v>0</v>
      </c>
      <c r="AM4668" t="str">
        <f>"10"</f>
        <v>10</v>
      </c>
      <c r="AN4668" t="str">
        <f>"500000"</f>
        <v>500000</v>
      </c>
      <c r="AO4668" t="str">
        <f>"הכנסות  מלקוחות"</f>
        <v>הכנסות  מלקוחות</v>
      </c>
      <c r="AQ4668" t="str">
        <f>"007"</f>
        <v>007</v>
      </c>
      <c r="AR4668">
        <v>0</v>
      </c>
      <c r="AS4668">
        <v>0</v>
      </c>
      <c r="AT4668">
        <v>3.88</v>
      </c>
      <c r="BB4668" t="str">
        <f>"Y"</f>
        <v>Y</v>
      </c>
      <c r="BD4668" t="str">
        <f>"רוני דידי"</f>
        <v>רוני דידי</v>
      </c>
    </row>
    <row r="4669" spans="1:56" x14ac:dyDescent="0.3">
      <c r="A4669" s="1">
        <v>42152</v>
      </c>
      <c r="B4669" t="str">
        <f>"SI150004051"</f>
        <v>SI150004051</v>
      </c>
      <c r="C4669" t="str">
        <f>"PR14002243"</f>
        <v>PR14002243</v>
      </c>
      <c r="E4669" t="str">
        <f>"Y"</f>
        <v>Y</v>
      </c>
      <c r="F4669" t="str">
        <f>"חשבוניות מרכזות"</f>
        <v>חשבוניות מרכזות</v>
      </c>
      <c r="G4669" t="str">
        <f>"700065"</f>
        <v>700065</v>
      </c>
      <c r="H4669" t="str">
        <f>"אלתא מערכות בע""מ"</f>
        <v>אלתא מערכות בע"מ</v>
      </c>
      <c r="I4669" t="str">
        <f>"10"</f>
        <v>10</v>
      </c>
      <c r="J4669" t="str">
        <f>"OP-AR12324"</f>
        <v>OP-AR12324</v>
      </c>
      <c r="K4669" t="str">
        <f>"לוח חלוקה DC PDB מק""ט לקוח 1025A690-001"</f>
        <v>לוח חלוקה DC PDB מק"ט לקוח 1025A690-001</v>
      </c>
      <c r="L4669">
        <v>1</v>
      </c>
      <c r="M4669" t="str">
        <f>"יח"</f>
        <v>יח</v>
      </c>
      <c r="N4669">
        <v>1</v>
      </c>
      <c r="O4669" t="str">
        <f>"יח"</f>
        <v>יח</v>
      </c>
      <c r="P4669" s="2">
        <v>92000</v>
      </c>
      <c r="Q4669" t="str">
        <f>"$"</f>
        <v>$</v>
      </c>
      <c r="R4669" t="str">
        <f>"הזמנה"</f>
        <v>הזמנה</v>
      </c>
      <c r="S4669">
        <v>0</v>
      </c>
      <c r="T4669" s="2">
        <v>92000</v>
      </c>
      <c r="U4669">
        <v>0</v>
      </c>
      <c r="V4669" s="2">
        <v>92000</v>
      </c>
      <c r="W4669" t="str">
        <f>"$"</f>
        <v>$</v>
      </c>
      <c r="X4669">
        <v>0</v>
      </c>
      <c r="Y4669">
        <v>0</v>
      </c>
      <c r="Z4669">
        <v>0</v>
      </c>
      <c r="AA4669" t="str">
        <f>"Y"</f>
        <v>Y</v>
      </c>
      <c r="AC4669">
        <v>0</v>
      </c>
      <c r="AM4669" t="str">
        <f>"10"</f>
        <v>10</v>
      </c>
      <c r="AN4669" t="str">
        <f>"500000"</f>
        <v>500000</v>
      </c>
      <c r="AO4669" t="str">
        <f>"הכנסות  מלקוחות"</f>
        <v>הכנסות  מלקוחות</v>
      </c>
      <c r="AQ4669" t="str">
        <f>"007"</f>
        <v>007</v>
      </c>
      <c r="AR4669">
        <v>0</v>
      </c>
      <c r="AS4669">
        <v>0</v>
      </c>
      <c r="AT4669">
        <v>3.875</v>
      </c>
      <c r="BB4669" t="str">
        <f>"Y"</f>
        <v>Y</v>
      </c>
      <c r="BD4669" t="str">
        <f>"רוני דידי"</f>
        <v>רוני דידי</v>
      </c>
    </row>
    <row r="4670" spans="1:56" x14ac:dyDescent="0.3">
      <c r="A4670" s="1">
        <v>42151</v>
      </c>
      <c r="B4670" t="str">
        <f>"SI150004054"</f>
        <v>SI150004054</v>
      </c>
      <c r="C4670" t="str">
        <f>"PR14001909"</f>
        <v>PR14001909</v>
      </c>
      <c r="D4670" t="str">
        <f>"PR14001909"</f>
        <v>PR14001909</v>
      </c>
      <c r="E4670" t="str">
        <f>"Y"</f>
        <v>Y</v>
      </c>
      <c r="F4670" t="str">
        <f>"חשבוניות מרכזות"</f>
        <v>חשבוניות מרכזות</v>
      </c>
      <c r="G4670" t="str">
        <f>"700065"</f>
        <v>700065</v>
      </c>
      <c r="H4670" t="str">
        <f>"אלתא מערכות בע""מ"</f>
        <v>אלתא מערכות בע"מ</v>
      </c>
      <c r="I4670" t="str">
        <f>"10"</f>
        <v>10</v>
      </c>
      <c r="J4670" t="str">
        <f>"OP-AR00086"</f>
        <v>OP-AR00086</v>
      </c>
      <c r="K4670" t="str">
        <f>"קוליפיקציה ותיק מוצר NRE HV-PDB"</f>
        <v>קוליפיקציה ותיק מוצר NRE HV-PDB</v>
      </c>
      <c r="L4670">
        <v>1</v>
      </c>
      <c r="M4670" t="str">
        <f>"יח"</f>
        <v>יח</v>
      </c>
      <c r="N4670">
        <v>1</v>
      </c>
      <c r="O4670" t="str">
        <f>"יח"</f>
        <v>יח</v>
      </c>
      <c r="P4670" s="2">
        <v>21984</v>
      </c>
      <c r="Q4670" t="str">
        <f>"$"</f>
        <v>$</v>
      </c>
      <c r="R4670" t="str">
        <f>"הזמנה"</f>
        <v>הזמנה</v>
      </c>
      <c r="S4670">
        <v>0</v>
      </c>
      <c r="T4670" s="2">
        <v>21984</v>
      </c>
      <c r="U4670">
        <v>0</v>
      </c>
      <c r="V4670" s="2">
        <v>21984</v>
      </c>
      <c r="W4670" t="str">
        <f>"$"</f>
        <v>$</v>
      </c>
      <c r="X4670">
        <v>0</v>
      </c>
      <c r="Y4670">
        <v>0</v>
      </c>
      <c r="Z4670">
        <v>0</v>
      </c>
      <c r="AA4670" t="str">
        <f>"Y"</f>
        <v>Y</v>
      </c>
      <c r="AB4670" t="str">
        <f>"SO140002235"</f>
        <v>SO140002235</v>
      </c>
      <c r="AC4670">
        <v>4</v>
      </c>
      <c r="AD4670" s="1">
        <v>41870</v>
      </c>
      <c r="AM4670" t="str">
        <f>"10"</f>
        <v>10</v>
      </c>
      <c r="AN4670" t="str">
        <f>"500000"</f>
        <v>500000</v>
      </c>
      <c r="AO4670" t="str">
        <f>"הכנסות  מלקוחות"</f>
        <v>הכנסות  מלקוחות</v>
      </c>
      <c r="AQ4670" t="str">
        <f>"007"</f>
        <v>007</v>
      </c>
      <c r="AR4670">
        <v>0</v>
      </c>
      <c r="AS4670">
        <v>0</v>
      </c>
      <c r="AT4670">
        <v>3.875</v>
      </c>
      <c r="AX4670" t="str">
        <f>"E000180636"</f>
        <v>E000180636</v>
      </c>
      <c r="BD4670" t="str">
        <f>"רוני דידי"</f>
        <v>רוני דידי</v>
      </c>
    </row>
    <row r="4671" spans="1:56" x14ac:dyDescent="0.3">
      <c r="A4671" s="1">
        <v>42151</v>
      </c>
      <c r="B4671" t="str">
        <f>"SI150004054"</f>
        <v>SI150004054</v>
      </c>
      <c r="C4671" t="str">
        <f>"PR14001909"</f>
        <v>PR14001909</v>
      </c>
      <c r="D4671" t="str">
        <f>"PR14001909"</f>
        <v>PR14001909</v>
      </c>
      <c r="E4671" t="str">
        <f>"Y"</f>
        <v>Y</v>
      </c>
      <c r="F4671" t="str">
        <f>"חשבוניות מרכזות"</f>
        <v>חשבוניות מרכזות</v>
      </c>
      <c r="G4671" t="str">
        <f>"700065"</f>
        <v>700065</v>
      </c>
      <c r="H4671" t="str">
        <f>"אלתא מערכות בע""מ"</f>
        <v>אלתא מערכות בע"מ</v>
      </c>
      <c r="I4671" t="str">
        <f>"10"</f>
        <v>10</v>
      </c>
      <c r="J4671" t="str">
        <f>"OP-AR00059"</f>
        <v>OP-AR00059</v>
      </c>
      <c r="K4671" t="str">
        <f>"מערכת HV PDB VICD 9002E171-001"</f>
        <v>מערכת HV PDB VICD 9002E171-001</v>
      </c>
      <c r="L4671">
        <v>4</v>
      </c>
      <c r="M4671" t="str">
        <f>"יח"</f>
        <v>יח</v>
      </c>
      <c r="N4671">
        <v>4</v>
      </c>
      <c r="O4671" t="str">
        <f>"יח"</f>
        <v>יח</v>
      </c>
      <c r="P4671" s="2">
        <v>9100</v>
      </c>
      <c r="Q4671" t="str">
        <f>"$"</f>
        <v>$</v>
      </c>
      <c r="R4671" t="str">
        <f>"הזמנה"</f>
        <v>הזמנה</v>
      </c>
      <c r="S4671">
        <v>0</v>
      </c>
      <c r="T4671" s="2">
        <v>36400</v>
      </c>
      <c r="U4671">
        <v>0</v>
      </c>
      <c r="V4671" s="2">
        <v>36400</v>
      </c>
      <c r="W4671" t="str">
        <f>"$"</f>
        <v>$</v>
      </c>
      <c r="X4671">
        <v>0</v>
      </c>
      <c r="Y4671">
        <v>0</v>
      </c>
      <c r="Z4671">
        <v>0</v>
      </c>
      <c r="AA4671" t="str">
        <f>"Y"</f>
        <v>Y</v>
      </c>
      <c r="AB4671" t="str">
        <f>"SO140002235"</f>
        <v>SO140002235</v>
      </c>
      <c r="AC4671">
        <v>1</v>
      </c>
      <c r="AD4671" s="1">
        <v>41870</v>
      </c>
      <c r="AE4671" t="str">
        <f>"SH15004800"</f>
        <v>SH15004800</v>
      </c>
      <c r="AF4671" t="str">
        <f>"משלוחים ללקוח"</f>
        <v>משלוחים ללקוח</v>
      </c>
      <c r="AG4671" s="1">
        <v>42149</v>
      </c>
      <c r="AM4671" t="str">
        <f>"10"</f>
        <v>10</v>
      </c>
      <c r="AN4671" t="str">
        <f>"500000"</f>
        <v>500000</v>
      </c>
      <c r="AO4671" t="str">
        <f>"הכנסות  מלקוחות"</f>
        <v>הכנסות  מלקוחות</v>
      </c>
      <c r="AQ4671" t="str">
        <f>"007"</f>
        <v>007</v>
      </c>
      <c r="AR4671">
        <v>0</v>
      </c>
      <c r="AS4671">
        <v>0</v>
      </c>
      <c r="AT4671">
        <v>3.875</v>
      </c>
      <c r="AX4671" t="str">
        <f>"E000180636"</f>
        <v>E000180636</v>
      </c>
      <c r="BD4671" t="str">
        <f>"רוני דידי"</f>
        <v>רוני דידי</v>
      </c>
    </row>
    <row r="4672" spans="1:56" x14ac:dyDescent="0.3">
      <c r="A4672" s="1">
        <v>42151</v>
      </c>
      <c r="B4672" t="str">
        <f>"SI150004054"</f>
        <v>SI150004054</v>
      </c>
      <c r="C4672" t="str">
        <f>"PR14001909"</f>
        <v>PR14001909</v>
      </c>
      <c r="D4672" t="str">
        <f>"PR14001909"</f>
        <v>PR14001909</v>
      </c>
      <c r="E4672" t="str">
        <f>"Y"</f>
        <v>Y</v>
      </c>
      <c r="F4672" t="str">
        <f>"חשבוניות מרכזות"</f>
        <v>חשבוניות מרכזות</v>
      </c>
      <c r="G4672" t="str">
        <f>"700065"</f>
        <v>700065</v>
      </c>
      <c r="H4672" t="str">
        <f>"אלתא מערכות בע""מ"</f>
        <v>אלתא מערכות בע"מ</v>
      </c>
      <c r="I4672" t="str">
        <f>"10"</f>
        <v>10</v>
      </c>
      <c r="J4672" t="str">
        <f>"OP-AR00059"</f>
        <v>OP-AR00059</v>
      </c>
      <c r="K4672" t="str">
        <f>"מערכת HV PDB VICD 9002E171-001"</f>
        <v>מערכת HV PDB VICD 9002E171-001</v>
      </c>
      <c r="L4672">
        <v>5</v>
      </c>
      <c r="M4672" t="str">
        <f>"יח"</f>
        <v>יח</v>
      </c>
      <c r="N4672">
        <v>5</v>
      </c>
      <c r="O4672" t="str">
        <f>"יח"</f>
        <v>יח</v>
      </c>
      <c r="P4672" s="2">
        <v>9100</v>
      </c>
      <c r="Q4672" t="str">
        <f>"$"</f>
        <v>$</v>
      </c>
      <c r="R4672" t="str">
        <f>"הזמנה"</f>
        <v>הזמנה</v>
      </c>
      <c r="S4672">
        <v>0</v>
      </c>
      <c r="T4672" s="2">
        <v>45500</v>
      </c>
      <c r="U4672">
        <v>0</v>
      </c>
      <c r="V4672" s="2">
        <v>45500</v>
      </c>
      <c r="W4672" t="str">
        <f>"$"</f>
        <v>$</v>
      </c>
      <c r="X4672">
        <v>0</v>
      </c>
      <c r="Y4672">
        <v>0</v>
      </c>
      <c r="Z4672">
        <v>0</v>
      </c>
      <c r="AA4672" t="str">
        <f>"Y"</f>
        <v>Y</v>
      </c>
      <c r="AB4672" t="str">
        <f>"SO140002235"</f>
        <v>SO140002235</v>
      </c>
      <c r="AC4672">
        <v>2</v>
      </c>
      <c r="AD4672" s="1">
        <v>41870</v>
      </c>
      <c r="AE4672" t="str">
        <f>"SH15004800"</f>
        <v>SH15004800</v>
      </c>
      <c r="AF4672" t="str">
        <f>"משלוחים ללקוח"</f>
        <v>משלוחים ללקוח</v>
      </c>
      <c r="AG4672" s="1">
        <v>42149</v>
      </c>
      <c r="AM4672" t="str">
        <f>"10"</f>
        <v>10</v>
      </c>
      <c r="AN4672" t="str">
        <f>"500000"</f>
        <v>500000</v>
      </c>
      <c r="AO4672" t="str">
        <f>"הכנסות  מלקוחות"</f>
        <v>הכנסות  מלקוחות</v>
      </c>
      <c r="AQ4672" t="str">
        <f>"007"</f>
        <v>007</v>
      </c>
      <c r="AR4672">
        <v>0</v>
      </c>
      <c r="AS4672">
        <v>0</v>
      </c>
      <c r="AT4672">
        <v>3.875</v>
      </c>
      <c r="AX4672" t="str">
        <f>"E000180636"</f>
        <v>E000180636</v>
      </c>
      <c r="BD4672" t="str">
        <f>"רוני דידי"</f>
        <v>רוני דידי</v>
      </c>
    </row>
    <row r="4673" spans="1:56" x14ac:dyDescent="0.3">
      <c r="A4673" s="1">
        <v>42151</v>
      </c>
      <c r="B4673" t="str">
        <f>"SI150004054"</f>
        <v>SI150004054</v>
      </c>
      <c r="C4673" t="str">
        <f>"PR14001909"</f>
        <v>PR14001909</v>
      </c>
      <c r="D4673" t="str">
        <f>"PR14001909"</f>
        <v>PR14001909</v>
      </c>
      <c r="E4673" t="str">
        <f>"Y"</f>
        <v>Y</v>
      </c>
      <c r="F4673" t="str">
        <f>"חשבוניות מרכזות"</f>
        <v>חשבוניות מרכזות</v>
      </c>
      <c r="G4673" t="str">
        <f>"700065"</f>
        <v>700065</v>
      </c>
      <c r="H4673" t="str">
        <f>"אלתא מערכות בע""מ"</f>
        <v>אלתא מערכות בע"מ</v>
      </c>
      <c r="I4673" t="str">
        <f>"10"</f>
        <v>10</v>
      </c>
      <c r="J4673" t="str">
        <f>"OP-AR00059"</f>
        <v>OP-AR00059</v>
      </c>
      <c r="K4673" t="str">
        <f>"מערכת HV PDB VICD 9002E171-001"</f>
        <v>מערכת HV PDB VICD 9002E171-001</v>
      </c>
      <c r="L4673">
        <v>1</v>
      </c>
      <c r="M4673" t="str">
        <f>"יח"</f>
        <v>יח</v>
      </c>
      <c r="N4673">
        <v>1</v>
      </c>
      <c r="O4673" t="str">
        <f>"יח"</f>
        <v>יח</v>
      </c>
      <c r="P4673" s="2">
        <v>9100</v>
      </c>
      <c r="Q4673" t="str">
        <f>"$"</f>
        <v>$</v>
      </c>
      <c r="R4673" t="str">
        <f>"הזמנה"</f>
        <v>הזמנה</v>
      </c>
      <c r="S4673">
        <v>0</v>
      </c>
      <c r="T4673" s="2">
        <v>9100</v>
      </c>
      <c r="U4673">
        <v>0</v>
      </c>
      <c r="V4673" s="2">
        <v>9100</v>
      </c>
      <c r="W4673" t="str">
        <f>"$"</f>
        <v>$</v>
      </c>
      <c r="X4673">
        <v>0</v>
      </c>
      <c r="Y4673">
        <v>0</v>
      </c>
      <c r="Z4673">
        <v>0</v>
      </c>
      <c r="AA4673" t="str">
        <f>"Y"</f>
        <v>Y</v>
      </c>
      <c r="AB4673" t="str">
        <f>"SO140002235"</f>
        <v>SO140002235</v>
      </c>
      <c r="AC4673">
        <v>3</v>
      </c>
      <c r="AD4673" s="1">
        <v>41870</v>
      </c>
      <c r="AE4673" t="str">
        <f>"SH15004800"</f>
        <v>SH15004800</v>
      </c>
      <c r="AF4673" t="str">
        <f>"משלוחים ללקוח"</f>
        <v>משלוחים ללקוח</v>
      </c>
      <c r="AG4673" s="1">
        <v>42149</v>
      </c>
      <c r="AM4673" t="str">
        <f>"10"</f>
        <v>10</v>
      </c>
      <c r="AN4673" t="str">
        <f>"500000"</f>
        <v>500000</v>
      </c>
      <c r="AO4673" t="str">
        <f>"הכנסות  מלקוחות"</f>
        <v>הכנסות  מלקוחות</v>
      </c>
      <c r="AQ4673" t="str">
        <f>"007"</f>
        <v>007</v>
      </c>
      <c r="AR4673">
        <v>0</v>
      </c>
      <c r="AS4673">
        <v>0</v>
      </c>
      <c r="AT4673">
        <v>3.875</v>
      </c>
      <c r="AX4673" t="str">
        <f>"E000180636"</f>
        <v>E000180636</v>
      </c>
      <c r="BD4673" t="str">
        <f>"רוני דידי"</f>
        <v>רוני דידי</v>
      </c>
    </row>
    <row r="4674" spans="1:56" x14ac:dyDescent="0.3">
      <c r="A4674" s="1">
        <v>42138</v>
      </c>
      <c r="B4674" t="str">
        <f>"CR150000059"</f>
        <v>CR150000059</v>
      </c>
      <c r="C4674" t="str">
        <f>"PR12000061"</f>
        <v>PR12000061</v>
      </c>
      <c r="E4674" t="str">
        <f>"Y"</f>
        <v>Y</v>
      </c>
      <c r="F4674" t="str">
        <f>"חשבוניות זיכוי"</f>
        <v>חשבוניות זיכוי</v>
      </c>
      <c r="G4674" t="str">
        <f>"700065"</f>
        <v>700065</v>
      </c>
      <c r="H4674" t="str">
        <f>"אלתא מערכות בע""מ"</f>
        <v>אלתא מערכות בע"מ</v>
      </c>
      <c r="I4674" t="str">
        <f>"10"</f>
        <v>10</v>
      </c>
      <c r="J4674" t="str">
        <f>"999"</f>
        <v>999</v>
      </c>
      <c r="K4674" t="str">
        <f>"זיכוי בגין חיוב ייתר בחשבונית מס SI150003628"</f>
        <v>זיכוי בגין חיוב ייתר בחשבונית מס SI150003628</v>
      </c>
      <c r="L4674">
        <v>1</v>
      </c>
      <c r="M4674" t="str">
        <f>"חל"</f>
        <v>חל</v>
      </c>
      <c r="N4674">
        <v>1</v>
      </c>
      <c r="O4674" t="str">
        <f>"חל"</f>
        <v>חל</v>
      </c>
      <c r="P4674">
        <v>716.12</v>
      </c>
      <c r="Q4674" t="str">
        <f>"ש""ח"</f>
        <v>ש"ח</v>
      </c>
      <c r="R4674" t="str">
        <f>"ידני"</f>
        <v>ידני</v>
      </c>
      <c r="S4674">
        <v>0</v>
      </c>
      <c r="T4674">
        <v>716.12</v>
      </c>
      <c r="U4674">
        <v>0</v>
      </c>
      <c r="V4674">
        <v>716.12</v>
      </c>
      <c r="W4674" t="str">
        <f>"ש""ח"</f>
        <v>ש"ח</v>
      </c>
      <c r="X4674">
        <v>0</v>
      </c>
      <c r="Y4674">
        <v>0</v>
      </c>
      <c r="Z4674">
        <v>0</v>
      </c>
      <c r="AA4674" t="str">
        <f>"Y"</f>
        <v>Y</v>
      </c>
      <c r="AC4674">
        <v>0</v>
      </c>
      <c r="AM4674" t="str">
        <f>"10"</f>
        <v>10</v>
      </c>
      <c r="AN4674" t="str">
        <f>"500000"</f>
        <v>500000</v>
      </c>
      <c r="AO4674" t="str">
        <f>"הכנסות  מלקוחות"</f>
        <v>הכנסות  מלקוחות</v>
      </c>
      <c r="AQ4674" t="str">
        <f>"007"</f>
        <v>007</v>
      </c>
      <c r="AR4674">
        <v>0</v>
      </c>
      <c r="AS4674">
        <v>0</v>
      </c>
      <c r="AT4674">
        <v>1</v>
      </c>
      <c r="BD4674" t="str">
        <f>"רוני דידי"</f>
        <v>רוני דידי</v>
      </c>
    </row>
    <row r="4675" spans="1:56" x14ac:dyDescent="0.3">
      <c r="A4675" s="1">
        <v>42123</v>
      </c>
      <c r="B4675" t="str">
        <f>"SI150003898"</f>
        <v>SI150003898</v>
      </c>
      <c r="C4675" t="str">
        <f>"PR14002243"</f>
        <v>PR14002243</v>
      </c>
      <c r="E4675" t="str">
        <f>"Y"</f>
        <v>Y</v>
      </c>
      <c r="F4675" t="str">
        <f>"חשבוניות מרכזות"</f>
        <v>חשבוניות מרכזות</v>
      </c>
      <c r="G4675" t="str">
        <f>"700065"</f>
        <v>700065</v>
      </c>
      <c r="H4675" t="str">
        <f>"אלתא מערכות בע""מ"</f>
        <v>אלתא מערכות בע"מ</v>
      </c>
      <c r="I4675" t="str">
        <f>"10"</f>
        <v>10</v>
      </c>
      <c r="J4675" t="str">
        <f>"OP-AR12324"</f>
        <v>OP-AR12324</v>
      </c>
      <c r="K4675" t="str">
        <f>"לוח חלוקה DC PDB מק""ט לקוח 1025A690-001"</f>
        <v>לוח חלוקה DC PDB מק"ט לקוח 1025A690-001</v>
      </c>
      <c r="L4675">
        <v>1</v>
      </c>
      <c r="M4675" t="str">
        <f>"יח"</f>
        <v>יח</v>
      </c>
      <c r="N4675">
        <v>1</v>
      </c>
      <c r="O4675" t="str">
        <f>"יח"</f>
        <v>יח</v>
      </c>
      <c r="P4675" s="2">
        <v>92000</v>
      </c>
      <c r="Q4675" t="str">
        <f>"$"</f>
        <v>$</v>
      </c>
      <c r="R4675" t="str">
        <f>"הזמנה"</f>
        <v>הזמנה</v>
      </c>
      <c r="S4675">
        <v>0</v>
      </c>
      <c r="T4675" s="2">
        <v>92000</v>
      </c>
      <c r="U4675">
        <v>0</v>
      </c>
      <c r="V4675" s="2">
        <v>92000</v>
      </c>
      <c r="W4675" t="str">
        <f>"$"</f>
        <v>$</v>
      </c>
      <c r="X4675">
        <v>0</v>
      </c>
      <c r="Y4675">
        <v>0</v>
      </c>
      <c r="Z4675">
        <v>0</v>
      </c>
      <c r="AA4675" t="str">
        <f>"Y"</f>
        <v>Y</v>
      </c>
      <c r="AB4675" t="str">
        <f>"SO140001607"</f>
        <v>SO140001607</v>
      </c>
      <c r="AC4675">
        <v>1</v>
      </c>
      <c r="AD4675" s="1">
        <v>41665</v>
      </c>
      <c r="AE4675" t="str">
        <f>"SH15004650"</f>
        <v>SH15004650</v>
      </c>
      <c r="AF4675" t="str">
        <f>"משלוחים ללקוח"</f>
        <v>משלוחים ללקוח</v>
      </c>
      <c r="AG4675" s="1">
        <v>42122</v>
      </c>
      <c r="AM4675" t="str">
        <f>"10"</f>
        <v>10</v>
      </c>
      <c r="AN4675" t="str">
        <f>"500000"</f>
        <v>500000</v>
      </c>
      <c r="AO4675" t="str">
        <f>"הכנסות  מלקוחות"</f>
        <v>הכנסות  מלקוחות</v>
      </c>
      <c r="AQ4675" t="str">
        <f>"007"</f>
        <v>007</v>
      </c>
      <c r="AR4675">
        <v>0</v>
      </c>
      <c r="AS4675">
        <v>0</v>
      </c>
      <c r="AT4675">
        <v>3.8719999999999999</v>
      </c>
      <c r="AX4675" t="str">
        <f>"E000165940"</f>
        <v>E000165940</v>
      </c>
      <c r="BD4675" t="str">
        <f>"רוני דידי"</f>
        <v>רוני דידי</v>
      </c>
    </row>
    <row r="4676" spans="1:56" x14ac:dyDescent="0.3">
      <c r="A4676" s="1">
        <v>42123</v>
      </c>
      <c r="B4676" t="str">
        <f>"SI150003896"</f>
        <v>SI150003896</v>
      </c>
      <c r="C4676" t="str">
        <f>"PR14002243"</f>
        <v>PR14002243</v>
      </c>
      <c r="E4676" t="str">
        <f>"Y"</f>
        <v>Y</v>
      </c>
      <c r="F4676" t="str">
        <f>"חשבוניות מרכזות"</f>
        <v>חשבוניות מרכזות</v>
      </c>
      <c r="G4676" t="str">
        <f>"700065"</f>
        <v>700065</v>
      </c>
      <c r="H4676" t="str">
        <f>"אלתא מערכות בע""מ"</f>
        <v>אלתא מערכות בע"מ</v>
      </c>
      <c r="I4676" t="str">
        <f>"10"</f>
        <v>10</v>
      </c>
      <c r="J4676" t="str">
        <f>"OP-AR12324"</f>
        <v>OP-AR12324</v>
      </c>
      <c r="K4676" t="str">
        <f>"לוח חלוקה DC PDB מק""ט לקוח 1025A690-001"</f>
        <v>לוח חלוקה DC PDB מק"ט לקוח 1025A690-001</v>
      </c>
      <c r="L4676">
        <v>-1</v>
      </c>
      <c r="M4676" t="str">
        <f>"יח"</f>
        <v>יח</v>
      </c>
      <c r="N4676">
        <v>-1</v>
      </c>
      <c r="O4676" t="str">
        <f>"יח"</f>
        <v>יח</v>
      </c>
      <c r="P4676" s="2">
        <v>92000</v>
      </c>
      <c r="Q4676" t="str">
        <f>"$"</f>
        <v>$</v>
      </c>
      <c r="R4676" t="str">
        <f>"ידני"</f>
        <v>ידני</v>
      </c>
      <c r="S4676">
        <v>0</v>
      </c>
      <c r="T4676" s="2">
        <v>-92000</v>
      </c>
      <c r="U4676">
        <v>0</v>
      </c>
      <c r="V4676" s="2">
        <v>-92000</v>
      </c>
      <c r="W4676" t="str">
        <f>"$"</f>
        <v>$</v>
      </c>
      <c r="X4676">
        <v>0</v>
      </c>
      <c r="Y4676">
        <v>0</v>
      </c>
      <c r="Z4676">
        <v>0</v>
      </c>
      <c r="AA4676" t="str">
        <f>"Y"</f>
        <v>Y</v>
      </c>
      <c r="AC4676">
        <v>0</v>
      </c>
      <c r="AM4676" t="str">
        <f>"10"</f>
        <v>10</v>
      </c>
      <c r="AN4676" t="str">
        <f>"500000"</f>
        <v>500000</v>
      </c>
      <c r="AO4676" t="str">
        <f>"הכנסות  מלקוחות"</f>
        <v>הכנסות  מלקוחות</v>
      </c>
      <c r="AQ4676" t="str">
        <f>"007"</f>
        <v>007</v>
      </c>
      <c r="AR4676">
        <v>0</v>
      </c>
      <c r="AS4676">
        <v>0</v>
      </c>
      <c r="AT4676">
        <v>3.8719999999999999</v>
      </c>
      <c r="BB4676" t="str">
        <f>"Y"</f>
        <v>Y</v>
      </c>
      <c r="BD4676" t="str">
        <f>"רוני דידי"</f>
        <v>רוני דידי</v>
      </c>
    </row>
    <row r="4677" spans="1:56" x14ac:dyDescent="0.3">
      <c r="A4677" s="1">
        <v>42123</v>
      </c>
      <c r="B4677" t="str">
        <f>"SI150003895"</f>
        <v>SI150003895</v>
      </c>
      <c r="C4677" t="str">
        <f>"PR14002243"</f>
        <v>PR14002243</v>
      </c>
      <c r="E4677" t="str">
        <f>"Y"</f>
        <v>Y</v>
      </c>
      <c r="F4677" t="str">
        <f>"חשבוניות מרכזות"</f>
        <v>חשבוניות מרכזות</v>
      </c>
      <c r="G4677" t="str">
        <f>"700065"</f>
        <v>700065</v>
      </c>
      <c r="H4677" t="str">
        <f>"אלתא מערכות בע""מ"</f>
        <v>אלתא מערכות בע"מ</v>
      </c>
      <c r="I4677" t="str">
        <f>"10"</f>
        <v>10</v>
      </c>
      <c r="J4677" t="str">
        <f>"OP-AR12324"</f>
        <v>OP-AR12324</v>
      </c>
      <c r="K4677" t="str">
        <f>"לוח חלוקה DC PDB מק""ט לקוח 1025A690-001"</f>
        <v>לוח חלוקה DC PDB מק"ט לקוח 1025A690-001</v>
      </c>
      <c r="L4677">
        <v>1</v>
      </c>
      <c r="M4677" t="str">
        <f>"יח"</f>
        <v>יח</v>
      </c>
      <c r="N4677">
        <v>1</v>
      </c>
      <c r="O4677" t="str">
        <f>"יח"</f>
        <v>יח</v>
      </c>
      <c r="P4677" s="2">
        <v>92000</v>
      </c>
      <c r="Q4677" t="str">
        <f>"$"</f>
        <v>$</v>
      </c>
      <c r="R4677" t="str">
        <f>"ידני"</f>
        <v>ידני</v>
      </c>
      <c r="S4677">
        <v>0</v>
      </c>
      <c r="T4677" s="2">
        <v>92000</v>
      </c>
      <c r="U4677">
        <v>0</v>
      </c>
      <c r="V4677" s="2">
        <v>92000</v>
      </c>
      <c r="W4677" t="str">
        <f>"$"</f>
        <v>$</v>
      </c>
      <c r="X4677">
        <v>0</v>
      </c>
      <c r="Y4677">
        <v>0</v>
      </c>
      <c r="Z4677">
        <v>0</v>
      </c>
      <c r="AA4677" t="str">
        <f>"Y"</f>
        <v>Y</v>
      </c>
      <c r="AC4677">
        <v>0</v>
      </c>
      <c r="AM4677" t="str">
        <f>"10"</f>
        <v>10</v>
      </c>
      <c r="AN4677" t="str">
        <f>"500000"</f>
        <v>500000</v>
      </c>
      <c r="AO4677" t="str">
        <f>"הכנסות  מלקוחות"</f>
        <v>הכנסות  מלקוחות</v>
      </c>
      <c r="AQ4677" t="str">
        <f>"007"</f>
        <v>007</v>
      </c>
      <c r="AR4677">
        <v>0</v>
      </c>
      <c r="AS4677">
        <v>0</v>
      </c>
      <c r="AT4677">
        <v>3.8719999999999999</v>
      </c>
      <c r="BB4677" t="str">
        <f>"Y"</f>
        <v>Y</v>
      </c>
      <c r="BD4677" t="str">
        <f>"רוני דידי"</f>
        <v>רוני דידי</v>
      </c>
    </row>
    <row r="4678" spans="1:56" x14ac:dyDescent="0.3">
      <c r="A4678" s="1">
        <v>42089</v>
      </c>
      <c r="B4678" t="str">
        <f>"SI150003750"</f>
        <v>SI150003750</v>
      </c>
      <c r="C4678" t="str">
        <f>"PR14001458"</f>
        <v>PR14001458</v>
      </c>
      <c r="D4678" t="str">
        <f>"PR14001458"</f>
        <v>PR14001458</v>
      </c>
      <c r="E4678" t="str">
        <f>"Y"</f>
        <v>Y</v>
      </c>
      <c r="F4678" t="str">
        <f>"חשבוניות מרכזות"</f>
        <v>חשבוניות מרכזות</v>
      </c>
      <c r="G4678" t="str">
        <f>"700065"</f>
        <v>700065</v>
      </c>
      <c r="H4678" t="str">
        <f>"אלתא מערכות בע""מ"</f>
        <v>אלתא מערכות בע"מ</v>
      </c>
      <c r="I4678" t="str">
        <f>"10"</f>
        <v>10</v>
      </c>
      <c r="J4678" t="str">
        <f>"999"</f>
        <v>999</v>
      </c>
      <c r="K4678" t="str">
        <f>"תיקון פתחים בתושבות לחטיבת  CU"</f>
        <v>תיקון פתחים בתושבות לחטיבת  CU</v>
      </c>
      <c r="L4678">
        <v>1</v>
      </c>
      <c r="M4678" t="str">
        <f>"חל"</f>
        <v>חל</v>
      </c>
      <c r="N4678">
        <v>1</v>
      </c>
      <c r="O4678" t="str">
        <f>"חל"</f>
        <v>חל</v>
      </c>
      <c r="P4678" s="2">
        <v>2000</v>
      </c>
      <c r="Q4678" t="str">
        <f>"$"</f>
        <v>$</v>
      </c>
      <c r="R4678" t="str">
        <f>"ידני"</f>
        <v>ידני</v>
      </c>
      <c r="S4678">
        <v>0</v>
      </c>
      <c r="T4678" s="2">
        <v>2000</v>
      </c>
      <c r="U4678">
        <v>0</v>
      </c>
      <c r="V4678" s="2">
        <v>2000</v>
      </c>
      <c r="W4678" t="str">
        <f>"$"</f>
        <v>$</v>
      </c>
      <c r="X4678">
        <v>0</v>
      </c>
      <c r="Y4678">
        <v>0</v>
      </c>
      <c r="Z4678">
        <v>0</v>
      </c>
      <c r="AA4678" t="str">
        <f>"Y"</f>
        <v>Y</v>
      </c>
      <c r="AB4678" t="str">
        <f>"SO150003083"</f>
        <v>SO150003083</v>
      </c>
      <c r="AC4678">
        <v>1</v>
      </c>
      <c r="AD4678" s="1">
        <v>42087</v>
      </c>
      <c r="AM4678" t="str">
        <f>"10"</f>
        <v>10</v>
      </c>
      <c r="AN4678" t="str">
        <f>"500000"</f>
        <v>500000</v>
      </c>
      <c r="AO4678" t="str">
        <f>"הכנסות  מלקוחות"</f>
        <v>הכנסות  מלקוחות</v>
      </c>
      <c r="AQ4678" t="str">
        <f>"007"</f>
        <v>007</v>
      </c>
      <c r="AR4678">
        <v>0</v>
      </c>
      <c r="AS4678">
        <v>0</v>
      </c>
      <c r="AT4678">
        <v>3.944</v>
      </c>
      <c r="AX4678" t="str">
        <f>"E000194505"</f>
        <v>E000194505</v>
      </c>
      <c r="BD4678" t="str">
        <f>"רוני דידי"</f>
        <v>רוני דידי</v>
      </c>
    </row>
    <row r="4679" spans="1:56" x14ac:dyDescent="0.3">
      <c r="A4679" s="1">
        <v>42087</v>
      </c>
      <c r="B4679" t="str">
        <f>"SI150003735"</f>
        <v>SI150003735</v>
      </c>
      <c r="C4679" t="str">
        <f>"PR12000054"</f>
        <v>PR12000054</v>
      </c>
      <c r="E4679" t="str">
        <f>"Y"</f>
        <v>Y</v>
      </c>
      <c r="F4679" t="str">
        <f>"חשבוניות מרכזות"</f>
        <v>חשבוניות מרכזות</v>
      </c>
      <c r="G4679" t="str">
        <f>"700065"</f>
        <v>700065</v>
      </c>
      <c r="H4679" t="str">
        <f>"אלתא מערכות בע""מ"</f>
        <v>אלתא מערכות בע"מ</v>
      </c>
      <c r="I4679" t="str">
        <f>"10"</f>
        <v>10</v>
      </c>
      <c r="J4679" t="str">
        <f>"OP-AR09106"</f>
        <v>OP-AR09106</v>
      </c>
      <c r="K4679" t="str">
        <f>"לוח 1026L230-001 HIGH VOLTAG JUCTION BOX"</f>
        <v>לוח 1026L230-001 HIGH VOLTAG JUCTION BOX</v>
      </c>
      <c r="L4679">
        <v>1</v>
      </c>
      <c r="M4679" t="str">
        <f>"יח"</f>
        <v>יח</v>
      </c>
      <c r="N4679">
        <v>1</v>
      </c>
      <c r="O4679" t="str">
        <f>"יח"</f>
        <v>יח</v>
      </c>
      <c r="P4679" s="2">
        <v>9900</v>
      </c>
      <c r="Q4679" t="str">
        <f>"$"</f>
        <v>$</v>
      </c>
      <c r="R4679" t="str">
        <f>"הזמנה"</f>
        <v>הזמנה</v>
      </c>
      <c r="S4679">
        <v>0</v>
      </c>
      <c r="T4679" s="2">
        <v>9900</v>
      </c>
      <c r="U4679">
        <v>0</v>
      </c>
      <c r="V4679" s="2">
        <v>9900</v>
      </c>
      <c r="W4679" t="str">
        <f>"$"</f>
        <v>$</v>
      </c>
      <c r="X4679">
        <v>0</v>
      </c>
      <c r="Y4679">
        <v>0</v>
      </c>
      <c r="Z4679">
        <v>0</v>
      </c>
      <c r="AA4679" t="str">
        <f>"Y"</f>
        <v>Y</v>
      </c>
      <c r="AB4679" t="str">
        <f>"SO12T000001"</f>
        <v>SO12T000001</v>
      </c>
      <c r="AC4679">
        <v>59</v>
      </c>
      <c r="AD4679" s="1">
        <v>41256</v>
      </c>
      <c r="AE4679" t="str">
        <f>"SH15004467"</f>
        <v>SH15004467</v>
      </c>
      <c r="AF4679" t="str">
        <f>"משלוחים ללקוח"</f>
        <v>משלוחים ללקוח</v>
      </c>
      <c r="AG4679" s="1">
        <v>42086</v>
      </c>
      <c r="AM4679" t="str">
        <f>"10"</f>
        <v>10</v>
      </c>
      <c r="AN4679" t="str">
        <f>"500000"</f>
        <v>500000</v>
      </c>
      <c r="AO4679" t="str">
        <f>"הכנסות  מלקוחות"</f>
        <v>הכנסות  מלקוחות</v>
      </c>
      <c r="AQ4679" t="str">
        <f>"007"</f>
        <v>007</v>
      </c>
      <c r="AR4679">
        <v>0</v>
      </c>
      <c r="AS4679">
        <v>0</v>
      </c>
      <c r="AT4679">
        <v>3.9260000000000002</v>
      </c>
      <c r="AX4679" t="str">
        <f>"E000093662"</f>
        <v>E000093662</v>
      </c>
      <c r="BD4679" t="str">
        <f>"רוני דידי"</f>
        <v>רוני דידי</v>
      </c>
    </row>
    <row r="4680" spans="1:56" x14ac:dyDescent="0.3">
      <c r="A4680" s="1">
        <v>42087</v>
      </c>
      <c r="B4680" t="str">
        <f>"SI150003734"</f>
        <v>SI150003734</v>
      </c>
      <c r="C4680" t="str">
        <f>"PR12000054"</f>
        <v>PR12000054</v>
      </c>
      <c r="E4680" t="str">
        <f>"Y"</f>
        <v>Y</v>
      </c>
      <c r="F4680" t="str">
        <f>"חשבוניות מרכזות"</f>
        <v>חשבוניות מרכזות</v>
      </c>
      <c r="G4680" t="str">
        <f>"700065"</f>
        <v>700065</v>
      </c>
      <c r="H4680" t="str">
        <f>"אלתא מערכות בע""מ"</f>
        <v>אלתא מערכות בע"מ</v>
      </c>
      <c r="I4680" t="str">
        <f>"10"</f>
        <v>10</v>
      </c>
      <c r="J4680" t="str">
        <f>"OP-AR09106"</f>
        <v>OP-AR09106</v>
      </c>
      <c r="K4680" t="str">
        <f>"לוח 1026L230-001 HIGH VOLTAG JUCTION BOX"</f>
        <v>לוח 1026L230-001 HIGH VOLTAG JUCTION BOX</v>
      </c>
      <c r="L4680">
        <v>-1</v>
      </c>
      <c r="M4680" t="str">
        <f>"יח"</f>
        <v>יח</v>
      </c>
      <c r="N4680">
        <v>-1</v>
      </c>
      <c r="O4680" t="str">
        <f>"יח"</f>
        <v>יח</v>
      </c>
      <c r="P4680" s="2">
        <v>9900</v>
      </c>
      <c r="Q4680" t="str">
        <f>"$"</f>
        <v>$</v>
      </c>
      <c r="R4680" t="str">
        <f>"הזמנה"</f>
        <v>הזמנה</v>
      </c>
      <c r="S4680">
        <v>0</v>
      </c>
      <c r="T4680" s="2">
        <v>-9900</v>
      </c>
      <c r="U4680">
        <v>0</v>
      </c>
      <c r="V4680" s="2">
        <v>-9900</v>
      </c>
      <c r="W4680" t="str">
        <f>"$"</f>
        <v>$</v>
      </c>
      <c r="X4680">
        <v>0</v>
      </c>
      <c r="Y4680">
        <v>0</v>
      </c>
      <c r="Z4680">
        <v>0</v>
      </c>
      <c r="AA4680" t="str">
        <f>"Y"</f>
        <v>Y</v>
      </c>
      <c r="AC4680">
        <v>0</v>
      </c>
      <c r="AM4680" t="str">
        <f>"10"</f>
        <v>10</v>
      </c>
      <c r="AN4680" t="str">
        <f>"500000"</f>
        <v>500000</v>
      </c>
      <c r="AO4680" t="str">
        <f>"הכנסות  מלקוחות"</f>
        <v>הכנסות  מלקוחות</v>
      </c>
      <c r="AQ4680" t="str">
        <f>"007"</f>
        <v>007</v>
      </c>
      <c r="AR4680">
        <v>0</v>
      </c>
      <c r="AS4680">
        <v>0</v>
      </c>
      <c r="AT4680">
        <v>3.9260000000000002</v>
      </c>
      <c r="BB4680" t="str">
        <f>"Y"</f>
        <v>Y</v>
      </c>
      <c r="BD4680" t="str">
        <f>"רוני דידי"</f>
        <v>רוני דידי</v>
      </c>
    </row>
    <row r="4681" spans="1:56" x14ac:dyDescent="0.3">
      <c r="A4681" s="1">
        <v>42087</v>
      </c>
      <c r="B4681" t="str">
        <f>"SI150003733"</f>
        <v>SI150003733</v>
      </c>
      <c r="C4681" t="str">
        <f>"PR12000054"</f>
        <v>PR12000054</v>
      </c>
      <c r="E4681" t="str">
        <f>"Y"</f>
        <v>Y</v>
      </c>
      <c r="F4681" t="str">
        <f>"חשבוניות מרכזות"</f>
        <v>חשבוניות מרכזות</v>
      </c>
      <c r="G4681" t="str">
        <f>"700065"</f>
        <v>700065</v>
      </c>
      <c r="H4681" t="str">
        <f>"אלתא מערכות בע""מ"</f>
        <v>אלתא מערכות בע"מ</v>
      </c>
      <c r="I4681" t="str">
        <f>"10"</f>
        <v>10</v>
      </c>
      <c r="J4681" t="str">
        <f>"OP-AR09106"</f>
        <v>OP-AR09106</v>
      </c>
      <c r="K4681" t="str">
        <f>"לוח 1026L230-001 HIGH VOLTAG JUCTION BOX"</f>
        <v>לוח 1026L230-001 HIGH VOLTAG JUCTION BOX</v>
      </c>
      <c r="L4681">
        <v>1</v>
      </c>
      <c r="M4681" t="str">
        <f>"יח"</f>
        <v>יח</v>
      </c>
      <c r="N4681">
        <v>1</v>
      </c>
      <c r="O4681" t="str">
        <f>"יח"</f>
        <v>יח</v>
      </c>
      <c r="P4681" s="2">
        <v>9900</v>
      </c>
      <c r="Q4681" t="str">
        <f>"$"</f>
        <v>$</v>
      </c>
      <c r="R4681" t="str">
        <f>"הזמנה"</f>
        <v>הזמנה</v>
      </c>
      <c r="S4681">
        <v>0</v>
      </c>
      <c r="T4681" s="2">
        <v>9900</v>
      </c>
      <c r="U4681">
        <v>0</v>
      </c>
      <c r="V4681" s="2">
        <v>9900</v>
      </c>
      <c r="W4681" t="str">
        <f>"$"</f>
        <v>$</v>
      </c>
      <c r="X4681">
        <v>0</v>
      </c>
      <c r="Y4681">
        <v>0</v>
      </c>
      <c r="Z4681">
        <v>0</v>
      </c>
      <c r="AA4681" t="str">
        <f>"Y"</f>
        <v>Y</v>
      </c>
      <c r="AC4681">
        <v>0</v>
      </c>
      <c r="AM4681" t="str">
        <f>"10"</f>
        <v>10</v>
      </c>
      <c r="AN4681" t="str">
        <f>"500000"</f>
        <v>500000</v>
      </c>
      <c r="AO4681" t="str">
        <f>"הכנסות  מלקוחות"</f>
        <v>הכנסות  מלקוחות</v>
      </c>
      <c r="AQ4681" t="str">
        <f>"007"</f>
        <v>007</v>
      </c>
      <c r="AR4681">
        <v>0</v>
      </c>
      <c r="AS4681">
        <v>0</v>
      </c>
      <c r="AT4681">
        <v>3.9260000000000002</v>
      </c>
      <c r="BB4681" t="str">
        <f>"Y"</f>
        <v>Y</v>
      </c>
      <c r="BD4681" t="str">
        <f>"רוני דידי"</f>
        <v>רוני דידי</v>
      </c>
    </row>
    <row r="4682" spans="1:56" x14ac:dyDescent="0.3">
      <c r="A4682" s="1">
        <v>42061</v>
      </c>
      <c r="B4682" t="str">
        <f>"SI150003633"</f>
        <v>SI150003633</v>
      </c>
      <c r="C4682" t="str">
        <f>"PR14002182"</f>
        <v>PR14002182</v>
      </c>
      <c r="D4682" t="str">
        <f>"PR14002182"</f>
        <v>PR14002182</v>
      </c>
      <c r="E4682" t="str">
        <f>"Y"</f>
        <v>Y</v>
      </c>
      <c r="F4682" t="str">
        <f>"חשבוניות מרכזות"</f>
        <v>חשבוניות מרכזות</v>
      </c>
      <c r="G4682" t="str">
        <f>"700065"</f>
        <v>700065</v>
      </c>
      <c r="H4682" t="str">
        <f>"אלתא מערכות בע""מ"</f>
        <v>אלתא מערכות בע"מ</v>
      </c>
      <c r="I4682" t="str">
        <f>"10"</f>
        <v>10</v>
      </c>
      <c r="J4682" t="str">
        <f>"OP-AR00087"</f>
        <v>OP-AR00087</v>
      </c>
      <c r="K4682" t="str">
        <f>"לוח מגוללים ע""פ מפרט 1029K248-001"</f>
        <v>לוח מגוללים ע"פ מפרט 1029K248-001</v>
      </c>
      <c r="L4682">
        <v>1</v>
      </c>
      <c r="M4682" t="str">
        <f>"יח"</f>
        <v>יח</v>
      </c>
      <c r="N4682">
        <v>1</v>
      </c>
      <c r="O4682" t="str">
        <f>"יח"</f>
        <v>יח</v>
      </c>
      <c r="P4682" s="2">
        <v>4989</v>
      </c>
      <c r="Q4682" t="str">
        <f>"$"</f>
        <v>$</v>
      </c>
      <c r="R4682" t="str">
        <f>"הזמנה"</f>
        <v>הזמנה</v>
      </c>
      <c r="S4682">
        <v>0</v>
      </c>
      <c r="T4682" s="2">
        <v>4989</v>
      </c>
      <c r="U4682">
        <v>0</v>
      </c>
      <c r="V4682" s="2">
        <v>4989</v>
      </c>
      <c r="W4682" t="str">
        <f>"$"</f>
        <v>$</v>
      </c>
      <c r="X4682">
        <v>0</v>
      </c>
      <c r="Y4682">
        <v>0</v>
      </c>
      <c r="Z4682">
        <v>0</v>
      </c>
      <c r="AA4682" t="str">
        <f>"Y"</f>
        <v>Y</v>
      </c>
      <c r="AB4682" t="str">
        <f>"SO140002548"</f>
        <v>SO140002548</v>
      </c>
      <c r="AC4682">
        <v>1</v>
      </c>
      <c r="AD4682" s="1">
        <v>41953</v>
      </c>
      <c r="AE4682" t="str">
        <f>"SH15004337"</f>
        <v>SH15004337</v>
      </c>
      <c r="AF4682" t="str">
        <f>"משלוחים ללקוח"</f>
        <v>משלוחים ללקוח</v>
      </c>
      <c r="AG4682" s="1">
        <v>42060</v>
      </c>
      <c r="AM4682" t="str">
        <f>"10"</f>
        <v>10</v>
      </c>
      <c r="AN4682" t="str">
        <f>"500000"</f>
        <v>500000</v>
      </c>
      <c r="AO4682" t="str">
        <f>"הכנסות  מלקוחות"</f>
        <v>הכנסות  מלקוחות</v>
      </c>
      <c r="AQ4682" t="str">
        <f>"007"</f>
        <v>007</v>
      </c>
      <c r="AR4682">
        <v>0</v>
      </c>
      <c r="AS4682">
        <v>0</v>
      </c>
      <c r="AT4682">
        <v>3.9329999999999998</v>
      </c>
      <c r="AX4682" t="str">
        <f>"E000185203"</f>
        <v>E000185203</v>
      </c>
      <c r="BD4682" t="str">
        <f>"רוני דידי"</f>
        <v>רוני דידי</v>
      </c>
    </row>
    <row r="4683" spans="1:56" x14ac:dyDescent="0.3">
      <c r="A4683" s="1">
        <v>42061</v>
      </c>
      <c r="B4683" t="str">
        <f>"SI150003632"</f>
        <v>SI150003632</v>
      </c>
      <c r="C4683" t="str">
        <f>"PR13000085"</f>
        <v>PR13000085</v>
      </c>
      <c r="E4683" t="str">
        <f>"Y"</f>
        <v>Y</v>
      </c>
      <c r="F4683" t="str">
        <f>"חשבוניות מרכזות"</f>
        <v>חשבוניות מרכזות</v>
      </c>
      <c r="G4683" t="str">
        <f>"700065"</f>
        <v>700065</v>
      </c>
      <c r="H4683" t="str">
        <f>"אלתא מערכות בע""מ"</f>
        <v>אלתא מערכות בע"מ</v>
      </c>
      <c r="I4683" t="str">
        <f>"10"</f>
        <v>10</v>
      </c>
      <c r="J4683" t="str">
        <f>"OP-AR09106"</f>
        <v>OP-AR09106</v>
      </c>
      <c r="K4683" t="str">
        <f>"לוח 1026L230-001 HIGH VOLTAG JUCTION BOX"</f>
        <v>לוח 1026L230-001 HIGH VOLTAG JUCTION BOX</v>
      </c>
      <c r="L4683">
        <v>1</v>
      </c>
      <c r="M4683" t="str">
        <f>"יח"</f>
        <v>יח</v>
      </c>
      <c r="N4683">
        <v>1</v>
      </c>
      <c r="O4683" t="str">
        <f>"יח"</f>
        <v>יח</v>
      </c>
      <c r="P4683" s="2">
        <v>9900</v>
      </c>
      <c r="Q4683" t="str">
        <f>"$"</f>
        <v>$</v>
      </c>
      <c r="R4683" t="str">
        <f>"הזמנה"</f>
        <v>הזמנה</v>
      </c>
      <c r="S4683">
        <v>0</v>
      </c>
      <c r="T4683" s="2">
        <v>9900</v>
      </c>
      <c r="U4683">
        <v>0</v>
      </c>
      <c r="V4683" s="2">
        <v>9900</v>
      </c>
      <c r="W4683" t="str">
        <f>"$"</f>
        <v>$</v>
      </c>
      <c r="X4683">
        <v>0</v>
      </c>
      <c r="Y4683">
        <v>0</v>
      </c>
      <c r="Z4683">
        <v>0</v>
      </c>
      <c r="AA4683" t="str">
        <f>"Y"</f>
        <v>Y</v>
      </c>
      <c r="AB4683" t="str">
        <f>"SO12T000001"</f>
        <v>SO12T000001</v>
      </c>
      <c r="AC4683">
        <v>43</v>
      </c>
      <c r="AD4683" s="1">
        <v>41256</v>
      </c>
      <c r="AE4683" t="str">
        <f>"SH15004335"</f>
        <v>SH15004335</v>
      </c>
      <c r="AF4683" t="str">
        <f>"משלוחים ללקוח"</f>
        <v>משלוחים ללקוח</v>
      </c>
      <c r="AG4683" s="1">
        <v>42060</v>
      </c>
      <c r="AM4683" t="str">
        <f>"10"</f>
        <v>10</v>
      </c>
      <c r="AN4683" t="str">
        <f>"500000"</f>
        <v>500000</v>
      </c>
      <c r="AO4683" t="str">
        <f>"הכנסות  מלקוחות"</f>
        <v>הכנסות  מלקוחות</v>
      </c>
      <c r="AQ4683" t="str">
        <f>"007"</f>
        <v>007</v>
      </c>
      <c r="AR4683">
        <v>0</v>
      </c>
      <c r="AS4683">
        <v>0</v>
      </c>
      <c r="AT4683">
        <v>3.9329999999999998</v>
      </c>
      <c r="AX4683" t="str">
        <f>"E000093662"</f>
        <v>E000093662</v>
      </c>
      <c r="BD4683" t="str">
        <f>"רוני דידי"</f>
        <v>רוני דידי</v>
      </c>
    </row>
    <row r="4684" spans="1:56" x14ac:dyDescent="0.3">
      <c r="A4684" s="1">
        <v>42061</v>
      </c>
      <c r="B4684" t="str">
        <f>"SI150003632"</f>
        <v>SI150003632</v>
      </c>
      <c r="C4684" t="str">
        <f>"PR13000085"</f>
        <v>PR13000085</v>
      </c>
      <c r="E4684" t="str">
        <f>"Y"</f>
        <v>Y</v>
      </c>
      <c r="F4684" t="str">
        <f>"חשבוניות מרכזות"</f>
        <v>חשבוניות מרכזות</v>
      </c>
      <c r="G4684" t="str">
        <f>"700065"</f>
        <v>700065</v>
      </c>
      <c r="H4684" t="str">
        <f>"אלתא מערכות בע""מ"</f>
        <v>אלתא מערכות בע"מ</v>
      </c>
      <c r="I4684" t="str">
        <f>"10"</f>
        <v>10</v>
      </c>
      <c r="J4684" t="str">
        <f>"OP-AR09106"</f>
        <v>OP-AR09106</v>
      </c>
      <c r="K4684" t="str">
        <f>"לוח 1026L230-001 HIGH VOLTAG JUCTION BOX"</f>
        <v>לוח 1026L230-001 HIGH VOLTAG JUCTION BOX</v>
      </c>
      <c r="L4684">
        <v>1</v>
      </c>
      <c r="M4684" t="str">
        <f>"יח"</f>
        <v>יח</v>
      </c>
      <c r="N4684">
        <v>1</v>
      </c>
      <c r="O4684" t="str">
        <f>"יח"</f>
        <v>יח</v>
      </c>
      <c r="P4684" s="2">
        <v>9900</v>
      </c>
      <c r="Q4684" t="str">
        <f>"$"</f>
        <v>$</v>
      </c>
      <c r="R4684" t="str">
        <f>"הזמנה"</f>
        <v>הזמנה</v>
      </c>
      <c r="S4684">
        <v>0</v>
      </c>
      <c r="T4684" s="2">
        <v>9900</v>
      </c>
      <c r="U4684">
        <v>0</v>
      </c>
      <c r="V4684" s="2">
        <v>9900</v>
      </c>
      <c r="W4684" t="str">
        <f>"$"</f>
        <v>$</v>
      </c>
      <c r="X4684">
        <v>0</v>
      </c>
      <c r="Y4684">
        <v>0</v>
      </c>
      <c r="Z4684">
        <v>0</v>
      </c>
      <c r="AA4684" t="str">
        <f>"Y"</f>
        <v>Y</v>
      </c>
      <c r="AB4684" t="str">
        <f>"SO12T000001"</f>
        <v>SO12T000001</v>
      </c>
      <c r="AC4684">
        <v>46</v>
      </c>
      <c r="AD4684" s="1">
        <v>41256</v>
      </c>
      <c r="AE4684" t="str">
        <f>"SH15004335"</f>
        <v>SH15004335</v>
      </c>
      <c r="AF4684" t="str">
        <f>"משלוחים ללקוח"</f>
        <v>משלוחים ללקוח</v>
      </c>
      <c r="AG4684" s="1">
        <v>42060</v>
      </c>
      <c r="AM4684" t="str">
        <f>"10"</f>
        <v>10</v>
      </c>
      <c r="AN4684" t="str">
        <f>"500000"</f>
        <v>500000</v>
      </c>
      <c r="AO4684" t="str">
        <f>"הכנסות  מלקוחות"</f>
        <v>הכנסות  מלקוחות</v>
      </c>
      <c r="AQ4684" t="str">
        <f>"007"</f>
        <v>007</v>
      </c>
      <c r="AR4684">
        <v>0</v>
      </c>
      <c r="AS4684">
        <v>0</v>
      </c>
      <c r="AT4684">
        <v>3.9329999999999998</v>
      </c>
      <c r="AX4684" t="str">
        <f>"E000093662"</f>
        <v>E000093662</v>
      </c>
      <c r="BD4684" t="str">
        <f>"רוני דידי"</f>
        <v>רוני דידי</v>
      </c>
    </row>
    <row r="4685" spans="1:56" x14ac:dyDescent="0.3">
      <c r="A4685" s="1">
        <v>42061</v>
      </c>
      <c r="B4685" t="str">
        <f>"SI150003632"</f>
        <v>SI150003632</v>
      </c>
      <c r="C4685" t="str">
        <f>"PR13000085"</f>
        <v>PR13000085</v>
      </c>
      <c r="E4685" t="str">
        <f>"Y"</f>
        <v>Y</v>
      </c>
      <c r="F4685" t="str">
        <f>"חשבוניות מרכזות"</f>
        <v>חשבוניות מרכזות</v>
      </c>
      <c r="G4685" t="str">
        <f>"700065"</f>
        <v>700065</v>
      </c>
      <c r="H4685" t="str">
        <f>"אלתא מערכות בע""מ"</f>
        <v>אלתא מערכות בע"מ</v>
      </c>
      <c r="I4685" t="str">
        <f>"10"</f>
        <v>10</v>
      </c>
      <c r="J4685" t="str">
        <f>"OP-AR09106"</f>
        <v>OP-AR09106</v>
      </c>
      <c r="K4685" t="str">
        <f>"לוח 1026L230-001 HIGH VOLTAG JUCTION BOX"</f>
        <v>לוח 1026L230-001 HIGH VOLTAG JUCTION BOX</v>
      </c>
      <c r="L4685">
        <v>1</v>
      </c>
      <c r="M4685" t="str">
        <f>"יח"</f>
        <v>יח</v>
      </c>
      <c r="N4685">
        <v>1</v>
      </c>
      <c r="O4685" t="str">
        <f>"יח"</f>
        <v>יח</v>
      </c>
      <c r="P4685" s="2">
        <v>9900</v>
      </c>
      <c r="Q4685" t="str">
        <f>"$"</f>
        <v>$</v>
      </c>
      <c r="R4685" t="str">
        <f>"הזמנה"</f>
        <v>הזמנה</v>
      </c>
      <c r="S4685">
        <v>0</v>
      </c>
      <c r="T4685" s="2">
        <v>9900</v>
      </c>
      <c r="U4685">
        <v>0</v>
      </c>
      <c r="V4685" s="2">
        <v>9900</v>
      </c>
      <c r="W4685" t="str">
        <f>"$"</f>
        <v>$</v>
      </c>
      <c r="X4685">
        <v>0</v>
      </c>
      <c r="Y4685">
        <v>0</v>
      </c>
      <c r="Z4685">
        <v>0</v>
      </c>
      <c r="AA4685" t="str">
        <f>"Y"</f>
        <v>Y</v>
      </c>
      <c r="AB4685" t="str">
        <f>"SO12T000001"</f>
        <v>SO12T000001</v>
      </c>
      <c r="AC4685">
        <v>50</v>
      </c>
      <c r="AD4685" s="1">
        <v>41256</v>
      </c>
      <c r="AE4685" t="str">
        <f>"SH15004335"</f>
        <v>SH15004335</v>
      </c>
      <c r="AF4685" t="str">
        <f>"משלוחים ללקוח"</f>
        <v>משלוחים ללקוח</v>
      </c>
      <c r="AG4685" s="1">
        <v>42060</v>
      </c>
      <c r="AM4685" t="str">
        <f>"10"</f>
        <v>10</v>
      </c>
      <c r="AN4685" t="str">
        <f>"500000"</f>
        <v>500000</v>
      </c>
      <c r="AO4685" t="str">
        <f>"הכנסות  מלקוחות"</f>
        <v>הכנסות  מלקוחות</v>
      </c>
      <c r="AQ4685" t="str">
        <f>"007"</f>
        <v>007</v>
      </c>
      <c r="AR4685">
        <v>0</v>
      </c>
      <c r="AS4685">
        <v>0</v>
      </c>
      <c r="AT4685">
        <v>3.9329999999999998</v>
      </c>
      <c r="AX4685" t="str">
        <f>"E000093662"</f>
        <v>E000093662</v>
      </c>
      <c r="BD4685" t="str">
        <f>"רוני דידי"</f>
        <v>רוני דידי</v>
      </c>
    </row>
    <row r="4686" spans="1:56" x14ac:dyDescent="0.3">
      <c r="A4686" s="1">
        <v>42061</v>
      </c>
      <c r="B4686" t="str">
        <f>"SI150003631"</f>
        <v>SI150003631</v>
      </c>
      <c r="C4686" t="str">
        <f>"PR14001334"</f>
        <v>PR14001334</v>
      </c>
      <c r="E4686" t="str">
        <f>"Y"</f>
        <v>Y</v>
      </c>
      <c r="F4686" t="str">
        <f>"חשבוניות מרכזות"</f>
        <v>חשבוניות מרכזות</v>
      </c>
      <c r="G4686" t="str">
        <f>"700065"</f>
        <v>700065</v>
      </c>
      <c r="H4686" t="str">
        <f>"אלתא מערכות בע""מ"</f>
        <v>אלתא מערכות בע"מ</v>
      </c>
      <c r="I4686" t="str">
        <f>"10"</f>
        <v>10</v>
      </c>
      <c r="J4686" t="str">
        <f>"OP-AR12324"</f>
        <v>OP-AR12324</v>
      </c>
      <c r="K4686" t="str">
        <f>"לוח חלוקה DC PDB מק""ט לקוח 1025A690-001"</f>
        <v>לוח חלוקה DC PDB מק"ט לקוח 1025A690-001</v>
      </c>
      <c r="L4686">
        <v>1</v>
      </c>
      <c r="M4686" t="str">
        <f>"יח"</f>
        <v>יח</v>
      </c>
      <c r="N4686">
        <v>1</v>
      </c>
      <c r="O4686" t="str">
        <f>"יח"</f>
        <v>יח</v>
      </c>
      <c r="P4686" s="2">
        <v>92000</v>
      </c>
      <c r="Q4686" t="str">
        <f>"$"</f>
        <v>$</v>
      </c>
      <c r="R4686" t="str">
        <f>"הזמנה"</f>
        <v>הזמנה</v>
      </c>
      <c r="S4686">
        <v>0</v>
      </c>
      <c r="T4686" s="2">
        <v>92000</v>
      </c>
      <c r="U4686">
        <v>0</v>
      </c>
      <c r="V4686" s="2">
        <v>92000</v>
      </c>
      <c r="W4686" t="str">
        <f>"$"</f>
        <v>$</v>
      </c>
      <c r="X4686">
        <v>0</v>
      </c>
      <c r="Y4686">
        <v>0</v>
      </c>
      <c r="Z4686">
        <v>0</v>
      </c>
      <c r="AA4686" t="str">
        <f>"Y"</f>
        <v>Y</v>
      </c>
      <c r="AB4686" t="str">
        <f>"SO140001607"</f>
        <v>SO140001607</v>
      </c>
      <c r="AC4686">
        <v>1</v>
      </c>
      <c r="AD4686" s="1">
        <v>41665</v>
      </c>
      <c r="AE4686" t="str">
        <f>"SH15004332"</f>
        <v>SH15004332</v>
      </c>
      <c r="AF4686" t="str">
        <f>"משלוחים ללקוח"</f>
        <v>משלוחים ללקוח</v>
      </c>
      <c r="AG4686" s="1">
        <v>42060</v>
      </c>
      <c r="AM4686" t="str">
        <f>"10"</f>
        <v>10</v>
      </c>
      <c r="AN4686" t="str">
        <f>"500000"</f>
        <v>500000</v>
      </c>
      <c r="AO4686" t="str">
        <f>"הכנסות  מלקוחות"</f>
        <v>הכנסות  מלקוחות</v>
      </c>
      <c r="AQ4686" t="str">
        <f>"007"</f>
        <v>007</v>
      </c>
      <c r="AR4686">
        <v>0</v>
      </c>
      <c r="AS4686">
        <v>0</v>
      </c>
      <c r="AT4686">
        <v>3.9329999999999998</v>
      </c>
      <c r="AX4686" t="str">
        <f>"E000165940"</f>
        <v>E000165940</v>
      </c>
      <c r="BD4686" t="str">
        <f>"רוני דידי"</f>
        <v>רוני דידי</v>
      </c>
    </row>
    <row r="4687" spans="1:56" x14ac:dyDescent="0.3">
      <c r="A4687" s="1">
        <v>42061</v>
      </c>
      <c r="B4687" t="str">
        <f>"SI150003630"</f>
        <v>SI150003630</v>
      </c>
      <c r="C4687" t="str">
        <f>"PR14001458"</f>
        <v>PR14001458</v>
      </c>
      <c r="D4687" t="str">
        <f>"PR14001458"</f>
        <v>PR14001458</v>
      </c>
      <c r="E4687" t="str">
        <f>"Y"</f>
        <v>Y</v>
      </c>
      <c r="F4687" t="str">
        <f>"חשבוניות מרכזות"</f>
        <v>חשבוניות מרכזות</v>
      </c>
      <c r="G4687" t="str">
        <f>"700065"</f>
        <v>700065</v>
      </c>
      <c r="H4687" t="str">
        <f>"אלתא מערכות בע""מ"</f>
        <v>אלתא מערכות בע"מ</v>
      </c>
      <c r="I4687" t="str">
        <f>"10"</f>
        <v>10</v>
      </c>
      <c r="J4687" t="str">
        <f>"OP-AR00022"</f>
        <v>OP-AR00022</v>
      </c>
      <c r="K4687" t="str">
        <f>"CU RACK WIRING BLOCK"</f>
        <v>CU RACK WIRING BLOCK</v>
      </c>
      <c r="L4687">
        <v>1</v>
      </c>
      <c r="M4687" t="str">
        <f>"יח"</f>
        <v>יח</v>
      </c>
      <c r="N4687">
        <v>1</v>
      </c>
      <c r="O4687" t="str">
        <f>"יח"</f>
        <v>יח</v>
      </c>
      <c r="P4687" s="2">
        <v>160000</v>
      </c>
      <c r="Q4687" t="str">
        <f>"$"</f>
        <v>$</v>
      </c>
      <c r="R4687" t="str">
        <f>"הזמנה"</f>
        <v>הזמנה</v>
      </c>
      <c r="S4687">
        <v>0</v>
      </c>
      <c r="T4687" s="2">
        <v>160000</v>
      </c>
      <c r="U4687">
        <v>0</v>
      </c>
      <c r="V4687" s="2">
        <v>160000</v>
      </c>
      <c r="W4687" t="str">
        <f>"$"</f>
        <v>$</v>
      </c>
      <c r="X4687">
        <v>0</v>
      </c>
      <c r="Y4687">
        <v>0</v>
      </c>
      <c r="Z4687">
        <v>0</v>
      </c>
      <c r="AA4687" t="str">
        <f>"Y"</f>
        <v>Y</v>
      </c>
      <c r="AB4687" t="str">
        <f>"SO140001767"</f>
        <v>SO140001767</v>
      </c>
      <c r="AC4687">
        <v>2</v>
      </c>
      <c r="AD4687" s="1">
        <v>41708</v>
      </c>
      <c r="AE4687" t="str">
        <f>"SH15004331"</f>
        <v>SH15004331</v>
      </c>
      <c r="AF4687" t="str">
        <f>"משלוחים ללקוח"</f>
        <v>משלוחים ללקוח</v>
      </c>
      <c r="AG4687" s="1">
        <v>42060</v>
      </c>
      <c r="AM4687" t="str">
        <f>"10"</f>
        <v>10</v>
      </c>
      <c r="AN4687" t="str">
        <f>"500000"</f>
        <v>500000</v>
      </c>
      <c r="AO4687" t="str">
        <f>"הכנסות  מלקוחות"</f>
        <v>הכנסות  מלקוחות</v>
      </c>
      <c r="AQ4687" t="str">
        <f>"007"</f>
        <v>007</v>
      </c>
      <c r="AR4687">
        <v>0</v>
      </c>
      <c r="AS4687">
        <v>0</v>
      </c>
      <c r="AT4687">
        <v>3.9329999999999998</v>
      </c>
      <c r="AX4687" t="str">
        <f>"E000170645"</f>
        <v>E000170645</v>
      </c>
      <c r="BD4687" t="str">
        <f>"רוני דידי"</f>
        <v>רוני דידי</v>
      </c>
    </row>
    <row r="4688" spans="1:56" x14ac:dyDescent="0.3">
      <c r="A4688" s="1">
        <v>42061</v>
      </c>
      <c r="B4688" t="str">
        <f>"SI150003629"</f>
        <v>SI150003629</v>
      </c>
      <c r="C4688" t="str">
        <f>"PR12000061"</f>
        <v>PR12000061</v>
      </c>
      <c r="D4688" t="str">
        <f>"PR12000061"</f>
        <v>PR12000061</v>
      </c>
      <c r="E4688" t="str">
        <f>"Y"</f>
        <v>Y</v>
      </c>
      <c r="F4688" t="str">
        <f>"חשבוניות מרכזות"</f>
        <v>חשבוניות מרכזות</v>
      </c>
      <c r="G4688" t="str">
        <f>"700065"</f>
        <v>700065</v>
      </c>
      <c r="H4688" t="str">
        <f>"אלתא מערכות בע""מ"</f>
        <v>אלתא מערכות בע"מ</v>
      </c>
      <c r="I4688" t="str">
        <f>"10"</f>
        <v>10</v>
      </c>
      <c r="J4688" t="str">
        <f>"OP-AR12324"</f>
        <v>OP-AR12324</v>
      </c>
      <c r="K4688" t="str">
        <f>"לוח חלוקה DC PDB מק""ט לקוח 1025A690-001"</f>
        <v>לוח חלוקה DC PDB מק"ט לקוח 1025A690-001</v>
      </c>
      <c r="L4688">
        <v>1</v>
      </c>
      <c r="M4688" t="str">
        <f>"יח"</f>
        <v>יח</v>
      </c>
      <c r="N4688">
        <v>1</v>
      </c>
      <c r="O4688" t="str">
        <f>"יח"</f>
        <v>יח</v>
      </c>
      <c r="P4688" s="2">
        <v>58509</v>
      </c>
      <c r="Q4688" t="str">
        <f>"$"</f>
        <v>$</v>
      </c>
      <c r="R4688" t="str">
        <f>"הזמנה"</f>
        <v>הזמנה</v>
      </c>
      <c r="S4688">
        <v>0</v>
      </c>
      <c r="T4688" s="2">
        <v>58509</v>
      </c>
      <c r="U4688">
        <v>0</v>
      </c>
      <c r="V4688" s="2">
        <v>58509</v>
      </c>
      <c r="W4688" t="str">
        <f>"$"</f>
        <v>$</v>
      </c>
      <c r="X4688">
        <v>0</v>
      </c>
      <c r="Y4688">
        <v>0</v>
      </c>
      <c r="Z4688">
        <v>0</v>
      </c>
      <c r="AA4688" t="str">
        <f>"Y"</f>
        <v>Y</v>
      </c>
      <c r="AB4688" t="str">
        <f>"SO130000065"</f>
        <v>SO130000065</v>
      </c>
      <c r="AC4688">
        <v>15</v>
      </c>
      <c r="AD4688" s="1">
        <v>41297</v>
      </c>
      <c r="AE4688" t="str">
        <f>"SH15004333"</f>
        <v>SH15004333</v>
      </c>
      <c r="AF4688" t="str">
        <f>"משלוחים ללקוח"</f>
        <v>משלוחים ללקוח</v>
      </c>
      <c r="AG4688" s="1">
        <v>42060</v>
      </c>
      <c r="AM4688" t="str">
        <f>"10"</f>
        <v>10</v>
      </c>
      <c r="AN4688" t="str">
        <f>"500000"</f>
        <v>500000</v>
      </c>
      <c r="AO4688" t="str">
        <f>"הכנסות  מלקוחות"</f>
        <v>הכנסות  מלקוחות</v>
      </c>
      <c r="AQ4688" t="str">
        <f>"007"</f>
        <v>007</v>
      </c>
      <c r="AR4688">
        <v>0</v>
      </c>
      <c r="AS4688">
        <v>0</v>
      </c>
      <c r="AT4688">
        <v>3.9329999999999998</v>
      </c>
      <c r="AX4688" t="str">
        <f>"E000119136"</f>
        <v>E000119136</v>
      </c>
      <c r="BD4688" t="str">
        <f>"רוני דידי"</f>
        <v>רוני דידי</v>
      </c>
    </row>
    <row r="4689" spans="1:56" x14ac:dyDescent="0.3">
      <c r="A4689" s="1">
        <v>42061</v>
      </c>
      <c r="B4689" t="str">
        <f>"SI150003628"</f>
        <v>SI150003628</v>
      </c>
      <c r="E4689" t="str">
        <f>"Y"</f>
        <v>Y</v>
      </c>
      <c r="F4689" t="str">
        <f>"חשבוניות מרכזות"</f>
        <v>חשבוניות מרכזות</v>
      </c>
      <c r="G4689" t="str">
        <f>"700065"</f>
        <v>700065</v>
      </c>
      <c r="H4689" t="str">
        <f>"אלתא מערכות בע""מ"</f>
        <v>אלתא מערכות בע"מ</v>
      </c>
      <c r="I4689" t="str">
        <f>"10"</f>
        <v>10</v>
      </c>
      <c r="J4689" t="str">
        <f>"OP-AR00007"</f>
        <v>OP-AR00007</v>
      </c>
      <c r="K4689" t="str">
        <f>"שינוי AC DC,DC) PDB)- אלתא"</f>
        <v>שינוי AC DC,DC) PDB)- אלתא</v>
      </c>
      <c r="L4689">
        <v>6.6000000000000003E-2</v>
      </c>
      <c r="M4689" t="str">
        <f>"חל"</f>
        <v>חל</v>
      </c>
      <c r="N4689">
        <v>6.6000000000000003E-2</v>
      </c>
      <c r="O4689" t="str">
        <f>"חל"</f>
        <v>חל</v>
      </c>
      <c r="P4689" s="2">
        <v>273153.74</v>
      </c>
      <c r="Q4689" t="str">
        <f>"$"</f>
        <v>$</v>
      </c>
      <c r="R4689" t="str">
        <f>"הזמנה"</f>
        <v>הזמנה</v>
      </c>
      <c r="S4689">
        <v>0</v>
      </c>
      <c r="T4689" s="2">
        <v>18028.150000000001</v>
      </c>
      <c r="U4689">
        <v>0</v>
      </c>
      <c r="V4689" s="2">
        <v>18028.150000000001</v>
      </c>
      <c r="W4689" t="str">
        <f>"$"</f>
        <v>$</v>
      </c>
      <c r="X4689">
        <v>0</v>
      </c>
      <c r="Y4689">
        <v>0</v>
      </c>
      <c r="Z4689">
        <v>0</v>
      </c>
      <c r="AA4689" t="str">
        <f>"Y"</f>
        <v>Y</v>
      </c>
      <c r="AB4689" t="str">
        <f>"SO130000191"</f>
        <v>SO130000191</v>
      </c>
      <c r="AC4689">
        <v>14</v>
      </c>
      <c r="AD4689" s="1">
        <v>41324</v>
      </c>
      <c r="AM4689" t="str">
        <f>"10"</f>
        <v>10</v>
      </c>
      <c r="AN4689" t="str">
        <f>"500000"</f>
        <v>500000</v>
      </c>
      <c r="AO4689" t="str">
        <f>"הכנסות  מלקוחות"</f>
        <v>הכנסות  מלקוחות</v>
      </c>
      <c r="AQ4689" t="str">
        <f>"007"</f>
        <v>007</v>
      </c>
      <c r="AR4689">
        <v>0</v>
      </c>
      <c r="AS4689">
        <v>0</v>
      </c>
      <c r="AT4689">
        <v>3.9329999999999998</v>
      </c>
      <c r="AX4689" t="str">
        <f>"E000143532/2"</f>
        <v>E000143532/2</v>
      </c>
      <c r="BD4689" t="str">
        <f>"רוני דידי"</f>
        <v>רוני דידי</v>
      </c>
    </row>
    <row r="4690" spans="1:56" x14ac:dyDescent="0.3">
      <c r="A4690" s="1">
        <v>42059</v>
      </c>
      <c r="B4690" t="str">
        <f>"SI150003623"</f>
        <v>SI150003623</v>
      </c>
      <c r="C4690" t="str">
        <f>"PR12000060"</f>
        <v>PR12000060</v>
      </c>
      <c r="D4690" t="str">
        <f>"PR12000060"</f>
        <v>PR12000060</v>
      </c>
      <c r="E4690" t="str">
        <f>"Y"</f>
        <v>Y</v>
      </c>
      <c r="F4690" t="str">
        <f>"חשבוניות מרכזות"</f>
        <v>חשבוניות מרכזות</v>
      </c>
      <c r="G4690" t="str">
        <f>"700065"</f>
        <v>700065</v>
      </c>
      <c r="H4690" t="str">
        <f>"אלתא מערכות בע""מ"</f>
        <v>אלתא מערכות בע"מ</v>
      </c>
      <c r="I4690" t="str">
        <f>"10"</f>
        <v>10</v>
      </c>
      <c r="J4690" t="str">
        <f>"000"</f>
        <v>000</v>
      </c>
      <c r="K4690" t="str">
        <f>"NRE- עלויות אימות התיכון"</f>
        <v>NRE- עלויות אימות התיכון</v>
      </c>
      <c r="L4690">
        <v>1</v>
      </c>
      <c r="M4690" t="str">
        <f>"יח"</f>
        <v>יח</v>
      </c>
      <c r="N4690">
        <v>1</v>
      </c>
      <c r="O4690" t="str">
        <f>"יח"</f>
        <v>יח</v>
      </c>
      <c r="P4690" s="2">
        <v>7020</v>
      </c>
      <c r="Q4690" t="str">
        <f>"$"</f>
        <v>$</v>
      </c>
      <c r="R4690" t="str">
        <f>"הזמנה"</f>
        <v>הזמנה</v>
      </c>
      <c r="S4690">
        <v>0</v>
      </c>
      <c r="T4690" s="2">
        <v>7020</v>
      </c>
      <c r="U4690">
        <v>0</v>
      </c>
      <c r="V4690" s="2">
        <v>7020</v>
      </c>
      <c r="W4690" t="str">
        <f>"$"</f>
        <v>$</v>
      </c>
      <c r="X4690">
        <v>0</v>
      </c>
      <c r="Y4690">
        <v>0</v>
      </c>
      <c r="Z4690">
        <v>0</v>
      </c>
      <c r="AA4690" t="str">
        <f>"Y"</f>
        <v>Y</v>
      </c>
      <c r="AB4690" t="str">
        <f>"SO130000159"</f>
        <v>SO130000159</v>
      </c>
      <c r="AC4690">
        <v>2</v>
      </c>
      <c r="AD4690" s="1">
        <v>41316</v>
      </c>
      <c r="AM4690" t="str">
        <f>"10"</f>
        <v>10</v>
      </c>
      <c r="AN4690" t="str">
        <f>"500000"</f>
        <v>500000</v>
      </c>
      <c r="AO4690" t="str">
        <f>"הכנסות  מלקוחות"</f>
        <v>הכנסות  מלקוחות</v>
      </c>
      <c r="AQ4690" t="str">
        <f>"007"</f>
        <v>007</v>
      </c>
      <c r="AR4690">
        <v>0</v>
      </c>
      <c r="AS4690">
        <v>0</v>
      </c>
      <c r="AT4690">
        <v>3.952</v>
      </c>
      <c r="AX4690" t="str">
        <f>"E000119608"</f>
        <v>E000119608</v>
      </c>
      <c r="BD4690" t="str">
        <f>"רוני דידי"</f>
        <v>רוני דידי</v>
      </c>
    </row>
    <row r="4691" spans="1:56" x14ac:dyDescent="0.3">
      <c r="A4691" s="1">
        <v>42059</v>
      </c>
      <c r="B4691" t="str">
        <f>"SI150003623"</f>
        <v>SI150003623</v>
      </c>
      <c r="C4691" t="str">
        <f>"PR12000060"</f>
        <v>PR12000060</v>
      </c>
      <c r="D4691" t="str">
        <f>"PR12000060"</f>
        <v>PR12000060</v>
      </c>
      <c r="E4691" t="str">
        <f>"Y"</f>
        <v>Y</v>
      </c>
      <c r="F4691" t="str">
        <f>"חשבוניות מרכזות"</f>
        <v>חשבוניות מרכזות</v>
      </c>
      <c r="G4691" t="str">
        <f>"700065"</f>
        <v>700065</v>
      </c>
      <c r="H4691" t="str">
        <f>"אלתא מערכות בע""מ"</f>
        <v>אלתא מערכות בע"מ</v>
      </c>
      <c r="I4691" t="str">
        <f>"10"</f>
        <v>10</v>
      </c>
      <c r="J4691" t="str">
        <f>"000"</f>
        <v>000</v>
      </c>
      <c r="K4691" t="str">
        <f>"NRE - עלויות ליוי - הייצור בהודו"</f>
        <v>NRE - עלויות ליוי - הייצור בהודו</v>
      </c>
      <c r="L4691">
        <v>1</v>
      </c>
      <c r="M4691" t="str">
        <f>"יח"</f>
        <v>יח</v>
      </c>
      <c r="N4691">
        <v>1</v>
      </c>
      <c r="O4691" t="str">
        <f>"יח"</f>
        <v>יח</v>
      </c>
      <c r="P4691" s="2">
        <v>15180</v>
      </c>
      <c r="Q4691" t="str">
        <f>"$"</f>
        <v>$</v>
      </c>
      <c r="R4691" t="str">
        <f>"הזמנה"</f>
        <v>הזמנה</v>
      </c>
      <c r="S4691">
        <v>0</v>
      </c>
      <c r="T4691" s="2">
        <v>15180</v>
      </c>
      <c r="U4691">
        <v>0</v>
      </c>
      <c r="V4691" s="2">
        <v>15180</v>
      </c>
      <c r="W4691" t="str">
        <f>"$"</f>
        <v>$</v>
      </c>
      <c r="X4691">
        <v>0</v>
      </c>
      <c r="Y4691">
        <v>0</v>
      </c>
      <c r="Z4691">
        <v>0</v>
      </c>
      <c r="AA4691" t="str">
        <f>"Y"</f>
        <v>Y</v>
      </c>
      <c r="AB4691" t="str">
        <f>"SO130000159"</f>
        <v>SO130000159</v>
      </c>
      <c r="AC4691">
        <v>3</v>
      </c>
      <c r="AD4691" s="1">
        <v>41316</v>
      </c>
      <c r="AM4691" t="str">
        <f>"10"</f>
        <v>10</v>
      </c>
      <c r="AN4691" t="str">
        <f>"500000"</f>
        <v>500000</v>
      </c>
      <c r="AO4691" t="str">
        <f>"הכנסות  מלקוחות"</f>
        <v>הכנסות  מלקוחות</v>
      </c>
      <c r="AQ4691" t="str">
        <f>"007"</f>
        <v>007</v>
      </c>
      <c r="AR4691">
        <v>0</v>
      </c>
      <c r="AS4691">
        <v>0</v>
      </c>
      <c r="AT4691">
        <v>3.952</v>
      </c>
      <c r="AX4691" t="str">
        <f>"E000119608"</f>
        <v>E000119608</v>
      </c>
      <c r="BD4691" t="str">
        <f>"רוני דידי"</f>
        <v>רוני דידי</v>
      </c>
    </row>
    <row r="4692" spans="1:56" x14ac:dyDescent="0.3">
      <c r="A4692" s="1">
        <v>42059</v>
      </c>
      <c r="B4692" t="str">
        <f>"SI150003622"</f>
        <v>SI150003622</v>
      </c>
      <c r="E4692" t="str">
        <f>"Y"</f>
        <v>Y</v>
      </c>
      <c r="F4692" t="str">
        <f>"חשבוניות מרכזות"</f>
        <v>חשבוניות מרכזות</v>
      </c>
      <c r="G4692" t="str">
        <f>"700065"</f>
        <v>700065</v>
      </c>
      <c r="H4692" t="str">
        <f>"אלתא מערכות בע""מ"</f>
        <v>אלתא מערכות בע"מ</v>
      </c>
      <c r="I4692" t="str">
        <f>"10"</f>
        <v>10</v>
      </c>
      <c r="J4692" t="str">
        <f>"999"</f>
        <v>999</v>
      </c>
      <c r="K4692" t="str">
        <f>"שינויים במכלולים להז' E00093662"</f>
        <v>שינויים במכלולים להז' E00093662</v>
      </c>
      <c r="L4692">
        <v>0.34</v>
      </c>
      <c r="M4692" t="str">
        <f>"חל"</f>
        <v>חל</v>
      </c>
      <c r="N4692">
        <v>0.34</v>
      </c>
      <c r="O4692" t="str">
        <f>"חל"</f>
        <v>חל</v>
      </c>
      <c r="P4692" s="2">
        <v>69419</v>
      </c>
      <c r="Q4692" t="str">
        <f>"$"</f>
        <v>$</v>
      </c>
      <c r="R4692" t="str">
        <f>"הזמנה"</f>
        <v>הזמנה</v>
      </c>
      <c r="S4692">
        <v>0</v>
      </c>
      <c r="T4692" s="2">
        <v>23602.46</v>
      </c>
      <c r="U4692">
        <v>0</v>
      </c>
      <c r="V4692" s="2">
        <v>23602.46</v>
      </c>
      <c r="W4692" t="str">
        <f>"$"</f>
        <v>$</v>
      </c>
      <c r="X4692">
        <v>0</v>
      </c>
      <c r="Y4692">
        <v>0</v>
      </c>
      <c r="Z4692">
        <v>0</v>
      </c>
      <c r="AA4692" t="str">
        <f>"Y"</f>
        <v>Y</v>
      </c>
      <c r="AB4692" t="str">
        <f>"SO140001911"</f>
        <v>SO140001911</v>
      </c>
      <c r="AC4692">
        <v>2</v>
      </c>
      <c r="AD4692" s="1">
        <v>41758</v>
      </c>
      <c r="AM4692" t="str">
        <f>"10"</f>
        <v>10</v>
      </c>
      <c r="AN4692" t="str">
        <f>"500000"</f>
        <v>500000</v>
      </c>
      <c r="AO4692" t="str">
        <f>"הכנסות  מלקוחות"</f>
        <v>הכנסות  מלקוחות</v>
      </c>
      <c r="AQ4692" t="str">
        <f>"007"</f>
        <v>007</v>
      </c>
      <c r="AR4692">
        <v>0</v>
      </c>
      <c r="AS4692">
        <v>0</v>
      </c>
      <c r="AT4692">
        <v>3.952</v>
      </c>
      <c r="AX4692" t="str">
        <f>"E000172960"</f>
        <v>E000172960</v>
      </c>
      <c r="BD4692" t="str">
        <f>"רוני דידי"</f>
        <v>רוני דידי</v>
      </c>
    </row>
    <row r="4693" spans="1:56" x14ac:dyDescent="0.3">
      <c r="A4693" s="1">
        <v>42046</v>
      </c>
      <c r="B4693" t="str">
        <f>"SI150003562"</f>
        <v>SI150003562</v>
      </c>
      <c r="C4693" t="str">
        <f>"PR12000054"</f>
        <v>PR12000054</v>
      </c>
      <c r="E4693" t="str">
        <f>"Y"</f>
        <v>Y</v>
      </c>
      <c r="F4693" t="str">
        <f>"חשבוניות מרכזות"</f>
        <v>חשבוניות מרכזות</v>
      </c>
      <c r="G4693" t="str">
        <f>"700065"</f>
        <v>700065</v>
      </c>
      <c r="H4693" t="str">
        <f>"אלתא מערכות בע""מ"</f>
        <v>אלתא מערכות בע"מ</v>
      </c>
      <c r="I4693" t="str">
        <f>"10"</f>
        <v>10</v>
      </c>
      <c r="J4693" t="str">
        <f>"OP-AR01765"</f>
        <v>OP-AR01765</v>
      </c>
      <c r="K4693" t="str">
        <f>"לוח AUX BOX- אב טיפוס"</f>
        <v>לוח AUX BOX- אב טיפוס</v>
      </c>
      <c r="L4693">
        <v>0.34</v>
      </c>
      <c r="M4693" t="str">
        <f>"חל"</f>
        <v>חל</v>
      </c>
      <c r="N4693">
        <v>0.34</v>
      </c>
      <c r="O4693" t="str">
        <f>"חל"</f>
        <v>חל</v>
      </c>
      <c r="P4693" s="2">
        <v>62300</v>
      </c>
      <c r="Q4693" t="str">
        <f>"$"</f>
        <v>$</v>
      </c>
      <c r="R4693" t="str">
        <f>"הזמנה"</f>
        <v>הזמנה</v>
      </c>
      <c r="S4693">
        <v>0</v>
      </c>
      <c r="T4693" s="2">
        <v>21182</v>
      </c>
      <c r="U4693">
        <v>0</v>
      </c>
      <c r="V4693" s="2">
        <v>21182</v>
      </c>
      <c r="W4693" t="str">
        <f>"$"</f>
        <v>$</v>
      </c>
      <c r="X4693">
        <v>0</v>
      </c>
      <c r="Y4693">
        <v>0</v>
      </c>
      <c r="Z4693">
        <v>0</v>
      </c>
      <c r="AA4693" t="str">
        <f>"Y"</f>
        <v>Y</v>
      </c>
      <c r="AB4693" t="str">
        <f>"SO12T000001"</f>
        <v>SO12T000001</v>
      </c>
      <c r="AC4693">
        <v>1</v>
      </c>
      <c r="AD4693" s="1">
        <v>41256</v>
      </c>
      <c r="AM4693" t="str">
        <f>"10"</f>
        <v>10</v>
      </c>
      <c r="AN4693" t="str">
        <f>"500000"</f>
        <v>500000</v>
      </c>
      <c r="AO4693" t="str">
        <f>"הכנסות  מלקוחות"</f>
        <v>הכנסות  מלקוחות</v>
      </c>
      <c r="AQ4693" t="str">
        <f>"007"</f>
        <v>007</v>
      </c>
      <c r="AR4693">
        <v>0</v>
      </c>
      <c r="AS4693">
        <v>0</v>
      </c>
      <c r="AT4693">
        <v>3.8639999999999999</v>
      </c>
      <c r="AX4693" t="str">
        <f>"E000093662"</f>
        <v>E000093662</v>
      </c>
      <c r="BD4693" t="str">
        <f>"רוני דידי"</f>
        <v>רוני דידי</v>
      </c>
    </row>
    <row r="4694" spans="1:56" x14ac:dyDescent="0.3">
      <c r="A4694" s="1">
        <v>42046</v>
      </c>
      <c r="B4694" t="str">
        <f>"SI150003561"</f>
        <v>SI150003561</v>
      </c>
      <c r="C4694" t="str">
        <f>"PR14001909"</f>
        <v>PR14001909</v>
      </c>
      <c r="D4694" t="str">
        <f>"PR14001909"</f>
        <v>PR14001909</v>
      </c>
      <c r="E4694" t="str">
        <f>"Y"</f>
        <v>Y</v>
      </c>
      <c r="F4694" t="str">
        <f>"חשבוניות מרכזות"</f>
        <v>חשבוניות מרכזות</v>
      </c>
      <c r="G4694" t="str">
        <f>"700065"</f>
        <v>700065</v>
      </c>
      <c r="H4694" t="str">
        <f>"אלתא מערכות בע""מ"</f>
        <v>אלתא מערכות בע"מ</v>
      </c>
      <c r="I4694" t="str">
        <f>"10"</f>
        <v>10</v>
      </c>
      <c r="J4694" t="str">
        <f>"OP-AR00059"</f>
        <v>OP-AR00059</v>
      </c>
      <c r="K4694" t="str">
        <f>"מערכת HV PDB VICD 9002E171-001"</f>
        <v>מערכת HV PDB VICD 9002E171-001</v>
      </c>
      <c r="L4694">
        <v>1</v>
      </c>
      <c r="M4694" t="str">
        <f>"יח"</f>
        <v>יח</v>
      </c>
      <c r="N4694">
        <v>1</v>
      </c>
      <c r="O4694" t="str">
        <f>"יח"</f>
        <v>יח</v>
      </c>
      <c r="P4694" s="2">
        <v>9100</v>
      </c>
      <c r="Q4694" t="str">
        <f>"$"</f>
        <v>$</v>
      </c>
      <c r="R4694" t="str">
        <f>"הזמנה"</f>
        <v>הזמנה</v>
      </c>
      <c r="S4694">
        <v>0</v>
      </c>
      <c r="T4694" s="2">
        <v>9100</v>
      </c>
      <c r="U4694">
        <v>0</v>
      </c>
      <c r="V4694" s="2">
        <v>9100</v>
      </c>
      <c r="W4694" t="str">
        <f>"$"</f>
        <v>$</v>
      </c>
      <c r="X4694">
        <v>0</v>
      </c>
      <c r="Y4694">
        <v>0</v>
      </c>
      <c r="Z4694">
        <v>0</v>
      </c>
      <c r="AA4694" t="str">
        <f>"Y"</f>
        <v>Y</v>
      </c>
      <c r="AB4694" t="str">
        <f>"SO140002235"</f>
        <v>SO140002235</v>
      </c>
      <c r="AC4694">
        <v>1</v>
      </c>
      <c r="AD4694" s="1">
        <v>41870</v>
      </c>
      <c r="AE4694" t="str">
        <f>"SH15004234"</f>
        <v>SH15004234</v>
      </c>
      <c r="AF4694" t="str">
        <f>"משלוחים ללקוח"</f>
        <v>משלוחים ללקוח</v>
      </c>
      <c r="AG4694" s="1">
        <v>42045</v>
      </c>
      <c r="AM4694" t="str">
        <f>"10"</f>
        <v>10</v>
      </c>
      <c r="AN4694" t="str">
        <f>"500000"</f>
        <v>500000</v>
      </c>
      <c r="AO4694" t="str">
        <f>"הכנסות  מלקוחות"</f>
        <v>הכנסות  מלקוחות</v>
      </c>
      <c r="AQ4694" t="str">
        <f>"007"</f>
        <v>007</v>
      </c>
      <c r="AR4694">
        <v>0</v>
      </c>
      <c r="AS4694">
        <v>0</v>
      </c>
      <c r="AT4694">
        <v>3.8639999999999999</v>
      </c>
      <c r="AX4694" t="str">
        <f>"E000180636"</f>
        <v>E000180636</v>
      </c>
      <c r="BD4694" t="str">
        <f>"רוני דידי"</f>
        <v>רוני דידי</v>
      </c>
    </row>
    <row r="4695" spans="1:56" x14ac:dyDescent="0.3">
      <c r="A4695" s="1">
        <v>42046</v>
      </c>
      <c r="B4695" t="str">
        <f>"SI150003560"</f>
        <v>SI150003560</v>
      </c>
      <c r="E4695" t="str">
        <f>"Y"</f>
        <v>Y</v>
      </c>
      <c r="F4695" t="str">
        <f>"חשבוניות מרכזות"</f>
        <v>חשבוניות מרכזות</v>
      </c>
      <c r="G4695" t="str">
        <f>"700065"</f>
        <v>700065</v>
      </c>
      <c r="H4695" t="str">
        <f>"אלתא מערכות בע""מ"</f>
        <v>אלתא מערכות בע"מ</v>
      </c>
      <c r="I4695" t="str">
        <f>"10"</f>
        <v>10</v>
      </c>
      <c r="J4695" t="str">
        <f>"OP-AR00007"</f>
        <v>OP-AR00007</v>
      </c>
      <c r="K4695" t="str">
        <f>"שינוי AC DC,DC) PDB)- אלתא"</f>
        <v>שינוי AC DC,DC) PDB)- אלתא</v>
      </c>
      <c r="L4695">
        <v>6.6000000000000003E-2</v>
      </c>
      <c r="M4695" t="str">
        <f>"חל"</f>
        <v>חל</v>
      </c>
      <c r="N4695">
        <v>6.6000000000000003E-2</v>
      </c>
      <c r="O4695" t="str">
        <f>"חל"</f>
        <v>חל</v>
      </c>
      <c r="P4695" s="2">
        <v>273153.74</v>
      </c>
      <c r="Q4695" t="str">
        <f>"$"</f>
        <v>$</v>
      </c>
      <c r="R4695" t="str">
        <f>"הזמנה"</f>
        <v>הזמנה</v>
      </c>
      <c r="S4695">
        <v>0</v>
      </c>
      <c r="T4695" s="2">
        <v>18028.150000000001</v>
      </c>
      <c r="U4695">
        <v>0</v>
      </c>
      <c r="V4695" s="2">
        <v>18028.150000000001</v>
      </c>
      <c r="W4695" t="str">
        <f>"$"</f>
        <v>$</v>
      </c>
      <c r="X4695">
        <v>0</v>
      </c>
      <c r="Y4695">
        <v>0</v>
      </c>
      <c r="Z4695">
        <v>0</v>
      </c>
      <c r="AA4695" t="str">
        <f>"Y"</f>
        <v>Y</v>
      </c>
      <c r="AB4695" t="str">
        <f>"SO130000191"</f>
        <v>SO130000191</v>
      </c>
      <c r="AC4695">
        <v>13</v>
      </c>
      <c r="AD4695" s="1">
        <v>41324</v>
      </c>
      <c r="AM4695" t="str">
        <f>"10"</f>
        <v>10</v>
      </c>
      <c r="AN4695" t="str">
        <f>"500000"</f>
        <v>500000</v>
      </c>
      <c r="AO4695" t="str">
        <f>"הכנסות  מלקוחות"</f>
        <v>הכנסות  מלקוחות</v>
      </c>
      <c r="AQ4695" t="str">
        <f>"007"</f>
        <v>007</v>
      </c>
      <c r="AR4695">
        <v>0</v>
      </c>
      <c r="AS4695">
        <v>0</v>
      </c>
      <c r="AT4695">
        <v>3.8639999999999999</v>
      </c>
      <c r="AX4695" t="str">
        <f>"E000143532/2"</f>
        <v>E000143532/2</v>
      </c>
      <c r="BD4695" t="str">
        <f>"רוני דידי"</f>
        <v>רוני דידי</v>
      </c>
    </row>
    <row r="4696" spans="1:56" x14ac:dyDescent="0.3">
      <c r="A4696" s="1">
        <v>42038</v>
      </c>
      <c r="B4696" t="str">
        <f>"SI150003537"</f>
        <v>SI150003537</v>
      </c>
      <c r="C4696" t="str">
        <f>"PR14002142"</f>
        <v>PR14002142</v>
      </c>
      <c r="D4696" t="str">
        <f>"PR14002142"</f>
        <v>PR14002142</v>
      </c>
      <c r="E4696" t="str">
        <f>"Y"</f>
        <v>Y</v>
      </c>
      <c r="F4696" t="str">
        <f>"חשבוניות מרכזות"</f>
        <v>חשבוניות מרכזות</v>
      </c>
      <c r="G4696" t="str">
        <f>"700065"</f>
        <v>700065</v>
      </c>
      <c r="H4696" t="str">
        <f>"אלתא מערכות בע""מ"</f>
        <v>אלתא מערכות בע"מ</v>
      </c>
      <c r="I4696" t="str">
        <f>"10"</f>
        <v>10</v>
      </c>
      <c r="J4696" t="str">
        <f>"OP-AR00080"</f>
        <v>OP-AR00080</v>
      </c>
      <c r="K4696" t="str">
        <f>"GP &amp; SGP SIMULATOR RACK (1036H550-001)"</f>
        <v>GP &amp; SGP SIMULATOR RACK (1036H550-001)</v>
      </c>
      <c r="L4696">
        <v>1</v>
      </c>
      <c r="M4696" t="str">
        <f>"יח"</f>
        <v>יח</v>
      </c>
      <c r="N4696">
        <v>1</v>
      </c>
      <c r="O4696" t="str">
        <f>"יח"</f>
        <v>יח</v>
      </c>
      <c r="P4696" s="2">
        <v>11915</v>
      </c>
      <c r="Q4696" t="str">
        <f>"$"</f>
        <v>$</v>
      </c>
      <c r="R4696" t="str">
        <f>"הזמנה"</f>
        <v>הזמנה</v>
      </c>
      <c r="S4696">
        <v>0</v>
      </c>
      <c r="T4696" s="2">
        <v>11915</v>
      </c>
      <c r="U4696">
        <v>0</v>
      </c>
      <c r="V4696" s="2">
        <v>11915</v>
      </c>
      <c r="W4696" t="str">
        <f>"$"</f>
        <v>$</v>
      </c>
      <c r="X4696">
        <v>0</v>
      </c>
      <c r="Y4696">
        <v>0</v>
      </c>
      <c r="Z4696">
        <v>0</v>
      </c>
      <c r="AA4696" t="str">
        <f>"Y"</f>
        <v>Y</v>
      </c>
      <c r="AB4696" t="str">
        <f>"SO140002476"</f>
        <v>SO140002476</v>
      </c>
      <c r="AC4696">
        <v>1</v>
      </c>
      <c r="AD4696" s="1">
        <v>41939</v>
      </c>
      <c r="AE4696" t="str">
        <f>"SH15004199"</f>
        <v>SH15004199</v>
      </c>
      <c r="AF4696" t="str">
        <f>"משלוחים ללקוח"</f>
        <v>משלוחים ללקוח</v>
      </c>
      <c r="AG4696" s="1">
        <v>42037</v>
      </c>
      <c r="AM4696" t="str">
        <f>"10"</f>
        <v>10</v>
      </c>
      <c r="AN4696" t="str">
        <f>"500000"</f>
        <v>500000</v>
      </c>
      <c r="AO4696" t="str">
        <f>"הכנסות  מלקוחות"</f>
        <v>הכנסות  מלקוחות</v>
      </c>
      <c r="AQ4696" t="str">
        <f>"007"</f>
        <v>007</v>
      </c>
      <c r="AR4696">
        <v>0</v>
      </c>
      <c r="AS4696">
        <v>0</v>
      </c>
      <c r="AT4696">
        <v>3.93</v>
      </c>
      <c r="AX4696" t="str">
        <f>"E000184581"</f>
        <v>E000184581</v>
      </c>
      <c r="BD4696" t="str">
        <f>"רוני דידי"</f>
        <v>רוני דידי</v>
      </c>
    </row>
    <row r="4697" spans="1:56" x14ac:dyDescent="0.3">
      <c r="A4697" s="1">
        <v>42033</v>
      </c>
      <c r="B4697" t="str">
        <f>"SI150003557"</f>
        <v>SI150003557</v>
      </c>
      <c r="C4697" t="str">
        <f>"PR12000060"</f>
        <v>PR12000060</v>
      </c>
      <c r="E4697" t="str">
        <f>"Y"</f>
        <v>Y</v>
      </c>
      <c r="F4697" t="str">
        <f>"חשבוניות מרכזות"</f>
        <v>חשבוניות מרכזות</v>
      </c>
      <c r="G4697" t="str">
        <f>"700065"</f>
        <v>700065</v>
      </c>
      <c r="H4697" t="str">
        <f>"אלתא מערכות בע""מ"</f>
        <v>אלתא מערכות בע"מ</v>
      </c>
      <c r="I4697" t="str">
        <f>"10"</f>
        <v>10</v>
      </c>
      <c r="J4697" t="str">
        <f>"OP-AR12325"</f>
        <v>OP-AR12325</v>
      </c>
      <c r="K4697" t="str">
        <f>"לוח חלוקה AC-DC PDB מק""ט לקוח 1025A685-001"</f>
        <v>לוח חלוקה AC-DC PDB מק"ט לקוח 1025A685-001</v>
      </c>
      <c r="L4697">
        <v>1</v>
      </c>
      <c r="M4697" t="str">
        <f>"יח"</f>
        <v>יח</v>
      </c>
      <c r="N4697">
        <v>1</v>
      </c>
      <c r="O4697" t="str">
        <f>"יח"</f>
        <v>יח</v>
      </c>
      <c r="P4697" s="2">
        <v>60000</v>
      </c>
      <c r="Q4697" t="str">
        <f>"$"</f>
        <v>$</v>
      </c>
      <c r="R4697" t="str">
        <f>"הזמנה"</f>
        <v>הזמנה</v>
      </c>
      <c r="S4697">
        <v>0</v>
      </c>
      <c r="T4697" s="2">
        <v>60000</v>
      </c>
      <c r="U4697">
        <v>0</v>
      </c>
      <c r="V4697" s="2">
        <v>60000</v>
      </c>
      <c r="W4697" t="str">
        <f>"$"</f>
        <v>$</v>
      </c>
      <c r="X4697">
        <v>0</v>
      </c>
      <c r="Y4697">
        <v>0</v>
      </c>
      <c r="Z4697">
        <v>0</v>
      </c>
      <c r="AA4697" t="str">
        <f>"Y"</f>
        <v>Y</v>
      </c>
      <c r="AB4697" t="str">
        <f>"SO140001607"</f>
        <v>SO140001607</v>
      </c>
      <c r="AC4697">
        <v>2</v>
      </c>
      <c r="AD4697" s="1">
        <v>41665</v>
      </c>
      <c r="AE4697" t="str">
        <f>"SH15004167"</f>
        <v>SH15004167</v>
      </c>
      <c r="AF4697" t="str">
        <f>"משלוחים ללקוח"</f>
        <v>משלוחים ללקוח</v>
      </c>
      <c r="AG4697" s="1">
        <v>42032</v>
      </c>
      <c r="AM4697" t="str">
        <f>"10"</f>
        <v>10</v>
      </c>
      <c r="AN4697" t="str">
        <f>"500000"</f>
        <v>500000</v>
      </c>
      <c r="AO4697" t="str">
        <f>"הכנסות  מלקוחות"</f>
        <v>הכנסות  מלקוחות</v>
      </c>
      <c r="AQ4697" t="str">
        <f>"007"</f>
        <v>007</v>
      </c>
      <c r="AR4697">
        <v>0</v>
      </c>
      <c r="AS4697">
        <v>0</v>
      </c>
      <c r="AT4697">
        <v>3.9260000000000002</v>
      </c>
      <c r="AX4697" t="str">
        <f>"E000165940"</f>
        <v>E000165940</v>
      </c>
      <c r="BD4697" t="str">
        <f>"רוני דידי"</f>
        <v>רוני דידי</v>
      </c>
    </row>
    <row r="4698" spans="1:56" x14ac:dyDescent="0.3">
      <c r="A4698" s="1">
        <v>42033</v>
      </c>
      <c r="B4698" t="str">
        <f>"SI150003556"</f>
        <v>SI150003556</v>
      </c>
      <c r="C4698" t="str">
        <f>"PR12000061"</f>
        <v>PR12000061</v>
      </c>
      <c r="D4698" t="str">
        <f>"PR12000061"</f>
        <v>PR12000061</v>
      </c>
      <c r="E4698" t="str">
        <f>"Y"</f>
        <v>Y</v>
      </c>
      <c r="F4698" t="str">
        <f>"חשבוניות מרכזות"</f>
        <v>חשבוניות מרכזות</v>
      </c>
      <c r="G4698" t="str">
        <f>"700065"</f>
        <v>700065</v>
      </c>
      <c r="H4698" t="str">
        <f>"אלתא מערכות בע""מ"</f>
        <v>אלתא מערכות בע"מ</v>
      </c>
      <c r="I4698" t="str">
        <f>"10"</f>
        <v>10</v>
      </c>
      <c r="J4698" t="str">
        <f>"OP-AR12324"</f>
        <v>OP-AR12324</v>
      </c>
      <c r="K4698" t="str">
        <f>"לוח חלוקה DC PDB מק""ט לקוח 1025A690-001"</f>
        <v>לוח חלוקה DC PDB מק"ט לקוח 1025A690-001</v>
      </c>
      <c r="L4698">
        <v>1</v>
      </c>
      <c r="M4698" t="str">
        <f>"יח"</f>
        <v>יח</v>
      </c>
      <c r="N4698">
        <v>1</v>
      </c>
      <c r="O4698" t="str">
        <f>"יח"</f>
        <v>יח</v>
      </c>
      <c r="P4698" s="2">
        <v>58509</v>
      </c>
      <c r="Q4698" t="str">
        <f>"$"</f>
        <v>$</v>
      </c>
      <c r="R4698" t="str">
        <f>"הזמנה"</f>
        <v>הזמנה</v>
      </c>
      <c r="S4698">
        <v>0</v>
      </c>
      <c r="T4698" s="2">
        <v>58509</v>
      </c>
      <c r="U4698">
        <v>0</v>
      </c>
      <c r="V4698" s="2">
        <v>58509</v>
      </c>
      <c r="W4698" t="str">
        <f>"$"</f>
        <v>$</v>
      </c>
      <c r="X4698">
        <v>0</v>
      </c>
      <c r="Y4698">
        <v>0</v>
      </c>
      <c r="Z4698">
        <v>0</v>
      </c>
      <c r="AA4698" t="str">
        <f>"Y"</f>
        <v>Y</v>
      </c>
      <c r="AB4698" t="str">
        <f>"SO130000065"</f>
        <v>SO130000065</v>
      </c>
      <c r="AC4698">
        <v>14</v>
      </c>
      <c r="AD4698" s="1">
        <v>41297</v>
      </c>
      <c r="AE4698" t="str">
        <f>"SH15004166"</f>
        <v>SH15004166</v>
      </c>
      <c r="AF4698" t="str">
        <f>"משלוחים ללקוח"</f>
        <v>משלוחים ללקוח</v>
      </c>
      <c r="AG4698" s="1">
        <v>42032</v>
      </c>
      <c r="AM4698" t="str">
        <f>"10"</f>
        <v>10</v>
      </c>
      <c r="AN4698" t="str">
        <f>"500000"</f>
        <v>500000</v>
      </c>
      <c r="AO4698" t="str">
        <f>"הכנסות  מלקוחות"</f>
        <v>הכנסות  מלקוחות</v>
      </c>
      <c r="AQ4698" t="str">
        <f>"007"</f>
        <v>007</v>
      </c>
      <c r="AR4698">
        <v>0</v>
      </c>
      <c r="AS4698">
        <v>0</v>
      </c>
      <c r="AT4698">
        <v>3.9260000000000002</v>
      </c>
      <c r="AX4698" t="str">
        <f>"E000119136"</f>
        <v>E000119136</v>
      </c>
      <c r="BD4698" t="str">
        <f>"רוני דידי"</f>
        <v>רוני דידי</v>
      </c>
    </row>
    <row r="4699" spans="1:56" x14ac:dyDescent="0.3">
      <c r="A4699" s="1">
        <v>42030</v>
      </c>
      <c r="B4699" t="str">
        <f>"SI150003503"</f>
        <v>SI150003503</v>
      </c>
      <c r="E4699" t="str">
        <f>"Y"</f>
        <v>Y</v>
      </c>
      <c r="F4699" t="str">
        <f>"חשבוניות מרכזות"</f>
        <v>חשבוניות מרכזות</v>
      </c>
      <c r="G4699" t="str">
        <f>"700065"</f>
        <v>700065</v>
      </c>
      <c r="H4699" t="str">
        <f>"אלתא מערכות בע""מ"</f>
        <v>אלתא מערכות בע"מ</v>
      </c>
      <c r="I4699" t="str">
        <f>"10"</f>
        <v>10</v>
      </c>
      <c r="J4699" t="str">
        <f>"OP-AR00007"</f>
        <v>OP-AR00007</v>
      </c>
      <c r="K4699" t="str">
        <f>"שינוי AC DC,DC) PDB)- אלתא"</f>
        <v>שינוי AC DC,DC) PDB)- אלתא</v>
      </c>
      <c r="L4699">
        <v>6.6000000000000003E-2</v>
      </c>
      <c r="M4699" t="str">
        <f>"חל"</f>
        <v>חל</v>
      </c>
      <c r="N4699">
        <v>6.6000000000000003E-2</v>
      </c>
      <c r="O4699" t="str">
        <f>"חל"</f>
        <v>חל</v>
      </c>
      <c r="P4699" s="2">
        <v>273153.74</v>
      </c>
      <c r="Q4699" t="str">
        <f>"$"</f>
        <v>$</v>
      </c>
      <c r="R4699" t="str">
        <f>"הזמנה"</f>
        <v>הזמנה</v>
      </c>
      <c r="S4699">
        <v>0</v>
      </c>
      <c r="T4699" s="2">
        <v>18028.150000000001</v>
      </c>
      <c r="U4699">
        <v>0</v>
      </c>
      <c r="V4699" s="2">
        <v>18028.150000000001</v>
      </c>
      <c r="W4699" t="str">
        <f>"$"</f>
        <v>$</v>
      </c>
      <c r="X4699">
        <v>0</v>
      </c>
      <c r="Y4699">
        <v>0</v>
      </c>
      <c r="Z4699">
        <v>0</v>
      </c>
      <c r="AA4699" t="str">
        <f>"Y"</f>
        <v>Y</v>
      </c>
      <c r="AB4699" t="str">
        <f>"SO130000191"</f>
        <v>SO130000191</v>
      </c>
      <c r="AC4699">
        <v>12</v>
      </c>
      <c r="AD4699" s="1">
        <v>41324</v>
      </c>
      <c r="AM4699" t="str">
        <f>"10"</f>
        <v>10</v>
      </c>
      <c r="AN4699" t="str">
        <f>"500000"</f>
        <v>500000</v>
      </c>
      <c r="AO4699" t="str">
        <f>"הכנסות  מלקוחות"</f>
        <v>הכנסות  מלקוחות</v>
      </c>
      <c r="AQ4699" t="str">
        <f>"007"</f>
        <v>007</v>
      </c>
      <c r="AR4699">
        <v>0</v>
      </c>
      <c r="AS4699">
        <v>0</v>
      </c>
      <c r="AT4699">
        <v>3.9980000000000002</v>
      </c>
      <c r="AX4699" t="str">
        <f>"E000143532/2"</f>
        <v>E000143532/2</v>
      </c>
      <c r="BD4699" t="str">
        <f>"רוני דידי"</f>
        <v>רוני דידי</v>
      </c>
    </row>
    <row r="4700" spans="1:56" x14ac:dyDescent="0.3">
      <c r="A4700" s="1">
        <v>42004</v>
      </c>
      <c r="B4700" t="str">
        <f>"SI140003361"</f>
        <v>SI140003361</v>
      </c>
      <c r="C4700" t="str">
        <f>"PR12000061"</f>
        <v>PR12000061</v>
      </c>
      <c r="D4700" t="str">
        <f>"PR12000061"</f>
        <v>PR12000061</v>
      </c>
      <c r="E4700" t="str">
        <f>"Y"</f>
        <v>Y</v>
      </c>
      <c r="F4700" t="str">
        <f>"חשבוניות מרכזות"</f>
        <v>חשבוניות מרכזות</v>
      </c>
      <c r="G4700" t="str">
        <f>"700065"</f>
        <v>700065</v>
      </c>
      <c r="H4700" t="str">
        <f>"אלתא מערכות בע""מ"</f>
        <v>אלתא מערכות בע"מ</v>
      </c>
      <c r="I4700" t="str">
        <f>"10"</f>
        <v>10</v>
      </c>
      <c r="J4700" t="str">
        <f>"OP-AR12324"</f>
        <v>OP-AR12324</v>
      </c>
      <c r="K4700" t="str">
        <f>"לוח חלוקה DC PDB מק""ט לקוח 1025A690-001"</f>
        <v>לוח חלוקה DC PDB מק"ט לקוח 1025A690-001</v>
      </c>
      <c r="L4700">
        <v>1</v>
      </c>
      <c r="M4700" t="str">
        <f>"יח"</f>
        <v>יח</v>
      </c>
      <c r="N4700">
        <v>1</v>
      </c>
      <c r="O4700" t="str">
        <f>"יח"</f>
        <v>יח</v>
      </c>
      <c r="P4700" s="2">
        <v>58509</v>
      </c>
      <c r="Q4700" t="str">
        <f>"$"</f>
        <v>$</v>
      </c>
      <c r="R4700" t="str">
        <f>"הזמנה"</f>
        <v>הזמנה</v>
      </c>
      <c r="S4700">
        <v>0</v>
      </c>
      <c r="T4700" s="2">
        <v>58509</v>
      </c>
      <c r="U4700">
        <v>0</v>
      </c>
      <c r="V4700" s="2">
        <v>58509</v>
      </c>
      <c r="W4700" t="str">
        <f>"$"</f>
        <v>$</v>
      </c>
      <c r="X4700">
        <v>0</v>
      </c>
      <c r="Y4700">
        <v>0</v>
      </c>
      <c r="Z4700">
        <v>0</v>
      </c>
      <c r="AA4700" t="str">
        <f>"Y"</f>
        <v>Y</v>
      </c>
      <c r="AB4700" t="str">
        <f>"SO130000065"</f>
        <v>SO130000065</v>
      </c>
      <c r="AC4700">
        <v>13</v>
      </c>
      <c r="AD4700" s="1">
        <v>41297</v>
      </c>
      <c r="AE4700" t="str">
        <f>"SH14003982"</f>
        <v>SH14003982</v>
      </c>
      <c r="AF4700" t="str">
        <f>"משלוחים ללקוח"</f>
        <v>משלוחים ללקוח</v>
      </c>
      <c r="AG4700" s="1">
        <v>42003</v>
      </c>
      <c r="AM4700" t="str">
        <f>"10"</f>
        <v>10</v>
      </c>
      <c r="AN4700" t="str">
        <f>"500000"</f>
        <v>500000</v>
      </c>
      <c r="AO4700" t="str">
        <f>"הכנסות  מלקוחות"</f>
        <v>הכנסות  מלקוחות</v>
      </c>
      <c r="AQ4700" t="str">
        <f>"007"</f>
        <v>007</v>
      </c>
      <c r="AR4700">
        <v>0</v>
      </c>
      <c r="AS4700">
        <v>0</v>
      </c>
      <c r="AT4700">
        <v>3.8889999999999998</v>
      </c>
      <c r="AX4700" t="str">
        <f>"E000119136"</f>
        <v>E000119136</v>
      </c>
      <c r="BD4700" t="str">
        <f>"רוני דידי"</f>
        <v>רוני דידי</v>
      </c>
    </row>
    <row r="4701" spans="1:56" x14ac:dyDescent="0.3">
      <c r="A4701" s="1">
        <v>42003</v>
      </c>
      <c r="B4701" t="str">
        <f>"SI140003360"</f>
        <v>SI140003360</v>
      </c>
      <c r="C4701" t="str">
        <f>"PR14002082"</f>
        <v>PR14002082</v>
      </c>
      <c r="D4701" t="str">
        <f>"PR14002082"</f>
        <v>PR14002082</v>
      </c>
      <c r="E4701" t="str">
        <f>"Y"</f>
        <v>Y</v>
      </c>
      <c r="F4701" t="str">
        <f>"חשבוניות מרכזות"</f>
        <v>חשבוניות מרכזות</v>
      </c>
      <c r="G4701" t="str">
        <f>"700065"</f>
        <v>700065</v>
      </c>
      <c r="H4701" t="str">
        <f>"אלתא מערכות בע""מ"</f>
        <v>אלתא מערכות בע"מ</v>
      </c>
      <c r="I4701" t="str">
        <f>"10"</f>
        <v>10</v>
      </c>
      <c r="J4701" t="str">
        <f>"OP-AR00074"</f>
        <v>OP-AR00074</v>
      </c>
      <c r="K4701" t="str">
        <f>"1036H781-001 - SIL GP SERVER RACK"</f>
        <v>1036H781-001 - SIL GP SERVER RACK</v>
      </c>
      <c r="L4701">
        <v>1</v>
      </c>
      <c r="M4701" t="str">
        <f>"יח"</f>
        <v>יח</v>
      </c>
      <c r="N4701">
        <v>1</v>
      </c>
      <c r="O4701" t="str">
        <f>"יח"</f>
        <v>יח</v>
      </c>
      <c r="P4701" s="2">
        <v>7492</v>
      </c>
      <c r="Q4701" t="str">
        <f>"$"</f>
        <v>$</v>
      </c>
      <c r="R4701" t="str">
        <f>"הזמנה"</f>
        <v>הזמנה</v>
      </c>
      <c r="S4701">
        <v>0</v>
      </c>
      <c r="T4701" s="2">
        <v>7492</v>
      </c>
      <c r="U4701">
        <v>0</v>
      </c>
      <c r="V4701" s="2">
        <v>7492</v>
      </c>
      <c r="W4701" t="str">
        <f>"$"</f>
        <v>$</v>
      </c>
      <c r="X4701">
        <v>0</v>
      </c>
      <c r="Y4701">
        <v>0</v>
      </c>
      <c r="Z4701">
        <v>0</v>
      </c>
      <c r="AA4701" t="str">
        <f>"Y"</f>
        <v>Y</v>
      </c>
      <c r="AB4701" t="str">
        <f>"SO140002416"</f>
        <v>SO140002416</v>
      </c>
      <c r="AC4701">
        <v>1</v>
      </c>
      <c r="AD4701" s="1">
        <v>41914</v>
      </c>
      <c r="AM4701" t="str">
        <f>"10"</f>
        <v>10</v>
      </c>
      <c r="AN4701" t="str">
        <f>"500000"</f>
        <v>500000</v>
      </c>
      <c r="AO4701" t="str">
        <f>"הכנסות  מלקוחות"</f>
        <v>הכנסות  מלקוחות</v>
      </c>
      <c r="AQ4701" t="str">
        <f>"007"</f>
        <v>007</v>
      </c>
      <c r="AR4701">
        <v>0</v>
      </c>
      <c r="AS4701">
        <v>0</v>
      </c>
      <c r="AT4701">
        <v>3.9079999999999999</v>
      </c>
      <c r="AX4701" t="str">
        <f>"E000183531"</f>
        <v>E000183531</v>
      </c>
      <c r="BD4701" t="str">
        <f>"רוני דידי"</f>
        <v>רוני דידי</v>
      </c>
    </row>
    <row r="4702" spans="1:56" x14ac:dyDescent="0.3">
      <c r="A4702" s="1">
        <v>42003</v>
      </c>
      <c r="B4702" t="str">
        <f>"SI140003360"</f>
        <v>SI140003360</v>
      </c>
      <c r="C4702" t="str">
        <f>"PR14002082"</f>
        <v>PR14002082</v>
      </c>
      <c r="D4702" t="str">
        <f>"PR14002082"</f>
        <v>PR14002082</v>
      </c>
      <c r="E4702" t="str">
        <f>"Y"</f>
        <v>Y</v>
      </c>
      <c r="F4702" t="str">
        <f>"חשבוניות מרכזות"</f>
        <v>חשבוניות מרכזות</v>
      </c>
      <c r="G4702" t="str">
        <f>"700065"</f>
        <v>700065</v>
      </c>
      <c r="H4702" t="str">
        <f>"אלתא מערכות בע""מ"</f>
        <v>אלתא מערכות בע"מ</v>
      </c>
      <c r="I4702" t="str">
        <f>"10"</f>
        <v>10</v>
      </c>
      <c r="J4702" t="str">
        <f>"OP-AR00075"</f>
        <v>OP-AR00075</v>
      </c>
      <c r="K4702" t="str">
        <f>"1036H782-001 - SIL SGP SERVER RACK"</f>
        <v>1036H782-001 - SIL SGP SERVER RACK</v>
      </c>
      <c r="L4702">
        <v>1</v>
      </c>
      <c r="M4702" t="str">
        <f>"יח"</f>
        <v>יח</v>
      </c>
      <c r="N4702">
        <v>1</v>
      </c>
      <c r="O4702" t="str">
        <f>"יח"</f>
        <v>יח</v>
      </c>
      <c r="P4702" s="2">
        <v>6682</v>
      </c>
      <c r="Q4702" t="str">
        <f>"$"</f>
        <v>$</v>
      </c>
      <c r="R4702" t="str">
        <f>"הזמנה"</f>
        <v>הזמנה</v>
      </c>
      <c r="S4702">
        <v>0</v>
      </c>
      <c r="T4702" s="2">
        <v>6682</v>
      </c>
      <c r="U4702">
        <v>0</v>
      </c>
      <c r="V4702" s="2">
        <v>6682</v>
      </c>
      <c r="W4702" t="str">
        <f>"$"</f>
        <v>$</v>
      </c>
      <c r="X4702">
        <v>0</v>
      </c>
      <c r="Y4702">
        <v>0</v>
      </c>
      <c r="Z4702">
        <v>0</v>
      </c>
      <c r="AA4702" t="str">
        <f>"Y"</f>
        <v>Y</v>
      </c>
      <c r="AB4702" t="str">
        <f>"SO140002416"</f>
        <v>SO140002416</v>
      </c>
      <c r="AC4702">
        <v>2</v>
      </c>
      <c r="AD4702" s="1">
        <v>41914</v>
      </c>
      <c r="AM4702" t="str">
        <f>"10"</f>
        <v>10</v>
      </c>
      <c r="AN4702" t="str">
        <f>"500000"</f>
        <v>500000</v>
      </c>
      <c r="AO4702" t="str">
        <f>"הכנסות  מלקוחות"</f>
        <v>הכנסות  מלקוחות</v>
      </c>
      <c r="AQ4702" t="str">
        <f>"007"</f>
        <v>007</v>
      </c>
      <c r="AR4702">
        <v>0</v>
      </c>
      <c r="AS4702">
        <v>0</v>
      </c>
      <c r="AT4702">
        <v>3.9079999999999999</v>
      </c>
      <c r="AX4702" t="str">
        <f>"E000183531"</f>
        <v>E000183531</v>
      </c>
      <c r="BD4702" t="str">
        <f>"רוני דידי"</f>
        <v>רוני דידי</v>
      </c>
    </row>
    <row r="4703" spans="1:56" x14ac:dyDescent="0.3">
      <c r="A4703" s="1">
        <v>42003</v>
      </c>
      <c r="B4703" t="str">
        <f>"SI140003358"</f>
        <v>SI140003358</v>
      </c>
      <c r="C4703" t="str">
        <f>"PR14002082"</f>
        <v>PR14002082</v>
      </c>
      <c r="E4703" t="str">
        <f>"Y"</f>
        <v>Y</v>
      </c>
      <c r="F4703" t="str">
        <f>"חשבוניות מרכזות"</f>
        <v>חשבוניות מרכזות</v>
      </c>
      <c r="G4703" t="str">
        <f>"700065"</f>
        <v>700065</v>
      </c>
      <c r="H4703" t="str">
        <f>"אלתא מערכות בע""מ"</f>
        <v>אלתא מערכות בע"מ</v>
      </c>
      <c r="I4703" t="str">
        <f>"10"</f>
        <v>10</v>
      </c>
      <c r="J4703" t="str">
        <f>"OP-AR00074"</f>
        <v>OP-AR00074</v>
      </c>
      <c r="K4703" t="str">
        <f>"1036H781-001 - SIL GP SERVER RACK"</f>
        <v>1036H781-001 - SIL GP SERVER RACK</v>
      </c>
      <c r="L4703">
        <v>-1</v>
      </c>
      <c r="M4703" t="str">
        <f>"יח"</f>
        <v>יח</v>
      </c>
      <c r="N4703">
        <v>-1</v>
      </c>
      <c r="O4703" t="str">
        <f>"יח"</f>
        <v>יח</v>
      </c>
      <c r="P4703" s="2">
        <v>7492</v>
      </c>
      <c r="Q4703" t="str">
        <f>"$"</f>
        <v>$</v>
      </c>
      <c r="R4703" t="str">
        <f>"ידני"</f>
        <v>ידני</v>
      </c>
      <c r="S4703">
        <v>0</v>
      </c>
      <c r="T4703" s="2">
        <v>-7492</v>
      </c>
      <c r="U4703">
        <v>0</v>
      </c>
      <c r="V4703" s="2">
        <v>-7492</v>
      </c>
      <c r="W4703" t="str">
        <f>"$"</f>
        <v>$</v>
      </c>
      <c r="X4703">
        <v>0</v>
      </c>
      <c r="Y4703">
        <v>0</v>
      </c>
      <c r="Z4703">
        <v>0</v>
      </c>
      <c r="AA4703" t="str">
        <f>"Y"</f>
        <v>Y</v>
      </c>
      <c r="AC4703">
        <v>0</v>
      </c>
      <c r="AM4703" t="str">
        <f>"10"</f>
        <v>10</v>
      </c>
      <c r="AN4703" t="str">
        <f>"500000"</f>
        <v>500000</v>
      </c>
      <c r="AO4703" t="str">
        <f>"הכנסות  מלקוחות"</f>
        <v>הכנסות  מלקוחות</v>
      </c>
      <c r="AQ4703" t="str">
        <f>"007"</f>
        <v>007</v>
      </c>
      <c r="AR4703">
        <v>0</v>
      </c>
      <c r="AS4703">
        <v>0</v>
      </c>
      <c r="AT4703">
        <v>3.9079999999999999</v>
      </c>
      <c r="BB4703" t="str">
        <f>"Y"</f>
        <v>Y</v>
      </c>
      <c r="BD4703" t="str">
        <f>"רוני דידי"</f>
        <v>רוני דידי</v>
      </c>
    </row>
    <row r="4704" spans="1:56" x14ac:dyDescent="0.3">
      <c r="A4704" s="1">
        <v>42003</v>
      </c>
      <c r="B4704" t="str">
        <f>"SI140003358"</f>
        <v>SI140003358</v>
      </c>
      <c r="C4704" t="str">
        <f>"PR14002082"</f>
        <v>PR14002082</v>
      </c>
      <c r="E4704" t="str">
        <f>"Y"</f>
        <v>Y</v>
      </c>
      <c r="F4704" t="str">
        <f>"חשבוניות מרכזות"</f>
        <v>חשבוניות מרכזות</v>
      </c>
      <c r="G4704" t="str">
        <f>"700065"</f>
        <v>700065</v>
      </c>
      <c r="H4704" t="str">
        <f>"אלתא מערכות בע""מ"</f>
        <v>אלתא מערכות בע"מ</v>
      </c>
      <c r="I4704" t="str">
        <f>"10"</f>
        <v>10</v>
      </c>
      <c r="J4704" t="str">
        <f>"OP-AR00075"</f>
        <v>OP-AR00075</v>
      </c>
      <c r="K4704" t="str">
        <f>"1036H782-001 - SIL SGP SERVER RACK"</f>
        <v>1036H782-001 - SIL SGP SERVER RACK</v>
      </c>
      <c r="L4704">
        <v>-1</v>
      </c>
      <c r="M4704" t="str">
        <f>"יח"</f>
        <v>יח</v>
      </c>
      <c r="N4704">
        <v>-1</v>
      </c>
      <c r="O4704" t="str">
        <f>"יח"</f>
        <v>יח</v>
      </c>
      <c r="P4704" s="2">
        <v>6682</v>
      </c>
      <c r="Q4704" t="str">
        <f>"$"</f>
        <v>$</v>
      </c>
      <c r="R4704" t="str">
        <f>"ידני"</f>
        <v>ידני</v>
      </c>
      <c r="S4704">
        <v>0</v>
      </c>
      <c r="T4704" s="2">
        <v>-6682</v>
      </c>
      <c r="U4704">
        <v>0</v>
      </c>
      <c r="V4704" s="2">
        <v>-6682</v>
      </c>
      <c r="W4704" t="str">
        <f>"$"</f>
        <v>$</v>
      </c>
      <c r="X4704">
        <v>0</v>
      </c>
      <c r="Y4704">
        <v>0</v>
      </c>
      <c r="Z4704">
        <v>0</v>
      </c>
      <c r="AA4704" t="str">
        <f>"Y"</f>
        <v>Y</v>
      </c>
      <c r="AC4704">
        <v>0</v>
      </c>
      <c r="AM4704" t="str">
        <f>"10"</f>
        <v>10</v>
      </c>
      <c r="AN4704" t="str">
        <f>"500000"</f>
        <v>500000</v>
      </c>
      <c r="AO4704" t="str">
        <f>"הכנסות  מלקוחות"</f>
        <v>הכנסות  מלקוחות</v>
      </c>
      <c r="AQ4704" t="str">
        <f>"007"</f>
        <v>007</v>
      </c>
      <c r="AR4704">
        <v>0</v>
      </c>
      <c r="AS4704">
        <v>0</v>
      </c>
      <c r="AT4704">
        <v>3.9079999999999999</v>
      </c>
      <c r="BB4704" t="str">
        <f>"Y"</f>
        <v>Y</v>
      </c>
      <c r="BD4704" t="str">
        <f>"רוני דידי"</f>
        <v>רוני דידי</v>
      </c>
    </row>
    <row r="4705" spans="1:56" x14ac:dyDescent="0.3">
      <c r="A4705" s="1">
        <v>42003</v>
      </c>
      <c r="B4705" t="str">
        <f>"SI140003351"</f>
        <v>SI140003351</v>
      </c>
      <c r="C4705" t="str">
        <f>"PR14002082"</f>
        <v>PR14002082</v>
      </c>
      <c r="E4705" t="str">
        <f>"Y"</f>
        <v>Y</v>
      </c>
      <c r="F4705" t="str">
        <f>"חשבוניות מרכזות"</f>
        <v>חשבוניות מרכזות</v>
      </c>
      <c r="G4705" t="str">
        <f>"700065"</f>
        <v>700065</v>
      </c>
      <c r="H4705" t="str">
        <f>"אלתא מערכות בע""מ"</f>
        <v>אלתא מערכות בע"מ</v>
      </c>
      <c r="I4705" t="str">
        <f>"10"</f>
        <v>10</v>
      </c>
      <c r="J4705" t="str">
        <f>"OP-AR00074"</f>
        <v>OP-AR00074</v>
      </c>
      <c r="K4705" t="str">
        <f>"1036H781-001 - SIL GP SERVER RACK"</f>
        <v>1036H781-001 - SIL GP SERVER RACK</v>
      </c>
      <c r="L4705">
        <v>1</v>
      </c>
      <c r="M4705" t="str">
        <f>"יח"</f>
        <v>יח</v>
      </c>
      <c r="N4705">
        <v>1</v>
      </c>
      <c r="O4705" t="str">
        <f>"יח"</f>
        <v>יח</v>
      </c>
      <c r="P4705" s="2">
        <v>7492</v>
      </c>
      <c r="Q4705" t="str">
        <f>"$"</f>
        <v>$</v>
      </c>
      <c r="R4705" t="str">
        <f>"ידני"</f>
        <v>ידני</v>
      </c>
      <c r="S4705">
        <v>0</v>
      </c>
      <c r="T4705" s="2">
        <v>7492</v>
      </c>
      <c r="U4705">
        <v>0</v>
      </c>
      <c r="V4705" s="2">
        <v>7492</v>
      </c>
      <c r="W4705" t="str">
        <f>"$"</f>
        <v>$</v>
      </c>
      <c r="X4705">
        <v>0</v>
      </c>
      <c r="Y4705">
        <v>0</v>
      </c>
      <c r="Z4705">
        <v>0</v>
      </c>
      <c r="AA4705" t="str">
        <f>"Y"</f>
        <v>Y</v>
      </c>
      <c r="AC4705">
        <v>0</v>
      </c>
      <c r="AM4705" t="str">
        <f>"10"</f>
        <v>10</v>
      </c>
      <c r="AN4705" t="str">
        <f>"500000"</f>
        <v>500000</v>
      </c>
      <c r="AO4705" t="str">
        <f>"הכנסות  מלקוחות"</f>
        <v>הכנסות  מלקוחות</v>
      </c>
      <c r="AQ4705" t="str">
        <f>"007"</f>
        <v>007</v>
      </c>
      <c r="AR4705">
        <v>0</v>
      </c>
      <c r="AS4705">
        <v>0</v>
      </c>
      <c r="AT4705">
        <v>3.9079999999999999</v>
      </c>
      <c r="BB4705" t="str">
        <f>"Y"</f>
        <v>Y</v>
      </c>
      <c r="BD4705" t="str">
        <f>"רוני דידי"</f>
        <v>רוני דידי</v>
      </c>
    </row>
    <row r="4706" spans="1:56" x14ac:dyDescent="0.3">
      <c r="A4706" s="1">
        <v>42003</v>
      </c>
      <c r="B4706" t="str">
        <f>"SI140003351"</f>
        <v>SI140003351</v>
      </c>
      <c r="C4706" t="str">
        <f>"PR14002082"</f>
        <v>PR14002082</v>
      </c>
      <c r="E4706" t="str">
        <f>"Y"</f>
        <v>Y</v>
      </c>
      <c r="F4706" t="str">
        <f>"חשבוניות מרכזות"</f>
        <v>חשבוניות מרכזות</v>
      </c>
      <c r="G4706" t="str">
        <f>"700065"</f>
        <v>700065</v>
      </c>
      <c r="H4706" t="str">
        <f>"אלתא מערכות בע""מ"</f>
        <v>אלתא מערכות בע"מ</v>
      </c>
      <c r="I4706" t="str">
        <f>"10"</f>
        <v>10</v>
      </c>
      <c r="J4706" t="str">
        <f>"OP-AR00075"</f>
        <v>OP-AR00075</v>
      </c>
      <c r="K4706" t="str">
        <f>"1036H782-001 - SIL SGP SERVER RACK"</f>
        <v>1036H782-001 - SIL SGP SERVER RACK</v>
      </c>
      <c r="L4706">
        <v>1</v>
      </c>
      <c r="M4706" t="str">
        <f>"יח"</f>
        <v>יח</v>
      </c>
      <c r="N4706">
        <v>1</v>
      </c>
      <c r="O4706" t="str">
        <f>"יח"</f>
        <v>יח</v>
      </c>
      <c r="P4706" s="2">
        <v>6682</v>
      </c>
      <c r="Q4706" t="str">
        <f>"$"</f>
        <v>$</v>
      </c>
      <c r="R4706" t="str">
        <f>"ידני"</f>
        <v>ידני</v>
      </c>
      <c r="S4706">
        <v>0</v>
      </c>
      <c r="T4706" s="2">
        <v>6682</v>
      </c>
      <c r="U4706">
        <v>0</v>
      </c>
      <c r="V4706" s="2">
        <v>6682</v>
      </c>
      <c r="W4706" t="str">
        <f>"$"</f>
        <v>$</v>
      </c>
      <c r="X4706">
        <v>0</v>
      </c>
      <c r="Y4706">
        <v>0</v>
      </c>
      <c r="Z4706">
        <v>0</v>
      </c>
      <c r="AA4706" t="str">
        <f>"Y"</f>
        <v>Y</v>
      </c>
      <c r="AC4706">
        <v>0</v>
      </c>
      <c r="AM4706" t="str">
        <f>"10"</f>
        <v>10</v>
      </c>
      <c r="AN4706" t="str">
        <f>"500000"</f>
        <v>500000</v>
      </c>
      <c r="AO4706" t="str">
        <f>"הכנסות  מלקוחות"</f>
        <v>הכנסות  מלקוחות</v>
      </c>
      <c r="AQ4706" t="str">
        <f>"007"</f>
        <v>007</v>
      </c>
      <c r="AR4706">
        <v>0</v>
      </c>
      <c r="AS4706">
        <v>0</v>
      </c>
      <c r="AT4706">
        <v>3.9079999999999999</v>
      </c>
      <c r="BB4706" t="str">
        <f>"Y"</f>
        <v>Y</v>
      </c>
      <c r="BD4706" t="str">
        <f>"רוני דידי"</f>
        <v>רוני דידי</v>
      </c>
    </row>
    <row r="4707" spans="1:56" x14ac:dyDescent="0.3">
      <c r="A4707" s="1">
        <v>42002</v>
      </c>
      <c r="B4707" t="str">
        <f>"SI140003310"</f>
        <v>SI140003310</v>
      </c>
      <c r="C4707" t="str">
        <f>"PR12000060"</f>
        <v>PR12000060</v>
      </c>
      <c r="E4707" t="str">
        <f>"Y"</f>
        <v>Y</v>
      </c>
      <c r="F4707" t="str">
        <f>"חשבוניות מרכזות"</f>
        <v>חשבוניות מרכזות</v>
      </c>
      <c r="G4707" t="str">
        <f>"700065"</f>
        <v>700065</v>
      </c>
      <c r="H4707" t="str">
        <f>"אלתא מערכות בע""מ"</f>
        <v>אלתא מערכות בע"מ</v>
      </c>
      <c r="I4707" t="str">
        <f>"10"</f>
        <v>10</v>
      </c>
      <c r="J4707" t="str">
        <f>"GN9900001"</f>
        <v>GN9900001</v>
      </c>
      <c r="K4707" t="str">
        <f>"NRE- עלויות פיתוח"</f>
        <v>NRE- עלויות פיתוח</v>
      </c>
      <c r="L4707">
        <v>-0.34</v>
      </c>
      <c r="M4707" t="str">
        <f>"חל"</f>
        <v>חל</v>
      </c>
      <c r="N4707">
        <v>-0.34</v>
      </c>
      <c r="O4707" t="str">
        <f>"חל"</f>
        <v>חל</v>
      </c>
      <c r="P4707" s="2">
        <v>24180</v>
      </c>
      <c r="Q4707" t="str">
        <f>"$"</f>
        <v>$</v>
      </c>
      <c r="R4707" t="str">
        <f>"הזמנה"</f>
        <v>הזמנה</v>
      </c>
      <c r="S4707">
        <v>0</v>
      </c>
      <c r="T4707" s="2">
        <v>-8221.2000000000007</v>
      </c>
      <c r="U4707">
        <v>0</v>
      </c>
      <c r="V4707" s="2">
        <v>-8221.2000000000007</v>
      </c>
      <c r="W4707" t="str">
        <f>"$"</f>
        <v>$</v>
      </c>
      <c r="X4707">
        <v>0</v>
      </c>
      <c r="Y4707">
        <v>0</v>
      </c>
      <c r="Z4707">
        <v>0</v>
      </c>
      <c r="AA4707" t="str">
        <f>"Y"</f>
        <v>Y</v>
      </c>
      <c r="AC4707">
        <v>0</v>
      </c>
      <c r="AM4707" t="str">
        <f>"10"</f>
        <v>10</v>
      </c>
      <c r="AN4707" t="str">
        <f>"500000"</f>
        <v>500000</v>
      </c>
      <c r="AO4707" t="str">
        <f>"הכנסות  מלקוחות"</f>
        <v>הכנסות  מלקוחות</v>
      </c>
      <c r="AQ4707" t="str">
        <f>"007"</f>
        <v>007</v>
      </c>
      <c r="AR4707">
        <v>0</v>
      </c>
      <c r="AS4707">
        <v>0</v>
      </c>
      <c r="AT4707">
        <v>3.9089999999999998</v>
      </c>
      <c r="BB4707" t="str">
        <f>"Y"</f>
        <v>Y</v>
      </c>
      <c r="BD4707" t="str">
        <f>"רוני דידי"</f>
        <v>רוני דידי</v>
      </c>
    </row>
    <row r="4708" spans="1:56" x14ac:dyDescent="0.3">
      <c r="A4708" s="1">
        <v>42002</v>
      </c>
      <c r="B4708" t="str">
        <f>"SI140003306"</f>
        <v>SI140003306</v>
      </c>
      <c r="C4708" t="str">
        <f>"PR12000060"</f>
        <v>PR12000060</v>
      </c>
      <c r="E4708" t="str">
        <f>"Y"</f>
        <v>Y</v>
      </c>
      <c r="F4708" t="str">
        <f>"חשבוניות מרכזות"</f>
        <v>חשבוניות מרכזות</v>
      </c>
      <c r="G4708" t="str">
        <f>"700065"</f>
        <v>700065</v>
      </c>
      <c r="H4708" t="str">
        <f>"אלתא מערכות בע""מ"</f>
        <v>אלתא מערכות בע"מ</v>
      </c>
      <c r="I4708" t="str">
        <f>"10"</f>
        <v>10</v>
      </c>
      <c r="J4708" t="str">
        <f>"GN9900001"</f>
        <v>GN9900001</v>
      </c>
      <c r="K4708" t="str">
        <f>"NRE- עלויות פיתוח"</f>
        <v>NRE- עלויות פיתוח</v>
      </c>
      <c r="L4708">
        <v>0.34</v>
      </c>
      <c r="M4708" t="str">
        <f>"חל"</f>
        <v>חל</v>
      </c>
      <c r="N4708">
        <v>0.34</v>
      </c>
      <c r="O4708" t="str">
        <f>"חל"</f>
        <v>חל</v>
      </c>
      <c r="P4708" s="2">
        <v>24180</v>
      </c>
      <c r="Q4708" t="str">
        <f>"$"</f>
        <v>$</v>
      </c>
      <c r="R4708" t="str">
        <f>"הזמנה"</f>
        <v>הזמנה</v>
      </c>
      <c r="S4708">
        <v>0</v>
      </c>
      <c r="T4708" s="2">
        <v>8221.2000000000007</v>
      </c>
      <c r="U4708">
        <v>0</v>
      </c>
      <c r="V4708" s="2">
        <v>8221.2000000000007</v>
      </c>
      <c r="W4708" t="str">
        <f>"$"</f>
        <v>$</v>
      </c>
      <c r="X4708">
        <v>0</v>
      </c>
      <c r="Y4708">
        <v>0</v>
      </c>
      <c r="Z4708">
        <v>0</v>
      </c>
      <c r="AA4708" t="str">
        <f>"Y"</f>
        <v>Y</v>
      </c>
      <c r="AC4708">
        <v>0</v>
      </c>
      <c r="AM4708" t="str">
        <f>"10"</f>
        <v>10</v>
      </c>
      <c r="AN4708" t="str">
        <f>"500000"</f>
        <v>500000</v>
      </c>
      <c r="AO4708" t="str">
        <f>"הכנסות  מלקוחות"</f>
        <v>הכנסות  מלקוחות</v>
      </c>
      <c r="AQ4708" t="str">
        <f>"007"</f>
        <v>007</v>
      </c>
      <c r="AR4708">
        <v>0</v>
      </c>
      <c r="AS4708">
        <v>0</v>
      </c>
      <c r="AT4708">
        <v>3.9089999999999998</v>
      </c>
      <c r="BB4708" t="str">
        <f>"Y"</f>
        <v>Y</v>
      </c>
      <c r="BD4708" t="str">
        <f>"רוני דידי"</f>
        <v>רוני דידי</v>
      </c>
    </row>
    <row r="4709" spans="1:56" x14ac:dyDescent="0.3">
      <c r="A4709" s="1">
        <v>42001</v>
      </c>
      <c r="B4709" t="str">
        <f>"SI140003317"</f>
        <v>SI140003317</v>
      </c>
      <c r="C4709" t="str">
        <f>"PR14001981"</f>
        <v>PR14001981</v>
      </c>
      <c r="D4709" t="str">
        <f>"PR14001981"</f>
        <v>PR14001981</v>
      </c>
      <c r="E4709" t="str">
        <f>"Y"</f>
        <v>Y</v>
      </c>
      <c r="F4709" t="str">
        <f>"חשבוניות מרכזות"</f>
        <v>חשבוניות מרכזות</v>
      </c>
      <c r="G4709" t="str">
        <f>"700065"</f>
        <v>700065</v>
      </c>
      <c r="H4709" t="str">
        <f>"אלתא מערכות בע""מ"</f>
        <v>אלתא מערכות בע"מ</v>
      </c>
      <c r="I4709" t="str">
        <f>"10"</f>
        <v>10</v>
      </c>
      <c r="J4709" t="str">
        <f>"PA1000190"</f>
        <v>PA1000190</v>
      </c>
      <c r="K4709" t="str">
        <f>"1036H642-001 - QG SGP ANTENNA RACK"</f>
        <v>1036H642-001 - QG SGP ANTENNA RACK</v>
      </c>
      <c r="L4709">
        <v>1</v>
      </c>
      <c r="M4709" t="str">
        <f>"יח"</f>
        <v>יח</v>
      </c>
      <c r="N4709">
        <v>1</v>
      </c>
      <c r="O4709" t="str">
        <f>"יח"</f>
        <v>יח</v>
      </c>
      <c r="P4709" s="2">
        <v>3863.7</v>
      </c>
      <c r="Q4709" t="str">
        <f>"$"</f>
        <v>$</v>
      </c>
      <c r="R4709" t="str">
        <f>"הזמנה"</f>
        <v>הזמנה</v>
      </c>
      <c r="S4709">
        <v>0</v>
      </c>
      <c r="T4709" s="2">
        <v>3863.7</v>
      </c>
      <c r="U4709">
        <v>0</v>
      </c>
      <c r="V4709" s="2">
        <v>3863.7</v>
      </c>
      <c r="W4709" t="str">
        <f>"$"</f>
        <v>$</v>
      </c>
      <c r="X4709">
        <v>0</v>
      </c>
      <c r="Y4709">
        <v>0</v>
      </c>
      <c r="Z4709">
        <v>0</v>
      </c>
      <c r="AA4709" t="str">
        <f>"Y"</f>
        <v>Y</v>
      </c>
      <c r="AB4709" t="str">
        <f>"SO140002310"</f>
        <v>SO140002310</v>
      </c>
      <c r="AC4709">
        <v>1</v>
      </c>
      <c r="AD4709" s="1">
        <v>41889</v>
      </c>
      <c r="AE4709" t="str">
        <f>"SH14003955"</f>
        <v>SH14003955</v>
      </c>
      <c r="AF4709" t="str">
        <f>"משלוחים ללקוח"</f>
        <v>משלוחים ללקוח</v>
      </c>
      <c r="AG4709" s="1">
        <v>41998</v>
      </c>
      <c r="AM4709" t="str">
        <f>"10"</f>
        <v>10</v>
      </c>
      <c r="AN4709" t="str">
        <f>"500000"</f>
        <v>500000</v>
      </c>
      <c r="AO4709" t="str">
        <f>"הכנסות  מלקוחות"</f>
        <v>הכנסות  מלקוחות</v>
      </c>
      <c r="AQ4709" t="str">
        <f>"007"</f>
        <v>007</v>
      </c>
      <c r="AR4709">
        <v>0</v>
      </c>
      <c r="AS4709">
        <v>0</v>
      </c>
      <c r="AT4709">
        <v>3.9089999999999998</v>
      </c>
      <c r="AX4709" t="str">
        <f>"E000180472"</f>
        <v>E000180472</v>
      </c>
      <c r="BD4709" t="str">
        <f>"רוני דידי"</f>
        <v>רוני דידי</v>
      </c>
    </row>
    <row r="4710" spans="1:56" x14ac:dyDescent="0.3">
      <c r="A4710" s="1">
        <v>42001</v>
      </c>
      <c r="B4710" t="str">
        <f>"SI140003316"</f>
        <v>SI140003316</v>
      </c>
      <c r="C4710" t="str">
        <f>"PR14001934"</f>
        <v>PR14001934</v>
      </c>
      <c r="D4710" t="str">
        <f>"PR14001934"</f>
        <v>PR14001934</v>
      </c>
      <c r="E4710" t="str">
        <f>"Y"</f>
        <v>Y</v>
      </c>
      <c r="F4710" t="str">
        <f>"חשבוניות מרכזות"</f>
        <v>חשבוניות מרכזות</v>
      </c>
      <c r="G4710" t="str">
        <f>"700065"</f>
        <v>700065</v>
      </c>
      <c r="H4710" t="str">
        <f>"אלתא מערכות בע""מ"</f>
        <v>אלתא מערכות בע"מ</v>
      </c>
      <c r="I4710" t="str">
        <f>"10"</f>
        <v>10</v>
      </c>
      <c r="J4710" t="str">
        <f>"OP-AR00061"</f>
        <v>OP-AR00061</v>
      </c>
      <c r="K4710" t="str">
        <f>"1036H615-001 - QG GP SERVER RACK SOCD"</f>
        <v>1036H615-001 - QG GP SERVER RACK SOCD</v>
      </c>
      <c r="L4710">
        <v>1</v>
      </c>
      <c r="M4710" t="str">
        <f>"יח"</f>
        <v>יח</v>
      </c>
      <c r="N4710">
        <v>1</v>
      </c>
      <c r="O4710" t="str">
        <f>"יח"</f>
        <v>יח</v>
      </c>
      <c r="P4710" s="2">
        <v>7300.26</v>
      </c>
      <c r="Q4710" t="str">
        <f>"$"</f>
        <v>$</v>
      </c>
      <c r="R4710" t="str">
        <f>"הזמנה"</f>
        <v>הזמנה</v>
      </c>
      <c r="S4710">
        <v>0</v>
      </c>
      <c r="T4710" s="2">
        <v>7300.26</v>
      </c>
      <c r="U4710">
        <v>0</v>
      </c>
      <c r="V4710" s="2">
        <v>7300.26</v>
      </c>
      <c r="W4710" t="str">
        <f>"$"</f>
        <v>$</v>
      </c>
      <c r="X4710">
        <v>0</v>
      </c>
      <c r="Y4710">
        <v>0</v>
      </c>
      <c r="Z4710">
        <v>0</v>
      </c>
      <c r="AA4710" t="str">
        <f>"Y"</f>
        <v>Y</v>
      </c>
      <c r="AB4710" t="str">
        <f>"SO140002264"</f>
        <v>SO140002264</v>
      </c>
      <c r="AC4710">
        <v>1</v>
      </c>
      <c r="AD4710" s="1">
        <v>41878</v>
      </c>
      <c r="AE4710" t="str">
        <f>"SH14003954"</f>
        <v>SH14003954</v>
      </c>
      <c r="AF4710" t="str">
        <f>"משלוחים ללקוח"</f>
        <v>משלוחים ללקוח</v>
      </c>
      <c r="AG4710" s="1">
        <v>41998</v>
      </c>
      <c r="AM4710" t="str">
        <f>"10"</f>
        <v>10</v>
      </c>
      <c r="AN4710" t="str">
        <f>"500000"</f>
        <v>500000</v>
      </c>
      <c r="AO4710" t="str">
        <f>"הכנסות  מלקוחות"</f>
        <v>הכנסות  מלקוחות</v>
      </c>
      <c r="AQ4710" t="str">
        <f>"007"</f>
        <v>007</v>
      </c>
      <c r="AR4710">
        <v>0</v>
      </c>
      <c r="AS4710">
        <v>0</v>
      </c>
      <c r="AT4710">
        <v>3.9089999999999998</v>
      </c>
      <c r="AX4710" t="str">
        <f>"E000179251"</f>
        <v>E000179251</v>
      </c>
      <c r="BD4710" t="str">
        <f>"רוני דידי"</f>
        <v>רוני דידי</v>
      </c>
    </row>
    <row r="4711" spans="1:56" x14ac:dyDescent="0.3">
      <c r="A4711" s="1">
        <v>42001</v>
      </c>
      <c r="B4711" t="str">
        <f>"SI140003316"</f>
        <v>SI140003316</v>
      </c>
      <c r="C4711" t="str">
        <f>"PR14001934"</f>
        <v>PR14001934</v>
      </c>
      <c r="D4711" t="str">
        <f>"PR14001934"</f>
        <v>PR14001934</v>
      </c>
      <c r="E4711" t="str">
        <f>"Y"</f>
        <v>Y</v>
      </c>
      <c r="F4711" t="str">
        <f>"חשבוניות מרכזות"</f>
        <v>חשבוניות מרכזות</v>
      </c>
      <c r="G4711" t="str">
        <f>"700065"</f>
        <v>700065</v>
      </c>
      <c r="H4711" t="str">
        <f>"אלתא מערכות בע""מ"</f>
        <v>אלתא מערכות בע"מ</v>
      </c>
      <c r="I4711" t="str">
        <f>"10"</f>
        <v>10</v>
      </c>
      <c r="J4711" t="str">
        <f>"OP-AR00065"</f>
        <v>OP-AR00065</v>
      </c>
      <c r="K4711" t="str">
        <f>"1036H621-001 - QG GP SIGNAL PROC. RACK"</f>
        <v>1036H621-001 - QG GP SIGNAL PROC. RACK</v>
      </c>
      <c r="L4711">
        <v>1</v>
      </c>
      <c r="M4711" t="str">
        <f>"יח"</f>
        <v>יח</v>
      </c>
      <c r="N4711">
        <v>1</v>
      </c>
      <c r="O4711" t="str">
        <f>"יח"</f>
        <v>יח</v>
      </c>
      <c r="P4711" s="2">
        <v>6400.47</v>
      </c>
      <c r="Q4711" t="str">
        <f>"$"</f>
        <v>$</v>
      </c>
      <c r="R4711" t="str">
        <f>"הזמנה"</f>
        <v>הזמנה</v>
      </c>
      <c r="S4711">
        <v>0</v>
      </c>
      <c r="T4711" s="2">
        <v>6400.47</v>
      </c>
      <c r="U4711">
        <v>0</v>
      </c>
      <c r="V4711" s="2">
        <v>6400.47</v>
      </c>
      <c r="W4711" t="str">
        <f>"$"</f>
        <v>$</v>
      </c>
      <c r="X4711">
        <v>0</v>
      </c>
      <c r="Y4711">
        <v>0</v>
      </c>
      <c r="Z4711">
        <v>0</v>
      </c>
      <c r="AA4711" t="str">
        <f>"Y"</f>
        <v>Y</v>
      </c>
      <c r="AB4711" t="str">
        <f>"SO140002264"</f>
        <v>SO140002264</v>
      </c>
      <c r="AC4711">
        <v>2</v>
      </c>
      <c r="AD4711" s="1">
        <v>41878</v>
      </c>
      <c r="AE4711" t="str">
        <f>"SH14003954"</f>
        <v>SH14003954</v>
      </c>
      <c r="AF4711" t="str">
        <f>"משלוחים ללקוח"</f>
        <v>משלוחים ללקוח</v>
      </c>
      <c r="AG4711" s="1">
        <v>41998</v>
      </c>
      <c r="AM4711" t="str">
        <f>"10"</f>
        <v>10</v>
      </c>
      <c r="AN4711" t="str">
        <f>"500000"</f>
        <v>500000</v>
      </c>
      <c r="AO4711" t="str">
        <f>"הכנסות  מלקוחות"</f>
        <v>הכנסות  מלקוחות</v>
      </c>
      <c r="AQ4711" t="str">
        <f>"007"</f>
        <v>007</v>
      </c>
      <c r="AR4711">
        <v>0</v>
      </c>
      <c r="AS4711">
        <v>0</v>
      </c>
      <c r="AT4711">
        <v>3.9089999999999998</v>
      </c>
      <c r="AX4711" t="str">
        <f>"E000179251"</f>
        <v>E000179251</v>
      </c>
      <c r="BD4711" t="str">
        <f>"רוני דידי"</f>
        <v>רוני דידי</v>
      </c>
    </row>
    <row r="4712" spans="1:56" x14ac:dyDescent="0.3">
      <c r="A4712" s="1">
        <v>42001</v>
      </c>
      <c r="B4712" t="str">
        <f>"SI140003316"</f>
        <v>SI140003316</v>
      </c>
      <c r="C4712" t="str">
        <f>"PR14001934"</f>
        <v>PR14001934</v>
      </c>
      <c r="D4712" t="str">
        <f>"PR14001934"</f>
        <v>PR14001934</v>
      </c>
      <c r="E4712" t="str">
        <f>"Y"</f>
        <v>Y</v>
      </c>
      <c r="F4712" t="str">
        <f>"חשבוניות מרכזות"</f>
        <v>חשבוניות מרכזות</v>
      </c>
      <c r="G4712" t="str">
        <f>"700065"</f>
        <v>700065</v>
      </c>
      <c r="H4712" t="str">
        <f>"אלתא מערכות בע""מ"</f>
        <v>אלתא מערכות בע"מ</v>
      </c>
      <c r="I4712" t="str">
        <f>"10"</f>
        <v>10</v>
      </c>
      <c r="J4712" t="str">
        <f>"OP-AR00066"</f>
        <v>OP-AR00066</v>
      </c>
      <c r="K4712" t="str">
        <f>"1036H631-001 - QG SGP SERVER RACK"</f>
        <v>1036H631-001 - QG SGP SERVER RACK</v>
      </c>
      <c r="L4712">
        <v>1</v>
      </c>
      <c r="M4712" t="str">
        <f>"יח"</f>
        <v>יח</v>
      </c>
      <c r="N4712">
        <v>1</v>
      </c>
      <c r="O4712" t="str">
        <f>"יח"</f>
        <v>יח</v>
      </c>
      <c r="P4712" s="2">
        <v>7200.34</v>
      </c>
      <c r="Q4712" t="str">
        <f>"$"</f>
        <v>$</v>
      </c>
      <c r="R4712" t="str">
        <f>"הזמנה"</f>
        <v>הזמנה</v>
      </c>
      <c r="S4712">
        <v>0</v>
      </c>
      <c r="T4712" s="2">
        <v>7200.34</v>
      </c>
      <c r="U4712">
        <v>0</v>
      </c>
      <c r="V4712" s="2">
        <v>7200.34</v>
      </c>
      <c r="W4712" t="str">
        <f>"$"</f>
        <v>$</v>
      </c>
      <c r="X4712">
        <v>0</v>
      </c>
      <c r="Y4712">
        <v>0</v>
      </c>
      <c r="Z4712">
        <v>0</v>
      </c>
      <c r="AA4712" t="str">
        <f>"Y"</f>
        <v>Y</v>
      </c>
      <c r="AB4712" t="str">
        <f>"SO140002264"</f>
        <v>SO140002264</v>
      </c>
      <c r="AC4712">
        <v>3</v>
      </c>
      <c r="AD4712" s="1">
        <v>41878</v>
      </c>
      <c r="AE4712" t="str">
        <f>"SH14003954"</f>
        <v>SH14003954</v>
      </c>
      <c r="AF4712" t="str">
        <f>"משלוחים ללקוח"</f>
        <v>משלוחים ללקוח</v>
      </c>
      <c r="AG4712" s="1">
        <v>41998</v>
      </c>
      <c r="AM4712" t="str">
        <f>"10"</f>
        <v>10</v>
      </c>
      <c r="AN4712" t="str">
        <f>"500000"</f>
        <v>500000</v>
      </c>
      <c r="AO4712" t="str">
        <f>"הכנסות  מלקוחות"</f>
        <v>הכנסות  מלקוחות</v>
      </c>
      <c r="AQ4712" t="str">
        <f>"007"</f>
        <v>007</v>
      </c>
      <c r="AR4712">
        <v>0</v>
      </c>
      <c r="AS4712">
        <v>0</v>
      </c>
      <c r="AT4712">
        <v>3.9089999999999998</v>
      </c>
      <c r="AX4712" t="str">
        <f>"E000179251"</f>
        <v>E000179251</v>
      </c>
      <c r="BD4712" t="str">
        <f>"רוני דידי"</f>
        <v>רוני דידי</v>
      </c>
    </row>
    <row r="4713" spans="1:56" x14ac:dyDescent="0.3">
      <c r="A4713" s="1">
        <v>42001</v>
      </c>
      <c r="B4713" t="str">
        <f>"SI140003316"</f>
        <v>SI140003316</v>
      </c>
      <c r="C4713" t="str">
        <f>"PR14001934"</f>
        <v>PR14001934</v>
      </c>
      <c r="D4713" t="str">
        <f>"PR14001934"</f>
        <v>PR14001934</v>
      </c>
      <c r="E4713" t="str">
        <f>"Y"</f>
        <v>Y</v>
      </c>
      <c r="F4713" t="str">
        <f>"חשבוניות מרכזות"</f>
        <v>חשבוניות מרכזות</v>
      </c>
      <c r="G4713" t="str">
        <f>"700065"</f>
        <v>700065</v>
      </c>
      <c r="H4713" t="str">
        <f>"אלתא מערכות בע""מ"</f>
        <v>אלתא מערכות בע"מ</v>
      </c>
      <c r="I4713" t="str">
        <f>"10"</f>
        <v>10</v>
      </c>
      <c r="J4713" t="str">
        <f>"OP-AR00067"</f>
        <v>OP-AR00067</v>
      </c>
      <c r="K4713" t="str">
        <f>"1036H641-001 - GQ SGP SIGNAL PROC. RACK"</f>
        <v>1036H641-001 - GQ SGP SIGNAL PROC. RACK</v>
      </c>
      <c r="L4713">
        <v>1</v>
      </c>
      <c r="M4713" t="str">
        <f>"יח"</f>
        <v>יח</v>
      </c>
      <c r="N4713">
        <v>1</v>
      </c>
      <c r="O4713" t="str">
        <f>"יח"</f>
        <v>יח</v>
      </c>
      <c r="P4713" s="2">
        <v>6600.24</v>
      </c>
      <c r="Q4713" t="str">
        <f>"$"</f>
        <v>$</v>
      </c>
      <c r="R4713" t="str">
        <f>"הזמנה"</f>
        <v>הזמנה</v>
      </c>
      <c r="S4713">
        <v>0</v>
      </c>
      <c r="T4713" s="2">
        <v>6600.24</v>
      </c>
      <c r="U4713">
        <v>0</v>
      </c>
      <c r="V4713" s="2">
        <v>6600.24</v>
      </c>
      <c r="W4713" t="str">
        <f>"$"</f>
        <v>$</v>
      </c>
      <c r="X4713">
        <v>0</v>
      </c>
      <c r="Y4713">
        <v>0</v>
      </c>
      <c r="Z4713">
        <v>0</v>
      </c>
      <c r="AA4713" t="str">
        <f>"Y"</f>
        <v>Y</v>
      </c>
      <c r="AB4713" t="str">
        <f>"SO140002264"</f>
        <v>SO140002264</v>
      </c>
      <c r="AC4713">
        <v>4</v>
      </c>
      <c r="AD4713" s="1">
        <v>41878</v>
      </c>
      <c r="AE4713" t="str">
        <f>"SH14003954"</f>
        <v>SH14003954</v>
      </c>
      <c r="AF4713" t="str">
        <f>"משלוחים ללקוח"</f>
        <v>משלוחים ללקוח</v>
      </c>
      <c r="AG4713" s="1">
        <v>41998</v>
      </c>
      <c r="AM4713" t="str">
        <f>"10"</f>
        <v>10</v>
      </c>
      <c r="AN4713" t="str">
        <f>"500000"</f>
        <v>500000</v>
      </c>
      <c r="AO4713" t="str">
        <f>"הכנסות  מלקוחות"</f>
        <v>הכנסות  מלקוחות</v>
      </c>
      <c r="AQ4713" t="str">
        <f>"007"</f>
        <v>007</v>
      </c>
      <c r="AR4713">
        <v>0</v>
      </c>
      <c r="AS4713">
        <v>0</v>
      </c>
      <c r="AT4713">
        <v>3.9089999999999998</v>
      </c>
      <c r="AX4713" t="str">
        <f>"E000179251"</f>
        <v>E000179251</v>
      </c>
      <c r="BD4713" t="str">
        <f>"רוני דידי"</f>
        <v>רוני דידי</v>
      </c>
    </row>
    <row r="4714" spans="1:56" x14ac:dyDescent="0.3">
      <c r="A4714" s="1">
        <v>42001</v>
      </c>
      <c r="B4714" t="str">
        <f>"SI140003315"</f>
        <v>SI140003315</v>
      </c>
      <c r="C4714" t="str">
        <f>"PR12000054"</f>
        <v>PR12000054</v>
      </c>
      <c r="E4714" t="str">
        <f>"Y"</f>
        <v>Y</v>
      </c>
      <c r="F4714" t="str">
        <f>"חשבוניות מרכזות"</f>
        <v>חשבוניות מרכזות</v>
      </c>
      <c r="G4714" t="str">
        <f>"700065"</f>
        <v>700065</v>
      </c>
      <c r="H4714" t="str">
        <f>"אלתא מערכות בע""מ"</f>
        <v>אלתא מערכות בע"מ</v>
      </c>
      <c r="I4714" t="str">
        <f>"10"</f>
        <v>10</v>
      </c>
      <c r="J4714" t="str">
        <f>"OP-AR09105"</f>
        <v>OP-AR09105</v>
      </c>
      <c r="K4714" t="str">
        <f>"לוח LB-PDB מק""ט לקוח 1026L310-002"</f>
        <v>לוח LB-PDB מק"ט לקוח 1026L310-002</v>
      </c>
      <c r="L4714">
        <v>1</v>
      </c>
      <c r="M4714" t="str">
        <f>"יח"</f>
        <v>יח</v>
      </c>
      <c r="N4714">
        <v>1</v>
      </c>
      <c r="O4714" t="str">
        <f>"יח"</f>
        <v>יח</v>
      </c>
      <c r="P4714" s="2">
        <v>25450</v>
      </c>
      <c r="Q4714" t="str">
        <f>"$"</f>
        <v>$</v>
      </c>
      <c r="R4714" t="str">
        <f>"הזמנה"</f>
        <v>הזמנה</v>
      </c>
      <c r="S4714">
        <v>0</v>
      </c>
      <c r="T4714" s="2">
        <v>25450</v>
      </c>
      <c r="U4714">
        <v>0</v>
      </c>
      <c r="V4714" s="2">
        <v>25450</v>
      </c>
      <c r="W4714" t="str">
        <f>"$"</f>
        <v>$</v>
      </c>
      <c r="X4714">
        <v>0</v>
      </c>
      <c r="Y4714">
        <v>0</v>
      </c>
      <c r="Z4714">
        <v>0</v>
      </c>
      <c r="AA4714" t="str">
        <f>"Y"</f>
        <v>Y</v>
      </c>
      <c r="AB4714" t="str">
        <f>"SO12T000001"</f>
        <v>SO12T000001</v>
      </c>
      <c r="AC4714">
        <v>11</v>
      </c>
      <c r="AD4714" s="1">
        <v>41256</v>
      </c>
      <c r="AE4714" t="str">
        <f>"SH14003958"</f>
        <v>SH14003958</v>
      </c>
      <c r="AF4714" t="str">
        <f>"משלוחים ללקוח"</f>
        <v>משלוחים ללקוח</v>
      </c>
      <c r="AG4714" s="1">
        <v>42001</v>
      </c>
      <c r="AM4714" t="str">
        <f>"10"</f>
        <v>10</v>
      </c>
      <c r="AN4714" t="str">
        <f>"500000"</f>
        <v>500000</v>
      </c>
      <c r="AO4714" t="str">
        <f>"הכנסות  מלקוחות"</f>
        <v>הכנסות  מלקוחות</v>
      </c>
      <c r="AQ4714" t="str">
        <f>"007"</f>
        <v>007</v>
      </c>
      <c r="AR4714">
        <v>0</v>
      </c>
      <c r="AS4714">
        <v>0</v>
      </c>
      <c r="AT4714">
        <v>3.9089999999999998</v>
      </c>
      <c r="AX4714" t="str">
        <f>"E000093662"</f>
        <v>E000093662</v>
      </c>
      <c r="BD4714" t="str">
        <f>"רוני דידי"</f>
        <v>רוני דידי</v>
      </c>
    </row>
    <row r="4715" spans="1:56" x14ac:dyDescent="0.3">
      <c r="A4715" s="1">
        <v>42001</v>
      </c>
      <c r="B4715" t="str">
        <f>"SI140003314"</f>
        <v>SI140003314</v>
      </c>
      <c r="C4715" t="str">
        <f>"PR12000060"</f>
        <v>PR12000060</v>
      </c>
      <c r="D4715" t="str">
        <f>"PR12000060"</f>
        <v>PR12000060</v>
      </c>
      <c r="E4715" t="str">
        <f>"Y"</f>
        <v>Y</v>
      </c>
      <c r="F4715" t="str">
        <f>"חשבוניות מרכזות"</f>
        <v>חשבוניות מרכזות</v>
      </c>
      <c r="G4715" t="str">
        <f>"700065"</f>
        <v>700065</v>
      </c>
      <c r="H4715" t="str">
        <f>"אלתא מערכות בע""מ"</f>
        <v>אלתא מערכות בע"מ</v>
      </c>
      <c r="I4715" t="str">
        <f>"10"</f>
        <v>10</v>
      </c>
      <c r="J4715" t="str">
        <f>"GN9900001"</f>
        <v>GN9900001</v>
      </c>
      <c r="K4715" t="str">
        <f>"NRE- עלויות פיתוח"</f>
        <v>NRE- עלויות פיתוח</v>
      </c>
      <c r="L4715">
        <v>0.34</v>
      </c>
      <c r="M4715" t="str">
        <f>"חל"</f>
        <v>חל</v>
      </c>
      <c r="N4715">
        <v>0.34</v>
      </c>
      <c r="O4715" t="str">
        <f>"חל"</f>
        <v>חל</v>
      </c>
      <c r="P4715" s="2">
        <v>24180</v>
      </c>
      <c r="Q4715" t="str">
        <f>"$"</f>
        <v>$</v>
      </c>
      <c r="R4715" t="str">
        <f>"הזמנה"</f>
        <v>הזמנה</v>
      </c>
      <c r="S4715">
        <v>0</v>
      </c>
      <c r="T4715" s="2">
        <v>8221.2000000000007</v>
      </c>
      <c r="U4715">
        <v>0</v>
      </c>
      <c r="V4715" s="2">
        <v>8221.2000000000007</v>
      </c>
      <c r="W4715" t="str">
        <f>"$"</f>
        <v>$</v>
      </c>
      <c r="X4715">
        <v>0</v>
      </c>
      <c r="Y4715">
        <v>0</v>
      </c>
      <c r="Z4715">
        <v>0</v>
      </c>
      <c r="AA4715" t="str">
        <f>"Y"</f>
        <v>Y</v>
      </c>
      <c r="AB4715" t="str">
        <f>"SO130000159"</f>
        <v>SO130000159</v>
      </c>
      <c r="AC4715">
        <v>1</v>
      </c>
      <c r="AD4715" s="1">
        <v>41316</v>
      </c>
      <c r="AM4715" t="str">
        <f>"10"</f>
        <v>10</v>
      </c>
      <c r="AN4715" t="str">
        <f>"500000"</f>
        <v>500000</v>
      </c>
      <c r="AO4715" t="str">
        <f>"הכנסות  מלקוחות"</f>
        <v>הכנסות  מלקוחות</v>
      </c>
      <c r="AQ4715" t="str">
        <f>"007"</f>
        <v>007</v>
      </c>
      <c r="AR4715">
        <v>0</v>
      </c>
      <c r="AS4715">
        <v>0</v>
      </c>
      <c r="AT4715">
        <v>3.9089999999999998</v>
      </c>
      <c r="AX4715" t="str">
        <f>"E000119608"</f>
        <v>E000119608</v>
      </c>
      <c r="BD4715" t="str">
        <f>"רוני דידי"</f>
        <v>רוני דידי</v>
      </c>
    </row>
    <row r="4716" spans="1:56" x14ac:dyDescent="0.3">
      <c r="A4716" s="1">
        <v>42001</v>
      </c>
      <c r="B4716" t="str">
        <f>"SI140003313"</f>
        <v>SI140003313</v>
      </c>
      <c r="C4716" t="str">
        <f>"PR14001981"</f>
        <v>PR14001981</v>
      </c>
      <c r="E4716" t="str">
        <f>"Y"</f>
        <v>Y</v>
      </c>
      <c r="F4716" t="str">
        <f>"חשבוניות מרכזות"</f>
        <v>חשבוניות מרכזות</v>
      </c>
      <c r="G4716" t="str">
        <f>"700065"</f>
        <v>700065</v>
      </c>
      <c r="H4716" t="str">
        <f>"אלתא מערכות בע""מ"</f>
        <v>אלתא מערכות בע"מ</v>
      </c>
      <c r="I4716" t="str">
        <f>"10"</f>
        <v>10</v>
      </c>
      <c r="J4716" t="str">
        <f>"PA1000190"</f>
        <v>PA1000190</v>
      </c>
      <c r="K4716" t="str">
        <f>"1036H642-001 - QG SGP ANTENNA RACK"</f>
        <v>1036H642-001 - QG SGP ANTENNA RACK</v>
      </c>
      <c r="L4716">
        <v>-1</v>
      </c>
      <c r="M4716" t="str">
        <f>"יח"</f>
        <v>יח</v>
      </c>
      <c r="N4716">
        <v>-1</v>
      </c>
      <c r="O4716" t="str">
        <f>"יח"</f>
        <v>יח</v>
      </c>
      <c r="P4716" s="2">
        <v>3863.7</v>
      </c>
      <c r="Q4716" t="str">
        <f>"$"</f>
        <v>$</v>
      </c>
      <c r="R4716" t="str">
        <f>"הזמנה"</f>
        <v>הזמנה</v>
      </c>
      <c r="S4716">
        <v>0</v>
      </c>
      <c r="T4716" s="2">
        <v>-3863.7</v>
      </c>
      <c r="U4716">
        <v>0</v>
      </c>
      <c r="V4716" s="2">
        <v>-3863.7</v>
      </c>
      <c r="W4716" t="str">
        <f>"$"</f>
        <v>$</v>
      </c>
      <c r="X4716">
        <v>0</v>
      </c>
      <c r="Y4716">
        <v>0</v>
      </c>
      <c r="Z4716">
        <v>0</v>
      </c>
      <c r="AA4716" t="str">
        <f>"Y"</f>
        <v>Y</v>
      </c>
      <c r="AC4716">
        <v>0</v>
      </c>
      <c r="AM4716" t="str">
        <f>"10"</f>
        <v>10</v>
      </c>
      <c r="AN4716" t="str">
        <f>"500000"</f>
        <v>500000</v>
      </c>
      <c r="AO4716" t="str">
        <f>"הכנסות  מלקוחות"</f>
        <v>הכנסות  מלקוחות</v>
      </c>
      <c r="AQ4716" t="str">
        <f>"007"</f>
        <v>007</v>
      </c>
      <c r="AR4716">
        <v>0</v>
      </c>
      <c r="AS4716">
        <v>0</v>
      </c>
      <c r="AT4716">
        <v>3.9089999999999998</v>
      </c>
      <c r="BB4716" t="str">
        <f>"Y"</f>
        <v>Y</v>
      </c>
      <c r="BD4716" t="str">
        <f>"רוני דידי"</f>
        <v>רוני דידי</v>
      </c>
    </row>
    <row r="4717" spans="1:56" x14ac:dyDescent="0.3">
      <c r="A4717" s="1">
        <v>42001</v>
      </c>
      <c r="B4717" t="str">
        <f>"SI140003312"</f>
        <v>SI140003312</v>
      </c>
      <c r="C4717" t="str">
        <f>"PR14001934"</f>
        <v>PR14001934</v>
      </c>
      <c r="E4717" t="str">
        <f>"Y"</f>
        <v>Y</v>
      </c>
      <c r="F4717" t="str">
        <f>"חשבוניות מרכזות"</f>
        <v>חשבוניות מרכזות</v>
      </c>
      <c r="G4717" t="str">
        <f>"700065"</f>
        <v>700065</v>
      </c>
      <c r="H4717" t="str">
        <f>"אלתא מערכות בע""מ"</f>
        <v>אלתא מערכות בע"מ</v>
      </c>
      <c r="I4717" t="str">
        <f>"10"</f>
        <v>10</v>
      </c>
      <c r="J4717" t="str">
        <f>"OP-AR00061"</f>
        <v>OP-AR00061</v>
      </c>
      <c r="K4717" t="str">
        <f>"1036H615-001 - QG GP SERVER RACK SOCD"</f>
        <v>1036H615-001 - QG GP SERVER RACK SOCD</v>
      </c>
      <c r="L4717">
        <v>-1</v>
      </c>
      <c r="M4717" t="str">
        <f>"יח"</f>
        <v>יח</v>
      </c>
      <c r="N4717">
        <v>-1</v>
      </c>
      <c r="O4717" t="str">
        <f>"יח"</f>
        <v>יח</v>
      </c>
      <c r="P4717" s="2">
        <v>7300.26</v>
      </c>
      <c r="Q4717" t="str">
        <f>"$"</f>
        <v>$</v>
      </c>
      <c r="R4717" t="str">
        <f>"הזמנה"</f>
        <v>הזמנה</v>
      </c>
      <c r="S4717">
        <v>0</v>
      </c>
      <c r="T4717" s="2">
        <v>-7300.26</v>
      </c>
      <c r="U4717">
        <v>0</v>
      </c>
      <c r="V4717" s="2">
        <v>-7300.26</v>
      </c>
      <c r="W4717" t="str">
        <f>"$"</f>
        <v>$</v>
      </c>
      <c r="X4717">
        <v>0</v>
      </c>
      <c r="Y4717">
        <v>0</v>
      </c>
      <c r="Z4717">
        <v>0</v>
      </c>
      <c r="AA4717" t="str">
        <f>"Y"</f>
        <v>Y</v>
      </c>
      <c r="AC4717">
        <v>0</v>
      </c>
      <c r="AM4717" t="str">
        <f>"10"</f>
        <v>10</v>
      </c>
      <c r="AN4717" t="str">
        <f>"500000"</f>
        <v>500000</v>
      </c>
      <c r="AO4717" t="str">
        <f>"הכנסות  מלקוחות"</f>
        <v>הכנסות  מלקוחות</v>
      </c>
      <c r="AQ4717" t="str">
        <f>"007"</f>
        <v>007</v>
      </c>
      <c r="AR4717">
        <v>0</v>
      </c>
      <c r="AS4717">
        <v>0</v>
      </c>
      <c r="AT4717">
        <v>3.9089999999999998</v>
      </c>
      <c r="BB4717" t="str">
        <f>"Y"</f>
        <v>Y</v>
      </c>
      <c r="BD4717" t="str">
        <f>"רוני דידי"</f>
        <v>רוני דידי</v>
      </c>
    </row>
    <row r="4718" spans="1:56" x14ac:dyDescent="0.3">
      <c r="A4718" s="1">
        <v>42001</v>
      </c>
      <c r="B4718" t="str">
        <f>"SI140003312"</f>
        <v>SI140003312</v>
      </c>
      <c r="C4718" t="str">
        <f>"PR14001934"</f>
        <v>PR14001934</v>
      </c>
      <c r="E4718" t="str">
        <f>"Y"</f>
        <v>Y</v>
      </c>
      <c r="F4718" t="str">
        <f>"חשבוניות מרכזות"</f>
        <v>חשבוניות מרכזות</v>
      </c>
      <c r="G4718" t="str">
        <f>"700065"</f>
        <v>700065</v>
      </c>
      <c r="H4718" t="str">
        <f>"אלתא מערכות בע""מ"</f>
        <v>אלתא מערכות בע"מ</v>
      </c>
      <c r="I4718" t="str">
        <f>"10"</f>
        <v>10</v>
      </c>
      <c r="J4718" t="str">
        <f>"OP-AR00065"</f>
        <v>OP-AR00065</v>
      </c>
      <c r="K4718" t="str">
        <f>"1036H621-001 - QG GP SIGNAL PROC. RACK"</f>
        <v>1036H621-001 - QG GP SIGNAL PROC. RACK</v>
      </c>
      <c r="L4718">
        <v>-1</v>
      </c>
      <c r="M4718" t="str">
        <f>"יח"</f>
        <v>יח</v>
      </c>
      <c r="N4718">
        <v>-1</v>
      </c>
      <c r="O4718" t="str">
        <f>"יח"</f>
        <v>יח</v>
      </c>
      <c r="P4718" s="2">
        <v>6400.47</v>
      </c>
      <c r="Q4718" t="str">
        <f>"$"</f>
        <v>$</v>
      </c>
      <c r="R4718" t="str">
        <f>"הזמנה"</f>
        <v>הזמנה</v>
      </c>
      <c r="S4718">
        <v>0</v>
      </c>
      <c r="T4718" s="2">
        <v>-6400.47</v>
      </c>
      <c r="U4718">
        <v>0</v>
      </c>
      <c r="V4718" s="2">
        <v>-6400.47</v>
      </c>
      <c r="W4718" t="str">
        <f>"$"</f>
        <v>$</v>
      </c>
      <c r="X4718">
        <v>0</v>
      </c>
      <c r="Y4718">
        <v>0</v>
      </c>
      <c r="Z4718">
        <v>0</v>
      </c>
      <c r="AA4718" t="str">
        <f>"Y"</f>
        <v>Y</v>
      </c>
      <c r="AC4718">
        <v>0</v>
      </c>
      <c r="AM4718" t="str">
        <f>"10"</f>
        <v>10</v>
      </c>
      <c r="AN4718" t="str">
        <f>"500000"</f>
        <v>500000</v>
      </c>
      <c r="AO4718" t="str">
        <f>"הכנסות  מלקוחות"</f>
        <v>הכנסות  מלקוחות</v>
      </c>
      <c r="AQ4718" t="str">
        <f>"007"</f>
        <v>007</v>
      </c>
      <c r="AR4718">
        <v>0</v>
      </c>
      <c r="AS4718">
        <v>0</v>
      </c>
      <c r="AT4718">
        <v>3.9089999999999998</v>
      </c>
      <c r="BB4718" t="str">
        <f>"Y"</f>
        <v>Y</v>
      </c>
      <c r="BD4718" t="str">
        <f>"רוני דידי"</f>
        <v>רוני דידי</v>
      </c>
    </row>
    <row r="4719" spans="1:56" x14ac:dyDescent="0.3">
      <c r="A4719" s="1">
        <v>42001</v>
      </c>
      <c r="B4719" t="str">
        <f>"SI140003312"</f>
        <v>SI140003312</v>
      </c>
      <c r="C4719" t="str">
        <f>"PR14001934"</f>
        <v>PR14001934</v>
      </c>
      <c r="E4719" t="str">
        <f>"Y"</f>
        <v>Y</v>
      </c>
      <c r="F4719" t="str">
        <f>"חשבוניות מרכזות"</f>
        <v>חשבוניות מרכזות</v>
      </c>
      <c r="G4719" t="str">
        <f>"700065"</f>
        <v>700065</v>
      </c>
      <c r="H4719" t="str">
        <f>"אלתא מערכות בע""מ"</f>
        <v>אלתא מערכות בע"מ</v>
      </c>
      <c r="I4719" t="str">
        <f>"10"</f>
        <v>10</v>
      </c>
      <c r="J4719" t="str">
        <f>"OP-AR00066"</f>
        <v>OP-AR00066</v>
      </c>
      <c r="K4719" t="str">
        <f>"1036H631-001 - QG SGP SERVER RACK"</f>
        <v>1036H631-001 - QG SGP SERVER RACK</v>
      </c>
      <c r="L4719">
        <v>-1</v>
      </c>
      <c r="M4719" t="str">
        <f>"יח"</f>
        <v>יח</v>
      </c>
      <c r="N4719">
        <v>-1</v>
      </c>
      <c r="O4719" t="str">
        <f>"יח"</f>
        <v>יח</v>
      </c>
      <c r="P4719" s="2">
        <v>7200.34</v>
      </c>
      <c r="Q4719" t="str">
        <f>"$"</f>
        <v>$</v>
      </c>
      <c r="R4719" t="str">
        <f>"הזמנה"</f>
        <v>הזמנה</v>
      </c>
      <c r="S4719">
        <v>0</v>
      </c>
      <c r="T4719" s="2">
        <v>-7200.34</v>
      </c>
      <c r="U4719">
        <v>0</v>
      </c>
      <c r="V4719" s="2">
        <v>-7200.34</v>
      </c>
      <c r="W4719" t="str">
        <f>"$"</f>
        <v>$</v>
      </c>
      <c r="X4719">
        <v>0</v>
      </c>
      <c r="Y4719">
        <v>0</v>
      </c>
      <c r="Z4719">
        <v>0</v>
      </c>
      <c r="AA4719" t="str">
        <f>"Y"</f>
        <v>Y</v>
      </c>
      <c r="AC4719">
        <v>0</v>
      </c>
      <c r="AM4719" t="str">
        <f>"10"</f>
        <v>10</v>
      </c>
      <c r="AN4719" t="str">
        <f>"500000"</f>
        <v>500000</v>
      </c>
      <c r="AO4719" t="str">
        <f>"הכנסות  מלקוחות"</f>
        <v>הכנסות  מלקוחות</v>
      </c>
      <c r="AQ4719" t="str">
        <f>"007"</f>
        <v>007</v>
      </c>
      <c r="AR4719">
        <v>0</v>
      </c>
      <c r="AS4719">
        <v>0</v>
      </c>
      <c r="AT4719">
        <v>3.9089999999999998</v>
      </c>
      <c r="BB4719" t="str">
        <f>"Y"</f>
        <v>Y</v>
      </c>
      <c r="BD4719" t="str">
        <f>"רוני דידי"</f>
        <v>רוני דידי</v>
      </c>
    </row>
    <row r="4720" spans="1:56" x14ac:dyDescent="0.3">
      <c r="A4720" s="1">
        <v>42001</v>
      </c>
      <c r="B4720" t="str">
        <f>"SI140003312"</f>
        <v>SI140003312</v>
      </c>
      <c r="C4720" t="str">
        <f>"PR14001934"</f>
        <v>PR14001934</v>
      </c>
      <c r="E4720" t="str">
        <f>"Y"</f>
        <v>Y</v>
      </c>
      <c r="F4720" t="str">
        <f>"חשבוניות מרכזות"</f>
        <v>חשבוניות מרכזות</v>
      </c>
      <c r="G4720" t="str">
        <f>"700065"</f>
        <v>700065</v>
      </c>
      <c r="H4720" t="str">
        <f>"אלתא מערכות בע""מ"</f>
        <v>אלתא מערכות בע"מ</v>
      </c>
      <c r="I4720" t="str">
        <f>"10"</f>
        <v>10</v>
      </c>
      <c r="J4720" t="str">
        <f>"OP-AR00067"</f>
        <v>OP-AR00067</v>
      </c>
      <c r="K4720" t="str">
        <f>"1036H641-001 - GQ SGP SIGNAL PROC. RACK"</f>
        <v>1036H641-001 - GQ SGP SIGNAL PROC. RACK</v>
      </c>
      <c r="L4720">
        <v>-1</v>
      </c>
      <c r="M4720" t="str">
        <f>"יח"</f>
        <v>יח</v>
      </c>
      <c r="N4720">
        <v>-1</v>
      </c>
      <c r="O4720" t="str">
        <f>"יח"</f>
        <v>יח</v>
      </c>
      <c r="P4720" s="2">
        <v>6600.24</v>
      </c>
      <c r="Q4720" t="str">
        <f>"$"</f>
        <v>$</v>
      </c>
      <c r="R4720" t="str">
        <f>"הזמנה"</f>
        <v>הזמנה</v>
      </c>
      <c r="S4720">
        <v>0</v>
      </c>
      <c r="T4720" s="2">
        <v>-6600.24</v>
      </c>
      <c r="U4720">
        <v>0</v>
      </c>
      <c r="V4720" s="2">
        <v>-6600.24</v>
      </c>
      <c r="W4720" t="str">
        <f>"$"</f>
        <v>$</v>
      </c>
      <c r="X4720">
        <v>0</v>
      </c>
      <c r="Y4720">
        <v>0</v>
      </c>
      <c r="Z4720">
        <v>0</v>
      </c>
      <c r="AA4720" t="str">
        <f>"Y"</f>
        <v>Y</v>
      </c>
      <c r="AC4720">
        <v>0</v>
      </c>
      <c r="AM4720" t="str">
        <f>"10"</f>
        <v>10</v>
      </c>
      <c r="AN4720" t="str">
        <f>"500000"</f>
        <v>500000</v>
      </c>
      <c r="AO4720" t="str">
        <f>"הכנסות  מלקוחות"</f>
        <v>הכנסות  מלקוחות</v>
      </c>
      <c r="AQ4720" t="str">
        <f>"007"</f>
        <v>007</v>
      </c>
      <c r="AR4720">
        <v>0</v>
      </c>
      <c r="AS4720">
        <v>0</v>
      </c>
      <c r="AT4720">
        <v>3.9089999999999998</v>
      </c>
      <c r="BB4720" t="str">
        <f>"Y"</f>
        <v>Y</v>
      </c>
      <c r="BD4720" t="str">
        <f>"רוני דידי"</f>
        <v>רוני דידי</v>
      </c>
    </row>
    <row r="4721" spans="1:56" x14ac:dyDescent="0.3">
      <c r="A4721" s="1">
        <v>42001</v>
      </c>
      <c r="B4721" t="str">
        <f>"SI140003311"</f>
        <v>SI140003311</v>
      </c>
      <c r="C4721" t="str">
        <f>"PR12000054"</f>
        <v>PR12000054</v>
      </c>
      <c r="E4721" t="str">
        <f>"Y"</f>
        <v>Y</v>
      </c>
      <c r="F4721" t="str">
        <f>"חשבוניות מרכזות"</f>
        <v>חשבוניות מרכזות</v>
      </c>
      <c r="G4721" t="str">
        <f>"700065"</f>
        <v>700065</v>
      </c>
      <c r="H4721" t="str">
        <f>"אלתא מערכות בע""מ"</f>
        <v>אלתא מערכות בע"מ</v>
      </c>
      <c r="I4721" t="str">
        <f>"10"</f>
        <v>10</v>
      </c>
      <c r="J4721" t="str">
        <f>"OP-AR09105"</f>
        <v>OP-AR09105</v>
      </c>
      <c r="K4721" t="str">
        <f>"לוח LB-PDB מק""ט לקוח 1026L310-002"</f>
        <v>לוח LB-PDB מק"ט לקוח 1026L310-002</v>
      </c>
      <c r="L4721">
        <v>-1</v>
      </c>
      <c r="M4721" t="str">
        <f>"יח"</f>
        <v>יח</v>
      </c>
      <c r="N4721">
        <v>-1</v>
      </c>
      <c r="O4721" t="str">
        <f>"יח"</f>
        <v>יח</v>
      </c>
      <c r="P4721" s="2">
        <v>25450</v>
      </c>
      <c r="Q4721" t="str">
        <f>"$"</f>
        <v>$</v>
      </c>
      <c r="R4721" t="str">
        <f>"הזמנה"</f>
        <v>הזמנה</v>
      </c>
      <c r="S4721">
        <v>0</v>
      </c>
      <c r="T4721" s="2">
        <v>-25450</v>
      </c>
      <c r="U4721">
        <v>0</v>
      </c>
      <c r="V4721" s="2">
        <v>-25450</v>
      </c>
      <c r="W4721" t="str">
        <f>"$"</f>
        <v>$</v>
      </c>
      <c r="X4721">
        <v>0</v>
      </c>
      <c r="Y4721">
        <v>0</v>
      </c>
      <c r="Z4721">
        <v>0</v>
      </c>
      <c r="AA4721" t="str">
        <f>"Y"</f>
        <v>Y</v>
      </c>
      <c r="AC4721">
        <v>0</v>
      </c>
      <c r="AM4721" t="str">
        <f>"10"</f>
        <v>10</v>
      </c>
      <c r="AN4721" t="str">
        <f>"500000"</f>
        <v>500000</v>
      </c>
      <c r="AO4721" t="str">
        <f>"הכנסות  מלקוחות"</f>
        <v>הכנסות  מלקוחות</v>
      </c>
      <c r="AQ4721" t="str">
        <f>"007"</f>
        <v>007</v>
      </c>
      <c r="AR4721">
        <v>0</v>
      </c>
      <c r="AS4721">
        <v>0</v>
      </c>
      <c r="AT4721">
        <v>3.9089999999999998</v>
      </c>
      <c r="BB4721" t="str">
        <f>"Y"</f>
        <v>Y</v>
      </c>
      <c r="BD4721" t="str">
        <f>"רוני דידי"</f>
        <v>רוני דידי</v>
      </c>
    </row>
    <row r="4722" spans="1:56" x14ac:dyDescent="0.3">
      <c r="A4722" s="1">
        <v>42001</v>
      </c>
      <c r="B4722" t="str">
        <f>"SI140003309"</f>
        <v>SI140003309</v>
      </c>
      <c r="C4722" t="str">
        <f>"PR14001981"</f>
        <v>PR14001981</v>
      </c>
      <c r="E4722" t="str">
        <f>"Y"</f>
        <v>Y</v>
      </c>
      <c r="F4722" t="str">
        <f>"חשבוניות מרכזות"</f>
        <v>חשבוניות מרכזות</v>
      </c>
      <c r="G4722" t="str">
        <f>"700065"</f>
        <v>700065</v>
      </c>
      <c r="H4722" t="str">
        <f>"אלתא מערכות בע""מ"</f>
        <v>אלתא מערכות בע"מ</v>
      </c>
      <c r="I4722" t="str">
        <f>"10"</f>
        <v>10</v>
      </c>
      <c r="J4722" t="str">
        <f>"PA1000190"</f>
        <v>PA1000190</v>
      </c>
      <c r="K4722" t="str">
        <f>"1036H642-001 - QG SGP ANTENNA RACK"</f>
        <v>1036H642-001 - QG SGP ANTENNA RACK</v>
      </c>
      <c r="L4722">
        <v>1</v>
      </c>
      <c r="M4722" t="str">
        <f>"יח"</f>
        <v>יח</v>
      </c>
      <c r="N4722">
        <v>1</v>
      </c>
      <c r="O4722" t="str">
        <f>"יח"</f>
        <v>יח</v>
      </c>
      <c r="P4722" s="2">
        <v>3863.7</v>
      </c>
      <c r="Q4722" t="str">
        <f>"$"</f>
        <v>$</v>
      </c>
      <c r="R4722" t="str">
        <f>"הזמנה"</f>
        <v>הזמנה</v>
      </c>
      <c r="S4722">
        <v>0</v>
      </c>
      <c r="T4722" s="2">
        <v>3863.7</v>
      </c>
      <c r="U4722">
        <v>0</v>
      </c>
      <c r="V4722" s="2">
        <v>3863.7</v>
      </c>
      <c r="W4722" t="str">
        <f>"$"</f>
        <v>$</v>
      </c>
      <c r="X4722">
        <v>0</v>
      </c>
      <c r="Y4722">
        <v>0</v>
      </c>
      <c r="Z4722">
        <v>0</v>
      </c>
      <c r="AA4722" t="str">
        <f>"Y"</f>
        <v>Y</v>
      </c>
      <c r="AC4722">
        <v>0</v>
      </c>
      <c r="AM4722" t="str">
        <f>"10"</f>
        <v>10</v>
      </c>
      <c r="AN4722" t="str">
        <f>"500000"</f>
        <v>500000</v>
      </c>
      <c r="AO4722" t="str">
        <f>"הכנסות  מלקוחות"</f>
        <v>הכנסות  מלקוחות</v>
      </c>
      <c r="AQ4722" t="str">
        <f>"007"</f>
        <v>007</v>
      </c>
      <c r="AR4722">
        <v>0</v>
      </c>
      <c r="AS4722">
        <v>0</v>
      </c>
      <c r="AT4722">
        <v>3.9089999999999998</v>
      </c>
      <c r="BB4722" t="str">
        <f>"Y"</f>
        <v>Y</v>
      </c>
      <c r="BD4722" t="str">
        <f>"רוני דידי"</f>
        <v>רוני דידי</v>
      </c>
    </row>
    <row r="4723" spans="1:56" x14ac:dyDescent="0.3">
      <c r="A4723" s="1">
        <v>42001</v>
      </c>
      <c r="B4723" t="str">
        <f>"SI140003308"</f>
        <v>SI140003308</v>
      </c>
      <c r="C4723" t="str">
        <f>"PR14001934"</f>
        <v>PR14001934</v>
      </c>
      <c r="E4723" t="str">
        <f>"Y"</f>
        <v>Y</v>
      </c>
      <c r="F4723" t="str">
        <f>"חשבוניות מרכזות"</f>
        <v>חשבוניות מרכזות</v>
      </c>
      <c r="G4723" t="str">
        <f>"700065"</f>
        <v>700065</v>
      </c>
      <c r="H4723" t="str">
        <f>"אלתא מערכות בע""מ"</f>
        <v>אלתא מערכות בע"מ</v>
      </c>
      <c r="I4723" t="str">
        <f>"10"</f>
        <v>10</v>
      </c>
      <c r="J4723" t="str">
        <f>"OP-AR00061"</f>
        <v>OP-AR00061</v>
      </c>
      <c r="K4723" t="str">
        <f>"1036H615-001 - QG GP SERVER RACK SOCD"</f>
        <v>1036H615-001 - QG GP SERVER RACK SOCD</v>
      </c>
      <c r="L4723">
        <v>1</v>
      </c>
      <c r="M4723" t="str">
        <f>"יח"</f>
        <v>יח</v>
      </c>
      <c r="N4723">
        <v>1</v>
      </c>
      <c r="O4723" t="str">
        <f>"יח"</f>
        <v>יח</v>
      </c>
      <c r="P4723" s="2">
        <v>7300.26</v>
      </c>
      <c r="Q4723" t="str">
        <f>"$"</f>
        <v>$</v>
      </c>
      <c r="R4723" t="str">
        <f>"הזמנה"</f>
        <v>הזמנה</v>
      </c>
      <c r="S4723">
        <v>0</v>
      </c>
      <c r="T4723" s="2">
        <v>7300.26</v>
      </c>
      <c r="U4723">
        <v>0</v>
      </c>
      <c r="V4723" s="2">
        <v>7300.26</v>
      </c>
      <c r="W4723" t="str">
        <f>"$"</f>
        <v>$</v>
      </c>
      <c r="X4723">
        <v>0</v>
      </c>
      <c r="Y4723">
        <v>0</v>
      </c>
      <c r="Z4723">
        <v>0</v>
      </c>
      <c r="AA4723" t="str">
        <f>"Y"</f>
        <v>Y</v>
      </c>
      <c r="AC4723">
        <v>0</v>
      </c>
      <c r="AM4723" t="str">
        <f>"10"</f>
        <v>10</v>
      </c>
      <c r="AN4723" t="str">
        <f>"500000"</f>
        <v>500000</v>
      </c>
      <c r="AO4723" t="str">
        <f>"הכנסות  מלקוחות"</f>
        <v>הכנסות  מלקוחות</v>
      </c>
      <c r="AQ4723" t="str">
        <f>"007"</f>
        <v>007</v>
      </c>
      <c r="AR4723">
        <v>0</v>
      </c>
      <c r="AS4723">
        <v>0</v>
      </c>
      <c r="AT4723">
        <v>3.9089999999999998</v>
      </c>
      <c r="BB4723" t="str">
        <f>"Y"</f>
        <v>Y</v>
      </c>
      <c r="BD4723" t="str">
        <f>"רוני דידי"</f>
        <v>רוני דידי</v>
      </c>
    </row>
    <row r="4724" spans="1:56" x14ac:dyDescent="0.3">
      <c r="A4724" s="1">
        <v>42001</v>
      </c>
      <c r="B4724" t="str">
        <f>"SI140003308"</f>
        <v>SI140003308</v>
      </c>
      <c r="C4724" t="str">
        <f>"PR14001934"</f>
        <v>PR14001934</v>
      </c>
      <c r="E4724" t="str">
        <f>"Y"</f>
        <v>Y</v>
      </c>
      <c r="F4724" t="str">
        <f>"חשבוניות מרכזות"</f>
        <v>חשבוניות מרכזות</v>
      </c>
      <c r="G4724" t="str">
        <f>"700065"</f>
        <v>700065</v>
      </c>
      <c r="H4724" t="str">
        <f>"אלתא מערכות בע""מ"</f>
        <v>אלתא מערכות בע"מ</v>
      </c>
      <c r="I4724" t="str">
        <f>"10"</f>
        <v>10</v>
      </c>
      <c r="J4724" t="str">
        <f>"OP-AR00065"</f>
        <v>OP-AR00065</v>
      </c>
      <c r="K4724" t="str">
        <f>"1036H621-001 - QG GP SIGNAL PROC. RACK"</f>
        <v>1036H621-001 - QG GP SIGNAL PROC. RACK</v>
      </c>
      <c r="L4724">
        <v>1</v>
      </c>
      <c r="M4724" t="str">
        <f>"יח"</f>
        <v>יח</v>
      </c>
      <c r="N4724">
        <v>1</v>
      </c>
      <c r="O4724" t="str">
        <f>"יח"</f>
        <v>יח</v>
      </c>
      <c r="P4724" s="2">
        <v>6400.47</v>
      </c>
      <c r="Q4724" t="str">
        <f>"$"</f>
        <v>$</v>
      </c>
      <c r="R4724" t="str">
        <f>"הזמנה"</f>
        <v>הזמנה</v>
      </c>
      <c r="S4724">
        <v>0</v>
      </c>
      <c r="T4724" s="2">
        <v>6400.47</v>
      </c>
      <c r="U4724">
        <v>0</v>
      </c>
      <c r="V4724" s="2">
        <v>6400.47</v>
      </c>
      <c r="W4724" t="str">
        <f>"$"</f>
        <v>$</v>
      </c>
      <c r="X4724">
        <v>0</v>
      </c>
      <c r="Y4724">
        <v>0</v>
      </c>
      <c r="Z4724">
        <v>0</v>
      </c>
      <c r="AA4724" t="str">
        <f>"Y"</f>
        <v>Y</v>
      </c>
      <c r="AC4724">
        <v>0</v>
      </c>
      <c r="AM4724" t="str">
        <f>"10"</f>
        <v>10</v>
      </c>
      <c r="AN4724" t="str">
        <f>"500000"</f>
        <v>500000</v>
      </c>
      <c r="AO4724" t="str">
        <f>"הכנסות  מלקוחות"</f>
        <v>הכנסות  מלקוחות</v>
      </c>
      <c r="AQ4724" t="str">
        <f>"007"</f>
        <v>007</v>
      </c>
      <c r="AR4724">
        <v>0</v>
      </c>
      <c r="AS4724">
        <v>0</v>
      </c>
      <c r="AT4724">
        <v>3.9089999999999998</v>
      </c>
      <c r="BB4724" t="str">
        <f>"Y"</f>
        <v>Y</v>
      </c>
      <c r="BD4724" t="str">
        <f>"רוני דידי"</f>
        <v>רוני דידי</v>
      </c>
    </row>
    <row r="4725" spans="1:56" x14ac:dyDescent="0.3">
      <c r="A4725" s="1">
        <v>42001</v>
      </c>
      <c r="B4725" t="str">
        <f>"SI140003308"</f>
        <v>SI140003308</v>
      </c>
      <c r="C4725" t="str">
        <f>"PR14001934"</f>
        <v>PR14001934</v>
      </c>
      <c r="E4725" t="str">
        <f>"Y"</f>
        <v>Y</v>
      </c>
      <c r="F4725" t="str">
        <f>"חשבוניות מרכזות"</f>
        <v>חשבוניות מרכזות</v>
      </c>
      <c r="G4725" t="str">
        <f>"700065"</f>
        <v>700065</v>
      </c>
      <c r="H4725" t="str">
        <f>"אלתא מערכות בע""מ"</f>
        <v>אלתא מערכות בע"מ</v>
      </c>
      <c r="I4725" t="str">
        <f>"10"</f>
        <v>10</v>
      </c>
      <c r="J4725" t="str">
        <f>"OP-AR00066"</f>
        <v>OP-AR00066</v>
      </c>
      <c r="K4725" t="str">
        <f>"1036H631-001 - QG SGP SERVER RACK"</f>
        <v>1036H631-001 - QG SGP SERVER RACK</v>
      </c>
      <c r="L4725">
        <v>1</v>
      </c>
      <c r="M4725" t="str">
        <f>"יח"</f>
        <v>יח</v>
      </c>
      <c r="N4725">
        <v>1</v>
      </c>
      <c r="O4725" t="str">
        <f>"יח"</f>
        <v>יח</v>
      </c>
      <c r="P4725" s="2">
        <v>7200.34</v>
      </c>
      <c r="Q4725" t="str">
        <f>"$"</f>
        <v>$</v>
      </c>
      <c r="R4725" t="str">
        <f>"הזמנה"</f>
        <v>הזמנה</v>
      </c>
      <c r="S4725">
        <v>0</v>
      </c>
      <c r="T4725" s="2">
        <v>7200.34</v>
      </c>
      <c r="U4725">
        <v>0</v>
      </c>
      <c r="V4725" s="2">
        <v>7200.34</v>
      </c>
      <c r="W4725" t="str">
        <f>"$"</f>
        <v>$</v>
      </c>
      <c r="X4725">
        <v>0</v>
      </c>
      <c r="Y4725">
        <v>0</v>
      </c>
      <c r="Z4725">
        <v>0</v>
      </c>
      <c r="AA4725" t="str">
        <f>"Y"</f>
        <v>Y</v>
      </c>
      <c r="AC4725">
        <v>0</v>
      </c>
      <c r="AM4725" t="str">
        <f>"10"</f>
        <v>10</v>
      </c>
      <c r="AN4725" t="str">
        <f>"500000"</f>
        <v>500000</v>
      </c>
      <c r="AO4725" t="str">
        <f>"הכנסות  מלקוחות"</f>
        <v>הכנסות  מלקוחות</v>
      </c>
      <c r="AQ4725" t="str">
        <f>"007"</f>
        <v>007</v>
      </c>
      <c r="AR4725">
        <v>0</v>
      </c>
      <c r="AS4725">
        <v>0</v>
      </c>
      <c r="AT4725">
        <v>3.9089999999999998</v>
      </c>
      <c r="BB4725" t="str">
        <f>"Y"</f>
        <v>Y</v>
      </c>
      <c r="BD4725" t="str">
        <f>"רוני דידי"</f>
        <v>רוני דידי</v>
      </c>
    </row>
    <row r="4726" spans="1:56" x14ac:dyDescent="0.3">
      <c r="A4726" s="1">
        <v>42001</v>
      </c>
      <c r="B4726" t="str">
        <f>"SI140003308"</f>
        <v>SI140003308</v>
      </c>
      <c r="C4726" t="str">
        <f>"PR14001934"</f>
        <v>PR14001934</v>
      </c>
      <c r="E4726" t="str">
        <f>"Y"</f>
        <v>Y</v>
      </c>
      <c r="F4726" t="str">
        <f>"חשבוניות מרכזות"</f>
        <v>חשבוניות מרכזות</v>
      </c>
      <c r="G4726" t="str">
        <f>"700065"</f>
        <v>700065</v>
      </c>
      <c r="H4726" t="str">
        <f>"אלתא מערכות בע""מ"</f>
        <v>אלתא מערכות בע"מ</v>
      </c>
      <c r="I4726" t="str">
        <f>"10"</f>
        <v>10</v>
      </c>
      <c r="J4726" t="str">
        <f>"OP-AR00067"</f>
        <v>OP-AR00067</v>
      </c>
      <c r="K4726" t="str">
        <f>"1036H641-001 - GQ SGP SIGNAL PROC. RACK"</f>
        <v>1036H641-001 - GQ SGP SIGNAL PROC. RACK</v>
      </c>
      <c r="L4726">
        <v>1</v>
      </c>
      <c r="M4726" t="str">
        <f>"יח"</f>
        <v>יח</v>
      </c>
      <c r="N4726">
        <v>1</v>
      </c>
      <c r="O4726" t="str">
        <f>"יח"</f>
        <v>יח</v>
      </c>
      <c r="P4726" s="2">
        <v>6600.24</v>
      </c>
      <c r="Q4726" t="str">
        <f>"$"</f>
        <v>$</v>
      </c>
      <c r="R4726" t="str">
        <f>"הזמנה"</f>
        <v>הזמנה</v>
      </c>
      <c r="S4726">
        <v>0</v>
      </c>
      <c r="T4726" s="2">
        <v>6600.24</v>
      </c>
      <c r="U4726">
        <v>0</v>
      </c>
      <c r="V4726" s="2">
        <v>6600.24</v>
      </c>
      <c r="W4726" t="str">
        <f>"$"</f>
        <v>$</v>
      </c>
      <c r="X4726">
        <v>0</v>
      </c>
      <c r="Y4726">
        <v>0</v>
      </c>
      <c r="Z4726">
        <v>0</v>
      </c>
      <c r="AA4726" t="str">
        <f>"Y"</f>
        <v>Y</v>
      </c>
      <c r="AC4726">
        <v>0</v>
      </c>
      <c r="AM4726" t="str">
        <f>"10"</f>
        <v>10</v>
      </c>
      <c r="AN4726" t="str">
        <f>"500000"</f>
        <v>500000</v>
      </c>
      <c r="AO4726" t="str">
        <f>"הכנסות  מלקוחות"</f>
        <v>הכנסות  מלקוחות</v>
      </c>
      <c r="AQ4726" t="str">
        <f>"007"</f>
        <v>007</v>
      </c>
      <c r="AR4726">
        <v>0</v>
      </c>
      <c r="AS4726">
        <v>0</v>
      </c>
      <c r="AT4726">
        <v>3.9089999999999998</v>
      </c>
      <c r="BB4726" t="str">
        <f>"Y"</f>
        <v>Y</v>
      </c>
      <c r="BD4726" t="str">
        <f>"רוני דידי"</f>
        <v>רוני דידי</v>
      </c>
    </row>
    <row r="4727" spans="1:56" x14ac:dyDescent="0.3">
      <c r="A4727" s="1">
        <v>42001</v>
      </c>
      <c r="B4727" t="str">
        <f>"SI140003307"</f>
        <v>SI140003307</v>
      </c>
      <c r="C4727" t="str">
        <f>"PR12000054"</f>
        <v>PR12000054</v>
      </c>
      <c r="E4727" t="str">
        <f>"Y"</f>
        <v>Y</v>
      </c>
      <c r="F4727" t="str">
        <f>"חשבוניות מרכזות"</f>
        <v>חשבוניות מרכזות</v>
      </c>
      <c r="G4727" t="str">
        <f>"700065"</f>
        <v>700065</v>
      </c>
      <c r="H4727" t="str">
        <f>"אלתא מערכות בע""מ"</f>
        <v>אלתא מערכות בע"מ</v>
      </c>
      <c r="I4727" t="str">
        <f>"10"</f>
        <v>10</v>
      </c>
      <c r="J4727" t="str">
        <f>"OP-AR09105"</f>
        <v>OP-AR09105</v>
      </c>
      <c r="K4727" t="str">
        <f>"לוח LB-PDB מק""ט לקוח 1026L310-002"</f>
        <v>לוח LB-PDB מק"ט לקוח 1026L310-002</v>
      </c>
      <c r="L4727">
        <v>1</v>
      </c>
      <c r="M4727" t="str">
        <f>"יח"</f>
        <v>יח</v>
      </c>
      <c r="N4727">
        <v>1</v>
      </c>
      <c r="O4727" t="str">
        <f>"יח"</f>
        <v>יח</v>
      </c>
      <c r="P4727" s="2">
        <v>25450</v>
      </c>
      <c r="Q4727" t="str">
        <f>"$"</f>
        <v>$</v>
      </c>
      <c r="R4727" t="str">
        <f>"הזמנה"</f>
        <v>הזמנה</v>
      </c>
      <c r="S4727">
        <v>0</v>
      </c>
      <c r="T4727" s="2">
        <v>25450</v>
      </c>
      <c r="U4727">
        <v>0</v>
      </c>
      <c r="V4727" s="2">
        <v>25450</v>
      </c>
      <c r="W4727" t="str">
        <f>"$"</f>
        <v>$</v>
      </c>
      <c r="X4727">
        <v>0</v>
      </c>
      <c r="Y4727">
        <v>0</v>
      </c>
      <c r="Z4727">
        <v>0</v>
      </c>
      <c r="AA4727" t="str">
        <f>"Y"</f>
        <v>Y</v>
      </c>
      <c r="AC4727">
        <v>0</v>
      </c>
      <c r="AM4727" t="str">
        <f>"10"</f>
        <v>10</v>
      </c>
      <c r="AN4727" t="str">
        <f>"500000"</f>
        <v>500000</v>
      </c>
      <c r="AO4727" t="str">
        <f>"הכנסות  מלקוחות"</f>
        <v>הכנסות  מלקוחות</v>
      </c>
      <c r="AQ4727" t="str">
        <f>"007"</f>
        <v>007</v>
      </c>
      <c r="AR4727">
        <v>0</v>
      </c>
      <c r="AS4727">
        <v>0</v>
      </c>
      <c r="AT4727">
        <v>3.9089999999999998</v>
      </c>
      <c r="BB4727" t="str">
        <f>"Y"</f>
        <v>Y</v>
      </c>
      <c r="BD4727" t="str">
        <f>"רוני דידי"</f>
        <v>רוני דידי</v>
      </c>
    </row>
    <row r="4728" spans="1:56" x14ac:dyDescent="0.3">
      <c r="A4728" s="1">
        <v>41984</v>
      </c>
      <c r="B4728" t="str">
        <f>"CR140000023"</f>
        <v>CR140000023</v>
      </c>
      <c r="C4728" t="str">
        <f>"PR12000061"</f>
        <v>PR12000061</v>
      </c>
      <c r="E4728" t="str">
        <f>"Y"</f>
        <v>Y</v>
      </c>
      <c r="F4728" t="str">
        <f>"חשבוניות זיכוי"</f>
        <v>חשבוניות זיכוי</v>
      </c>
      <c r="G4728" t="str">
        <f>"700065"</f>
        <v>700065</v>
      </c>
      <c r="H4728" t="str">
        <f>"אלתא מערכות בע""מ"</f>
        <v>אלתא מערכות בע"מ</v>
      </c>
      <c r="I4728" t="str">
        <f>"10"</f>
        <v>10</v>
      </c>
      <c r="J4728" t="str">
        <f>"999"</f>
        <v>999</v>
      </c>
      <c r="K4728" t="str">
        <f>"זיכוי בגין הפרשי מחירים לחשבונית SI140002373"</f>
        <v>זיכוי בגין הפרשי מחירים לחשבונית SI140002373</v>
      </c>
      <c r="L4728">
        <v>1</v>
      </c>
      <c r="M4728" t="str">
        <f>"חל"</f>
        <v>חל</v>
      </c>
      <c r="N4728">
        <v>1</v>
      </c>
      <c r="O4728" t="str">
        <f>"חל"</f>
        <v>חל</v>
      </c>
      <c r="P4728">
        <v>80</v>
      </c>
      <c r="Q4728" t="str">
        <f>"$"</f>
        <v>$</v>
      </c>
      <c r="R4728" t="str">
        <f>"ידני"</f>
        <v>ידני</v>
      </c>
      <c r="S4728">
        <v>0</v>
      </c>
      <c r="T4728">
        <v>80</v>
      </c>
      <c r="U4728">
        <v>0</v>
      </c>
      <c r="V4728">
        <v>80</v>
      </c>
      <c r="W4728" t="str">
        <f>"$"</f>
        <v>$</v>
      </c>
      <c r="X4728">
        <v>0</v>
      </c>
      <c r="Y4728">
        <v>0</v>
      </c>
      <c r="Z4728">
        <v>0</v>
      </c>
      <c r="AA4728" t="str">
        <f>"Y"</f>
        <v>Y</v>
      </c>
      <c r="AC4728">
        <v>0</v>
      </c>
      <c r="AM4728" t="str">
        <f>"10"</f>
        <v>10</v>
      </c>
      <c r="AN4728" t="str">
        <f>"500000"</f>
        <v>500000</v>
      </c>
      <c r="AO4728" t="str">
        <f>"הכנסות  מלקוחות"</f>
        <v>הכנסות  מלקוחות</v>
      </c>
      <c r="AQ4728" t="str">
        <f>"007"</f>
        <v>007</v>
      </c>
      <c r="AR4728">
        <v>0</v>
      </c>
      <c r="AS4728">
        <v>0</v>
      </c>
      <c r="AT4728">
        <v>3.4180000000000001</v>
      </c>
      <c r="BD4728" t="str">
        <f>"רוני דידי"</f>
        <v>רוני דידי</v>
      </c>
    </row>
    <row r="4729" spans="1:56" x14ac:dyDescent="0.3">
      <c r="A4729" s="1">
        <v>41973</v>
      </c>
      <c r="B4729" t="str">
        <f>"SI140003103"</f>
        <v>SI140003103</v>
      </c>
      <c r="C4729" t="str">
        <f>"PR13000084"</f>
        <v>PR13000084</v>
      </c>
      <c r="E4729" t="str">
        <f>"Y"</f>
        <v>Y</v>
      </c>
      <c r="F4729" t="str">
        <f>"חשבוניות מרכזות"</f>
        <v>חשבוניות מרכזות</v>
      </c>
      <c r="G4729" t="str">
        <f>"700065"</f>
        <v>700065</v>
      </c>
      <c r="H4729" t="str">
        <f>"אלתא מערכות בע""מ"</f>
        <v>אלתא מערכות בע"מ</v>
      </c>
      <c r="I4729" t="str">
        <f>"10"</f>
        <v>10</v>
      </c>
      <c r="J4729" t="str">
        <f>"OP-AR09107"</f>
        <v>OP-AR09107</v>
      </c>
      <c r="K4729" t="str">
        <f>"לוח AUX BOX מק""ט לקוח 1026L320-001"</f>
        <v>לוח AUX BOX מק"ט לקוח 1026L320-001</v>
      </c>
      <c r="L4729">
        <v>1</v>
      </c>
      <c r="M4729" t="str">
        <f>"יח"</f>
        <v>יח</v>
      </c>
      <c r="N4729">
        <v>1</v>
      </c>
      <c r="O4729" t="str">
        <f>"יח"</f>
        <v>יח</v>
      </c>
      <c r="P4729" s="2">
        <v>8794.5</v>
      </c>
      <c r="Q4729" t="str">
        <f>"$"</f>
        <v>$</v>
      </c>
      <c r="R4729" t="str">
        <f>"תעודת משלוח"</f>
        <v>תעודת משלוח</v>
      </c>
      <c r="S4729">
        <v>0</v>
      </c>
      <c r="T4729" s="2">
        <v>8794.5</v>
      </c>
      <c r="U4729">
        <v>0</v>
      </c>
      <c r="V4729" s="2">
        <v>8794.5</v>
      </c>
      <c r="W4729" t="str">
        <f>"$"</f>
        <v>$</v>
      </c>
      <c r="X4729">
        <v>0</v>
      </c>
      <c r="Y4729">
        <v>0</v>
      </c>
      <c r="Z4729">
        <v>0</v>
      </c>
      <c r="AA4729" t="str">
        <f>"Y"</f>
        <v>Y</v>
      </c>
      <c r="AB4729" t="str">
        <f>"SO140001911"</f>
        <v>SO140001911</v>
      </c>
      <c r="AC4729">
        <v>3</v>
      </c>
      <c r="AD4729" s="1">
        <v>41758</v>
      </c>
      <c r="AE4729" t="str">
        <f>"SH14003749"</f>
        <v>SH14003749</v>
      </c>
      <c r="AF4729" t="str">
        <f>"משלוחים ללקוח"</f>
        <v>משלוחים ללקוח</v>
      </c>
      <c r="AG4729" s="1">
        <v>41969</v>
      </c>
      <c r="AM4729" t="str">
        <f>"10"</f>
        <v>10</v>
      </c>
      <c r="AN4729" t="str">
        <f>"500000"</f>
        <v>500000</v>
      </c>
      <c r="AO4729" t="str">
        <f>"הכנסות  מלקוחות"</f>
        <v>הכנסות  מלקוחות</v>
      </c>
      <c r="AQ4729" t="str">
        <f>"007"</f>
        <v>007</v>
      </c>
      <c r="AR4729">
        <v>0</v>
      </c>
      <c r="AS4729">
        <v>0</v>
      </c>
      <c r="AT4729">
        <v>3.8889999999999998</v>
      </c>
      <c r="AX4729" t="str">
        <f>"E000172960"</f>
        <v>E000172960</v>
      </c>
      <c r="BD4729" t="str">
        <f>"רוני דידי"</f>
        <v>רוני דידי</v>
      </c>
    </row>
    <row r="4730" spans="1:56" x14ac:dyDescent="0.3">
      <c r="A4730" s="1">
        <v>41973</v>
      </c>
      <c r="B4730" t="str">
        <f>"SI140003102"</f>
        <v>SI140003102</v>
      </c>
      <c r="C4730" t="str">
        <f>"PR13000084"</f>
        <v>PR13000084</v>
      </c>
      <c r="E4730" t="str">
        <f>"Y"</f>
        <v>Y</v>
      </c>
      <c r="F4730" t="str">
        <f>"חשבוניות מרכזות"</f>
        <v>חשבוניות מרכזות</v>
      </c>
      <c r="G4730" t="str">
        <f>"700065"</f>
        <v>700065</v>
      </c>
      <c r="H4730" t="str">
        <f>"אלתא מערכות בע""מ"</f>
        <v>אלתא מערכות בע"מ</v>
      </c>
      <c r="I4730" t="str">
        <f>"10"</f>
        <v>10</v>
      </c>
      <c r="J4730" t="str">
        <f>"OP-AR09107"</f>
        <v>OP-AR09107</v>
      </c>
      <c r="K4730" t="str">
        <f>"לוח AUX BOX מק""ט לקוח 1026L320-001"</f>
        <v>לוח AUX BOX מק"ט לקוח 1026L320-001</v>
      </c>
      <c r="L4730">
        <v>-1</v>
      </c>
      <c r="M4730" t="str">
        <f>"יח"</f>
        <v>יח</v>
      </c>
      <c r="N4730">
        <v>-1</v>
      </c>
      <c r="O4730" t="str">
        <f>"יח"</f>
        <v>יח</v>
      </c>
      <c r="P4730" s="2">
        <v>8794.5</v>
      </c>
      <c r="Q4730" t="str">
        <f>"$"</f>
        <v>$</v>
      </c>
      <c r="R4730" t="str">
        <f>"תעודת משלוח"</f>
        <v>תעודת משלוח</v>
      </c>
      <c r="S4730">
        <v>0</v>
      </c>
      <c r="T4730" s="2">
        <v>-8794.5</v>
      </c>
      <c r="U4730">
        <v>0</v>
      </c>
      <c r="V4730" s="2">
        <v>-8794.5</v>
      </c>
      <c r="W4730" t="str">
        <f>"$"</f>
        <v>$</v>
      </c>
      <c r="X4730">
        <v>0</v>
      </c>
      <c r="Y4730">
        <v>0</v>
      </c>
      <c r="Z4730">
        <v>0</v>
      </c>
      <c r="AA4730" t="str">
        <f>"Y"</f>
        <v>Y</v>
      </c>
      <c r="AC4730">
        <v>0</v>
      </c>
      <c r="AM4730" t="str">
        <f>"10"</f>
        <v>10</v>
      </c>
      <c r="AN4730" t="str">
        <f>"500000"</f>
        <v>500000</v>
      </c>
      <c r="AO4730" t="str">
        <f>"הכנסות  מלקוחות"</f>
        <v>הכנסות  מלקוחות</v>
      </c>
      <c r="AQ4730" t="str">
        <f>"007"</f>
        <v>007</v>
      </c>
      <c r="AR4730">
        <v>0</v>
      </c>
      <c r="AS4730">
        <v>0</v>
      </c>
      <c r="AT4730">
        <v>3.8889999999999998</v>
      </c>
      <c r="BB4730" t="str">
        <f>"Y"</f>
        <v>Y</v>
      </c>
      <c r="BD4730" t="str">
        <f>"רוני דידי"</f>
        <v>רוני דידי</v>
      </c>
    </row>
    <row r="4731" spans="1:56" x14ac:dyDescent="0.3">
      <c r="A4731" s="1">
        <v>41973</v>
      </c>
      <c r="B4731" t="str">
        <f>"SI140003101"</f>
        <v>SI140003101</v>
      </c>
      <c r="C4731" t="str">
        <f>"PR13000084"</f>
        <v>PR13000084</v>
      </c>
      <c r="E4731" t="str">
        <f>"Y"</f>
        <v>Y</v>
      </c>
      <c r="F4731" t="str">
        <f>"חשבוניות מרכזות"</f>
        <v>חשבוניות מרכזות</v>
      </c>
      <c r="G4731" t="str">
        <f>"700065"</f>
        <v>700065</v>
      </c>
      <c r="H4731" t="str">
        <f>"אלתא מערכות בע""מ"</f>
        <v>אלתא מערכות בע"מ</v>
      </c>
      <c r="I4731" t="str">
        <f>"10"</f>
        <v>10</v>
      </c>
      <c r="J4731" t="str">
        <f>"OP-AR09107"</f>
        <v>OP-AR09107</v>
      </c>
      <c r="K4731" t="str">
        <f>"לוח AUX BOX מק""ט לקוח 1026L320-001"</f>
        <v>לוח AUX BOX מק"ט לקוח 1026L320-001</v>
      </c>
      <c r="L4731">
        <v>1</v>
      </c>
      <c r="M4731" t="str">
        <f>"יח"</f>
        <v>יח</v>
      </c>
      <c r="N4731">
        <v>1</v>
      </c>
      <c r="O4731" t="str">
        <f>"יח"</f>
        <v>יח</v>
      </c>
      <c r="P4731" s="2">
        <v>8794.5</v>
      </c>
      <c r="Q4731" t="str">
        <f>"$"</f>
        <v>$</v>
      </c>
      <c r="R4731" t="str">
        <f>"תעודת משלוח"</f>
        <v>תעודת משלוח</v>
      </c>
      <c r="S4731">
        <v>0</v>
      </c>
      <c r="T4731" s="2">
        <v>8794.5</v>
      </c>
      <c r="U4731">
        <v>0</v>
      </c>
      <c r="V4731" s="2">
        <v>8794.5</v>
      </c>
      <c r="W4731" t="str">
        <f>"$"</f>
        <v>$</v>
      </c>
      <c r="X4731">
        <v>0</v>
      </c>
      <c r="Y4731">
        <v>0</v>
      </c>
      <c r="Z4731">
        <v>0</v>
      </c>
      <c r="AA4731" t="str">
        <f>"Y"</f>
        <v>Y</v>
      </c>
      <c r="AC4731">
        <v>0</v>
      </c>
      <c r="AM4731" t="str">
        <f>"10"</f>
        <v>10</v>
      </c>
      <c r="AN4731" t="str">
        <f>"500000"</f>
        <v>500000</v>
      </c>
      <c r="AO4731" t="str">
        <f>"הכנסות  מלקוחות"</f>
        <v>הכנסות  מלקוחות</v>
      </c>
      <c r="AQ4731" t="str">
        <f>"007"</f>
        <v>007</v>
      </c>
      <c r="AR4731">
        <v>0</v>
      </c>
      <c r="AS4731">
        <v>0</v>
      </c>
      <c r="AT4731">
        <v>3.8889999999999998</v>
      </c>
      <c r="BB4731" t="str">
        <f>"Y"</f>
        <v>Y</v>
      </c>
      <c r="BD4731" t="str">
        <f>"רוני דידי"</f>
        <v>רוני דידי</v>
      </c>
    </row>
    <row r="4732" spans="1:56" x14ac:dyDescent="0.3">
      <c r="A4732" s="1">
        <v>41973</v>
      </c>
      <c r="B4732" t="str">
        <f>"SI140003074"</f>
        <v>SI140003074</v>
      </c>
      <c r="C4732" t="str">
        <f>"PR14001458"</f>
        <v>PR14001458</v>
      </c>
      <c r="D4732" t="str">
        <f>"PR14001458"</f>
        <v>PR14001458</v>
      </c>
      <c r="E4732" t="str">
        <f>"Y"</f>
        <v>Y</v>
      </c>
      <c r="F4732" t="str">
        <f>"חשבוניות מרכזות"</f>
        <v>חשבוניות מרכזות</v>
      </c>
      <c r="G4732" t="str">
        <f>"700065"</f>
        <v>700065</v>
      </c>
      <c r="H4732" t="str">
        <f>"אלתא מערכות בע""מ"</f>
        <v>אלתא מערכות בע"מ</v>
      </c>
      <c r="I4732" t="str">
        <f>"10"</f>
        <v>10</v>
      </c>
      <c r="J4732" t="str">
        <f>"OP-AR00022"</f>
        <v>OP-AR00022</v>
      </c>
      <c r="K4732" t="str">
        <f>"CU RACK WIRING BLOCK"</f>
        <v>CU RACK WIRING BLOCK</v>
      </c>
      <c r="L4732">
        <v>1</v>
      </c>
      <c r="M4732" t="str">
        <f>"יח"</f>
        <v>יח</v>
      </c>
      <c r="N4732">
        <v>1</v>
      </c>
      <c r="O4732" t="str">
        <f>"יח"</f>
        <v>יח</v>
      </c>
      <c r="P4732" s="2">
        <v>160000</v>
      </c>
      <c r="Q4732" t="str">
        <f>"$"</f>
        <v>$</v>
      </c>
      <c r="R4732" t="str">
        <f>"תעודת משלוח"</f>
        <v>תעודת משלוח</v>
      </c>
      <c r="S4732">
        <v>0</v>
      </c>
      <c r="T4732" s="2">
        <v>160000</v>
      </c>
      <c r="U4732">
        <v>0</v>
      </c>
      <c r="V4732" s="2">
        <v>160000</v>
      </c>
      <c r="W4732" t="str">
        <f>"$"</f>
        <v>$</v>
      </c>
      <c r="X4732">
        <v>0</v>
      </c>
      <c r="Y4732">
        <v>0</v>
      </c>
      <c r="Z4732">
        <v>0</v>
      </c>
      <c r="AA4732" t="str">
        <f>"Y"</f>
        <v>Y</v>
      </c>
      <c r="AB4732" t="str">
        <f>"SO140001767"</f>
        <v>SO140001767</v>
      </c>
      <c r="AC4732">
        <v>2</v>
      </c>
      <c r="AD4732" s="1">
        <v>41708</v>
      </c>
      <c r="AE4732" t="str">
        <f>"SH14003760"</f>
        <v>SH14003760</v>
      </c>
      <c r="AF4732" t="str">
        <f>"משלוחים ללקוח"</f>
        <v>משלוחים ללקוח</v>
      </c>
      <c r="AG4732" s="1">
        <v>41970</v>
      </c>
      <c r="AM4732" t="str">
        <f>"10"</f>
        <v>10</v>
      </c>
      <c r="AN4732" t="str">
        <f>"500000"</f>
        <v>500000</v>
      </c>
      <c r="AO4732" t="str">
        <f>"הכנסות  מלקוחות"</f>
        <v>הכנסות  מלקוחות</v>
      </c>
      <c r="AQ4732" t="str">
        <f>"007"</f>
        <v>007</v>
      </c>
      <c r="AR4732">
        <v>0</v>
      </c>
      <c r="AS4732">
        <v>0</v>
      </c>
      <c r="AT4732">
        <v>3.8889999999999998</v>
      </c>
      <c r="AX4732" t="str">
        <f>"E000170645"</f>
        <v>E000170645</v>
      </c>
      <c r="BD4732" t="str">
        <f>"רוני דידי"</f>
        <v>רוני דידי</v>
      </c>
    </row>
    <row r="4733" spans="1:56" x14ac:dyDescent="0.3">
      <c r="A4733" s="1">
        <v>41939</v>
      </c>
      <c r="B4733" t="str">
        <f>"SI140002891"</f>
        <v>SI140002891</v>
      </c>
      <c r="E4733" t="str">
        <f>"Y"</f>
        <v>Y</v>
      </c>
      <c r="F4733" t="str">
        <f>"חשבוניות מרכזות"</f>
        <v>חשבוניות מרכזות</v>
      </c>
      <c r="G4733" t="str">
        <f>"700065"</f>
        <v>700065</v>
      </c>
      <c r="H4733" t="str">
        <f>"אלתא מערכות בע""מ"</f>
        <v>אלתא מערכות בע"מ</v>
      </c>
      <c r="I4733" t="str">
        <f>"10"</f>
        <v>10</v>
      </c>
      <c r="J4733" t="str">
        <f>"OP-AR00007"</f>
        <v>OP-AR00007</v>
      </c>
      <c r="K4733" t="str">
        <f>"שינוי AC DC,DC) PDB)- אלתא"</f>
        <v>שינוי AC DC,DC) PDB)- אלתא</v>
      </c>
      <c r="L4733">
        <v>6.7000000000000004E-2</v>
      </c>
      <c r="M4733" t="str">
        <f>"חל"</f>
        <v>חל</v>
      </c>
      <c r="N4733">
        <v>6.7000000000000004E-2</v>
      </c>
      <c r="O4733" t="str">
        <f>"חל"</f>
        <v>חל</v>
      </c>
      <c r="P4733" s="2">
        <v>273153.74</v>
      </c>
      <c r="Q4733" t="str">
        <f>"$"</f>
        <v>$</v>
      </c>
      <c r="R4733" t="str">
        <f>"הזמנה"</f>
        <v>הזמנה</v>
      </c>
      <c r="S4733">
        <v>0</v>
      </c>
      <c r="T4733" s="2">
        <v>18301.3</v>
      </c>
      <c r="U4733">
        <v>0</v>
      </c>
      <c r="V4733" s="2">
        <v>18301.3</v>
      </c>
      <c r="W4733" t="str">
        <f>"$"</f>
        <v>$</v>
      </c>
      <c r="X4733">
        <v>0</v>
      </c>
      <c r="Y4733">
        <v>0</v>
      </c>
      <c r="Z4733">
        <v>0</v>
      </c>
      <c r="AA4733" t="str">
        <f>"Y"</f>
        <v>Y</v>
      </c>
      <c r="AB4733" t="str">
        <f>"SO130000191"</f>
        <v>SO130000191</v>
      </c>
      <c r="AC4733">
        <v>4</v>
      </c>
      <c r="AD4733" s="1">
        <v>41324</v>
      </c>
      <c r="AM4733" t="str">
        <f>"10"</f>
        <v>10</v>
      </c>
      <c r="AN4733" t="str">
        <f>"500000"</f>
        <v>500000</v>
      </c>
      <c r="AO4733" t="str">
        <f>"הכנסות  מלקוחות"</f>
        <v>הכנסות  מלקוחות</v>
      </c>
      <c r="AQ4733" t="str">
        <f>"007"</f>
        <v>007</v>
      </c>
      <c r="AR4733">
        <v>0</v>
      </c>
      <c r="AS4733">
        <v>0</v>
      </c>
      <c r="AT4733">
        <v>3.7879999999999998</v>
      </c>
      <c r="AX4733" t="str">
        <f>"E000143532/2"</f>
        <v>E000143532/2</v>
      </c>
      <c r="BD4733" t="str">
        <f>"רוני דידי"</f>
        <v>רוני דידי</v>
      </c>
    </row>
    <row r="4734" spans="1:56" x14ac:dyDescent="0.3">
      <c r="A4734" s="1">
        <v>41939</v>
      </c>
      <c r="B4734" t="str">
        <f>"SI140002891"</f>
        <v>SI140002891</v>
      </c>
      <c r="E4734" t="str">
        <f>"Y"</f>
        <v>Y</v>
      </c>
      <c r="F4734" t="str">
        <f>"חשבוניות מרכזות"</f>
        <v>חשבוניות מרכזות</v>
      </c>
      <c r="G4734" t="str">
        <f>"700065"</f>
        <v>700065</v>
      </c>
      <c r="H4734" t="str">
        <f>"אלתא מערכות בע""מ"</f>
        <v>אלתא מערכות בע"מ</v>
      </c>
      <c r="I4734" t="str">
        <f>"10"</f>
        <v>10</v>
      </c>
      <c r="J4734" t="str">
        <f>"OP-AR00007"</f>
        <v>OP-AR00007</v>
      </c>
      <c r="K4734" t="str">
        <f>"שינוי AC DC,DC) PDB)- אלתא"</f>
        <v>שינוי AC DC,DC) PDB)- אלתא</v>
      </c>
      <c r="L4734">
        <v>6.7000000000000004E-2</v>
      </c>
      <c r="M4734" t="str">
        <f>"חל"</f>
        <v>חל</v>
      </c>
      <c r="N4734">
        <v>6.7000000000000004E-2</v>
      </c>
      <c r="O4734" t="str">
        <f>"חל"</f>
        <v>חל</v>
      </c>
      <c r="P4734" s="2">
        <v>273153.74</v>
      </c>
      <c r="Q4734" t="str">
        <f>"$"</f>
        <v>$</v>
      </c>
      <c r="R4734" t="str">
        <f>"הזמנה"</f>
        <v>הזמנה</v>
      </c>
      <c r="S4734">
        <v>0</v>
      </c>
      <c r="T4734" s="2">
        <v>18301.3</v>
      </c>
      <c r="U4734">
        <v>0</v>
      </c>
      <c r="V4734" s="2">
        <v>18301.3</v>
      </c>
      <c r="W4734" t="str">
        <f>"$"</f>
        <v>$</v>
      </c>
      <c r="X4734">
        <v>0</v>
      </c>
      <c r="Y4734">
        <v>0</v>
      </c>
      <c r="Z4734">
        <v>0</v>
      </c>
      <c r="AA4734" t="str">
        <f>"Y"</f>
        <v>Y</v>
      </c>
      <c r="AB4734" t="str">
        <f>"SO130000191"</f>
        <v>SO130000191</v>
      </c>
      <c r="AC4734">
        <v>5</v>
      </c>
      <c r="AD4734" s="1">
        <v>41324</v>
      </c>
      <c r="AM4734" t="str">
        <f>"10"</f>
        <v>10</v>
      </c>
      <c r="AN4734" t="str">
        <f>"500000"</f>
        <v>500000</v>
      </c>
      <c r="AO4734" t="str">
        <f>"הכנסות  מלקוחות"</f>
        <v>הכנסות  מלקוחות</v>
      </c>
      <c r="AQ4734" t="str">
        <f>"007"</f>
        <v>007</v>
      </c>
      <c r="AR4734">
        <v>0</v>
      </c>
      <c r="AS4734">
        <v>0</v>
      </c>
      <c r="AT4734">
        <v>3.7879999999999998</v>
      </c>
      <c r="AX4734" t="str">
        <f>"E000143532/2"</f>
        <v>E000143532/2</v>
      </c>
      <c r="BD4734" t="str">
        <f>"רוני דידי"</f>
        <v>רוני דידי</v>
      </c>
    </row>
    <row r="4735" spans="1:56" x14ac:dyDescent="0.3">
      <c r="A4735" s="1">
        <v>41939</v>
      </c>
      <c r="B4735" t="str">
        <f>"SI140002891"</f>
        <v>SI140002891</v>
      </c>
      <c r="E4735" t="str">
        <f>"Y"</f>
        <v>Y</v>
      </c>
      <c r="F4735" t="str">
        <f>"חשבוניות מרכזות"</f>
        <v>חשבוניות מרכזות</v>
      </c>
      <c r="G4735" t="str">
        <f>"700065"</f>
        <v>700065</v>
      </c>
      <c r="H4735" t="str">
        <f>"אלתא מערכות בע""מ"</f>
        <v>אלתא מערכות בע"מ</v>
      </c>
      <c r="I4735" t="str">
        <f>"10"</f>
        <v>10</v>
      </c>
      <c r="J4735" t="str">
        <f>"OP-AR00007"</f>
        <v>OP-AR00007</v>
      </c>
      <c r="K4735" t="str">
        <f>"שינוי AC DC,DC) PDB)- אלתא"</f>
        <v>שינוי AC DC,DC) PDB)- אלתא</v>
      </c>
      <c r="L4735">
        <v>6.7000000000000004E-2</v>
      </c>
      <c r="M4735" t="str">
        <f>"חל"</f>
        <v>חל</v>
      </c>
      <c r="N4735">
        <v>6.7000000000000004E-2</v>
      </c>
      <c r="O4735" t="str">
        <f>"חל"</f>
        <v>חל</v>
      </c>
      <c r="P4735" s="2">
        <v>273153.74</v>
      </c>
      <c r="Q4735" t="str">
        <f>"$"</f>
        <v>$</v>
      </c>
      <c r="R4735" t="str">
        <f>"הזמנה"</f>
        <v>הזמנה</v>
      </c>
      <c r="S4735">
        <v>0</v>
      </c>
      <c r="T4735" s="2">
        <v>18301.3</v>
      </c>
      <c r="U4735">
        <v>0</v>
      </c>
      <c r="V4735" s="2">
        <v>18301.3</v>
      </c>
      <c r="W4735" t="str">
        <f>"$"</f>
        <v>$</v>
      </c>
      <c r="X4735">
        <v>0</v>
      </c>
      <c r="Y4735">
        <v>0</v>
      </c>
      <c r="Z4735">
        <v>0</v>
      </c>
      <c r="AA4735" t="str">
        <f>"Y"</f>
        <v>Y</v>
      </c>
      <c r="AB4735" t="str">
        <f>"SO130000191"</f>
        <v>SO130000191</v>
      </c>
      <c r="AC4735">
        <v>6</v>
      </c>
      <c r="AD4735" s="1">
        <v>41324</v>
      </c>
      <c r="AM4735" t="str">
        <f>"10"</f>
        <v>10</v>
      </c>
      <c r="AN4735" t="str">
        <f>"500000"</f>
        <v>500000</v>
      </c>
      <c r="AO4735" t="str">
        <f>"הכנסות  מלקוחות"</f>
        <v>הכנסות  מלקוחות</v>
      </c>
      <c r="AQ4735" t="str">
        <f>"007"</f>
        <v>007</v>
      </c>
      <c r="AR4735">
        <v>0</v>
      </c>
      <c r="AS4735">
        <v>0</v>
      </c>
      <c r="AT4735">
        <v>3.7879999999999998</v>
      </c>
      <c r="AX4735" t="str">
        <f>"E000143532/2"</f>
        <v>E000143532/2</v>
      </c>
      <c r="BD4735" t="str">
        <f>"רוני דידי"</f>
        <v>רוני דידי</v>
      </c>
    </row>
    <row r="4736" spans="1:56" x14ac:dyDescent="0.3">
      <c r="A4736" s="1">
        <v>41939</v>
      </c>
      <c r="B4736" t="str">
        <f>"SI140002890"</f>
        <v>SI140002890</v>
      </c>
      <c r="C4736" t="str">
        <f>"PR12000061"</f>
        <v>PR12000061</v>
      </c>
      <c r="D4736" t="str">
        <f>"PR12000061"</f>
        <v>PR12000061</v>
      </c>
      <c r="E4736" t="str">
        <f>"Y"</f>
        <v>Y</v>
      </c>
      <c r="F4736" t="str">
        <f>"חשבוניות מרכזות"</f>
        <v>חשבוניות מרכזות</v>
      </c>
      <c r="G4736" t="str">
        <f>"700065"</f>
        <v>700065</v>
      </c>
      <c r="H4736" t="str">
        <f>"אלתא מערכות בע""מ"</f>
        <v>אלתא מערכות בע"מ</v>
      </c>
      <c r="I4736" t="str">
        <f>"10"</f>
        <v>10</v>
      </c>
      <c r="J4736" t="str">
        <f>"OP-AR12324"</f>
        <v>OP-AR12324</v>
      </c>
      <c r="K4736" t="str">
        <f>"לוח חלוקה DC PDB מק""ט לקוח 1025A690-001"</f>
        <v>לוח חלוקה DC PDB מק"ט לקוח 1025A690-001</v>
      </c>
      <c r="L4736">
        <v>1</v>
      </c>
      <c r="M4736" t="str">
        <f>"יח"</f>
        <v>יח</v>
      </c>
      <c r="N4736">
        <v>1</v>
      </c>
      <c r="O4736" t="str">
        <f>"יח"</f>
        <v>יח</v>
      </c>
      <c r="P4736" s="2">
        <v>58509</v>
      </c>
      <c r="Q4736" t="str">
        <f>"$"</f>
        <v>$</v>
      </c>
      <c r="R4736" t="str">
        <f>"תעודת משלוח"</f>
        <v>תעודת משלוח</v>
      </c>
      <c r="S4736">
        <v>0</v>
      </c>
      <c r="T4736" s="2">
        <v>58509</v>
      </c>
      <c r="U4736">
        <v>0</v>
      </c>
      <c r="V4736" s="2">
        <v>58509</v>
      </c>
      <c r="W4736" t="str">
        <f>"$"</f>
        <v>$</v>
      </c>
      <c r="X4736">
        <v>0</v>
      </c>
      <c r="Y4736">
        <v>0</v>
      </c>
      <c r="Z4736">
        <v>0</v>
      </c>
      <c r="AA4736" t="str">
        <f>"Y"</f>
        <v>Y</v>
      </c>
      <c r="AB4736" t="str">
        <f>"SO130000065"</f>
        <v>SO130000065</v>
      </c>
      <c r="AC4736">
        <v>10</v>
      </c>
      <c r="AD4736" s="1">
        <v>41297</v>
      </c>
      <c r="AE4736" t="str">
        <f>"SH14003509"</f>
        <v>SH14003509</v>
      </c>
      <c r="AF4736" t="str">
        <f>"משלוחים ללקוח"</f>
        <v>משלוחים ללקוח</v>
      </c>
      <c r="AG4736" s="1">
        <v>41931</v>
      </c>
      <c r="AM4736" t="str">
        <f>"10"</f>
        <v>10</v>
      </c>
      <c r="AN4736" t="str">
        <f>"500000"</f>
        <v>500000</v>
      </c>
      <c r="AO4736" t="str">
        <f>"הכנסות  מלקוחות"</f>
        <v>הכנסות  מלקוחות</v>
      </c>
      <c r="AQ4736" t="str">
        <f>"007"</f>
        <v>007</v>
      </c>
      <c r="AR4736">
        <v>0</v>
      </c>
      <c r="AS4736">
        <v>0</v>
      </c>
      <c r="AT4736">
        <v>3.7879999999999998</v>
      </c>
      <c r="AX4736" t="str">
        <f>"E000119136"</f>
        <v>E000119136</v>
      </c>
      <c r="BD4736" t="str">
        <f>"רוני דידי"</f>
        <v>רוני דידי</v>
      </c>
    </row>
    <row r="4737" spans="1:56" x14ac:dyDescent="0.3">
      <c r="A4737" s="1">
        <v>41939</v>
      </c>
      <c r="B4737" t="str">
        <f>"SI140002889"</f>
        <v>SI140002889</v>
      </c>
      <c r="C4737" t="str">
        <f>"PR12000061"</f>
        <v>PR12000061</v>
      </c>
      <c r="D4737" t="str">
        <f>"PR12000061"</f>
        <v>PR12000061</v>
      </c>
      <c r="E4737" t="str">
        <f>"Y"</f>
        <v>Y</v>
      </c>
      <c r="F4737" t="str">
        <f>"חשבוניות מרכזות"</f>
        <v>חשבוניות מרכזות</v>
      </c>
      <c r="G4737" t="str">
        <f>"700065"</f>
        <v>700065</v>
      </c>
      <c r="H4737" t="str">
        <f>"אלתא מערכות בע""מ"</f>
        <v>אלתא מערכות בע"מ</v>
      </c>
      <c r="I4737" t="str">
        <f>"10"</f>
        <v>10</v>
      </c>
      <c r="J4737" t="str">
        <f>"OP-AR12324"</f>
        <v>OP-AR12324</v>
      </c>
      <c r="K4737" t="str">
        <f>"לוח חלוקה DC PDB מק""ט לקוח 1025A690-001"</f>
        <v>לוח חלוקה DC PDB מק"ט לקוח 1025A690-001</v>
      </c>
      <c r="L4737">
        <v>1</v>
      </c>
      <c r="M4737" t="str">
        <f>"יח"</f>
        <v>יח</v>
      </c>
      <c r="N4737">
        <v>1</v>
      </c>
      <c r="O4737" t="str">
        <f>"יח"</f>
        <v>יח</v>
      </c>
      <c r="P4737" s="2">
        <v>58509</v>
      </c>
      <c r="Q4737" t="str">
        <f>"$"</f>
        <v>$</v>
      </c>
      <c r="R4737" t="str">
        <f>"תעודת משלוח"</f>
        <v>תעודת משלוח</v>
      </c>
      <c r="S4737">
        <v>0</v>
      </c>
      <c r="T4737" s="2">
        <v>58509</v>
      </c>
      <c r="U4737">
        <v>0</v>
      </c>
      <c r="V4737" s="2">
        <v>58509</v>
      </c>
      <c r="W4737" t="str">
        <f>"$"</f>
        <v>$</v>
      </c>
      <c r="X4737">
        <v>0</v>
      </c>
      <c r="Y4737">
        <v>0</v>
      </c>
      <c r="Z4737">
        <v>0</v>
      </c>
      <c r="AA4737" t="str">
        <f>"Y"</f>
        <v>Y</v>
      </c>
      <c r="AB4737" t="str">
        <f>"SO130000065"</f>
        <v>SO130000065</v>
      </c>
      <c r="AC4737">
        <v>11</v>
      </c>
      <c r="AD4737" s="1">
        <v>41297</v>
      </c>
      <c r="AE4737" t="str">
        <f>"SH14003551"</f>
        <v>SH14003551</v>
      </c>
      <c r="AF4737" t="str">
        <f>"משלוחים ללקוח"</f>
        <v>משלוחים ללקוח</v>
      </c>
      <c r="AG4737" s="1">
        <v>41935</v>
      </c>
      <c r="AM4737" t="str">
        <f>"10"</f>
        <v>10</v>
      </c>
      <c r="AN4737" t="str">
        <f>"500000"</f>
        <v>500000</v>
      </c>
      <c r="AO4737" t="str">
        <f>"הכנסות  מלקוחות"</f>
        <v>הכנסות  מלקוחות</v>
      </c>
      <c r="AQ4737" t="str">
        <f>"007"</f>
        <v>007</v>
      </c>
      <c r="AR4737">
        <v>0</v>
      </c>
      <c r="AS4737">
        <v>0</v>
      </c>
      <c r="AT4737">
        <v>3.7879999999999998</v>
      </c>
      <c r="AX4737" t="str">
        <f>"E000119136"</f>
        <v>E000119136</v>
      </c>
      <c r="BD4737" t="str">
        <f>"רוני דידי"</f>
        <v>רוני דידי</v>
      </c>
    </row>
    <row r="4738" spans="1:56" x14ac:dyDescent="0.3">
      <c r="A4738" s="1">
        <v>41939</v>
      </c>
      <c r="B4738" t="str">
        <f>"SI140002889"</f>
        <v>SI140002889</v>
      </c>
      <c r="C4738" t="str">
        <f>"PR12000061"</f>
        <v>PR12000061</v>
      </c>
      <c r="D4738" t="str">
        <f>"PR12000061"</f>
        <v>PR12000061</v>
      </c>
      <c r="E4738" t="str">
        <f>"Y"</f>
        <v>Y</v>
      </c>
      <c r="F4738" t="str">
        <f>"חשבוניות מרכזות"</f>
        <v>חשבוניות מרכזות</v>
      </c>
      <c r="G4738" t="str">
        <f>"700065"</f>
        <v>700065</v>
      </c>
      <c r="H4738" t="str">
        <f>"אלתא מערכות בע""מ"</f>
        <v>אלתא מערכות בע"מ</v>
      </c>
      <c r="I4738" t="str">
        <f>"10"</f>
        <v>10</v>
      </c>
      <c r="J4738" t="str">
        <f>"OP-AR12324"</f>
        <v>OP-AR12324</v>
      </c>
      <c r="K4738" t="str">
        <f>"לוח חלוקה DC PDB מק""ט לקוח 1025A690-001"</f>
        <v>לוח חלוקה DC PDB מק"ט לקוח 1025A690-001</v>
      </c>
      <c r="L4738">
        <v>1</v>
      </c>
      <c r="M4738" t="str">
        <f>"יח"</f>
        <v>יח</v>
      </c>
      <c r="N4738">
        <v>1</v>
      </c>
      <c r="O4738" t="str">
        <f>"יח"</f>
        <v>יח</v>
      </c>
      <c r="P4738" s="2">
        <v>58509</v>
      </c>
      <c r="Q4738" t="str">
        <f>"$"</f>
        <v>$</v>
      </c>
      <c r="R4738" t="str">
        <f>"תעודת משלוח"</f>
        <v>תעודת משלוח</v>
      </c>
      <c r="S4738">
        <v>0</v>
      </c>
      <c r="T4738" s="2">
        <v>58509</v>
      </c>
      <c r="U4738">
        <v>0</v>
      </c>
      <c r="V4738" s="2">
        <v>58509</v>
      </c>
      <c r="W4738" t="str">
        <f>"$"</f>
        <v>$</v>
      </c>
      <c r="X4738">
        <v>0</v>
      </c>
      <c r="Y4738">
        <v>0</v>
      </c>
      <c r="Z4738">
        <v>0</v>
      </c>
      <c r="AA4738" t="str">
        <f>"Y"</f>
        <v>Y</v>
      </c>
      <c r="AB4738" t="str">
        <f>"SO130000065"</f>
        <v>SO130000065</v>
      </c>
      <c r="AC4738">
        <v>12</v>
      </c>
      <c r="AD4738" s="1">
        <v>41297</v>
      </c>
      <c r="AE4738" t="str">
        <f>"SH14003551"</f>
        <v>SH14003551</v>
      </c>
      <c r="AF4738" t="str">
        <f>"משלוחים ללקוח"</f>
        <v>משלוחים ללקוח</v>
      </c>
      <c r="AG4738" s="1">
        <v>41935</v>
      </c>
      <c r="AM4738" t="str">
        <f>"10"</f>
        <v>10</v>
      </c>
      <c r="AN4738" t="str">
        <f>"500000"</f>
        <v>500000</v>
      </c>
      <c r="AO4738" t="str">
        <f>"הכנסות  מלקוחות"</f>
        <v>הכנסות  מלקוחות</v>
      </c>
      <c r="AQ4738" t="str">
        <f>"007"</f>
        <v>007</v>
      </c>
      <c r="AR4738">
        <v>0</v>
      </c>
      <c r="AS4738">
        <v>0</v>
      </c>
      <c r="AT4738">
        <v>3.7879999999999998</v>
      </c>
      <c r="AX4738" t="str">
        <f>"E000119136"</f>
        <v>E000119136</v>
      </c>
      <c r="BD4738" t="str">
        <f>"רוני דידי"</f>
        <v>רוני דידי</v>
      </c>
    </row>
    <row r="4739" spans="1:56" x14ac:dyDescent="0.3">
      <c r="A4739" s="1">
        <v>41939</v>
      </c>
      <c r="B4739" t="str">
        <f>"SI140002888"</f>
        <v>SI140002888</v>
      </c>
      <c r="C4739" t="str">
        <f>"PR14001982"</f>
        <v>PR14001982</v>
      </c>
      <c r="D4739" t="str">
        <f>"PR14001982"</f>
        <v>PR14001982</v>
      </c>
      <c r="E4739" t="str">
        <f>"Y"</f>
        <v>Y</v>
      </c>
      <c r="F4739" t="str">
        <f>"חשבוניות מרכזות"</f>
        <v>חשבוניות מרכזות</v>
      </c>
      <c r="G4739" t="str">
        <f>"700065"</f>
        <v>700065</v>
      </c>
      <c r="H4739" t="str">
        <f>"אלתא מערכות בע""מ"</f>
        <v>אלתא מערכות בע"מ</v>
      </c>
      <c r="I4739" t="str">
        <f>"10"</f>
        <v>10</v>
      </c>
      <c r="J4739" t="str">
        <f>"999"</f>
        <v>999</v>
      </c>
      <c r="K4739" t="str">
        <f>"התקנת מחברי קצה ופריסת 4 כבלים"</f>
        <v>התקנת מחברי קצה ופריסת 4 כבלים</v>
      </c>
      <c r="L4739">
        <v>1</v>
      </c>
      <c r="M4739" t="str">
        <f>"חל"</f>
        <v>חל</v>
      </c>
      <c r="N4739">
        <v>1</v>
      </c>
      <c r="O4739" t="str">
        <f>"חל"</f>
        <v>חל</v>
      </c>
      <c r="P4739">
        <v>630</v>
      </c>
      <c r="Q4739" t="str">
        <f>"$"</f>
        <v>$</v>
      </c>
      <c r="R4739" t="str">
        <f>"הזמנה"</f>
        <v>הזמנה</v>
      </c>
      <c r="S4739">
        <v>0</v>
      </c>
      <c r="T4739">
        <v>630</v>
      </c>
      <c r="U4739">
        <v>0</v>
      </c>
      <c r="V4739">
        <v>630</v>
      </c>
      <c r="W4739" t="str">
        <f>"$"</f>
        <v>$</v>
      </c>
      <c r="X4739">
        <v>0</v>
      </c>
      <c r="Y4739">
        <v>0</v>
      </c>
      <c r="Z4739">
        <v>0</v>
      </c>
      <c r="AA4739" t="str">
        <f>"Y"</f>
        <v>Y</v>
      </c>
      <c r="AB4739" t="str">
        <f>"SO140002314"</f>
        <v>SO140002314</v>
      </c>
      <c r="AC4739">
        <v>1</v>
      </c>
      <c r="AD4739" s="1">
        <v>41890</v>
      </c>
      <c r="AM4739" t="str">
        <f>"10"</f>
        <v>10</v>
      </c>
      <c r="AN4739" t="str">
        <f>"500000"</f>
        <v>500000</v>
      </c>
      <c r="AO4739" t="str">
        <f>"הכנסות  מלקוחות"</f>
        <v>הכנסות  מלקוחות</v>
      </c>
      <c r="AQ4739" t="str">
        <f>"007"</f>
        <v>007</v>
      </c>
      <c r="AR4739">
        <v>0</v>
      </c>
      <c r="AS4739">
        <v>0</v>
      </c>
      <c r="AT4739">
        <v>3.7879999999999998</v>
      </c>
      <c r="AX4739" t="str">
        <f>"E000179250"</f>
        <v>E000179250</v>
      </c>
      <c r="BD4739" t="str">
        <f>"רוני דידי"</f>
        <v>רוני דידי</v>
      </c>
    </row>
    <row r="4740" spans="1:56" x14ac:dyDescent="0.3">
      <c r="A4740" s="1">
        <v>41939</v>
      </c>
      <c r="B4740" t="str">
        <f>"SI140002888"</f>
        <v>SI140002888</v>
      </c>
      <c r="C4740" t="str">
        <f>"PR14001982"</f>
        <v>PR14001982</v>
      </c>
      <c r="D4740" t="str">
        <f>"PR14001982"</f>
        <v>PR14001982</v>
      </c>
      <c r="E4740" t="str">
        <f>"Y"</f>
        <v>Y</v>
      </c>
      <c r="F4740" t="str">
        <f>"חשבוניות מרכזות"</f>
        <v>חשבוניות מרכזות</v>
      </c>
      <c r="G4740" t="str">
        <f>"700065"</f>
        <v>700065</v>
      </c>
      <c r="H4740" t="str">
        <f>"אלתא מערכות בע""מ"</f>
        <v>אלתא מערכות בע"מ</v>
      </c>
      <c r="I4740" t="str">
        <f>"10"</f>
        <v>10</v>
      </c>
      <c r="J4740" t="str">
        <f>"999"</f>
        <v>999</v>
      </c>
      <c r="K4740" t="str">
        <f>"פתיחה וסגירה מחדש MCT של מעבר"</f>
        <v>פתיחה וסגירה מחדש MCT של מעבר</v>
      </c>
      <c r="L4740">
        <v>1</v>
      </c>
      <c r="M4740" t="str">
        <f>"חל"</f>
        <v>חל</v>
      </c>
      <c r="N4740">
        <v>1</v>
      </c>
      <c r="O4740" t="str">
        <f>"חל"</f>
        <v>חל</v>
      </c>
      <c r="P4740">
        <v>380</v>
      </c>
      <c r="Q4740" t="str">
        <f>"$"</f>
        <v>$</v>
      </c>
      <c r="R4740" t="str">
        <f>"הזמנה"</f>
        <v>הזמנה</v>
      </c>
      <c r="S4740">
        <v>0</v>
      </c>
      <c r="T4740">
        <v>380</v>
      </c>
      <c r="U4740">
        <v>0</v>
      </c>
      <c r="V4740">
        <v>380</v>
      </c>
      <c r="W4740" t="str">
        <f>"$"</f>
        <v>$</v>
      </c>
      <c r="X4740">
        <v>0</v>
      </c>
      <c r="Y4740">
        <v>0</v>
      </c>
      <c r="Z4740">
        <v>0</v>
      </c>
      <c r="AA4740" t="str">
        <f>"Y"</f>
        <v>Y</v>
      </c>
      <c r="AB4740" t="str">
        <f>"SO140002314"</f>
        <v>SO140002314</v>
      </c>
      <c r="AC4740">
        <v>2</v>
      </c>
      <c r="AD4740" s="1">
        <v>41890</v>
      </c>
      <c r="AM4740" t="str">
        <f>"10"</f>
        <v>10</v>
      </c>
      <c r="AN4740" t="str">
        <f>"500000"</f>
        <v>500000</v>
      </c>
      <c r="AO4740" t="str">
        <f>"הכנסות  מלקוחות"</f>
        <v>הכנסות  מלקוחות</v>
      </c>
      <c r="AQ4740" t="str">
        <f>"007"</f>
        <v>007</v>
      </c>
      <c r="AR4740">
        <v>0</v>
      </c>
      <c r="AS4740">
        <v>0</v>
      </c>
      <c r="AT4740">
        <v>3.7879999999999998</v>
      </c>
      <c r="AX4740" t="str">
        <f>"E000179250"</f>
        <v>E000179250</v>
      </c>
      <c r="BD4740" t="str">
        <f>"רוני דידי"</f>
        <v>רוני דידי</v>
      </c>
    </row>
    <row r="4741" spans="1:56" x14ac:dyDescent="0.3">
      <c r="A4741" s="1">
        <v>41935</v>
      </c>
      <c r="B4741" t="str">
        <f>"SI140002858"</f>
        <v>SI140002858</v>
      </c>
      <c r="C4741" t="str">
        <f>"PR14002106"</f>
        <v>PR14002106</v>
      </c>
      <c r="D4741" t="str">
        <f>"PR14002106"</f>
        <v>PR14002106</v>
      </c>
      <c r="E4741" t="str">
        <f>"Y"</f>
        <v>Y</v>
      </c>
      <c r="F4741" t="str">
        <f>"חשבוניות מרכזות"</f>
        <v>חשבוניות מרכזות</v>
      </c>
      <c r="G4741" t="str">
        <f>"700065"</f>
        <v>700065</v>
      </c>
      <c r="H4741" t="str">
        <f>"אלתא מערכות בע""מ"</f>
        <v>אלתא מערכות בע"מ</v>
      </c>
      <c r="I4741" t="str">
        <f>"05"</f>
        <v>05</v>
      </c>
      <c r="J4741" t="str">
        <f>"OP-PD00777"</f>
        <v>OP-PD00777</v>
      </c>
      <c r="K4741" t="str">
        <f>"Distrbtion Borad 16A"</f>
        <v>Distrbtion Borad 16A</v>
      </c>
      <c r="L4741">
        <v>3</v>
      </c>
      <c r="M4741" t="str">
        <f>"יח"</f>
        <v>יח</v>
      </c>
      <c r="N4741">
        <v>3</v>
      </c>
      <c r="O4741" t="str">
        <f>"יח"</f>
        <v>יח</v>
      </c>
      <c r="P4741" s="2">
        <v>4840</v>
      </c>
      <c r="Q4741" t="str">
        <f>"ש""ח"</f>
        <v>ש"ח</v>
      </c>
      <c r="R4741" t="str">
        <f>"תעודת משלוח"</f>
        <v>תעודת משלוח</v>
      </c>
      <c r="S4741">
        <v>0</v>
      </c>
      <c r="T4741" s="2">
        <v>14520</v>
      </c>
      <c r="U4741">
        <v>0</v>
      </c>
      <c r="V4741" s="2">
        <v>14520</v>
      </c>
      <c r="W4741" t="str">
        <f>"ש""ח"</f>
        <v>ש"ח</v>
      </c>
      <c r="X4741">
        <v>0</v>
      </c>
      <c r="Y4741">
        <v>0</v>
      </c>
      <c r="Z4741">
        <v>0</v>
      </c>
      <c r="AA4741" t="str">
        <f>"Y"</f>
        <v>Y</v>
      </c>
      <c r="AB4741" t="str">
        <f>"SO140002433"</f>
        <v>SO140002433</v>
      </c>
      <c r="AC4741">
        <v>1</v>
      </c>
      <c r="AD4741" s="1">
        <v>41924</v>
      </c>
      <c r="AE4741" t="str">
        <f>"SH14003549"</f>
        <v>SH14003549</v>
      </c>
      <c r="AF4741" t="str">
        <f>"משלוחים ללקוח"</f>
        <v>משלוחים ללקוח</v>
      </c>
      <c r="AG4741" s="1">
        <v>41935</v>
      </c>
      <c r="AM4741" t="str">
        <f>"27"</f>
        <v>27</v>
      </c>
      <c r="AN4741" t="str">
        <f>"500000"</f>
        <v>500000</v>
      </c>
      <c r="AO4741" t="str">
        <f>"הכנסות  מלקוחות"</f>
        <v>הכנסות  מלקוחות</v>
      </c>
      <c r="AQ4741" t="str">
        <f>"019"</f>
        <v>019</v>
      </c>
      <c r="AR4741">
        <v>0</v>
      </c>
      <c r="AS4741">
        <v>0</v>
      </c>
      <c r="AT4741">
        <v>1</v>
      </c>
      <c r="AX4741" t="str">
        <f>"E000184051"</f>
        <v>E000184051</v>
      </c>
      <c r="BD4741" t="str">
        <f>"שמעון אלדד"</f>
        <v>שמעון אלדד</v>
      </c>
    </row>
    <row r="4742" spans="1:56" x14ac:dyDescent="0.3">
      <c r="A4742" s="1">
        <v>41935</v>
      </c>
      <c r="B4742" t="str">
        <f>"SI140002857"</f>
        <v>SI140002857</v>
      </c>
      <c r="C4742" t="str">
        <f>"PR14002106"</f>
        <v>PR14002106</v>
      </c>
      <c r="E4742" t="str">
        <f>"Y"</f>
        <v>Y</v>
      </c>
      <c r="F4742" t="str">
        <f>"חשבוניות מרכזות"</f>
        <v>חשבוניות מרכזות</v>
      </c>
      <c r="G4742" t="str">
        <f>"700065"</f>
        <v>700065</v>
      </c>
      <c r="H4742" t="str">
        <f>"אלתא מערכות בע""מ"</f>
        <v>אלתא מערכות בע"מ</v>
      </c>
      <c r="I4742" t="str">
        <f>"05"</f>
        <v>05</v>
      </c>
      <c r="J4742" t="str">
        <f>"OP-PD00777"</f>
        <v>OP-PD00777</v>
      </c>
      <c r="K4742" t="str">
        <f>"Distrbtion Borad 16A"</f>
        <v>Distrbtion Borad 16A</v>
      </c>
      <c r="L4742">
        <v>-3</v>
      </c>
      <c r="M4742" t="str">
        <f>"יח"</f>
        <v>יח</v>
      </c>
      <c r="N4742">
        <v>-3</v>
      </c>
      <c r="O4742" t="str">
        <f>"יח"</f>
        <v>יח</v>
      </c>
      <c r="P4742" s="2">
        <v>1284.8420000000001</v>
      </c>
      <c r="Q4742" t="str">
        <f>"$"</f>
        <v>$</v>
      </c>
      <c r="R4742" t="str">
        <f>"תעודת משלוח"</f>
        <v>תעודת משלוח</v>
      </c>
      <c r="S4742">
        <v>0</v>
      </c>
      <c r="T4742" s="2">
        <v>-3854.53</v>
      </c>
      <c r="U4742">
        <v>0</v>
      </c>
      <c r="V4742" s="2">
        <v>-3854.53</v>
      </c>
      <c r="W4742" t="str">
        <f>"$"</f>
        <v>$</v>
      </c>
      <c r="X4742">
        <v>0</v>
      </c>
      <c r="Y4742">
        <v>0</v>
      </c>
      <c r="Z4742">
        <v>0</v>
      </c>
      <c r="AA4742" t="str">
        <f>"Y"</f>
        <v>Y</v>
      </c>
      <c r="AC4742">
        <v>0</v>
      </c>
      <c r="AM4742" t="str">
        <f>"27"</f>
        <v>27</v>
      </c>
      <c r="AN4742" t="str">
        <f>"500000"</f>
        <v>500000</v>
      </c>
      <c r="AO4742" t="str">
        <f>"הכנסות  מלקוחות"</f>
        <v>הכנסות  מלקוחות</v>
      </c>
      <c r="AQ4742" t="str">
        <f>"019"</f>
        <v>019</v>
      </c>
      <c r="AR4742">
        <v>0</v>
      </c>
      <c r="AS4742">
        <v>0</v>
      </c>
      <c r="AT4742">
        <v>3.7669999999999999</v>
      </c>
      <c r="BB4742" t="str">
        <f>"Y"</f>
        <v>Y</v>
      </c>
      <c r="BD4742" t="str">
        <f>"שמעון אלדד"</f>
        <v>שמעון אלדד</v>
      </c>
    </row>
    <row r="4743" spans="1:56" x14ac:dyDescent="0.3">
      <c r="A4743" s="1">
        <v>41935</v>
      </c>
      <c r="B4743" t="str">
        <f>"SI140002856"</f>
        <v>SI140002856</v>
      </c>
      <c r="C4743" t="str">
        <f>"PR14002106"</f>
        <v>PR14002106</v>
      </c>
      <c r="E4743" t="str">
        <f>"Y"</f>
        <v>Y</v>
      </c>
      <c r="F4743" t="str">
        <f>"חשבוניות מרכזות"</f>
        <v>חשבוניות מרכזות</v>
      </c>
      <c r="G4743" t="str">
        <f>"700065"</f>
        <v>700065</v>
      </c>
      <c r="H4743" t="str">
        <f>"אלתא מערכות בע""מ"</f>
        <v>אלתא מערכות בע"מ</v>
      </c>
      <c r="I4743" t="str">
        <f>"05"</f>
        <v>05</v>
      </c>
      <c r="J4743" t="str">
        <f>"OP-PD00777"</f>
        <v>OP-PD00777</v>
      </c>
      <c r="K4743" t="str">
        <f>"Distrbtion Borad 16A"</f>
        <v>Distrbtion Borad 16A</v>
      </c>
      <c r="L4743">
        <v>3</v>
      </c>
      <c r="M4743" t="str">
        <f>"יח"</f>
        <v>יח</v>
      </c>
      <c r="N4743">
        <v>3</v>
      </c>
      <c r="O4743" t="str">
        <f>"יח"</f>
        <v>יח</v>
      </c>
      <c r="P4743" s="2">
        <v>1284.8420000000001</v>
      </c>
      <c r="Q4743" t="str">
        <f>"$"</f>
        <v>$</v>
      </c>
      <c r="R4743" t="str">
        <f>"תעודת משלוח"</f>
        <v>תעודת משלוח</v>
      </c>
      <c r="S4743">
        <v>0</v>
      </c>
      <c r="T4743" s="2">
        <v>3854.53</v>
      </c>
      <c r="U4743">
        <v>0</v>
      </c>
      <c r="V4743" s="2">
        <v>3854.53</v>
      </c>
      <c r="W4743" t="str">
        <f>"$"</f>
        <v>$</v>
      </c>
      <c r="X4743">
        <v>0</v>
      </c>
      <c r="Y4743">
        <v>0</v>
      </c>
      <c r="Z4743">
        <v>0</v>
      </c>
      <c r="AA4743" t="str">
        <f>"Y"</f>
        <v>Y</v>
      </c>
      <c r="AC4743">
        <v>0</v>
      </c>
      <c r="AM4743" t="str">
        <f>"27"</f>
        <v>27</v>
      </c>
      <c r="AN4743" t="str">
        <f>"500000"</f>
        <v>500000</v>
      </c>
      <c r="AO4743" t="str">
        <f>"הכנסות  מלקוחות"</f>
        <v>הכנסות  מלקוחות</v>
      </c>
      <c r="AQ4743" t="str">
        <f>"019"</f>
        <v>019</v>
      </c>
      <c r="AR4743">
        <v>0</v>
      </c>
      <c r="AS4743">
        <v>0</v>
      </c>
      <c r="AT4743">
        <v>3.7669999999999999</v>
      </c>
      <c r="BB4743" t="str">
        <f>"Y"</f>
        <v>Y</v>
      </c>
      <c r="BD4743" t="str">
        <f>"שמעון אלדד"</f>
        <v>שמעון אלדד</v>
      </c>
    </row>
    <row r="4744" spans="1:56" x14ac:dyDescent="0.3">
      <c r="A4744" s="1">
        <v>41935</v>
      </c>
      <c r="B4744" t="str">
        <f>"SI140002855"</f>
        <v>SI140002855</v>
      </c>
      <c r="C4744" t="str">
        <f>"PR14001962"</f>
        <v>PR14001962</v>
      </c>
      <c r="D4744" t="str">
        <f>"PR14001962"</f>
        <v>PR14001962</v>
      </c>
      <c r="E4744" t="str">
        <f>"Y"</f>
        <v>Y</v>
      </c>
      <c r="F4744" t="str">
        <f>"חשבוניות מרכזות"</f>
        <v>חשבוניות מרכזות</v>
      </c>
      <c r="G4744" t="str">
        <f>"700065"</f>
        <v>700065</v>
      </c>
      <c r="H4744" t="str">
        <f>"אלתא מערכות בע""מ"</f>
        <v>אלתא מערכות בע"מ</v>
      </c>
      <c r="I4744" t="str">
        <f>"10"</f>
        <v>10</v>
      </c>
      <c r="J4744" t="str">
        <f>"OP-AR00071"</f>
        <v>OP-AR00071</v>
      </c>
      <c r="K4744" t="str">
        <f>"רתמה 1024Y626-001 W6-12VDC CABLE"</f>
        <v>רתמה 1024Y626-001 W6-12VDC CABLE</v>
      </c>
      <c r="L4744">
        <v>35</v>
      </c>
      <c r="M4744" t="str">
        <f>"יח"</f>
        <v>יח</v>
      </c>
      <c r="N4744">
        <v>35</v>
      </c>
      <c r="O4744" t="str">
        <f>"יח"</f>
        <v>יח</v>
      </c>
      <c r="P4744">
        <v>54.3</v>
      </c>
      <c r="Q4744" t="str">
        <f>"$"</f>
        <v>$</v>
      </c>
      <c r="R4744" t="str">
        <f>"תעודת משלוח"</f>
        <v>תעודת משלוח</v>
      </c>
      <c r="S4744">
        <v>0</v>
      </c>
      <c r="T4744" s="2">
        <v>1900.5</v>
      </c>
      <c r="U4744">
        <v>0</v>
      </c>
      <c r="V4744" s="2">
        <v>1900.5</v>
      </c>
      <c r="W4744" t="str">
        <f>"$"</f>
        <v>$</v>
      </c>
      <c r="X4744">
        <v>0</v>
      </c>
      <c r="Y4744">
        <v>0</v>
      </c>
      <c r="Z4744">
        <v>0</v>
      </c>
      <c r="AA4744" t="str">
        <f>"Y"</f>
        <v>Y</v>
      </c>
      <c r="AB4744" t="str">
        <f>"SO140002294"</f>
        <v>SO140002294</v>
      </c>
      <c r="AC4744">
        <v>1</v>
      </c>
      <c r="AD4744" s="1">
        <v>41885</v>
      </c>
      <c r="AE4744" t="str">
        <f>"SH14003538"</f>
        <v>SH14003538</v>
      </c>
      <c r="AF4744" t="str">
        <f>"משלוחים ללקוח"</f>
        <v>משלוחים ללקוח</v>
      </c>
      <c r="AG4744" s="1">
        <v>41934</v>
      </c>
      <c r="AM4744" t="str">
        <f>"10"</f>
        <v>10</v>
      </c>
      <c r="AN4744" t="str">
        <f>"500000"</f>
        <v>500000</v>
      </c>
      <c r="AO4744" t="str">
        <f>"הכנסות  מלקוחות"</f>
        <v>הכנסות  מלקוחות</v>
      </c>
      <c r="AQ4744" t="str">
        <f>"009"</f>
        <v>009</v>
      </c>
      <c r="AR4744">
        <v>0</v>
      </c>
      <c r="AS4744">
        <v>0</v>
      </c>
      <c r="AT4744">
        <v>3.7669999999999999</v>
      </c>
      <c r="AX4744" t="str">
        <f>"E000181458"</f>
        <v>E000181458</v>
      </c>
      <c r="BD4744" t="str">
        <f>"רן סספורטס"</f>
        <v>רן סספורטס</v>
      </c>
    </row>
    <row r="4745" spans="1:56" x14ac:dyDescent="0.3">
      <c r="A4745" s="1">
        <v>41935</v>
      </c>
      <c r="B4745" t="str">
        <f>"SI140002854"</f>
        <v>SI140002854</v>
      </c>
      <c r="C4745" t="str">
        <f>"PR14001858"</f>
        <v>PR14001858</v>
      </c>
      <c r="D4745" t="str">
        <f>"PR14001858"</f>
        <v>PR14001858</v>
      </c>
      <c r="E4745" t="str">
        <f>"Y"</f>
        <v>Y</v>
      </c>
      <c r="F4745" t="str">
        <f>"חשבוניות מרכזות"</f>
        <v>חשבוניות מרכזות</v>
      </c>
      <c r="G4745" t="str">
        <f>"700065"</f>
        <v>700065</v>
      </c>
      <c r="H4745" t="str">
        <f>"אלתא מערכות בע""מ"</f>
        <v>אלתא מערכות בע"מ</v>
      </c>
      <c r="I4745" t="str">
        <f>"10"</f>
        <v>10</v>
      </c>
      <c r="J4745" t="str">
        <f>"OP-AR00046"</f>
        <v>OP-AR00046</v>
      </c>
      <c r="K4745" t="str">
        <f>"פתיל/רתמה W16 DC TO RX Units 10 31G446-001"</f>
        <v>פתיל/רתמה W16 DC TO RX Units 10 31G446-001</v>
      </c>
      <c r="L4745">
        <v>2</v>
      </c>
      <c r="M4745" t="str">
        <f>"יח"</f>
        <v>יח</v>
      </c>
      <c r="N4745">
        <v>2</v>
      </c>
      <c r="O4745" t="str">
        <f>"יח"</f>
        <v>יח</v>
      </c>
      <c r="P4745">
        <v>249</v>
      </c>
      <c r="Q4745" t="str">
        <f>"$"</f>
        <v>$</v>
      </c>
      <c r="R4745" t="str">
        <f>"תעודת משלוח"</f>
        <v>תעודת משלוח</v>
      </c>
      <c r="S4745">
        <v>0</v>
      </c>
      <c r="T4745">
        <v>498</v>
      </c>
      <c r="U4745">
        <v>0</v>
      </c>
      <c r="V4745">
        <v>498</v>
      </c>
      <c r="W4745" t="str">
        <f>"$"</f>
        <v>$</v>
      </c>
      <c r="X4745">
        <v>0</v>
      </c>
      <c r="Y4745">
        <v>0</v>
      </c>
      <c r="Z4745">
        <v>0</v>
      </c>
      <c r="AA4745" t="str">
        <f>"Y"</f>
        <v>Y</v>
      </c>
      <c r="AB4745" t="str">
        <f>"SO140002178"</f>
        <v>SO140002178</v>
      </c>
      <c r="AC4745">
        <v>1</v>
      </c>
      <c r="AD4745" s="1">
        <v>41851</v>
      </c>
      <c r="AE4745" t="str">
        <f>"SH14003537"</f>
        <v>SH14003537</v>
      </c>
      <c r="AF4745" t="str">
        <f>"משלוחים ללקוח"</f>
        <v>משלוחים ללקוח</v>
      </c>
      <c r="AG4745" s="1">
        <v>41934</v>
      </c>
      <c r="AM4745" t="str">
        <f>"10"</f>
        <v>10</v>
      </c>
      <c r="AN4745" t="str">
        <f>"500000"</f>
        <v>500000</v>
      </c>
      <c r="AO4745" t="str">
        <f>"הכנסות  מלקוחות"</f>
        <v>הכנסות  מלקוחות</v>
      </c>
      <c r="AQ4745" t="str">
        <f>"009"</f>
        <v>009</v>
      </c>
      <c r="AR4745">
        <v>0</v>
      </c>
      <c r="AS4745">
        <v>0</v>
      </c>
      <c r="AT4745">
        <v>3.7669999999999999</v>
      </c>
      <c r="AX4745" t="str">
        <f>"E000178160"</f>
        <v>E000178160</v>
      </c>
      <c r="BD4745" t="str">
        <f>"רן סספורטס"</f>
        <v>רן סספורטס</v>
      </c>
    </row>
    <row r="4746" spans="1:56" x14ac:dyDescent="0.3">
      <c r="A4746" s="1">
        <v>41935</v>
      </c>
      <c r="B4746" t="str">
        <f>"SI140002854"</f>
        <v>SI140002854</v>
      </c>
      <c r="C4746" t="str">
        <f>"PR14001858"</f>
        <v>PR14001858</v>
      </c>
      <c r="D4746" t="str">
        <f>"PR14001858"</f>
        <v>PR14001858</v>
      </c>
      <c r="E4746" t="str">
        <f>"Y"</f>
        <v>Y</v>
      </c>
      <c r="F4746" t="str">
        <f>"חשבוניות מרכזות"</f>
        <v>חשבוניות מרכזות</v>
      </c>
      <c r="G4746" t="str">
        <f>"700065"</f>
        <v>700065</v>
      </c>
      <c r="H4746" t="str">
        <f>"אלתא מערכות בע""מ"</f>
        <v>אלתא מערכות בע"מ</v>
      </c>
      <c r="I4746" t="str">
        <f>"10"</f>
        <v>10</v>
      </c>
      <c r="J4746" t="str">
        <f>"OP-AR00047"</f>
        <v>OP-AR00047</v>
      </c>
      <c r="K4746" t="str">
        <f>"רתמה W17 16CH VIDEO CABLE"</f>
        <v>רתמה W17 16CH VIDEO CABLE</v>
      </c>
      <c r="L4746">
        <v>2</v>
      </c>
      <c r="M4746" t="str">
        <f>"יח"</f>
        <v>יח</v>
      </c>
      <c r="N4746">
        <v>2</v>
      </c>
      <c r="O4746" t="str">
        <f>"יח"</f>
        <v>יח</v>
      </c>
      <c r="P4746">
        <v>136.25</v>
      </c>
      <c r="Q4746" t="str">
        <f>"$"</f>
        <v>$</v>
      </c>
      <c r="R4746" t="str">
        <f>"תעודת משלוח"</f>
        <v>תעודת משלוח</v>
      </c>
      <c r="S4746">
        <v>0</v>
      </c>
      <c r="T4746">
        <v>272.5</v>
      </c>
      <c r="U4746">
        <v>0</v>
      </c>
      <c r="V4746">
        <v>272.5</v>
      </c>
      <c r="W4746" t="str">
        <f>"$"</f>
        <v>$</v>
      </c>
      <c r="X4746">
        <v>0</v>
      </c>
      <c r="Y4746">
        <v>0</v>
      </c>
      <c r="Z4746">
        <v>0</v>
      </c>
      <c r="AA4746" t="str">
        <f>"Y"</f>
        <v>Y</v>
      </c>
      <c r="AB4746" t="str">
        <f>"SO140002178"</f>
        <v>SO140002178</v>
      </c>
      <c r="AC4746">
        <v>2</v>
      </c>
      <c r="AD4746" s="1">
        <v>41851</v>
      </c>
      <c r="AE4746" t="str">
        <f>"SH14003537"</f>
        <v>SH14003537</v>
      </c>
      <c r="AF4746" t="str">
        <f>"משלוחים ללקוח"</f>
        <v>משלוחים ללקוח</v>
      </c>
      <c r="AG4746" s="1">
        <v>41934</v>
      </c>
      <c r="AM4746" t="str">
        <f>"10"</f>
        <v>10</v>
      </c>
      <c r="AN4746" t="str">
        <f>"500000"</f>
        <v>500000</v>
      </c>
      <c r="AO4746" t="str">
        <f>"הכנסות  מלקוחות"</f>
        <v>הכנסות  מלקוחות</v>
      </c>
      <c r="AQ4746" t="str">
        <f>"009"</f>
        <v>009</v>
      </c>
      <c r="AR4746">
        <v>0</v>
      </c>
      <c r="AS4746">
        <v>0</v>
      </c>
      <c r="AT4746">
        <v>3.7669999999999999</v>
      </c>
      <c r="AX4746" t="str">
        <f>"E000178160"</f>
        <v>E000178160</v>
      </c>
      <c r="BD4746" t="str">
        <f>"רן סספורטס"</f>
        <v>רן סספורטס</v>
      </c>
    </row>
    <row r="4747" spans="1:56" x14ac:dyDescent="0.3">
      <c r="A4747" s="1">
        <v>41935</v>
      </c>
      <c r="B4747" t="str">
        <f>"SI140002854"</f>
        <v>SI140002854</v>
      </c>
      <c r="C4747" t="str">
        <f>"PR14001858"</f>
        <v>PR14001858</v>
      </c>
      <c r="D4747" t="str">
        <f>"PR14001858"</f>
        <v>PR14001858</v>
      </c>
      <c r="E4747" t="str">
        <f>"Y"</f>
        <v>Y</v>
      </c>
      <c r="F4747" t="str">
        <f>"חשבוניות מרכזות"</f>
        <v>חשבוניות מרכזות</v>
      </c>
      <c r="G4747" t="str">
        <f>"700065"</f>
        <v>700065</v>
      </c>
      <c r="H4747" t="str">
        <f>"אלתא מערכות בע""מ"</f>
        <v>אלתא מערכות בע"מ</v>
      </c>
      <c r="I4747" t="str">
        <f>"10"</f>
        <v>10</v>
      </c>
      <c r="J4747" t="str">
        <f>"OP-AR00048"</f>
        <v>OP-AR00048</v>
      </c>
      <c r="K4747" t="str">
        <f>"רתמה W18 16CH VIDEO CABLE"</f>
        <v>רתמה W18 16CH VIDEO CABLE</v>
      </c>
      <c r="L4747">
        <v>2</v>
      </c>
      <c r="M4747" t="str">
        <f>"יח"</f>
        <v>יח</v>
      </c>
      <c r="N4747">
        <v>2</v>
      </c>
      <c r="O4747" t="str">
        <f>"יח"</f>
        <v>יח</v>
      </c>
      <c r="P4747">
        <v>136.25</v>
      </c>
      <c r="Q4747" t="str">
        <f>"$"</f>
        <v>$</v>
      </c>
      <c r="R4747" t="str">
        <f>"תעודת משלוח"</f>
        <v>תעודת משלוח</v>
      </c>
      <c r="S4747">
        <v>0</v>
      </c>
      <c r="T4747">
        <v>272.5</v>
      </c>
      <c r="U4747">
        <v>0</v>
      </c>
      <c r="V4747">
        <v>272.5</v>
      </c>
      <c r="W4747" t="str">
        <f>"$"</f>
        <v>$</v>
      </c>
      <c r="X4747">
        <v>0</v>
      </c>
      <c r="Y4747">
        <v>0</v>
      </c>
      <c r="Z4747">
        <v>0</v>
      </c>
      <c r="AA4747" t="str">
        <f>"Y"</f>
        <v>Y</v>
      </c>
      <c r="AB4747" t="str">
        <f>"SO140002178"</f>
        <v>SO140002178</v>
      </c>
      <c r="AC4747">
        <v>3</v>
      </c>
      <c r="AD4747" s="1">
        <v>41851</v>
      </c>
      <c r="AE4747" t="str">
        <f>"SH14003537"</f>
        <v>SH14003537</v>
      </c>
      <c r="AF4747" t="str">
        <f>"משלוחים ללקוח"</f>
        <v>משלוחים ללקוח</v>
      </c>
      <c r="AG4747" s="1">
        <v>41934</v>
      </c>
      <c r="AM4747" t="str">
        <f>"10"</f>
        <v>10</v>
      </c>
      <c r="AN4747" t="str">
        <f>"500000"</f>
        <v>500000</v>
      </c>
      <c r="AO4747" t="str">
        <f>"הכנסות  מלקוחות"</f>
        <v>הכנסות  מלקוחות</v>
      </c>
      <c r="AQ4747" t="str">
        <f>"009"</f>
        <v>009</v>
      </c>
      <c r="AR4747">
        <v>0</v>
      </c>
      <c r="AS4747">
        <v>0</v>
      </c>
      <c r="AT4747">
        <v>3.7669999999999999</v>
      </c>
      <c r="AX4747" t="str">
        <f>"E000178160"</f>
        <v>E000178160</v>
      </c>
      <c r="BD4747" t="str">
        <f>"רן סספורטס"</f>
        <v>רן סספורטס</v>
      </c>
    </row>
    <row r="4748" spans="1:56" x14ac:dyDescent="0.3">
      <c r="A4748" s="1">
        <v>41912</v>
      </c>
      <c r="B4748" t="str">
        <f>"SI140002784"</f>
        <v>SI140002784</v>
      </c>
      <c r="C4748" t="str">
        <f>"PR12000054"</f>
        <v>PR12000054</v>
      </c>
      <c r="E4748" t="str">
        <f>"Y"</f>
        <v>Y</v>
      </c>
      <c r="F4748" t="str">
        <f>"חשבוניות מרכזות"</f>
        <v>חשבוניות מרכזות</v>
      </c>
      <c r="G4748" t="str">
        <f>"700065"</f>
        <v>700065</v>
      </c>
      <c r="H4748" t="str">
        <f>"אלתא מערכות בע""מ"</f>
        <v>אלתא מערכות בע"מ</v>
      </c>
      <c r="I4748" t="str">
        <f>"10"</f>
        <v>10</v>
      </c>
      <c r="J4748" t="str">
        <f>"OP-AR09105"</f>
        <v>OP-AR09105</v>
      </c>
      <c r="K4748" t="str">
        <f>"לוח LB-PDB מק""ט לקוח 1026L310-002"</f>
        <v>לוח LB-PDB מק"ט לקוח 1026L310-002</v>
      </c>
      <c r="L4748">
        <v>1</v>
      </c>
      <c r="M4748" t="str">
        <f>"יח"</f>
        <v>יח</v>
      </c>
      <c r="N4748">
        <v>1</v>
      </c>
      <c r="O4748" t="str">
        <f>"יח"</f>
        <v>יח</v>
      </c>
      <c r="P4748" s="2">
        <v>25450</v>
      </c>
      <c r="Q4748" t="str">
        <f>"$"</f>
        <v>$</v>
      </c>
      <c r="R4748" t="str">
        <f>"תעודת משלוח"</f>
        <v>תעודת משלוח</v>
      </c>
      <c r="S4748">
        <v>0</v>
      </c>
      <c r="T4748" s="2">
        <v>25450</v>
      </c>
      <c r="U4748">
        <v>0</v>
      </c>
      <c r="V4748" s="2">
        <v>25450</v>
      </c>
      <c r="W4748" t="str">
        <f>"$"</f>
        <v>$</v>
      </c>
      <c r="X4748">
        <v>0</v>
      </c>
      <c r="Y4748">
        <v>0</v>
      </c>
      <c r="Z4748">
        <v>0</v>
      </c>
      <c r="AA4748" t="str">
        <f>"Y"</f>
        <v>Y</v>
      </c>
      <c r="AB4748" t="str">
        <f>"SO12T000001"</f>
        <v>SO12T000001</v>
      </c>
      <c r="AC4748">
        <v>9</v>
      </c>
      <c r="AD4748" s="1">
        <v>41256</v>
      </c>
      <c r="AE4748" t="str">
        <f>"SH14003455"</f>
        <v>SH14003455</v>
      </c>
      <c r="AF4748" t="str">
        <f>"משלוחים ללקוח"</f>
        <v>משלוחים ללקוח</v>
      </c>
      <c r="AG4748" s="1">
        <v>41911</v>
      </c>
      <c r="AM4748" t="str">
        <f>"10"</f>
        <v>10</v>
      </c>
      <c r="AN4748" t="str">
        <f>"500000"</f>
        <v>500000</v>
      </c>
      <c r="AO4748" t="str">
        <f>"הכנסות  מלקוחות"</f>
        <v>הכנסות  מלקוחות</v>
      </c>
      <c r="AQ4748" t="str">
        <f>"007"</f>
        <v>007</v>
      </c>
      <c r="AR4748">
        <v>0</v>
      </c>
      <c r="AS4748">
        <v>0</v>
      </c>
      <c r="AT4748">
        <v>3.6949999999999998</v>
      </c>
      <c r="AX4748" t="str">
        <f>"E000093662"</f>
        <v>E000093662</v>
      </c>
      <c r="BD4748" t="str">
        <f>"רוני דידי"</f>
        <v>רוני דידי</v>
      </c>
    </row>
    <row r="4749" spans="1:56" x14ac:dyDescent="0.3">
      <c r="A4749" s="1">
        <v>41912</v>
      </c>
      <c r="B4749" t="str">
        <f>"SI140002783"</f>
        <v>SI140002783</v>
      </c>
      <c r="C4749" t="str">
        <f>"PR12000054"</f>
        <v>PR12000054</v>
      </c>
      <c r="E4749" t="str">
        <f>"Y"</f>
        <v>Y</v>
      </c>
      <c r="F4749" t="str">
        <f>"חשבוניות מרכזות"</f>
        <v>חשבוניות מרכזות</v>
      </c>
      <c r="G4749" t="str">
        <f>"700065"</f>
        <v>700065</v>
      </c>
      <c r="H4749" t="str">
        <f>"אלתא מערכות בע""מ"</f>
        <v>אלתא מערכות בע"מ</v>
      </c>
      <c r="I4749" t="str">
        <f>"10"</f>
        <v>10</v>
      </c>
      <c r="J4749" t="str">
        <f>"OP-AR09107"</f>
        <v>OP-AR09107</v>
      </c>
      <c r="K4749" t="str">
        <f>"לוח AUX BOX מק""ט לקוח 1026L320-001"</f>
        <v>לוח AUX BOX מק"ט לקוח 1026L320-001</v>
      </c>
      <c r="L4749">
        <v>1</v>
      </c>
      <c r="M4749" t="str">
        <f>"יח"</f>
        <v>יח</v>
      </c>
      <c r="N4749">
        <v>1</v>
      </c>
      <c r="O4749" t="str">
        <f>"יח"</f>
        <v>יח</v>
      </c>
      <c r="P4749" s="2">
        <v>10450</v>
      </c>
      <c r="Q4749" t="str">
        <f>"$"</f>
        <v>$</v>
      </c>
      <c r="R4749" t="str">
        <f>"תעודת משלוח"</f>
        <v>תעודת משלוח</v>
      </c>
      <c r="S4749">
        <v>0</v>
      </c>
      <c r="T4749" s="2">
        <v>10450</v>
      </c>
      <c r="U4749">
        <v>0</v>
      </c>
      <c r="V4749" s="2">
        <v>10450</v>
      </c>
      <c r="W4749" t="str">
        <f>"$"</f>
        <v>$</v>
      </c>
      <c r="X4749">
        <v>0</v>
      </c>
      <c r="Y4749">
        <v>0</v>
      </c>
      <c r="Z4749">
        <v>0</v>
      </c>
      <c r="AA4749" t="str">
        <f>"Y"</f>
        <v>Y</v>
      </c>
      <c r="AB4749" t="str">
        <f>"SO12T000001"</f>
        <v>SO12T000001</v>
      </c>
      <c r="AC4749">
        <v>8</v>
      </c>
      <c r="AD4749" s="1">
        <v>41256</v>
      </c>
      <c r="AE4749" t="str">
        <f>"SH14003454"</f>
        <v>SH14003454</v>
      </c>
      <c r="AF4749" t="str">
        <f>"משלוחים ללקוח"</f>
        <v>משלוחים ללקוח</v>
      </c>
      <c r="AG4749" s="1">
        <v>41911</v>
      </c>
      <c r="AM4749" t="str">
        <f>"10"</f>
        <v>10</v>
      </c>
      <c r="AN4749" t="str">
        <f>"500000"</f>
        <v>500000</v>
      </c>
      <c r="AO4749" t="str">
        <f>"הכנסות  מלקוחות"</f>
        <v>הכנסות  מלקוחות</v>
      </c>
      <c r="AQ4749" t="str">
        <f>"007"</f>
        <v>007</v>
      </c>
      <c r="AR4749">
        <v>0</v>
      </c>
      <c r="AS4749">
        <v>0</v>
      </c>
      <c r="AT4749">
        <v>3.6949999999999998</v>
      </c>
      <c r="AX4749" t="str">
        <f>"E000093662"</f>
        <v>E000093662</v>
      </c>
      <c r="BD4749" t="str">
        <f>"רוני דידי"</f>
        <v>רוני דידי</v>
      </c>
    </row>
    <row r="4750" spans="1:56" x14ac:dyDescent="0.3">
      <c r="A4750" s="1">
        <v>41878</v>
      </c>
      <c r="B4750" t="str">
        <f>"SI140002579"</f>
        <v>SI140002579</v>
      </c>
      <c r="C4750" t="str">
        <f>"PR12000054"</f>
        <v>PR12000054</v>
      </c>
      <c r="E4750" t="str">
        <f>"Y"</f>
        <v>Y</v>
      </c>
      <c r="F4750" t="str">
        <f>"חשבוניות מרכזות"</f>
        <v>חשבוניות מרכזות</v>
      </c>
      <c r="G4750" t="str">
        <f>"700065"</f>
        <v>700065</v>
      </c>
      <c r="H4750" t="str">
        <f>"אלתא מערכות בע""מ"</f>
        <v>אלתא מערכות בע"מ</v>
      </c>
      <c r="I4750" t="str">
        <f>"10"</f>
        <v>10</v>
      </c>
      <c r="J4750" t="str">
        <f>"999"</f>
        <v>999</v>
      </c>
      <c r="K4750" t="str">
        <f>"ביטול חשבונית זיכוי CR140000019 שינוי בניסוי סבי"</f>
        <v>ביטול חשבונית זיכוי CR140000019 שינוי בניסוי סבי</v>
      </c>
      <c r="L4750">
        <v>1</v>
      </c>
      <c r="M4750" t="str">
        <f>"חל"</f>
        <v>חל</v>
      </c>
      <c r="N4750">
        <v>1</v>
      </c>
      <c r="O4750" t="str">
        <f>"חל"</f>
        <v>חל</v>
      </c>
      <c r="P4750" s="2">
        <v>2500</v>
      </c>
      <c r="Q4750" t="str">
        <f>"$"</f>
        <v>$</v>
      </c>
      <c r="R4750" t="str">
        <f>"ידני"</f>
        <v>ידני</v>
      </c>
      <c r="S4750">
        <v>0</v>
      </c>
      <c r="T4750" s="2">
        <v>2500</v>
      </c>
      <c r="U4750">
        <v>0</v>
      </c>
      <c r="V4750" s="2">
        <v>2500</v>
      </c>
      <c r="W4750" t="str">
        <f>"$"</f>
        <v>$</v>
      </c>
      <c r="X4750">
        <v>0</v>
      </c>
      <c r="Y4750">
        <v>0</v>
      </c>
      <c r="Z4750">
        <v>0</v>
      </c>
      <c r="AA4750" t="str">
        <f>"Y"</f>
        <v>Y</v>
      </c>
      <c r="AC4750">
        <v>0</v>
      </c>
      <c r="AM4750" t="str">
        <f>"10"</f>
        <v>10</v>
      </c>
      <c r="AN4750" t="str">
        <f>"500000"</f>
        <v>500000</v>
      </c>
      <c r="AO4750" t="str">
        <f>"הכנסות  מלקוחות"</f>
        <v>הכנסות  מלקוחות</v>
      </c>
      <c r="AQ4750" t="str">
        <f>"007"</f>
        <v>007</v>
      </c>
      <c r="AR4750">
        <v>0</v>
      </c>
      <c r="AS4750">
        <v>0</v>
      </c>
      <c r="AT4750">
        <v>3.4889999999999999</v>
      </c>
      <c r="BD4750" t="str">
        <f>"רוני דידי"</f>
        <v>רוני דידי</v>
      </c>
    </row>
    <row r="4751" spans="1:56" x14ac:dyDescent="0.3">
      <c r="A4751" s="1">
        <v>41878</v>
      </c>
      <c r="B4751" t="str">
        <f>"SI140002576"</f>
        <v>SI140002576</v>
      </c>
      <c r="C4751" t="str">
        <f>"PR12000060"</f>
        <v>PR12000060</v>
      </c>
      <c r="D4751" t="str">
        <f>"PR12000060"</f>
        <v>PR12000060</v>
      </c>
      <c r="E4751" t="str">
        <f>"Y"</f>
        <v>Y</v>
      </c>
      <c r="F4751" t="str">
        <f>"חשבוניות מרכזות"</f>
        <v>חשבוניות מרכזות</v>
      </c>
      <c r="G4751" t="str">
        <f>"700065"</f>
        <v>700065</v>
      </c>
      <c r="H4751" t="str">
        <f>"אלתא מערכות בע""מ"</f>
        <v>אלתא מערכות בע"מ</v>
      </c>
      <c r="I4751" t="str">
        <f>"10"</f>
        <v>10</v>
      </c>
      <c r="J4751" t="str">
        <f>"999"</f>
        <v>999</v>
      </c>
      <c r="K4751" t="str">
        <f>"השלמת תשלום ל PDB"</f>
        <v>השלמת תשלום ל PDB</v>
      </c>
      <c r="L4751">
        <v>1</v>
      </c>
      <c r="M4751" t="str">
        <f>"חל"</f>
        <v>חל</v>
      </c>
      <c r="N4751">
        <v>1</v>
      </c>
      <c r="O4751" t="str">
        <f>"חל"</f>
        <v>חל</v>
      </c>
      <c r="P4751" s="2">
        <v>10797</v>
      </c>
      <c r="Q4751" t="str">
        <f>"$"</f>
        <v>$</v>
      </c>
      <c r="R4751" t="str">
        <f>"הזמנה"</f>
        <v>הזמנה</v>
      </c>
      <c r="S4751">
        <v>0</v>
      </c>
      <c r="T4751" s="2">
        <v>10797</v>
      </c>
      <c r="U4751">
        <v>0</v>
      </c>
      <c r="V4751" s="2">
        <v>10797</v>
      </c>
      <c r="W4751" t="str">
        <f>"$"</f>
        <v>$</v>
      </c>
      <c r="X4751">
        <v>0</v>
      </c>
      <c r="Y4751">
        <v>0</v>
      </c>
      <c r="Z4751">
        <v>0</v>
      </c>
      <c r="AA4751" t="str">
        <f>"Y"</f>
        <v>Y</v>
      </c>
      <c r="AB4751" t="str">
        <f>"SO140002269"</f>
        <v>SO140002269</v>
      </c>
      <c r="AC4751">
        <v>1</v>
      </c>
      <c r="AD4751" s="1">
        <v>41878</v>
      </c>
      <c r="AM4751" t="str">
        <f>"10"</f>
        <v>10</v>
      </c>
      <c r="AN4751" t="str">
        <f>"500000"</f>
        <v>500000</v>
      </c>
      <c r="AO4751" t="str">
        <f>"הכנסות  מלקוחות"</f>
        <v>הכנסות  מלקוחות</v>
      </c>
      <c r="AQ4751" t="str">
        <f>"007"</f>
        <v>007</v>
      </c>
      <c r="AR4751">
        <v>0</v>
      </c>
      <c r="AS4751">
        <v>0</v>
      </c>
      <c r="AT4751">
        <v>3.5720000000000001</v>
      </c>
      <c r="AX4751" t="str">
        <f>"E000179063"</f>
        <v>E000179063</v>
      </c>
      <c r="BD4751" t="str">
        <f>"רוני דידי"</f>
        <v>רוני דידי</v>
      </c>
    </row>
    <row r="4752" spans="1:56" x14ac:dyDescent="0.3">
      <c r="A4752" s="1">
        <v>41878</v>
      </c>
      <c r="B4752" t="str">
        <f>"SI140002575"</f>
        <v>SI140002575</v>
      </c>
      <c r="C4752" t="str">
        <f>"PR14001742"</f>
        <v>PR14001742</v>
      </c>
      <c r="D4752" t="str">
        <f>"PR14001742"</f>
        <v>PR14001742</v>
      </c>
      <c r="E4752" t="str">
        <f>"Y"</f>
        <v>Y</v>
      </c>
      <c r="F4752" t="str">
        <f>"חשבוניות מרכזות"</f>
        <v>חשבוניות מרכזות</v>
      </c>
      <c r="G4752" t="str">
        <f>"700065"</f>
        <v>700065</v>
      </c>
      <c r="H4752" t="str">
        <f>"אלתא מערכות בע""מ"</f>
        <v>אלתא מערכות בע"מ</v>
      </c>
      <c r="I4752" t="str">
        <f>"10"</f>
        <v>10</v>
      </c>
      <c r="J4752" t="str">
        <f>"GT0800032"</f>
        <v>GT0800032</v>
      </c>
      <c r="K4752" t="str">
        <f>"ג""ת שקוע לד עגול 6"" D.L מקט ניסקו 17303200"</f>
        <v>ג"ת שקוע לד עגול 6" D.L מקט ניסקו 17303200</v>
      </c>
      <c r="L4752">
        <v>20</v>
      </c>
      <c r="M4752" t="str">
        <f>"יח"</f>
        <v>יח</v>
      </c>
      <c r="N4752">
        <v>20</v>
      </c>
      <c r="O4752" t="str">
        <f>"יח"</f>
        <v>יח</v>
      </c>
      <c r="P4752">
        <v>70</v>
      </c>
      <c r="Q4752" t="str">
        <f>"$"</f>
        <v>$</v>
      </c>
      <c r="R4752" t="str">
        <f>"הזמנה"</f>
        <v>הזמנה</v>
      </c>
      <c r="S4752">
        <v>0</v>
      </c>
      <c r="T4752" s="2">
        <v>1400</v>
      </c>
      <c r="U4752">
        <v>0</v>
      </c>
      <c r="V4752" s="2">
        <v>1400</v>
      </c>
      <c r="W4752" t="str">
        <f>"$"</f>
        <v>$</v>
      </c>
      <c r="X4752">
        <v>0</v>
      </c>
      <c r="Y4752">
        <v>0</v>
      </c>
      <c r="Z4752">
        <v>0</v>
      </c>
      <c r="AA4752" t="str">
        <f>"Y"</f>
        <v>Y</v>
      </c>
      <c r="AB4752" t="str">
        <f>"SO140002114"</f>
        <v>SO140002114</v>
      </c>
      <c r="AC4752">
        <v>1</v>
      </c>
      <c r="AD4752" s="1">
        <v>41829</v>
      </c>
      <c r="AM4752" t="str">
        <f>"10"</f>
        <v>10</v>
      </c>
      <c r="AN4752" t="str">
        <f>"500000"</f>
        <v>500000</v>
      </c>
      <c r="AO4752" t="str">
        <f>"הכנסות  מלקוחות"</f>
        <v>הכנסות  מלקוחות</v>
      </c>
      <c r="AQ4752" t="str">
        <f>"007"</f>
        <v>007</v>
      </c>
      <c r="AR4752">
        <v>0</v>
      </c>
      <c r="AS4752">
        <v>0</v>
      </c>
      <c r="AT4752">
        <v>3.5720000000000001</v>
      </c>
      <c r="AX4752" t="str">
        <f>"E000178095"</f>
        <v>E000178095</v>
      </c>
      <c r="BD4752" t="str">
        <f>"רוני דידי"</f>
        <v>רוני דידי</v>
      </c>
    </row>
    <row r="4753" spans="1:56" x14ac:dyDescent="0.3">
      <c r="A4753" s="1">
        <v>41878</v>
      </c>
      <c r="B4753" t="str">
        <f>"SI140002575"</f>
        <v>SI140002575</v>
      </c>
      <c r="C4753" t="str">
        <f>"PR14001742"</f>
        <v>PR14001742</v>
      </c>
      <c r="D4753" t="str">
        <f>"PR14001742"</f>
        <v>PR14001742</v>
      </c>
      <c r="E4753" t="str">
        <f>"Y"</f>
        <v>Y</v>
      </c>
      <c r="F4753" t="str">
        <f>"חשבוניות מרכזות"</f>
        <v>חשבוניות מרכזות</v>
      </c>
      <c r="G4753" t="str">
        <f>"700065"</f>
        <v>700065</v>
      </c>
      <c r="H4753" t="str">
        <f>"אלתא מערכות בע""מ"</f>
        <v>אלתא מערכות בע"מ</v>
      </c>
      <c r="I4753" t="str">
        <f>"10"</f>
        <v>10</v>
      </c>
      <c r="J4753" t="str">
        <f>"999"</f>
        <v>999</v>
      </c>
      <c r="K4753" t="str">
        <f>"התקנת גוף תאורה בקרון"</f>
        <v>התקנת גוף תאורה בקרון</v>
      </c>
      <c r="L4753">
        <v>1</v>
      </c>
      <c r="M4753" t="str">
        <f>"חל"</f>
        <v>חל</v>
      </c>
      <c r="N4753">
        <v>1</v>
      </c>
      <c r="O4753" t="str">
        <f>"חל"</f>
        <v>חל</v>
      </c>
      <c r="P4753">
        <v>950</v>
      </c>
      <c r="Q4753" t="str">
        <f>"$"</f>
        <v>$</v>
      </c>
      <c r="R4753" t="str">
        <f>"הזמנה"</f>
        <v>הזמנה</v>
      </c>
      <c r="S4753">
        <v>0</v>
      </c>
      <c r="T4753">
        <v>950</v>
      </c>
      <c r="U4753">
        <v>0</v>
      </c>
      <c r="V4753">
        <v>950</v>
      </c>
      <c r="W4753" t="str">
        <f>"$"</f>
        <v>$</v>
      </c>
      <c r="X4753">
        <v>0</v>
      </c>
      <c r="Y4753">
        <v>0</v>
      </c>
      <c r="Z4753">
        <v>0</v>
      </c>
      <c r="AA4753" t="str">
        <f>"Y"</f>
        <v>Y</v>
      </c>
      <c r="AB4753" t="str">
        <f>"SO140002114"</f>
        <v>SO140002114</v>
      </c>
      <c r="AC4753">
        <v>2</v>
      </c>
      <c r="AD4753" s="1">
        <v>41829</v>
      </c>
      <c r="AM4753" t="str">
        <f>"10"</f>
        <v>10</v>
      </c>
      <c r="AN4753" t="str">
        <f>"500000"</f>
        <v>500000</v>
      </c>
      <c r="AO4753" t="str">
        <f>"הכנסות  מלקוחות"</f>
        <v>הכנסות  מלקוחות</v>
      </c>
      <c r="AQ4753" t="str">
        <f>"007"</f>
        <v>007</v>
      </c>
      <c r="AR4753">
        <v>0</v>
      </c>
      <c r="AS4753">
        <v>0</v>
      </c>
      <c r="AT4753">
        <v>3.5720000000000001</v>
      </c>
      <c r="AX4753" t="str">
        <f>"E000178095"</f>
        <v>E000178095</v>
      </c>
      <c r="BD4753" t="str">
        <f>"רוני דידי"</f>
        <v>רוני דידי</v>
      </c>
    </row>
    <row r="4754" spans="1:56" x14ac:dyDescent="0.3">
      <c r="A4754" s="1">
        <v>41878</v>
      </c>
      <c r="B4754" t="str">
        <f>"CR140000019"</f>
        <v>CR140000019</v>
      </c>
      <c r="C4754" t="str">
        <f>"PR12000054"</f>
        <v>PR12000054</v>
      </c>
      <c r="E4754" t="str">
        <f>"Y"</f>
        <v>Y</v>
      </c>
      <c r="F4754" t="str">
        <f>"חשבוניות זיכוי"</f>
        <v>חשבוניות זיכוי</v>
      </c>
      <c r="G4754" t="str">
        <f>"700065"</f>
        <v>700065</v>
      </c>
      <c r="H4754" t="str">
        <f>"אלתא מערכות בע""מ"</f>
        <v>אלתא מערכות בע"מ</v>
      </c>
      <c r="I4754" t="str">
        <f>"10"</f>
        <v>10</v>
      </c>
      <c r="J4754" t="str">
        <f>"999"</f>
        <v>999</v>
      </c>
      <c r="K4754" t="str">
        <f>"זיכוי בגין חן SI140001895 שינוי בניסויי הסביבה"</f>
        <v>זיכוי בגין חן SI140001895 שינוי בניסויי הסביבה</v>
      </c>
      <c r="L4754">
        <v>1</v>
      </c>
      <c r="M4754" t="str">
        <f>"חל"</f>
        <v>חל</v>
      </c>
      <c r="N4754">
        <v>1</v>
      </c>
      <c r="O4754" t="str">
        <f>"חל"</f>
        <v>חל</v>
      </c>
      <c r="P4754" s="2">
        <v>2500</v>
      </c>
      <c r="Q4754" t="str">
        <f>"$"</f>
        <v>$</v>
      </c>
      <c r="R4754" t="str">
        <f>"ידני"</f>
        <v>ידני</v>
      </c>
      <c r="S4754">
        <v>0</v>
      </c>
      <c r="T4754" s="2">
        <v>2500</v>
      </c>
      <c r="U4754">
        <v>0</v>
      </c>
      <c r="V4754" s="2">
        <v>2500</v>
      </c>
      <c r="W4754" t="str">
        <f>"$"</f>
        <v>$</v>
      </c>
      <c r="X4754">
        <v>0</v>
      </c>
      <c r="Y4754">
        <v>0</v>
      </c>
      <c r="Z4754">
        <v>0</v>
      </c>
      <c r="AA4754" t="str">
        <f>"Y"</f>
        <v>Y</v>
      </c>
      <c r="AC4754">
        <v>0</v>
      </c>
      <c r="AM4754" t="str">
        <f>"10"</f>
        <v>10</v>
      </c>
      <c r="AN4754" t="str">
        <f>"500000"</f>
        <v>500000</v>
      </c>
      <c r="AO4754" t="str">
        <f>"הכנסות  מלקוחות"</f>
        <v>הכנסות  מלקוחות</v>
      </c>
      <c r="AQ4754" t="str">
        <f>"007"</f>
        <v>007</v>
      </c>
      <c r="AR4754">
        <v>0</v>
      </c>
      <c r="AS4754">
        <v>0</v>
      </c>
      <c r="AT4754">
        <v>3.4889999999999999</v>
      </c>
      <c r="BD4754" t="str">
        <f>"רוני דידי"</f>
        <v>רוני דידי</v>
      </c>
    </row>
    <row r="4755" spans="1:56" x14ac:dyDescent="0.3">
      <c r="A4755" s="1">
        <v>41871</v>
      </c>
      <c r="B4755" t="str">
        <f>"SI140002578"</f>
        <v>SI140002578</v>
      </c>
      <c r="E4755" t="str">
        <f>"Y"</f>
        <v>Y</v>
      </c>
      <c r="F4755" t="str">
        <f>"חשבוניות מרכזות"</f>
        <v>חשבוניות מרכזות</v>
      </c>
      <c r="G4755" t="str">
        <f>"700065"</f>
        <v>700065</v>
      </c>
      <c r="H4755" t="str">
        <f>"אלתא מערכות בע""מ"</f>
        <v>אלתא מערכות בע"מ</v>
      </c>
      <c r="I4755" t="str">
        <f>"10"</f>
        <v>10</v>
      </c>
      <c r="J4755" t="str">
        <f>"OP-AR00007"</f>
        <v>OP-AR00007</v>
      </c>
      <c r="K4755" t="str">
        <f>"שינוי AC DC,DC) PDB)- אלתא"</f>
        <v>שינוי AC DC,DC) PDB)- אלתא</v>
      </c>
      <c r="L4755">
        <v>6.7000000000000004E-2</v>
      </c>
      <c r="M4755" t="str">
        <f>"חל"</f>
        <v>חל</v>
      </c>
      <c r="N4755">
        <v>6.7000000000000004E-2</v>
      </c>
      <c r="O4755" t="str">
        <f>"חל"</f>
        <v>חל</v>
      </c>
      <c r="P4755" s="2">
        <v>273153.74</v>
      </c>
      <c r="Q4755" t="str">
        <f>"$"</f>
        <v>$</v>
      </c>
      <c r="R4755" t="str">
        <f>"ידני"</f>
        <v>ידני</v>
      </c>
      <c r="S4755">
        <v>0</v>
      </c>
      <c r="T4755" s="2">
        <v>18301.3</v>
      </c>
      <c r="U4755">
        <v>0</v>
      </c>
      <c r="V4755" s="2">
        <v>18301.3</v>
      </c>
      <c r="W4755" t="str">
        <f>"$"</f>
        <v>$</v>
      </c>
      <c r="X4755">
        <v>0</v>
      </c>
      <c r="Y4755">
        <v>0</v>
      </c>
      <c r="Z4755">
        <v>0</v>
      </c>
      <c r="AA4755" t="str">
        <f>"Y"</f>
        <v>Y</v>
      </c>
      <c r="AB4755" t="str">
        <f>"SO130000191"</f>
        <v>SO130000191</v>
      </c>
      <c r="AC4755">
        <v>4</v>
      </c>
      <c r="AD4755" s="1">
        <v>41324</v>
      </c>
      <c r="AM4755" t="str">
        <f>"10"</f>
        <v>10</v>
      </c>
      <c r="AN4755" t="str">
        <f>"500000"</f>
        <v>500000</v>
      </c>
      <c r="AO4755" t="str">
        <f>"הכנסות  מלקוחות"</f>
        <v>הכנסות  מלקוחות</v>
      </c>
      <c r="AQ4755" t="str">
        <f>"007"</f>
        <v>007</v>
      </c>
      <c r="AR4755">
        <v>0</v>
      </c>
      <c r="AS4755">
        <v>0</v>
      </c>
      <c r="AT4755">
        <v>3.5329999999999999</v>
      </c>
      <c r="AX4755" t="str">
        <f>"E000143532/2"</f>
        <v>E000143532/2</v>
      </c>
      <c r="BD4755" t="str">
        <f>"רוני דידי"</f>
        <v>רוני דידי</v>
      </c>
    </row>
    <row r="4756" spans="1:56" x14ac:dyDescent="0.3">
      <c r="A4756" s="1">
        <v>41871</v>
      </c>
      <c r="B4756" t="str">
        <f>"SI140002525"</f>
        <v>SI140002525</v>
      </c>
      <c r="C4756" t="str">
        <f>"PR12000060"</f>
        <v>PR12000060</v>
      </c>
      <c r="D4756" t="str">
        <f>"PR12000060"</f>
        <v>PR12000060</v>
      </c>
      <c r="E4756" t="str">
        <f>"Y"</f>
        <v>Y</v>
      </c>
      <c r="F4756" t="str">
        <f>"חשבוניות מרכזות"</f>
        <v>חשבוניות מרכזות</v>
      </c>
      <c r="G4756" t="str">
        <f>"700065"</f>
        <v>700065</v>
      </c>
      <c r="H4756" t="str">
        <f>"אלתא מערכות בע""מ"</f>
        <v>אלתא מערכות בע"מ</v>
      </c>
      <c r="I4756" t="str">
        <f>"10"</f>
        <v>10</v>
      </c>
      <c r="J4756" t="str">
        <f>"OP-AR12325"</f>
        <v>OP-AR12325</v>
      </c>
      <c r="K4756" t="str">
        <f>"לוח חלוקה AC-DC PDB מק""ט לקוח 1025A685-001"</f>
        <v>לוח חלוקה AC-DC PDB מק"ט לקוח 1025A685-001</v>
      </c>
      <c r="L4756">
        <v>1</v>
      </c>
      <c r="M4756" t="str">
        <f>"יח"</f>
        <v>יח</v>
      </c>
      <c r="N4756">
        <v>1</v>
      </c>
      <c r="O4756" t="str">
        <f>"יח"</f>
        <v>יח</v>
      </c>
      <c r="P4756" s="2">
        <v>30005</v>
      </c>
      <c r="Q4756" t="str">
        <f>"$"</f>
        <v>$</v>
      </c>
      <c r="R4756" t="str">
        <f>"ידני"</f>
        <v>ידני</v>
      </c>
      <c r="S4756">
        <v>0</v>
      </c>
      <c r="T4756" s="2">
        <v>30005</v>
      </c>
      <c r="U4756">
        <v>0</v>
      </c>
      <c r="V4756" s="2">
        <v>30005</v>
      </c>
      <c r="W4756" t="str">
        <f>"$"</f>
        <v>$</v>
      </c>
      <c r="X4756">
        <v>0</v>
      </c>
      <c r="Y4756">
        <v>0</v>
      </c>
      <c r="Z4756">
        <v>0</v>
      </c>
      <c r="AA4756" t="str">
        <f>"Y"</f>
        <v>Y</v>
      </c>
      <c r="AB4756" t="str">
        <f>"SO130000159"</f>
        <v>SO130000159</v>
      </c>
      <c r="AC4756">
        <v>6</v>
      </c>
      <c r="AD4756" s="1">
        <v>41316</v>
      </c>
      <c r="AE4756" t="str">
        <f>"SH14003175"</f>
        <v>SH14003175</v>
      </c>
      <c r="AF4756" t="str">
        <f>"משלוחים ללקוח"</f>
        <v>משלוחים ללקוח</v>
      </c>
      <c r="AG4756" s="1">
        <v>41870</v>
      </c>
      <c r="AM4756" t="str">
        <f>"10"</f>
        <v>10</v>
      </c>
      <c r="AN4756" t="str">
        <f>"500000"</f>
        <v>500000</v>
      </c>
      <c r="AO4756" t="str">
        <f>"הכנסות  מלקוחות"</f>
        <v>הכנסות  מלקוחות</v>
      </c>
      <c r="AQ4756" t="str">
        <f>"007"</f>
        <v>007</v>
      </c>
      <c r="AR4756">
        <v>0</v>
      </c>
      <c r="AS4756">
        <v>0</v>
      </c>
      <c r="AT4756">
        <v>3.5329999999999999</v>
      </c>
      <c r="AX4756" t="str">
        <f>"E000119608"</f>
        <v>E000119608</v>
      </c>
      <c r="BD4756" t="str">
        <f>"רוני דידי"</f>
        <v>רוני דידי</v>
      </c>
    </row>
    <row r="4757" spans="1:56" x14ac:dyDescent="0.3">
      <c r="A4757" s="1">
        <v>41871</v>
      </c>
      <c r="B4757" t="str">
        <f>"SI140002524"</f>
        <v>SI140002524</v>
      </c>
      <c r="C4757" t="str">
        <f>"PR12000060"</f>
        <v>PR12000060</v>
      </c>
      <c r="E4757" t="str">
        <f>"Y"</f>
        <v>Y</v>
      </c>
      <c r="F4757" t="str">
        <f>"חשבוניות מרכזות"</f>
        <v>חשבוניות מרכזות</v>
      </c>
      <c r="G4757" t="str">
        <f>"700065"</f>
        <v>700065</v>
      </c>
      <c r="H4757" t="str">
        <f>"אלתא מערכות בע""מ"</f>
        <v>אלתא מערכות בע"מ</v>
      </c>
      <c r="I4757" t="str">
        <f>"10"</f>
        <v>10</v>
      </c>
      <c r="J4757" t="str">
        <f>"OP-AR12325"</f>
        <v>OP-AR12325</v>
      </c>
      <c r="K4757" t="str">
        <f>"לוח חלוקה AC-DC PDB מק""ט לקוח 1025A685-001"</f>
        <v>לוח חלוקה AC-DC PDB מק"ט לקוח 1025A685-001</v>
      </c>
      <c r="L4757">
        <v>-1</v>
      </c>
      <c r="M4757" t="str">
        <f>"יח"</f>
        <v>יח</v>
      </c>
      <c r="N4757">
        <v>-1</v>
      </c>
      <c r="O4757" t="str">
        <f>"יח"</f>
        <v>יח</v>
      </c>
      <c r="P4757" s="2">
        <v>30005</v>
      </c>
      <c r="Q4757" t="str">
        <f>"$"</f>
        <v>$</v>
      </c>
      <c r="R4757" t="str">
        <f>"תעודת משלוח"</f>
        <v>תעודת משלוח</v>
      </c>
      <c r="S4757">
        <v>0</v>
      </c>
      <c r="T4757" s="2">
        <v>-30005</v>
      </c>
      <c r="U4757">
        <v>0</v>
      </c>
      <c r="V4757" s="2">
        <v>-30005</v>
      </c>
      <c r="W4757" t="str">
        <f>"$"</f>
        <v>$</v>
      </c>
      <c r="X4757">
        <v>0</v>
      </c>
      <c r="Y4757">
        <v>0</v>
      </c>
      <c r="Z4757">
        <v>0</v>
      </c>
      <c r="AA4757" t="str">
        <f>"Y"</f>
        <v>Y</v>
      </c>
      <c r="AC4757">
        <v>0</v>
      </c>
      <c r="AM4757" t="str">
        <f>"10"</f>
        <v>10</v>
      </c>
      <c r="AN4757" t="str">
        <f>"500000"</f>
        <v>500000</v>
      </c>
      <c r="AO4757" t="str">
        <f>"הכנסות  מלקוחות"</f>
        <v>הכנסות  מלקוחות</v>
      </c>
      <c r="AQ4757" t="str">
        <f>"007"</f>
        <v>007</v>
      </c>
      <c r="AR4757">
        <v>0</v>
      </c>
      <c r="AS4757">
        <v>0</v>
      </c>
      <c r="AT4757">
        <v>3.4670000000000001</v>
      </c>
      <c r="BB4757" t="str">
        <f>"Y"</f>
        <v>Y</v>
      </c>
      <c r="BD4757" t="str">
        <f>"רוני דידי"</f>
        <v>רוני דידי</v>
      </c>
    </row>
    <row r="4758" spans="1:56" x14ac:dyDescent="0.3">
      <c r="A4758" s="1">
        <v>41871</v>
      </c>
      <c r="B4758" t="str">
        <f>"SI140002522"</f>
        <v>SI140002522</v>
      </c>
      <c r="C4758" t="str">
        <f>"PR12000060"</f>
        <v>PR12000060</v>
      </c>
      <c r="E4758" t="str">
        <f>"Y"</f>
        <v>Y</v>
      </c>
      <c r="F4758" t="str">
        <f>"חשבוניות מרכזות"</f>
        <v>חשבוניות מרכזות</v>
      </c>
      <c r="G4758" t="str">
        <f>"700065"</f>
        <v>700065</v>
      </c>
      <c r="H4758" t="str">
        <f>"אלתא מערכות בע""מ"</f>
        <v>אלתא מערכות בע"מ</v>
      </c>
      <c r="I4758" t="str">
        <f>"10"</f>
        <v>10</v>
      </c>
      <c r="J4758" t="str">
        <f>"OP-AR12325"</f>
        <v>OP-AR12325</v>
      </c>
      <c r="K4758" t="str">
        <f>"לוח חלוקה AC-DC PDB מק""ט לקוח 1025A685-001"</f>
        <v>לוח חלוקה AC-DC PDB מק"ט לקוח 1025A685-001</v>
      </c>
      <c r="L4758">
        <v>1</v>
      </c>
      <c r="M4758" t="str">
        <f>"יח"</f>
        <v>יח</v>
      </c>
      <c r="N4758">
        <v>1</v>
      </c>
      <c r="O4758" t="str">
        <f>"יח"</f>
        <v>יח</v>
      </c>
      <c r="P4758" s="2">
        <v>30005</v>
      </c>
      <c r="Q4758" t="str">
        <f>"$"</f>
        <v>$</v>
      </c>
      <c r="R4758" t="str">
        <f>"תעודת משלוח"</f>
        <v>תעודת משלוח</v>
      </c>
      <c r="S4758">
        <v>0</v>
      </c>
      <c r="T4758" s="2">
        <v>30005</v>
      </c>
      <c r="U4758">
        <v>0</v>
      </c>
      <c r="V4758" s="2">
        <v>30005</v>
      </c>
      <c r="W4758" t="str">
        <f>"$"</f>
        <v>$</v>
      </c>
      <c r="X4758">
        <v>0</v>
      </c>
      <c r="Y4758">
        <v>0</v>
      </c>
      <c r="Z4758">
        <v>0</v>
      </c>
      <c r="AA4758" t="str">
        <f>"Y"</f>
        <v>Y</v>
      </c>
      <c r="AC4758">
        <v>0</v>
      </c>
      <c r="AM4758" t="str">
        <f>"10"</f>
        <v>10</v>
      </c>
      <c r="AN4758" t="str">
        <f>"500000"</f>
        <v>500000</v>
      </c>
      <c r="AO4758" t="str">
        <f>"הכנסות  מלקוחות"</f>
        <v>הכנסות  מלקוחות</v>
      </c>
      <c r="AQ4758" t="str">
        <f>"007"</f>
        <v>007</v>
      </c>
      <c r="AR4758">
        <v>0</v>
      </c>
      <c r="AS4758">
        <v>0</v>
      </c>
      <c r="AT4758">
        <v>3.4670000000000001</v>
      </c>
      <c r="BB4758" t="str">
        <f>"Y"</f>
        <v>Y</v>
      </c>
      <c r="BD4758" t="str">
        <f>"רוני דידי"</f>
        <v>רוני דידי</v>
      </c>
    </row>
    <row r="4759" spans="1:56" x14ac:dyDescent="0.3">
      <c r="A4759" s="1">
        <v>41851</v>
      </c>
      <c r="B4759" t="str">
        <f>"SI140002409"</f>
        <v>SI140002409</v>
      </c>
      <c r="C4759" t="str">
        <f>"PR12000054"</f>
        <v>PR12000054</v>
      </c>
      <c r="E4759" t="str">
        <f>"Y"</f>
        <v>Y</v>
      </c>
      <c r="F4759" t="str">
        <f>"חשבוניות מרכזות"</f>
        <v>חשבוניות מרכזות</v>
      </c>
      <c r="G4759" t="str">
        <f>"700065"</f>
        <v>700065</v>
      </c>
      <c r="H4759" t="str">
        <f>"אלתא מערכות בע""מ"</f>
        <v>אלתא מערכות בע"מ</v>
      </c>
      <c r="I4759" t="str">
        <f>"10"</f>
        <v>10</v>
      </c>
      <c r="J4759" t="str">
        <f>"OP-AR09106"</f>
        <v>OP-AR09106</v>
      </c>
      <c r="K4759" t="str">
        <f>"לוח 1026L230-001 HIGH VOLTAG JUCTION BOX"</f>
        <v>לוח 1026L230-001 HIGH VOLTAG JUCTION BOX</v>
      </c>
      <c r="L4759">
        <v>1</v>
      </c>
      <c r="M4759" t="str">
        <f>"יח"</f>
        <v>יח</v>
      </c>
      <c r="N4759">
        <v>1</v>
      </c>
      <c r="O4759" t="str">
        <f>"יח"</f>
        <v>יח</v>
      </c>
      <c r="P4759" s="2">
        <v>9900</v>
      </c>
      <c r="Q4759" t="str">
        <f>"$"</f>
        <v>$</v>
      </c>
      <c r="R4759" t="str">
        <f>"ידני"</f>
        <v>ידני</v>
      </c>
      <c r="S4759">
        <v>0</v>
      </c>
      <c r="T4759" s="2">
        <v>9900</v>
      </c>
      <c r="U4759">
        <v>0</v>
      </c>
      <c r="V4759" s="2">
        <v>9900</v>
      </c>
      <c r="W4759" t="str">
        <f>"$"</f>
        <v>$</v>
      </c>
      <c r="X4759">
        <v>0</v>
      </c>
      <c r="Y4759">
        <v>0</v>
      </c>
      <c r="Z4759">
        <v>0</v>
      </c>
      <c r="AA4759" t="str">
        <f>"Y"</f>
        <v>Y</v>
      </c>
      <c r="AB4759" t="str">
        <f>"SO12T000001"</f>
        <v>SO12T000001</v>
      </c>
      <c r="AC4759">
        <v>37</v>
      </c>
      <c r="AD4759" s="1">
        <v>41256</v>
      </c>
      <c r="AE4759" t="str">
        <f>"SH14003071"</f>
        <v>SH14003071</v>
      </c>
      <c r="AF4759" t="str">
        <f>"משלוחים ללקוח"</f>
        <v>משלוחים ללקוח</v>
      </c>
      <c r="AG4759" s="1">
        <v>41851</v>
      </c>
      <c r="AM4759" t="str">
        <f>"10"</f>
        <v>10</v>
      </c>
      <c r="AN4759" t="str">
        <f>"500000"</f>
        <v>500000</v>
      </c>
      <c r="AO4759" t="str">
        <f>"הכנסות  מלקוחות"</f>
        <v>הכנסות  מלקוחות</v>
      </c>
      <c r="AQ4759" t="str">
        <f>"007"</f>
        <v>007</v>
      </c>
      <c r="AR4759">
        <v>0</v>
      </c>
      <c r="AS4759">
        <v>0</v>
      </c>
      <c r="AT4759">
        <v>3.4289999999999998</v>
      </c>
      <c r="AX4759" t="str">
        <f>"E000093662"</f>
        <v>E000093662</v>
      </c>
      <c r="BD4759" t="str">
        <f>"רוני דידי"</f>
        <v>רוני דידי</v>
      </c>
    </row>
    <row r="4760" spans="1:56" x14ac:dyDescent="0.3">
      <c r="A4760" s="1">
        <v>41851</v>
      </c>
      <c r="B4760" t="str">
        <f>"SI140002409"</f>
        <v>SI140002409</v>
      </c>
      <c r="C4760" t="str">
        <f>"PR12000054"</f>
        <v>PR12000054</v>
      </c>
      <c r="E4760" t="str">
        <f>"Y"</f>
        <v>Y</v>
      </c>
      <c r="F4760" t="str">
        <f>"חשבוניות מרכזות"</f>
        <v>חשבוניות מרכזות</v>
      </c>
      <c r="G4760" t="str">
        <f>"700065"</f>
        <v>700065</v>
      </c>
      <c r="H4760" t="str">
        <f>"אלתא מערכות בע""מ"</f>
        <v>אלתא מערכות בע"מ</v>
      </c>
      <c r="I4760" t="str">
        <f>"10"</f>
        <v>10</v>
      </c>
      <c r="J4760" t="str">
        <f>"OP-AR09106"</f>
        <v>OP-AR09106</v>
      </c>
      <c r="K4760" t="str">
        <f>"לוח 1026L230-001 HIGH VOLTAG JUCTION BOX"</f>
        <v>לוח 1026L230-001 HIGH VOLTAG JUCTION BOX</v>
      </c>
      <c r="L4760">
        <v>1</v>
      </c>
      <c r="M4760" t="str">
        <f>"יח"</f>
        <v>יח</v>
      </c>
      <c r="N4760">
        <v>1</v>
      </c>
      <c r="O4760" t="str">
        <f>"יח"</f>
        <v>יח</v>
      </c>
      <c r="P4760" s="2">
        <v>9900</v>
      </c>
      <c r="Q4760" t="str">
        <f>"$"</f>
        <v>$</v>
      </c>
      <c r="R4760" t="str">
        <f>"ידני"</f>
        <v>ידני</v>
      </c>
      <c r="S4760">
        <v>0</v>
      </c>
      <c r="T4760" s="2">
        <v>9900</v>
      </c>
      <c r="U4760">
        <v>0</v>
      </c>
      <c r="V4760" s="2">
        <v>9900</v>
      </c>
      <c r="W4760" t="str">
        <f>"$"</f>
        <v>$</v>
      </c>
      <c r="X4760">
        <v>0</v>
      </c>
      <c r="Y4760">
        <v>0</v>
      </c>
      <c r="Z4760">
        <v>0</v>
      </c>
      <c r="AA4760" t="str">
        <f>"Y"</f>
        <v>Y</v>
      </c>
      <c r="AB4760" t="str">
        <f>"SO12T000001"</f>
        <v>SO12T000001</v>
      </c>
      <c r="AC4760">
        <v>46</v>
      </c>
      <c r="AD4760" s="1">
        <v>41256</v>
      </c>
      <c r="AE4760" t="str">
        <f>"SH14003071"</f>
        <v>SH14003071</v>
      </c>
      <c r="AF4760" t="str">
        <f>"משלוחים ללקוח"</f>
        <v>משלוחים ללקוח</v>
      </c>
      <c r="AG4760" s="1">
        <v>41851</v>
      </c>
      <c r="AM4760" t="str">
        <f>"10"</f>
        <v>10</v>
      </c>
      <c r="AN4760" t="str">
        <f>"500000"</f>
        <v>500000</v>
      </c>
      <c r="AO4760" t="str">
        <f>"הכנסות  מלקוחות"</f>
        <v>הכנסות  מלקוחות</v>
      </c>
      <c r="AQ4760" t="str">
        <f>"007"</f>
        <v>007</v>
      </c>
      <c r="AR4760">
        <v>0</v>
      </c>
      <c r="AS4760">
        <v>0</v>
      </c>
      <c r="AT4760">
        <v>3.4289999999999998</v>
      </c>
      <c r="AX4760" t="str">
        <f>"E000093662"</f>
        <v>E000093662</v>
      </c>
      <c r="BD4760" t="str">
        <f>"רוני דידי"</f>
        <v>רוני דידי</v>
      </c>
    </row>
    <row r="4761" spans="1:56" x14ac:dyDescent="0.3">
      <c r="A4761" s="1">
        <v>41848</v>
      </c>
      <c r="B4761" t="str">
        <f>"SI140002373"</f>
        <v>SI140002373</v>
      </c>
      <c r="C4761" t="str">
        <f>"PR12000061"</f>
        <v>PR12000061</v>
      </c>
      <c r="E4761" t="str">
        <f>"Y"</f>
        <v>Y</v>
      </c>
      <c r="F4761" t="str">
        <f>"חשבוניות מרכזות"</f>
        <v>חשבוניות מרכזות</v>
      </c>
      <c r="G4761" t="str">
        <f>"700065"</f>
        <v>700065</v>
      </c>
      <c r="H4761" t="str">
        <f>"אלתא מערכות בע""מ"</f>
        <v>אלתא מערכות בע"מ</v>
      </c>
      <c r="I4761" t="str">
        <f>"10"</f>
        <v>10</v>
      </c>
      <c r="J4761" t="str">
        <f>"GN9900001"</f>
        <v>GN9900001</v>
      </c>
      <c r="K4761" t="str">
        <f>"NRE- עלויות תכנון"</f>
        <v>NRE- עלויות תכנון</v>
      </c>
      <c r="L4761">
        <v>0.34</v>
      </c>
      <c r="M4761" t="str">
        <f>"חל"</f>
        <v>חל</v>
      </c>
      <c r="N4761">
        <v>0.34</v>
      </c>
      <c r="O4761" t="str">
        <f>"חל"</f>
        <v>חל</v>
      </c>
      <c r="P4761" s="2">
        <v>20000</v>
      </c>
      <c r="Q4761" t="str">
        <f>"$"</f>
        <v>$</v>
      </c>
      <c r="R4761" t="str">
        <f>"ידני"</f>
        <v>ידני</v>
      </c>
      <c r="S4761">
        <v>0</v>
      </c>
      <c r="T4761" s="2">
        <v>6800</v>
      </c>
      <c r="U4761">
        <v>0</v>
      </c>
      <c r="V4761" s="2">
        <v>6800</v>
      </c>
      <c r="W4761" t="str">
        <f>"$"</f>
        <v>$</v>
      </c>
      <c r="X4761">
        <v>0</v>
      </c>
      <c r="Y4761">
        <v>0</v>
      </c>
      <c r="Z4761">
        <v>0</v>
      </c>
      <c r="AA4761" t="str">
        <f>"Y"</f>
        <v>Y</v>
      </c>
      <c r="AC4761">
        <v>0</v>
      </c>
      <c r="AM4761" t="str">
        <f>"10"</f>
        <v>10</v>
      </c>
      <c r="AN4761" t="str">
        <f>"500000"</f>
        <v>500000</v>
      </c>
      <c r="AO4761" t="str">
        <f>"הכנסות  מלקוחות"</f>
        <v>הכנסות  מלקוחות</v>
      </c>
      <c r="AQ4761" t="str">
        <f>"007"</f>
        <v>007</v>
      </c>
      <c r="AR4761">
        <v>0</v>
      </c>
      <c r="AS4761">
        <v>0</v>
      </c>
      <c r="AT4761">
        <v>3.4260000000000002</v>
      </c>
      <c r="BD4761" t="str">
        <f>"רוני דידי"</f>
        <v>רוני דידי</v>
      </c>
    </row>
    <row r="4762" spans="1:56" x14ac:dyDescent="0.3">
      <c r="A4762" s="1">
        <v>41848</v>
      </c>
      <c r="B4762" t="str">
        <f>"CR140000012"</f>
        <v>CR140000012</v>
      </c>
      <c r="E4762" t="str">
        <f>"Y"</f>
        <v>Y</v>
      </c>
      <c r="F4762" t="str">
        <f>"חשבוניות זיכוי"</f>
        <v>חשבוניות זיכוי</v>
      </c>
      <c r="G4762" t="str">
        <f>"700065"</f>
        <v>700065</v>
      </c>
      <c r="H4762" t="str">
        <f>"אלתא מערכות בע""מ"</f>
        <v>אלתא מערכות בע"מ</v>
      </c>
      <c r="I4762" t="str">
        <f>"10"</f>
        <v>10</v>
      </c>
      <c r="J4762" t="str">
        <f>"GN9900001"</f>
        <v>GN9900001</v>
      </c>
      <c r="K4762" t="str">
        <f>"NRE- עלויות תכנון"</f>
        <v>NRE- עלויות תכנון</v>
      </c>
      <c r="L4762">
        <v>-0.34</v>
      </c>
      <c r="M4762" t="str">
        <f>"חל"</f>
        <v>חל</v>
      </c>
      <c r="N4762">
        <v>-0.34</v>
      </c>
      <c r="O4762" t="str">
        <f>"חל"</f>
        <v>חל</v>
      </c>
      <c r="P4762" s="2">
        <v>20000</v>
      </c>
      <c r="Q4762" t="str">
        <f>"$"</f>
        <v>$</v>
      </c>
      <c r="R4762" t="str">
        <f>"ידני"</f>
        <v>ידני</v>
      </c>
      <c r="S4762">
        <v>0</v>
      </c>
      <c r="T4762" s="2">
        <v>-6800</v>
      </c>
      <c r="U4762">
        <v>0</v>
      </c>
      <c r="V4762" s="2">
        <v>-6800</v>
      </c>
      <c r="W4762" t="str">
        <f>"$"</f>
        <v>$</v>
      </c>
      <c r="X4762">
        <v>0</v>
      </c>
      <c r="Y4762">
        <v>0</v>
      </c>
      <c r="Z4762">
        <v>0</v>
      </c>
      <c r="AA4762" t="str">
        <f>"Y"</f>
        <v>Y</v>
      </c>
      <c r="AC4762">
        <v>0</v>
      </c>
      <c r="AM4762" t="str">
        <f>"10"</f>
        <v>10</v>
      </c>
      <c r="AN4762" t="str">
        <f>"500000"</f>
        <v>500000</v>
      </c>
      <c r="AO4762" t="str">
        <f>"הכנסות  מלקוחות"</f>
        <v>הכנסות  מלקוחות</v>
      </c>
      <c r="AR4762">
        <v>0</v>
      </c>
      <c r="AS4762">
        <v>0</v>
      </c>
      <c r="AT4762">
        <v>3.7010000000000001</v>
      </c>
      <c r="BB4762" t="str">
        <f>"Y"</f>
        <v>Y</v>
      </c>
    </row>
    <row r="4763" spans="1:56" x14ac:dyDescent="0.3">
      <c r="A4763" s="1">
        <v>41848</v>
      </c>
      <c r="B4763" t="str">
        <f>"CR140000011"</f>
        <v>CR140000011</v>
      </c>
      <c r="E4763" t="str">
        <f>"Y"</f>
        <v>Y</v>
      </c>
      <c r="F4763" t="str">
        <f>"חשבוניות זיכוי"</f>
        <v>חשבוניות זיכוי</v>
      </c>
      <c r="G4763" t="str">
        <f>"700065"</f>
        <v>700065</v>
      </c>
      <c r="H4763" t="str">
        <f>"אלתא מערכות בע""מ"</f>
        <v>אלתא מערכות בע"מ</v>
      </c>
      <c r="I4763" t="str">
        <f>"10"</f>
        <v>10</v>
      </c>
      <c r="J4763" t="str">
        <f>"GN9900001"</f>
        <v>GN9900001</v>
      </c>
      <c r="K4763" t="str">
        <f>"NRE- עלויות תכנון"</f>
        <v>NRE- עלויות תכנון</v>
      </c>
      <c r="L4763">
        <v>0.34</v>
      </c>
      <c r="M4763" t="str">
        <f>"חל"</f>
        <v>חל</v>
      </c>
      <c r="N4763">
        <v>0.34</v>
      </c>
      <c r="O4763" t="str">
        <f>"חל"</f>
        <v>חל</v>
      </c>
      <c r="P4763" s="2">
        <v>20000</v>
      </c>
      <c r="Q4763" t="str">
        <f>"$"</f>
        <v>$</v>
      </c>
      <c r="R4763" t="str">
        <f>"ידני"</f>
        <v>ידני</v>
      </c>
      <c r="S4763">
        <v>0</v>
      </c>
      <c r="T4763" s="2">
        <v>6800</v>
      </c>
      <c r="U4763">
        <v>0</v>
      </c>
      <c r="V4763" s="2">
        <v>6800</v>
      </c>
      <c r="W4763" t="str">
        <f>"$"</f>
        <v>$</v>
      </c>
      <c r="X4763">
        <v>0</v>
      </c>
      <c r="Y4763">
        <v>0</v>
      </c>
      <c r="Z4763">
        <v>0</v>
      </c>
      <c r="AA4763" t="str">
        <f>"Y"</f>
        <v>Y</v>
      </c>
      <c r="AC4763">
        <v>0</v>
      </c>
      <c r="AM4763" t="str">
        <f>"10"</f>
        <v>10</v>
      </c>
      <c r="AN4763" t="str">
        <f>"500000"</f>
        <v>500000</v>
      </c>
      <c r="AO4763" t="str">
        <f>"הכנסות  מלקוחות"</f>
        <v>הכנסות  מלקוחות</v>
      </c>
      <c r="AR4763">
        <v>0</v>
      </c>
      <c r="AS4763">
        <v>0</v>
      </c>
      <c r="AT4763">
        <v>3.7010000000000001</v>
      </c>
      <c r="BB4763" t="str">
        <f>"Y"</f>
        <v>Y</v>
      </c>
    </row>
    <row r="4764" spans="1:56" x14ac:dyDescent="0.3">
      <c r="A4764" s="1">
        <v>41841</v>
      </c>
      <c r="B4764" t="str">
        <f>"SI140002385"</f>
        <v>SI140002385</v>
      </c>
      <c r="C4764" t="str">
        <f>"PR12000054"</f>
        <v>PR12000054</v>
      </c>
      <c r="E4764" t="str">
        <f>"Y"</f>
        <v>Y</v>
      </c>
      <c r="F4764" t="str">
        <f>"חשבוניות מרכזות"</f>
        <v>חשבוניות מרכזות</v>
      </c>
      <c r="G4764" t="str">
        <f>"700065"</f>
        <v>700065</v>
      </c>
      <c r="H4764" t="str">
        <f>"אלתא מערכות בע""מ"</f>
        <v>אלתא מערכות בע"מ</v>
      </c>
      <c r="I4764" t="str">
        <f>"10"</f>
        <v>10</v>
      </c>
      <c r="J4764" t="str">
        <f>"OP-AR00007"</f>
        <v>OP-AR00007</v>
      </c>
      <c r="K4764" t="str">
        <f>"שינוי AC DC,DC) PDB)- אלתא"</f>
        <v>שינוי AC DC,DC) PDB)- אלתא</v>
      </c>
      <c r="L4764">
        <v>6.7000000000000004E-2</v>
      </c>
      <c r="M4764" t="str">
        <f>"חל"</f>
        <v>חל</v>
      </c>
      <c r="N4764">
        <v>6.7000000000000004E-2</v>
      </c>
      <c r="O4764" t="str">
        <f>"חל"</f>
        <v>חל</v>
      </c>
      <c r="P4764" s="2">
        <v>273153.74</v>
      </c>
      <c r="Q4764" t="str">
        <f>"$"</f>
        <v>$</v>
      </c>
      <c r="R4764" t="str">
        <f>"ידני"</f>
        <v>ידני</v>
      </c>
      <c r="S4764">
        <v>0</v>
      </c>
      <c r="T4764" s="2">
        <v>18301.3</v>
      </c>
      <c r="U4764">
        <v>0</v>
      </c>
      <c r="V4764" s="2">
        <v>18301.3</v>
      </c>
      <c r="W4764" t="str">
        <f>"$"</f>
        <v>$</v>
      </c>
      <c r="X4764">
        <v>0</v>
      </c>
      <c r="Y4764">
        <v>0</v>
      </c>
      <c r="Z4764">
        <v>0</v>
      </c>
      <c r="AA4764" t="str">
        <f>"Y"</f>
        <v>Y</v>
      </c>
      <c r="AB4764" t="str">
        <f>"SO130000191"</f>
        <v>SO130000191</v>
      </c>
      <c r="AC4764">
        <v>4</v>
      </c>
      <c r="AD4764" s="1">
        <v>41324</v>
      </c>
      <c r="AM4764" t="str">
        <f>"10"</f>
        <v>10</v>
      </c>
      <c r="AN4764" t="str">
        <f>"500000"</f>
        <v>500000</v>
      </c>
      <c r="AO4764" t="str">
        <f>"הכנסות  מלקוחות"</f>
        <v>הכנסות  מלקוחות</v>
      </c>
      <c r="AQ4764" t="str">
        <f>"007"</f>
        <v>007</v>
      </c>
      <c r="AR4764">
        <v>0</v>
      </c>
      <c r="AS4764">
        <v>0</v>
      </c>
      <c r="AT4764">
        <v>3.4209999999999998</v>
      </c>
      <c r="AX4764" t="str">
        <f>"E000143532/2"</f>
        <v>E000143532/2</v>
      </c>
      <c r="BD4764" t="str">
        <f>"רוני דידי"</f>
        <v>רוני דידי</v>
      </c>
    </row>
    <row r="4765" spans="1:56" x14ac:dyDescent="0.3">
      <c r="A4765" s="1">
        <v>41841</v>
      </c>
      <c r="B4765" t="str">
        <f>"SI140002379"</f>
        <v>SI140002379</v>
      </c>
      <c r="C4765" t="str">
        <f>"PR12000054"</f>
        <v>PR12000054</v>
      </c>
      <c r="E4765" t="str">
        <f>"Y"</f>
        <v>Y</v>
      </c>
      <c r="F4765" t="str">
        <f>"חשבוניות מרכזות"</f>
        <v>חשבוניות מרכזות</v>
      </c>
      <c r="G4765" t="str">
        <f>"700065"</f>
        <v>700065</v>
      </c>
      <c r="H4765" t="str">
        <f>"אלתא מערכות בע""מ"</f>
        <v>אלתא מערכות בע"מ</v>
      </c>
      <c r="I4765" t="str">
        <f>"10"</f>
        <v>10</v>
      </c>
      <c r="J4765" t="str">
        <f>"OP-AR09107"</f>
        <v>OP-AR09107</v>
      </c>
      <c r="K4765" t="str">
        <f>"לוח AUX BOX מק""ט לקוח 1026L320-001"</f>
        <v>לוח AUX BOX מק"ט לקוח 1026L320-001</v>
      </c>
      <c r="L4765">
        <v>1</v>
      </c>
      <c r="M4765" t="str">
        <f>"יח"</f>
        <v>יח</v>
      </c>
      <c r="N4765">
        <v>1</v>
      </c>
      <c r="O4765" t="str">
        <f>"יח"</f>
        <v>יח</v>
      </c>
      <c r="P4765" s="2">
        <v>10450</v>
      </c>
      <c r="Q4765" t="str">
        <f>"$"</f>
        <v>$</v>
      </c>
      <c r="R4765" t="str">
        <f>"ידני"</f>
        <v>ידני</v>
      </c>
      <c r="S4765">
        <v>0</v>
      </c>
      <c r="T4765" s="2">
        <v>10450</v>
      </c>
      <c r="U4765">
        <v>0</v>
      </c>
      <c r="V4765" s="2">
        <v>10450</v>
      </c>
      <c r="W4765" t="str">
        <f>"$"</f>
        <v>$</v>
      </c>
      <c r="X4765">
        <v>0</v>
      </c>
      <c r="Y4765">
        <v>0</v>
      </c>
      <c r="Z4765">
        <v>0</v>
      </c>
      <c r="AA4765" t="str">
        <f>"Y"</f>
        <v>Y</v>
      </c>
      <c r="AB4765" t="str">
        <f>"SO12T000001"</f>
        <v>SO12T000001</v>
      </c>
      <c r="AC4765">
        <v>7</v>
      </c>
      <c r="AD4765" s="1">
        <v>41256</v>
      </c>
      <c r="AE4765" t="str">
        <f>"SH14003002"</f>
        <v>SH14003002</v>
      </c>
      <c r="AF4765" t="str">
        <f>"משלוחים ללקוח"</f>
        <v>משלוחים ללקוח</v>
      </c>
      <c r="AG4765" s="1">
        <v>41840</v>
      </c>
      <c r="AM4765" t="str">
        <f>"10"</f>
        <v>10</v>
      </c>
      <c r="AN4765" t="str">
        <f>"500000"</f>
        <v>500000</v>
      </c>
      <c r="AO4765" t="str">
        <f>"הכנסות  מלקוחות"</f>
        <v>הכנסות  מלקוחות</v>
      </c>
      <c r="AQ4765" t="str">
        <f>"007"</f>
        <v>007</v>
      </c>
      <c r="AR4765">
        <v>0</v>
      </c>
      <c r="AS4765">
        <v>0</v>
      </c>
      <c r="AT4765">
        <v>3.4209999999999998</v>
      </c>
      <c r="AX4765" t="str">
        <f>"E000093662"</f>
        <v>E000093662</v>
      </c>
      <c r="BD4765" t="str">
        <f>"רוני דידי"</f>
        <v>רוני דידי</v>
      </c>
    </row>
    <row r="4766" spans="1:56" x14ac:dyDescent="0.3">
      <c r="A4766" s="1">
        <v>41841</v>
      </c>
      <c r="B4766" t="str">
        <f>"SI140002378"</f>
        <v>SI140002378</v>
      </c>
      <c r="C4766" t="str">
        <f>"PR12000054"</f>
        <v>PR12000054</v>
      </c>
      <c r="E4766" t="str">
        <f>"Y"</f>
        <v>Y</v>
      </c>
      <c r="F4766" t="str">
        <f>"חשבוניות מרכזות"</f>
        <v>חשבוניות מרכזות</v>
      </c>
      <c r="G4766" t="str">
        <f>"700065"</f>
        <v>700065</v>
      </c>
      <c r="H4766" t="str">
        <f>"אלתא מערכות בע""מ"</f>
        <v>אלתא מערכות בע"מ</v>
      </c>
      <c r="I4766" t="str">
        <f>"10"</f>
        <v>10</v>
      </c>
      <c r="J4766" t="str">
        <f>"OP-AR09105"</f>
        <v>OP-AR09105</v>
      </c>
      <c r="K4766" t="str">
        <f>"לוח LB-PDB מק""ט לקוח 1026L310-002"</f>
        <v>לוח LB-PDB מק"ט לקוח 1026L310-002</v>
      </c>
      <c r="L4766">
        <v>1</v>
      </c>
      <c r="M4766" t="str">
        <f>"יח"</f>
        <v>יח</v>
      </c>
      <c r="N4766">
        <v>1</v>
      </c>
      <c r="O4766" t="str">
        <f>"יח"</f>
        <v>יח</v>
      </c>
      <c r="P4766" s="2">
        <v>25450</v>
      </c>
      <c r="Q4766" t="str">
        <f>"$"</f>
        <v>$</v>
      </c>
      <c r="R4766" t="str">
        <f>"ידני"</f>
        <v>ידני</v>
      </c>
      <c r="S4766">
        <v>0</v>
      </c>
      <c r="T4766" s="2">
        <v>25450</v>
      </c>
      <c r="U4766">
        <v>0</v>
      </c>
      <c r="V4766" s="2">
        <v>25450</v>
      </c>
      <c r="W4766" t="str">
        <f>"$"</f>
        <v>$</v>
      </c>
      <c r="X4766">
        <v>0</v>
      </c>
      <c r="Y4766">
        <v>0</v>
      </c>
      <c r="Z4766">
        <v>0</v>
      </c>
      <c r="AA4766" t="str">
        <f>"Y"</f>
        <v>Y</v>
      </c>
      <c r="AB4766" t="str">
        <f>"SO12T000001"</f>
        <v>SO12T000001</v>
      </c>
      <c r="AC4766">
        <v>6</v>
      </c>
      <c r="AD4766" s="1">
        <v>41256</v>
      </c>
      <c r="AE4766" t="str">
        <f>"SH14003003"</f>
        <v>SH14003003</v>
      </c>
      <c r="AF4766" t="str">
        <f>"משלוחים ללקוח"</f>
        <v>משלוחים ללקוח</v>
      </c>
      <c r="AG4766" s="1">
        <v>41840</v>
      </c>
      <c r="AM4766" t="str">
        <f>"10"</f>
        <v>10</v>
      </c>
      <c r="AN4766" t="str">
        <f>"500000"</f>
        <v>500000</v>
      </c>
      <c r="AO4766" t="str">
        <f>"הכנסות  מלקוחות"</f>
        <v>הכנסות  מלקוחות</v>
      </c>
      <c r="AQ4766" t="str">
        <f>"007"</f>
        <v>007</v>
      </c>
      <c r="AR4766">
        <v>0</v>
      </c>
      <c r="AS4766">
        <v>0</v>
      </c>
      <c r="AT4766">
        <v>3.4209999999999998</v>
      </c>
      <c r="AX4766" t="str">
        <f>"E000093662"</f>
        <v>E000093662</v>
      </c>
      <c r="BD4766" t="str">
        <f>"רוני דידי"</f>
        <v>רוני דידי</v>
      </c>
    </row>
    <row r="4767" spans="1:56" x14ac:dyDescent="0.3">
      <c r="A4767" s="1">
        <v>41841</v>
      </c>
      <c r="B4767" t="str">
        <f>"SI140002377"</f>
        <v>SI140002377</v>
      </c>
      <c r="C4767" t="str">
        <f>"PR12000061"</f>
        <v>PR12000061</v>
      </c>
      <c r="D4767" t="str">
        <f>"PR12000061"</f>
        <v>PR12000061</v>
      </c>
      <c r="E4767" t="str">
        <f>"Y"</f>
        <v>Y</v>
      </c>
      <c r="F4767" t="str">
        <f>"חשבוניות מרכזות"</f>
        <v>חשבוניות מרכזות</v>
      </c>
      <c r="G4767" t="str">
        <f>"700065"</f>
        <v>700065</v>
      </c>
      <c r="H4767" t="str">
        <f>"אלתא מערכות בע""מ"</f>
        <v>אלתא מערכות בע"מ</v>
      </c>
      <c r="I4767" t="str">
        <f>"10"</f>
        <v>10</v>
      </c>
      <c r="J4767" t="str">
        <f>"OP-AR12324"</f>
        <v>OP-AR12324</v>
      </c>
      <c r="K4767" t="str">
        <f>"לוח חלוקה DC PDB מק""ט לקוח 1025A690-001"</f>
        <v>לוח חלוקה DC PDB מק"ט לקוח 1025A690-001</v>
      </c>
      <c r="L4767">
        <v>1</v>
      </c>
      <c r="M4767" t="str">
        <f>"יח"</f>
        <v>יח</v>
      </c>
      <c r="N4767">
        <v>1</v>
      </c>
      <c r="O4767" t="str">
        <f>"יח"</f>
        <v>יח</v>
      </c>
      <c r="P4767" s="2">
        <v>58509</v>
      </c>
      <c r="Q4767" t="str">
        <f>"$"</f>
        <v>$</v>
      </c>
      <c r="R4767" t="str">
        <f>"ידני"</f>
        <v>ידני</v>
      </c>
      <c r="S4767">
        <v>0</v>
      </c>
      <c r="T4767" s="2">
        <v>58509</v>
      </c>
      <c r="U4767">
        <v>0</v>
      </c>
      <c r="V4767" s="2">
        <v>58509</v>
      </c>
      <c r="W4767" t="str">
        <f>"$"</f>
        <v>$</v>
      </c>
      <c r="X4767">
        <v>0</v>
      </c>
      <c r="Y4767">
        <v>0</v>
      </c>
      <c r="Z4767">
        <v>0</v>
      </c>
      <c r="AA4767" t="str">
        <f>"Y"</f>
        <v>Y</v>
      </c>
      <c r="AB4767" t="str">
        <f>"SO130000065"</f>
        <v>SO130000065</v>
      </c>
      <c r="AC4767">
        <v>8</v>
      </c>
      <c r="AD4767" s="1">
        <v>41297</v>
      </c>
      <c r="AE4767" t="str">
        <f>"SH14003001"</f>
        <v>SH14003001</v>
      </c>
      <c r="AF4767" t="str">
        <f>"משלוחים ללקוח"</f>
        <v>משלוחים ללקוח</v>
      </c>
      <c r="AG4767" s="1">
        <v>41840</v>
      </c>
      <c r="AM4767" t="str">
        <f>"10"</f>
        <v>10</v>
      </c>
      <c r="AN4767" t="str">
        <f>"500000"</f>
        <v>500000</v>
      </c>
      <c r="AO4767" t="str">
        <f>"הכנסות  מלקוחות"</f>
        <v>הכנסות  מלקוחות</v>
      </c>
      <c r="AQ4767" t="str">
        <f>"007"</f>
        <v>007</v>
      </c>
      <c r="AR4767">
        <v>0</v>
      </c>
      <c r="AS4767">
        <v>0</v>
      </c>
      <c r="AT4767">
        <v>3.4209999999999998</v>
      </c>
      <c r="AX4767" t="str">
        <f>"E000119136"</f>
        <v>E000119136</v>
      </c>
      <c r="BD4767" t="str">
        <f>"רוני דידי"</f>
        <v>רוני דידי</v>
      </c>
    </row>
    <row r="4768" spans="1:56" x14ac:dyDescent="0.3">
      <c r="A4768" s="1">
        <v>41821</v>
      </c>
      <c r="B4768" t="str">
        <f>"CR140000013"</f>
        <v>CR140000013</v>
      </c>
      <c r="E4768" t="str">
        <f>"Y"</f>
        <v>Y</v>
      </c>
      <c r="F4768" t="str">
        <f>"חשבוניות זיכוי"</f>
        <v>חשבוניות זיכוי</v>
      </c>
      <c r="G4768" t="str">
        <f>"700065"</f>
        <v>700065</v>
      </c>
      <c r="H4768" t="str">
        <f>"אלתא מערכות בע""מ"</f>
        <v>אלתא מערכות בע"מ</v>
      </c>
      <c r="I4768" t="str">
        <f>"10"</f>
        <v>10</v>
      </c>
      <c r="J4768" t="str">
        <f>"GN9900001"</f>
        <v>GN9900001</v>
      </c>
      <c r="K4768" t="str">
        <f>"NRE- עלויות תכנון"</f>
        <v>NRE- עלויות תכנון</v>
      </c>
      <c r="L4768">
        <v>0.34</v>
      </c>
      <c r="M4768" t="str">
        <f>"חל"</f>
        <v>חל</v>
      </c>
      <c r="N4768">
        <v>0.34</v>
      </c>
      <c r="O4768" t="str">
        <f>"חל"</f>
        <v>חל</v>
      </c>
      <c r="P4768" s="2">
        <v>20000</v>
      </c>
      <c r="Q4768" t="str">
        <f>"$"</f>
        <v>$</v>
      </c>
      <c r="R4768" t="str">
        <f>"ידני"</f>
        <v>ידני</v>
      </c>
      <c r="S4768">
        <v>0</v>
      </c>
      <c r="T4768" s="2">
        <v>6800</v>
      </c>
      <c r="U4768">
        <v>0</v>
      </c>
      <c r="V4768" s="2">
        <v>6800</v>
      </c>
      <c r="W4768" t="str">
        <f>"$"</f>
        <v>$</v>
      </c>
      <c r="X4768">
        <v>0</v>
      </c>
      <c r="Y4768">
        <v>0</v>
      </c>
      <c r="Z4768">
        <v>0</v>
      </c>
      <c r="AA4768" t="str">
        <f>"Y"</f>
        <v>Y</v>
      </c>
      <c r="AC4768">
        <v>0</v>
      </c>
      <c r="AM4768" t="str">
        <f>"10"</f>
        <v>10</v>
      </c>
      <c r="AN4768" t="str">
        <f>"500000"</f>
        <v>500000</v>
      </c>
      <c r="AO4768" t="str">
        <f>"הכנסות  מלקוחות"</f>
        <v>הכנסות  מלקוחות</v>
      </c>
      <c r="AR4768">
        <v>0</v>
      </c>
      <c r="AS4768">
        <v>0</v>
      </c>
      <c r="AT4768">
        <v>3.4260000000000002</v>
      </c>
    </row>
    <row r="4769" spans="1:56" x14ac:dyDescent="0.3">
      <c r="A4769" s="1">
        <v>41772</v>
      </c>
      <c r="B4769" t="str">
        <f>"SI140002047"</f>
        <v>SI140002047</v>
      </c>
      <c r="C4769" t="str">
        <f>"PR14001625"</f>
        <v>PR14001625</v>
      </c>
      <c r="D4769" t="str">
        <f>"PR14001625"</f>
        <v>PR14001625</v>
      </c>
      <c r="E4769" t="str">
        <f>"Y"</f>
        <v>Y</v>
      </c>
      <c r="F4769" t="str">
        <f>"חשבוניות מרכזות"</f>
        <v>חשבוניות מרכזות</v>
      </c>
      <c r="G4769" t="str">
        <f>"700065"</f>
        <v>700065</v>
      </c>
      <c r="H4769" t="str">
        <f>"אלתא מערכות בע""מ"</f>
        <v>אלתא מערכות בע"מ</v>
      </c>
      <c r="I4769" t="str">
        <f>"10"</f>
        <v>10</v>
      </c>
      <c r="J4769" t="str">
        <f>"GN9992222"</f>
        <v>GN9992222</v>
      </c>
      <c r="K4769" t="str">
        <f>"בדיקת מתקן"</f>
        <v>בדיקת מתקן</v>
      </c>
      <c r="L4769">
        <v>1</v>
      </c>
      <c r="M4769" t="str">
        <f>"יח"</f>
        <v>יח</v>
      </c>
      <c r="N4769">
        <v>1</v>
      </c>
      <c r="O4769" t="str">
        <f>"יח"</f>
        <v>יח</v>
      </c>
      <c r="P4769" s="2">
        <v>1435.5</v>
      </c>
      <c r="Q4769" t="str">
        <f>"$"</f>
        <v>$</v>
      </c>
      <c r="R4769" t="str">
        <f>"הזמנה"</f>
        <v>הזמנה</v>
      </c>
      <c r="S4769">
        <v>0</v>
      </c>
      <c r="T4769" s="2">
        <v>1435.5</v>
      </c>
      <c r="U4769">
        <v>0</v>
      </c>
      <c r="V4769" s="2">
        <v>1435.5</v>
      </c>
      <c r="W4769" t="str">
        <f>"$"</f>
        <v>$</v>
      </c>
      <c r="X4769">
        <v>0</v>
      </c>
      <c r="Y4769">
        <v>0</v>
      </c>
      <c r="Z4769">
        <v>0</v>
      </c>
      <c r="AA4769" t="str">
        <f>"Y"</f>
        <v>Y</v>
      </c>
      <c r="AB4769" t="str">
        <f>"SO140001946"</f>
        <v>SO140001946</v>
      </c>
      <c r="AC4769">
        <v>1</v>
      </c>
      <c r="AD4769" s="1">
        <v>41771</v>
      </c>
      <c r="AM4769" t="str">
        <f>"10"</f>
        <v>10</v>
      </c>
      <c r="AN4769" t="str">
        <f>"500000"</f>
        <v>500000</v>
      </c>
      <c r="AO4769" t="str">
        <f>"הכנסות  מלקוחות"</f>
        <v>הכנסות  מלקוחות</v>
      </c>
      <c r="AQ4769" t="str">
        <f>"007"</f>
        <v>007</v>
      </c>
      <c r="AR4769">
        <v>0</v>
      </c>
      <c r="AS4769">
        <v>0</v>
      </c>
      <c r="AT4769">
        <v>3.456</v>
      </c>
      <c r="AX4769" t="str">
        <f>"E000174245"</f>
        <v>E000174245</v>
      </c>
      <c r="BD4769" t="str">
        <f>"רוני דידי"</f>
        <v>רוני דידי</v>
      </c>
    </row>
    <row r="4770" spans="1:56" x14ac:dyDescent="0.3">
      <c r="A4770" s="1">
        <v>41767</v>
      </c>
      <c r="B4770" t="str">
        <f>"SI140002007"</f>
        <v>SI140002007</v>
      </c>
      <c r="C4770" t="str">
        <f>"PR14001458"</f>
        <v>PR14001458</v>
      </c>
      <c r="D4770" t="str">
        <f>"PR14001458"</f>
        <v>PR14001458</v>
      </c>
      <c r="E4770" t="str">
        <f>"Y"</f>
        <v>Y</v>
      </c>
      <c r="F4770" t="str">
        <f>"חשבוניות מרכזות"</f>
        <v>חשבוניות מרכזות</v>
      </c>
      <c r="G4770" t="str">
        <f>"700065"</f>
        <v>700065</v>
      </c>
      <c r="H4770" t="str">
        <f>"אלתא מערכות בע""מ"</f>
        <v>אלתא מערכות בע"מ</v>
      </c>
      <c r="I4770" t="str">
        <f>"10"</f>
        <v>10</v>
      </c>
      <c r="J4770" t="str">
        <f>"000"</f>
        <v>000</v>
      </c>
      <c r="K4770" t="str">
        <f>"מקדמה - בגין שיפוץ חטיבת CU אורן"</f>
        <v>מקדמה - בגין שיפוץ חטיבת CU אורן</v>
      </c>
      <c r="L4770">
        <v>1</v>
      </c>
      <c r="M4770" t="str">
        <f>"יח"</f>
        <v>יח</v>
      </c>
      <c r="N4770">
        <v>1</v>
      </c>
      <c r="O4770" t="str">
        <f>"יח"</f>
        <v>יח</v>
      </c>
      <c r="P4770" s="2">
        <v>80000</v>
      </c>
      <c r="Q4770" t="str">
        <f>"$"</f>
        <v>$</v>
      </c>
      <c r="R4770" t="str">
        <f>"הזמנה"</f>
        <v>הזמנה</v>
      </c>
      <c r="S4770">
        <v>0</v>
      </c>
      <c r="T4770" s="2">
        <v>80000</v>
      </c>
      <c r="U4770">
        <v>0</v>
      </c>
      <c r="V4770" s="2">
        <v>80000</v>
      </c>
      <c r="W4770" t="str">
        <f>"$"</f>
        <v>$</v>
      </c>
      <c r="X4770">
        <v>0</v>
      </c>
      <c r="Y4770">
        <v>0</v>
      </c>
      <c r="Z4770">
        <v>0</v>
      </c>
      <c r="AA4770" t="str">
        <f>"Y"</f>
        <v>Y</v>
      </c>
      <c r="AB4770" t="str">
        <f>"SO140001767"</f>
        <v>SO140001767</v>
      </c>
      <c r="AC4770">
        <v>1</v>
      </c>
      <c r="AD4770" s="1">
        <v>41708</v>
      </c>
      <c r="AM4770" t="str">
        <f>"10"</f>
        <v>10</v>
      </c>
      <c r="AN4770" t="str">
        <f>"500000"</f>
        <v>500000</v>
      </c>
      <c r="AO4770" t="str">
        <f>"הכנסות  מלקוחות"</f>
        <v>הכנסות  מלקוחות</v>
      </c>
      <c r="AQ4770" t="str">
        <f>"007"</f>
        <v>007</v>
      </c>
      <c r="AR4770">
        <v>0</v>
      </c>
      <c r="AS4770">
        <v>0</v>
      </c>
      <c r="AT4770">
        <v>3.4489999999999998</v>
      </c>
      <c r="AX4770" t="str">
        <f>"E000170645"</f>
        <v>E000170645</v>
      </c>
      <c r="BD4770" t="str">
        <f>"רוני דידי"</f>
        <v>רוני דידי</v>
      </c>
    </row>
    <row r="4771" spans="1:56" x14ac:dyDescent="0.3">
      <c r="A4771" s="1">
        <v>41725</v>
      </c>
      <c r="B4771" t="str">
        <f>"SI140001895"</f>
        <v>SI140001895</v>
      </c>
      <c r="C4771" t="str">
        <f>"PR12000054"</f>
        <v>PR12000054</v>
      </c>
      <c r="E4771" t="str">
        <f>"Y"</f>
        <v>Y</v>
      </c>
      <c r="F4771" t="str">
        <f>"חשבוניות מרכזות"</f>
        <v>חשבוניות מרכזות</v>
      </c>
      <c r="G4771" t="str">
        <f>"700065"</f>
        <v>700065</v>
      </c>
      <c r="H4771" t="str">
        <f>"אלתא מערכות בע""מ"</f>
        <v>אלתא מערכות בע"מ</v>
      </c>
      <c r="I4771" t="str">
        <f>"10"</f>
        <v>10</v>
      </c>
      <c r="J4771" t="str">
        <f>"OP-AR09104"</f>
        <v>OP-AR09104</v>
      </c>
      <c r="K4771" t="str">
        <f>"עלויות שלב אימות פיתוח"</f>
        <v>עלויות שלב אימות פיתוח</v>
      </c>
      <c r="L4771">
        <v>0.5</v>
      </c>
      <c r="M4771" t="str">
        <f>"חל"</f>
        <v>חל</v>
      </c>
      <c r="N4771">
        <v>0.5</v>
      </c>
      <c r="O4771" t="str">
        <f>"חל"</f>
        <v>חל</v>
      </c>
      <c r="P4771" s="2">
        <v>166300</v>
      </c>
      <c r="Q4771" t="str">
        <f>"$"</f>
        <v>$</v>
      </c>
      <c r="R4771" t="str">
        <f>"הזמנה"</f>
        <v>הזמנה</v>
      </c>
      <c r="S4771">
        <v>0</v>
      </c>
      <c r="T4771" s="2">
        <v>83150</v>
      </c>
      <c r="U4771">
        <v>0</v>
      </c>
      <c r="V4771" s="2">
        <v>83150</v>
      </c>
      <c r="W4771" t="str">
        <f>"$"</f>
        <v>$</v>
      </c>
      <c r="X4771">
        <v>0</v>
      </c>
      <c r="Y4771">
        <v>0</v>
      </c>
      <c r="Z4771">
        <v>0</v>
      </c>
      <c r="AA4771" t="str">
        <f>"Y"</f>
        <v>Y</v>
      </c>
      <c r="AB4771" t="str">
        <f>"SO12T000001"</f>
        <v>SO12T000001</v>
      </c>
      <c r="AC4771">
        <v>3</v>
      </c>
      <c r="AD4771" s="1">
        <v>41256</v>
      </c>
      <c r="AM4771" t="str">
        <f>"10"</f>
        <v>10</v>
      </c>
      <c r="AN4771" t="str">
        <f>"500000"</f>
        <v>500000</v>
      </c>
      <c r="AO4771" t="str">
        <f>"הכנסות  מלקוחות"</f>
        <v>הכנסות  מלקוחות</v>
      </c>
      <c r="AQ4771" t="str">
        <f>"007"</f>
        <v>007</v>
      </c>
      <c r="AR4771">
        <v>0</v>
      </c>
      <c r="AS4771">
        <v>0</v>
      </c>
      <c r="AT4771">
        <v>3.4889999999999999</v>
      </c>
      <c r="AX4771" t="str">
        <f>"E000093662"</f>
        <v>E000093662</v>
      </c>
      <c r="BD4771" t="str">
        <f>"רוני דידי"</f>
        <v>רוני דידי</v>
      </c>
    </row>
    <row r="4772" spans="1:56" x14ac:dyDescent="0.3">
      <c r="A4772" s="1">
        <v>41709</v>
      </c>
      <c r="B4772" t="str">
        <f>"SI140001806"</f>
        <v>SI140001806</v>
      </c>
      <c r="E4772" t="str">
        <f>"Y"</f>
        <v>Y</v>
      </c>
      <c r="F4772" t="str">
        <f>"חשבוניות מרכזות"</f>
        <v>חשבוניות מרכזות</v>
      </c>
      <c r="G4772" t="str">
        <f>"700065"</f>
        <v>700065</v>
      </c>
      <c r="H4772" t="str">
        <f>"אלתא מערכות בע""מ"</f>
        <v>אלתא מערכות בע"מ</v>
      </c>
      <c r="I4772" t="str">
        <f>"10"</f>
        <v>10</v>
      </c>
      <c r="J4772" t="str">
        <f>"OP-AR00007"</f>
        <v>OP-AR00007</v>
      </c>
      <c r="K4772" t="str">
        <f>"שינוי AC DC,DC) PDB)- אלתא"</f>
        <v>שינוי AC DC,DC) PDB)- אלתא</v>
      </c>
      <c r="L4772">
        <v>-6.7000000000000004E-2</v>
      </c>
      <c r="M4772" t="str">
        <f>"חל"</f>
        <v>חל</v>
      </c>
      <c r="N4772">
        <v>-6.7000000000000004E-2</v>
      </c>
      <c r="O4772" t="str">
        <f>"חל"</f>
        <v>חל</v>
      </c>
      <c r="P4772" s="2">
        <v>273153.74</v>
      </c>
      <c r="Q4772" t="str">
        <f>"$"</f>
        <v>$</v>
      </c>
      <c r="R4772" t="str">
        <f>"הזמנה"</f>
        <v>הזמנה</v>
      </c>
      <c r="S4772">
        <v>0</v>
      </c>
      <c r="T4772" s="2">
        <v>-18301.3</v>
      </c>
      <c r="U4772">
        <v>0</v>
      </c>
      <c r="V4772" s="2">
        <v>-18301.3</v>
      </c>
      <c r="W4772" t="str">
        <f>"$"</f>
        <v>$</v>
      </c>
      <c r="X4772">
        <v>0</v>
      </c>
      <c r="Y4772">
        <v>0</v>
      </c>
      <c r="Z4772">
        <v>0</v>
      </c>
      <c r="AA4772" t="str">
        <f>"Y"</f>
        <v>Y</v>
      </c>
      <c r="AC4772">
        <v>0</v>
      </c>
      <c r="AM4772" t="str">
        <f>"10"</f>
        <v>10</v>
      </c>
      <c r="AN4772" t="str">
        <f>"500000"</f>
        <v>500000</v>
      </c>
      <c r="AO4772" t="str">
        <f>"הכנסות  מלקוחות"</f>
        <v>הכנסות  מלקוחות</v>
      </c>
      <c r="AQ4772" t="str">
        <f>"007"</f>
        <v>007</v>
      </c>
      <c r="AR4772">
        <v>0</v>
      </c>
      <c r="AS4772">
        <v>0</v>
      </c>
      <c r="AT4772">
        <v>3.4740000000000002</v>
      </c>
      <c r="BB4772" t="str">
        <f>"Y"</f>
        <v>Y</v>
      </c>
      <c r="BD4772" t="str">
        <f>"רוני דידי"</f>
        <v>רוני דידי</v>
      </c>
    </row>
    <row r="4773" spans="1:56" x14ac:dyDescent="0.3">
      <c r="A4773" s="1">
        <v>41709</v>
      </c>
      <c r="B4773" t="str">
        <f>"SI140001806"</f>
        <v>SI140001806</v>
      </c>
      <c r="E4773" t="str">
        <f>"Y"</f>
        <v>Y</v>
      </c>
      <c r="F4773" t="str">
        <f>"חשבוניות מרכזות"</f>
        <v>חשבוניות מרכזות</v>
      </c>
      <c r="G4773" t="str">
        <f>"700065"</f>
        <v>700065</v>
      </c>
      <c r="H4773" t="str">
        <f>"אלתא מערכות בע""מ"</f>
        <v>אלתא מערכות בע"מ</v>
      </c>
      <c r="I4773" t="str">
        <f>"10"</f>
        <v>10</v>
      </c>
      <c r="J4773" t="str">
        <f>"OP-AR00007"</f>
        <v>OP-AR00007</v>
      </c>
      <c r="K4773" t="str">
        <f>"שינוי AC DC,DC) PDB)- אלתא"</f>
        <v>שינוי AC DC,DC) PDB)- אלתא</v>
      </c>
      <c r="L4773">
        <v>-6.7000000000000004E-2</v>
      </c>
      <c r="M4773" t="str">
        <f>"חל"</f>
        <v>חל</v>
      </c>
      <c r="N4773">
        <v>-6.7000000000000004E-2</v>
      </c>
      <c r="O4773" t="str">
        <f>"חל"</f>
        <v>חל</v>
      </c>
      <c r="P4773" s="2">
        <v>273153.74</v>
      </c>
      <c r="Q4773" t="str">
        <f>"$"</f>
        <v>$</v>
      </c>
      <c r="R4773" t="str">
        <f>"הזמנה"</f>
        <v>הזמנה</v>
      </c>
      <c r="S4773">
        <v>0</v>
      </c>
      <c r="T4773" s="2">
        <v>-18301.3</v>
      </c>
      <c r="U4773">
        <v>0</v>
      </c>
      <c r="V4773" s="2">
        <v>-18301.3</v>
      </c>
      <c r="W4773" t="str">
        <f>"$"</f>
        <v>$</v>
      </c>
      <c r="X4773">
        <v>0</v>
      </c>
      <c r="Y4773">
        <v>0</v>
      </c>
      <c r="Z4773">
        <v>0</v>
      </c>
      <c r="AA4773" t="str">
        <f>"Y"</f>
        <v>Y</v>
      </c>
      <c r="AC4773">
        <v>0</v>
      </c>
      <c r="AM4773" t="str">
        <f>"10"</f>
        <v>10</v>
      </c>
      <c r="AN4773" t="str">
        <f>"500000"</f>
        <v>500000</v>
      </c>
      <c r="AO4773" t="str">
        <f>"הכנסות  מלקוחות"</f>
        <v>הכנסות  מלקוחות</v>
      </c>
      <c r="AQ4773" t="str">
        <f>"007"</f>
        <v>007</v>
      </c>
      <c r="AR4773">
        <v>0</v>
      </c>
      <c r="AS4773">
        <v>0</v>
      </c>
      <c r="AT4773">
        <v>3.4740000000000002</v>
      </c>
      <c r="BB4773" t="str">
        <f>"Y"</f>
        <v>Y</v>
      </c>
      <c r="BD4773" t="str">
        <f>"רוני דידי"</f>
        <v>רוני דידי</v>
      </c>
    </row>
    <row r="4774" spans="1:56" x14ac:dyDescent="0.3">
      <c r="A4774" s="1">
        <v>41709</v>
      </c>
      <c r="B4774" t="str">
        <f>"SI140001806"</f>
        <v>SI140001806</v>
      </c>
      <c r="E4774" t="str">
        <f>"Y"</f>
        <v>Y</v>
      </c>
      <c r="F4774" t="str">
        <f>"חשבוניות מרכזות"</f>
        <v>חשבוניות מרכזות</v>
      </c>
      <c r="G4774" t="str">
        <f>"700065"</f>
        <v>700065</v>
      </c>
      <c r="H4774" t="str">
        <f>"אלתא מערכות בע""מ"</f>
        <v>אלתא מערכות בע"מ</v>
      </c>
      <c r="I4774" t="str">
        <f>"10"</f>
        <v>10</v>
      </c>
      <c r="J4774" t="str">
        <f>"OP-AR00007"</f>
        <v>OP-AR00007</v>
      </c>
      <c r="K4774" t="str">
        <f>"שינוי AC DC,DC) PDB)- אלתא"</f>
        <v>שינוי AC DC,DC) PDB)- אלתא</v>
      </c>
      <c r="L4774">
        <v>-6.7000000000000004E-2</v>
      </c>
      <c r="M4774" t="str">
        <f>"חל"</f>
        <v>חל</v>
      </c>
      <c r="N4774">
        <v>-6.7000000000000004E-2</v>
      </c>
      <c r="O4774" t="str">
        <f>"חל"</f>
        <v>חל</v>
      </c>
      <c r="P4774" s="2">
        <v>273153.74</v>
      </c>
      <c r="Q4774" t="str">
        <f>"$"</f>
        <v>$</v>
      </c>
      <c r="R4774" t="str">
        <f>"הזמנה"</f>
        <v>הזמנה</v>
      </c>
      <c r="S4774">
        <v>0</v>
      </c>
      <c r="T4774" s="2">
        <v>-18301.3</v>
      </c>
      <c r="U4774">
        <v>0</v>
      </c>
      <c r="V4774" s="2">
        <v>-18301.3</v>
      </c>
      <c r="W4774" t="str">
        <f>"$"</f>
        <v>$</v>
      </c>
      <c r="X4774">
        <v>0</v>
      </c>
      <c r="Y4774">
        <v>0</v>
      </c>
      <c r="Z4774">
        <v>0</v>
      </c>
      <c r="AA4774" t="str">
        <f>"Y"</f>
        <v>Y</v>
      </c>
      <c r="AC4774">
        <v>0</v>
      </c>
      <c r="AM4774" t="str">
        <f>"10"</f>
        <v>10</v>
      </c>
      <c r="AN4774" t="str">
        <f>"500000"</f>
        <v>500000</v>
      </c>
      <c r="AO4774" t="str">
        <f>"הכנסות  מלקוחות"</f>
        <v>הכנסות  מלקוחות</v>
      </c>
      <c r="AQ4774" t="str">
        <f>"007"</f>
        <v>007</v>
      </c>
      <c r="AR4774">
        <v>0</v>
      </c>
      <c r="AS4774">
        <v>0</v>
      </c>
      <c r="AT4774">
        <v>3.4740000000000002</v>
      </c>
      <c r="BB4774" t="str">
        <f>"Y"</f>
        <v>Y</v>
      </c>
      <c r="BD4774" t="str">
        <f>"רוני דידי"</f>
        <v>רוני דידי</v>
      </c>
    </row>
    <row r="4775" spans="1:56" x14ac:dyDescent="0.3">
      <c r="A4775" s="1">
        <v>41709</v>
      </c>
      <c r="B4775" t="str">
        <f>"SI140001799"</f>
        <v>SI140001799</v>
      </c>
      <c r="E4775" t="str">
        <f>"Y"</f>
        <v>Y</v>
      </c>
      <c r="F4775" t="str">
        <f>"חשבוניות מרכזות"</f>
        <v>חשבוניות מרכזות</v>
      </c>
      <c r="G4775" t="str">
        <f>"700065"</f>
        <v>700065</v>
      </c>
      <c r="H4775" t="str">
        <f>"אלתא מערכות בע""מ"</f>
        <v>אלתא מערכות בע"מ</v>
      </c>
      <c r="I4775" t="str">
        <f>"10"</f>
        <v>10</v>
      </c>
      <c r="J4775" t="str">
        <f>"OP-AR00007"</f>
        <v>OP-AR00007</v>
      </c>
      <c r="K4775" t="str">
        <f>"שינוי AC DC,DC) PDB)- אלתא"</f>
        <v>שינוי AC DC,DC) PDB)- אלתא</v>
      </c>
      <c r="L4775">
        <v>6.7000000000000004E-2</v>
      </c>
      <c r="M4775" t="str">
        <f>"חל"</f>
        <v>חל</v>
      </c>
      <c r="N4775">
        <v>6.7000000000000004E-2</v>
      </c>
      <c r="O4775" t="str">
        <f>"חל"</f>
        <v>חל</v>
      </c>
      <c r="P4775" s="2">
        <v>273153.74</v>
      </c>
      <c r="Q4775" t="str">
        <f>"$"</f>
        <v>$</v>
      </c>
      <c r="R4775" t="str">
        <f>"הזמנה"</f>
        <v>הזמנה</v>
      </c>
      <c r="S4775">
        <v>0</v>
      </c>
      <c r="T4775" s="2">
        <v>18301.3</v>
      </c>
      <c r="U4775">
        <v>0</v>
      </c>
      <c r="V4775" s="2">
        <v>18301.3</v>
      </c>
      <c r="W4775" t="str">
        <f>"$"</f>
        <v>$</v>
      </c>
      <c r="X4775">
        <v>0</v>
      </c>
      <c r="Y4775">
        <v>0</v>
      </c>
      <c r="Z4775">
        <v>0</v>
      </c>
      <c r="AA4775" t="str">
        <f>"Y"</f>
        <v>Y</v>
      </c>
      <c r="AC4775">
        <v>0</v>
      </c>
      <c r="AM4775" t="str">
        <f>"10"</f>
        <v>10</v>
      </c>
      <c r="AN4775" t="str">
        <f>"500000"</f>
        <v>500000</v>
      </c>
      <c r="AO4775" t="str">
        <f>"הכנסות  מלקוחות"</f>
        <v>הכנסות  מלקוחות</v>
      </c>
      <c r="AQ4775" t="str">
        <f>"007"</f>
        <v>007</v>
      </c>
      <c r="AR4775">
        <v>0</v>
      </c>
      <c r="AS4775">
        <v>0</v>
      </c>
      <c r="AT4775">
        <v>3.4740000000000002</v>
      </c>
      <c r="BB4775" t="str">
        <f>"Y"</f>
        <v>Y</v>
      </c>
      <c r="BD4775" t="str">
        <f>"רוני דידי"</f>
        <v>רוני דידי</v>
      </c>
    </row>
    <row r="4776" spans="1:56" x14ac:dyDescent="0.3">
      <c r="A4776" s="1">
        <v>41709</v>
      </c>
      <c r="B4776" t="str">
        <f>"SI140001799"</f>
        <v>SI140001799</v>
      </c>
      <c r="E4776" t="str">
        <f>"Y"</f>
        <v>Y</v>
      </c>
      <c r="F4776" t="str">
        <f>"חשבוניות מרכזות"</f>
        <v>חשבוניות מרכזות</v>
      </c>
      <c r="G4776" t="str">
        <f>"700065"</f>
        <v>700065</v>
      </c>
      <c r="H4776" t="str">
        <f>"אלתא מערכות בע""מ"</f>
        <v>אלתא מערכות בע"מ</v>
      </c>
      <c r="I4776" t="str">
        <f>"10"</f>
        <v>10</v>
      </c>
      <c r="J4776" t="str">
        <f>"OP-AR00007"</f>
        <v>OP-AR00007</v>
      </c>
      <c r="K4776" t="str">
        <f>"שינוי AC DC,DC) PDB)- אלתא"</f>
        <v>שינוי AC DC,DC) PDB)- אלתא</v>
      </c>
      <c r="L4776">
        <v>6.7000000000000004E-2</v>
      </c>
      <c r="M4776" t="str">
        <f>"חל"</f>
        <v>חל</v>
      </c>
      <c r="N4776">
        <v>6.7000000000000004E-2</v>
      </c>
      <c r="O4776" t="str">
        <f>"חל"</f>
        <v>חל</v>
      </c>
      <c r="P4776" s="2">
        <v>273153.74</v>
      </c>
      <c r="Q4776" t="str">
        <f>"$"</f>
        <v>$</v>
      </c>
      <c r="R4776" t="str">
        <f>"הזמנה"</f>
        <v>הזמנה</v>
      </c>
      <c r="S4776">
        <v>0</v>
      </c>
      <c r="T4776" s="2">
        <v>18301.3</v>
      </c>
      <c r="U4776">
        <v>0</v>
      </c>
      <c r="V4776" s="2">
        <v>18301.3</v>
      </c>
      <c r="W4776" t="str">
        <f>"$"</f>
        <v>$</v>
      </c>
      <c r="X4776">
        <v>0</v>
      </c>
      <c r="Y4776">
        <v>0</v>
      </c>
      <c r="Z4776">
        <v>0</v>
      </c>
      <c r="AA4776" t="str">
        <f>"Y"</f>
        <v>Y</v>
      </c>
      <c r="AC4776">
        <v>0</v>
      </c>
      <c r="AM4776" t="str">
        <f>"10"</f>
        <v>10</v>
      </c>
      <c r="AN4776" t="str">
        <f>"500000"</f>
        <v>500000</v>
      </c>
      <c r="AO4776" t="str">
        <f>"הכנסות  מלקוחות"</f>
        <v>הכנסות  מלקוחות</v>
      </c>
      <c r="AQ4776" t="str">
        <f>"007"</f>
        <v>007</v>
      </c>
      <c r="AR4776">
        <v>0</v>
      </c>
      <c r="AS4776">
        <v>0</v>
      </c>
      <c r="AT4776">
        <v>3.4740000000000002</v>
      </c>
      <c r="BB4776" t="str">
        <f>"Y"</f>
        <v>Y</v>
      </c>
      <c r="BD4776" t="str">
        <f>"רוני דידי"</f>
        <v>רוני דידי</v>
      </c>
    </row>
    <row r="4777" spans="1:56" x14ac:dyDescent="0.3">
      <c r="A4777" s="1">
        <v>41709</v>
      </c>
      <c r="B4777" t="str">
        <f>"SI140001799"</f>
        <v>SI140001799</v>
      </c>
      <c r="E4777" t="str">
        <f>"Y"</f>
        <v>Y</v>
      </c>
      <c r="F4777" t="str">
        <f>"חשבוניות מרכזות"</f>
        <v>חשבוניות מרכזות</v>
      </c>
      <c r="G4777" t="str">
        <f>"700065"</f>
        <v>700065</v>
      </c>
      <c r="H4777" t="str">
        <f>"אלתא מערכות בע""מ"</f>
        <v>אלתא מערכות בע"מ</v>
      </c>
      <c r="I4777" t="str">
        <f>"10"</f>
        <v>10</v>
      </c>
      <c r="J4777" t="str">
        <f>"OP-AR00007"</f>
        <v>OP-AR00007</v>
      </c>
      <c r="K4777" t="str">
        <f>"שינוי AC DC,DC) PDB)- אלתא"</f>
        <v>שינוי AC DC,DC) PDB)- אלתא</v>
      </c>
      <c r="L4777">
        <v>6.7000000000000004E-2</v>
      </c>
      <c r="M4777" t="str">
        <f>"חל"</f>
        <v>חל</v>
      </c>
      <c r="N4777">
        <v>6.7000000000000004E-2</v>
      </c>
      <c r="O4777" t="str">
        <f>"חל"</f>
        <v>חל</v>
      </c>
      <c r="P4777" s="2">
        <v>273153.74</v>
      </c>
      <c r="Q4777" t="str">
        <f>"$"</f>
        <v>$</v>
      </c>
      <c r="R4777" t="str">
        <f>"הזמנה"</f>
        <v>הזמנה</v>
      </c>
      <c r="S4777">
        <v>0</v>
      </c>
      <c r="T4777" s="2">
        <v>18301.3</v>
      </c>
      <c r="U4777">
        <v>0</v>
      </c>
      <c r="V4777" s="2">
        <v>18301.3</v>
      </c>
      <c r="W4777" t="str">
        <f>"$"</f>
        <v>$</v>
      </c>
      <c r="X4777">
        <v>0</v>
      </c>
      <c r="Y4777">
        <v>0</v>
      </c>
      <c r="Z4777">
        <v>0</v>
      </c>
      <c r="AA4777" t="str">
        <f>"Y"</f>
        <v>Y</v>
      </c>
      <c r="AC4777">
        <v>0</v>
      </c>
      <c r="AM4777" t="str">
        <f>"10"</f>
        <v>10</v>
      </c>
      <c r="AN4777" t="str">
        <f>"500000"</f>
        <v>500000</v>
      </c>
      <c r="AO4777" t="str">
        <f>"הכנסות  מלקוחות"</f>
        <v>הכנסות  מלקוחות</v>
      </c>
      <c r="AQ4777" t="str">
        <f>"007"</f>
        <v>007</v>
      </c>
      <c r="AR4777">
        <v>0</v>
      </c>
      <c r="AS4777">
        <v>0</v>
      </c>
      <c r="AT4777">
        <v>3.4740000000000002</v>
      </c>
      <c r="BB4777" t="str">
        <f>"Y"</f>
        <v>Y</v>
      </c>
      <c r="BD4777" t="str">
        <f>"רוני דידי"</f>
        <v>רוני דידי</v>
      </c>
    </row>
    <row r="4778" spans="1:56" x14ac:dyDescent="0.3">
      <c r="A4778" s="1">
        <v>41709</v>
      </c>
      <c r="B4778" t="str">
        <f>"SI140001798"</f>
        <v>SI140001798</v>
      </c>
      <c r="E4778" t="str">
        <f>"Y"</f>
        <v>Y</v>
      </c>
      <c r="F4778" t="str">
        <f>"חשבוניות מרכזות"</f>
        <v>חשבוניות מרכזות</v>
      </c>
      <c r="G4778" t="str">
        <f>"700065"</f>
        <v>700065</v>
      </c>
      <c r="H4778" t="str">
        <f>"אלתא מערכות בע""מ"</f>
        <v>אלתא מערכות בע"מ</v>
      </c>
      <c r="I4778" t="str">
        <f>"10"</f>
        <v>10</v>
      </c>
      <c r="J4778" t="str">
        <f>"OP-AR00007"</f>
        <v>OP-AR00007</v>
      </c>
      <c r="K4778" t="str">
        <f>"שינוי AC DC,DC) PDB)- אלתא"</f>
        <v>שינוי AC DC,DC) PDB)- אלתא</v>
      </c>
      <c r="L4778">
        <v>-6.7000000000000004E-2</v>
      </c>
      <c r="M4778" t="str">
        <f>"חל"</f>
        <v>חל</v>
      </c>
      <c r="N4778">
        <v>-6.7000000000000004E-2</v>
      </c>
      <c r="O4778" t="str">
        <f>"חל"</f>
        <v>חל</v>
      </c>
      <c r="P4778" s="2">
        <v>273153.74</v>
      </c>
      <c r="Q4778" t="str">
        <f>"$"</f>
        <v>$</v>
      </c>
      <c r="R4778" t="str">
        <f>"הזמנה"</f>
        <v>הזמנה</v>
      </c>
      <c r="S4778">
        <v>0</v>
      </c>
      <c r="T4778" s="2">
        <v>-18301.3</v>
      </c>
      <c r="U4778">
        <v>0</v>
      </c>
      <c r="V4778" s="2">
        <v>-18301.3</v>
      </c>
      <c r="W4778" t="str">
        <f>"$"</f>
        <v>$</v>
      </c>
      <c r="X4778">
        <v>0</v>
      </c>
      <c r="Y4778">
        <v>0</v>
      </c>
      <c r="Z4778">
        <v>0</v>
      </c>
      <c r="AA4778" t="str">
        <f>"Y"</f>
        <v>Y</v>
      </c>
      <c r="AC4778">
        <v>0</v>
      </c>
      <c r="AM4778" t="str">
        <f>"10"</f>
        <v>10</v>
      </c>
      <c r="AN4778" t="str">
        <f>"500000"</f>
        <v>500000</v>
      </c>
      <c r="AO4778" t="str">
        <f>"הכנסות  מלקוחות"</f>
        <v>הכנסות  מלקוחות</v>
      </c>
      <c r="AQ4778" t="str">
        <f>"007"</f>
        <v>007</v>
      </c>
      <c r="AR4778">
        <v>0</v>
      </c>
      <c r="AS4778">
        <v>0</v>
      </c>
      <c r="AT4778">
        <v>3.4740000000000002</v>
      </c>
      <c r="BB4778" t="str">
        <f>"Y"</f>
        <v>Y</v>
      </c>
      <c r="BD4778" t="str">
        <f>"רוני דידי"</f>
        <v>רוני דידי</v>
      </c>
    </row>
    <row r="4779" spans="1:56" x14ac:dyDescent="0.3">
      <c r="A4779" s="1">
        <v>41709</v>
      </c>
      <c r="B4779" t="str">
        <f>"SI140001798"</f>
        <v>SI140001798</v>
      </c>
      <c r="E4779" t="str">
        <f>"Y"</f>
        <v>Y</v>
      </c>
      <c r="F4779" t="str">
        <f>"חשבוניות מרכזות"</f>
        <v>חשבוניות מרכזות</v>
      </c>
      <c r="G4779" t="str">
        <f>"700065"</f>
        <v>700065</v>
      </c>
      <c r="H4779" t="str">
        <f>"אלתא מערכות בע""מ"</f>
        <v>אלתא מערכות בע"מ</v>
      </c>
      <c r="I4779" t="str">
        <f>"10"</f>
        <v>10</v>
      </c>
      <c r="J4779" t="str">
        <f>"OP-AR00007"</f>
        <v>OP-AR00007</v>
      </c>
      <c r="K4779" t="str">
        <f>"שינוי AC DC,DC) PDB)- אלתא"</f>
        <v>שינוי AC DC,DC) PDB)- אלתא</v>
      </c>
      <c r="L4779">
        <v>-6.7000000000000004E-2</v>
      </c>
      <c r="M4779" t="str">
        <f>"חל"</f>
        <v>חל</v>
      </c>
      <c r="N4779">
        <v>-6.7000000000000004E-2</v>
      </c>
      <c r="O4779" t="str">
        <f>"חל"</f>
        <v>חל</v>
      </c>
      <c r="P4779" s="2">
        <v>273153.74</v>
      </c>
      <c r="Q4779" t="str">
        <f>"$"</f>
        <v>$</v>
      </c>
      <c r="R4779" t="str">
        <f>"הזמנה"</f>
        <v>הזמנה</v>
      </c>
      <c r="S4779">
        <v>0</v>
      </c>
      <c r="T4779" s="2">
        <v>-18301.3</v>
      </c>
      <c r="U4779">
        <v>0</v>
      </c>
      <c r="V4779" s="2">
        <v>-18301.3</v>
      </c>
      <c r="W4779" t="str">
        <f>"$"</f>
        <v>$</v>
      </c>
      <c r="X4779">
        <v>0</v>
      </c>
      <c r="Y4779">
        <v>0</v>
      </c>
      <c r="Z4779">
        <v>0</v>
      </c>
      <c r="AA4779" t="str">
        <f>"Y"</f>
        <v>Y</v>
      </c>
      <c r="AC4779">
        <v>0</v>
      </c>
      <c r="AM4779" t="str">
        <f>"10"</f>
        <v>10</v>
      </c>
      <c r="AN4779" t="str">
        <f>"500000"</f>
        <v>500000</v>
      </c>
      <c r="AO4779" t="str">
        <f>"הכנסות  מלקוחות"</f>
        <v>הכנסות  מלקוחות</v>
      </c>
      <c r="AQ4779" t="str">
        <f>"007"</f>
        <v>007</v>
      </c>
      <c r="AR4779">
        <v>0</v>
      </c>
      <c r="AS4779">
        <v>0</v>
      </c>
      <c r="AT4779">
        <v>3.4740000000000002</v>
      </c>
      <c r="BB4779" t="str">
        <f>"Y"</f>
        <v>Y</v>
      </c>
      <c r="BD4779" t="str">
        <f>"רוני דידי"</f>
        <v>רוני דידי</v>
      </c>
    </row>
    <row r="4780" spans="1:56" x14ac:dyDescent="0.3">
      <c r="A4780" s="1">
        <v>41709</v>
      </c>
      <c r="B4780" t="str">
        <f>"SI140001798"</f>
        <v>SI140001798</v>
      </c>
      <c r="E4780" t="str">
        <f>"Y"</f>
        <v>Y</v>
      </c>
      <c r="F4780" t="str">
        <f>"חשבוניות מרכזות"</f>
        <v>חשבוניות מרכזות</v>
      </c>
      <c r="G4780" t="str">
        <f>"700065"</f>
        <v>700065</v>
      </c>
      <c r="H4780" t="str">
        <f>"אלתא מערכות בע""מ"</f>
        <v>אלתא מערכות בע"מ</v>
      </c>
      <c r="I4780" t="str">
        <f>"10"</f>
        <v>10</v>
      </c>
      <c r="J4780" t="str">
        <f>"OP-AR00007"</f>
        <v>OP-AR00007</v>
      </c>
      <c r="K4780" t="str">
        <f>"שינוי AC DC,DC) PDB)- אלתא"</f>
        <v>שינוי AC DC,DC) PDB)- אלתא</v>
      </c>
      <c r="L4780">
        <v>-6.7000000000000004E-2</v>
      </c>
      <c r="M4780" t="str">
        <f>"חל"</f>
        <v>חל</v>
      </c>
      <c r="N4780">
        <v>-6.7000000000000004E-2</v>
      </c>
      <c r="O4780" t="str">
        <f>"חל"</f>
        <v>חל</v>
      </c>
      <c r="P4780" s="2">
        <v>273153.74</v>
      </c>
      <c r="Q4780" t="str">
        <f>"$"</f>
        <v>$</v>
      </c>
      <c r="R4780" t="str">
        <f>"הזמנה"</f>
        <v>הזמנה</v>
      </c>
      <c r="S4780">
        <v>0</v>
      </c>
      <c r="T4780" s="2">
        <v>-18301.3</v>
      </c>
      <c r="U4780">
        <v>0</v>
      </c>
      <c r="V4780" s="2">
        <v>-18301.3</v>
      </c>
      <c r="W4780" t="str">
        <f>"$"</f>
        <v>$</v>
      </c>
      <c r="X4780">
        <v>0</v>
      </c>
      <c r="Y4780">
        <v>0</v>
      </c>
      <c r="Z4780">
        <v>0</v>
      </c>
      <c r="AA4780" t="str">
        <f>"Y"</f>
        <v>Y</v>
      </c>
      <c r="AC4780">
        <v>0</v>
      </c>
      <c r="AM4780" t="str">
        <f>"10"</f>
        <v>10</v>
      </c>
      <c r="AN4780" t="str">
        <f>"500000"</f>
        <v>500000</v>
      </c>
      <c r="AO4780" t="str">
        <f>"הכנסות  מלקוחות"</f>
        <v>הכנסות  מלקוחות</v>
      </c>
      <c r="AQ4780" t="str">
        <f>"007"</f>
        <v>007</v>
      </c>
      <c r="AR4780">
        <v>0</v>
      </c>
      <c r="AS4780">
        <v>0</v>
      </c>
      <c r="AT4780">
        <v>3.4740000000000002</v>
      </c>
      <c r="BB4780" t="str">
        <f>"Y"</f>
        <v>Y</v>
      </c>
      <c r="BD4780" t="str">
        <f>"רוני דידי"</f>
        <v>רוני דידי</v>
      </c>
    </row>
    <row r="4781" spans="1:56" x14ac:dyDescent="0.3">
      <c r="A4781" s="1">
        <v>41709</v>
      </c>
      <c r="B4781" t="str">
        <f>"SI140001797"</f>
        <v>SI140001797</v>
      </c>
      <c r="E4781" t="str">
        <f>"Y"</f>
        <v>Y</v>
      </c>
      <c r="F4781" t="str">
        <f>"חשבוניות מרכזות"</f>
        <v>חשבוניות מרכזות</v>
      </c>
      <c r="G4781" t="str">
        <f>"700065"</f>
        <v>700065</v>
      </c>
      <c r="H4781" t="str">
        <f>"אלתא מערכות בע""מ"</f>
        <v>אלתא מערכות בע"מ</v>
      </c>
      <c r="I4781" t="str">
        <f>"10"</f>
        <v>10</v>
      </c>
      <c r="J4781" t="str">
        <f>"OP-AR00007"</f>
        <v>OP-AR00007</v>
      </c>
      <c r="K4781" t="str">
        <f>"שינוי AC DC,DC) PDB)- אלתא"</f>
        <v>שינוי AC DC,DC) PDB)- אלתא</v>
      </c>
      <c r="L4781">
        <v>6.7000000000000004E-2</v>
      </c>
      <c r="M4781" t="str">
        <f>"חל"</f>
        <v>חל</v>
      </c>
      <c r="N4781">
        <v>6.7000000000000004E-2</v>
      </c>
      <c r="O4781" t="str">
        <f>"חל"</f>
        <v>חל</v>
      </c>
      <c r="P4781" s="2">
        <v>273153.74</v>
      </c>
      <c r="Q4781" t="str">
        <f>"$"</f>
        <v>$</v>
      </c>
      <c r="R4781" t="str">
        <f>"הזמנה"</f>
        <v>הזמנה</v>
      </c>
      <c r="S4781">
        <v>0</v>
      </c>
      <c r="T4781" s="2">
        <v>18301.3</v>
      </c>
      <c r="U4781">
        <v>0</v>
      </c>
      <c r="V4781" s="2">
        <v>18301.3</v>
      </c>
      <c r="W4781" t="str">
        <f>"$"</f>
        <v>$</v>
      </c>
      <c r="X4781">
        <v>0</v>
      </c>
      <c r="Y4781">
        <v>0</v>
      </c>
      <c r="Z4781">
        <v>0</v>
      </c>
      <c r="AA4781" t="str">
        <f>"Y"</f>
        <v>Y</v>
      </c>
      <c r="AC4781">
        <v>0</v>
      </c>
      <c r="AM4781" t="str">
        <f>"10"</f>
        <v>10</v>
      </c>
      <c r="AN4781" t="str">
        <f>"500000"</f>
        <v>500000</v>
      </c>
      <c r="AO4781" t="str">
        <f>"הכנסות  מלקוחות"</f>
        <v>הכנסות  מלקוחות</v>
      </c>
      <c r="AQ4781" t="str">
        <f>"007"</f>
        <v>007</v>
      </c>
      <c r="AR4781">
        <v>0</v>
      </c>
      <c r="AS4781">
        <v>0</v>
      </c>
      <c r="AT4781">
        <v>3.4740000000000002</v>
      </c>
      <c r="BB4781" t="str">
        <f>"Y"</f>
        <v>Y</v>
      </c>
      <c r="BD4781" t="str">
        <f>"רוני דידי"</f>
        <v>רוני דידי</v>
      </c>
    </row>
    <row r="4782" spans="1:56" x14ac:dyDescent="0.3">
      <c r="A4782" s="1">
        <v>41709</v>
      </c>
      <c r="B4782" t="str">
        <f>"SI140001797"</f>
        <v>SI140001797</v>
      </c>
      <c r="E4782" t="str">
        <f>"Y"</f>
        <v>Y</v>
      </c>
      <c r="F4782" t="str">
        <f>"חשבוניות מרכזות"</f>
        <v>חשבוניות מרכזות</v>
      </c>
      <c r="G4782" t="str">
        <f>"700065"</f>
        <v>700065</v>
      </c>
      <c r="H4782" t="str">
        <f>"אלתא מערכות בע""מ"</f>
        <v>אלתא מערכות בע"מ</v>
      </c>
      <c r="I4782" t="str">
        <f>"10"</f>
        <v>10</v>
      </c>
      <c r="J4782" t="str">
        <f>"OP-AR00007"</f>
        <v>OP-AR00007</v>
      </c>
      <c r="K4782" t="str">
        <f>"שינוי AC DC,DC) PDB)- אלתא"</f>
        <v>שינוי AC DC,DC) PDB)- אלתא</v>
      </c>
      <c r="L4782">
        <v>6.7000000000000004E-2</v>
      </c>
      <c r="M4782" t="str">
        <f>"חל"</f>
        <v>חל</v>
      </c>
      <c r="N4782">
        <v>6.7000000000000004E-2</v>
      </c>
      <c r="O4782" t="str">
        <f>"חל"</f>
        <v>חל</v>
      </c>
      <c r="P4782" s="2">
        <v>273153.74</v>
      </c>
      <c r="Q4782" t="str">
        <f>"$"</f>
        <v>$</v>
      </c>
      <c r="R4782" t="str">
        <f>"הזמנה"</f>
        <v>הזמנה</v>
      </c>
      <c r="S4782">
        <v>0</v>
      </c>
      <c r="T4782" s="2">
        <v>18301.3</v>
      </c>
      <c r="U4782">
        <v>0</v>
      </c>
      <c r="V4782" s="2">
        <v>18301.3</v>
      </c>
      <c r="W4782" t="str">
        <f>"$"</f>
        <v>$</v>
      </c>
      <c r="X4782">
        <v>0</v>
      </c>
      <c r="Y4782">
        <v>0</v>
      </c>
      <c r="Z4782">
        <v>0</v>
      </c>
      <c r="AA4782" t="str">
        <f>"Y"</f>
        <v>Y</v>
      </c>
      <c r="AC4782">
        <v>0</v>
      </c>
      <c r="AM4782" t="str">
        <f>"10"</f>
        <v>10</v>
      </c>
      <c r="AN4782" t="str">
        <f>"500000"</f>
        <v>500000</v>
      </c>
      <c r="AO4782" t="str">
        <f>"הכנסות  מלקוחות"</f>
        <v>הכנסות  מלקוחות</v>
      </c>
      <c r="AQ4782" t="str">
        <f>"007"</f>
        <v>007</v>
      </c>
      <c r="AR4782">
        <v>0</v>
      </c>
      <c r="AS4782">
        <v>0</v>
      </c>
      <c r="AT4782">
        <v>3.4740000000000002</v>
      </c>
      <c r="BB4782" t="str">
        <f>"Y"</f>
        <v>Y</v>
      </c>
      <c r="BD4782" t="str">
        <f>"רוני דידי"</f>
        <v>רוני דידי</v>
      </c>
    </row>
    <row r="4783" spans="1:56" x14ac:dyDescent="0.3">
      <c r="A4783" s="1">
        <v>41709</v>
      </c>
      <c r="B4783" t="str">
        <f>"SI140001797"</f>
        <v>SI140001797</v>
      </c>
      <c r="E4783" t="str">
        <f>"Y"</f>
        <v>Y</v>
      </c>
      <c r="F4783" t="str">
        <f>"חשבוניות מרכזות"</f>
        <v>חשבוניות מרכזות</v>
      </c>
      <c r="G4783" t="str">
        <f>"700065"</f>
        <v>700065</v>
      </c>
      <c r="H4783" t="str">
        <f>"אלתא מערכות בע""מ"</f>
        <v>אלתא מערכות בע"מ</v>
      </c>
      <c r="I4783" t="str">
        <f>"10"</f>
        <v>10</v>
      </c>
      <c r="J4783" t="str">
        <f>"OP-AR00007"</f>
        <v>OP-AR00007</v>
      </c>
      <c r="K4783" t="str">
        <f>"שינוי AC DC,DC) PDB)- אלתא"</f>
        <v>שינוי AC DC,DC) PDB)- אלתא</v>
      </c>
      <c r="L4783">
        <v>6.7000000000000004E-2</v>
      </c>
      <c r="M4783" t="str">
        <f>"חל"</f>
        <v>חל</v>
      </c>
      <c r="N4783">
        <v>6.7000000000000004E-2</v>
      </c>
      <c r="O4783" t="str">
        <f>"חל"</f>
        <v>חל</v>
      </c>
      <c r="P4783" s="2">
        <v>273153.74</v>
      </c>
      <c r="Q4783" t="str">
        <f>"$"</f>
        <v>$</v>
      </c>
      <c r="R4783" t="str">
        <f>"הזמנה"</f>
        <v>הזמנה</v>
      </c>
      <c r="S4783">
        <v>0</v>
      </c>
      <c r="T4783" s="2">
        <v>18301.3</v>
      </c>
      <c r="U4783">
        <v>0</v>
      </c>
      <c r="V4783" s="2">
        <v>18301.3</v>
      </c>
      <c r="W4783" t="str">
        <f>"$"</f>
        <v>$</v>
      </c>
      <c r="X4783">
        <v>0</v>
      </c>
      <c r="Y4783">
        <v>0</v>
      </c>
      <c r="Z4783">
        <v>0</v>
      </c>
      <c r="AA4783" t="str">
        <f>"Y"</f>
        <v>Y</v>
      </c>
      <c r="AC4783">
        <v>0</v>
      </c>
      <c r="AM4783" t="str">
        <f>"10"</f>
        <v>10</v>
      </c>
      <c r="AN4783" t="str">
        <f>"500000"</f>
        <v>500000</v>
      </c>
      <c r="AO4783" t="str">
        <f>"הכנסות  מלקוחות"</f>
        <v>הכנסות  מלקוחות</v>
      </c>
      <c r="AQ4783" t="str">
        <f>"007"</f>
        <v>007</v>
      </c>
      <c r="AR4783">
        <v>0</v>
      </c>
      <c r="AS4783">
        <v>0</v>
      </c>
      <c r="AT4783">
        <v>3.4740000000000002</v>
      </c>
      <c r="BB4783" t="str">
        <f>"Y"</f>
        <v>Y</v>
      </c>
      <c r="BD4783" t="str">
        <f>"רוני דידי"</f>
        <v>רוני דידי</v>
      </c>
    </row>
    <row r="4784" spans="1:56" x14ac:dyDescent="0.3">
      <c r="A4784" s="1">
        <v>41708</v>
      </c>
      <c r="B4784" t="str">
        <f>"SI140001805"</f>
        <v>SI140001805</v>
      </c>
      <c r="C4784" t="str">
        <f>"PR13000085"</f>
        <v>PR13000085</v>
      </c>
      <c r="E4784" t="str">
        <f>"Y"</f>
        <v>Y</v>
      </c>
      <c r="F4784" t="str">
        <f>"חשבוניות מרכזות"</f>
        <v>חשבוניות מרכזות</v>
      </c>
      <c r="G4784" t="str">
        <f>"700065"</f>
        <v>700065</v>
      </c>
      <c r="H4784" t="str">
        <f>"אלתא מערכות בע""מ"</f>
        <v>אלתא מערכות בע"מ</v>
      </c>
      <c r="I4784" t="str">
        <f>"10"</f>
        <v>10</v>
      </c>
      <c r="J4784" t="str">
        <f>"OP-AR09106"</f>
        <v>OP-AR09106</v>
      </c>
      <c r="K4784" t="str">
        <f>"לוח 1026L230-001 HIGH VOLTAG JUCTION BOX"</f>
        <v>לוח 1026L230-001 HIGH VOLTAG JUCTION BOX</v>
      </c>
      <c r="L4784">
        <v>1</v>
      </c>
      <c r="M4784" t="str">
        <f>"יח"</f>
        <v>יח</v>
      </c>
      <c r="N4784">
        <v>1</v>
      </c>
      <c r="O4784" t="str">
        <f>"יח"</f>
        <v>יח</v>
      </c>
      <c r="P4784" s="2">
        <v>9900</v>
      </c>
      <c r="Q4784" t="str">
        <f>"$"</f>
        <v>$</v>
      </c>
      <c r="R4784" t="str">
        <f>"תעודת משלוח"</f>
        <v>תעודת משלוח</v>
      </c>
      <c r="S4784">
        <v>0</v>
      </c>
      <c r="T4784" s="2">
        <v>9900</v>
      </c>
      <c r="U4784">
        <v>0</v>
      </c>
      <c r="V4784" s="2">
        <v>9900</v>
      </c>
      <c r="W4784" t="str">
        <f>"$"</f>
        <v>$</v>
      </c>
      <c r="X4784">
        <v>0</v>
      </c>
      <c r="Y4784">
        <v>0</v>
      </c>
      <c r="Z4784">
        <v>0</v>
      </c>
      <c r="AA4784" t="str">
        <f>"Y"</f>
        <v>Y</v>
      </c>
      <c r="AB4784" t="str">
        <f>"SO12T000001"</f>
        <v>SO12T000001</v>
      </c>
      <c r="AC4784">
        <v>34</v>
      </c>
      <c r="AD4784" s="1">
        <v>41256</v>
      </c>
      <c r="AE4784" t="str">
        <f>"SH14002416"</f>
        <v>SH14002416</v>
      </c>
      <c r="AF4784" t="str">
        <f>"משלוחים ללקוח"</f>
        <v>משלוחים ללקוח</v>
      </c>
      <c r="AG4784" s="1">
        <v>41707</v>
      </c>
      <c r="AM4784" t="str">
        <f>"10"</f>
        <v>10</v>
      </c>
      <c r="AN4784" t="str">
        <f>"500000"</f>
        <v>500000</v>
      </c>
      <c r="AO4784" t="str">
        <f>"הכנסות  מלקוחות"</f>
        <v>הכנסות  מלקוחות</v>
      </c>
      <c r="AQ4784" t="str">
        <f>"007"</f>
        <v>007</v>
      </c>
      <c r="AR4784">
        <v>0</v>
      </c>
      <c r="AS4784">
        <v>0</v>
      </c>
      <c r="AT4784">
        <v>3.4740000000000002</v>
      </c>
      <c r="AX4784" t="str">
        <f>"E000093662"</f>
        <v>E000093662</v>
      </c>
      <c r="BD4784" t="str">
        <f>"רוני דידי"</f>
        <v>רוני דידי</v>
      </c>
    </row>
    <row r="4785" spans="1:56" x14ac:dyDescent="0.3">
      <c r="A4785" s="1">
        <v>41708</v>
      </c>
      <c r="B4785" t="str">
        <f>"SI140001805"</f>
        <v>SI140001805</v>
      </c>
      <c r="C4785" t="str">
        <f>"PR13000085"</f>
        <v>PR13000085</v>
      </c>
      <c r="E4785" t="str">
        <f>"Y"</f>
        <v>Y</v>
      </c>
      <c r="F4785" t="str">
        <f>"חשבוניות מרכזות"</f>
        <v>חשבוניות מרכזות</v>
      </c>
      <c r="G4785" t="str">
        <f>"700065"</f>
        <v>700065</v>
      </c>
      <c r="H4785" t="str">
        <f>"אלתא מערכות בע""מ"</f>
        <v>אלתא מערכות בע"מ</v>
      </c>
      <c r="I4785" t="str">
        <f>"10"</f>
        <v>10</v>
      </c>
      <c r="J4785" t="str">
        <f>"OP-AR09106"</f>
        <v>OP-AR09106</v>
      </c>
      <c r="K4785" t="str">
        <f>"לוח 1026L230-001 HIGH VOLTAG JUCTION BOX"</f>
        <v>לוח 1026L230-001 HIGH VOLTAG JUCTION BOX</v>
      </c>
      <c r="L4785">
        <v>1</v>
      </c>
      <c r="M4785" t="str">
        <f>"יח"</f>
        <v>יח</v>
      </c>
      <c r="N4785">
        <v>1</v>
      </c>
      <c r="O4785" t="str">
        <f>"יח"</f>
        <v>יח</v>
      </c>
      <c r="P4785" s="2">
        <v>9900</v>
      </c>
      <c r="Q4785" t="str">
        <f>"$"</f>
        <v>$</v>
      </c>
      <c r="R4785" t="str">
        <f>"תעודת משלוח"</f>
        <v>תעודת משלוח</v>
      </c>
      <c r="S4785">
        <v>0</v>
      </c>
      <c r="T4785" s="2">
        <v>9900</v>
      </c>
      <c r="U4785">
        <v>0</v>
      </c>
      <c r="V4785" s="2">
        <v>9900</v>
      </c>
      <c r="W4785" t="str">
        <f>"$"</f>
        <v>$</v>
      </c>
      <c r="X4785">
        <v>0</v>
      </c>
      <c r="Y4785">
        <v>0</v>
      </c>
      <c r="Z4785">
        <v>0</v>
      </c>
      <c r="AA4785" t="str">
        <f>"Y"</f>
        <v>Y</v>
      </c>
      <c r="AB4785" t="str">
        <f>"SO12T000001"</f>
        <v>SO12T000001</v>
      </c>
      <c r="AC4785">
        <v>37</v>
      </c>
      <c r="AD4785" s="1">
        <v>41256</v>
      </c>
      <c r="AE4785" t="str">
        <f>"SH14002416"</f>
        <v>SH14002416</v>
      </c>
      <c r="AF4785" t="str">
        <f>"משלוחים ללקוח"</f>
        <v>משלוחים ללקוח</v>
      </c>
      <c r="AG4785" s="1">
        <v>41707</v>
      </c>
      <c r="AM4785" t="str">
        <f>"10"</f>
        <v>10</v>
      </c>
      <c r="AN4785" t="str">
        <f>"500000"</f>
        <v>500000</v>
      </c>
      <c r="AO4785" t="str">
        <f>"הכנסות  מלקוחות"</f>
        <v>הכנסות  מלקוחות</v>
      </c>
      <c r="AQ4785" t="str">
        <f>"007"</f>
        <v>007</v>
      </c>
      <c r="AR4785">
        <v>0</v>
      </c>
      <c r="AS4785">
        <v>0</v>
      </c>
      <c r="AT4785">
        <v>3.4740000000000002</v>
      </c>
      <c r="AX4785" t="str">
        <f>"E000093662"</f>
        <v>E000093662</v>
      </c>
      <c r="BD4785" t="str">
        <f>"רוני דידי"</f>
        <v>רוני דידי</v>
      </c>
    </row>
    <row r="4786" spans="1:56" x14ac:dyDescent="0.3">
      <c r="A4786" s="1">
        <v>41708</v>
      </c>
      <c r="B4786" t="str">
        <f>"SI140001805"</f>
        <v>SI140001805</v>
      </c>
      <c r="C4786" t="str">
        <f>"PR13000085"</f>
        <v>PR13000085</v>
      </c>
      <c r="E4786" t="str">
        <f>"Y"</f>
        <v>Y</v>
      </c>
      <c r="F4786" t="str">
        <f>"חשבוניות מרכזות"</f>
        <v>חשבוניות מרכזות</v>
      </c>
      <c r="G4786" t="str">
        <f>"700065"</f>
        <v>700065</v>
      </c>
      <c r="H4786" t="str">
        <f>"אלתא מערכות בע""מ"</f>
        <v>אלתא מערכות בע"מ</v>
      </c>
      <c r="I4786" t="str">
        <f>"10"</f>
        <v>10</v>
      </c>
      <c r="J4786" t="str">
        <f>"OP-AR09106"</f>
        <v>OP-AR09106</v>
      </c>
      <c r="K4786" t="str">
        <f>"לוח 1026L230-001 HIGH VOLTAG JUCTION BOX"</f>
        <v>לוח 1026L230-001 HIGH VOLTAG JUCTION BOX</v>
      </c>
      <c r="L4786">
        <v>1</v>
      </c>
      <c r="M4786" t="str">
        <f>"יח"</f>
        <v>יח</v>
      </c>
      <c r="N4786">
        <v>1</v>
      </c>
      <c r="O4786" t="str">
        <f>"יח"</f>
        <v>יח</v>
      </c>
      <c r="P4786" s="2">
        <v>9900</v>
      </c>
      <c r="Q4786" t="str">
        <f>"$"</f>
        <v>$</v>
      </c>
      <c r="R4786" t="str">
        <f>"תעודת משלוח"</f>
        <v>תעודת משלוח</v>
      </c>
      <c r="S4786">
        <v>0</v>
      </c>
      <c r="T4786" s="2">
        <v>9900</v>
      </c>
      <c r="U4786">
        <v>0</v>
      </c>
      <c r="V4786" s="2">
        <v>9900</v>
      </c>
      <c r="W4786" t="str">
        <f>"$"</f>
        <v>$</v>
      </c>
      <c r="X4786">
        <v>0</v>
      </c>
      <c r="Y4786">
        <v>0</v>
      </c>
      <c r="Z4786">
        <v>0</v>
      </c>
      <c r="AA4786" t="str">
        <f>"Y"</f>
        <v>Y</v>
      </c>
      <c r="AB4786" t="str">
        <f>"SO12T000001"</f>
        <v>SO12T000001</v>
      </c>
      <c r="AC4786">
        <v>40</v>
      </c>
      <c r="AD4786" s="1">
        <v>41256</v>
      </c>
      <c r="AE4786" t="str">
        <f>"SH14002416"</f>
        <v>SH14002416</v>
      </c>
      <c r="AF4786" t="str">
        <f>"משלוחים ללקוח"</f>
        <v>משלוחים ללקוח</v>
      </c>
      <c r="AG4786" s="1">
        <v>41707</v>
      </c>
      <c r="AM4786" t="str">
        <f>"10"</f>
        <v>10</v>
      </c>
      <c r="AN4786" t="str">
        <f>"500000"</f>
        <v>500000</v>
      </c>
      <c r="AO4786" t="str">
        <f>"הכנסות  מלקוחות"</f>
        <v>הכנסות  מלקוחות</v>
      </c>
      <c r="AQ4786" t="str">
        <f>"007"</f>
        <v>007</v>
      </c>
      <c r="AR4786">
        <v>0</v>
      </c>
      <c r="AS4786">
        <v>0</v>
      </c>
      <c r="AT4786">
        <v>3.4740000000000002</v>
      </c>
      <c r="AX4786" t="str">
        <f>"E000093662"</f>
        <v>E000093662</v>
      </c>
      <c r="BD4786" t="str">
        <f>"רוני דידי"</f>
        <v>רוני דידי</v>
      </c>
    </row>
    <row r="4787" spans="1:56" x14ac:dyDescent="0.3">
      <c r="A4787" s="1">
        <v>41708</v>
      </c>
      <c r="B4787" t="str">
        <f>"SI140001805"</f>
        <v>SI140001805</v>
      </c>
      <c r="C4787" t="str">
        <f>"PR13000085"</f>
        <v>PR13000085</v>
      </c>
      <c r="E4787" t="str">
        <f>"Y"</f>
        <v>Y</v>
      </c>
      <c r="F4787" t="str">
        <f>"חשבוניות מרכזות"</f>
        <v>חשבוניות מרכזות</v>
      </c>
      <c r="G4787" t="str">
        <f>"700065"</f>
        <v>700065</v>
      </c>
      <c r="H4787" t="str">
        <f>"אלתא מערכות בע""מ"</f>
        <v>אלתא מערכות בע"מ</v>
      </c>
      <c r="I4787" t="str">
        <f>"10"</f>
        <v>10</v>
      </c>
      <c r="J4787" t="str">
        <f>"OP-AR09106"</f>
        <v>OP-AR09106</v>
      </c>
      <c r="K4787" t="str">
        <f>"לוח 1026L230-001 HIGH VOLTAG JUCTION BOX"</f>
        <v>לוח 1026L230-001 HIGH VOLTAG JUCTION BOX</v>
      </c>
      <c r="L4787">
        <v>1</v>
      </c>
      <c r="M4787" t="str">
        <f>"יח"</f>
        <v>יח</v>
      </c>
      <c r="N4787">
        <v>1</v>
      </c>
      <c r="O4787" t="str">
        <f>"יח"</f>
        <v>יח</v>
      </c>
      <c r="P4787" s="2">
        <v>9900</v>
      </c>
      <c r="Q4787" t="str">
        <f>"$"</f>
        <v>$</v>
      </c>
      <c r="R4787" t="str">
        <f>"תעודת משלוח"</f>
        <v>תעודת משלוח</v>
      </c>
      <c r="S4787">
        <v>0</v>
      </c>
      <c r="T4787" s="2">
        <v>9900</v>
      </c>
      <c r="U4787">
        <v>0</v>
      </c>
      <c r="V4787" s="2">
        <v>9900</v>
      </c>
      <c r="W4787" t="str">
        <f>"$"</f>
        <v>$</v>
      </c>
      <c r="X4787">
        <v>0</v>
      </c>
      <c r="Y4787">
        <v>0</v>
      </c>
      <c r="Z4787">
        <v>0</v>
      </c>
      <c r="AA4787" t="str">
        <f>"Y"</f>
        <v>Y</v>
      </c>
      <c r="AB4787" t="str">
        <f>"SO12T000001"</f>
        <v>SO12T000001</v>
      </c>
      <c r="AC4787">
        <v>43</v>
      </c>
      <c r="AD4787" s="1">
        <v>41256</v>
      </c>
      <c r="AE4787" t="str">
        <f>"SH14002416"</f>
        <v>SH14002416</v>
      </c>
      <c r="AF4787" t="str">
        <f>"משלוחים ללקוח"</f>
        <v>משלוחים ללקוח</v>
      </c>
      <c r="AG4787" s="1">
        <v>41707</v>
      </c>
      <c r="AM4787" t="str">
        <f>"10"</f>
        <v>10</v>
      </c>
      <c r="AN4787" t="str">
        <f>"500000"</f>
        <v>500000</v>
      </c>
      <c r="AO4787" t="str">
        <f>"הכנסות  מלקוחות"</f>
        <v>הכנסות  מלקוחות</v>
      </c>
      <c r="AQ4787" t="str">
        <f>"007"</f>
        <v>007</v>
      </c>
      <c r="AR4787">
        <v>0</v>
      </c>
      <c r="AS4787">
        <v>0</v>
      </c>
      <c r="AT4787">
        <v>3.4740000000000002</v>
      </c>
      <c r="AX4787" t="str">
        <f>"E000093662"</f>
        <v>E000093662</v>
      </c>
      <c r="BD4787" t="str">
        <f>"רוני דידי"</f>
        <v>רוני דידי</v>
      </c>
    </row>
    <row r="4788" spans="1:56" x14ac:dyDescent="0.3">
      <c r="A4788" s="1">
        <v>41708</v>
      </c>
      <c r="B4788" t="str">
        <f>"SI140001802"</f>
        <v>SI140001802</v>
      </c>
      <c r="C4788" t="str">
        <f>"PR13000085"</f>
        <v>PR13000085</v>
      </c>
      <c r="E4788" t="str">
        <f>"Y"</f>
        <v>Y</v>
      </c>
      <c r="F4788" t="str">
        <f>"חשבוניות מרכזות"</f>
        <v>חשבוניות מרכזות</v>
      </c>
      <c r="G4788" t="str">
        <f>"700065"</f>
        <v>700065</v>
      </c>
      <c r="H4788" t="str">
        <f>"אלתא מערכות בע""מ"</f>
        <v>אלתא מערכות בע"מ</v>
      </c>
      <c r="I4788" t="str">
        <f>"10"</f>
        <v>10</v>
      </c>
      <c r="J4788" t="str">
        <f>"OP-AR09106"</f>
        <v>OP-AR09106</v>
      </c>
      <c r="K4788" t="str">
        <f>"לוח 1026L230-001 HIGH VOLTAG JUCTION BOX"</f>
        <v>לוח 1026L230-001 HIGH VOLTAG JUCTION BOX</v>
      </c>
      <c r="L4788">
        <v>-1</v>
      </c>
      <c r="M4788" t="str">
        <f>"יח"</f>
        <v>יח</v>
      </c>
      <c r="N4788">
        <v>-1</v>
      </c>
      <c r="O4788" t="str">
        <f>"יח"</f>
        <v>יח</v>
      </c>
      <c r="P4788" s="2">
        <v>9900</v>
      </c>
      <c r="Q4788" t="str">
        <f>"$"</f>
        <v>$</v>
      </c>
      <c r="R4788" t="str">
        <f>"תעודת משלוח"</f>
        <v>תעודת משלוח</v>
      </c>
      <c r="S4788">
        <v>0</v>
      </c>
      <c r="T4788" s="2">
        <v>-9900</v>
      </c>
      <c r="U4788">
        <v>0</v>
      </c>
      <c r="V4788" s="2">
        <v>-9900</v>
      </c>
      <c r="W4788" t="str">
        <f>"$"</f>
        <v>$</v>
      </c>
      <c r="X4788">
        <v>0</v>
      </c>
      <c r="Y4788">
        <v>0</v>
      </c>
      <c r="Z4788">
        <v>0</v>
      </c>
      <c r="AA4788" t="str">
        <f>"Y"</f>
        <v>Y</v>
      </c>
      <c r="AC4788">
        <v>0</v>
      </c>
      <c r="AM4788" t="str">
        <f>"10"</f>
        <v>10</v>
      </c>
      <c r="AN4788" t="str">
        <f>"500000"</f>
        <v>500000</v>
      </c>
      <c r="AO4788" t="str">
        <f>"הכנסות  מלקוחות"</f>
        <v>הכנסות  מלקוחות</v>
      </c>
      <c r="AQ4788" t="str">
        <f>"007"</f>
        <v>007</v>
      </c>
      <c r="AR4788">
        <v>0</v>
      </c>
      <c r="AS4788">
        <v>0</v>
      </c>
      <c r="AT4788">
        <v>3.4590000000000001</v>
      </c>
      <c r="BB4788" t="str">
        <f>"Y"</f>
        <v>Y</v>
      </c>
      <c r="BD4788" t="str">
        <f>"רוני דידי"</f>
        <v>רוני דידי</v>
      </c>
    </row>
    <row r="4789" spans="1:56" x14ac:dyDescent="0.3">
      <c r="A4789" s="1">
        <v>41708</v>
      </c>
      <c r="B4789" t="str">
        <f>"SI140001802"</f>
        <v>SI140001802</v>
      </c>
      <c r="C4789" t="str">
        <f>"PR13000085"</f>
        <v>PR13000085</v>
      </c>
      <c r="E4789" t="str">
        <f>"Y"</f>
        <v>Y</v>
      </c>
      <c r="F4789" t="str">
        <f>"חשבוניות מרכזות"</f>
        <v>חשבוניות מרכזות</v>
      </c>
      <c r="G4789" t="str">
        <f>"700065"</f>
        <v>700065</v>
      </c>
      <c r="H4789" t="str">
        <f>"אלתא מערכות בע""מ"</f>
        <v>אלתא מערכות בע"מ</v>
      </c>
      <c r="I4789" t="str">
        <f>"10"</f>
        <v>10</v>
      </c>
      <c r="J4789" t="str">
        <f>"OP-AR09106"</f>
        <v>OP-AR09106</v>
      </c>
      <c r="K4789" t="str">
        <f>"לוח 1026L230-001 HIGH VOLTAG JUCTION BOX"</f>
        <v>לוח 1026L230-001 HIGH VOLTAG JUCTION BOX</v>
      </c>
      <c r="L4789">
        <v>-1</v>
      </c>
      <c r="M4789" t="str">
        <f>"יח"</f>
        <v>יח</v>
      </c>
      <c r="N4789">
        <v>-1</v>
      </c>
      <c r="O4789" t="str">
        <f>"יח"</f>
        <v>יח</v>
      </c>
      <c r="P4789" s="2">
        <v>9900</v>
      </c>
      <c r="Q4789" t="str">
        <f>"$"</f>
        <v>$</v>
      </c>
      <c r="R4789" t="str">
        <f>"תעודת משלוח"</f>
        <v>תעודת משלוח</v>
      </c>
      <c r="S4789">
        <v>0</v>
      </c>
      <c r="T4789" s="2">
        <v>-9900</v>
      </c>
      <c r="U4789">
        <v>0</v>
      </c>
      <c r="V4789" s="2">
        <v>-9900</v>
      </c>
      <c r="W4789" t="str">
        <f>"$"</f>
        <v>$</v>
      </c>
      <c r="X4789">
        <v>0</v>
      </c>
      <c r="Y4789">
        <v>0</v>
      </c>
      <c r="Z4789">
        <v>0</v>
      </c>
      <c r="AA4789" t="str">
        <f>"Y"</f>
        <v>Y</v>
      </c>
      <c r="AC4789">
        <v>0</v>
      </c>
      <c r="AM4789" t="str">
        <f>"10"</f>
        <v>10</v>
      </c>
      <c r="AN4789" t="str">
        <f>"500000"</f>
        <v>500000</v>
      </c>
      <c r="AO4789" t="str">
        <f>"הכנסות  מלקוחות"</f>
        <v>הכנסות  מלקוחות</v>
      </c>
      <c r="AQ4789" t="str">
        <f>"007"</f>
        <v>007</v>
      </c>
      <c r="AR4789">
        <v>0</v>
      </c>
      <c r="AS4789">
        <v>0</v>
      </c>
      <c r="AT4789">
        <v>3.4590000000000001</v>
      </c>
      <c r="BB4789" t="str">
        <f>"Y"</f>
        <v>Y</v>
      </c>
      <c r="BD4789" t="str">
        <f>"רוני דידי"</f>
        <v>רוני דידי</v>
      </c>
    </row>
    <row r="4790" spans="1:56" x14ac:dyDescent="0.3">
      <c r="A4790" s="1">
        <v>41708</v>
      </c>
      <c r="B4790" t="str">
        <f>"SI140001802"</f>
        <v>SI140001802</v>
      </c>
      <c r="C4790" t="str">
        <f>"PR13000085"</f>
        <v>PR13000085</v>
      </c>
      <c r="E4790" t="str">
        <f>"Y"</f>
        <v>Y</v>
      </c>
      <c r="F4790" t="str">
        <f>"חשבוניות מרכזות"</f>
        <v>חשבוניות מרכזות</v>
      </c>
      <c r="G4790" t="str">
        <f>"700065"</f>
        <v>700065</v>
      </c>
      <c r="H4790" t="str">
        <f>"אלתא מערכות בע""מ"</f>
        <v>אלתא מערכות בע"מ</v>
      </c>
      <c r="I4790" t="str">
        <f>"10"</f>
        <v>10</v>
      </c>
      <c r="J4790" t="str">
        <f>"OP-AR09106"</f>
        <v>OP-AR09106</v>
      </c>
      <c r="K4790" t="str">
        <f>"לוח 1026L230-001 HIGH VOLTAG JUCTION BOX"</f>
        <v>לוח 1026L230-001 HIGH VOLTAG JUCTION BOX</v>
      </c>
      <c r="L4790">
        <v>-1</v>
      </c>
      <c r="M4790" t="str">
        <f>"יח"</f>
        <v>יח</v>
      </c>
      <c r="N4790">
        <v>-1</v>
      </c>
      <c r="O4790" t="str">
        <f>"יח"</f>
        <v>יח</v>
      </c>
      <c r="P4790" s="2">
        <v>9900</v>
      </c>
      <c r="Q4790" t="str">
        <f>"$"</f>
        <v>$</v>
      </c>
      <c r="R4790" t="str">
        <f>"תעודת משלוח"</f>
        <v>תעודת משלוח</v>
      </c>
      <c r="S4790">
        <v>0</v>
      </c>
      <c r="T4790" s="2">
        <v>-9900</v>
      </c>
      <c r="U4790">
        <v>0</v>
      </c>
      <c r="V4790" s="2">
        <v>-9900</v>
      </c>
      <c r="W4790" t="str">
        <f>"$"</f>
        <v>$</v>
      </c>
      <c r="X4790">
        <v>0</v>
      </c>
      <c r="Y4790">
        <v>0</v>
      </c>
      <c r="Z4790">
        <v>0</v>
      </c>
      <c r="AA4790" t="str">
        <f>"Y"</f>
        <v>Y</v>
      </c>
      <c r="AC4790">
        <v>0</v>
      </c>
      <c r="AM4790" t="str">
        <f>"10"</f>
        <v>10</v>
      </c>
      <c r="AN4790" t="str">
        <f>"500000"</f>
        <v>500000</v>
      </c>
      <c r="AO4790" t="str">
        <f>"הכנסות  מלקוחות"</f>
        <v>הכנסות  מלקוחות</v>
      </c>
      <c r="AQ4790" t="str">
        <f>"007"</f>
        <v>007</v>
      </c>
      <c r="AR4790">
        <v>0</v>
      </c>
      <c r="AS4790">
        <v>0</v>
      </c>
      <c r="AT4790">
        <v>3.4590000000000001</v>
      </c>
      <c r="BB4790" t="str">
        <f>"Y"</f>
        <v>Y</v>
      </c>
      <c r="BD4790" t="str">
        <f>"רוני דידי"</f>
        <v>רוני דידי</v>
      </c>
    </row>
    <row r="4791" spans="1:56" x14ac:dyDescent="0.3">
      <c r="A4791" s="1">
        <v>41708</v>
      </c>
      <c r="B4791" t="str">
        <f>"SI140001802"</f>
        <v>SI140001802</v>
      </c>
      <c r="C4791" t="str">
        <f>"PR13000085"</f>
        <v>PR13000085</v>
      </c>
      <c r="E4791" t="str">
        <f>"Y"</f>
        <v>Y</v>
      </c>
      <c r="F4791" t="str">
        <f>"חשבוניות מרכזות"</f>
        <v>חשבוניות מרכזות</v>
      </c>
      <c r="G4791" t="str">
        <f>"700065"</f>
        <v>700065</v>
      </c>
      <c r="H4791" t="str">
        <f>"אלתא מערכות בע""מ"</f>
        <v>אלתא מערכות בע"מ</v>
      </c>
      <c r="I4791" t="str">
        <f>"10"</f>
        <v>10</v>
      </c>
      <c r="J4791" t="str">
        <f>"OP-AR09106"</f>
        <v>OP-AR09106</v>
      </c>
      <c r="K4791" t="str">
        <f>"לוח 1026L230-001 HIGH VOLTAG JUCTION BOX"</f>
        <v>לוח 1026L230-001 HIGH VOLTAG JUCTION BOX</v>
      </c>
      <c r="L4791">
        <v>-1</v>
      </c>
      <c r="M4791" t="str">
        <f>"יח"</f>
        <v>יח</v>
      </c>
      <c r="N4791">
        <v>-1</v>
      </c>
      <c r="O4791" t="str">
        <f>"יח"</f>
        <v>יח</v>
      </c>
      <c r="P4791" s="2">
        <v>9900</v>
      </c>
      <c r="Q4791" t="str">
        <f>"$"</f>
        <v>$</v>
      </c>
      <c r="R4791" t="str">
        <f>"תעודת משלוח"</f>
        <v>תעודת משלוח</v>
      </c>
      <c r="S4791">
        <v>0</v>
      </c>
      <c r="T4791" s="2">
        <v>-9900</v>
      </c>
      <c r="U4791">
        <v>0</v>
      </c>
      <c r="V4791" s="2">
        <v>-9900</v>
      </c>
      <c r="W4791" t="str">
        <f>"$"</f>
        <v>$</v>
      </c>
      <c r="X4791">
        <v>0</v>
      </c>
      <c r="Y4791">
        <v>0</v>
      </c>
      <c r="Z4791">
        <v>0</v>
      </c>
      <c r="AA4791" t="str">
        <f>"Y"</f>
        <v>Y</v>
      </c>
      <c r="AC4791">
        <v>0</v>
      </c>
      <c r="AM4791" t="str">
        <f>"10"</f>
        <v>10</v>
      </c>
      <c r="AN4791" t="str">
        <f>"500000"</f>
        <v>500000</v>
      </c>
      <c r="AO4791" t="str">
        <f>"הכנסות  מלקוחות"</f>
        <v>הכנסות  מלקוחות</v>
      </c>
      <c r="AQ4791" t="str">
        <f>"007"</f>
        <v>007</v>
      </c>
      <c r="AR4791">
        <v>0</v>
      </c>
      <c r="AS4791">
        <v>0</v>
      </c>
      <c r="AT4791">
        <v>3.4590000000000001</v>
      </c>
      <c r="BB4791" t="str">
        <f>"Y"</f>
        <v>Y</v>
      </c>
      <c r="BD4791" t="str">
        <f>"רוני דידי"</f>
        <v>רוני דידי</v>
      </c>
    </row>
    <row r="4792" spans="1:56" x14ac:dyDescent="0.3">
      <c r="A4792" s="1">
        <v>41708</v>
      </c>
      <c r="B4792" t="str">
        <f>"SI140001801"</f>
        <v>SI140001801</v>
      </c>
      <c r="C4792" t="str">
        <f>"PR12000061"</f>
        <v>PR12000061</v>
      </c>
      <c r="E4792" t="str">
        <f>"Y"</f>
        <v>Y</v>
      </c>
      <c r="F4792" t="str">
        <f>"חשבוניות מרכזות"</f>
        <v>חשבוניות מרכזות</v>
      </c>
      <c r="G4792" t="str">
        <f>"700065"</f>
        <v>700065</v>
      </c>
      <c r="H4792" t="str">
        <f>"אלתא מערכות בע""מ"</f>
        <v>אלתא מערכות בע"מ</v>
      </c>
      <c r="I4792" t="str">
        <f>"10"</f>
        <v>10</v>
      </c>
      <c r="J4792" t="str">
        <f>"OP-AR12324"</f>
        <v>OP-AR12324</v>
      </c>
      <c r="K4792" t="str">
        <f>"לוח חלוקה DC PDB מק""ט לקוח 1025A690-001"</f>
        <v>לוח חלוקה DC PDB מק"ט לקוח 1025A690-001</v>
      </c>
      <c r="L4792">
        <v>-1</v>
      </c>
      <c r="M4792" t="str">
        <f>"יח"</f>
        <v>יח</v>
      </c>
      <c r="N4792">
        <v>-1</v>
      </c>
      <c r="O4792" t="str">
        <f>"יח"</f>
        <v>יח</v>
      </c>
      <c r="P4792" s="2">
        <v>58509</v>
      </c>
      <c r="Q4792" t="str">
        <f>"$"</f>
        <v>$</v>
      </c>
      <c r="R4792" t="str">
        <f>"תעודת משלוח"</f>
        <v>תעודת משלוח</v>
      </c>
      <c r="S4792">
        <v>0</v>
      </c>
      <c r="T4792" s="2">
        <v>-58509</v>
      </c>
      <c r="U4792">
        <v>0</v>
      </c>
      <c r="V4792" s="2">
        <v>-58509</v>
      </c>
      <c r="W4792" t="str">
        <f>"$"</f>
        <v>$</v>
      </c>
      <c r="X4792">
        <v>0</v>
      </c>
      <c r="Y4792">
        <v>0</v>
      </c>
      <c r="Z4792">
        <v>0</v>
      </c>
      <c r="AA4792" t="str">
        <f>"Y"</f>
        <v>Y</v>
      </c>
      <c r="AC4792">
        <v>0</v>
      </c>
      <c r="AM4792" t="str">
        <f>"10"</f>
        <v>10</v>
      </c>
      <c r="AN4792" t="str">
        <f>"500000"</f>
        <v>500000</v>
      </c>
      <c r="AO4792" t="str">
        <f>"הכנסות  מלקוחות"</f>
        <v>הכנסות  מלקוחות</v>
      </c>
      <c r="AQ4792" t="str">
        <f>"007"</f>
        <v>007</v>
      </c>
      <c r="AR4792">
        <v>0</v>
      </c>
      <c r="AS4792">
        <v>0</v>
      </c>
      <c r="AT4792">
        <v>3.4590000000000001</v>
      </c>
      <c r="BB4792" t="str">
        <f>"Y"</f>
        <v>Y</v>
      </c>
      <c r="BD4792" t="str">
        <f>"רוני דידי"</f>
        <v>רוני דידי</v>
      </c>
    </row>
    <row r="4793" spans="1:56" x14ac:dyDescent="0.3">
      <c r="A4793" s="1">
        <v>41708</v>
      </c>
      <c r="B4793" t="str">
        <f>"SI140001801"</f>
        <v>SI140001801</v>
      </c>
      <c r="C4793" t="str">
        <f>"PR12000061"</f>
        <v>PR12000061</v>
      </c>
      <c r="E4793" t="str">
        <f>"Y"</f>
        <v>Y</v>
      </c>
      <c r="F4793" t="str">
        <f>"חשבוניות מרכזות"</f>
        <v>חשבוניות מרכזות</v>
      </c>
      <c r="G4793" t="str">
        <f>"700065"</f>
        <v>700065</v>
      </c>
      <c r="H4793" t="str">
        <f>"אלתא מערכות בע""מ"</f>
        <v>אלתא מערכות בע"מ</v>
      </c>
      <c r="I4793" t="str">
        <f>"10"</f>
        <v>10</v>
      </c>
      <c r="J4793" t="str">
        <f>"OP-AR12324"</f>
        <v>OP-AR12324</v>
      </c>
      <c r="K4793" t="str">
        <f>"לוח חלוקה DC PDB מק""ט לקוח 1025A690-001"</f>
        <v>לוח חלוקה DC PDB מק"ט לקוח 1025A690-001</v>
      </c>
      <c r="L4793">
        <v>-1</v>
      </c>
      <c r="M4793" t="str">
        <f>"יח"</f>
        <v>יח</v>
      </c>
      <c r="N4793">
        <v>-1</v>
      </c>
      <c r="O4793" t="str">
        <f>"יח"</f>
        <v>יח</v>
      </c>
      <c r="P4793" s="2">
        <v>58509</v>
      </c>
      <c r="Q4793" t="str">
        <f>"$"</f>
        <v>$</v>
      </c>
      <c r="R4793" t="str">
        <f>"תעודת משלוח"</f>
        <v>תעודת משלוח</v>
      </c>
      <c r="S4793">
        <v>0</v>
      </c>
      <c r="T4793" s="2">
        <v>-58509</v>
      </c>
      <c r="U4793">
        <v>0</v>
      </c>
      <c r="V4793" s="2">
        <v>-58509</v>
      </c>
      <c r="W4793" t="str">
        <f>"$"</f>
        <v>$</v>
      </c>
      <c r="X4793">
        <v>0</v>
      </c>
      <c r="Y4793">
        <v>0</v>
      </c>
      <c r="Z4793">
        <v>0</v>
      </c>
      <c r="AA4793" t="str">
        <f>"Y"</f>
        <v>Y</v>
      </c>
      <c r="AC4793">
        <v>0</v>
      </c>
      <c r="AM4793" t="str">
        <f>"10"</f>
        <v>10</v>
      </c>
      <c r="AN4793" t="str">
        <f>"500000"</f>
        <v>500000</v>
      </c>
      <c r="AO4793" t="str">
        <f>"הכנסות  מלקוחות"</f>
        <v>הכנסות  מלקוחות</v>
      </c>
      <c r="AQ4793" t="str">
        <f>"007"</f>
        <v>007</v>
      </c>
      <c r="AR4793">
        <v>0</v>
      </c>
      <c r="AS4793">
        <v>0</v>
      </c>
      <c r="AT4793">
        <v>3.4590000000000001</v>
      </c>
      <c r="BB4793" t="str">
        <f>"Y"</f>
        <v>Y</v>
      </c>
      <c r="BD4793" t="str">
        <f>"רוני דידי"</f>
        <v>רוני דידי</v>
      </c>
    </row>
    <row r="4794" spans="1:56" x14ac:dyDescent="0.3">
      <c r="A4794" s="1">
        <v>41708</v>
      </c>
      <c r="B4794" t="str">
        <f>"SI140001800"</f>
        <v>SI140001800</v>
      </c>
      <c r="C4794" t="str">
        <f>"PR12000060"</f>
        <v>PR12000060</v>
      </c>
      <c r="E4794" t="str">
        <f>"Y"</f>
        <v>Y</v>
      </c>
      <c r="F4794" t="str">
        <f>"חשבוניות מרכזות"</f>
        <v>חשבוניות מרכזות</v>
      </c>
      <c r="G4794" t="str">
        <f>"700065"</f>
        <v>700065</v>
      </c>
      <c r="H4794" t="str">
        <f>"אלתא מערכות בע""מ"</f>
        <v>אלתא מערכות בע"מ</v>
      </c>
      <c r="I4794" t="str">
        <f>"10"</f>
        <v>10</v>
      </c>
      <c r="J4794" t="str">
        <f>"OP-AR12325"</f>
        <v>OP-AR12325</v>
      </c>
      <c r="K4794" t="str">
        <f>"לוח חלוקה AC-DC PDB מק""ט לקוח 1025A685-001"</f>
        <v>לוח חלוקה AC-DC PDB מק"ט לקוח 1025A685-001</v>
      </c>
      <c r="L4794">
        <v>-1</v>
      </c>
      <c r="M4794" t="str">
        <f>"יח"</f>
        <v>יח</v>
      </c>
      <c r="N4794">
        <v>-1</v>
      </c>
      <c r="O4794" t="str">
        <f>"יח"</f>
        <v>יח</v>
      </c>
      <c r="P4794" s="2">
        <v>30005</v>
      </c>
      <c r="Q4794" t="str">
        <f>"$"</f>
        <v>$</v>
      </c>
      <c r="R4794" t="str">
        <f>"תעודת משלוח"</f>
        <v>תעודת משלוח</v>
      </c>
      <c r="S4794">
        <v>0</v>
      </c>
      <c r="T4794" s="2">
        <v>-30005</v>
      </c>
      <c r="U4794">
        <v>0</v>
      </c>
      <c r="V4794" s="2">
        <v>-30005</v>
      </c>
      <c r="W4794" t="str">
        <f>"$"</f>
        <v>$</v>
      </c>
      <c r="X4794">
        <v>0</v>
      </c>
      <c r="Y4794">
        <v>0</v>
      </c>
      <c r="Z4794">
        <v>0</v>
      </c>
      <c r="AA4794" t="str">
        <f>"Y"</f>
        <v>Y</v>
      </c>
      <c r="AC4794">
        <v>0</v>
      </c>
      <c r="AM4794" t="str">
        <f>"10"</f>
        <v>10</v>
      </c>
      <c r="AN4794" t="str">
        <f>"500000"</f>
        <v>500000</v>
      </c>
      <c r="AO4794" t="str">
        <f>"הכנסות  מלקוחות"</f>
        <v>הכנסות  מלקוחות</v>
      </c>
      <c r="AQ4794" t="str">
        <f>"007"</f>
        <v>007</v>
      </c>
      <c r="AR4794">
        <v>0</v>
      </c>
      <c r="AS4794">
        <v>0</v>
      </c>
      <c r="AT4794">
        <v>3.4590000000000001</v>
      </c>
      <c r="BB4794" t="str">
        <f>"Y"</f>
        <v>Y</v>
      </c>
      <c r="BD4794" t="str">
        <f>"רוני דידי"</f>
        <v>רוני דידי</v>
      </c>
    </row>
    <row r="4795" spans="1:56" x14ac:dyDescent="0.3">
      <c r="A4795" s="1">
        <v>41708</v>
      </c>
      <c r="B4795" t="str">
        <f>"SI140001793"</f>
        <v>SI140001793</v>
      </c>
      <c r="C4795" t="str">
        <f>"PR13000085"</f>
        <v>PR13000085</v>
      </c>
      <c r="E4795" t="str">
        <f>"Y"</f>
        <v>Y</v>
      </c>
      <c r="F4795" t="str">
        <f>"חשבוניות מרכזות"</f>
        <v>חשבוניות מרכזות</v>
      </c>
      <c r="G4795" t="str">
        <f>"700065"</f>
        <v>700065</v>
      </c>
      <c r="H4795" t="str">
        <f>"אלתא מערכות בע""מ"</f>
        <v>אלתא מערכות בע"מ</v>
      </c>
      <c r="I4795" t="str">
        <f>"10"</f>
        <v>10</v>
      </c>
      <c r="J4795" t="str">
        <f>"OP-AR09106"</f>
        <v>OP-AR09106</v>
      </c>
      <c r="K4795" t="str">
        <f>"לוח 1026L230-001 HIGH VOLTAG JUCTION BOX"</f>
        <v>לוח 1026L230-001 HIGH VOLTAG JUCTION BOX</v>
      </c>
      <c r="L4795">
        <v>1</v>
      </c>
      <c r="M4795" t="str">
        <f>"יח"</f>
        <v>יח</v>
      </c>
      <c r="N4795">
        <v>1</v>
      </c>
      <c r="O4795" t="str">
        <f>"יח"</f>
        <v>יח</v>
      </c>
      <c r="P4795" s="2">
        <v>9900</v>
      </c>
      <c r="Q4795" t="str">
        <f>"$"</f>
        <v>$</v>
      </c>
      <c r="R4795" t="str">
        <f>"תעודת משלוח"</f>
        <v>תעודת משלוח</v>
      </c>
      <c r="S4795">
        <v>0</v>
      </c>
      <c r="T4795" s="2">
        <v>9900</v>
      </c>
      <c r="U4795">
        <v>0</v>
      </c>
      <c r="V4795" s="2">
        <v>9900</v>
      </c>
      <c r="W4795" t="str">
        <f>"$"</f>
        <v>$</v>
      </c>
      <c r="X4795">
        <v>0</v>
      </c>
      <c r="Y4795">
        <v>0</v>
      </c>
      <c r="Z4795">
        <v>0</v>
      </c>
      <c r="AA4795" t="str">
        <f>"Y"</f>
        <v>Y</v>
      </c>
      <c r="AC4795">
        <v>0</v>
      </c>
      <c r="AM4795" t="str">
        <f>"10"</f>
        <v>10</v>
      </c>
      <c r="AN4795" t="str">
        <f>"500000"</f>
        <v>500000</v>
      </c>
      <c r="AO4795" t="str">
        <f>"הכנסות  מלקוחות"</f>
        <v>הכנסות  מלקוחות</v>
      </c>
      <c r="AQ4795" t="str">
        <f>"007"</f>
        <v>007</v>
      </c>
      <c r="AR4795">
        <v>0</v>
      </c>
      <c r="AS4795">
        <v>0</v>
      </c>
      <c r="AT4795">
        <v>3.4590000000000001</v>
      </c>
      <c r="BB4795" t="str">
        <f>"Y"</f>
        <v>Y</v>
      </c>
      <c r="BD4795" t="str">
        <f>"רוני דידי"</f>
        <v>רוני דידי</v>
      </c>
    </row>
    <row r="4796" spans="1:56" x14ac:dyDescent="0.3">
      <c r="A4796" s="1">
        <v>41708</v>
      </c>
      <c r="B4796" t="str">
        <f>"SI140001793"</f>
        <v>SI140001793</v>
      </c>
      <c r="C4796" t="str">
        <f>"PR13000085"</f>
        <v>PR13000085</v>
      </c>
      <c r="E4796" t="str">
        <f>"Y"</f>
        <v>Y</v>
      </c>
      <c r="F4796" t="str">
        <f>"חשבוניות מרכזות"</f>
        <v>חשבוניות מרכזות</v>
      </c>
      <c r="G4796" t="str">
        <f>"700065"</f>
        <v>700065</v>
      </c>
      <c r="H4796" t="str">
        <f>"אלתא מערכות בע""מ"</f>
        <v>אלתא מערכות בע"מ</v>
      </c>
      <c r="I4796" t="str">
        <f>"10"</f>
        <v>10</v>
      </c>
      <c r="J4796" t="str">
        <f>"OP-AR09106"</f>
        <v>OP-AR09106</v>
      </c>
      <c r="K4796" t="str">
        <f>"לוח 1026L230-001 HIGH VOLTAG JUCTION BOX"</f>
        <v>לוח 1026L230-001 HIGH VOLTAG JUCTION BOX</v>
      </c>
      <c r="L4796">
        <v>1</v>
      </c>
      <c r="M4796" t="str">
        <f>"יח"</f>
        <v>יח</v>
      </c>
      <c r="N4796">
        <v>1</v>
      </c>
      <c r="O4796" t="str">
        <f>"יח"</f>
        <v>יח</v>
      </c>
      <c r="P4796" s="2">
        <v>9900</v>
      </c>
      <c r="Q4796" t="str">
        <f>"$"</f>
        <v>$</v>
      </c>
      <c r="R4796" t="str">
        <f>"תעודת משלוח"</f>
        <v>תעודת משלוח</v>
      </c>
      <c r="S4796">
        <v>0</v>
      </c>
      <c r="T4796" s="2">
        <v>9900</v>
      </c>
      <c r="U4796">
        <v>0</v>
      </c>
      <c r="V4796" s="2">
        <v>9900</v>
      </c>
      <c r="W4796" t="str">
        <f>"$"</f>
        <v>$</v>
      </c>
      <c r="X4796">
        <v>0</v>
      </c>
      <c r="Y4796">
        <v>0</v>
      </c>
      <c r="Z4796">
        <v>0</v>
      </c>
      <c r="AA4796" t="str">
        <f>"Y"</f>
        <v>Y</v>
      </c>
      <c r="AC4796">
        <v>0</v>
      </c>
      <c r="AM4796" t="str">
        <f>"10"</f>
        <v>10</v>
      </c>
      <c r="AN4796" t="str">
        <f>"500000"</f>
        <v>500000</v>
      </c>
      <c r="AO4796" t="str">
        <f>"הכנסות  מלקוחות"</f>
        <v>הכנסות  מלקוחות</v>
      </c>
      <c r="AQ4796" t="str">
        <f>"007"</f>
        <v>007</v>
      </c>
      <c r="AR4796">
        <v>0</v>
      </c>
      <c r="AS4796">
        <v>0</v>
      </c>
      <c r="AT4796">
        <v>3.4590000000000001</v>
      </c>
      <c r="BB4796" t="str">
        <f>"Y"</f>
        <v>Y</v>
      </c>
      <c r="BD4796" t="str">
        <f>"רוני דידי"</f>
        <v>רוני דידי</v>
      </c>
    </row>
    <row r="4797" spans="1:56" x14ac:dyDescent="0.3">
      <c r="A4797" s="1">
        <v>41708</v>
      </c>
      <c r="B4797" t="str">
        <f>"SI140001793"</f>
        <v>SI140001793</v>
      </c>
      <c r="C4797" t="str">
        <f>"PR13000085"</f>
        <v>PR13000085</v>
      </c>
      <c r="E4797" t="str">
        <f>"Y"</f>
        <v>Y</v>
      </c>
      <c r="F4797" t="str">
        <f>"חשבוניות מרכזות"</f>
        <v>חשבוניות מרכזות</v>
      </c>
      <c r="G4797" t="str">
        <f>"700065"</f>
        <v>700065</v>
      </c>
      <c r="H4797" t="str">
        <f>"אלתא מערכות בע""מ"</f>
        <v>אלתא מערכות בע"מ</v>
      </c>
      <c r="I4797" t="str">
        <f>"10"</f>
        <v>10</v>
      </c>
      <c r="J4797" t="str">
        <f>"OP-AR09106"</f>
        <v>OP-AR09106</v>
      </c>
      <c r="K4797" t="str">
        <f>"לוח 1026L230-001 HIGH VOLTAG JUCTION BOX"</f>
        <v>לוח 1026L230-001 HIGH VOLTAG JUCTION BOX</v>
      </c>
      <c r="L4797">
        <v>1</v>
      </c>
      <c r="M4797" t="str">
        <f>"יח"</f>
        <v>יח</v>
      </c>
      <c r="N4797">
        <v>1</v>
      </c>
      <c r="O4797" t="str">
        <f>"יח"</f>
        <v>יח</v>
      </c>
      <c r="P4797" s="2">
        <v>9900</v>
      </c>
      <c r="Q4797" t="str">
        <f>"$"</f>
        <v>$</v>
      </c>
      <c r="R4797" t="str">
        <f>"תעודת משלוח"</f>
        <v>תעודת משלוח</v>
      </c>
      <c r="S4797">
        <v>0</v>
      </c>
      <c r="T4797" s="2">
        <v>9900</v>
      </c>
      <c r="U4797">
        <v>0</v>
      </c>
      <c r="V4797" s="2">
        <v>9900</v>
      </c>
      <c r="W4797" t="str">
        <f>"$"</f>
        <v>$</v>
      </c>
      <c r="X4797">
        <v>0</v>
      </c>
      <c r="Y4797">
        <v>0</v>
      </c>
      <c r="Z4797">
        <v>0</v>
      </c>
      <c r="AA4797" t="str">
        <f>"Y"</f>
        <v>Y</v>
      </c>
      <c r="AC4797">
        <v>0</v>
      </c>
      <c r="AM4797" t="str">
        <f>"10"</f>
        <v>10</v>
      </c>
      <c r="AN4797" t="str">
        <f>"500000"</f>
        <v>500000</v>
      </c>
      <c r="AO4797" t="str">
        <f>"הכנסות  מלקוחות"</f>
        <v>הכנסות  מלקוחות</v>
      </c>
      <c r="AQ4797" t="str">
        <f>"007"</f>
        <v>007</v>
      </c>
      <c r="AR4797">
        <v>0</v>
      </c>
      <c r="AS4797">
        <v>0</v>
      </c>
      <c r="AT4797">
        <v>3.4590000000000001</v>
      </c>
      <c r="BB4797" t="str">
        <f>"Y"</f>
        <v>Y</v>
      </c>
      <c r="BD4797" t="str">
        <f>"רוני דידי"</f>
        <v>רוני דידי</v>
      </c>
    </row>
    <row r="4798" spans="1:56" x14ac:dyDescent="0.3">
      <c r="A4798" s="1">
        <v>41708</v>
      </c>
      <c r="B4798" t="str">
        <f>"SI140001793"</f>
        <v>SI140001793</v>
      </c>
      <c r="C4798" t="str">
        <f>"PR13000085"</f>
        <v>PR13000085</v>
      </c>
      <c r="E4798" t="str">
        <f>"Y"</f>
        <v>Y</v>
      </c>
      <c r="F4798" t="str">
        <f>"חשבוניות מרכזות"</f>
        <v>חשבוניות מרכזות</v>
      </c>
      <c r="G4798" t="str">
        <f>"700065"</f>
        <v>700065</v>
      </c>
      <c r="H4798" t="str">
        <f>"אלתא מערכות בע""מ"</f>
        <v>אלתא מערכות בע"מ</v>
      </c>
      <c r="I4798" t="str">
        <f>"10"</f>
        <v>10</v>
      </c>
      <c r="J4798" t="str">
        <f>"OP-AR09106"</f>
        <v>OP-AR09106</v>
      </c>
      <c r="K4798" t="str">
        <f>"לוח 1026L230-001 HIGH VOLTAG JUCTION BOX"</f>
        <v>לוח 1026L230-001 HIGH VOLTAG JUCTION BOX</v>
      </c>
      <c r="L4798">
        <v>1</v>
      </c>
      <c r="M4798" t="str">
        <f>"יח"</f>
        <v>יח</v>
      </c>
      <c r="N4798">
        <v>1</v>
      </c>
      <c r="O4798" t="str">
        <f>"יח"</f>
        <v>יח</v>
      </c>
      <c r="P4798" s="2">
        <v>9900</v>
      </c>
      <c r="Q4798" t="str">
        <f>"$"</f>
        <v>$</v>
      </c>
      <c r="R4798" t="str">
        <f>"תעודת משלוח"</f>
        <v>תעודת משלוח</v>
      </c>
      <c r="S4798">
        <v>0</v>
      </c>
      <c r="T4798" s="2">
        <v>9900</v>
      </c>
      <c r="U4798">
        <v>0</v>
      </c>
      <c r="V4798" s="2">
        <v>9900</v>
      </c>
      <c r="W4798" t="str">
        <f>"$"</f>
        <v>$</v>
      </c>
      <c r="X4798">
        <v>0</v>
      </c>
      <c r="Y4798">
        <v>0</v>
      </c>
      <c r="Z4798">
        <v>0</v>
      </c>
      <c r="AA4798" t="str">
        <f>"Y"</f>
        <v>Y</v>
      </c>
      <c r="AC4798">
        <v>0</v>
      </c>
      <c r="AM4798" t="str">
        <f>"10"</f>
        <v>10</v>
      </c>
      <c r="AN4798" t="str">
        <f>"500000"</f>
        <v>500000</v>
      </c>
      <c r="AO4798" t="str">
        <f>"הכנסות  מלקוחות"</f>
        <v>הכנסות  מלקוחות</v>
      </c>
      <c r="AQ4798" t="str">
        <f>"007"</f>
        <v>007</v>
      </c>
      <c r="AR4798">
        <v>0</v>
      </c>
      <c r="AS4798">
        <v>0</v>
      </c>
      <c r="AT4798">
        <v>3.4590000000000001</v>
      </c>
      <c r="BB4798" t="str">
        <f>"Y"</f>
        <v>Y</v>
      </c>
      <c r="BD4798" t="str">
        <f>"רוני דידי"</f>
        <v>רוני דידי</v>
      </c>
    </row>
    <row r="4799" spans="1:56" x14ac:dyDescent="0.3">
      <c r="A4799" s="1">
        <v>41708</v>
      </c>
      <c r="B4799" t="str">
        <f>"SI140001792"</f>
        <v>SI140001792</v>
      </c>
      <c r="C4799" t="str">
        <f>"PR12000061"</f>
        <v>PR12000061</v>
      </c>
      <c r="E4799" t="str">
        <f>"Y"</f>
        <v>Y</v>
      </c>
      <c r="F4799" t="str">
        <f>"חשבוניות מרכזות"</f>
        <v>חשבוניות מרכזות</v>
      </c>
      <c r="G4799" t="str">
        <f>"700065"</f>
        <v>700065</v>
      </c>
      <c r="H4799" t="str">
        <f>"אלתא מערכות בע""מ"</f>
        <v>אלתא מערכות בע"מ</v>
      </c>
      <c r="I4799" t="str">
        <f>"10"</f>
        <v>10</v>
      </c>
      <c r="J4799" t="str">
        <f>"OP-AR12324"</f>
        <v>OP-AR12324</v>
      </c>
      <c r="K4799" t="str">
        <f>"לוח חלוקה DC PDB מק""ט לקוח 1025A690-001"</f>
        <v>לוח חלוקה DC PDB מק"ט לקוח 1025A690-001</v>
      </c>
      <c r="L4799">
        <v>1</v>
      </c>
      <c r="M4799" t="str">
        <f>"יח"</f>
        <v>יח</v>
      </c>
      <c r="N4799">
        <v>1</v>
      </c>
      <c r="O4799" t="str">
        <f>"יח"</f>
        <v>יח</v>
      </c>
      <c r="P4799" s="2">
        <v>58509</v>
      </c>
      <c r="Q4799" t="str">
        <f>"$"</f>
        <v>$</v>
      </c>
      <c r="R4799" t="str">
        <f>"תעודת משלוח"</f>
        <v>תעודת משלוח</v>
      </c>
      <c r="S4799">
        <v>0</v>
      </c>
      <c r="T4799" s="2">
        <v>58509</v>
      </c>
      <c r="U4799">
        <v>0</v>
      </c>
      <c r="V4799" s="2">
        <v>58509</v>
      </c>
      <c r="W4799" t="str">
        <f>"$"</f>
        <v>$</v>
      </c>
      <c r="X4799">
        <v>0</v>
      </c>
      <c r="Y4799">
        <v>0</v>
      </c>
      <c r="Z4799">
        <v>0</v>
      </c>
      <c r="AA4799" t="str">
        <f>"Y"</f>
        <v>Y</v>
      </c>
      <c r="AC4799">
        <v>0</v>
      </c>
      <c r="AM4799" t="str">
        <f>"10"</f>
        <v>10</v>
      </c>
      <c r="AN4799" t="str">
        <f>"500000"</f>
        <v>500000</v>
      </c>
      <c r="AO4799" t="str">
        <f>"הכנסות  מלקוחות"</f>
        <v>הכנסות  מלקוחות</v>
      </c>
      <c r="AQ4799" t="str">
        <f>"007"</f>
        <v>007</v>
      </c>
      <c r="AR4799">
        <v>0</v>
      </c>
      <c r="AS4799">
        <v>0</v>
      </c>
      <c r="AT4799">
        <v>3.4590000000000001</v>
      </c>
      <c r="BB4799" t="str">
        <f>"Y"</f>
        <v>Y</v>
      </c>
      <c r="BD4799" t="str">
        <f>"רוני דידי"</f>
        <v>רוני דידי</v>
      </c>
    </row>
    <row r="4800" spans="1:56" x14ac:dyDescent="0.3">
      <c r="A4800" s="1">
        <v>41708</v>
      </c>
      <c r="B4800" t="str">
        <f>"SI140001792"</f>
        <v>SI140001792</v>
      </c>
      <c r="C4800" t="str">
        <f>"PR12000061"</f>
        <v>PR12000061</v>
      </c>
      <c r="E4800" t="str">
        <f>"Y"</f>
        <v>Y</v>
      </c>
      <c r="F4800" t="str">
        <f>"חשבוניות מרכזות"</f>
        <v>חשבוניות מרכזות</v>
      </c>
      <c r="G4800" t="str">
        <f>"700065"</f>
        <v>700065</v>
      </c>
      <c r="H4800" t="str">
        <f>"אלתא מערכות בע""מ"</f>
        <v>אלתא מערכות בע"מ</v>
      </c>
      <c r="I4800" t="str">
        <f>"10"</f>
        <v>10</v>
      </c>
      <c r="J4800" t="str">
        <f>"OP-AR12324"</f>
        <v>OP-AR12324</v>
      </c>
      <c r="K4800" t="str">
        <f>"לוח חלוקה DC PDB מק""ט לקוח 1025A690-001"</f>
        <v>לוח חלוקה DC PDB מק"ט לקוח 1025A690-001</v>
      </c>
      <c r="L4800">
        <v>1</v>
      </c>
      <c r="M4800" t="str">
        <f>"יח"</f>
        <v>יח</v>
      </c>
      <c r="N4800">
        <v>1</v>
      </c>
      <c r="O4800" t="str">
        <f>"יח"</f>
        <v>יח</v>
      </c>
      <c r="P4800" s="2">
        <v>58509</v>
      </c>
      <c r="Q4800" t="str">
        <f>"$"</f>
        <v>$</v>
      </c>
      <c r="R4800" t="str">
        <f>"תעודת משלוח"</f>
        <v>תעודת משלוח</v>
      </c>
      <c r="S4800">
        <v>0</v>
      </c>
      <c r="T4800" s="2">
        <v>58509</v>
      </c>
      <c r="U4800">
        <v>0</v>
      </c>
      <c r="V4800" s="2">
        <v>58509</v>
      </c>
      <c r="W4800" t="str">
        <f>"$"</f>
        <v>$</v>
      </c>
      <c r="X4800">
        <v>0</v>
      </c>
      <c r="Y4800">
        <v>0</v>
      </c>
      <c r="Z4800">
        <v>0</v>
      </c>
      <c r="AA4800" t="str">
        <f>"Y"</f>
        <v>Y</v>
      </c>
      <c r="AC4800">
        <v>0</v>
      </c>
      <c r="AM4800" t="str">
        <f>"10"</f>
        <v>10</v>
      </c>
      <c r="AN4800" t="str">
        <f>"500000"</f>
        <v>500000</v>
      </c>
      <c r="AO4800" t="str">
        <f>"הכנסות  מלקוחות"</f>
        <v>הכנסות  מלקוחות</v>
      </c>
      <c r="AQ4800" t="str">
        <f>"007"</f>
        <v>007</v>
      </c>
      <c r="AR4800">
        <v>0</v>
      </c>
      <c r="AS4800">
        <v>0</v>
      </c>
      <c r="AT4800">
        <v>3.4590000000000001</v>
      </c>
      <c r="BB4800" t="str">
        <f>"Y"</f>
        <v>Y</v>
      </c>
      <c r="BD4800" t="str">
        <f>"רוני דידי"</f>
        <v>רוני דידי</v>
      </c>
    </row>
    <row r="4801" spans="1:56" x14ac:dyDescent="0.3">
      <c r="A4801" s="1">
        <v>41708</v>
      </c>
      <c r="B4801" t="str">
        <f>"SI140001791"</f>
        <v>SI140001791</v>
      </c>
      <c r="C4801" t="str">
        <f>"PR12000060"</f>
        <v>PR12000060</v>
      </c>
      <c r="E4801" t="str">
        <f>"Y"</f>
        <v>Y</v>
      </c>
      <c r="F4801" t="str">
        <f>"חשבוניות מרכזות"</f>
        <v>חשבוניות מרכזות</v>
      </c>
      <c r="G4801" t="str">
        <f>"700065"</f>
        <v>700065</v>
      </c>
      <c r="H4801" t="str">
        <f>"אלתא מערכות בע""מ"</f>
        <v>אלתא מערכות בע"מ</v>
      </c>
      <c r="I4801" t="str">
        <f>"10"</f>
        <v>10</v>
      </c>
      <c r="J4801" t="str">
        <f>"OP-AR12325"</f>
        <v>OP-AR12325</v>
      </c>
      <c r="K4801" t="str">
        <f>"לוח חלוקה AC-DC PDB מק""ט לקוח 1025A685-001"</f>
        <v>לוח חלוקה AC-DC PDB מק"ט לקוח 1025A685-001</v>
      </c>
      <c r="L4801">
        <v>1</v>
      </c>
      <c r="M4801" t="str">
        <f>"יח"</f>
        <v>יח</v>
      </c>
      <c r="N4801">
        <v>1</v>
      </c>
      <c r="O4801" t="str">
        <f>"יח"</f>
        <v>יח</v>
      </c>
      <c r="P4801" s="2">
        <v>30005</v>
      </c>
      <c r="Q4801" t="str">
        <f>"$"</f>
        <v>$</v>
      </c>
      <c r="R4801" t="str">
        <f>"תעודת משלוח"</f>
        <v>תעודת משלוח</v>
      </c>
      <c r="S4801">
        <v>0</v>
      </c>
      <c r="T4801" s="2">
        <v>30005</v>
      </c>
      <c r="U4801">
        <v>0</v>
      </c>
      <c r="V4801" s="2">
        <v>30005</v>
      </c>
      <c r="W4801" t="str">
        <f>"$"</f>
        <v>$</v>
      </c>
      <c r="X4801">
        <v>0</v>
      </c>
      <c r="Y4801">
        <v>0</v>
      </c>
      <c r="Z4801">
        <v>0</v>
      </c>
      <c r="AA4801" t="str">
        <f>"Y"</f>
        <v>Y</v>
      </c>
      <c r="AC4801">
        <v>0</v>
      </c>
      <c r="AM4801" t="str">
        <f>"10"</f>
        <v>10</v>
      </c>
      <c r="AN4801" t="str">
        <f>"500000"</f>
        <v>500000</v>
      </c>
      <c r="AO4801" t="str">
        <f>"הכנסות  מלקוחות"</f>
        <v>הכנסות  מלקוחות</v>
      </c>
      <c r="AQ4801" t="str">
        <f>"007"</f>
        <v>007</v>
      </c>
      <c r="AR4801">
        <v>0</v>
      </c>
      <c r="AS4801">
        <v>0</v>
      </c>
      <c r="AT4801">
        <v>3.4590000000000001</v>
      </c>
      <c r="BB4801" t="str">
        <f>"Y"</f>
        <v>Y</v>
      </c>
      <c r="BD4801" t="str">
        <f>"רוני דידי"</f>
        <v>רוני דידי</v>
      </c>
    </row>
    <row r="4802" spans="1:56" x14ac:dyDescent="0.3">
      <c r="A4802" s="1">
        <v>41697</v>
      </c>
      <c r="B4802" t="str">
        <f>"SI140001808"</f>
        <v>SI140001808</v>
      </c>
      <c r="C4802" t="str">
        <f>"PR12000061"</f>
        <v>PR12000061</v>
      </c>
      <c r="D4802" t="str">
        <f>"PR12000061"</f>
        <v>PR12000061</v>
      </c>
      <c r="E4802" t="str">
        <f>"Y"</f>
        <v>Y</v>
      </c>
      <c r="F4802" t="str">
        <f>"חשבוניות מרכזות"</f>
        <v>חשבוניות מרכזות</v>
      </c>
      <c r="G4802" t="str">
        <f>"700065"</f>
        <v>700065</v>
      </c>
      <c r="H4802" t="str">
        <f>"אלתא מערכות בע""מ"</f>
        <v>אלתא מערכות בע"מ</v>
      </c>
      <c r="I4802" t="str">
        <f>"10"</f>
        <v>10</v>
      </c>
      <c r="J4802" t="str">
        <f>"OP-AR12324"</f>
        <v>OP-AR12324</v>
      </c>
      <c r="K4802" t="str">
        <f>"לוח חלוקה DC PDB מק""ט לקוח 1025A690-001"</f>
        <v>לוח חלוקה DC PDB מק"ט לקוח 1025A690-001</v>
      </c>
      <c r="L4802">
        <v>1</v>
      </c>
      <c r="M4802" t="str">
        <f>"יח"</f>
        <v>יח</v>
      </c>
      <c r="N4802">
        <v>1</v>
      </c>
      <c r="O4802" t="str">
        <f>"יח"</f>
        <v>יח</v>
      </c>
      <c r="P4802" s="2">
        <v>58509</v>
      </c>
      <c r="Q4802" t="str">
        <f>"$"</f>
        <v>$</v>
      </c>
      <c r="R4802" t="str">
        <f>"הזמנה"</f>
        <v>הזמנה</v>
      </c>
      <c r="S4802">
        <v>0</v>
      </c>
      <c r="T4802" s="2">
        <v>58509</v>
      </c>
      <c r="U4802">
        <v>0</v>
      </c>
      <c r="V4802" s="2">
        <v>58509</v>
      </c>
      <c r="W4802" t="str">
        <f>"$"</f>
        <v>$</v>
      </c>
      <c r="X4802">
        <v>0</v>
      </c>
      <c r="Y4802">
        <v>0</v>
      </c>
      <c r="Z4802">
        <v>0</v>
      </c>
      <c r="AA4802" t="str">
        <f>"Y"</f>
        <v>Y</v>
      </c>
      <c r="AB4802" t="str">
        <f>"SO130000065"</f>
        <v>SO130000065</v>
      </c>
      <c r="AC4802">
        <v>6</v>
      </c>
      <c r="AD4802" s="1">
        <v>41297</v>
      </c>
      <c r="AE4802" t="str">
        <f>"SH14002516"</f>
        <v>SH14002516</v>
      </c>
      <c r="AF4802" t="str">
        <f>"משלוחים ללקוח"</f>
        <v>משלוחים ללקוח</v>
      </c>
      <c r="AG4802" s="1">
        <v>41729</v>
      </c>
      <c r="AM4802" t="str">
        <f>"10"</f>
        <v>10</v>
      </c>
      <c r="AN4802" t="str">
        <f>"500000"</f>
        <v>500000</v>
      </c>
      <c r="AO4802" t="str">
        <f>"הכנסות  מלקוחות"</f>
        <v>הכנסות  מלקוחות</v>
      </c>
      <c r="AQ4802" t="str">
        <f>"007"</f>
        <v>007</v>
      </c>
      <c r="AR4802">
        <v>0</v>
      </c>
      <c r="AS4802">
        <v>0</v>
      </c>
      <c r="AT4802">
        <v>3.5169999999999999</v>
      </c>
      <c r="AX4802" t="str">
        <f>"E000119136"</f>
        <v>E000119136</v>
      </c>
      <c r="BD4802" t="str">
        <f>"רוני דידי"</f>
        <v>רוני דידי</v>
      </c>
    </row>
    <row r="4803" spans="1:56" x14ac:dyDescent="0.3">
      <c r="A4803" s="1">
        <v>41697</v>
      </c>
      <c r="B4803" t="str">
        <f>"SI140001807"</f>
        <v>SI140001807</v>
      </c>
      <c r="E4803" t="str">
        <f>"Y"</f>
        <v>Y</v>
      </c>
      <c r="F4803" t="str">
        <f>"חשבוניות מרכזות"</f>
        <v>חשבוניות מרכזות</v>
      </c>
      <c r="G4803" t="str">
        <f>"700065"</f>
        <v>700065</v>
      </c>
      <c r="H4803" t="str">
        <f>"אלתא מערכות בע""מ"</f>
        <v>אלתא מערכות בע"מ</v>
      </c>
      <c r="I4803" t="str">
        <f>"10"</f>
        <v>10</v>
      </c>
      <c r="J4803" t="str">
        <f>"OP-AR00007"</f>
        <v>OP-AR00007</v>
      </c>
      <c r="K4803" t="str">
        <f>"שינוי AC DC,DC) PDB)- אלתא"</f>
        <v>שינוי AC DC,DC) PDB)- אלתא</v>
      </c>
      <c r="L4803">
        <v>6.7000000000000004E-2</v>
      </c>
      <c r="M4803" t="str">
        <f>"חל"</f>
        <v>חל</v>
      </c>
      <c r="N4803">
        <v>6.7000000000000004E-2</v>
      </c>
      <c r="O4803" t="str">
        <f>"חל"</f>
        <v>חל</v>
      </c>
      <c r="P4803" s="2">
        <v>273153.74</v>
      </c>
      <c r="Q4803" t="str">
        <f>"$"</f>
        <v>$</v>
      </c>
      <c r="R4803" t="str">
        <f>"הזמנה"</f>
        <v>הזמנה</v>
      </c>
      <c r="S4803">
        <v>0</v>
      </c>
      <c r="T4803" s="2">
        <v>18301.3</v>
      </c>
      <c r="U4803">
        <v>0</v>
      </c>
      <c r="V4803" s="2">
        <v>18301.3</v>
      </c>
      <c r="W4803" t="str">
        <f>"$"</f>
        <v>$</v>
      </c>
      <c r="X4803">
        <v>0</v>
      </c>
      <c r="Y4803">
        <v>0</v>
      </c>
      <c r="Z4803">
        <v>0</v>
      </c>
      <c r="AA4803" t="str">
        <f>"Y"</f>
        <v>Y</v>
      </c>
      <c r="AB4803" t="str">
        <f>"SO130000191"</f>
        <v>SO130000191</v>
      </c>
      <c r="AC4803">
        <v>4</v>
      </c>
      <c r="AD4803" s="1">
        <v>41324</v>
      </c>
      <c r="AM4803" t="str">
        <f>"10"</f>
        <v>10</v>
      </c>
      <c r="AN4803" t="str">
        <f>"500000"</f>
        <v>500000</v>
      </c>
      <c r="AO4803" t="str">
        <f>"הכנסות  מלקוחות"</f>
        <v>הכנסות  מלקוחות</v>
      </c>
      <c r="AQ4803" t="str">
        <f>"007"</f>
        <v>007</v>
      </c>
      <c r="AR4803">
        <v>0</v>
      </c>
      <c r="AS4803">
        <v>0</v>
      </c>
      <c r="AT4803">
        <v>3.5169999999999999</v>
      </c>
      <c r="AX4803" t="str">
        <f>"E000143532/2"</f>
        <v>E000143532/2</v>
      </c>
      <c r="BD4803" t="str">
        <f>"רוני דידי"</f>
        <v>רוני דידי</v>
      </c>
    </row>
    <row r="4804" spans="1:56" x14ac:dyDescent="0.3">
      <c r="A4804" s="1">
        <v>41697</v>
      </c>
      <c r="B4804" t="str">
        <f>"SI140001807"</f>
        <v>SI140001807</v>
      </c>
      <c r="E4804" t="str">
        <f>"Y"</f>
        <v>Y</v>
      </c>
      <c r="F4804" t="str">
        <f>"חשבוניות מרכזות"</f>
        <v>חשבוניות מרכזות</v>
      </c>
      <c r="G4804" t="str">
        <f>"700065"</f>
        <v>700065</v>
      </c>
      <c r="H4804" t="str">
        <f>"אלתא מערכות בע""מ"</f>
        <v>אלתא מערכות בע"מ</v>
      </c>
      <c r="I4804" t="str">
        <f>"10"</f>
        <v>10</v>
      </c>
      <c r="J4804" t="str">
        <f>"OP-AR00007"</f>
        <v>OP-AR00007</v>
      </c>
      <c r="K4804" t="str">
        <f>"שינוי AC DC,DC) PDB)- אלתא"</f>
        <v>שינוי AC DC,DC) PDB)- אלתא</v>
      </c>
      <c r="L4804">
        <v>6.7000000000000004E-2</v>
      </c>
      <c r="M4804" t="str">
        <f>"חל"</f>
        <v>חל</v>
      </c>
      <c r="N4804">
        <v>6.7000000000000004E-2</v>
      </c>
      <c r="O4804" t="str">
        <f>"חל"</f>
        <v>חל</v>
      </c>
      <c r="P4804" s="2">
        <v>273153.74</v>
      </c>
      <c r="Q4804" t="str">
        <f>"$"</f>
        <v>$</v>
      </c>
      <c r="R4804" t="str">
        <f>"הזמנה"</f>
        <v>הזמנה</v>
      </c>
      <c r="S4804">
        <v>0</v>
      </c>
      <c r="T4804" s="2">
        <v>18301.3</v>
      </c>
      <c r="U4804">
        <v>0</v>
      </c>
      <c r="V4804" s="2">
        <v>18301.3</v>
      </c>
      <c r="W4804" t="str">
        <f>"$"</f>
        <v>$</v>
      </c>
      <c r="X4804">
        <v>0</v>
      </c>
      <c r="Y4804">
        <v>0</v>
      </c>
      <c r="Z4804">
        <v>0</v>
      </c>
      <c r="AA4804" t="str">
        <f>"Y"</f>
        <v>Y</v>
      </c>
      <c r="AB4804" t="str">
        <f>"SO130000191"</f>
        <v>SO130000191</v>
      </c>
      <c r="AC4804">
        <v>5</v>
      </c>
      <c r="AD4804" s="1">
        <v>41324</v>
      </c>
      <c r="AM4804" t="str">
        <f>"10"</f>
        <v>10</v>
      </c>
      <c r="AN4804" t="str">
        <f>"500000"</f>
        <v>500000</v>
      </c>
      <c r="AO4804" t="str">
        <f>"הכנסות  מלקוחות"</f>
        <v>הכנסות  מלקוחות</v>
      </c>
      <c r="AQ4804" t="str">
        <f>"007"</f>
        <v>007</v>
      </c>
      <c r="AR4804">
        <v>0</v>
      </c>
      <c r="AS4804">
        <v>0</v>
      </c>
      <c r="AT4804">
        <v>3.5169999999999999</v>
      </c>
      <c r="AX4804" t="str">
        <f>"E000143532/2"</f>
        <v>E000143532/2</v>
      </c>
      <c r="BD4804" t="str">
        <f>"רוני דידי"</f>
        <v>רוני דידי</v>
      </c>
    </row>
    <row r="4805" spans="1:56" x14ac:dyDescent="0.3">
      <c r="A4805" s="1">
        <v>41697</v>
      </c>
      <c r="B4805" t="str">
        <f>"SI140001807"</f>
        <v>SI140001807</v>
      </c>
      <c r="E4805" t="str">
        <f>"Y"</f>
        <v>Y</v>
      </c>
      <c r="F4805" t="str">
        <f>"חשבוניות מרכזות"</f>
        <v>חשבוניות מרכזות</v>
      </c>
      <c r="G4805" t="str">
        <f>"700065"</f>
        <v>700065</v>
      </c>
      <c r="H4805" t="str">
        <f>"אלתא מערכות בע""מ"</f>
        <v>אלתא מערכות בע"מ</v>
      </c>
      <c r="I4805" t="str">
        <f>"10"</f>
        <v>10</v>
      </c>
      <c r="J4805" t="str">
        <f>"OP-AR00007"</f>
        <v>OP-AR00007</v>
      </c>
      <c r="K4805" t="str">
        <f>"שינוי AC DC,DC) PDB)- אלתא"</f>
        <v>שינוי AC DC,DC) PDB)- אלתא</v>
      </c>
      <c r="L4805">
        <v>6.7000000000000004E-2</v>
      </c>
      <c r="M4805" t="str">
        <f>"חל"</f>
        <v>חל</v>
      </c>
      <c r="N4805">
        <v>6.7000000000000004E-2</v>
      </c>
      <c r="O4805" t="str">
        <f>"חל"</f>
        <v>חל</v>
      </c>
      <c r="P4805" s="2">
        <v>273153.74</v>
      </c>
      <c r="Q4805" t="str">
        <f>"$"</f>
        <v>$</v>
      </c>
      <c r="R4805" t="str">
        <f>"הזמנה"</f>
        <v>הזמנה</v>
      </c>
      <c r="S4805">
        <v>0</v>
      </c>
      <c r="T4805" s="2">
        <v>18301.3</v>
      </c>
      <c r="U4805">
        <v>0</v>
      </c>
      <c r="V4805" s="2">
        <v>18301.3</v>
      </c>
      <c r="W4805" t="str">
        <f>"$"</f>
        <v>$</v>
      </c>
      <c r="X4805">
        <v>0</v>
      </c>
      <c r="Y4805">
        <v>0</v>
      </c>
      <c r="Z4805">
        <v>0</v>
      </c>
      <c r="AA4805" t="str">
        <f>"Y"</f>
        <v>Y</v>
      </c>
      <c r="AB4805" t="str">
        <f>"SO130000191"</f>
        <v>SO130000191</v>
      </c>
      <c r="AC4805">
        <v>6</v>
      </c>
      <c r="AD4805" s="1">
        <v>41324</v>
      </c>
      <c r="AM4805" t="str">
        <f>"10"</f>
        <v>10</v>
      </c>
      <c r="AN4805" t="str">
        <f>"500000"</f>
        <v>500000</v>
      </c>
      <c r="AO4805" t="str">
        <f>"הכנסות  מלקוחות"</f>
        <v>הכנסות  מלקוחות</v>
      </c>
      <c r="AQ4805" t="str">
        <f>"007"</f>
        <v>007</v>
      </c>
      <c r="AR4805">
        <v>0</v>
      </c>
      <c r="AS4805">
        <v>0</v>
      </c>
      <c r="AT4805">
        <v>3.5169999999999999</v>
      </c>
      <c r="AX4805" t="str">
        <f>"E000143532/2"</f>
        <v>E000143532/2</v>
      </c>
      <c r="BD4805" t="str">
        <f>"רוני דידי"</f>
        <v>רוני דידי</v>
      </c>
    </row>
    <row r="4806" spans="1:56" x14ac:dyDescent="0.3">
      <c r="A4806" s="1">
        <v>41697</v>
      </c>
      <c r="B4806" t="str">
        <f>"SI140001807"</f>
        <v>SI140001807</v>
      </c>
      <c r="E4806" t="str">
        <f>"Y"</f>
        <v>Y</v>
      </c>
      <c r="F4806" t="str">
        <f>"חשבוניות מרכזות"</f>
        <v>חשבוניות מרכזות</v>
      </c>
      <c r="G4806" t="str">
        <f>"700065"</f>
        <v>700065</v>
      </c>
      <c r="H4806" t="str">
        <f>"אלתא מערכות בע""מ"</f>
        <v>אלתא מערכות בע"מ</v>
      </c>
      <c r="I4806" t="str">
        <f>"10"</f>
        <v>10</v>
      </c>
      <c r="J4806" t="str">
        <f>"OP-AR00007"</f>
        <v>OP-AR00007</v>
      </c>
      <c r="K4806" t="str">
        <f>"שינוי AC DC,DC) PDB)- אלתא"</f>
        <v>שינוי AC DC,DC) PDB)- אלתא</v>
      </c>
      <c r="L4806">
        <v>6.7000000000000004E-2</v>
      </c>
      <c r="M4806" t="str">
        <f>"חל"</f>
        <v>חל</v>
      </c>
      <c r="N4806">
        <v>6.7000000000000004E-2</v>
      </c>
      <c r="O4806" t="str">
        <f>"חל"</f>
        <v>חל</v>
      </c>
      <c r="P4806" s="2">
        <v>273153.74</v>
      </c>
      <c r="Q4806" t="str">
        <f>"$"</f>
        <v>$</v>
      </c>
      <c r="R4806" t="str">
        <f>"הזמנה"</f>
        <v>הזמנה</v>
      </c>
      <c r="S4806">
        <v>0</v>
      </c>
      <c r="T4806" s="2">
        <v>18301.3</v>
      </c>
      <c r="U4806">
        <v>0</v>
      </c>
      <c r="V4806" s="2">
        <v>18301.3</v>
      </c>
      <c r="W4806" t="str">
        <f>"$"</f>
        <v>$</v>
      </c>
      <c r="X4806">
        <v>0</v>
      </c>
      <c r="Y4806">
        <v>0</v>
      </c>
      <c r="Z4806">
        <v>0</v>
      </c>
      <c r="AA4806" t="str">
        <f>"Y"</f>
        <v>Y</v>
      </c>
      <c r="AB4806" t="str">
        <f>"SO130000191"</f>
        <v>SO130000191</v>
      </c>
      <c r="AC4806">
        <v>7</v>
      </c>
      <c r="AD4806" s="1">
        <v>41324</v>
      </c>
      <c r="AM4806" t="str">
        <f>"10"</f>
        <v>10</v>
      </c>
      <c r="AN4806" t="str">
        <f>"500000"</f>
        <v>500000</v>
      </c>
      <c r="AO4806" t="str">
        <f>"הכנסות  מלקוחות"</f>
        <v>הכנסות  מלקוחות</v>
      </c>
      <c r="AQ4806" t="str">
        <f>"007"</f>
        <v>007</v>
      </c>
      <c r="AR4806">
        <v>0</v>
      </c>
      <c r="AS4806">
        <v>0</v>
      </c>
      <c r="AT4806">
        <v>3.5169999999999999</v>
      </c>
      <c r="AX4806" t="str">
        <f>"E000143532/2"</f>
        <v>E000143532/2</v>
      </c>
      <c r="BD4806" t="str">
        <f>"רוני דידי"</f>
        <v>רוני דידי</v>
      </c>
    </row>
    <row r="4807" spans="1:56" x14ac:dyDescent="0.3">
      <c r="A4807" s="1">
        <v>41697</v>
      </c>
      <c r="B4807" t="str">
        <f>"SI140001804"</f>
        <v>SI140001804</v>
      </c>
      <c r="C4807" t="str">
        <f>"PR12000061"</f>
        <v>PR12000061</v>
      </c>
      <c r="D4807" t="str">
        <f>"PR12000061"</f>
        <v>PR12000061</v>
      </c>
      <c r="E4807" t="str">
        <f>"Y"</f>
        <v>Y</v>
      </c>
      <c r="F4807" t="str">
        <f>"חשבוניות מרכזות"</f>
        <v>חשבוניות מרכזות</v>
      </c>
      <c r="G4807" t="str">
        <f>"700065"</f>
        <v>700065</v>
      </c>
      <c r="H4807" t="str">
        <f>"אלתא מערכות בע""מ"</f>
        <v>אלתא מערכות בע"מ</v>
      </c>
      <c r="I4807" t="str">
        <f>"10"</f>
        <v>10</v>
      </c>
      <c r="J4807" t="str">
        <f>"OP-AR12324"</f>
        <v>OP-AR12324</v>
      </c>
      <c r="K4807" t="str">
        <f>"לוח חלוקה DC PDB מק""ט לקוח 1025A690-001"</f>
        <v>לוח חלוקה DC PDB מק"ט לקוח 1025A690-001</v>
      </c>
      <c r="L4807">
        <v>1</v>
      </c>
      <c r="M4807" t="str">
        <f>"יח"</f>
        <v>יח</v>
      </c>
      <c r="N4807">
        <v>1</v>
      </c>
      <c r="O4807" t="str">
        <f>"יח"</f>
        <v>יח</v>
      </c>
      <c r="P4807" s="2">
        <v>58509</v>
      </c>
      <c r="Q4807" t="str">
        <f>"$"</f>
        <v>$</v>
      </c>
      <c r="R4807" t="str">
        <f>"תעודת משלוח"</f>
        <v>תעודת משלוח</v>
      </c>
      <c r="S4807">
        <v>0</v>
      </c>
      <c r="T4807" s="2">
        <v>58509</v>
      </c>
      <c r="U4807">
        <v>0</v>
      </c>
      <c r="V4807" s="2">
        <v>58509</v>
      </c>
      <c r="W4807" t="str">
        <f>"$"</f>
        <v>$</v>
      </c>
      <c r="X4807">
        <v>0</v>
      </c>
      <c r="Y4807">
        <v>0</v>
      </c>
      <c r="Z4807">
        <v>0</v>
      </c>
      <c r="AA4807" t="str">
        <f>"Y"</f>
        <v>Y</v>
      </c>
      <c r="AB4807" t="str">
        <f>"SO130000065"</f>
        <v>SO130000065</v>
      </c>
      <c r="AC4807">
        <v>5</v>
      </c>
      <c r="AD4807" s="1">
        <v>41297</v>
      </c>
      <c r="AE4807" t="str">
        <f>"SH14002406"</f>
        <v>SH14002406</v>
      </c>
      <c r="AF4807" t="str">
        <f>"משלוחים ללקוח"</f>
        <v>משלוחים ללקוח</v>
      </c>
      <c r="AG4807" s="1">
        <v>41704</v>
      </c>
      <c r="AM4807" t="str">
        <f>"10"</f>
        <v>10</v>
      </c>
      <c r="AN4807" t="str">
        <f>"500000"</f>
        <v>500000</v>
      </c>
      <c r="AO4807" t="str">
        <f>"הכנסות  מלקוחות"</f>
        <v>הכנסות  מלקוחות</v>
      </c>
      <c r="AQ4807" t="str">
        <f>"007"</f>
        <v>007</v>
      </c>
      <c r="AR4807">
        <v>0</v>
      </c>
      <c r="AS4807">
        <v>0</v>
      </c>
      <c r="AT4807">
        <v>3.5169999999999999</v>
      </c>
      <c r="AX4807" t="str">
        <f>"E000119136"</f>
        <v>E000119136</v>
      </c>
      <c r="BD4807" t="str">
        <f>"רוני דידי"</f>
        <v>רוני דידי</v>
      </c>
    </row>
    <row r="4808" spans="1:56" x14ac:dyDescent="0.3">
      <c r="A4808" s="1">
        <v>41697</v>
      </c>
      <c r="B4808" t="str">
        <f>"SI140001804"</f>
        <v>SI140001804</v>
      </c>
      <c r="C4808" t="str">
        <f>"PR12000061"</f>
        <v>PR12000061</v>
      </c>
      <c r="D4808" t="str">
        <f>"PR12000061"</f>
        <v>PR12000061</v>
      </c>
      <c r="E4808" t="str">
        <f>"Y"</f>
        <v>Y</v>
      </c>
      <c r="F4808" t="str">
        <f>"חשבוניות מרכזות"</f>
        <v>חשבוניות מרכזות</v>
      </c>
      <c r="G4808" t="str">
        <f>"700065"</f>
        <v>700065</v>
      </c>
      <c r="H4808" t="str">
        <f>"אלתא מערכות בע""מ"</f>
        <v>אלתא מערכות בע"מ</v>
      </c>
      <c r="I4808" t="str">
        <f>"10"</f>
        <v>10</v>
      </c>
      <c r="J4808" t="str">
        <f>"OP-AR12324"</f>
        <v>OP-AR12324</v>
      </c>
      <c r="K4808" t="str">
        <f>"לוח חלוקה DC PDB מק""ט לקוח 1025A690-001"</f>
        <v>לוח חלוקה DC PDB מק"ט לקוח 1025A690-001</v>
      </c>
      <c r="L4808">
        <v>1</v>
      </c>
      <c r="M4808" t="str">
        <f>"יח"</f>
        <v>יח</v>
      </c>
      <c r="N4808">
        <v>1</v>
      </c>
      <c r="O4808" t="str">
        <f>"יח"</f>
        <v>יח</v>
      </c>
      <c r="P4808" s="2">
        <v>58509</v>
      </c>
      <c r="Q4808" t="str">
        <f>"$"</f>
        <v>$</v>
      </c>
      <c r="R4808" t="str">
        <f>"תעודת משלוח"</f>
        <v>תעודת משלוח</v>
      </c>
      <c r="S4808">
        <v>0</v>
      </c>
      <c r="T4808" s="2">
        <v>58509</v>
      </c>
      <c r="U4808">
        <v>0</v>
      </c>
      <c r="V4808" s="2">
        <v>58509</v>
      </c>
      <c r="W4808" t="str">
        <f>"$"</f>
        <v>$</v>
      </c>
      <c r="X4808">
        <v>0</v>
      </c>
      <c r="Y4808">
        <v>0</v>
      </c>
      <c r="Z4808">
        <v>0</v>
      </c>
      <c r="AA4808" t="str">
        <f>"Y"</f>
        <v>Y</v>
      </c>
      <c r="AB4808" t="str">
        <f>"SO130000065"</f>
        <v>SO130000065</v>
      </c>
      <c r="AC4808">
        <v>7</v>
      </c>
      <c r="AD4808" s="1">
        <v>41297</v>
      </c>
      <c r="AE4808" t="str">
        <f>"SH14002406"</f>
        <v>SH14002406</v>
      </c>
      <c r="AF4808" t="str">
        <f>"משלוחים ללקוח"</f>
        <v>משלוחים ללקוח</v>
      </c>
      <c r="AG4808" s="1">
        <v>41704</v>
      </c>
      <c r="AM4808" t="str">
        <f>"10"</f>
        <v>10</v>
      </c>
      <c r="AN4808" t="str">
        <f>"500000"</f>
        <v>500000</v>
      </c>
      <c r="AO4808" t="str">
        <f>"הכנסות  מלקוחות"</f>
        <v>הכנסות  מלקוחות</v>
      </c>
      <c r="AQ4808" t="str">
        <f>"007"</f>
        <v>007</v>
      </c>
      <c r="AR4808">
        <v>0</v>
      </c>
      <c r="AS4808">
        <v>0</v>
      </c>
      <c r="AT4808">
        <v>3.5169999999999999</v>
      </c>
      <c r="AX4808" t="str">
        <f>"E000119136"</f>
        <v>E000119136</v>
      </c>
      <c r="BD4808" t="str">
        <f>"רוני דידי"</f>
        <v>רוני דידי</v>
      </c>
    </row>
    <row r="4809" spans="1:56" x14ac:dyDescent="0.3">
      <c r="A4809" s="1">
        <v>41697</v>
      </c>
      <c r="B4809" t="str">
        <f>"SI140001803"</f>
        <v>SI140001803</v>
      </c>
      <c r="C4809" t="str">
        <f>"PR12000060"</f>
        <v>PR12000060</v>
      </c>
      <c r="D4809" t="str">
        <f>"PR12000060"</f>
        <v>PR12000060</v>
      </c>
      <c r="E4809" t="str">
        <f>"Y"</f>
        <v>Y</v>
      </c>
      <c r="F4809" t="str">
        <f>"חשבוניות מרכזות"</f>
        <v>חשבוניות מרכזות</v>
      </c>
      <c r="G4809" t="str">
        <f>"700065"</f>
        <v>700065</v>
      </c>
      <c r="H4809" t="str">
        <f>"אלתא מערכות בע""מ"</f>
        <v>אלתא מערכות בע"מ</v>
      </c>
      <c r="I4809" t="str">
        <f>"10"</f>
        <v>10</v>
      </c>
      <c r="J4809" t="str">
        <f>"OP-AR12325"</f>
        <v>OP-AR12325</v>
      </c>
      <c r="K4809" t="str">
        <f>"לוח חלוקה AC-DC PDB מק""ט לקוח 1025A685-001"</f>
        <v>לוח חלוקה AC-DC PDB מק"ט לקוח 1025A685-001</v>
      </c>
      <c r="L4809">
        <v>1</v>
      </c>
      <c r="M4809" t="str">
        <f>"יח"</f>
        <v>יח</v>
      </c>
      <c r="N4809">
        <v>1</v>
      </c>
      <c r="O4809" t="str">
        <f>"יח"</f>
        <v>יח</v>
      </c>
      <c r="P4809" s="2">
        <v>30005</v>
      </c>
      <c r="Q4809" t="str">
        <f>"$"</f>
        <v>$</v>
      </c>
      <c r="R4809" t="str">
        <f>"תעודת משלוח"</f>
        <v>תעודת משלוח</v>
      </c>
      <c r="S4809">
        <v>0</v>
      </c>
      <c r="T4809" s="2">
        <v>30005</v>
      </c>
      <c r="U4809">
        <v>0</v>
      </c>
      <c r="V4809" s="2">
        <v>30005</v>
      </c>
      <c r="W4809" t="str">
        <f>"$"</f>
        <v>$</v>
      </c>
      <c r="X4809">
        <v>0</v>
      </c>
      <c r="Y4809">
        <v>0</v>
      </c>
      <c r="Z4809">
        <v>0</v>
      </c>
      <c r="AA4809" t="str">
        <f>"Y"</f>
        <v>Y</v>
      </c>
      <c r="AB4809" t="str">
        <f>"SO130000159"</f>
        <v>SO130000159</v>
      </c>
      <c r="AC4809">
        <v>5</v>
      </c>
      <c r="AD4809" s="1">
        <v>41316</v>
      </c>
      <c r="AE4809" t="str">
        <f>"SH14002410"</f>
        <v>SH14002410</v>
      </c>
      <c r="AF4809" t="str">
        <f>"משלוחים ללקוח"</f>
        <v>משלוחים ללקוח</v>
      </c>
      <c r="AG4809" s="1">
        <v>41704</v>
      </c>
      <c r="AM4809" t="str">
        <f>"10"</f>
        <v>10</v>
      </c>
      <c r="AN4809" t="str">
        <f>"500000"</f>
        <v>500000</v>
      </c>
      <c r="AO4809" t="str">
        <f>"הכנסות  מלקוחות"</f>
        <v>הכנסות  מלקוחות</v>
      </c>
      <c r="AQ4809" t="str">
        <f>"007"</f>
        <v>007</v>
      </c>
      <c r="AR4809">
        <v>0</v>
      </c>
      <c r="AS4809">
        <v>0</v>
      </c>
      <c r="AT4809">
        <v>3.5169999999999999</v>
      </c>
      <c r="AX4809" t="str">
        <f>"E000119608"</f>
        <v>E000119608</v>
      </c>
      <c r="BD4809" t="str">
        <f>"רוני דידי"</f>
        <v>רוני דידי</v>
      </c>
    </row>
    <row r="4810" spans="1:56" x14ac:dyDescent="0.3">
      <c r="A4810" s="1">
        <v>41696</v>
      </c>
      <c r="B4810" t="str">
        <f>"SI140001750"</f>
        <v>SI140001750</v>
      </c>
      <c r="C4810" t="str">
        <f>"PR14001271"</f>
        <v>PR14001271</v>
      </c>
      <c r="D4810" t="str">
        <f>"PR14001271"</f>
        <v>PR14001271</v>
      </c>
      <c r="E4810" t="str">
        <f>"Y"</f>
        <v>Y</v>
      </c>
      <c r="F4810" t="str">
        <f>"חשבוניות מרכזות"</f>
        <v>חשבוניות מרכזות</v>
      </c>
      <c r="G4810" t="str">
        <f>"700065"</f>
        <v>700065</v>
      </c>
      <c r="H4810" t="str">
        <f>"אלתא מערכות בע""מ"</f>
        <v>אלתא מערכות בע"מ</v>
      </c>
      <c r="I4810" t="str">
        <f>"10"</f>
        <v>10</v>
      </c>
      <c r="J4810" t="str">
        <f>"999"</f>
        <v>999</v>
      </c>
      <c r="K4810" t="str">
        <f>"רכש ציוד לסגירת פערים לבלוק 4"</f>
        <v>רכש ציוד לסגירת פערים לבלוק 4</v>
      </c>
      <c r="L4810">
        <v>1</v>
      </c>
      <c r="M4810" t="str">
        <f>"חל"</f>
        <v>חל</v>
      </c>
      <c r="N4810">
        <v>1</v>
      </c>
      <c r="O4810" t="str">
        <f>"חל"</f>
        <v>חל</v>
      </c>
      <c r="P4810" s="2">
        <v>3243</v>
      </c>
      <c r="Q4810" t="str">
        <f>"$"</f>
        <v>$</v>
      </c>
      <c r="R4810" t="str">
        <f>"הזמנה"</f>
        <v>הזמנה</v>
      </c>
      <c r="S4810">
        <v>0</v>
      </c>
      <c r="T4810" s="2">
        <v>3243</v>
      </c>
      <c r="U4810">
        <v>0</v>
      </c>
      <c r="V4810" s="2">
        <v>3243</v>
      </c>
      <c r="W4810" t="str">
        <f>"$"</f>
        <v>$</v>
      </c>
      <c r="X4810">
        <v>0</v>
      </c>
      <c r="Y4810">
        <v>0</v>
      </c>
      <c r="Z4810">
        <v>0</v>
      </c>
      <c r="AA4810" t="str">
        <f>"Y"</f>
        <v>Y</v>
      </c>
      <c r="AB4810" t="str">
        <f>"SO140001526"</f>
        <v>SO140001526</v>
      </c>
      <c r="AC4810">
        <v>1</v>
      </c>
      <c r="AD4810" s="1">
        <v>41648</v>
      </c>
      <c r="AM4810" t="str">
        <f>"10"</f>
        <v>10</v>
      </c>
      <c r="AN4810" t="str">
        <f>"500000"</f>
        <v>500000</v>
      </c>
      <c r="AO4810" t="str">
        <f>"הכנסות  מלקוחות"</f>
        <v>הכנסות  מלקוחות</v>
      </c>
      <c r="AQ4810" t="str">
        <f>"007"</f>
        <v>007</v>
      </c>
      <c r="AR4810">
        <v>0</v>
      </c>
      <c r="AS4810">
        <v>0</v>
      </c>
      <c r="AT4810">
        <v>3.5169999999999999</v>
      </c>
      <c r="AX4810" t="str">
        <f>"E000166196"</f>
        <v>E000166196</v>
      </c>
      <c r="BD4810" t="str">
        <f>"רוני דידי"</f>
        <v>רוני דידי</v>
      </c>
    </row>
    <row r="4811" spans="1:56" x14ac:dyDescent="0.3">
      <c r="A4811" s="1">
        <v>41666</v>
      </c>
      <c r="B4811" t="str">
        <f>"SI140001583"</f>
        <v>SI140001583</v>
      </c>
      <c r="E4811" t="str">
        <f>"Y"</f>
        <v>Y</v>
      </c>
      <c r="F4811" t="str">
        <f>"חשבוניות מרכזות"</f>
        <v>חשבוניות מרכזות</v>
      </c>
      <c r="G4811" t="str">
        <f>"700065"</f>
        <v>700065</v>
      </c>
      <c r="H4811" t="str">
        <f>"אלתא מערכות בע""מ"</f>
        <v>אלתא מערכות בע"מ</v>
      </c>
      <c r="I4811" t="str">
        <f>"10"</f>
        <v>10</v>
      </c>
      <c r="J4811" t="str">
        <f>"OP-AR00007"</f>
        <v>OP-AR00007</v>
      </c>
      <c r="K4811" t="str">
        <f>"שינוי AC DC,DC) PDB)- אלתא"</f>
        <v>שינוי AC DC,DC) PDB)- אלתא</v>
      </c>
      <c r="L4811">
        <v>6.7000000000000004E-2</v>
      </c>
      <c r="M4811" t="str">
        <f>"חל"</f>
        <v>חל</v>
      </c>
      <c r="N4811">
        <v>6.7000000000000004E-2</v>
      </c>
      <c r="O4811" t="str">
        <f>"חל"</f>
        <v>חל</v>
      </c>
      <c r="P4811" s="2">
        <v>273153.74</v>
      </c>
      <c r="Q4811" t="str">
        <f>"$"</f>
        <v>$</v>
      </c>
      <c r="R4811" t="str">
        <f>"הזמנה"</f>
        <v>הזמנה</v>
      </c>
      <c r="S4811">
        <v>0</v>
      </c>
      <c r="T4811" s="2">
        <v>18301.3</v>
      </c>
      <c r="U4811">
        <v>0</v>
      </c>
      <c r="V4811" s="2">
        <v>18301.3</v>
      </c>
      <c r="W4811" t="str">
        <f>"$"</f>
        <v>$</v>
      </c>
      <c r="X4811">
        <v>0</v>
      </c>
      <c r="Y4811">
        <v>0</v>
      </c>
      <c r="Z4811">
        <v>0</v>
      </c>
      <c r="AA4811" t="str">
        <f>"Y"</f>
        <v>Y</v>
      </c>
      <c r="AB4811" t="str">
        <f>"SO130000191"</f>
        <v>SO130000191</v>
      </c>
      <c r="AC4811">
        <v>2</v>
      </c>
      <c r="AD4811" s="1">
        <v>41324</v>
      </c>
      <c r="AM4811" t="str">
        <f>"10"</f>
        <v>10</v>
      </c>
      <c r="AN4811" t="str">
        <f>"500000"</f>
        <v>500000</v>
      </c>
      <c r="AO4811" t="str">
        <f>"הכנסות  מלקוחות"</f>
        <v>הכנסות  מלקוחות</v>
      </c>
      <c r="AQ4811" t="str">
        <f>"007"</f>
        <v>007</v>
      </c>
      <c r="AR4811">
        <v>0</v>
      </c>
      <c r="AS4811">
        <v>0</v>
      </c>
      <c r="AT4811">
        <v>3.4830000000000001</v>
      </c>
      <c r="AX4811" t="str">
        <f>"E000143532/2"</f>
        <v>E000143532/2</v>
      </c>
      <c r="BD4811" t="str">
        <f>"רוני דידי"</f>
        <v>רוני דידי</v>
      </c>
    </row>
    <row r="4812" spans="1:56" x14ac:dyDescent="0.3">
      <c r="A4812" s="1">
        <v>41666</v>
      </c>
      <c r="B4812" t="str">
        <f>"SI140001582"</f>
        <v>SI140001582</v>
      </c>
      <c r="C4812" t="str">
        <f>"PR12000061"</f>
        <v>PR12000061</v>
      </c>
      <c r="D4812" t="str">
        <f>"PR12000061"</f>
        <v>PR12000061</v>
      </c>
      <c r="E4812" t="str">
        <f>"Y"</f>
        <v>Y</v>
      </c>
      <c r="F4812" t="str">
        <f>"חשבוניות מרכזות"</f>
        <v>חשבוניות מרכזות</v>
      </c>
      <c r="G4812" t="str">
        <f>"700065"</f>
        <v>700065</v>
      </c>
      <c r="H4812" t="str">
        <f>"אלתא מערכות בע""מ"</f>
        <v>אלתא מערכות בע"מ</v>
      </c>
      <c r="I4812" t="str">
        <f>"10"</f>
        <v>10</v>
      </c>
      <c r="J4812" t="str">
        <f>"OP-AR12324"</f>
        <v>OP-AR12324</v>
      </c>
      <c r="K4812" t="str">
        <f>"לוח חלוקה DC PDB מק""ט לקוח 1025A690-001"</f>
        <v>לוח חלוקה DC PDB מק"ט לקוח 1025A690-001</v>
      </c>
      <c r="L4812">
        <v>1</v>
      </c>
      <c r="M4812" t="str">
        <f>"יח"</f>
        <v>יח</v>
      </c>
      <c r="N4812">
        <v>1</v>
      </c>
      <c r="O4812" t="str">
        <f>"יח"</f>
        <v>יח</v>
      </c>
      <c r="P4812" s="2">
        <v>58509</v>
      </c>
      <c r="Q4812" t="str">
        <f>"$"</f>
        <v>$</v>
      </c>
      <c r="R4812" t="str">
        <f>"תעודת משלוח"</f>
        <v>תעודת משלוח</v>
      </c>
      <c r="S4812">
        <v>0</v>
      </c>
      <c r="T4812" s="2">
        <v>58509</v>
      </c>
      <c r="U4812">
        <v>0</v>
      </c>
      <c r="V4812" s="2">
        <v>58509</v>
      </c>
      <c r="W4812" t="str">
        <f>"$"</f>
        <v>$</v>
      </c>
      <c r="X4812">
        <v>0</v>
      </c>
      <c r="Y4812">
        <v>0</v>
      </c>
      <c r="Z4812">
        <v>0</v>
      </c>
      <c r="AA4812" t="str">
        <f>"Y"</f>
        <v>Y</v>
      </c>
      <c r="AB4812" t="str">
        <f>"SO130000065"</f>
        <v>SO130000065</v>
      </c>
      <c r="AC4812">
        <v>4</v>
      </c>
      <c r="AD4812" s="1">
        <v>41297</v>
      </c>
      <c r="AE4812" t="str">
        <f>"SH14002114"</f>
        <v>SH14002114</v>
      </c>
      <c r="AF4812" t="str">
        <f>"משלוחים ללקוח"</f>
        <v>משלוחים ללקוח</v>
      </c>
      <c r="AG4812" s="1">
        <v>41659</v>
      </c>
      <c r="AM4812" t="str">
        <f>"10"</f>
        <v>10</v>
      </c>
      <c r="AN4812" t="str">
        <f>"500000"</f>
        <v>500000</v>
      </c>
      <c r="AO4812" t="str">
        <f>"הכנסות  מלקוחות"</f>
        <v>הכנסות  מלקוחות</v>
      </c>
      <c r="AQ4812" t="str">
        <f>"007"</f>
        <v>007</v>
      </c>
      <c r="AR4812">
        <v>0</v>
      </c>
      <c r="AS4812">
        <v>0</v>
      </c>
      <c r="AT4812">
        <v>3.4830000000000001</v>
      </c>
      <c r="AX4812" t="str">
        <f>"E000119136"</f>
        <v>E000119136</v>
      </c>
      <c r="BD4812" t="str">
        <f>"רוני דידי"</f>
        <v>רוני דידי</v>
      </c>
    </row>
    <row r="4813" spans="1:56" x14ac:dyDescent="0.3">
      <c r="A4813" s="1">
        <v>41659</v>
      </c>
      <c r="B4813" t="str">
        <f>"SI140001715"</f>
        <v>SI140001715</v>
      </c>
      <c r="C4813" t="str">
        <f>"PR12000061"</f>
        <v>PR12000061</v>
      </c>
      <c r="D4813" t="str">
        <f>"PR12000061"</f>
        <v>PR12000061</v>
      </c>
      <c r="E4813" t="str">
        <f>"Y"</f>
        <v>Y</v>
      </c>
      <c r="F4813" t="str">
        <f>"חשבוניות מרכזות"</f>
        <v>חשבוניות מרכזות</v>
      </c>
      <c r="G4813" t="str">
        <f>"700065"</f>
        <v>700065</v>
      </c>
      <c r="H4813" t="str">
        <f>"אלתא מערכות בע""מ"</f>
        <v>אלתא מערכות בע"מ</v>
      </c>
      <c r="I4813" t="str">
        <f>"10"</f>
        <v>10</v>
      </c>
      <c r="J4813" t="str">
        <f>"999"</f>
        <v>999</v>
      </c>
      <c r="K4813" t="str">
        <f>"תשלום עבור הטסת פירטי  PDB"</f>
        <v>תשלום עבור הטסת פירטי  PDB</v>
      </c>
      <c r="L4813">
        <v>1</v>
      </c>
      <c r="M4813" t="str">
        <f>"חל"</f>
        <v>חל</v>
      </c>
      <c r="N4813">
        <v>1</v>
      </c>
      <c r="O4813" t="str">
        <f>"חל"</f>
        <v>חל</v>
      </c>
      <c r="P4813" s="2">
        <v>11490</v>
      </c>
      <c r="Q4813" t="str">
        <f>"$"</f>
        <v>$</v>
      </c>
      <c r="R4813" t="str">
        <f>"הזמנה"</f>
        <v>הזמנה</v>
      </c>
      <c r="S4813">
        <v>0</v>
      </c>
      <c r="T4813" s="2">
        <v>11490</v>
      </c>
      <c r="U4813">
        <v>16.75</v>
      </c>
      <c r="V4813" s="2">
        <v>9565.43</v>
      </c>
      <c r="W4813" t="str">
        <f>"$"</f>
        <v>$</v>
      </c>
      <c r="X4813">
        <v>0</v>
      </c>
      <c r="Y4813">
        <v>0</v>
      </c>
      <c r="Z4813">
        <v>0</v>
      </c>
      <c r="AA4813" t="str">
        <f>"Y"</f>
        <v>Y</v>
      </c>
      <c r="AB4813" t="str">
        <f>"SO140001699"</f>
        <v>SO140001699</v>
      </c>
      <c r="AC4813">
        <v>1</v>
      </c>
      <c r="AD4813" s="1">
        <v>41689</v>
      </c>
      <c r="AM4813" t="str">
        <f>"10"</f>
        <v>10</v>
      </c>
      <c r="AN4813" t="str">
        <f>"500000"</f>
        <v>500000</v>
      </c>
      <c r="AO4813" t="str">
        <f>"הכנסות  מלקוחות"</f>
        <v>הכנסות  מלקוחות</v>
      </c>
      <c r="AQ4813" t="str">
        <f>"007"</f>
        <v>007</v>
      </c>
      <c r="AR4813">
        <v>0</v>
      </c>
      <c r="AS4813">
        <v>0</v>
      </c>
      <c r="AT4813">
        <v>3.4929999999999999</v>
      </c>
      <c r="AX4813" t="str">
        <f>"E000166966"</f>
        <v>E000166966</v>
      </c>
      <c r="BD4813" t="str">
        <f>"רוני דידי"</f>
        <v>רוני דידי</v>
      </c>
    </row>
    <row r="4814" spans="1:56" x14ac:dyDescent="0.3">
      <c r="A4814" s="1">
        <v>41640</v>
      </c>
      <c r="B4814" t="str">
        <f>"SI140001502"</f>
        <v>SI140001502</v>
      </c>
      <c r="C4814" t="str">
        <f>"PR12000054"</f>
        <v>PR12000054</v>
      </c>
      <c r="E4814" t="str">
        <f>"Y"</f>
        <v>Y</v>
      </c>
      <c r="F4814" t="str">
        <f>"חשבוניות מרכזות"</f>
        <v>חשבוניות מרכזות</v>
      </c>
      <c r="G4814" t="str">
        <f>"700065"</f>
        <v>700065</v>
      </c>
      <c r="H4814" t="str">
        <f>"אלתא מערכות בע""מ"</f>
        <v>אלתא מערכות בע"מ</v>
      </c>
      <c r="I4814" t="str">
        <f>"10"</f>
        <v>10</v>
      </c>
      <c r="J4814" t="str">
        <f>"OP-AR09106"</f>
        <v>OP-AR09106</v>
      </c>
      <c r="K4814" t="str">
        <f>"לוח 1026L230-001 HIGH VOLTAG JUCTION BOX"</f>
        <v>לוח 1026L230-001 HIGH VOLTAG JUCTION BOX</v>
      </c>
      <c r="L4814">
        <v>-1</v>
      </c>
      <c r="M4814" t="str">
        <f>"יח"</f>
        <v>יח</v>
      </c>
      <c r="N4814">
        <v>-1</v>
      </c>
      <c r="O4814" t="str">
        <f>"יח"</f>
        <v>יח</v>
      </c>
      <c r="P4814" s="2">
        <v>9900</v>
      </c>
      <c r="Q4814" t="str">
        <f>"$"</f>
        <v>$</v>
      </c>
      <c r="R4814" t="str">
        <f>"תעודת משלוח"</f>
        <v>תעודת משלוח</v>
      </c>
      <c r="S4814">
        <v>0</v>
      </c>
      <c r="T4814" s="2">
        <v>-9900</v>
      </c>
      <c r="U4814">
        <v>0</v>
      </c>
      <c r="V4814" s="2">
        <v>-9900</v>
      </c>
      <c r="W4814" t="str">
        <f>"$"</f>
        <v>$</v>
      </c>
      <c r="X4814">
        <v>0</v>
      </c>
      <c r="Y4814">
        <v>0</v>
      </c>
      <c r="Z4814">
        <v>0</v>
      </c>
      <c r="AA4814" t="str">
        <f>"Y"</f>
        <v>Y</v>
      </c>
      <c r="AC4814">
        <v>0</v>
      </c>
      <c r="AM4814" t="str">
        <f>"10"</f>
        <v>10</v>
      </c>
      <c r="AN4814" t="str">
        <f>"500000"</f>
        <v>500000</v>
      </c>
      <c r="AO4814" t="str">
        <f>"הכנסות  מלקוחות"</f>
        <v>הכנסות  מלקוחות</v>
      </c>
      <c r="AQ4814" t="str">
        <f>"007"</f>
        <v>007</v>
      </c>
      <c r="AR4814">
        <v>0</v>
      </c>
      <c r="AS4814">
        <v>0</v>
      </c>
      <c r="AT4814">
        <v>3.4710000000000001</v>
      </c>
      <c r="BB4814" t="str">
        <f>"Y"</f>
        <v>Y</v>
      </c>
      <c r="BD4814" t="str">
        <f>"רוני דידי"</f>
        <v>רוני דידי</v>
      </c>
    </row>
    <row r="4815" spans="1:56" x14ac:dyDescent="0.3">
      <c r="A4815" s="1">
        <v>41640</v>
      </c>
      <c r="B4815" t="str">
        <f>"SI140001502"</f>
        <v>SI140001502</v>
      </c>
      <c r="C4815" t="str">
        <f>"PR12000054"</f>
        <v>PR12000054</v>
      </c>
      <c r="E4815" t="str">
        <f>"Y"</f>
        <v>Y</v>
      </c>
      <c r="F4815" t="str">
        <f>"חשבוניות מרכזות"</f>
        <v>חשבוניות מרכזות</v>
      </c>
      <c r="G4815" t="str">
        <f>"700065"</f>
        <v>700065</v>
      </c>
      <c r="H4815" t="str">
        <f>"אלתא מערכות בע""מ"</f>
        <v>אלתא מערכות בע"מ</v>
      </c>
      <c r="I4815" t="str">
        <f>"10"</f>
        <v>10</v>
      </c>
      <c r="J4815" t="str">
        <f>"OP-AR09106"</f>
        <v>OP-AR09106</v>
      </c>
      <c r="K4815" t="str">
        <f>"לוח 1026L230-001 HIGH VOLTAG JUCTION BOX"</f>
        <v>לוח 1026L230-001 HIGH VOLTAG JUCTION BOX</v>
      </c>
      <c r="L4815">
        <v>-1</v>
      </c>
      <c r="M4815" t="str">
        <f>"יח"</f>
        <v>יח</v>
      </c>
      <c r="N4815">
        <v>-1</v>
      </c>
      <c r="O4815" t="str">
        <f>"יח"</f>
        <v>יח</v>
      </c>
      <c r="P4815" s="2">
        <v>9900</v>
      </c>
      <c r="Q4815" t="str">
        <f>"$"</f>
        <v>$</v>
      </c>
      <c r="R4815" t="str">
        <f>"תעודת משלוח"</f>
        <v>תעודת משלוח</v>
      </c>
      <c r="S4815">
        <v>0</v>
      </c>
      <c r="T4815" s="2">
        <v>-9900</v>
      </c>
      <c r="U4815">
        <v>0</v>
      </c>
      <c r="V4815" s="2">
        <v>-9900</v>
      </c>
      <c r="W4815" t="str">
        <f>"$"</f>
        <v>$</v>
      </c>
      <c r="X4815">
        <v>0</v>
      </c>
      <c r="Y4815">
        <v>0</v>
      </c>
      <c r="Z4815">
        <v>0</v>
      </c>
      <c r="AA4815" t="str">
        <f>"Y"</f>
        <v>Y</v>
      </c>
      <c r="AC4815">
        <v>0</v>
      </c>
      <c r="AM4815" t="str">
        <f>"10"</f>
        <v>10</v>
      </c>
      <c r="AN4815" t="str">
        <f>"500000"</f>
        <v>500000</v>
      </c>
      <c r="AO4815" t="str">
        <f>"הכנסות  מלקוחות"</f>
        <v>הכנסות  מלקוחות</v>
      </c>
      <c r="AQ4815" t="str">
        <f>"007"</f>
        <v>007</v>
      </c>
      <c r="AR4815">
        <v>0</v>
      </c>
      <c r="AS4815">
        <v>0</v>
      </c>
      <c r="AT4815">
        <v>3.4710000000000001</v>
      </c>
      <c r="BB4815" t="str">
        <f>"Y"</f>
        <v>Y</v>
      </c>
      <c r="BD4815" t="str">
        <f>"רוני דידי"</f>
        <v>רוני דידי</v>
      </c>
    </row>
    <row r="4816" spans="1:56" x14ac:dyDescent="0.3">
      <c r="A4816" s="1">
        <v>41640</v>
      </c>
      <c r="B4816" t="str">
        <f>"SI140001502"</f>
        <v>SI140001502</v>
      </c>
      <c r="C4816" t="str">
        <f>"PR12000054"</f>
        <v>PR12000054</v>
      </c>
      <c r="E4816" t="str">
        <f>"Y"</f>
        <v>Y</v>
      </c>
      <c r="F4816" t="str">
        <f>"חשבוניות מרכזות"</f>
        <v>חשבוניות מרכזות</v>
      </c>
      <c r="G4816" t="str">
        <f>"700065"</f>
        <v>700065</v>
      </c>
      <c r="H4816" t="str">
        <f>"אלתא מערכות בע""מ"</f>
        <v>אלתא מערכות בע"מ</v>
      </c>
      <c r="I4816" t="str">
        <f>"10"</f>
        <v>10</v>
      </c>
      <c r="J4816" t="str">
        <f>"OP-AR09106"</f>
        <v>OP-AR09106</v>
      </c>
      <c r="K4816" t="str">
        <f>"לוח 1026L230-001 HIGH VOLTAG JUCTION BOX"</f>
        <v>לוח 1026L230-001 HIGH VOLTAG JUCTION BOX</v>
      </c>
      <c r="L4816">
        <v>-1</v>
      </c>
      <c r="M4816" t="str">
        <f>"יח"</f>
        <v>יח</v>
      </c>
      <c r="N4816">
        <v>-1</v>
      </c>
      <c r="O4816" t="str">
        <f>"יח"</f>
        <v>יח</v>
      </c>
      <c r="P4816" s="2">
        <v>9900</v>
      </c>
      <c r="Q4816" t="str">
        <f>"$"</f>
        <v>$</v>
      </c>
      <c r="R4816" t="str">
        <f>"תעודת משלוח"</f>
        <v>תעודת משלוח</v>
      </c>
      <c r="S4816">
        <v>0</v>
      </c>
      <c r="T4816" s="2">
        <v>-9900</v>
      </c>
      <c r="U4816">
        <v>0</v>
      </c>
      <c r="V4816" s="2">
        <v>-9900</v>
      </c>
      <c r="W4816" t="str">
        <f>"$"</f>
        <v>$</v>
      </c>
      <c r="X4816">
        <v>0</v>
      </c>
      <c r="Y4816">
        <v>0</v>
      </c>
      <c r="Z4816">
        <v>0</v>
      </c>
      <c r="AA4816" t="str">
        <f>"Y"</f>
        <v>Y</v>
      </c>
      <c r="AC4816">
        <v>0</v>
      </c>
      <c r="AM4816" t="str">
        <f>"10"</f>
        <v>10</v>
      </c>
      <c r="AN4816" t="str">
        <f>"500000"</f>
        <v>500000</v>
      </c>
      <c r="AO4816" t="str">
        <f>"הכנסות  מלקוחות"</f>
        <v>הכנסות  מלקוחות</v>
      </c>
      <c r="AQ4816" t="str">
        <f>"007"</f>
        <v>007</v>
      </c>
      <c r="AR4816">
        <v>0</v>
      </c>
      <c r="AS4816">
        <v>0</v>
      </c>
      <c r="AT4816">
        <v>3.4710000000000001</v>
      </c>
      <c r="BB4816" t="str">
        <f>"Y"</f>
        <v>Y</v>
      </c>
      <c r="BD4816" t="str">
        <f>"רוני דידי"</f>
        <v>רוני דידי</v>
      </c>
    </row>
    <row r="4817" spans="1:56" x14ac:dyDescent="0.3">
      <c r="A4817" s="1">
        <v>41640</v>
      </c>
      <c r="B4817" t="str">
        <f>"SI140001502"</f>
        <v>SI140001502</v>
      </c>
      <c r="C4817" t="str">
        <f>"PR12000054"</f>
        <v>PR12000054</v>
      </c>
      <c r="E4817" t="str">
        <f>"Y"</f>
        <v>Y</v>
      </c>
      <c r="F4817" t="str">
        <f>"חשבוניות מרכזות"</f>
        <v>חשבוניות מרכזות</v>
      </c>
      <c r="G4817" t="str">
        <f>"700065"</f>
        <v>700065</v>
      </c>
      <c r="H4817" t="str">
        <f>"אלתא מערכות בע""מ"</f>
        <v>אלתא מערכות בע"מ</v>
      </c>
      <c r="I4817" t="str">
        <f>"10"</f>
        <v>10</v>
      </c>
      <c r="J4817" t="str">
        <f>"OP-AR09106"</f>
        <v>OP-AR09106</v>
      </c>
      <c r="K4817" t="str">
        <f>"לוח 1026L230-001 HIGH VOLTAG JUCTION BOX"</f>
        <v>לוח 1026L230-001 HIGH VOLTAG JUCTION BOX</v>
      </c>
      <c r="L4817">
        <v>-1</v>
      </c>
      <c r="M4817" t="str">
        <f>"יח"</f>
        <v>יח</v>
      </c>
      <c r="N4817">
        <v>-1</v>
      </c>
      <c r="O4817" t="str">
        <f>"יח"</f>
        <v>יח</v>
      </c>
      <c r="P4817" s="2">
        <v>9900</v>
      </c>
      <c r="Q4817" t="str">
        <f>"$"</f>
        <v>$</v>
      </c>
      <c r="R4817" t="str">
        <f>"תעודת משלוח"</f>
        <v>תעודת משלוח</v>
      </c>
      <c r="S4817">
        <v>0</v>
      </c>
      <c r="T4817" s="2">
        <v>-9900</v>
      </c>
      <c r="U4817">
        <v>0</v>
      </c>
      <c r="V4817" s="2">
        <v>-9900</v>
      </c>
      <c r="W4817" t="str">
        <f>"$"</f>
        <v>$</v>
      </c>
      <c r="X4817">
        <v>0</v>
      </c>
      <c r="Y4817">
        <v>0</v>
      </c>
      <c r="Z4817">
        <v>0</v>
      </c>
      <c r="AA4817" t="str">
        <f>"Y"</f>
        <v>Y</v>
      </c>
      <c r="AC4817">
        <v>0</v>
      </c>
      <c r="AM4817" t="str">
        <f>"10"</f>
        <v>10</v>
      </c>
      <c r="AN4817" t="str">
        <f>"500000"</f>
        <v>500000</v>
      </c>
      <c r="AO4817" t="str">
        <f>"הכנסות  מלקוחות"</f>
        <v>הכנסות  מלקוחות</v>
      </c>
      <c r="AQ4817" t="str">
        <f>"007"</f>
        <v>007</v>
      </c>
      <c r="AR4817">
        <v>0</v>
      </c>
      <c r="AS4817">
        <v>0</v>
      </c>
      <c r="AT4817">
        <v>3.4710000000000001</v>
      </c>
      <c r="BB4817" t="str">
        <f>"Y"</f>
        <v>Y</v>
      </c>
      <c r="BD4817" t="str">
        <f>"רוני דידי"</f>
        <v>רוני דידי</v>
      </c>
    </row>
    <row r="4818" spans="1:56" x14ac:dyDescent="0.3">
      <c r="A4818" s="1">
        <v>41640</v>
      </c>
      <c r="B4818" t="str">
        <f>"SI140001502"</f>
        <v>SI140001502</v>
      </c>
      <c r="C4818" t="str">
        <f>"PR12000054"</f>
        <v>PR12000054</v>
      </c>
      <c r="E4818" t="str">
        <f>"Y"</f>
        <v>Y</v>
      </c>
      <c r="F4818" t="str">
        <f>"חשבוניות מרכזות"</f>
        <v>חשבוניות מרכזות</v>
      </c>
      <c r="G4818" t="str">
        <f>"700065"</f>
        <v>700065</v>
      </c>
      <c r="H4818" t="str">
        <f>"אלתא מערכות בע""מ"</f>
        <v>אלתא מערכות בע"מ</v>
      </c>
      <c r="I4818" t="str">
        <f>"10"</f>
        <v>10</v>
      </c>
      <c r="J4818" t="str">
        <f>"OP-AR09106"</f>
        <v>OP-AR09106</v>
      </c>
      <c r="K4818" t="str">
        <f>"לוח 1026L230-001 HIGH VOLTAG JUCTION BOX"</f>
        <v>לוח 1026L230-001 HIGH VOLTAG JUCTION BOX</v>
      </c>
      <c r="L4818">
        <v>-1</v>
      </c>
      <c r="M4818" t="str">
        <f>"יח"</f>
        <v>יח</v>
      </c>
      <c r="N4818">
        <v>-1</v>
      </c>
      <c r="O4818" t="str">
        <f>"יח"</f>
        <v>יח</v>
      </c>
      <c r="P4818" s="2">
        <v>9900</v>
      </c>
      <c r="Q4818" t="str">
        <f>"$"</f>
        <v>$</v>
      </c>
      <c r="R4818" t="str">
        <f>"תעודת משלוח"</f>
        <v>תעודת משלוח</v>
      </c>
      <c r="S4818">
        <v>0</v>
      </c>
      <c r="T4818" s="2">
        <v>-9900</v>
      </c>
      <c r="U4818">
        <v>0</v>
      </c>
      <c r="V4818" s="2">
        <v>-9900</v>
      </c>
      <c r="W4818" t="str">
        <f>"$"</f>
        <v>$</v>
      </c>
      <c r="X4818">
        <v>0</v>
      </c>
      <c r="Y4818">
        <v>0</v>
      </c>
      <c r="Z4818">
        <v>0</v>
      </c>
      <c r="AA4818" t="str">
        <f>"Y"</f>
        <v>Y</v>
      </c>
      <c r="AC4818">
        <v>0</v>
      </c>
      <c r="AM4818" t="str">
        <f>"10"</f>
        <v>10</v>
      </c>
      <c r="AN4818" t="str">
        <f>"500000"</f>
        <v>500000</v>
      </c>
      <c r="AO4818" t="str">
        <f>"הכנסות  מלקוחות"</f>
        <v>הכנסות  מלקוחות</v>
      </c>
      <c r="AQ4818" t="str">
        <f>"007"</f>
        <v>007</v>
      </c>
      <c r="AR4818">
        <v>0</v>
      </c>
      <c r="AS4818">
        <v>0</v>
      </c>
      <c r="AT4818">
        <v>3.4710000000000001</v>
      </c>
      <c r="BB4818" t="str">
        <f>"Y"</f>
        <v>Y</v>
      </c>
      <c r="BD4818" t="str">
        <f>"רוני דידי"</f>
        <v>רוני דידי</v>
      </c>
    </row>
    <row r="4819" spans="1:56" x14ac:dyDescent="0.3">
      <c r="A4819" s="1">
        <v>41640</v>
      </c>
      <c r="B4819" t="str">
        <f>"SI140001502"</f>
        <v>SI140001502</v>
      </c>
      <c r="C4819" t="str">
        <f>"PR12000054"</f>
        <v>PR12000054</v>
      </c>
      <c r="E4819" t="str">
        <f>"Y"</f>
        <v>Y</v>
      </c>
      <c r="F4819" t="str">
        <f>"חשבוניות מרכזות"</f>
        <v>חשבוניות מרכזות</v>
      </c>
      <c r="G4819" t="str">
        <f>"700065"</f>
        <v>700065</v>
      </c>
      <c r="H4819" t="str">
        <f>"אלתא מערכות בע""מ"</f>
        <v>אלתא מערכות בע"מ</v>
      </c>
      <c r="I4819" t="str">
        <f>"10"</f>
        <v>10</v>
      </c>
      <c r="J4819" t="str">
        <f>"OP-AR09106"</f>
        <v>OP-AR09106</v>
      </c>
      <c r="K4819" t="str">
        <f>"לוח 1026L230-001 HIGH VOLTAG JUCTION BOX"</f>
        <v>לוח 1026L230-001 HIGH VOLTAG JUCTION BOX</v>
      </c>
      <c r="L4819">
        <v>-1</v>
      </c>
      <c r="M4819" t="str">
        <f>"יח"</f>
        <v>יח</v>
      </c>
      <c r="N4819">
        <v>-1</v>
      </c>
      <c r="O4819" t="str">
        <f>"יח"</f>
        <v>יח</v>
      </c>
      <c r="P4819" s="2">
        <v>9900</v>
      </c>
      <c r="Q4819" t="str">
        <f>"$"</f>
        <v>$</v>
      </c>
      <c r="R4819" t="str">
        <f>"תעודת משלוח"</f>
        <v>תעודת משלוח</v>
      </c>
      <c r="S4819">
        <v>0</v>
      </c>
      <c r="T4819" s="2">
        <v>-9900</v>
      </c>
      <c r="U4819">
        <v>0</v>
      </c>
      <c r="V4819" s="2">
        <v>-9900</v>
      </c>
      <c r="W4819" t="str">
        <f>"$"</f>
        <v>$</v>
      </c>
      <c r="X4819">
        <v>0</v>
      </c>
      <c r="Y4819">
        <v>0</v>
      </c>
      <c r="Z4819">
        <v>0</v>
      </c>
      <c r="AA4819" t="str">
        <f>"Y"</f>
        <v>Y</v>
      </c>
      <c r="AC4819">
        <v>0</v>
      </c>
      <c r="AM4819" t="str">
        <f>"10"</f>
        <v>10</v>
      </c>
      <c r="AN4819" t="str">
        <f>"500000"</f>
        <v>500000</v>
      </c>
      <c r="AO4819" t="str">
        <f>"הכנסות  מלקוחות"</f>
        <v>הכנסות  מלקוחות</v>
      </c>
      <c r="AQ4819" t="str">
        <f>"007"</f>
        <v>007</v>
      </c>
      <c r="AR4819">
        <v>0</v>
      </c>
      <c r="AS4819">
        <v>0</v>
      </c>
      <c r="AT4819">
        <v>3.4710000000000001</v>
      </c>
      <c r="BB4819" t="str">
        <f>"Y"</f>
        <v>Y</v>
      </c>
      <c r="BD4819" t="str">
        <f>"רוני דידי"</f>
        <v>רוני דידי</v>
      </c>
    </row>
    <row r="4820" spans="1:56" x14ac:dyDescent="0.3">
      <c r="A4820" s="1">
        <v>41640</v>
      </c>
      <c r="B4820" t="str">
        <f>"SI140001501"</f>
        <v>SI140001501</v>
      </c>
      <c r="C4820" t="str">
        <f>"PR12000054"</f>
        <v>PR12000054</v>
      </c>
      <c r="E4820" t="str">
        <f>"Y"</f>
        <v>Y</v>
      </c>
      <c r="F4820" t="str">
        <f>"חשבוניות מרכזות"</f>
        <v>חשבוניות מרכזות</v>
      </c>
      <c r="G4820" t="str">
        <f>"700065"</f>
        <v>700065</v>
      </c>
      <c r="H4820" t="str">
        <f>"אלתא מערכות בע""מ"</f>
        <v>אלתא מערכות בע"מ</v>
      </c>
      <c r="I4820" t="str">
        <f>"10"</f>
        <v>10</v>
      </c>
      <c r="J4820" t="str">
        <f>"OP-AR09106"</f>
        <v>OP-AR09106</v>
      </c>
      <c r="K4820" t="str">
        <f>"לוח 1026L230-001 HIGH VOLTAG JUCTION BOX"</f>
        <v>לוח 1026L230-001 HIGH VOLTAG JUCTION BOX</v>
      </c>
      <c r="L4820">
        <v>1</v>
      </c>
      <c r="M4820" t="str">
        <f>"יח"</f>
        <v>יח</v>
      </c>
      <c r="N4820">
        <v>1</v>
      </c>
      <c r="O4820" t="str">
        <f>"יח"</f>
        <v>יח</v>
      </c>
      <c r="P4820" s="2">
        <v>9900</v>
      </c>
      <c r="Q4820" t="str">
        <f>"$"</f>
        <v>$</v>
      </c>
      <c r="R4820" t="str">
        <f>"תעודת משלוח"</f>
        <v>תעודת משלוח</v>
      </c>
      <c r="S4820">
        <v>0</v>
      </c>
      <c r="T4820" s="2">
        <v>9900</v>
      </c>
      <c r="U4820">
        <v>0</v>
      </c>
      <c r="V4820" s="2">
        <v>9900</v>
      </c>
      <c r="W4820" t="str">
        <f>"$"</f>
        <v>$</v>
      </c>
      <c r="X4820">
        <v>0</v>
      </c>
      <c r="Y4820">
        <v>0</v>
      </c>
      <c r="Z4820">
        <v>0</v>
      </c>
      <c r="AA4820" t="str">
        <f>"Y"</f>
        <v>Y</v>
      </c>
      <c r="AC4820">
        <v>0</v>
      </c>
      <c r="AM4820" t="str">
        <f>"10"</f>
        <v>10</v>
      </c>
      <c r="AN4820" t="str">
        <f>"500000"</f>
        <v>500000</v>
      </c>
      <c r="AO4820" t="str">
        <f>"הכנסות  מלקוחות"</f>
        <v>הכנסות  מלקוחות</v>
      </c>
      <c r="AQ4820" t="str">
        <f>"007"</f>
        <v>007</v>
      </c>
      <c r="AR4820">
        <v>0</v>
      </c>
      <c r="AS4820">
        <v>0</v>
      </c>
      <c r="AT4820">
        <v>3.4710000000000001</v>
      </c>
      <c r="BB4820" t="str">
        <f>"Y"</f>
        <v>Y</v>
      </c>
      <c r="BD4820" t="str">
        <f>"רוני דידי"</f>
        <v>רוני דידי</v>
      </c>
    </row>
    <row r="4821" spans="1:56" x14ac:dyDescent="0.3">
      <c r="A4821" s="1">
        <v>41640</v>
      </c>
      <c r="B4821" t="str">
        <f>"SI140001501"</f>
        <v>SI140001501</v>
      </c>
      <c r="C4821" t="str">
        <f>"PR12000054"</f>
        <v>PR12000054</v>
      </c>
      <c r="E4821" t="str">
        <f>"Y"</f>
        <v>Y</v>
      </c>
      <c r="F4821" t="str">
        <f>"חשבוניות מרכזות"</f>
        <v>חשבוניות מרכזות</v>
      </c>
      <c r="G4821" t="str">
        <f>"700065"</f>
        <v>700065</v>
      </c>
      <c r="H4821" t="str">
        <f>"אלתא מערכות בע""מ"</f>
        <v>אלתא מערכות בע"מ</v>
      </c>
      <c r="I4821" t="str">
        <f>"10"</f>
        <v>10</v>
      </c>
      <c r="J4821" t="str">
        <f>"OP-AR09106"</f>
        <v>OP-AR09106</v>
      </c>
      <c r="K4821" t="str">
        <f>"לוח 1026L230-001 HIGH VOLTAG JUCTION BOX"</f>
        <v>לוח 1026L230-001 HIGH VOLTAG JUCTION BOX</v>
      </c>
      <c r="L4821">
        <v>1</v>
      </c>
      <c r="M4821" t="str">
        <f>"יח"</f>
        <v>יח</v>
      </c>
      <c r="N4821">
        <v>1</v>
      </c>
      <c r="O4821" t="str">
        <f>"יח"</f>
        <v>יח</v>
      </c>
      <c r="P4821" s="2">
        <v>9900</v>
      </c>
      <c r="Q4821" t="str">
        <f>"$"</f>
        <v>$</v>
      </c>
      <c r="R4821" t="str">
        <f>"תעודת משלוח"</f>
        <v>תעודת משלוח</v>
      </c>
      <c r="S4821">
        <v>0</v>
      </c>
      <c r="T4821" s="2">
        <v>9900</v>
      </c>
      <c r="U4821">
        <v>0</v>
      </c>
      <c r="V4821" s="2">
        <v>9900</v>
      </c>
      <c r="W4821" t="str">
        <f>"$"</f>
        <v>$</v>
      </c>
      <c r="X4821">
        <v>0</v>
      </c>
      <c r="Y4821">
        <v>0</v>
      </c>
      <c r="Z4821">
        <v>0</v>
      </c>
      <c r="AA4821" t="str">
        <f>"Y"</f>
        <v>Y</v>
      </c>
      <c r="AC4821">
        <v>0</v>
      </c>
      <c r="AM4821" t="str">
        <f>"10"</f>
        <v>10</v>
      </c>
      <c r="AN4821" t="str">
        <f>"500000"</f>
        <v>500000</v>
      </c>
      <c r="AO4821" t="str">
        <f>"הכנסות  מלקוחות"</f>
        <v>הכנסות  מלקוחות</v>
      </c>
      <c r="AQ4821" t="str">
        <f>"007"</f>
        <v>007</v>
      </c>
      <c r="AR4821">
        <v>0</v>
      </c>
      <c r="AS4821">
        <v>0</v>
      </c>
      <c r="AT4821">
        <v>3.4710000000000001</v>
      </c>
      <c r="BB4821" t="str">
        <f>"Y"</f>
        <v>Y</v>
      </c>
      <c r="BD4821" t="str">
        <f>"רוני דידי"</f>
        <v>רוני דידי</v>
      </c>
    </row>
    <row r="4822" spans="1:56" x14ac:dyDescent="0.3">
      <c r="A4822" s="1">
        <v>41640</v>
      </c>
      <c r="B4822" t="str">
        <f>"SI140001501"</f>
        <v>SI140001501</v>
      </c>
      <c r="C4822" t="str">
        <f>"PR12000054"</f>
        <v>PR12000054</v>
      </c>
      <c r="E4822" t="str">
        <f>"Y"</f>
        <v>Y</v>
      </c>
      <c r="F4822" t="str">
        <f>"חשבוניות מרכזות"</f>
        <v>חשבוניות מרכזות</v>
      </c>
      <c r="G4822" t="str">
        <f>"700065"</f>
        <v>700065</v>
      </c>
      <c r="H4822" t="str">
        <f>"אלתא מערכות בע""מ"</f>
        <v>אלתא מערכות בע"מ</v>
      </c>
      <c r="I4822" t="str">
        <f>"10"</f>
        <v>10</v>
      </c>
      <c r="J4822" t="str">
        <f>"OP-AR09106"</f>
        <v>OP-AR09106</v>
      </c>
      <c r="K4822" t="str">
        <f>"לוח 1026L230-001 HIGH VOLTAG JUCTION BOX"</f>
        <v>לוח 1026L230-001 HIGH VOLTAG JUCTION BOX</v>
      </c>
      <c r="L4822">
        <v>1</v>
      </c>
      <c r="M4822" t="str">
        <f>"יח"</f>
        <v>יח</v>
      </c>
      <c r="N4822">
        <v>1</v>
      </c>
      <c r="O4822" t="str">
        <f>"יח"</f>
        <v>יח</v>
      </c>
      <c r="P4822" s="2">
        <v>9900</v>
      </c>
      <c r="Q4822" t="str">
        <f>"$"</f>
        <v>$</v>
      </c>
      <c r="R4822" t="str">
        <f>"תעודת משלוח"</f>
        <v>תעודת משלוח</v>
      </c>
      <c r="S4822">
        <v>0</v>
      </c>
      <c r="T4822" s="2">
        <v>9900</v>
      </c>
      <c r="U4822">
        <v>0</v>
      </c>
      <c r="V4822" s="2">
        <v>9900</v>
      </c>
      <c r="W4822" t="str">
        <f>"$"</f>
        <v>$</v>
      </c>
      <c r="X4822">
        <v>0</v>
      </c>
      <c r="Y4822">
        <v>0</v>
      </c>
      <c r="Z4822">
        <v>0</v>
      </c>
      <c r="AA4822" t="str">
        <f>"Y"</f>
        <v>Y</v>
      </c>
      <c r="AC4822">
        <v>0</v>
      </c>
      <c r="AM4822" t="str">
        <f>"10"</f>
        <v>10</v>
      </c>
      <c r="AN4822" t="str">
        <f>"500000"</f>
        <v>500000</v>
      </c>
      <c r="AO4822" t="str">
        <f>"הכנסות  מלקוחות"</f>
        <v>הכנסות  מלקוחות</v>
      </c>
      <c r="AQ4822" t="str">
        <f>"007"</f>
        <v>007</v>
      </c>
      <c r="AR4822">
        <v>0</v>
      </c>
      <c r="AS4822">
        <v>0</v>
      </c>
      <c r="AT4822">
        <v>3.4710000000000001</v>
      </c>
      <c r="BB4822" t="str">
        <f>"Y"</f>
        <v>Y</v>
      </c>
      <c r="BD4822" t="str">
        <f>"רוני דידי"</f>
        <v>רוני דידי</v>
      </c>
    </row>
    <row r="4823" spans="1:56" x14ac:dyDescent="0.3">
      <c r="A4823" s="1">
        <v>41640</v>
      </c>
      <c r="B4823" t="str">
        <f>"SI140001501"</f>
        <v>SI140001501</v>
      </c>
      <c r="C4823" t="str">
        <f>"PR12000054"</f>
        <v>PR12000054</v>
      </c>
      <c r="E4823" t="str">
        <f>"Y"</f>
        <v>Y</v>
      </c>
      <c r="F4823" t="str">
        <f>"חשבוניות מרכזות"</f>
        <v>חשבוניות מרכזות</v>
      </c>
      <c r="G4823" t="str">
        <f>"700065"</f>
        <v>700065</v>
      </c>
      <c r="H4823" t="str">
        <f>"אלתא מערכות בע""מ"</f>
        <v>אלתא מערכות בע"מ</v>
      </c>
      <c r="I4823" t="str">
        <f>"10"</f>
        <v>10</v>
      </c>
      <c r="J4823" t="str">
        <f>"OP-AR09106"</f>
        <v>OP-AR09106</v>
      </c>
      <c r="K4823" t="str">
        <f>"לוח 1026L230-001 HIGH VOLTAG JUCTION BOX"</f>
        <v>לוח 1026L230-001 HIGH VOLTAG JUCTION BOX</v>
      </c>
      <c r="L4823">
        <v>1</v>
      </c>
      <c r="M4823" t="str">
        <f>"יח"</f>
        <v>יח</v>
      </c>
      <c r="N4823">
        <v>1</v>
      </c>
      <c r="O4823" t="str">
        <f>"יח"</f>
        <v>יח</v>
      </c>
      <c r="P4823" s="2">
        <v>9900</v>
      </c>
      <c r="Q4823" t="str">
        <f>"$"</f>
        <v>$</v>
      </c>
      <c r="R4823" t="str">
        <f>"תעודת משלוח"</f>
        <v>תעודת משלוח</v>
      </c>
      <c r="S4823">
        <v>0</v>
      </c>
      <c r="T4823" s="2">
        <v>9900</v>
      </c>
      <c r="U4823">
        <v>0</v>
      </c>
      <c r="V4823" s="2">
        <v>9900</v>
      </c>
      <c r="W4823" t="str">
        <f>"$"</f>
        <v>$</v>
      </c>
      <c r="X4823">
        <v>0</v>
      </c>
      <c r="Y4823">
        <v>0</v>
      </c>
      <c r="Z4823">
        <v>0</v>
      </c>
      <c r="AA4823" t="str">
        <f>"Y"</f>
        <v>Y</v>
      </c>
      <c r="AC4823">
        <v>0</v>
      </c>
      <c r="AM4823" t="str">
        <f>"10"</f>
        <v>10</v>
      </c>
      <c r="AN4823" t="str">
        <f>"500000"</f>
        <v>500000</v>
      </c>
      <c r="AO4823" t="str">
        <f>"הכנסות  מלקוחות"</f>
        <v>הכנסות  מלקוחות</v>
      </c>
      <c r="AQ4823" t="str">
        <f>"007"</f>
        <v>007</v>
      </c>
      <c r="AR4823">
        <v>0</v>
      </c>
      <c r="AS4823">
        <v>0</v>
      </c>
      <c r="AT4823">
        <v>3.4710000000000001</v>
      </c>
      <c r="BB4823" t="str">
        <f>"Y"</f>
        <v>Y</v>
      </c>
      <c r="BD4823" t="str">
        <f>"רוני דידי"</f>
        <v>רוני דידי</v>
      </c>
    </row>
    <row r="4824" spans="1:56" x14ac:dyDescent="0.3">
      <c r="A4824" s="1">
        <v>41640</v>
      </c>
      <c r="B4824" t="str">
        <f>"SI140001501"</f>
        <v>SI140001501</v>
      </c>
      <c r="C4824" t="str">
        <f>"PR12000054"</f>
        <v>PR12000054</v>
      </c>
      <c r="E4824" t="str">
        <f>"Y"</f>
        <v>Y</v>
      </c>
      <c r="F4824" t="str">
        <f>"חשבוניות מרכזות"</f>
        <v>חשבוניות מרכזות</v>
      </c>
      <c r="G4824" t="str">
        <f>"700065"</f>
        <v>700065</v>
      </c>
      <c r="H4824" t="str">
        <f>"אלתא מערכות בע""מ"</f>
        <v>אלתא מערכות בע"מ</v>
      </c>
      <c r="I4824" t="str">
        <f>"10"</f>
        <v>10</v>
      </c>
      <c r="J4824" t="str">
        <f>"OP-AR09106"</f>
        <v>OP-AR09106</v>
      </c>
      <c r="K4824" t="str">
        <f>"לוח 1026L230-001 HIGH VOLTAG JUCTION BOX"</f>
        <v>לוח 1026L230-001 HIGH VOLTAG JUCTION BOX</v>
      </c>
      <c r="L4824">
        <v>1</v>
      </c>
      <c r="M4824" t="str">
        <f>"יח"</f>
        <v>יח</v>
      </c>
      <c r="N4824">
        <v>1</v>
      </c>
      <c r="O4824" t="str">
        <f>"יח"</f>
        <v>יח</v>
      </c>
      <c r="P4824" s="2">
        <v>9900</v>
      </c>
      <c r="Q4824" t="str">
        <f>"$"</f>
        <v>$</v>
      </c>
      <c r="R4824" t="str">
        <f>"תעודת משלוח"</f>
        <v>תעודת משלוח</v>
      </c>
      <c r="S4824">
        <v>0</v>
      </c>
      <c r="T4824" s="2">
        <v>9900</v>
      </c>
      <c r="U4824">
        <v>0</v>
      </c>
      <c r="V4824" s="2">
        <v>9900</v>
      </c>
      <c r="W4824" t="str">
        <f>"$"</f>
        <v>$</v>
      </c>
      <c r="X4824">
        <v>0</v>
      </c>
      <c r="Y4824">
        <v>0</v>
      </c>
      <c r="Z4824">
        <v>0</v>
      </c>
      <c r="AA4824" t="str">
        <f>"Y"</f>
        <v>Y</v>
      </c>
      <c r="AC4824">
        <v>0</v>
      </c>
      <c r="AM4824" t="str">
        <f>"10"</f>
        <v>10</v>
      </c>
      <c r="AN4824" t="str">
        <f>"500000"</f>
        <v>500000</v>
      </c>
      <c r="AO4824" t="str">
        <f>"הכנסות  מלקוחות"</f>
        <v>הכנסות  מלקוחות</v>
      </c>
      <c r="AQ4824" t="str">
        <f>"007"</f>
        <v>007</v>
      </c>
      <c r="AR4824">
        <v>0</v>
      </c>
      <c r="AS4824">
        <v>0</v>
      </c>
      <c r="AT4824">
        <v>3.4710000000000001</v>
      </c>
      <c r="BB4824" t="str">
        <f>"Y"</f>
        <v>Y</v>
      </c>
      <c r="BD4824" t="str">
        <f>"רוני דידי"</f>
        <v>רוני דידי</v>
      </c>
    </row>
    <row r="4825" spans="1:56" x14ac:dyDescent="0.3">
      <c r="A4825" s="1">
        <v>41640</v>
      </c>
      <c r="B4825" t="str">
        <f>"SI140001501"</f>
        <v>SI140001501</v>
      </c>
      <c r="C4825" t="str">
        <f>"PR12000054"</f>
        <v>PR12000054</v>
      </c>
      <c r="E4825" t="str">
        <f>"Y"</f>
        <v>Y</v>
      </c>
      <c r="F4825" t="str">
        <f>"חשבוניות מרכזות"</f>
        <v>חשבוניות מרכזות</v>
      </c>
      <c r="G4825" t="str">
        <f>"700065"</f>
        <v>700065</v>
      </c>
      <c r="H4825" t="str">
        <f>"אלתא מערכות בע""מ"</f>
        <v>אלתא מערכות בע"מ</v>
      </c>
      <c r="I4825" t="str">
        <f>"10"</f>
        <v>10</v>
      </c>
      <c r="J4825" t="str">
        <f>"OP-AR09106"</f>
        <v>OP-AR09106</v>
      </c>
      <c r="K4825" t="str">
        <f>"לוח 1026L230-001 HIGH VOLTAG JUCTION BOX"</f>
        <v>לוח 1026L230-001 HIGH VOLTAG JUCTION BOX</v>
      </c>
      <c r="L4825">
        <v>1</v>
      </c>
      <c r="M4825" t="str">
        <f>"יח"</f>
        <v>יח</v>
      </c>
      <c r="N4825">
        <v>1</v>
      </c>
      <c r="O4825" t="str">
        <f>"יח"</f>
        <v>יח</v>
      </c>
      <c r="P4825" s="2">
        <v>9900</v>
      </c>
      <c r="Q4825" t="str">
        <f>"$"</f>
        <v>$</v>
      </c>
      <c r="R4825" t="str">
        <f>"תעודת משלוח"</f>
        <v>תעודת משלוח</v>
      </c>
      <c r="S4825">
        <v>0</v>
      </c>
      <c r="T4825" s="2">
        <v>9900</v>
      </c>
      <c r="U4825">
        <v>0</v>
      </c>
      <c r="V4825" s="2">
        <v>9900</v>
      </c>
      <c r="W4825" t="str">
        <f>"$"</f>
        <v>$</v>
      </c>
      <c r="X4825">
        <v>0</v>
      </c>
      <c r="Y4825">
        <v>0</v>
      </c>
      <c r="Z4825">
        <v>0</v>
      </c>
      <c r="AA4825" t="str">
        <f>"Y"</f>
        <v>Y</v>
      </c>
      <c r="AC4825">
        <v>0</v>
      </c>
      <c r="AM4825" t="str">
        <f>"10"</f>
        <v>10</v>
      </c>
      <c r="AN4825" t="str">
        <f>"500000"</f>
        <v>500000</v>
      </c>
      <c r="AO4825" t="str">
        <f>"הכנסות  מלקוחות"</f>
        <v>הכנסות  מלקוחות</v>
      </c>
      <c r="AQ4825" t="str">
        <f>"007"</f>
        <v>007</v>
      </c>
      <c r="AR4825">
        <v>0</v>
      </c>
      <c r="AS4825">
        <v>0</v>
      </c>
      <c r="AT4825">
        <v>3.4710000000000001</v>
      </c>
      <c r="BB4825" t="str">
        <f>"Y"</f>
        <v>Y</v>
      </c>
      <c r="BD4825" t="str">
        <f>"רוני דידי"</f>
        <v>רוני דידי</v>
      </c>
    </row>
    <row r="4826" spans="1:56" x14ac:dyDescent="0.3">
      <c r="A4826" s="1">
        <v>41639</v>
      </c>
      <c r="B4826" t="str">
        <f>"SI130001223"</f>
        <v>SI130001223</v>
      </c>
      <c r="C4826" t="str">
        <f>"PR12000114"</f>
        <v>PR12000114</v>
      </c>
      <c r="D4826" t="str">
        <f>"PR12000114"</f>
        <v>PR12000114</v>
      </c>
      <c r="E4826" t="str">
        <f>"Y"</f>
        <v>Y</v>
      </c>
      <c r="F4826" t="str">
        <f>"חשבוניות מרכזות"</f>
        <v>חשבוניות מרכזות</v>
      </c>
      <c r="G4826" t="str">
        <f>"700065"</f>
        <v>700065</v>
      </c>
      <c r="H4826" t="str">
        <f>"אלתא מערכות בע""מ"</f>
        <v>אלתא מערכות בע"מ</v>
      </c>
      <c r="I4826" t="str">
        <f>"10"</f>
        <v>10</v>
      </c>
      <c r="J4826" t="str">
        <f>"000"</f>
        <v>000</v>
      </c>
      <c r="K4826" t="str">
        <f>"בדיקות וניסויים"</f>
        <v>בדיקות וניסויים</v>
      </c>
      <c r="L4826">
        <v>1</v>
      </c>
      <c r="M4826" t="str">
        <f>"יח"</f>
        <v>יח</v>
      </c>
      <c r="N4826">
        <v>1</v>
      </c>
      <c r="O4826" t="str">
        <f>"יח"</f>
        <v>יח</v>
      </c>
      <c r="P4826" s="2">
        <v>45528</v>
      </c>
      <c r="Q4826" t="str">
        <f>"$"</f>
        <v>$</v>
      </c>
      <c r="R4826" t="str">
        <f>"הזמנה"</f>
        <v>הזמנה</v>
      </c>
      <c r="S4826">
        <v>0</v>
      </c>
      <c r="T4826" s="2">
        <v>45528</v>
      </c>
      <c r="U4826">
        <v>0</v>
      </c>
      <c r="V4826" s="2">
        <v>45528</v>
      </c>
      <c r="W4826" t="str">
        <f>"$"</f>
        <v>$</v>
      </c>
      <c r="X4826">
        <v>0</v>
      </c>
      <c r="Y4826">
        <v>0</v>
      </c>
      <c r="Z4826">
        <v>0</v>
      </c>
      <c r="AA4826" t="str">
        <f>"Y"</f>
        <v>Y</v>
      </c>
      <c r="AB4826" t="str">
        <f>"SO12T000008"</f>
        <v>SO12T000008</v>
      </c>
      <c r="AC4826">
        <v>3</v>
      </c>
      <c r="AD4826" s="1">
        <v>41267</v>
      </c>
      <c r="AM4826" t="str">
        <f>"10"</f>
        <v>10</v>
      </c>
      <c r="AN4826" t="str">
        <f>"500000"</f>
        <v>500000</v>
      </c>
      <c r="AO4826" t="str">
        <f>"הכנסות  מלקוחות"</f>
        <v>הכנסות  מלקוחות</v>
      </c>
      <c r="AQ4826" t="str">
        <f>"007"</f>
        <v>007</v>
      </c>
      <c r="AR4826">
        <v>0</v>
      </c>
      <c r="AS4826">
        <v>0</v>
      </c>
      <c r="AT4826">
        <v>3.4710000000000001</v>
      </c>
      <c r="AX4826" t="str">
        <f>"E000142668"</f>
        <v>E000142668</v>
      </c>
      <c r="BD4826" t="str">
        <f>"רוני דידי"</f>
        <v>רוני דידי</v>
      </c>
    </row>
    <row r="4827" spans="1:56" x14ac:dyDescent="0.3">
      <c r="A4827" s="1">
        <v>41639</v>
      </c>
      <c r="B4827" t="str">
        <f>"SI130001223"</f>
        <v>SI130001223</v>
      </c>
      <c r="C4827" t="str">
        <f>"PR12000114"</f>
        <v>PR12000114</v>
      </c>
      <c r="D4827" t="str">
        <f>"PR12000114"</f>
        <v>PR12000114</v>
      </c>
      <c r="E4827" t="str">
        <f>"Y"</f>
        <v>Y</v>
      </c>
      <c r="F4827" t="str">
        <f>"חשבוניות מרכזות"</f>
        <v>חשבוניות מרכזות</v>
      </c>
      <c r="G4827" t="str">
        <f>"700065"</f>
        <v>700065</v>
      </c>
      <c r="H4827" t="str">
        <f>"אלתא מערכות בע""מ"</f>
        <v>אלתא מערכות בע"מ</v>
      </c>
      <c r="I4827" t="str">
        <f>"10"</f>
        <v>10</v>
      </c>
      <c r="J4827" t="str">
        <f>"000"</f>
        <v>000</v>
      </c>
      <c r="K4827" t="str">
        <f>"NRE"</f>
        <v>NRE</v>
      </c>
      <c r="L4827">
        <v>1</v>
      </c>
      <c r="M4827" t="str">
        <f>"יח"</f>
        <v>יח</v>
      </c>
      <c r="N4827">
        <v>1</v>
      </c>
      <c r="O4827" t="str">
        <f>"יח"</f>
        <v>יח</v>
      </c>
      <c r="P4827" s="2">
        <v>16720</v>
      </c>
      <c r="Q4827" t="str">
        <f>"$"</f>
        <v>$</v>
      </c>
      <c r="R4827" t="str">
        <f>"הזמנה"</f>
        <v>הזמנה</v>
      </c>
      <c r="S4827">
        <v>0</v>
      </c>
      <c r="T4827" s="2">
        <v>16720</v>
      </c>
      <c r="U4827">
        <v>0</v>
      </c>
      <c r="V4827" s="2">
        <v>16720</v>
      </c>
      <c r="W4827" t="str">
        <f>"$"</f>
        <v>$</v>
      </c>
      <c r="X4827">
        <v>0</v>
      </c>
      <c r="Y4827">
        <v>0</v>
      </c>
      <c r="Z4827">
        <v>0</v>
      </c>
      <c r="AA4827" t="str">
        <f>"Y"</f>
        <v>Y</v>
      </c>
      <c r="AB4827" t="str">
        <f>"SO12T000008"</f>
        <v>SO12T000008</v>
      </c>
      <c r="AC4827">
        <v>4</v>
      </c>
      <c r="AD4827" s="1">
        <v>41267</v>
      </c>
      <c r="AM4827" t="str">
        <f>"10"</f>
        <v>10</v>
      </c>
      <c r="AN4827" t="str">
        <f>"500000"</f>
        <v>500000</v>
      </c>
      <c r="AO4827" t="str">
        <f>"הכנסות  מלקוחות"</f>
        <v>הכנסות  מלקוחות</v>
      </c>
      <c r="AQ4827" t="str">
        <f>"007"</f>
        <v>007</v>
      </c>
      <c r="AR4827">
        <v>0</v>
      </c>
      <c r="AS4827">
        <v>0</v>
      </c>
      <c r="AT4827">
        <v>3.4710000000000001</v>
      </c>
      <c r="AX4827" t="str">
        <f>"E000142668"</f>
        <v>E000142668</v>
      </c>
      <c r="BD4827" t="str">
        <f>"רוני דידי"</f>
        <v>רוני דידי</v>
      </c>
    </row>
    <row r="4828" spans="1:56" x14ac:dyDescent="0.3">
      <c r="A4828" s="1">
        <v>41639</v>
      </c>
      <c r="B4828" t="str">
        <f>"SI130001223"</f>
        <v>SI130001223</v>
      </c>
      <c r="C4828" t="str">
        <f>"PR12000114"</f>
        <v>PR12000114</v>
      </c>
      <c r="D4828" t="str">
        <f>"PR12000114"</f>
        <v>PR12000114</v>
      </c>
      <c r="E4828" t="str">
        <f>"Y"</f>
        <v>Y</v>
      </c>
      <c r="F4828" t="str">
        <f>"חשבוניות מרכזות"</f>
        <v>חשבוניות מרכזות</v>
      </c>
      <c r="G4828" t="str">
        <f>"700065"</f>
        <v>700065</v>
      </c>
      <c r="H4828" t="str">
        <f>"אלתא מערכות בע""מ"</f>
        <v>אלתא מערכות בע"מ</v>
      </c>
      <c r="I4828" t="str">
        <f>"10"</f>
        <v>10</v>
      </c>
      <c r="J4828" t="str">
        <f>"OP-AR00001"</f>
        <v>OP-AR00001</v>
      </c>
      <c r="K4828" t="str">
        <f>"PDU2 1030G480-001"</f>
        <v>PDU2 1030G480-001</v>
      </c>
      <c r="L4828">
        <v>1</v>
      </c>
      <c r="M4828" t="str">
        <f>"יח"</f>
        <v>יח</v>
      </c>
      <c r="N4828">
        <v>1</v>
      </c>
      <c r="O4828" t="str">
        <f>"יח"</f>
        <v>יח</v>
      </c>
      <c r="P4828" s="2">
        <v>21030</v>
      </c>
      <c r="Q4828" t="str">
        <f>"$"</f>
        <v>$</v>
      </c>
      <c r="R4828" t="str">
        <f>"תעודת משלוח"</f>
        <v>תעודת משלוח</v>
      </c>
      <c r="S4828">
        <v>0</v>
      </c>
      <c r="T4828" s="2">
        <v>21030</v>
      </c>
      <c r="U4828">
        <v>0</v>
      </c>
      <c r="V4828" s="2">
        <v>21030</v>
      </c>
      <c r="W4828" t="str">
        <f>"$"</f>
        <v>$</v>
      </c>
      <c r="X4828">
        <v>0</v>
      </c>
      <c r="Y4828">
        <v>0</v>
      </c>
      <c r="Z4828">
        <v>0</v>
      </c>
      <c r="AA4828" t="str">
        <f>"Y"</f>
        <v>Y</v>
      </c>
      <c r="AB4828" t="str">
        <f>"SO12T000008"</f>
        <v>SO12T000008</v>
      </c>
      <c r="AC4828">
        <v>1</v>
      </c>
      <c r="AD4828" s="1">
        <v>41267</v>
      </c>
      <c r="AE4828" t="str">
        <f>"SH13001421"</f>
        <v>SH13001421</v>
      </c>
      <c r="AF4828" t="str">
        <f>"משלוחים ללקוח"</f>
        <v>משלוחים ללקוח</v>
      </c>
      <c r="AG4828" s="1">
        <v>41638</v>
      </c>
      <c r="AM4828" t="str">
        <f>"10"</f>
        <v>10</v>
      </c>
      <c r="AN4828" t="str">
        <f>"500000"</f>
        <v>500000</v>
      </c>
      <c r="AO4828" t="str">
        <f>"הכנסות  מלקוחות"</f>
        <v>הכנסות  מלקוחות</v>
      </c>
      <c r="AQ4828" t="str">
        <f>"007"</f>
        <v>007</v>
      </c>
      <c r="AR4828">
        <v>0</v>
      </c>
      <c r="AS4828">
        <v>0</v>
      </c>
      <c r="AT4828">
        <v>3.4710000000000001</v>
      </c>
      <c r="AX4828" t="str">
        <f>"E000142668"</f>
        <v>E000142668</v>
      </c>
      <c r="BD4828" t="str">
        <f>"רוני דידי"</f>
        <v>רוני דידי</v>
      </c>
    </row>
    <row r="4829" spans="1:56" x14ac:dyDescent="0.3">
      <c r="A4829" s="1">
        <v>41639</v>
      </c>
      <c r="B4829" t="str">
        <f>"SI130001222"</f>
        <v>SI130001222</v>
      </c>
      <c r="C4829" t="str">
        <f>"PR12000054"</f>
        <v>PR12000054</v>
      </c>
      <c r="E4829" t="str">
        <f>"Y"</f>
        <v>Y</v>
      </c>
      <c r="F4829" t="str">
        <f>"חשבוניות מרכזות"</f>
        <v>חשבוניות מרכזות</v>
      </c>
      <c r="G4829" t="str">
        <f>"700065"</f>
        <v>700065</v>
      </c>
      <c r="H4829" t="str">
        <f>"אלתא מערכות בע""מ"</f>
        <v>אלתא מערכות בע"מ</v>
      </c>
      <c r="I4829" t="str">
        <f>"10"</f>
        <v>10</v>
      </c>
      <c r="J4829" t="str">
        <f>"OP-AR09106"</f>
        <v>OP-AR09106</v>
      </c>
      <c r="K4829" t="str">
        <f>"לוח 1026L230-001 HIGH VOLTAG JUCTION BOX"</f>
        <v>לוח 1026L230-001 HIGH VOLTAG JUCTION BOX</v>
      </c>
      <c r="L4829">
        <v>1</v>
      </c>
      <c r="M4829" t="str">
        <f>"יח"</f>
        <v>יח</v>
      </c>
      <c r="N4829">
        <v>1</v>
      </c>
      <c r="O4829" t="str">
        <f>"יח"</f>
        <v>יח</v>
      </c>
      <c r="P4829" s="2">
        <v>9900</v>
      </c>
      <c r="Q4829" t="str">
        <f>"$"</f>
        <v>$</v>
      </c>
      <c r="R4829" t="str">
        <f>"תעודת משלוח"</f>
        <v>תעודת משלוח</v>
      </c>
      <c r="S4829">
        <v>0</v>
      </c>
      <c r="T4829" s="2">
        <v>9900</v>
      </c>
      <c r="U4829">
        <v>0</v>
      </c>
      <c r="V4829" s="2">
        <v>9900</v>
      </c>
      <c r="W4829" t="str">
        <f>"$"</f>
        <v>$</v>
      </c>
      <c r="X4829">
        <v>0</v>
      </c>
      <c r="Y4829">
        <v>0</v>
      </c>
      <c r="Z4829">
        <v>0</v>
      </c>
      <c r="AA4829" t="str">
        <f>"Y"</f>
        <v>Y</v>
      </c>
      <c r="AB4829" t="str">
        <f>"SO12T000001"</f>
        <v>SO12T000001</v>
      </c>
      <c r="AC4829">
        <v>30</v>
      </c>
      <c r="AD4829" s="1">
        <v>41256</v>
      </c>
      <c r="AE4829" t="str">
        <f>"SH13001420"</f>
        <v>SH13001420</v>
      </c>
      <c r="AF4829" t="str">
        <f>"משלוחים ללקוח"</f>
        <v>משלוחים ללקוח</v>
      </c>
      <c r="AG4829" s="1">
        <v>41638</v>
      </c>
      <c r="AM4829" t="str">
        <f>"10"</f>
        <v>10</v>
      </c>
      <c r="AN4829" t="str">
        <f>"500000"</f>
        <v>500000</v>
      </c>
      <c r="AO4829" t="str">
        <f>"הכנסות  מלקוחות"</f>
        <v>הכנסות  מלקוחות</v>
      </c>
      <c r="AQ4829" t="str">
        <f>"007"</f>
        <v>007</v>
      </c>
      <c r="AR4829">
        <v>0</v>
      </c>
      <c r="AS4829">
        <v>0</v>
      </c>
      <c r="AT4829">
        <v>3.4710000000000001</v>
      </c>
      <c r="AX4829" t="str">
        <f>"E000093662"</f>
        <v>E000093662</v>
      </c>
      <c r="BD4829" t="str">
        <f>"רוני דידי"</f>
        <v>רוני דידי</v>
      </c>
    </row>
    <row r="4830" spans="1:56" x14ac:dyDescent="0.3">
      <c r="A4830" s="1">
        <v>41639</v>
      </c>
      <c r="B4830" t="str">
        <f>"SI130001222"</f>
        <v>SI130001222</v>
      </c>
      <c r="C4830" t="str">
        <f>"PR12000054"</f>
        <v>PR12000054</v>
      </c>
      <c r="E4830" t="str">
        <f>"Y"</f>
        <v>Y</v>
      </c>
      <c r="F4830" t="str">
        <f>"חשבוניות מרכזות"</f>
        <v>חשבוניות מרכזות</v>
      </c>
      <c r="G4830" t="str">
        <f>"700065"</f>
        <v>700065</v>
      </c>
      <c r="H4830" t="str">
        <f>"אלתא מערכות בע""מ"</f>
        <v>אלתא מערכות בע"מ</v>
      </c>
      <c r="I4830" t="str">
        <f>"10"</f>
        <v>10</v>
      </c>
      <c r="J4830" t="str">
        <f>"OP-AR09106"</f>
        <v>OP-AR09106</v>
      </c>
      <c r="K4830" t="str">
        <f>"לוח 1026L230-001 HIGH VOLTAG JUCTION BOX"</f>
        <v>לוח 1026L230-001 HIGH VOLTAG JUCTION BOX</v>
      </c>
      <c r="L4830">
        <v>1</v>
      </c>
      <c r="M4830" t="str">
        <f>"יח"</f>
        <v>יח</v>
      </c>
      <c r="N4830">
        <v>1</v>
      </c>
      <c r="O4830" t="str">
        <f>"יח"</f>
        <v>יח</v>
      </c>
      <c r="P4830" s="2">
        <v>9900</v>
      </c>
      <c r="Q4830" t="str">
        <f>"$"</f>
        <v>$</v>
      </c>
      <c r="R4830" t="str">
        <f>"תעודת משלוח"</f>
        <v>תעודת משלוח</v>
      </c>
      <c r="S4830">
        <v>0</v>
      </c>
      <c r="T4830" s="2">
        <v>9900</v>
      </c>
      <c r="U4830">
        <v>0</v>
      </c>
      <c r="V4830" s="2">
        <v>9900</v>
      </c>
      <c r="W4830" t="str">
        <f>"$"</f>
        <v>$</v>
      </c>
      <c r="X4830">
        <v>0</v>
      </c>
      <c r="Y4830">
        <v>0</v>
      </c>
      <c r="Z4830">
        <v>0</v>
      </c>
      <c r="AA4830" t="str">
        <f>"Y"</f>
        <v>Y</v>
      </c>
      <c r="AB4830" t="str">
        <f>"SO12T000001"</f>
        <v>SO12T000001</v>
      </c>
      <c r="AC4830">
        <v>31</v>
      </c>
      <c r="AD4830" s="1">
        <v>41256</v>
      </c>
      <c r="AE4830" t="str">
        <f>"SH13001420"</f>
        <v>SH13001420</v>
      </c>
      <c r="AF4830" t="str">
        <f>"משלוחים ללקוח"</f>
        <v>משלוחים ללקוח</v>
      </c>
      <c r="AG4830" s="1">
        <v>41638</v>
      </c>
      <c r="AM4830" t="str">
        <f>"10"</f>
        <v>10</v>
      </c>
      <c r="AN4830" t="str">
        <f>"500000"</f>
        <v>500000</v>
      </c>
      <c r="AO4830" t="str">
        <f>"הכנסות  מלקוחות"</f>
        <v>הכנסות  מלקוחות</v>
      </c>
      <c r="AQ4830" t="str">
        <f>"007"</f>
        <v>007</v>
      </c>
      <c r="AR4830">
        <v>0</v>
      </c>
      <c r="AS4830">
        <v>0</v>
      </c>
      <c r="AT4830">
        <v>3.4710000000000001</v>
      </c>
      <c r="AX4830" t="str">
        <f>"E000093662"</f>
        <v>E000093662</v>
      </c>
      <c r="BD4830" t="str">
        <f>"רוני דידי"</f>
        <v>רוני דידי</v>
      </c>
    </row>
    <row r="4831" spans="1:56" x14ac:dyDescent="0.3">
      <c r="A4831" s="1">
        <v>41639</v>
      </c>
      <c r="B4831" t="str">
        <f>"SI130001222"</f>
        <v>SI130001222</v>
      </c>
      <c r="C4831" t="str">
        <f>"PR12000054"</f>
        <v>PR12000054</v>
      </c>
      <c r="E4831" t="str">
        <f>"Y"</f>
        <v>Y</v>
      </c>
      <c r="F4831" t="str">
        <f>"חשבוניות מרכזות"</f>
        <v>חשבוניות מרכזות</v>
      </c>
      <c r="G4831" t="str">
        <f>"700065"</f>
        <v>700065</v>
      </c>
      <c r="H4831" t="str">
        <f>"אלתא מערכות בע""מ"</f>
        <v>אלתא מערכות בע"מ</v>
      </c>
      <c r="I4831" t="str">
        <f>"10"</f>
        <v>10</v>
      </c>
      <c r="J4831" t="str">
        <f>"OP-AR09106"</f>
        <v>OP-AR09106</v>
      </c>
      <c r="K4831" t="str">
        <f>"לוח 1026L230-001 HIGH VOLTAG JUCTION BOX"</f>
        <v>לוח 1026L230-001 HIGH VOLTAG JUCTION BOX</v>
      </c>
      <c r="L4831">
        <v>1</v>
      </c>
      <c r="M4831" t="str">
        <f>"יח"</f>
        <v>יח</v>
      </c>
      <c r="N4831">
        <v>1</v>
      </c>
      <c r="O4831" t="str">
        <f>"יח"</f>
        <v>יח</v>
      </c>
      <c r="P4831" s="2">
        <v>9900</v>
      </c>
      <c r="Q4831" t="str">
        <f>"$"</f>
        <v>$</v>
      </c>
      <c r="R4831" t="str">
        <f>"תעודת משלוח"</f>
        <v>תעודת משלוח</v>
      </c>
      <c r="S4831">
        <v>0</v>
      </c>
      <c r="T4831" s="2">
        <v>9900</v>
      </c>
      <c r="U4831">
        <v>0</v>
      </c>
      <c r="V4831" s="2">
        <v>9900</v>
      </c>
      <c r="W4831" t="str">
        <f>"$"</f>
        <v>$</v>
      </c>
      <c r="X4831">
        <v>0</v>
      </c>
      <c r="Y4831">
        <v>0</v>
      </c>
      <c r="Z4831">
        <v>0</v>
      </c>
      <c r="AA4831" t="str">
        <f>"Y"</f>
        <v>Y</v>
      </c>
      <c r="AB4831" t="str">
        <f>"SO12T000001"</f>
        <v>SO12T000001</v>
      </c>
      <c r="AC4831">
        <v>34</v>
      </c>
      <c r="AD4831" s="1">
        <v>41256</v>
      </c>
      <c r="AE4831" t="str">
        <f>"SH13001420"</f>
        <v>SH13001420</v>
      </c>
      <c r="AF4831" t="str">
        <f>"משלוחים ללקוח"</f>
        <v>משלוחים ללקוח</v>
      </c>
      <c r="AG4831" s="1">
        <v>41638</v>
      </c>
      <c r="AM4831" t="str">
        <f>"10"</f>
        <v>10</v>
      </c>
      <c r="AN4831" t="str">
        <f>"500000"</f>
        <v>500000</v>
      </c>
      <c r="AO4831" t="str">
        <f>"הכנסות  מלקוחות"</f>
        <v>הכנסות  מלקוחות</v>
      </c>
      <c r="AQ4831" t="str">
        <f>"007"</f>
        <v>007</v>
      </c>
      <c r="AR4831">
        <v>0</v>
      </c>
      <c r="AS4831">
        <v>0</v>
      </c>
      <c r="AT4831">
        <v>3.4710000000000001</v>
      </c>
      <c r="AX4831" t="str">
        <f>"E000093662"</f>
        <v>E000093662</v>
      </c>
      <c r="BD4831" t="str">
        <f>"רוני דידי"</f>
        <v>רוני דידי</v>
      </c>
    </row>
    <row r="4832" spans="1:56" x14ac:dyDescent="0.3">
      <c r="A4832" s="1">
        <v>41639</v>
      </c>
      <c r="B4832" t="str">
        <f>"SI130001222"</f>
        <v>SI130001222</v>
      </c>
      <c r="C4832" t="str">
        <f>"PR12000054"</f>
        <v>PR12000054</v>
      </c>
      <c r="E4832" t="str">
        <f>"Y"</f>
        <v>Y</v>
      </c>
      <c r="F4832" t="str">
        <f>"חשבוניות מרכזות"</f>
        <v>חשבוניות מרכזות</v>
      </c>
      <c r="G4832" t="str">
        <f>"700065"</f>
        <v>700065</v>
      </c>
      <c r="H4832" t="str">
        <f>"אלתא מערכות בע""מ"</f>
        <v>אלתא מערכות בע"מ</v>
      </c>
      <c r="I4832" t="str">
        <f>"10"</f>
        <v>10</v>
      </c>
      <c r="J4832" t="str">
        <f>"OP-AR09106"</f>
        <v>OP-AR09106</v>
      </c>
      <c r="K4832" t="str">
        <f>"לוח 1026L230-001 HIGH VOLTAG JUCTION BOX"</f>
        <v>לוח 1026L230-001 HIGH VOLTAG JUCTION BOX</v>
      </c>
      <c r="L4832">
        <v>1</v>
      </c>
      <c r="M4832" t="str">
        <f>"יח"</f>
        <v>יח</v>
      </c>
      <c r="N4832">
        <v>1</v>
      </c>
      <c r="O4832" t="str">
        <f>"יח"</f>
        <v>יח</v>
      </c>
      <c r="P4832" s="2">
        <v>9900</v>
      </c>
      <c r="Q4832" t="str">
        <f>"$"</f>
        <v>$</v>
      </c>
      <c r="R4832" t="str">
        <f>"תעודת משלוח"</f>
        <v>תעודת משלוח</v>
      </c>
      <c r="S4832">
        <v>0</v>
      </c>
      <c r="T4832" s="2">
        <v>9900</v>
      </c>
      <c r="U4832">
        <v>0</v>
      </c>
      <c r="V4832" s="2">
        <v>9900</v>
      </c>
      <c r="W4832" t="str">
        <f>"$"</f>
        <v>$</v>
      </c>
      <c r="X4832">
        <v>0</v>
      </c>
      <c r="Y4832">
        <v>0</v>
      </c>
      <c r="Z4832">
        <v>0</v>
      </c>
      <c r="AA4832" t="str">
        <f>"Y"</f>
        <v>Y</v>
      </c>
      <c r="AB4832" t="str">
        <f>"SO12T000001"</f>
        <v>SO12T000001</v>
      </c>
      <c r="AC4832">
        <v>40</v>
      </c>
      <c r="AD4832" s="1">
        <v>41256</v>
      </c>
      <c r="AE4832" t="str">
        <f>"SH13001420"</f>
        <v>SH13001420</v>
      </c>
      <c r="AF4832" t="str">
        <f>"משלוחים ללקוח"</f>
        <v>משלוחים ללקוח</v>
      </c>
      <c r="AG4832" s="1">
        <v>41638</v>
      </c>
      <c r="AM4832" t="str">
        <f>"10"</f>
        <v>10</v>
      </c>
      <c r="AN4832" t="str">
        <f>"500000"</f>
        <v>500000</v>
      </c>
      <c r="AO4832" t="str">
        <f>"הכנסות  מלקוחות"</f>
        <v>הכנסות  מלקוחות</v>
      </c>
      <c r="AQ4832" t="str">
        <f>"007"</f>
        <v>007</v>
      </c>
      <c r="AR4832">
        <v>0</v>
      </c>
      <c r="AS4832">
        <v>0</v>
      </c>
      <c r="AT4832">
        <v>3.4710000000000001</v>
      </c>
      <c r="AX4832" t="str">
        <f>"E000093662"</f>
        <v>E000093662</v>
      </c>
      <c r="BD4832" t="str">
        <f>"רוני דידי"</f>
        <v>רוני דידי</v>
      </c>
    </row>
    <row r="4833" spans="1:56" x14ac:dyDescent="0.3">
      <c r="A4833" s="1">
        <v>41639</v>
      </c>
      <c r="B4833" t="str">
        <f>"SI130001222"</f>
        <v>SI130001222</v>
      </c>
      <c r="C4833" t="str">
        <f>"PR12000054"</f>
        <v>PR12000054</v>
      </c>
      <c r="E4833" t="str">
        <f>"Y"</f>
        <v>Y</v>
      </c>
      <c r="F4833" t="str">
        <f>"חשבוניות מרכזות"</f>
        <v>חשבוניות מרכזות</v>
      </c>
      <c r="G4833" t="str">
        <f>"700065"</f>
        <v>700065</v>
      </c>
      <c r="H4833" t="str">
        <f>"אלתא מערכות בע""מ"</f>
        <v>אלתא מערכות בע"מ</v>
      </c>
      <c r="I4833" t="str">
        <f>"10"</f>
        <v>10</v>
      </c>
      <c r="J4833" t="str">
        <f>"OP-AR09106"</f>
        <v>OP-AR09106</v>
      </c>
      <c r="K4833" t="str">
        <f>"לוח 1026L230-001 HIGH VOLTAG JUCTION BOX"</f>
        <v>לוח 1026L230-001 HIGH VOLTAG JUCTION BOX</v>
      </c>
      <c r="L4833">
        <v>1</v>
      </c>
      <c r="M4833" t="str">
        <f>"יח"</f>
        <v>יח</v>
      </c>
      <c r="N4833">
        <v>1</v>
      </c>
      <c r="O4833" t="str">
        <f>"יח"</f>
        <v>יח</v>
      </c>
      <c r="P4833" s="2">
        <v>9900</v>
      </c>
      <c r="Q4833" t="str">
        <f>"$"</f>
        <v>$</v>
      </c>
      <c r="R4833" t="str">
        <f>"תעודת משלוח"</f>
        <v>תעודת משלוח</v>
      </c>
      <c r="S4833">
        <v>0</v>
      </c>
      <c r="T4833" s="2">
        <v>9900</v>
      </c>
      <c r="U4833">
        <v>0</v>
      </c>
      <c r="V4833" s="2">
        <v>9900</v>
      </c>
      <c r="W4833" t="str">
        <f>"$"</f>
        <v>$</v>
      </c>
      <c r="X4833">
        <v>0</v>
      </c>
      <c r="Y4833">
        <v>0</v>
      </c>
      <c r="Z4833">
        <v>0</v>
      </c>
      <c r="AA4833" t="str">
        <f>"Y"</f>
        <v>Y</v>
      </c>
      <c r="AB4833" t="str">
        <f>"SO12T000001"</f>
        <v>SO12T000001</v>
      </c>
      <c r="AC4833">
        <v>49</v>
      </c>
      <c r="AD4833" s="1">
        <v>41256</v>
      </c>
      <c r="AE4833" t="str">
        <f>"SH13001420"</f>
        <v>SH13001420</v>
      </c>
      <c r="AF4833" t="str">
        <f>"משלוחים ללקוח"</f>
        <v>משלוחים ללקוח</v>
      </c>
      <c r="AG4833" s="1">
        <v>41638</v>
      </c>
      <c r="AM4833" t="str">
        <f>"10"</f>
        <v>10</v>
      </c>
      <c r="AN4833" t="str">
        <f>"500000"</f>
        <v>500000</v>
      </c>
      <c r="AO4833" t="str">
        <f>"הכנסות  מלקוחות"</f>
        <v>הכנסות  מלקוחות</v>
      </c>
      <c r="AQ4833" t="str">
        <f>"007"</f>
        <v>007</v>
      </c>
      <c r="AR4833">
        <v>0</v>
      </c>
      <c r="AS4833">
        <v>0</v>
      </c>
      <c r="AT4833">
        <v>3.4710000000000001</v>
      </c>
      <c r="AX4833" t="str">
        <f>"E000093662"</f>
        <v>E000093662</v>
      </c>
      <c r="BD4833" t="str">
        <f>"רוני דידי"</f>
        <v>רוני דידי</v>
      </c>
    </row>
    <row r="4834" spans="1:56" x14ac:dyDescent="0.3">
      <c r="A4834" s="1">
        <v>41639</v>
      </c>
      <c r="B4834" t="str">
        <f>"SI130001222"</f>
        <v>SI130001222</v>
      </c>
      <c r="C4834" t="str">
        <f>"PR12000054"</f>
        <v>PR12000054</v>
      </c>
      <c r="E4834" t="str">
        <f>"Y"</f>
        <v>Y</v>
      </c>
      <c r="F4834" t="str">
        <f>"חשבוניות מרכזות"</f>
        <v>חשבוניות מרכזות</v>
      </c>
      <c r="G4834" t="str">
        <f>"700065"</f>
        <v>700065</v>
      </c>
      <c r="H4834" t="str">
        <f>"אלתא מערכות בע""מ"</f>
        <v>אלתא מערכות בע"מ</v>
      </c>
      <c r="I4834" t="str">
        <f>"10"</f>
        <v>10</v>
      </c>
      <c r="J4834" t="str">
        <f>"OP-AR09106"</f>
        <v>OP-AR09106</v>
      </c>
      <c r="K4834" t="str">
        <f>"לוח 1026L230-001 HIGH VOLTAG JUCTION BOX"</f>
        <v>לוח 1026L230-001 HIGH VOLTAG JUCTION BOX</v>
      </c>
      <c r="L4834">
        <v>1</v>
      </c>
      <c r="M4834" t="str">
        <f>"יח"</f>
        <v>יח</v>
      </c>
      <c r="N4834">
        <v>1</v>
      </c>
      <c r="O4834" t="str">
        <f>"יח"</f>
        <v>יח</v>
      </c>
      <c r="P4834" s="2">
        <v>9900</v>
      </c>
      <c r="Q4834" t="str">
        <f>"$"</f>
        <v>$</v>
      </c>
      <c r="R4834" t="str">
        <f>"תעודת משלוח"</f>
        <v>תעודת משלוח</v>
      </c>
      <c r="S4834">
        <v>0</v>
      </c>
      <c r="T4834" s="2">
        <v>9900</v>
      </c>
      <c r="U4834">
        <v>0</v>
      </c>
      <c r="V4834" s="2">
        <v>9900</v>
      </c>
      <c r="W4834" t="str">
        <f>"$"</f>
        <v>$</v>
      </c>
      <c r="X4834">
        <v>0</v>
      </c>
      <c r="Y4834">
        <v>0</v>
      </c>
      <c r="Z4834">
        <v>0</v>
      </c>
      <c r="AA4834" t="str">
        <f>"Y"</f>
        <v>Y</v>
      </c>
      <c r="AB4834" t="str">
        <f>"SO12T000001"</f>
        <v>SO12T000001</v>
      </c>
      <c r="AC4834">
        <v>53</v>
      </c>
      <c r="AD4834" s="1">
        <v>41256</v>
      </c>
      <c r="AE4834" t="str">
        <f>"SH13001420"</f>
        <v>SH13001420</v>
      </c>
      <c r="AF4834" t="str">
        <f>"משלוחים ללקוח"</f>
        <v>משלוחים ללקוח</v>
      </c>
      <c r="AG4834" s="1">
        <v>41638</v>
      </c>
      <c r="AM4834" t="str">
        <f>"10"</f>
        <v>10</v>
      </c>
      <c r="AN4834" t="str">
        <f>"500000"</f>
        <v>500000</v>
      </c>
      <c r="AO4834" t="str">
        <f>"הכנסות  מלקוחות"</f>
        <v>הכנסות  מלקוחות</v>
      </c>
      <c r="AQ4834" t="str">
        <f>"007"</f>
        <v>007</v>
      </c>
      <c r="AR4834">
        <v>0</v>
      </c>
      <c r="AS4834">
        <v>0</v>
      </c>
      <c r="AT4834">
        <v>3.4710000000000001</v>
      </c>
      <c r="AX4834" t="str">
        <f>"E000093662"</f>
        <v>E000093662</v>
      </c>
      <c r="BD4834" t="str">
        <f>"רוני דידי"</f>
        <v>רוני דידי</v>
      </c>
    </row>
    <row r="4835" spans="1:56" x14ac:dyDescent="0.3">
      <c r="A4835" s="1">
        <v>41631</v>
      </c>
      <c r="B4835" t="str">
        <f>"SI130001158"</f>
        <v>SI130001158</v>
      </c>
      <c r="C4835" t="str">
        <f>"PR13001062"</f>
        <v>PR13001062</v>
      </c>
      <c r="D4835" t="str">
        <f>"PR13001062"</f>
        <v>PR13001062</v>
      </c>
      <c r="E4835" t="str">
        <f>"Y"</f>
        <v>Y</v>
      </c>
      <c r="F4835" t="str">
        <f>"חשבוניות מרכזות"</f>
        <v>חשבוניות מרכזות</v>
      </c>
      <c r="G4835" t="str">
        <f>"700065"</f>
        <v>700065</v>
      </c>
      <c r="H4835" t="str">
        <f>"אלתא מערכות בע""מ"</f>
        <v>אלתא מערכות בע"מ</v>
      </c>
      <c r="I4835" t="str">
        <f>"10"</f>
        <v>10</v>
      </c>
      <c r="J4835" t="str">
        <f>"000"</f>
        <v>000</v>
      </c>
      <c r="K4835" t="str">
        <f>"תיקון מערכת לפי דוח בדיקה החלפת וריסטורים"</f>
        <v>תיקון מערכת לפי דוח בדיקה החלפת וריסטורים</v>
      </c>
      <c r="L4835">
        <v>1</v>
      </c>
      <c r="M4835" t="str">
        <f>"יח"</f>
        <v>יח</v>
      </c>
      <c r="N4835">
        <v>1</v>
      </c>
      <c r="O4835" t="str">
        <f>"יח"</f>
        <v>יח</v>
      </c>
      <c r="P4835" s="2">
        <v>2796</v>
      </c>
      <c r="Q4835" t="str">
        <f>"$"</f>
        <v>$</v>
      </c>
      <c r="R4835" t="str">
        <f>"תעודת משלוח"</f>
        <v>תעודת משלוח</v>
      </c>
      <c r="S4835">
        <v>0</v>
      </c>
      <c r="T4835" s="2">
        <v>2796</v>
      </c>
      <c r="U4835">
        <v>0</v>
      </c>
      <c r="V4835" s="2">
        <v>2796</v>
      </c>
      <c r="W4835" t="str">
        <f>"$"</f>
        <v>$</v>
      </c>
      <c r="X4835">
        <v>0</v>
      </c>
      <c r="Y4835">
        <v>0</v>
      </c>
      <c r="Z4835">
        <v>0</v>
      </c>
      <c r="AA4835" t="str">
        <f>"Y"</f>
        <v>Y</v>
      </c>
      <c r="AB4835" t="str">
        <f>"SO130001055"</f>
        <v>SO130001055</v>
      </c>
      <c r="AC4835">
        <v>1</v>
      </c>
      <c r="AD4835" s="1">
        <v>41588</v>
      </c>
      <c r="AE4835" t="str">
        <f>"SH13001352"</f>
        <v>SH13001352</v>
      </c>
      <c r="AF4835" t="str">
        <f>"משלוחים ללקוח"</f>
        <v>משלוחים ללקוח</v>
      </c>
      <c r="AG4835" s="1">
        <v>41627</v>
      </c>
      <c r="AM4835" t="str">
        <f>"10"</f>
        <v>10</v>
      </c>
      <c r="AN4835" t="str">
        <f>"500000"</f>
        <v>500000</v>
      </c>
      <c r="AO4835" t="str">
        <f>"הכנסות  מלקוחות"</f>
        <v>הכנסות  מלקוחות</v>
      </c>
      <c r="AQ4835" t="str">
        <f>"007"</f>
        <v>007</v>
      </c>
      <c r="AR4835">
        <v>0</v>
      </c>
      <c r="AS4835">
        <v>0</v>
      </c>
      <c r="AT4835">
        <v>3.5179999999999998</v>
      </c>
      <c r="AX4835" t="str">
        <f>"E000162135"</f>
        <v>E000162135</v>
      </c>
      <c r="BD4835" t="str">
        <f>"רוני דידי"</f>
        <v>רוני דידי</v>
      </c>
    </row>
    <row r="4836" spans="1:56" x14ac:dyDescent="0.3">
      <c r="A4836" s="1">
        <v>41613</v>
      </c>
      <c r="B4836" t="str">
        <f>"SI130001065"</f>
        <v>SI130001065</v>
      </c>
      <c r="E4836" t="str">
        <f>"Y"</f>
        <v>Y</v>
      </c>
      <c r="F4836" t="str">
        <f>"חשבוניות מרכזות"</f>
        <v>חשבוניות מרכזות</v>
      </c>
      <c r="G4836" t="str">
        <f>"700065"</f>
        <v>700065</v>
      </c>
      <c r="H4836" t="str">
        <f>"אלתא מערכות בע""מ"</f>
        <v>אלתא מערכות בע"מ</v>
      </c>
      <c r="I4836" t="str">
        <f>"10"</f>
        <v>10</v>
      </c>
      <c r="J4836" t="str">
        <f>"999"</f>
        <v>999</v>
      </c>
      <c r="K4836" t="str">
        <f>"מחליף חשבונית 33649 שזוכתה בגין הזמנה E000119136"</f>
        <v>מחליף חשבונית 33649 שזוכתה בגין הזמנה E000119136</v>
      </c>
      <c r="L4836">
        <v>0.33</v>
      </c>
      <c r="M4836" t="str">
        <f>"חל"</f>
        <v>חל</v>
      </c>
      <c r="N4836">
        <v>0.33</v>
      </c>
      <c r="O4836" t="str">
        <f>"חל"</f>
        <v>חל</v>
      </c>
      <c r="P4836" s="2">
        <v>20000</v>
      </c>
      <c r="Q4836" t="str">
        <f>"$"</f>
        <v>$</v>
      </c>
      <c r="R4836" t="str">
        <f>"ידני"</f>
        <v>ידני</v>
      </c>
      <c r="S4836">
        <v>0</v>
      </c>
      <c r="T4836" s="2">
        <v>6600</v>
      </c>
      <c r="U4836">
        <v>0</v>
      </c>
      <c r="V4836" s="2">
        <v>6600</v>
      </c>
      <c r="W4836" t="str">
        <f>"$"</f>
        <v>$</v>
      </c>
      <c r="X4836">
        <v>0</v>
      </c>
      <c r="Y4836">
        <v>0</v>
      </c>
      <c r="Z4836">
        <v>0</v>
      </c>
      <c r="AA4836" t="str">
        <f>"Y"</f>
        <v>Y</v>
      </c>
      <c r="AC4836">
        <v>0</v>
      </c>
      <c r="AM4836" t="str">
        <f>"10"</f>
        <v>10</v>
      </c>
      <c r="AN4836" t="str">
        <f>"500000"</f>
        <v>500000</v>
      </c>
      <c r="AO4836" t="str">
        <f>"הכנסות  מלקוחות"</f>
        <v>הכנסות  מלקוחות</v>
      </c>
      <c r="AQ4836" t="str">
        <f>"007"</f>
        <v>007</v>
      </c>
      <c r="AR4836">
        <v>0</v>
      </c>
      <c r="AS4836">
        <v>0</v>
      </c>
      <c r="AT4836">
        <v>3.5219999999999998</v>
      </c>
      <c r="BD4836" t="str">
        <f>"רוני דידי"</f>
        <v>רוני דידי</v>
      </c>
    </row>
    <row r="4837" spans="1:56" x14ac:dyDescent="0.3">
      <c r="A4837" s="1">
        <v>41613</v>
      </c>
      <c r="B4837" t="str">
        <f>"SI130001064"</f>
        <v>SI130001064</v>
      </c>
      <c r="E4837" t="str">
        <f>"Y"</f>
        <v>Y</v>
      </c>
      <c r="F4837" t="str">
        <f>"חשבוניות מרכזות"</f>
        <v>חשבוניות מרכזות</v>
      </c>
      <c r="G4837" t="str">
        <f>"700065"</f>
        <v>700065</v>
      </c>
      <c r="H4837" t="str">
        <f>"אלתא מערכות בע""מ"</f>
        <v>אלתא מערכות בע"מ</v>
      </c>
      <c r="I4837" t="str">
        <f>"10"</f>
        <v>10</v>
      </c>
      <c r="J4837" t="str">
        <f>"999"</f>
        <v>999</v>
      </c>
      <c r="K4837" t="str">
        <f>"מחליף חשבונית 33648 שזוכתה בגין הזמנה E000119608"</f>
        <v>מחליף חשבונית 33648 שזוכתה בגין הזמנה E000119608</v>
      </c>
      <c r="L4837">
        <v>0.33</v>
      </c>
      <c r="M4837" t="str">
        <f>"חל"</f>
        <v>חל</v>
      </c>
      <c r="N4837">
        <v>0.33</v>
      </c>
      <c r="O4837" t="str">
        <f>"חל"</f>
        <v>חל</v>
      </c>
      <c r="P4837" s="2">
        <v>24180</v>
      </c>
      <c r="Q4837" t="str">
        <f>"$"</f>
        <v>$</v>
      </c>
      <c r="R4837" t="str">
        <f>"ידני"</f>
        <v>ידני</v>
      </c>
      <c r="S4837">
        <v>0</v>
      </c>
      <c r="T4837" s="2">
        <v>7979.4</v>
      </c>
      <c r="U4837">
        <v>0</v>
      </c>
      <c r="V4837" s="2">
        <v>7979.4</v>
      </c>
      <c r="W4837" t="str">
        <f>"$"</f>
        <v>$</v>
      </c>
      <c r="X4837">
        <v>0</v>
      </c>
      <c r="Y4837">
        <v>0</v>
      </c>
      <c r="Z4837">
        <v>0</v>
      </c>
      <c r="AA4837" t="str">
        <f>"Y"</f>
        <v>Y</v>
      </c>
      <c r="AC4837">
        <v>0</v>
      </c>
      <c r="AM4837" t="str">
        <f>"10"</f>
        <v>10</v>
      </c>
      <c r="AN4837" t="str">
        <f>"500000"</f>
        <v>500000</v>
      </c>
      <c r="AO4837" t="str">
        <f>"הכנסות  מלקוחות"</f>
        <v>הכנסות  מלקוחות</v>
      </c>
      <c r="AQ4837" t="str">
        <f>"007"</f>
        <v>007</v>
      </c>
      <c r="AR4837">
        <v>0</v>
      </c>
      <c r="AS4837">
        <v>0</v>
      </c>
      <c r="AT4837">
        <v>3.5219999999999998</v>
      </c>
      <c r="BD4837" t="str">
        <f>"רוני דידי"</f>
        <v>רוני דידי</v>
      </c>
    </row>
    <row r="4838" spans="1:56" x14ac:dyDescent="0.3">
      <c r="A4838" s="1">
        <v>41613</v>
      </c>
      <c r="B4838" t="str">
        <f>"CR130000033"</f>
        <v>CR130000033</v>
      </c>
      <c r="E4838" t="str">
        <f>"Y"</f>
        <v>Y</v>
      </c>
      <c r="F4838" t="str">
        <f>"חשבוניות זיכוי"</f>
        <v>חשבוניות זיכוי</v>
      </c>
      <c r="G4838" t="str">
        <f>"700065"</f>
        <v>700065</v>
      </c>
      <c r="H4838" t="str">
        <f>"אלתא מערכות בע""מ"</f>
        <v>אלתא מערכות בע"מ</v>
      </c>
      <c r="I4838" t="str">
        <f>"10"</f>
        <v>10</v>
      </c>
      <c r="J4838" t="str">
        <f>"999"</f>
        <v>999</v>
      </c>
      <c r="K4838" t="str">
        <f>"ביטול חשבונית NRE  33649 עלויות פיתוח"</f>
        <v>ביטול חשבונית NRE  33649 עלויות פיתוח</v>
      </c>
      <c r="L4838">
        <v>0.33</v>
      </c>
      <c r="M4838" t="str">
        <f>"חל"</f>
        <v>חל</v>
      </c>
      <c r="N4838">
        <v>0.33</v>
      </c>
      <c r="O4838" t="str">
        <f>"חל"</f>
        <v>חל</v>
      </c>
      <c r="P4838" s="2">
        <v>21925.040000000001</v>
      </c>
      <c r="Q4838" t="str">
        <f>"$"</f>
        <v>$</v>
      </c>
      <c r="R4838" t="str">
        <f>"ידני"</f>
        <v>ידני</v>
      </c>
      <c r="S4838">
        <v>0</v>
      </c>
      <c r="T4838" s="2">
        <v>25482.6</v>
      </c>
      <c r="U4838">
        <v>0</v>
      </c>
      <c r="V4838" s="2">
        <v>25482.6</v>
      </c>
      <c r="W4838" t="str">
        <f>"ש""ח"</f>
        <v>ש"ח</v>
      </c>
      <c r="X4838">
        <v>0</v>
      </c>
      <c r="Y4838">
        <v>0</v>
      </c>
      <c r="Z4838">
        <v>0</v>
      </c>
      <c r="AA4838" t="str">
        <f>"Y"</f>
        <v>Y</v>
      </c>
      <c r="AC4838">
        <v>0</v>
      </c>
      <c r="AM4838" t="str">
        <f>"10"</f>
        <v>10</v>
      </c>
      <c r="AN4838" t="str">
        <f>"500000"</f>
        <v>500000</v>
      </c>
      <c r="AO4838" t="str">
        <f>"הכנסות  מלקוחות"</f>
        <v>הכנסות  מלקוחות</v>
      </c>
      <c r="AQ4838" t="str">
        <f>"007"</f>
        <v>007</v>
      </c>
      <c r="AR4838">
        <v>0</v>
      </c>
      <c r="AS4838">
        <v>0</v>
      </c>
      <c r="AT4838">
        <v>3.5219999999999998</v>
      </c>
      <c r="BD4838" t="str">
        <f>"רוני דידי"</f>
        <v>רוני דידי</v>
      </c>
    </row>
    <row r="4839" spans="1:56" x14ac:dyDescent="0.3">
      <c r="A4839" s="1">
        <v>41606</v>
      </c>
      <c r="B4839" t="str">
        <f>"SI130001049"</f>
        <v>SI130001049</v>
      </c>
      <c r="E4839" t="str">
        <f>"Y"</f>
        <v>Y</v>
      </c>
      <c r="F4839" t="str">
        <f>"חשבוניות מרכזות"</f>
        <v>חשבוניות מרכזות</v>
      </c>
      <c r="G4839" t="str">
        <f>"700065"</f>
        <v>700065</v>
      </c>
      <c r="H4839" t="str">
        <f>"אלתא מערכות בע""מ"</f>
        <v>אלתא מערכות בע"מ</v>
      </c>
      <c r="I4839" t="str">
        <f>"10"</f>
        <v>10</v>
      </c>
      <c r="J4839" t="str">
        <f>"000"</f>
        <v>000</v>
      </c>
      <c r="K4839" t="str">
        <f>"מחליף חשבונית 33648 שזוכתה בגין הזמנה E000119608"</f>
        <v>מחליף חשבונית 33648 שזוכתה בגין הזמנה E000119608</v>
      </c>
      <c r="L4839">
        <v>-1</v>
      </c>
      <c r="M4839" t="str">
        <f>"יח"</f>
        <v>יח</v>
      </c>
      <c r="N4839">
        <v>-1</v>
      </c>
      <c r="O4839" t="str">
        <f>"יח"</f>
        <v>יח</v>
      </c>
      <c r="P4839" s="2">
        <v>30808.46</v>
      </c>
      <c r="Q4839" t="str">
        <f>"$"</f>
        <v>$</v>
      </c>
      <c r="R4839" t="str">
        <f>"ידני"</f>
        <v>ידני</v>
      </c>
      <c r="S4839">
        <v>0</v>
      </c>
      <c r="T4839" s="2">
        <v>-30808.46</v>
      </c>
      <c r="U4839">
        <v>0</v>
      </c>
      <c r="V4839" s="2">
        <v>-30808.46</v>
      </c>
      <c r="W4839" t="str">
        <f>"$"</f>
        <v>$</v>
      </c>
      <c r="X4839">
        <v>0</v>
      </c>
      <c r="Y4839">
        <v>0</v>
      </c>
      <c r="Z4839">
        <v>0</v>
      </c>
      <c r="AA4839" t="str">
        <f>"Y"</f>
        <v>Y</v>
      </c>
      <c r="AC4839">
        <v>0</v>
      </c>
      <c r="AM4839" t="str">
        <f>"10"</f>
        <v>10</v>
      </c>
      <c r="AN4839" t="str">
        <f>"500000"</f>
        <v>500000</v>
      </c>
      <c r="AO4839" t="str">
        <f>"הכנסות  מלקוחות"</f>
        <v>הכנסות  מלקוחות</v>
      </c>
      <c r="AQ4839" t="str">
        <f>"007"</f>
        <v>007</v>
      </c>
      <c r="AR4839">
        <v>0</v>
      </c>
      <c r="AS4839">
        <v>0</v>
      </c>
      <c r="AT4839">
        <v>3.5409999999999999</v>
      </c>
      <c r="BB4839" t="str">
        <f>"Y"</f>
        <v>Y</v>
      </c>
      <c r="BD4839" t="str">
        <f>"רוני דידי"</f>
        <v>רוני דידי</v>
      </c>
    </row>
    <row r="4840" spans="1:56" x14ac:dyDescent="0.3">
      <c r="A4840" s="1">
        <v>41606</v>
      </c>
      <c r="B4840" t="str">
        <f>"SI130001048"</f>
        <v>SI130001048</v>
      </c>
      <c r="E4840" t="str">
        <f>"Y"</f>
        <v>Y</v>
      </c>
      <c r="F4840" t="str">
        <f>"חשבוניות מרכזות"</f>
        <v>חשבוניות מרכזות</v>
      </c>
      <c r="G4840" t="str">
        <f>"700065"</f>
        <v>700065</v>
      </c>
      <c r="H4840" t="str">
        <f>"אלתא מערכות בע""מ"</f>
        <v>אלתא מערכות בע"מ</v>
      </c>
      <c r="I4840" t="str">
        <f>"10"</f>
        <v>10</v>
      </c>
      <c r="J4840" t="str">
        <f>"000"</f>
        <v>000</v>
      </c>
      <c r="K4840" t="str">
        <f>"מחליף חשבונית 33649 שזוכתה בגין הזמנה E000119136"</f>
        <v>מחליף חשבונית 33649 שזוכתה בגין הזמנה E000119136</v>
      </c>
      <c r="L4840">
        <v>1</v>
      </c>
      <c r="M4840" t="str">
        <f>"יח"</f>
        <v>יח</v>
      </c>
      <c r="N4840">
        <v>1</v>
      </c>
      <c r="O4840" t="str">
        <f>"יח"</f>
        <v>יח</v>
      </c>
      <c r="P4840" s="2">
        <v>25482.6</v>
      </c>
      <c r="Q4840" t="str">
        <f>"$"</f>
        <v>$</v>
      </c>
      <c r="R4840" t="str">
        <f>"ידני"</f>
        <v>ידני</v>
      </c>
      <c r="S4840">
        <v>0</v>
      </c>
      <c r="T4840" s="2">
        <v>25482.6</v>
      </c>
      <c r="U4840">
        <v>0</v>
      </c>
      <c r="V4840" s="2">
        <v>25482.6</v>
      </c>
      <c r="W4840" t="str">
        <f>"$"</f>
        <v>$</v>
      </c>
      <c r="X4840">
        <v>0</v>
      </c>
      <c r="Y4840">
        <v>0</v>
      </c>
      <c r="Z4840">
        <v>0</v>
      </c>
      <c r="AA4840" t="str">
        <f>"Y"</f>
        <v>Y</v>
      </c>
      <c r="AC4840">
        <v>0</v>
      </c>
      <c r="AM4840" t="str">
        <f>"10"</f>
        <v>10</v>
      </c>
      <c r="AN4840" t="str">
        <f>"500000"</f>
        <v>500000</v>
      </c>
      <c r="AO4840" t="str">
        <f>"הכנסות  מלקוחות"</f>
        <v>הכנסות  מלקוחות</v>
      </c>
      <c r="AQ4840" t="str">
        <f>"007"</f>
        <v>007</v>
      </c>
      <c r="AR4840">
        <v>0</v>
      </c>
      <c r="AS4840">
        <v>0</v>
      </c>
      <c r="AT4840">
        <v>3.5409999999999999</v>
      </c>
      <c r="BD4840" t="str">
        <f>"רוני דידי"</f>
        <v>רוני דידי</v>
      </c>
    </row>
    <row r="4841" spans="1:56" x14ac:dyDescent="0.3">
      <c r="A4841" s="1">
        <v>41606</v>
      </c>
      <c r="B4841" t="str">
        <f>"SI130001047"</f>
        <v>SI130001047</v>
      </c>
      <c r="E4841" t="str">
        <f>"Y"</f>
        <v>Y</v>
      </c>
      <c r="F4841" t="str">
        <f>"חשבוניות מרכזות"</f>
        <v>חשבוניות מרכזות</v>
      </c>
      <c r="G4841" t="str">
        <f>"700065"</f>
        <v>700065</v>
      </c>
      <c r="H4841" t="str">
        <f>"אלתא מערכות בע""מ"</f>
        <v>אלתא מערכות בע"מ</v>
      </c>
      <c r="I4841" t="str">
        <f>"10"</f>
        <v>10</v>
      </c>
      <c r="J4841" t="str">
        <f>"000"</f>
        <v>000</v>
      </c>
      <c r="K4841" t="str">
        <f>"מחליף חשבונית 33648 שזוכתה בגין הזמנה E000119608"</f>
        <v>מחליף חשבונית 33648 שזוכתה בגין הזמנה E000119608</v>
      </c>
      <c r="L4841">
        <v>1</v>
      </c>
      <c r="M4841" t="str">
        <f>"יח"</f>
        <v>יח</v>
      </c>
      <c r="N4841">
        <v>1</v>
      </c>
      <c r="O4841" t="str">
        <f>"יח"</f>
        <v>יח</v>
      </c>
      <c r="P4841" s="2">
        <v>30808.46</v>
      </c>
      <c r="Q4841" t="str">
        <f>"$"</f>
        <v>$</v>
      </c>
      <c r="R4841" t="str">
        <f>"ידני"</f>
        <v>ידני</v>
      </c>
      <c r="S4841">
        <v>0</v>
      </c>
      <c r="T4841" s="2">
        <v>30808.46</v>
      </c>
      <c r="U4841">
        <v>0</v>
      </c>
      <c r="V4841" s="2">
        <v>30808.46</v>
      </c>
      <c r="W4841" t="str">
        <f>"$"</f>
        <v>$</v>
      </c>
      <c r="X4841">
        <v>0</v>
      </c>
      <c r="Y4841">
        <v>0</v>
      </c>
      <c r="Z4841">
        <v>0</v>
      </c>
      <c r="AA4841" t="str">
        <f>"Y"</f>
        <v>Y</v>
      </c>
      <c r="AC4841">
        <v>0</v>
      </c>
      <c r="AM4841" t="str">
        <f>"10"</f>
        <v>10</v>
      </c>
      <c r="AN4841" t="str">
        <f>"500000"</f>
        <v>500000</v>
      </c>
      <c r="AO4841" t="str">
        <f>"הכנסות  מלקוחות"</f>
        <v>הכנסות  מלקוחות</v>
      </c>
      <c r="AQ4841" t="str">
        <f>"007"</f>
        <v>007</v>
      </c>
      <c r="AR4841">
        <v>0</v>
      </c>
      <c r="AS4841">
        <v>0</v>
      </c>
      <c r="AT4841">
        <v>3.5409999999999999</v>
      </c>
      <c r="BB4841" t="str">
        <f>"Y"</f>
        <v>Y</v>
      </c>
      <c r="BD4841" t="str">
        <f>"רוני דידי"</f>
        <v>רוני דידי</v>
      </c>
    </row>
    <row r="4842" spans="1:56" x14ac:dyDescent="0.3">
      <c r="A4842" s="1">
        <v>41606</v>
      </c>
      <c r="B4842" t="str">
        <f>"CR130000034"</f>
        <v>CR130000034</v>
      </c>
      <c r="E4842" t="str">
        <f>"Y"</f>
        <v>Y</v>
      </c>
      <c r="F4842" t="str">
        <f>"חשבוניות זיכוי"</f>
        <v>חשבוניות זיכוי</v>
      </c>
      <c r="G4842" t="str">
        <f>"700065"</f>
        <v>700065</v>
      </c>
      <c r="H4842" t="str">
        <f>"אלתא מערכות בע""מ"</f>
        <v>אלתא מערכות בע"מ</v>
      </c>
      <c r="I4842" t="str">
        <f>"10"</f>
        <v>10</v>
      </c>
      <c r="J4842" t="str">
        <f>"999"</f>
        <v>999</v>
      </c>
      <c r="K4842" t="str">
        <f>"ביטול חשבונית ERN 33648 - עלויות פיתוח"</f>
        <v>ביטול חשבונית ERN 33648 - עלויות פיתוח</v>
      </c>
      <c r="L4842">
        <v>0.33</v>
      </c>
      <c r="M4842" t="str">
        <f>"חל"</f>
        <v>חל</v>
      </c>
      <c r="N4842">
        <v>0.33</v>
      </c>
      <c r="O4842" t="str">
        <f>"חל"</f>
        <v>חל</v>
      </c>
      <c r="P4842" s="2">
        <v>26365.14</v>
      </c>
      <c r="Q4842" t="str">
        <f>"$"</f>
        <v>$</v>
      </c>
      <c r="R4842" t="str">
        <f>"ידני"</f>
        <v>ידני</v>
      </c>
      <c r="S4842">
        <v>0</v>
      </c>
      <c r="T4842" s="2">
        <v>30808.46</v>
      </c>
      <c r="U4842">
        <v>0</v>
      </c>
      <c r="V4842" s="2">
        <v>30808.46</v>
      </c>
      <c r="W4842" t="str">
        <f>"ש""ח"</f>
        <v>ש"ח</v>
      </c>
      <c r="X4842">
        <v>0</v>
      </c>
      <c r="Y4842">
        <v>0</v>
      </c>
      <c r="Z4842">
        <v>0</v>
      </c>
      <c r="AA4842" t="str">
        <f>"Y"</f>
        <v>Y</v>
      </c>
      <c r="AC4842">
        <v>0</v>
      </c>
      <c r="AM4842" t="str">
        <f>"10"</f>
        <v>10</v>
      </c>
      <c r="AN4842" t="str">
        <f>"500000"</f>
        <v>500000</v>
      </c>
      <c r="AO4842" t="str">
        <f>"הכנסות  מלקוחות"</f>
        <v>הכנסות  מלקוחות</v>
      </c>
      <c r="AQ4842" t="str">
        <f>"007"</f>
        <v>007</v>
      </c>
      <c r="AR4842">
        <v>0</v>
      </c>
      <c r="AS4842">
        <v>0</v>
      </c>
      <c r="AT4842">
        <v>3.5409999999999999</v>
      </c>
      <c r="BD4842" t="str">
        <f>"רוני דידי"</f>
        <v>רוני דידי</v>
      </c>
    </row>
    <row r="4843" spans="1:56" x14ac:dyDescent="0.3">
      <c r="A4843" s="1">
        <v>41606</v>
      </c>
      <c r="B4843" t="str">
        <f>"CR130000032"</f>
        <v>CR130000032</v>
      </c>
      <c r="E4843" t="str">
        <f>"Y"</f>
        <v>Y</v>
      </c>
      <c r="F4843" t="str">
        <f>"חשבוניות זיכוי"</f>
        <v>חשבוניות זיכוי</v>
      </c>
      <c r="G4843" t="str">
        <f>"700065"</f>
        <v>700065</v>
      </c>
      <c r="H4843" t="str">
        <f>"אלתא מערכות בע""מ"</f>
        <v>אלתא מערכות בע"מ</v>
      </c>
      <c r="I4843" t="str">
        <f>"10"</f>
        <v>10</v>
      </c>
      <c r="J4843" t="str">
        <f>"000"</f>
        <v>000</v>
      </c>
      <c r="K4843" t="str">
        <f>"ביטול חשבונית NRE 33648-עלויות פיתוח"</f>
        <v>ביטול חשבונית NRE 33648-עלויות פיתוח</v>
      </c>
      <c r="L4843">
        <v>-1</v>
      </c>
      <c r="M4843" t="str">
        <f>"יח"</f>
        <v>יח</v>
      </c>
      <c r="N4843">
        <v>-1</v>
      </c>
      <c r="O4843" t="str">
        <f>"יח"</f>
        <v>יח</v>
      </c>
      <c r="P4843" s="2">
        <v>30808.456999999999</v>
      </c>
      <c r="Q4843" t="str">
        <f>"$"</f>
        <v>$</v>
      </c>
      <c r="R4843" t="str">
        <f>"ידני"</f>
        <v>ידני</v>
      </c>
      <c r="S4843">
        <v>0</v>
      </c>
      <c r="T4843" s="2">
        <v>-30808.46</v>
      </c>
      <c r="U4843">
        <v>0</v>
      </c>
      <c r="V4843" s="2">
        <v>-30808.46</v>
      </c>
      <c r="W4843" t="str">
        <f>"$"</f>
        <v>$</v>
      </c>
      <c r="X4843">
        <v>0</v>
      </c>
      <c r="Y4843">
        <v>0</v>
      </c>
      <c r="Z4843">
        <v>0</v>
      </c>
      <c r="AA4843" t="str">
        <f>"Y"</f>
        <v>Y</v>
      </c>
      <c r="AC4843">
        <v>0</v>
      </c>
      <c r="AM4843" t="str">
        <f>"10"</f>
        <v>10</v>
      </c>
      <c r="AN4843" t="str">
        <f>"500000"</f>
        <v>500000</v>
      </c>
      <c r="AO4843" t="str">
        <f>"הכנסות  מלקוחות"</f>
        <v>הכנסות  מלקוחות</v>
      </c>
      <c r="AQ4843" t="str">
        <f>"007"</f>
        <v>007</v>
      </c>
      <c r="AR4843">
        <v>0</v>
      </c>
      <c r="AS4843">
        <v>0</v>
      </c>
      <c r="AT4843">
        <v>3.5409999999999999</v>
      </c>
      <c r="BB4843" t="str">
        <f>"Y"</f>
        <v>Y</v>
      </c>
      <c r="BD4843" t="str">
        <f>"רוני דידי"</f>
        <v>רוני דידי</v>
      </c>
    </row>
    <row r="4844" spans="1:56" x14ac:dyDescent="0.3">
      <c r="A4844" s="1">
        <v>41606</v>
      </c>
      <c r="B4844" t="str">
        <f>"CR130000031"</f>
        <v>CR130000031</v>
      </c>
      <c r="E4844" t="str">
        <f>"Y"</f>
        <v>Y</v>
      </c>
      <c r="F4844" t="str">
        <f>"חשבוניות זיכוי"</f>
        <v>חשבוניות זיכוי</v>
      </c>
      <c r="G4844" t="str">
        <f>"700065"</f>
        <v>700065</v>
      </c>
      <c r="H4844" t="str">
        <f>"אלתא מערכות בע""מ"</f>
        <v>אלתא מערכות בע"מ</v>
      </c>
      <c r="I4844" t="str">
        <f>"10"</f>
        <v>10</v>
      </c>
      <c r="J4844" t="str">
        <f>"000"</f>
        <v>000</v>
      </c>
      <c r="K4844" t="str">
        <f>"ביטול חשבונית  NRE 33649 - עלויות פיתוח"</f>
        <v>ביטול חשבונית  NRE 33649 - עלויות פיתוח</v>
      </c>
      <c r="L4844">
        <v>1</v>
      </c>
      <c r="M4844" t="str">
        <f>"יח"</f>
        <v>יח</v>
      </c>
      <c r="N4844">
        <v>1</v>
      </c>
      <c r="O4844" t="str">
        <f>"יח"</f>
        <v>יח</v>
      </c>
      <c r="P4844" s="2">
        <v>25482.600999999999</v>
      </c>
      <c r="Q4844" t="str">
        <f>"$"</f>
        <v>$</v>
      </c>
      <c r="R4844" t="str">
        <f>"ידני"</f>
        <v>ידני</v>
      </c>
      <c r="S4844">
        <v>0</v>
      </c>
      <c r="T4844" s="2">
        <v>25482.6</v>
      </c>
      <c r="U4844">
        <v>0</v>
      </c>
      <c r="V4844" s="2">
        <v>25482.6</v>
      </c>
      <c r="W4844" t="str">
        <f>"$"</f>
        <v>$</v>
      </c>
      <c r="X4844">
        <v>0</v>
      </c>
      <c r="Y4844">
        <v>0</v>
      </c>
      <c r="Z4844">
        <v>0</v>
      </c>
      <c r="AA4844" t="str">
        <f>"Y"</f>
        <v>Y</v>
      </c>
      <c r="AC4844">
        <v>0</v>
      </c>
      <c r="AM4844" t="str">
        <f>"10"</f>
        <v>10</v>
      </c>
      <c r="AN4844" t="str">
        <f>"500000"</f>
        <v>500000</v>
      </c>
      <c r="AO4844" t="str">
        <f>"הכנסות  מלקוחות"</f>
        <v>הכנסות  מלקוחות</v>
      </c>
      <c r="AQ4844" t="str">
        <f>"007"</f>
        <v>007</v>
      </c>
      <c r="AR4844">
        <v>0</v>
      </c>
      <c r="AS4844">
        <v>0</v>
      </c>
      <c r="AT4844">
        <v>3.5409999999999999</v>
      </c>
      <c r="BD4844" t="str">
        <f>"רוני דידי"</f>
        <v>רוני דידי</v>
      </c>
    </row>
    <row r="4845" spans="1:56" x14ac:dyDescent="0.3">
      <c r="A4845" s="1">
        <v>41606</v>
      </c>
      <c r="B4845" t="str">
        <f>"CR130000030"</f>
        <v>CR130000030</v>
      </c>
      <c r="E4845" t="str">
        <f>"Y"</f>
        <v>Y</v>
      </c>
      <c r="F4845" t="str">
        <f>"חשבוניות זיכוי"</f>
        <v>חשבוניות זיכוי</v>
      </c>
      <c r="G4845" t="str">
        <f>"700065"</f>
        <v>700065</v>
      </c>
      <c r="H4845" t="str">
        <f>"אלתא מערכות בע""מ"</f>
        <v>אלתא מערכות בע"מ</v>
      </c>
      <c r="I4845" t="str">
        <f>"10"</f>
        <v>10</v>
      </c>
      <c r="J4845" t="str">
        <f>"000"</f>
        <v>000</v>
      </c>
      <c r="K4845" t="str">
        <f>"ביטול חשבונית NRE 33648-עלויות פיתוח"</f>
        <v>ביטול חשבונית NRE 33648-עלויות פיתוח</v>
      </c>
      <c r="L4845">
        <v>1</v>
      </c>
      <c r="M4845" t="str">
        <f>"יח"</f>
        <v>יח</v>
      </c>
      <c r="N4845">
        <v>1</v>
      </c>
      <c r="O4845" t="str">
        <f>"יח"</f>
        <v>יח</v>
      </c>
      <c r="P4845" s="2">
        <v>30808.456999999999</v>
      </c>
      <c r="Q4845" t="str">
        <f>"$"</f>
        <v>$</v>
      </c>
      <c r="R4845" t="str">
        <f>"ידני"</f>
        <v>ידני</v>
      </c>
      <c r="S4845">
        <v>0</v>
      </c>
      <c r="T4845" s="2">
        <v>30808.46</v>
      </c>
      <c r="U4845">
        <v>0</v>
      </c>
      <c r="V4845" s="2">
        <v>30808.46</v>
      </c>
      <c r="W4845" t="str">
        <f>"$"</f>
        <v>$</v>
      </c>
      <c r="X4845">
        <v>0</v>
      </c>
      <c r="Y4845">
        <v>0</v>
      </c>
      <c r="Z4845">
        <v>0</v>
      </c>
      <c r="AA4845" t="str">
        <f>"Y"</f>
        <v>Y</v>
      </c>
      <c r="AC4845">
        <v>0</v>
      </c>
      <c r="AM4845" t="str">
        <f>"10"</f>
        <v>10</v>
      </c>
      <c r="AN4845" t="str">
        <f>"500000"</f>
        <v>500000</v>
      </c>
      <c r="AO4845" t="str">
        <f>"הכנסות  מלקוחות"</f>
        <v>הכנסות  מלקוחות</v>
      </c>
      <c r="AQ4845" t="str">
        <f>"007"</f>
        <v>007</v>
      </c>
      <c r="AR4845">
        <v>0</v>
      </c>
      <c r="AS4845">
        <v>0</v>
      </c>
      <c r="AT4845">
        <v>3.5409999999999999</v>
      </c>
      <c r="BB4845" t="str">
        <f>"Y"</f>
        <v>Y</v>
      </c>
      <c r="BD4845" t="str">
        <f>"רוני דידי"</f>
        <v>רוני דידי</v>
      </c>
    </row>
    <row r="4846" spans="1:56" x14ac:dyDescent="0.3">
      <c r="A4846" s="1">
        <v>41578</v>
      </c>
      <c r="B4846" t="str">
        <f>"SI130000919"</f>
        <v>SI130000919</v>
      </c>
      <c r="C4846" t="str">
        <f>"PR13000085"</f>
        <v>PR13000085</v>
      </c>
      <c r="E4846" t="str">
        <f>"Y"</f>
        <v>Y</v>
      </c>
      <c r="F4846" t="str">
        <f>"חשבוניות מרכזות"</f>
        <v>חשבוניות מרכזות</v>
      </c>
      <c r="G4846" t="str">
        <f>"700065"</f>
        <v>700065</v>
      </c>
      <c r="H4846" t="str">
        <f>"אלתא מערכות בע""מ"</f>
        <v>אלתא מערכות בע"מ</v>
      </c>
      <c r="I4846" t="str">
        <f>"10"</f>
        <v>10</v>
      </c>
      <c r="J4846" t="str">
        <f>"OP-AR09106"</f>
        <v>OP-AR09106</v>
      </c>
      <c r="K4846" t="str">
        <f>"לוח 1026L230-001 HIGH VOLTAG JUCTION BOX"</f>
        <v>לוח 1026L230-001 HIGH VOLTAG JUCTION BOX</v>
      </c>
      <c r="L4846">
        <v>1</v>
      </c>
      <c r="M4846" t="str">
        <f>"יח"</f>
        <v>יח</v>
      </c>
      <c r="N4846">
        <v>1</v>
      </c>
      <c r="O4846" t="str">
        <f>"יח"</f>
        <v>יח</v>
      </c>
      <c r="P4846" s="2">
        <v>9900</v>
      </c>
      <c r="Q4846" t="str">
        <f>"$"</f>
        <v>$</v>
      </c>
      <c r="R4846" t="str">
        <f>"תעודת משלוח"</f>
        <v>תעודת משלוח</v>
      </c>
      <c r="S4846">
        <v>0</v>
      </c>
      <c r="T4846" s="2">
        <v>9900</v>
      </c>
      <c r="U4846">
        <v>0</v>
      </c>
      <c r="V4846" s="2">
        <v>9900</v>
      </c>
      <c r="W4846" t="str">
        <f>"$"</f>
        <v>$</v>
      </c>
      <c r="X4846">
        <v>0</v>
      </c>
      <c r="Y4846">
        <v>0</v>
      </c>
      <c r="Z4846">
        <v>0</v>
      </c>
      <c r="AA4846" t="str">
        <f>"Y"</f>
        <v>Y</v>
      </c>
      <c r="AB4846" t="str">
        <f>"SO12T000001"</f>
        <v>SO12T000001</v>
      </c>
      <c r="AC4846">
        <v>19</v>
      </c>
      <c r="AD4846" s="1">
        <v>41256</v>
      </c>
      <c r="AE4846" t="str">
        <f>"SH13001019"</f>
        <v>SH13001019</v>
      </c>
      <c r="AF4846" t="str">
        <f>"משלוחים ללקוח"</f>
        <v>משלוחים ללקוח</v>
      </c>
      <c r="AG4846" s="1">
        <v>41578</v>
      </c>
      <c r="AM4846" t="str">
        <f>"10"</f>
        <v>10</v>
      </c>
      <c r="AN4846" t="str">
        <f>"500000"</f>
        <v>500000</v>
      </c>
      <c r="AO4846" t="str">
        <f>"הכנסות  מלקוחות"</f>
        <v>הכנסות  מלקוחות</v>
      </c>
      <c r="AQ4846" t="str">
        <f>"007"</f>
        <v>007</v>
      </c>
      <c r="AR4846">
        <v>0</v>
      </c>
      <c r="AS4846">
        <v>0</v>
      </c>
      <c r="AT4846">
        <v>3.5179999999999998</v>
      </c>
      <c r="AX4846" t="str">
        <f>"E000093662"</f>
        <v>E000093662</v>
      </c>
      <c r="BD4846" t="str">
        <f>"רוני דידי"</f>
        <v>רוני דידי</v>
      </c>
    </row>
    <row r="4847" spans="1:56" x14ac:dyDescent="0.3">
      <c r="A4847" s="1">
        <v>41578</v>
      </c>
      <c r="B4847" t="str">
        <f>"SI130000919"</f>
        <v>SI130000919</v>
      </c>
      <c r="C4847" t="str">
        <f>"PR13000085"</f>
        <v>PR13000085</v>
      </c>
      <c r="E4847" t="str">
        <f>"Y"</f>
        <v>Y</v>
      </c>
      <c r="F4847" t="str">
        <f>"חשבוניות מרכזות"</f>
        <v>חשבוניות מרכזות</v>
      </c>
      <c r="G4847" t="str">
        <f>"700065"</f>
        <v>700065</v>
      </c>
      <c r="H4847" t="str">
        <f>"אלתא מערכות בע""מ"</f>
        <v>אלתא מערכות בע"מ</v>
      </c>
      <c r="I4847" t="str">
        <f>"10"</f>
        <v>10</v>
      </c>
      <c r="J4847" t="str">
        <f>"OP-AR09106"</f>
        <v>OP-AR09106</v>
      </c>
      <c r="K4847" t="str">
        <f>"לוח 1026L230-001 HIGH VOLTAG JUCTION BOX"</f>
        <v>לוח 1026L230-001 HIGH VOLTAG JUCTION BOX</v>
      </c>
      <c r="L4847">
        <v>2</v>
      </c>
      <c r="M4847" t="str">
        <f>"יח"</f>
        <v>יח</v>
      </c>
      <c r="N4847">
        <v>2</v>
      </c>
      <c r="O4847" t="str">
        <f>"יח"</f>
        <v>יח</v>
      </c>
      <c r="P4847" s="2">
        <v>9900</v>
      </c>
      <c r="Q4847" t="str">
        <f>"$"</f>
        <v>$</v>
      </c>
      <c r="R4847" t="str">
        <f>"תעודת משלוח"</f>
        <v>תעודת משלוח</v>
      </c>
      <c r="S4847">
        <v>0</v>
      </c>
      <c r="T4847" s="2">
        <v>19800</v>
      </c>
      <c r="U4847">
        <v>0</v>
      </c>
      <c r="V4847" s="2">
        <v>19800</v>
      </c>
      <c r="W4847" t="str">
        <f>"$"</f>
        <v>$</v>
      </c>
      <c r="X4847">
        <v>0</v>
      </c>
      <c r="Y4847">
        <v>0</v>
      </c>
      <c r="Z4847">
        <v>0</v>
      </c>
      <c r="AA4847" t="str">
        <f>"Y"</f>
        <v>Y</v>
      </c>
      <c r="AB4847" t="str">
        <f>"SO12T000001"</f>
        <v>SO12T000001</v>
      </c>
      <c r="AC4847">
        <v>21</v>
      </c>
      <c r="AD4847" s="1">
        <v>41256</v>
      </c>
      <c r="AE4847" t="str">
        <f>"SH13001019"</f>
        <v>SH13001019</v>
      </c>
      <c r="AF4847" t="str">
        <f>"משלוחים ללקוח"</f>
        <v>משלוחים ללקוח</v>
      </c>
      <c r="AG4847" s="1">
        <v>41578</v>
      </c>
      <c r="AM4847" t="str">
        <f>"10"</f>
        <v>10</v>
      </c>
      <c r="AN4847" t="str">
        <f>"500000"</f>
        <v>500000</v>
      </c>
      <c r="AO4847" t="str">
        <f>"הכנסות  מלקוחות"</f>
        <v>הכנסות  מלקוחות</v>
      </c>
      <c r="AQ4847" t="str">
        <f>"007"</f>
        <v>007</v>
      </c>
      <c r="AR4847">
        <v>0</v>
      </c>
      <c r="AS4847">
        <v>0</v>
      </c>
      <c r="AT4847">
        <v>3.5179999999999998</v>
      </c>
      <c r="AX4847" t="str">
        <f>"E000093662"</f>
        <v>E000093662</v>
      </c>
      <c r="BD4847" t="str">
        <f>"רוני דידי"</f>
        <v>רוני דידי</v>
      </c>
    </row>
    <row r="4848" spans="1:56" x14ac:dyDescent="0.3">
      <c r="A4848" s="1">
        <v>41578</v>
      </c>
      <c r="B4848" t="str">
        <f>"SI130000919"</f>
        <v>SI130000919</v>
      </c>
      <c r="C4848" t="str">
        <f>"PR13000085"</f>
        <v>PR13000085</v>
      </c>
      <c r="E4848" t="str">
        <f>"Y"</f>
        <v>Y</v>
      </c>
      <c r="F4848" t="str">
        <f>"חשבוניות מרכזות"</f>
        <v>חשבוניות מרכזות</v>
      </c>
      <c r="G4848" t="str">
        <f>"700065"</f>
        <v>700065</v>
      </c>
      <c r="H4848" t="str">
        <f>"אלתא מערכות בע""מ"</f>
        <v>אלתא מערכות בע"מ</v>
      </c>
      <c r="I4848" t="str">
        <f>"10"</f>
        <v>10</v>
      </c>
      <c r="J4848" t="str">
        <f>"OP-AR09106"</f>
        <v>OP-AR09106</v>
      </c>
      <c r="K4848" t="str">
        <f>"לוח 1026L230-001 HIGH VOLTAG JUCTION BOX"</f>
        <v>לוח 1026L230-001 HIGH VOLTAG JUCTION BOX</v>
      </c>
      <c r="L4848">
        <v>2</v>
      </c>
      <c r="M4848" t="str">
        <f>"יח"</f>
        <v>יח</v>
      </c>
      <c r="N4848">
        <v>2</v>
      </c>
      <c r="O4848" t="str">
        <f>"יח"</f>
        <v>יח</v>
      </c>
      <c r="P4848" s="2">
        <v>9900</v>
      </c>
      <c r="Q4848" t="str">
        <f>"$"</f>
        <v>$</v>
      </c>
      <c r="R4848" t="str">
        <f>"תעודת משלוח"</f>
        <v>תעודת משלוח</v>
      </c>
      <c r="S4848">
        <v>0</v>
      </c>
      <c r="T4848" s="2">
        <v>19800</v>
      </c>
      <c r="U4848">
        <v>0</v>
      </c>
      <c r="V4848" s="2">
        <v>19800</v>
      </c>
      <c r="W4848" t="str">
        <f>"$"</f>
        <v>$</v>
      </c>
      <c r="X4848">
        <v>0</v>
      </c>
      <c r="Y4848">
        <v>0</v>
      </c>
      <c r="Z4848">
        <v>0</v>
      </c>
      <c r="AA4848" t="str">
        <f>"Y"</f>
        <v>Y</v>
      </c>
      <c r="AB4848" t="str">
        <f>"SO12T000001"</f>
        <v>SO12T000001</v>
      </c>
      <c r="AC4848">
        <v>24</v>
      </c>
      <c r="AD4848" s="1">
        <v>41256</v>
      </c>
      <c r="AE4848" t="str">
        <f>"SH13001019"</f>
        <v>SH13001019</v>
      </c>
      <c r="AF4848" t="str">
        <f>"משלוחים ללקוח"</f>
        <v>משלוחים ללקוח</v>
      </c>
      <c r="AG4848" s="1">
        <v>41578</v>
      </c>
      <c r="AM4848" t="str">
        <f>"10"</f>
        <v>10</v>
      </c>
      <c r="AN4848" t="str">
        <f>"500000"</f>
        <v>500000</v>
      </c>
      <c r="AO4848" t="str">
        <f>"הכנסות  מלקוחות"</f>
        <v>הכנסות  מלקוחות</v>
      </c>
      <c r="AQ4848" t="str">
        <f>"007"</f>
        <v>007</v>
      </c>
      <c r="AR4848">
        <v>0</v>
      </c>
      <c r="AS4848">
        <v>0</v>
      </c>
      <c r="AT4848">
        <v>3.5179999999999998</v>
      </c>
      <c r="AX4848" t="str">
        <f>"E000093662"</f>
        <v>E000093662</v>
      </c>
      <c r="BD4848" t="str">
        <f>"רוני דידי"</f>
        <v>רוני דידי</v>
      </c>
    </row>
    <row r="4849" spans="1:56" x14ac:dyDescent="0.3">
      <c r="A4849" s="1">
        <v>41578</v>
      </c>
      <c r="B4849" t="str">
        <f>"SI130000919"</f>
        <v>SI130000919</v>
      </c>
      <c r="C4849" t="str">
        <f>"PR13000085"</f>
        <v>PR13000085</v>
      </c>
      <c r="E4849" t="str">
        <f>"Y"</f>
        <v>Y</v>
      </c>
      <c r="F4849" t="str">
        <f>"חשבוניות מרכזות"</f>
        <v>חשבוניות מרכזות</v>
      </c>
      <c r="G4849" t="str">
        <f>"700065"</f>
        <v>700065</v>
      </c>
      <c r="H4849" t="str">
        <f>"אלתא מערכות בע""מ"</f>
        <v>אלתא מערכות בע"מ</v>
      </c>
      <c r="I4849" t="str">
        <f>"10"</f>
        <v>10</v>
      </c>
      <c r="J4849" t="str">
        <f>"OP-AR09106"</f>
        <v>OP-AR09106</v>
      </c>
      <c r="K4849" t="str">
        <f>"לוח 1026L230-001 HIGH VOLTAG JUCTION BOX"</f>
        <v>לוח 1026L230-001 HIGH VOLTAG JUCTION BOX</v>
      </c>
      <c r="L4849">
        <v>2</v>
      </c>
      <c r="M4849" t="str">
        <f>"יח"</f>
        <v>יח</v>
      </c>
      <c r="N4849">
        <v>2</v>
      </c>
      <c r="O4849" t="str">
        <f>"יח"</f>
        <v>יח</v>
      </c>
      <c r="P4849" s="2">
        <v>9900</v>
      </c>
      <c r="Q4849" t="str">
        <f>"$"</f>
        <v>$</v>
      </c>
      <c r="R4849" t="str">
        <f>"תעודת משלוח"</f>
        <v>תעודת משלוח</v>
      </c>
      <c r="S4849">
        <v>0</v>
      </c>
      <c r="T4849" s="2">
        <v>19800</v>
      </c>
      <c r="U4849">
        <v>0</v>
      </c>
      <c r="V4849" s="2">
        <v>19800</v>
      </c>
      <c r="W4849" t="str">
        <f>"$"</f>
        <v>$</v>
      </c>
      <c r="X4849">
        <v>0</v>
      </c>
      <c r="Y4849">
        <v>0</v>
      </c>
      <c r="Z4849">
        <v>0</v>
      </c>
      <c r="AA4849" t="str">
        <f>"Y"</f>
        <v>Y</v>
      </c>
      <c r="AB4849" t="str">
        <f>"SO12T000001"</f>
        <v>SO12T000001</v>
      </c>
      <c r="AC4849">
        <v>27</v>
      </c>
      <c r="AD4849" s="1">
        <v>41256</v>
      </c>
      <c r="AE4849" t="str">
        <f>"SH13001019"</f>
        <v>SH13001019</v>
      </c>
      <c r="AF4849" t="str">
        <f>"משלוחים ללקוח"</f>
        <v>משלוחים ללקוח</v>
      </c>
      <c r="AG4849" s="1">
        <v>41578</v>
      </c>
      <c r="AM4849" t="str">
        <f>"10"</f>
        <v>10</v>
      </c>
      <c r="AN4849" t="str">
        <f>"500000"</f>
        <v>500000</v>
      </c>
      <c r="AO4849" t="str">
        <f>"הכנסות  מלקוחות"</f>
        <v>הכנסות  מלקוחות</v>
      </c>
      <c r="AQ4849" t="str">
        <f>"007"</f>
        <v>007</v>
      </c>
      <c r="AR4849">
        <v>0</v>
      </c>
      <c r="AS4849">
        <v>0</v>
      </c>
      <c r="AT4849">
        <v>3.5179999999999998</v>
      </c>
      <c r="AX4849" t="str">
        <f>"E000093662"</f>
        <v>E000093662</v>
      </c>
      <c r="BD4849" t="str">
        <f>"רוני דידי"</f>
        <v>רוני דידי</v>
      </c>
    </row>
    <row r="4850" spans="1:56" x14ac:dyDescent="0.3">
      <c r="A4850" s="1">
        <v>41571</v>
      </c>
      <c r="B4850" t="str">
        <f>"SI130000881"</f>
        <v>SI130000881</v>
      </c>
      <c r="E4850" t="str">
        <f>"Y"</f>
        <v>Y</v>
      </c>
      <c r="F4850" t="str">
        <f>"חשבוניות מרכזות"</f>
        <v>חשבוניות מרכזות</v>
      </c>
      <c r="G4850" t="str">
        <f>"700065"</f>
        <v>700065</v>
      </c>
      <c r="H4850" t="str">
        <f>"אלתא מערכות בע""מ"</f>
        <v>אלתא מערכות בע"מ</v>
      </c>
      <c r="I4850" t="str">
        <f>"10"</f>
        <v>10</v>
      </c>
      <c r="J4850" t="str">
        <f>"000"</f>
        <v>000</v>
      </c>
      <c r="K4850" t="str">
        <f>"שינוי לוגיקת פיקוד בלוח PDP בחול"</f>
        <v>שינוי לוגיקת פיקוד בלוח PDP בחול</v>
      </c>
      <c r="L4850">
        <v>1</v>
      </c>
      <c r="M4850" t="str">
        <f>"יח"</f>
        <v>יח</v>
      </c>
      <c r="N4850">
        <v>1</v>
      </c>
      <c r="O4850" t="str">
        <f>"יח"</f>
        <v>יח</v>
      </c>
      <c r="P4850" s="2">
        <v>3420</v>
      </c>
      <c r="Q4850" t="str">
        <f>"$"</f>
        <v>$</v>
      </c>
      <c r="R4850" t="str">
        <f>"ידני"</f>
        <v>ידני</v>
      </c>
      <c r="S4850">
        <v>0</v>
      </c>
      <c r="T4850" s="2">
        <v>3420</v>
      </c>
      <c r="U4850">
        <v>0</v>
      </c>
      <c r="V4850" s="2">
        <v>3420</v>
      </c>
      <c r="W4850" t="str">
        <f>"$"</f>
        <v>$</v>
      </c>
      <c r="X4850">
        <v>0</v>
      </c>
      <c r="Y4850">
        <v>0</v>
      </c>
      <c r="Z4850">
        <v>0</v>
      </c>
      <c r="AA4850" t="str">
        <f>"Y"</f>
        <v>Y</v>
      </c>
      <c r="AC4850">
        <v>0</v>
      </c>
      <c r="AM4850" t="str">
        <f>"10"</f>
        <v>10</v>
      </c>
      <c r="AN4850" t="str">
        <f>"500000"</f>
        <v>500000</v>
      </c>
      <c r="AO4850" t="str">
        <f>"הכנסות  מלקוחות"</f>
        <v>הכנסות  מלקוחות</v>
      </c>
      <c r="AQ4850" t="str">
        <f>"007"</f>
        <v>007</v>
      </c>
      <c r="AR4850">
        <v>0</v>
      </c>
      <c r="AS4850">
        <v>0</v>
      </c>
      <c r="AT4850">
        <v>3.52</v>
      </c>
      <c r="BD4850" t="str">
        <f>"רוני דידי"</f>
        <v>רוני דידי</v>
      </c>
    </row>
    <row r="4851" spans="1:56" x14ac:dyDescent="0.3">
      <c r="A4851" s="1">
        <v>41571</v>
      </c>
      <c r="B4851" t="str">
        <f>"CR130000022"</f>
        <v>CR130000022</v>
      </c>
      <c r="E4851" t="str">
        <f>"Y"</f>
        <v>Y</v>
      </c>
      <c r="F4851" t="str">
        <f>"חשבוניות זיכוי"</f>
        <v>חשבוניות זיכוי</v>
      </c>
      <c r="G4851" t="str">
        <f>"700065"</f>
        <v>700065</v>
      </c>
      <c r="H4851" t="str">
        <f>"אלתא מערכות בע""מ"</f>
        <v>אלתא מערכות בע"מ</v>
      </c>
      <c r="I4851" t="str">
        <f>"10"</f>
        <v>10</v>
      </c>
      <c r="J4851" t="str">
        <f>"000"</f>
        <v>000</v>
      </c>
      <c r="K4851" t="str">
        <f>"ביטול חשבונית SI130000187 עבור אלתא"</f>
        <v>ביטול חשבונית SI130000187 עבור אלתא</v>
      </c>
      <c r="L4851">
        <v>1</v>
      </c>
      <c r="M4851" t="str">
        <f>"יח"</f>
        <v>יח</v>
      </c>
      <c r="N4851">
        <v>1</v>
      </c>
      <c r="O4851" t="str">
        <f>"יח"</f>
        <v>יח</v>
      </c>
      <c r="P4851" s="2">
        <v>3420</v>
      </c>
      <c r="Q4851" t="str">
        <f>"$"</f>
        <v>$</v>
      </c>
      <c r="R4851" t="str">
        <f>"ידני"</f>
        <v>ידני</v>
      </c>
      <c r="S4851">
        <v>0</v>
      </c>
      <c r="T4851" s="2">
        <v>3420</v>
      </c>
      <c r="U4851">
        <v>0</v>
      </c>
      <c r="V4851" s="2">
        <v>3420</v>
      </c>
      <c r="W4851" t="str">
        <f>"$"</f>
        <v>$</v>
      </c>
      <c r="X4851">
        <v>0</v>
      </c>
      <c r="Y4851">
        <v>0</v>
      </c>
      <c r="Z4851">
        <v>0</v>
      </c>
      <c r="AA4851" t="str">
        <f>"Y"</f>
        <v>Y</v>
      </c>
      <c r="AC4851">
        <v>0</v>
      </c>
      <c r="AM4851" t="str">
        <f>"10"</f>
        <v>10</v>
      </c>
      <c r="AN4851" t="str">
        <f>"500000"</f>
        <v>500000</v>
      </c>
      <c r="AO4851" t="str">
        <f>"הכנסות  מלקוחות"</f>
        <v>הכנסות  מלקוחות</v>
      </c>
      <c r="AQ4851" t="str">
        <f>"007"</f>
        <v>007</v>
      </c>
      <c r="AR4851">
        <v>0</v>
      </c>
      <c r="AS4851">
        <v>0</v>
      </c>
      <c r="AT4851">
        <v>3.52</v>
      </c>
      <c r="BD4851" t="str">
        <f>"רוני דידי"</f>
        <v>רוני דידי</v>
      </c>
    </row>
    <row r="4852" spans="1:56" x14ac:dyDescent="0.3">
      <c r="A4852" s="1">
        <v>41557</v>
      </c>
      <c r="B4852" t="str">
        <f>"SI130000836"</f>
        <v>SI130000836</v>
      </c>
      <c r="C4852" t="str">
        <f>"PR12000118"</f>
        <v>PR12000118</v>
      </c>
      <c r="D4852" t="str">
        <f>"PR12000118"</f>
        <v>PR12000118</v>
      </c>
      <c r="E4852" t="str">
        <f>"Y"</f>
        <v>Y</v>
      </c>
      <c r="F4852" t="str">
        <f>"חשבוניות מרכזות"</f>
        <v>חשבוניות מרכזות</v>
      </c>
      <c r="G4852" t="str">
        <f>"700065"</f>
        <v>700065</v>
      </c>
      <c r="H4852" t="str">
        <f>"אלתא מערכות בע""מ"</f>
        <v>אלתא מערכות בע"מ</v>
      </c>
      <c r="I4852" t="str">
        <f>"10"</f>
        <v>10</v>
      </c>
      <c r="J4852" t="str">
        <f>"000"</f>
        <v>000</v>
      </c>
      <c r="K4852" t="str">
        <f>"ייצור אספקה והתקנת גגון ליחידת ה- LB-PDB"</f>
        <v>ייצור אספקה והתקנת גגון ליחידת ה- LB-PDB</v>
      </c>
      <c r="L4852">
        <v>1</v>
      </c>
      <c r="M4852" t="str">
        <f>"יח"</f>
        <v>יח</v>
      </c>
      <c r="N4852">
        <v>1</v>
      </c>
      <c r="O4852" t="str">
        <f>"יח"</f>
        <v>יח</v>
      </c>
      <c r="P4852">
        <v>837.52</v>
      </c>
      <c r="Q4852" t="str">
        <f>"$"</f>
        <v>$</v>
      </c>
      <c r="R4852" t="str">
        <f>"הזמנה"</f>
        <v>הזמנה</v>
      </c>
      <c r="S4852">
        <v>0</v>
      </c>
      <c r="T4852">
        <v>837.52</v>
      </c>
      <c r="U4852">
        <v>0</v>
      </c>
      <c r="V4852">
        <v>837.52</v>
      </c>
      <c r="W4852" t="str">
        <f>"$"</f>
        <v>$</v>
      </c>
      <c r="X4852">
        <v>0</v>
      </c>
      <c r="Y4852">
        <v>0</v>
      </c>
      <c r="Z4852">
        <v>0</v>
      </c>
      <c r="AA4852" t="str">
        <f>"Y"</f>
        <v>Y</v>
      </c>
      <c r="AB4852" t="str">
        <f>"SO130000724"</f>
        <v>SO130000724</v>
      </c>
      <c r="AC4852">
        <v>1</v>
      </c>
      <c r="AD4852" s="1">
        <v>41485</v>
      </c>
      <c r="AM4852" t="str">
        <f>"10"</f>
        <v>10</v>
      </c>
      <c r="AN4852" t="str">
        <f>"500000"</f>
        <v>500000</v>
      </c>
      <c r="AO4852" t="str">
        <f>"הכנסות  מלקוחות"</f>
        <v>הכנסות  מלקוחות</v>
      </c>
      <c r="AQ4852" t="str">
        <f>"007"</f>
        <v>007</v>
      </c>
      <c r="AR4852">
        <v>0</v>
      </c>
      <c r="AS4852">
        <v>0</v>
      </c>
      <c r="AT4852">
        <v>3.5670000000000002</v>
      </c>
      <c r="AX4852" t="str">
        <f>"E000156166"</f>
        <v>E000156166</v>
      </c>
      <c r="BD4852" t="str">
        <f>"רוני דידי"</f>
        <v>רוני דידי</v>
      </c>
    </row>
    <row r="4853" spans="1:56" x14ac:dyDescent="0.3">
      <c r="A4853" s="1">
        <v>41557</v>
      </c>
      <c r="B4853" t="str">
        <f>"SI130000836"</f>
        <v>SI130000836</v>
      </c>
      <c r="C4853" t="str">
        <f>"PR12000118"</f>
        <v>PR12000118</v>
      </c>
      <c r="D4853" t="str">
        <f>"PR12000118"</f>
        <v>PR12000118</v>
      </c>
      <c r="E4853" t="str">
        <f>"Y"</f>
        <v>Y</v>
      </c>
      <c r="F4853" t="str">
        <f>"חשבוניות מרכזות"</f>
        <v>חשבוניות מרכזות</v>
      </c>
      <c r="G4853" t="str">
        <f>"700065"</f>
        <v>700065</v>
      </c>
      <c r="H4853" t="str">
        <f>"אלתא מערכות בע""מ"</f>
        <v>אלתא מערכות בע"מ</v>
      </c>
      <c r="I4853" t="str">
        <f>"10"</f>
        <v>10</v>
      </c>
      <c r="J4853" t="str">
        <f>"ZV9900026"</f>
        <v>ZV9900026</v>
      </c>
      <c r="K4853" t="str">
        <f>"Roof for LB-PDB"</f>
        <v>Roof for LB-PDB</v>
      </c>
      <c r="L4853">
        <v>1</v>
      </c>
      <c r="M4853" t="str">
        <f>"יח"</f>
        <v>יח</v>
      </c>
      <c r="N4853">
        <v>1</v>
      </c>
      <c r="O4853" t="str">
        <f>"יח"</f>
        <v>יח</v>
      </c>
      <c r="P4853">
        <v>0</v>
      </c>
      <c r="Q4853" t="str">
        <f>"$"</f>
        <v>$</v>
      </c>
      <c r="R4853" t="str">
        <f>"הזמנה"</f>
        <v>הזמנה</v>
      </c>
      <c r="S4853">
        <v>0</v>
      </c>
      <c r="T4853">
        <v>0</v>
      </c>
      <c r="U4853">
        <v>0</v>
      </c>
      <c r="V4853">
        <v>0</v>
      </c>
      <c r="W4853" t="str">
        <f>"$"</f>
        <v>$</v>
      </c>
      <c r="X4853">
        <v>0</v>
      </c>
      <c r="Y4853">
        <v>0</v>
      </c>
      <c r="Z4853">
        <v>0</v>
      </c>
      <c r="AA4853" t="str">
        <f>"Y"</f>
        <v>Y</v>
      </c>
      <c r="AB4853" t="str">
        <f>"SO130000724"</f>
        <v>SO130000724</v>
      </c>
      <c r="AC4853">
        <v>2</v>
      </c>
      <c r="AD4853" s="1">
        <v>41485</v>
      </c>
      <c r="AM4853" t="str">
        <f>"10"</f>
        <v>10</v>
      </c>
      <c r="AN4853" t="str">
        <f>"500000"</f>
        <v>500000</v>
      </c>
      <c r="AO4853" t="str">
        <f>"הכנסות  מלקוחות"</f>
        <v>הכנסות  מלקוחות</v>
      </c>
      <c r="AQ4853" t="str">
        <f>"007"</f>
        <v>007</v>
      </c>
      <c r="AR4853">
        <v>0</v>
      </c>
      <c r="AS4853">
        <v>0</v>
      </c>
      <c r="AT4853">
        <v>3.5670000000000002</v>
      </c>
      <c r="AX4853" t="str">
        <f>"E000156166"</f>
        <v>E000156166</v>
      </c>
      <c r="BD4853" t="str">
        <f>"רוני דידי"</f>
        <v>רוני דידי</v>
      </c>
    </row>
    <row r="4854" spans="1:56" x14ac:dyDescent="0.3">
      <c r="A4854" s="1">
        <v>41556</v>
      </c>
      <c r="B4854" t="str">
        <f>"SI130000835"</f>
        <v>SI130000835</v>
      </c>
      <c r="C4854" t="str">
        <f>"PR12000118"</f>
        <v>PR12000118</v>
      </c>
      <c r="E4854" t="str">
        <f>"Y"</f>
        <v>Y</v>
      </c>
      <c r="F4854" t="str">
        <f>"חשבוניות מרכזות"</f>
        <v>חשבוניות מרכזות</v>
      </c>
      <c r="G4854" t="str">
        <f>"700065"</f>
        <v>700065</v>
      </c>
      <c r="H4854" t="str">
        <f>"אלתא מערכות בע""מ"</f>
        <v>אלתא מערכות בע"מ</v>
      </c>
      <c r="I4854" t="str">
        <f>"10"</f>
        <v>10</v>
      </c>
      <c r="J4854" t="str">
        <f>"ZV9900026"</f>
        <v>ZV9900026</v>
      </c>
      <c r="K4854" t="str">
        <f>"Roof for LB-PDB"</f>
        <v>Roof for LB-PDB</v>
      </c>
      <c r="L4854">
        <v>-1</v>
      </c>
      <c r="M4854" t="str">
        <f>"יח"</f>
        <v>יח</v>
      </c>
      <c r="N4854">
        <v>-1</v>
      </c>
      <c r="O4854" t="str">
        <f>"יח"</f>
        <v>יח</v>
      </c>
      <c r="P4854">
        <v>0</v>
      </c>
      <c r="Q4854" t="str">
        <f>"$"</f>
        <v>$</v>
      </c>
      <c r="R4854" t="str">
        <f>"תעודת משלוח"</f>
        <v>תעודת משלוח</v>
      </c>
      <c r="S4854">
        <v>0</v>
      </c>
      <c r="T4854">
        <v>0</v>
      </c>
      <c r="U4854">
        <v>0</v>
      </c>
      <c r="V4854">
        <v>0</v>
      </c>
      <c r="W4854" t="str">
        <f>"ש""ח"</f>
        <v>ש"ח</v>
      </c>
      <c r="X4854">
        <v>0</v>
      </c>
      <c r="Y4854">
        <v>0</v>
      </c>
      <c r="Z4854">
        <v>0</v>
      </c>
      <c r="AA4854" t="str">
        <f>"Y"</f>
        <v>Y</v>
      </c>
      <c r="AC4854">
        <v>0</v>
      </c>
      <c r="AM4854" t="str">
        <f>"10"</f>
        <v>10</v>
      </c>
      <c r="AN4854" t="str">
        <f>"500000"</f>
        <v>500000</v>
      </c>
      <c r="AO4854" t="str">
        <f>"הכנסות  מלקוחות"</f>
        <v>הכנסות  מלקוחות</v>
      </c>
      <c r="AQ4854" t="str">
        <f>"007"</f>
        <v>007</v>
      </c>
      <c r="AR4854">
        <v>0</v>
      </c>
      <c r="AS4854">
        <v>0</v>
      </c>
      <c r="AT4854">
        <v>3.5609999999999999</v>
      </c>
      <c r="BB4854" t="str">
        <f>"Y"</f>
        <v>Y</v>
      </c>
      <c r="BD4854" t="str">
        <f>"רוני דידי"</f>
        <v>רוני דידי</v>
      </c>
    </row>
    <row r="4855" spans="1:56" x14ac:dyDescent="0.3">
      <c r="A4855" s="1">
        <v>41556</v>
      </c>
      <c r="B4855" t="str">
        <f>"SI130000835"</f>
        <v>SI130000835</v>
      </c>
      <c r="C4855" t="str">
        <f>"PR12000118"</f>
        <v>PR12000118</v>
      </c>
      <c r="E4855" t="str">
        <f>"Y"</f>
        <v>Y</v>
      </c>
      <c r="F4855" t="str">
        <f>"חשבוניות מרכזות"</f>
        <v>חשבוניות מרכזות</v>
      </c>
      <c r="G4855" t="str">
        <f>"700065"</f>
        <v>700065</v>
      </c>
      <c r="H4855" t="str">
        <f>"אלתא מערכות בע""מ"</f>
        <v>אלתא מערכות בע"מ</v>
      </c>
      <c r="I4855" t="str">
        <f>"10"</f>
        <v>10</v>
      </c>
      <c r="J4855" t="str">
        <f>"000"</f>
        <v>000</v>
      </c>
      <c r="K4855" t="str">
        <f>"ייצור אספקה והתקנת גגון ליחידת ה- LB-PDB"</f>
        <v>ייצור אספקה והתקנת גגון ליחידת ה- LB-PDB</v>
      </c>
      <c r="L4855">
        <v>-1</v>
      </c>
      <c r="M4855" t="str">
        <f>"יח"</f>
        <v>יח</v>
      </c>
      <c r="N4855">
        <v>-1</v>
      </c>
      <c r="O4855" t="str">
        <f>"יח"</f>
        <v>יח</v>
      </c>
      <c r="P4855">
        <v>837.52</v>
      </c>
      <c r="Q4855" t="str">
        <f>"$"</f>
        <v>$</v>
      </c>
      <c r="R4855" t="str">
        <f>"תעודת משלוח"</f>
        <v>תעודת משלוח</v>
      </c>
      <c r="S4855">
        <v>0</v>
      </c>
      <c r="T4855" s="2">
        <v>-2982.41</v>
      </c>
      <c r="U4855">
        <v>0</v>
      </c>
      <c r="V4855" s="2">
        <v>-2982.41</v>
      </c>
      <c r="W4855" t="str">
        <f>"ש""ח"</f>
        <v>ש"ח</v>
      </c>
      <c r="X4855">
        <v>0</v>
      </c>
      <c r="Y4855">
        <v>0</v>
      </c>
      <c r="Z4855">
        <v>0</v>
      </c>
      <c r="AA4855" t="str">
        <f>"Y"</f>
        <v>Y</v>
      </c>
      <c r="AC4855">
        <v>0</v>
      </c>
      <c r="AM4855" t="str">
        <f>"10"</f>
        <v>10</v>
      </c>
      <c r="AN4855" t="str">
        <f>"500000"</f>
        <v>500000</v>
      </c>
      <c r="AO4855" t="str">
        <f>"הכנסות  מלקוחות"</f>
        <v>הכנסות  מלקוחות</v>
      </c>
      <c r="AQ4855" t="str">
        <f>"007"</f>
        <v>007</v>
      </c>
      <c r="AR4855">
        <v>0</v>
      </c>
      <c r="AS4855">
        <v>0</v>
      </c>
      <c r="AT4855">
        <v>3.5609999999999999</v>
      </c>
      <c r="BB4855" t="str">
        <f>"Y"</f>
        <v>Y</v>
      </c>
      <c r="BD4855" t="str">
        <f>"רוני דידי"</f>
        <v>רוני דידי</v>
      </c>
    </row>
    <row r="4856" spans="1:56" x14ac:dyDescent="0.3">
      <c r="A4856" s="1">
        <v>41556</v>
      </c>
      <c r="B4856" t="str">
        <f>"SI130000833"</f>
        <v>SI130000833</v>
      </c>
      <c r="C4856" t="str">
        <f>"PR12000118"</f>
        <v>PR12000118</v>
      </c>
      <c r="E4856" t="str">
        <f>"Y"</f>
        <v>Y</v>
      </c>
      <c r="F4856" t="str">
        <f>"חשבוניות מרכזות"</f>
        <v>חשבוניות מרכזות</v>
      </c>
      <c r="G4856" t="str">
        <f>"700065"</f>
        <v>700065</v>
      </c>
      <c r="H4856" t="str">
        <f>"אלתא מערכות בע""מ"</f>
        <v>אלתא מערכות בע"מ</v>
      </c>
      <c r="I4856" t="str">
        <f>"10"</f>
        <v>10</v>
      </c>
      <c r="J4856" t="str">
        <f>"ZV9900026"</f>
        <v>ZV9900026</v>
      </c>
      <c r="K4856" t="str">
        <f>"Roof for LB-PDB"</f>
        <v>Roof for LB-PDB</v>
      </c>
      <c r="L4856">
        <v>1</v>
      </c>
      <c r="M4856" t="str">
        <f>"יח"</f>
        <v>יח</v>
      </c>
      <c r="N4856">
        <v>1</v>
      </c>
      <c r="O4856" t="str">
        <f>"יח"</f>
        <v>יח</v>
      </c>
      <c r="P4856">
        <v>0</v>
      </c>
      <c r="Q4856" t="str">
        <f>"$"</f>
        <v>$</v>
      </c>
      <c r="R4856" t="str">
        <f>"תעודת משלוח"</f>
        <v>תעודת משלוח</v>
      </c>
      <c r="S4856">
        <v>0</v>
      </c>
      <c r="T4856">
        <v>0</v>
      </c>
      <c r="U4856">
        <v>0</v>
      </c>
      <c r="V4856">
        <v>0</v>
      </c>
      <c r="W4856" t="str">
        <f>"ש""ח"</f>
        <v>ש"ח</v>
      </c>
      <c r="X4856">
        <v>0</v>
      </c>
      <c r="Y4856">
        <v>0</v>
      </c>
      <c r="Z4856">
        <v>0</v>
      </c>
      <c r="AA4856" t="str">
        <f>"Y"</f>
        <v>Y</v>
      </c>
      <c r="AC4856">
        <v>0</v>
      </c>
      <c r="AM4856" t="str">
        <f>"10"</f>
        <v>10</v>
      </c>
      <c r="AN4856" t="str">
        <f>"500000"</f>
        <v>500000</v>
      </c>
      <c r="AO4856" t="str">
        <f>"הכנסות  מלקוחות"</f>
        <v>הכנסות  מלקוחות</v>
      </c>
      <c r="AQ4856" t="str">
        <f>"007"</f>
        <v>007</v>
      </c>
      <c r="AR4856">
        <v>0</v>
      </c>
      <c r="AS4856">
        <v>0</v>
      </c>
      <c r="AT4856">
        <v>3.5609999999999999</v>
      </c>
      <c r="BB4856" t="str">
        <f>"Y"</f>
        <v>Y</v>
      </c>
      <c r="BD4856" t="str">
        <f>"רוני דידי"</f>
        <v>רוני דידי</v>
      </c>
    </row>
    <row r="4857" spans="1:56" x14ac:dyDescent="0.3">
      <c r="A4857" s="1">
        <v>41556</v>
      </c>
      <c r="B4857" t="str">
        <f>"SI130000833"</f>
        <v>SI130000833</v>
      </c>
      <c r="C4857" t="str">
        <f>"PR12000118"</f>
        <v>PR12000118</v>
      </c>
      <c r="E4857" t="str">
        <f>"Y"</f>
        <v>Y</v>
      </c>
      <c r="F4857" t="str">
        <f>"חשבוניות מרכזות"</f>
        <v>חשבוניות מרכזות</v>
      </c>
      <c r="G4857" t="str">
        <f>"700065"</f>
        <v>700065</v>
      </c>
      <c r="H4857" t="str">
        <f>"אלתא מערכות בע""מ"</f>
        <v>אלתא מערכות בע"מ</v>
      </c>
      <c r="I4857" t="str">
        <f>"10"</f>
        <v>10</v>
      </c>
      <c r="J4857" t="str">
        <f>"000"</f>
        <v>000</v>
      </c>
      <c r="K4857" t="str">
        <f>"ייצור אספקה והתקנת גגון ליחידת ה- LB-PDB"</f>
        <v>ייצור אספקה והתקנת גגון ליחידת ה- LB-PDB</v>
      </c>
      <c r="L4857">
        <v>1</v>
      </c>
      <c r="M4857" t="str">
        <f>"יח"</f>
        <v>יח</v>
      </c>
      <c r="N4857">
        <v>1</v>
      </c>
      <c r="O4857" t="str">
        <f>"יח"</f>
        <v>יח</v>
      </c>
      <c r="P4857">
        <v>837.52</v>
      </c>
      <c r="Q4857" t="str">
        <f>"$"</f>
        <v>$</v>
      </c>
      <c r="R4857" t="str">
        <f>"תעודת משלוח"</f>
        <v>תעודת משלוח</v>
      </c>
      <c r="S4857">
        <v>0</v>
      </c>
      <c r="T4857" s="2">
        <v>2982.41</v>
      </c>
      <c r="U4857">
        <v>0</v>
      </c>
      <c r="V4857" s="2">
        <v>2982.41</v>
      </c>
      <c r="W4857" t="str">
        <f>"ש""ח"</f>
        <v>ש"ח</v>
      </c>
      <c r="X4857">
        <v>0</v>
      </c>
      <c r="Y4857">
        <v>0</v>
      </c>
      <c r="Z4857">
        <v>0</v>
      </c>
      <c r="AA4857" t="str">
        <f>"Y"</f>
        <v>Y</v>
      </c>
      <c r="AC4857">
        <v>0</v>
      </c>
      <c r="AM4857" t="str">
        <f>"10"</f>
        <v>10</v>
      </c>
      <c r="AN4857" t="str">
        <f>"500000"</f>
        <v>500000</v>
      </c>
      <c r="AO4857" t="str">
        <f>"הכנסות  מלקוחות"</f>
        <v>הכנסות  מלקוחות</v>
      </c>
      <c r="AQ4857" t="str">
        <f>"007"</f>
        <v>007</v>
      </c>
      <c r="AR4857">
        <v>0</v>
      </c>
      <c r="AS4857">
        <v>0</v>
      </c>
      <c r="AT4857">
        <v>3.5609999999999999</v>
      </c>
      <c r="BB4857" t="str">
        <f>"Y"</f>
        <v>Y</v>
      </c>
      <c r="BD4857" t="str">
        <f>"רוני דידי"</f>
        <v>רוני דידי</v>
      </c>
    </row>
    <row r="4858" spans="1:56" x14ac:dyDescent="0.3">
      <c r="A4858" s="1">
        <v>41546</v>
      </c>
      <c r="B4858" t="str">
        <f>"SI130000754"</f>
        <v>SI130000754</v>
      </c>
      <c r="C4858" t="str">
        <f>"PR13000695"</f>
        <v>PR13000695</v>
      </c>
      <c r="E4858" t="str">
        <f>"Y"</f>
        <v>Y</v>
      </c>
      <c r="F4858" t="str">
        <f>"חשבוניות מרכזות"</f>
        <v>חשבוניות מרכזות</v>
      </c>
      <c r="G4858" t="str">
        <f>"700065"</f>
        <v>700065</v>
      </c>
      <c r="H4858" t="str">
        <f>"אלתא מערכות בע""מ"</f>
        <v>אלתא מערכות בע"מ</v>
      </c>
      <c r="J4858" t="str">
        <f>"מקדמה"</f>
        <v>מקדמה</v>
      </c>
      <c r="K4858" t="str">
        <f>"רכש ופריסת כבלים אופטיים בפלמחים"</f>
        <v>רכש ופריסת כבלים אופטיים בפלמחים</v>
      </c>
      <c r="L4858">
        <v>1</v>
      </c>
      <c r="M4858" t="str">
        <f>"יח"</f>
        <v>יח</v>
      </c>
      <c r="N4858">
        <v>1</v>
      </c>
      <c r="O4858" t="str">
        <f>"יח"</f>
        <v>יח</v>
      </c>
      <c r="P4858" s="2">
        <v>5600</v>
      </c>
      <c r="Q4858" t="str">
        <f>"$"</f>
        <v>$</v>
      </c>
      <c r="R4858" t="str">
        <f>"ידני"</f>
        <v>ידני</v>
      </c>
      <c r="S4858">
        <v>0</v>
      </c>
      <c r="T4858" s="2">
        <v>5600</v>
      </c>
      <c r="U4858">
        <v>0</v>
      </c>
      <c r="V4858" s="2">
        <v>5600</v>
      </c>
      <c r="W4858" t="str">
        <f>"$"</f>
        <v>$</v>
      </c>
      <c r="X4858">
        <v>0</v>
      </c>
      <c r="Y4858">
        <v>0</v>
      </c>
      <c r="Z4858">
        <v>0</v>
      </c>
      <c r="AA4858" t="str">
        <f>"Y"</f>
        <v>Y</v>
      </c>
      <c r="AC4858">
        <v>0</v>
      </c>
      <c r="AQ4858" t="str">
        <f>"007"</f>
        <v>007</v>
      </c>
      <c r="AR4858">
        <v>0</v>
      </c>
      <c r="AS4858">
        <v>0</v>
      </c>
      <c r="AT4858">
        <v>3.5710000000000002</v>
      </c>
      <c r="BD4858" t="str">
        <f>"רוני דידי"</f>
        <v>רוני דידי</v>
      </c>
    </row>
    <row r="4859" spans="1:56" x14ac:dyDescent="0.3">
      <c r="A4859" s="1">
        <v>41540</v>
      </c>
      <c r="B4859" t="str">
        <f>"SI130000753"</f>
        <v>SI130000753</v>
      </c>
      <c r="C4859" t="str">
        <f>"PR13000695"</f>
        <v>PR13000695</v>
      </c>
      <c r="E4859" t="str">
        <f>"Y"</f>
        <v>Y</v>
      </c>
      <c r="F4859" t="str">
        <f>"חשבוניות מרכזות"</f>
        <v>חשבוניות מרכזות</v>
      </c>
      <c r="G4859" t="str">
        <f>"700065"</f>
        <v>700065</v>
      </c>
      <c r="H4859" t="str">
        <f>"אלתא מערכות בע""מ"</f>
        <v>אלתא מערכות בע"מ</v>
      </c>
      <c r="I4859" t="str">
        <f>"10"</f>
        <v>10</v>
      </c>
      <c r="J4859" t="str">
        <f>"000"</f>
        <v>000</v>
      </c>
      <c r="K4859" t="str">
        <f>"רכש ופריסת כבלים אופטיים בפלמחים"</f>
        <v>רכש ופריסת כבלים אופטיים בפלמחים</v>
      </c>
      <c r="L4859">
        <v>-1</v>
      </c>
      <c r="M4859" t="str">
        <f>"יח"</f>
        <v>יח</v>
      </c>
      <c r="N4859">
        <v>-1</v>
      </c>
      <c r="O4859" t="str">
        <f>"יח"</f>
        <v>יח</v>
      </c>
      <c r="P4859" s="2">
        <v>21311.87</v>
      </c>
      <c r="Q4859" t="str">
        <f>"$"</f>
        <v>$</v>
      </c>
      <c r="R4859" t="str">
        <f>"תעודת משלוח"</f>
        <v>תעודת משלוח</v>
      </c>
      <c r="S4859">
        <v>0</v>
      </c>
      <c r="T4859" s="2">
        <v>-21311.87</v>
      </c>
      <c r="U4859">
        <v>3</v>
      </c>
      <c r="V4859" s="2">
        <v>-20672.509999999998</v>
      </c>
      <c r="W4859" t="str">
        <f>"$"</f>
        <v>$</v>
      </c>
      <c r="X4859">
        <v>0</v>
      </c>
      <c r="Y4859">
        <v>0</v>
      </c>
      <c r="Z4859">
        <v>0</v>
      </c>
      <c r="AA4859" t="str">
        <f>"Y"</f>
        <v>Y</v>
      </c>
      <c r="AC4859">
        <v>0</v>
      </c>
      <c r="AM4859" t="str">
        <f>"10"</f>
        <v>10</v>
      </c>
      <c r="AN4859" t="str">
        <f>"500000"</f>
        <v>500000</v>
      </c>
      <c r="AO4859" t="str">
        <f>"הכנסות  מלקוחות"</f>
        <v>הכנסות  מלקוחות</v>
      </c>
      <c r="AQ4859" t="str">
        <f>"007"</f>
        <v>007</v>
      </c>
      <c r="AR4859">
        <v>0</v>
      </c>
      <c r="AS4859">
        <v>0</v>
      </c>
      <c r="AT4859">
        <v>3.504</v>
      </c>
      <c r="BB4859" t="str">
        <f>"Y"</f>
        <v>Y</v>
      </c>
      <c r="BD4859" t="str">
        <f>"רוני דידי"</f>
        <v>רוני דידי</v>
      </c>
    </row>
    <row r="4860" spans="1:56" x14ac:dyDescent="0.3">
      <c r="A4860" s="1">
        <v>41540</v>
      </c>
      <c r="B4860" t="str">
        <f>"SI130000745"</f>
        <v>SI130000745</v>
      </c>
      <c r="C4860" t="str">
        <f>"PR13000695"</f>
        <v>PR13000695</v>
      </c>
      <c r="E4860" t="str">
        <f>"Y"</f>
        <v>Y</v>
      </c>
      <c r="F4860" t="str">
        <f>"חשבוניות מרכזות"</f>
        <v>חשבוניות מרכזות</v>
      </c>
      <c r="G4860" t="str">
        <f>"700065"</f>
        <v>700065</v>
      </c>
      <c r="H4860" t="str">
        <f>"אלתא מערכות בע""מ"</f>
        <v>אלתא מערכות בע"מ</v>
      </c>
      <c r="I4860" t="str">
        <f>"10"</f>
        <v>10</v>
      </c>
      <c r="J4860" t="str">
        <f>"000"</f>
        <v>000</v>
      </c>
      <c r="K4860" t="str">
        <f>"רכש ופריסת כבלים אופטיים בפלמחים"</f>
        <v>רכש ופריסת כבלים אופטיים בפלמחים</v>
      </c>
      <c r="L4860">
        <v>1</v>
      </c>
      <c r="M4860" t="str">
        <f>"יח"</f>
        <v>יח</v>
      </c>
      <c r="N4860">
        <v>1</v>
      </c>
      <c r="O4860" t="str">
        <f>"יח"</f>
        <v>יח</v>
      </c>
      <c r="P4860" s="2">
        <v>21311.87</v>
      </c>
      <c r="Q4860" t="str">
        <f>"$"</f>
        <v>$</v>
      </c>
      <c r="R4860" t="str">
        <f>"תעודת משלוח"</f>
        <v>תעודת משלוח</v>
      </c>
      <c r="S4860">
        <v>0</v>
      </c>
      <c r="T4860" s="2">
        <v>21311.87</v>
      </c>
      <c r="U4860">
        <v>3</v>
      </c>
      <c r="V4860" s="2">
        <v>20672.509999999998</v>
      </c>
      <c r="W4860" t="str">
        <f>"$"</f>
        <v>$</v>
      </c>
      <c r="X4860">
        <v>0</v>
      </c>
      <c r="Y4860">
        <v>0</v>
      </c>
      <c r="Z4860">
        <v>0</v>
      </c>
      <c r="AA4860" t="str">
        <f>"Y"</f>
        <v>Y</v>
      </c>
      <c r="AC4860">
        <v>0</v>
      </c>
      <c r="AM4860" t="str">
        <f>"10"</f>
        <v>10</v>
      </c>
      <c r="AN4860" t="str">
        <f>"500000"</f>
        <v>500000</v>
      </c>
      <c r="AO4860" t="str">
        <f>"הכנסות  מלקוחות"</f>
        <v>הכנסות  מלקוחות</v>
      </c>
      <c r="AQ4860" t="str">
        <f>"007"</f>
        <v>007</v>
      </c>
      <c r="AR4860">
        <v>0</v>
      </c>
      <c r="AS4860">
        <v>0</v>
      </c>
      <c r="AT4860">
        <v>3.504</v>
      </c>
      <c r="BB4860" t="str">
        <f>"Y"</f>
        <v>Y</v>
      </c>
      <c r="BD4860" t="str">
        <f>"רוני דידי"</f>
        <v>רוני דידי</v>
      </c>
    </row>
    <row r="4861" spans="1:56" x14ac:dyDescent="0.3">
      <c r="A4861" s="1">
        <v>41514</v>
      </c>
      <c r="B4861" t="str">
        <f>"SI130000660"</f>
        <v>SI130000660</v>
      </c>
      <c r="C4861" t="str">
        <f>"PR13000631"</f>
        <v>PR13000631</v>
      </c>
      <c r="D4861" t="str">
        <f>"PR13000631"</f>
        <v>PR13000631</v>
      </c>
      <c r="E4861" t="str">
        <f>"Y"</f>
        <v>Y</v>
      </c>
      <c r="F4861" t="str">
        <f>"חשבוניות מרכזות"</f>
        <v>חשבוניות מרכזות</v>
      </c>
      <c r="G4861" t="str">
        <f>"700065"</f>
        <v>700065</v>
      </c>
      <c r="H4861" t="str">
        <f>"אלתא מערכות בע""מ"</f>
        <v>אלתא מערכות בע"מ</v>
      </c>
      <c r="I4861" t="str">
        <f>"10"</f>
        <v>10</v>
      </c>
      <c r="J4861" t="str">
        <f>"000"</f>
        <v>000</v>
      </c>
      <c r="K4861" t="str">
        <f>"שיפוץ תשתיות קרון מספר 2 להכנה לניסוי"</f>
        <v>שיפוץ תשתיות קרון מספר 2 להכנה לניסוי</v>
      </c>
      <c r="L4861">
        <v>1</v>
      </c>
      <c r="M4861" t="str">
        <f>"יח"</f>
        <v>יח</v>
      </c>
      <c r="N4861">
        <v>1</v>
      </c>
      <c r="O4861" t="str">
        <f>"יח"</f>
        <v>יח</v>
      </c>
      <c r="P4861" s="2">
        <v>31034</v>
      </c>
      <c r="Q4861" t="str">
        <f>"$"</f>
        <v>$</v>
      </c>
      <c r="R4861" t="str">
        <f>"הזמנה"</f>
        <v>הזמנה</v>
      </c>
      <c r="S4861">
        <v>0</v>
      </c>
      <c r="T4861" s="2">
        <v>31034</v>
      </c>
      <c r="U4861">
        <v>8</v>
      </c>
      <c r="V4861" s="2">
        <v>28551.279999999999</v>
      </c>
      <c r="W4861" t="str">
        <f>"$"</f>
        <v>$</v>
      </c>
      <c r="X4861">
        <v>0</v>
      </c>
      <c r="Y4861">
        <v>0</v>
      </c>
      <c r="Z4861">
        <v>0</v>
      </c>
      <c r="AA4861" t="str">
        <f>"Y"</f>
        <v>Y</v>
      </c>
      <c r="AB4861" t="str">
        <f>"SO130000671"</f>
        <v>SO130000671</v>
      </c>
      <c r="AC4861">
        <v>1</v>
      </c>
      <c r="AD4861" s="1">
        <v>41462</v>
      </c>
      <c r="AM4861" t="str">
        <f>"10"</f>
        <v>10</v>
      </c>
      <c r="AN4861" t="str">
        <f>"500000"</f>
        <v>500000</v>
      </c>
      <c r="AO4861" t="str">
        <f>"הכנסות  מלקוחות"</f>
        <v>הכנסות  מלקוחות</v>
      </c>
      <c r="AQ4861" t="str">
        <f>"007"</f>
        <v>007</v>
      </c>
      <c r="AR4861">
        <v>0</v>
      </c>
      <c r="AS4861">
        <v>0</v>
      </c>
      <c r="AT4861">
        <v>3.657</v>
      </c>
      <c r="AX4861" t="str">
        <f>"E000153866"</f>
        <v>E000153866</v>
      </c>
      <c r="BD4861" t="str">
        <f>"רוני דידי"</f>
        <v>רוני דידי</v>
      </c>
    </row>
    <row r="4862" spans="1:56" x14ac:dyDescent="0.3">
      <c r="A4862" s="1">
        <v>41486</v>
      </c>
      <c r="B4862" t="str">
        <f>"SI130000552"</f>
        <v>SI130000552</v>
      </c>
      <c r="C4862" t="str">
        <f>"PR13000158"</f>
        <v>PR13000158</v>
      </c>
      <c r="D4862" t="str">
        <f>"PR13000158"</f>
        <v>PR13000158</v>
      </c>
      <c r="E4862" t="str">
        <f>"Y"</f>
        <v>Y</v>
      </c>
      <c r="F4862" t="str">
        <f>"חשבוניות מרכזות"</f>
        <v>חשבוניות מרכזות</v>
      </c>
      <c r="G4862" t="str">
        <f>"700065"</f>
        <v>700065</v>
      </c>
      <c r="H4862" t="str">
        <f>"אלתא מערכות בע""מ"</f>
        <v>אלתא מערכות בע"מ</v>
      </c>
      <c r="I4862" t="str">
        <f>"10"</f>
        <v>10</v>
      </c>
      <c r="J4862" t="str">
        <f>"000"</f>
        <v>000</v>
      </c>
      <c r="K4862" t="str">
        <f>"תשלום לתוספות בלוק 4 פלמחים E145856"</f>
        <v>תשלום לתוספות בלוק 4 פלמחים E145856</v>
      </c>
      <c r="L4862">
        <v>1</v>
      </c>
      <c r="M4862" t="str">
        <f>"יח"</f>
        <v>יח</v>
      </c>
      <c r="N4862">
        <v>1</v>
      </c>
      <c r="O4862" t="str">
        <f>"יח"</f>
        <v>יח</v>
      </c>
      <c r="P4862" s="2">
        <v>11688</v>
      </c>
      <c r="Q4862" t="str">
        <f>"$"</f>
        <v>$</v>
      </c>
      <c r="R4862" t="str">
        <f>"הזמנה"</f>
        <v>הזמנה</v>
      </c>
      <c r="S4862">
        <v>0</v>
      </c>
      <c r="T4862" s="2">
        <v>11688</v>
      </c>
      <c r="U4862">
        <v>0</v>
      </c>
      <c r="V4862" s="2">
        <v>11688</v>
      </c>
      <c r="W4862" t="str">
        <f>"$"</f>
        <v>$</v>
      </c>
      <c r="X4862">
        <v>0</v>
      </c>
      <c r="Y4862">
        <v>0</v>
      </c>
      <c r="Z4862">
        <v>0</v>
      </c>
      <c r="AA4862" t="str">
        <f>"Y"</f>
        <v>Y</v>
      </c>
      <c r="AB4862" t="str">
        <f>"SO130000458"</f>
        <v>SO130000458</v>
      </c>
      <c r="AC4862">
        <v>6</v>
      </c>
      <c r="AD4862" s="1">
        <v>41403</v>
      </c>
      <c r="AM4862" t="str">
        <f>"10"</f>
        <v>10</v>
      </c>
      <c r="AN4862" t="str">
        <f>"500000"</f>
        <v>500000</v>
      </c>
      <c r="AO4862" t="str">
        <f>"הכנסות  מלקוחות"</f>
        <v>הכנסות  מלקוחות</v>
      </c>
      <c r="AQ4862" t="str">
        <f>"007"</f>
        <v>007</v>
      </c>
      <c r="AR4862">
        <v>0</v>
      </c>
      <c r="AS4862">
        <v>0</v>
      </c>
      <c r="AT4862">
        <v>3.569</v>
      </c>
      <c r="AX4862" t="str">
        <f>"E000145856"</f>
        <v>E000145856</v>
      </c>
      <c r="BD4862" t="str">
        <f>"רוני דידי"</f>
        <v>רוני דידי</v>
      </c>
    </row>
    <row r="4863" spans="1:56" x14ac:dyDescent="0.3">
      <c r="A4863" s="1">
        <v>41473</v>
      </c>
      <c r="B4863" t="str">
        <f>"SI130000526"</f>
        <v>SI130000526</v>
      </c>
      <c r="C4863" t="str">
        <f>"PR13000646"</f>
        <v>PR13000646</v>
      </c>
      <c r="D4863" t="str">
        <f>"PR13000646"</f>
        <v>PR13000646</v>
      </c>
      <c r="E4863" t="str">
        <f>"Y"</f>
        <v>Y</v>
      </c>
      <c r="F4863" t="str">
        <f>"חשבוניות מרכזות"</f>
        <v>חשבוניות מרכזות</v>
      </c>
      <c r="G4863" t="str">
        <f>"700065"</f>
        <v>700065</v>
      </c>
      <c r="H4863" t="str">
        <f>"אלתא מערכות בע""מ"</f>
        <v>אלתא מערכות בע"מ</v>
      </c>
      <c r="I4863" t="str">
        <f>"10"</f>
        <v>10</v>
      </c>
      <c r="J4863" t="str">
        <f>"GN9992222"</f>
        <v>GN9992222</v>
      </c>
      <c r="K4863" t="str">
        <f>"בדיקת מתקן"</f>
        <v>בדיקת מתקן</v>
      </c>
      <c r="L4863">
        <v>1</v>
      </c>
      <c r="M4863" t="str">
        <f>"יח"</f>
        <v>יח</v>
      </c>
      <c r="N4863">
        <v>1</v>
      </c>
      <c r="O4863" t="str">
        <f>"יח"</f>
        <v>יח</v>
      </c>
      <c r="P4863">
        <v>810.40269999999998</v>
      </c>
      <c r="Q4863" t="str">
        <f>"$"</f>
        <v>$</v>
      </c>
      <c r="R4863" t="str">
        <f>"הזמנה"</f>
        <v>הזמנה</v>
      </c>
      <c r="S4863">
        <v>0</v>
      </c>
      <c r="T4863">
        <v>810.4</v>
      </c>
      <c r="U4863">
        <v>0</v>
      </c>
      <c r="V4863">
        <v>810.4</v>
      </c>
      <c r="W4863" t="str">
        <f>"$"</f>
        <v>$</v>
      </c>
      <c r="X4863">
        <v>0</v>
      </c>
      <c r="Y4863">
        <v>0</v>
      </c>
      <c r="Z4863">
        <v>0</v>
      </c>
      <c r="AA4863" t="str">
        <f>"Y"</f>
        <v>Y</v>
      </c>
      <c r="AB4863" t="str">
        <f>"SO130000694"</f>
        <v>SO130000694</v>
      </c>
      <c r="AC4863">
        <v>1</v>
      </c>
      <c r="AD4863" s="1">
        <v>41470</v>
      </c>
      <c r="AM4863" t="str">
        <f>"10"</f>
        <v>10</v>
      </c>
      <c r="AN4863" t="str">
        <f>"500000"</f>
        <v>500000</v>
      </c>
      <c r="AO4863" t="str">
        <f>"הכנסות  מלקוחות"</f>
        <v>הכנסות  מלקוחות</v>
      </c>
      <c r="AQ4863" t="str">
        <f>"007"</f>
        <v>007</v>
      </c>
      <c r="AR4863">
        <v>0</v>
      </c>
      <c r="AS4863">
        <v>0</v>
      </c>
      <c r="AT4863">
        <v>3.5760000000000001</v>
      </c>
      <c r="AX4863" t="str">
        <f>"E000155216"</f>
        <v>E000155216</v>
      </c>
      <c r="BD4863" t="str">
        <f>"רוני דידי"</f>
        <v>רוני דידי</v>
      </c>
    </row>
    <row r="4864" spans="1:56" x14ac:dyDescent="0.3">
      <c r="A4864" s="1">
        <v>41470</v>
      </c>
      <c r="B4864" t="str">
        <f>"SI130000514"</f>
        <v>SI130000514</v>
      </c>
      <c r="C4864" t="str">
        <f>"PR12000060"</f>
        <v>PR12000060</v>
      </c>
      <c r="E4864" t="str">
        <f>"Y"</f>
        <v>Y</v>
      </c>
      <c r="F4864" t="str">
        <f>"חשבוניות מרכזות"</f>
        <v>חשבוניות מרכזות</v>
      </c>
      <c r="G4864" t="str">
        <f>"700065"</f>
        <v>700065</v>
      </c>
      <c r="H4864" t="str">
        <f>"אלתא מערכות בע""מ"</f>
        <v>אלתא מערכות בע"מ</v>
      </c>
      <c r="I4864" t="str">
        <f>"10"</f>
        <v>10</v>
      </c>
      <c r="J4864" t="str">
        <f>"OP-AR00007"</f>
        <v>OP-AR00007</v>
      </c>
      <c r="K4864" t="str">
        <f>"שינוי AC DC,DC) PDB)- אלתא"</f>
        <v>שינוי AC DC,DC) PDB)- אלתא</v>
      </c>
      <c r="L4864">
        <v>0.13400000000000001</v>
      </c>
      <c r="M4864" t="str">
        <f>"חל"</f>
        <v>חל</v>
      </c>
      <c r="N4864">
        <v>0.13400000000000001</v>
      </c>
      <c r="O4864" t="str">
        <f>"חל"</f>
        <v>חל</v>
      </c>
      <c r="P4864" s="2">
        <v>273153.74</v>
      </c>
      <c r="Q4864" t="str">
        <f>"$"</f>
        <v>$</v>
      </c>
      <c r="R4864" t="str">
        <f>"הזמנה"</f>
        <v>הזמנה</v>
      </c>
      <c r="S4864">
        <v>0</v>
      </c>
      <c r="T4864" s="2">
        <v>36602.6</v>
      </c>
      <c r="U4864">
        <v>0</v>
      </c>
      <c r="V4864" s="2">
        <v>36602.6</v>
      </c>
      <c r="W4864" t="str">
        <f>"$"</f>
        <v>$</v>
      </c>
      <c r="X4864">
        <v>0</v>
      </c>
      <c r="Y4864">
        <v>0</v>
      </c>
      <c r="Z4864">
        <v>0</v>
      </c>
      <c r="AA4864" t="str">
        <f>"Y"</f>
        <v>Y</v>
      </c>
      <c r="AB4864" t="str">
        <f>"SO130000191"</f>
        <v>SO130000191</v>
      </c>
      <c r="AC4864">
        <v>1</v>
      </c>
      <c r="AD4864" s="1">
        <v>41324</v>
      </c>
      <c r="AM4864" t="str">
        <f>"10"</f>
        <v>10</v>
      </c>
      <c r="AN4864" t="str">
        <f>"500000"</f>
        <v>500000</v>
      </c>
      <c r="AO4864" t="str">
        <f>"הכנסות  מלקוחות"</f>
        <v>הכנסות  מלקוחות</v>
      </c>
      <c r="AQ4864" t="str">
        <f>"007"</f>
        <v>007</v>
      </c>
      <c r="AR4864">
        <v>0</v>
      </c>
      <c r="AS4864">
        <v>0</v>
      </c>
      <c r="AT4864">
        <v>3.6070000000000002</v>
      </c>
      <c r="AX4864" t="str">
        <f>"E000143532/2"</f>
        <v>E000143532/2</v>
      </c>
      <c r="BD4864" t="str">
        <f>"רוני דידי"</f>
        <v>רוני דידי</v>
      </c>
    </row>
    <row r="4865" spans="1:56" x14ac:dyDescent="0.3">
      <c r="A4865" s="1">
        <v>41452</v>
      </c>
      <c r="B4865" t="str">
        <f>"SI130000454"</f>
        <v>SI130000454</v>
      </c>
      <c r="C4865" t="str">
        <f>"PR12000060"</f>
        <v>PR12000060</v>
      </c>
      <c r="D4865" t="str">
        <f>"PR12000060"</f>
        <v>PR12000060</v>
      </c>
      <c r="E4865" t="str">
        <f>"Y"</f>
        <v>Y</v>
      </c>
      <c r="F4865" t="str">
        <f>"חשבוניות מרכזות"</f>
        <v>חשבוניות מרכזות</v>
      </c>
      <c r="G4865" t="str">
        <f>"700065"</f>
        <v>700065</v>
      </c>
      <c r="H4865" t="str">
        <f>"אלתא מערכות בע""מ"</f>
        <v>אלתא מערכות בע"מ</v>
      </c>
      <c r="I4865" t="str">
        <f>"10"</f>
        <v>10</v>
      </c>
      <c r="J4865" t="str">
        <f>"OP-AR12325"</f>
        <v>OP-AR12325</v>
      </c>
      <c r="K4865" t="str">
        <f>"לוח חלוקה AC-DC PDB מק""ט לקוח 1025A685-001"</f>
        <v>לוח חלוקה AC-DC PDB מק"ט לקוח 1025A685-001</v>
      </c>
      <c r="L4865">
        <v>1</v>
      </c>
      <c r="M4865" t="str">
        <f>"יח"</f>
        <v>יח</v>
      </c>
      <c r="N4865">
        <v>1</v>
      </c>
      <c r="O4865" t="str">
        <f>"יח"</f>
        <v>יח</v>
      </c>
      <c r="P4865" s="2">
        <v>30005</v>
      </c>
      <c r="Q4865" t="str">
        <f>"$"</f>
        <v>$</v>
      </c>
      <c r="R4865" t="str">
        <f>"תעודת משלוח"</f>
        <v>תעודת משלוח</v>
      </c>
      <c r="S4865">
        <v>0</v>
      </c>
      <c r="T4865" s="2">
        <v>30005</v>
      </c>
      <c r="U4865">
        <v>0</v>
      </c>
      <c r="V4865" s="2">
        <v>30005</v>
      </c>
      <c r="W4865" t="str">
        <f>"$"</f>
        <v>$</v>
      </c>
      <c r="X4865">
        <v>0</v>
      </c>
      <c r="Y4865">
        <v>0</v>
      </c>
      <c r="Z4865">
        <v>0</v>
      </c>
      <c r="AA4865" t="str">
        <f>"Y"</f>
        <v>Y</v>
      </c>
      <c r="AB4865" t="str">
        <f>"SO130000159"</f>
        <v>SO130000159</v>
      </c>
      <c r="AC4865">
        <v>4</v>
      </c>
      <c r="AD4865" s="1">
        <v>41316</v>
      </c>
      <c r="AE4865" t="str">
        <f>"SH13000418"</f>
        <v>SH13000418</v>
      </c>
      <c r="AF4865" t="str">
        <f>"משלוחים ללקוח"</f>
        <v>משלוחים ללקוח</v>
      </c>
      <c r="AG4865" s="1">
        <v>41451</v>
      </c>
      <c r="AM4865" t="str">
        <f>"10"</f>
        <v>10</v>
      </c>
      <c r="AN4865" t="str">
        <f>"500000"</f>
        <v>500000</v>
      </c>
      <c r="AO4865" t="str">
        <f>"הכנסות  מלקוחות"</f>
        <v>הכנסות  מלקוחות</v>
      </c>
      <c r="AQ4865" t="str">
        <f>"007"</f>
        <v>007</v>
      </c>
      <c r="AR4865">
        <v>0</v>
      </c>
      <c r="AS4865">
        <v>0</v>
      </c>
      <c r="AT4865">
        <v>3.6179999999999999</v>
      </c>
      <c r="AX4865" t="str">
        <f>"E000119608"</f>
        <v>E000119608</v>
      </c>
      <c r="BD4865" t="str">
        <f>"רוני דידי"</f>
        <v>רוני דידי</v>
      </c>
    </row>
    <row r="4866" spans="1:56" x14ac:dyDescent="0.3">
      <c r="A4866" s="1">
        <v>41452</v>
      </c>
      <c r="B4866" t="str">
        <f>"SI130000453"</f>
        <v>SI130000453</v>
      </c>
      <c r="C4866" t="str">
        <f>"PR12000054"</f>
        <v>PR12000054</v>
      </c>
      <c r="E4866" t="str">
        <f>"Y"</f>
        <v>Y</v>
      </c>
      <c r="F4866" t="str">
        <f>"חשבוניות מרכזות"</f>
        <v>חשבוניות מרכזות</v>
      </c>
      <c r="G4866" t="str">
        <f>"700065"</f>
        <v>700065</v>
      </c>
      <c r="H4866" t="str">
        <f>"אלתא מערכות בע""מ"</f>
        <v>אלתא מערכות בע"מ</v>
      </c>
      <c r="I4866" t="str">
        <f>"10"</f>
        <v>10</v>
      </c>
      <c r="J4866" t="str">
        <f>"OP-AR09106"</f>
        <v>OP-AR09106</v>
      </c>
      <c r="K4866" t="str">
        <f>"לוח 1026L230-001 HIGH VOLTAG JUCTION BOX"</f>
        <v>לוח 1026L230-001 HIGH VOLTAG JUCTION BOX</v>
      </c>
      <c r="L4866">
        <v>1</v>
      </c>
      <c r="M4866" t="str">
        <f>"יח"</f>
        <v>יח</v>
      </c>
      <c r="N4866">
        <v>1</v>
      </c>
      <c r="O4866" t="str">
        <f>"יח"</f>
        <v>יח</v>
      </c>
      <c r="P4866" s="2">
        <v>9900</v>
      </c>
      <c r="Q4866" t="str">
        <f>"$"</f>
        <v>$</v>
      </c>
      <c r="R4866" t="str">
        <f>"תעודת משלוח"</f>
        <v>תעודת משלוח</v>
      </c>
      <c r="S4866">
        <v>0</v>
      </c>
      <c r="T4866" s="2">
        <v>9900</v>
      </c>
      <c r="U4866">
        <v>0</v>
      </c>
      <c r="V4866" s="2">
        <v>9900</v>
      </c>
      <c r="W4866" t="str">
        <f>"$"</f>
        <v>$</v>
      </c>
      <c r="X4866">
        <v>0</v>
      </c>
      <c r="Y4866">
        <v>0</v>
      </c>
      <c r="Z4866">
        <v>0</v>
      </c>
      <c r="AA4866" t="str">
        <f>"Y"</f>
        <v>Y</v>
      </c>
      <c r="AB4866" t="str">
        <f>"SO12T000001"</f>
        <v>SO12T000001</v>
      </c>
      <c r="AC4866">
        <v>4</v>
      </c>
      <c r="AD4866" s="1">
        <v>41256</v>
      </c>
      <c r="AE4866" t="str">
        <f>"SH13000417"</f>
        <v>SH13000417</v>
      </c>
      <c r="AF4866" t="str">
        <f>"משלוחים ללקוח"</f>
        <v>משלוחים ללקוח</v>
      </c>
      <c r="AG4866" s="1">
        <v>41451</v>
      </c>
      <c r="AM4866" t="str">
        <f>"10"</f>
        <v>10</v>
      </c>
      <c r="AN4866" t="str">
        <f>"500000"</f>
        <v>500000</v>
      </c>
      <c r="AO4866" t="str">
        <f>"הכנסות  מלקוחות"</f>
        <v>הכנסות  מלקוחות</v>
      </c>
      <c r="AQ4866" t="str">
        <f>"007"</f>
        <v>007</v>
      </c>
      <c r="AR4866">
        <v>0</v>
      </c>
      <c r="AS4866">
        <v>0</v>
      </c>
      <c r="AT4866">
        <v>3.6179999999999999</v>
      </c>
      <c r="AX4866" t="str">
        <f>"E000093662"</f>
        <v>E000093662</v>
      </c>
      <c r="BD4866" t="str">
        <f>"רוני דידי"</f>
        <v>רוני דידי</v>
      </c>
    </row>
    <row r="4867" spans="1:56" x14ac:dyDescent="0.3">
      <c r="A4867" s="1">
        <v>41452</v>
      </c>
      <c r="B4867" t="str">
        <f>"SI130000453"</f>
        <v>SI130000453</v>
      </c>
      <c r="C4867" t="str">
        <f>"PR12000054"</f>
        <v>PR12000054</v>
      </c>
      <c r="E4867" t="str">
        <f>"Y"</f>
        <v>Y</v>
      </c>
      <c r="F4867" t="str">
        <f>"חשבוניות מרכזות"</f>
        <v>חשבוניות מרכזות</v>
      </c>
      <c r="G4867" t="str">
        <f>"700065"</f>
        <v>700065</v>
      </c>
      <c r="H4867" t="str">
        <f>"אלתא מערכות בע""מ"</f>
        <v>אלתא מערכות בע"מ</v>
      </c>
      <c r="I4867" t="str">
        <f>"10"</f>
        <v>10</v>
      </c>
      <c r="J4867" t="str">
        <f>"OP-AR09106"</f>
        <v>OP-AR09106</v>
      </c>
      <c r="K4867" t="str">
        <f>"לוח 1026L230-001 HIGH VOLTAG JUCTION BOX"</f>
        <v>לוח 1026L230-001 HIGH VOLTAG JUCTION BOX</v>
      </c>
      <c r="L4867">
        <v>1</v>
      </c>
      <c r="M4867" t="str">
        <f>"יח"</f>
        <v>יח</v>
      </c>
      <c r="N4867">
        <v>1</v>
      </c>
      <c r="O4867" t="str">
        <f>"יח"</f>
        <v>יח</v>
      </c>
      <c r="P4867" s="2">
        <v>9900</v>
      </c>
      <c r="Q4867" t="str">
        <f>"$"</f>
        <v>$</v>
      </c>
      <c r="R4867" t="str">
        <f>"תעודת משלוח"</f>
        <v>תעודת משלוח</v>
      </c>
      <c r="S4867">
        <v>0</v>
      </c>
      <c r="T4867" s="2">
        <v>9900</v>
      </c>
      <c r="U4867">
        <v>0</v>
      </c>
      <c r="V4867" s="2">
        <v>9900</v>
      </c>
      <c r="W4867" t="str">
        <f>"$"</f>
        <v>$</v>
      </c>
      <c r="X4867">
        <v>0</v>
      </c>
      <c r="Y4867">
        <v>0</v>
      </c>
      <c r="Z4867">
        <v>0</v>
      </c>
      <c r="AA4867" t="str">
        <f>"Y"</f>
        <v>Y</v>
      </c>
      <c r="AB4867" t="str">
        <f>"SO12T000001"</f>
        <v>SO12T000001</v>
      </c>
      <c r="AC4867">
        <v>14</v>
      </c>
      <c r="AD4867" s="1">
        <v>41256</v>
      </c>
      <c r="AE4867" t="str">
        <f>"SH13000417"</f>
        <v>SH13000417</v>
      </c>
      <c r="AF4867" t="str">
        <f>"משלוחים ללקוח"</f>
        <v>משלוחים ללקוח</v>
      </c>
      <c r="AG4867" s="1">
        <v>41451</v>
      </c>
      <c r="AM4867" t="str">
        <f>"10"</f>
        <v>10</v>
      </c>
      <c r="AN4867" t="str">
        <f>"500000"</f>
        <v>500000</v>
      </c>
      <c r="AO4867" t="str">
        <f>"הכנסות  מלקוחות"</f>
        <v>הכנסות  מלקוחות</v>
      </c>
      <c r="AQ4867" t="str">
        <f>"007"</f>
        <v>007</v>
      </c>
      <c r="AR4867">
        <v>0</v>
      </c>
      <c r="AS4867">
        <v>0</v>
      </c>
      <c r="AT4867">
        <v>3.6179999999999999</v>
      </c>
      <c r="AX4867" t="str">
        <f>"E000093662"</f>
        <v>E000093662</v>
      </c>
      <c r="BD4867" t="str">
        <f>"רוני דידי"</f>
        <v>רוני דידי</v>
      </c>
    </row>
    <row r="4868" spans="1:56" x14ac:dyDescent="0.3">
      <c r="A4868" s="1">
        <v>41452</v>
      </c>
      <c r="B4868" t="str">
        <f>"SI130000453"</f>
        <v>SI130000453</v>
      </c>
      <c r="C4868" t="str">
        <f>"PR12000054"</f>
        <v>PR12000054</v>
      </c>
      <c r="E4868" t="str">
        <f>"Y"</f>
        <v>Y</v>
      </c>
      <c r="F4868" t="str">
        <f>"חשבוניות מרכזות"</f>
        <v>חשבוניות מרכזות</v>
      </c>
      <c r="G4868" t="str">
        <f>"700065"</f>
        <v>700065</v>
      </c>
      <c r="H4868" t="str">
        <f>"אלתא מערכות בע""מ"</f>
        <v>אלתא מערכות בע"מ</v>
      </c>
      <c r="I4868" t="str">
        <f>"10"</f>
        <v>10</v>
      </c>
      <c r="J4868" t="str">
        <f>"OP-AR09106"</f>
        <v>OP-AR09106</v>
      </c>
      <c r="K4868" t="str">
        <f>"לוח 1026L230-001 HIGH VOLTAG JUCTION BOX"</f>
        <v>לוח 1026L230-001 HIGH VOLTAG JUCTION BOX</v>
      </c>
      <c r="L4868">
        <v>1</v>
      </c>
      <c r="M4868" t="str">
        <f>"יח"</f>
        <v>יח</v>
      </c>
      <c r="N4868">
        <v>1</v>
      </c>
      <c r="O4868" t="str">
        <f>"יח"</f>
        <v>יח</v>
      </c>
      <c r="P4868" s="2">
        <v>9900</v>
      </c>
      <c r="Q4868" t="str">
        <f>"$"</f>
        <v>$</v>
      </c>
      <c r="R4868" t="str">
        <f>"תעודת משלוח"</f>
        <v>תעודת משלוח</v>
      </c>
      <c r="S4868">
        <v>0</v>
      </c>
      <c r="T4868" s="2">
        <v>9900</v>
      </c>
      <c r="U4868">
        <v>0</v>
      </c>
      <c r="V4868" s="2">
        <v>9900</v>
      </c>
      <c r="W4868" t="str">
        <f>"$"</f>
        <v>$</v>
      </c>
      <c r="X4868">
        <v>0</v>
      </c>
      <c r="Y4868">
        <v>0</v>
      </c>
      <c r="Z4868">
        <v>0</v>
      </c>
      <c r="AA4868" t="str">
        <f>"Y"</f>
        <v>Y</v>
      </c>
      <c r="AB4868" t="str">
        <f>"SO12T000001"</f>
        <v>SO12T000001</v>
      </c>
      <c r="AC4868">
        <v>19</v>
      </c>
      <c r="AD4868" s="1">
        <v>41256</v>
      </c>
      <c r="AE4868" t="str">
        <f>"SH13000417"</f>
        <v>SH13000417</v>
      </c>
      <c r="AF4868" t="str">
        <f>"משלוחים ללקוח"</f>
        <v>משלוחים ללקוח</v>
      </c>
      <c r="AG4868" s="1">
        <v>41451</v>
      </c>
      <c r="AM4868" t="str">
        <f>"10"</f>
        <v>10</v>
      </c>
      <c r="AN4868" t="str">
        <f>"500000"</f>
        <v>500000</v>
      </c>
      <c r="AO4868" t="str">
        <f>"הכנסות  מלקוחות"</f>
        <v>הכנסות  מלקוחות</v>
      </c>
      <c r="AQ4868" t="str">
        <f>"007"</f>
        <v>007</v>
      </c>
      <c r="AR4868">
        <v>0</v>
      </c>
      <c r="AS4868">
        <v>0</v>
      </c>
      <c r="AT4868">
        <v>3.6179999999999999</v>
      </c>
      <c r="AX4868" t="str">
        <f>"E000093662"</f>
        <v>E000093662</v>
      </c>
      <c r="BD4868" t="str">
        <f>"רוני דידי"</f>
        <v>רוני דידי</v>
      </c>
    </row>
    <row r="4869" spans="1:56" x14ac:dyDescent="0.3">
      <c r="A4869" s="1">
        <v>41442</v>
      </c>
      <c r="B4869" t="str">
        <f>"SI130000400"</f>
        <v>SI130000400</v>
      </c>
      <c r="C4869" t="str">
        <f>"PR12000114"</f>
        <v>PR12000114</v>
      </c>
      <c r="D4869" t="str">
        <f>"PR12000114"</f>
        <v>PR12000114</v>
      </c>
      <c r="E4869" t="str">
        <f>"Y"</f>
        <v>Y</v>
      </c>
      <c r="F4869" t="str">
        <f>"חשבוניות מרכזות"</f>
        <v>חשבוניות מרכזות</v>
      </c>
      <c r="G4869" t="str">
        <f>"700065"</f>
        <v>700065</v>
      </c>
      <c r="H4869" t="str">
        <f>"אלתא מערכות בע""מ"</f>
        <v>אלתא מערכות בע"מ</v>
      </c>
      <c r="I4869" t="str">
        <f>"10"</f>
        <v>10</v>
      </c>
      <c r="J4869" t="str">
        <f>"OP-AR00001"</f>
        <v>OP-AR00001</v>
      </c>
      <c r="K4869" t="str">
        <f>"PDU2 1030G480-001"</f>
        <v>PDU2 1030G480-001</v>
      </c>
      <c r="L4869">
        <v>1</v>
      </c>
      <c r="M4869" t="str">
        <f>"יח"</f>
        <v>יח</v>
      </c>
      <c r="N4869">
        <v>1</v>
      </c>
      <c r="O4869" t="str">
        <f>"יח"</f>
        <v>יח</v>
      </c>
      <c r="P4869" s="2">
        <v>21030</v>
      </c>
      <c r="Q4869" t="str">
        <f>"$"</f>
        <v>$</v>
      </c>
      <c r="R4869" t="str">
        <f>"תעודת משלוח"</f>
        <v>תעודת משלוח</v>
      </c>
      <c r="S4869">
        <v>0</v>
      </c>
      <c r="T4869" s="2">
        <v>21030</v>
      </c>
      <c r="U4869">
        <v>0</v>
      </c>
      <c r="V4869" s="2">
        <v>21030</v>
      </c>
      <c r="W4869" t="str">
        <f>"$"</f>
        <v>$</v>
      </c>
      <c r="X4869">
        <v>0</v>
      </c>
      <c r="Y4869">
        <v>0</v>
      </c>
      <c r="Z4869">
        <v>0</v>
      </c>
      <c r="AA4869" t="str">
        <f>"Y"</f>
        <v>Y</v>
      </c>
      <c r="AB4869" t="str">
        <f>"SO12T000008"</f>
        <v>SO12T000008</v>
      </c>
      <c r="AC4869">
        <v>2</v>
      </c>
      <c r="AD4869" s="1">
        <v>41267</v>
      </c>
      <c r="AE4869" t="str">
        <f>"SH13000336"</f>
        <v>SH13000336</v>
      </c>
      <c r="AF4869" t="str">
        <f>"משלוחים ללקוח"</f>
        <v>משלוחים ללקוח</v>
      </c>
      <c r="AG4869" s="1">
        <v>41435</v>
      </c>
      <c r="AM4869" t="str">
        <f>"10"</f>
        <v>10</v>
      </c>
      <c r="AN4869" t="str">
        <f>"500000"</f>
        <v>500000</v>
      </c>
      <c r="AO4869" t="str">
        <f>"הכנסות  מלקוחות"</f>
        <v>הכנסות  מלקוחות</v>
      </c>
      <c r="AQ4869" t="str">
        <f>"007"</f>
        <v>007</v>
      </c>
      <c r="AR4869">
        <v>0</v>
      </c>
      <c r="AS4869">
        <v>0</v>
      </c>
      <c r="AT4869">
        <v>3.601</v>
      </c>
      <c r="AX4869" t="str">
        <f>"E000142668"</f>
        <v>E000142668</v>
      </c>
      <c r="BD4869" t="str">
        <f>"רוני דידי"</f>
        <v>רוני דידי</v>
      </c>
    </row>
    <row r="4870" spans="1:56" x14ac:dyDescent="0.3">
      <c r="A4870" s="1">
        <v>41429</v>
      </c>
      <c r="B4870" t="str">
        <f>"SI130000355"</f>
        <v>SI130000355</v>
      </c>
      <c r="C4870" t="str">
        <f>"PR12000054"</f>
        <v>PR12000054</v>
      </c>
      <c r="E4870" t="str">
        <f>"Y"</f>
        <v>Y</v>
      </c>
      <c r="F4870" t="str">
        <f>"חשבוניות מרכזות"</f>
        <v>חשבוניות מרכזות</v>
      </c>
      <c r="G4870" t="str">
        <f>"700065"</f>
        <v>700065</v>
      </c>
      <c r="H4870" t="str">
        <f>"אלתא מערכות בע""מ"</f>
        <v>אלתא מערכות בע"מ</v>
      </c>
      <c r="I4870" t="str">
        <f>"10"</f>
        <v>10</v>
      </c>
      <c r="J4870" t="str">
        <f>"OP-AR09105"</f>
        <v>OP-AR09105</v>
      </c>
      <c r="K4870" t="str">
        <f>"לוח LB-PDB מק""ט לקוח 1026L310-002"</f>
        <v>לוח LB-PDB מק"ט לקוח 1026L310-002</v>
      </c>
      <c r="L4870">
        <v>1</v>
      </c>
      <c r="M4870" t="str">
        <f>"יח"</f>
        <v>יח</v>
      </c>
      <c r="N4870">
        <v>1</v>
      </c>
      <c r="O4870" t="str">
        <f>"יח"</f>
        <v>יח</v>
      </c>
      <c r="P4870" s="2">
        <v>25450</v>
      </c>
      <c r="Q4870" t="str">
        <f>"$"</f>
        <v>$</v>
      </c>
      <c r="R4870" t="str">
        <f>"הזמנה"</f>
        <v>הזמנה</v>
      </c>
      <c r="S4870">
        <v>0</v>
      </c>
      <c r="T4870" s="2">
        <v>25450</v>
      </c>
      <c r="U4870">
        <v>0</v>
      </c>
      <c r="V4870" s="2">
        <v>25450</v>
      </c>
      <c r="W4870" t="str">
        <f>"$"</f>
        <v>$</v>
      </c>
      <c r="X4870">
        <v>0</v>
      </c>
      <c r="Y4870">
        <v>0</v>
      </c>
      <c r="Z4870">
        <v>0</v>
      </c>
      <c r="AA4870" t="str">
        <f>"Y"</f>
        <v>Y</v>
      </c>
      <c r="AB4870" t="str">
        <f>"SO12T000001"</f>
        <v>SO12T000001</v>
      </c>
      <c r="AC4870">
        <v>60</v>
      </c>
      <c r="AD4870" s="1">
        <v>41256</v>
      </c>
      <c r="AE4870" t="str">
        <f>"SH15004032"</f>
        <v>SH15004032</v>
      </c>
      <c r="AF4870" t="str">
        <f>"משלוחים ללקוח"</f>
        <v>משלוחים ללקוח</v>
      </c>
      <c r="AG4870" s="1">
        <v>42010</v>
      </c>
      <c r="AM4870" t="str">
        <f>"10"</f>
        <v>10</v>
      </c>
      <c r="AN4870" t="str">
        <f>"500000"</f>
        <v>500000</v>
      </c>
      <c r="AO4870" t="str">
        <f>"הכנסות  מלקוחות"</f>
        <v>הכנסות  מלקוחות</v>
      </c>
      <c r="AQ4870" t="str">
        <f>"007"</f>
        <v>007</v>
      </c>
      <c r="AR4870">
        <v>0</v>
      </c>
      <c r="AS4870">
        <v>0</v>
      </c>
      <c r="AT4870">
        <v>3.6869999999999998</v>
      </c>
      <c r="AX4870" t="str">
        <f>"E000093662"</f>
        <v>E000093662</v>
      </c>
      <c r="BD4870" t="str">
        <f>"רוני דידי"</f>
        <v>רוני דידי</v>
      </c>
    </row>
    <row r="4871" spans="1:56" x14ac:dyDescent="0.3">
      <c r="A4871" s="1">
        <v>41403</v>
      </c>
      <c r="B4871" t="str">
        <f>"SI130000281"</f>
        <v>SI130000281</v>
      </c>
      <c r="C4871" t="str">
        <f>"PR13000158"</f>
        <v>PR13000158</v>
      </c>
      <c r="D4871" t="str">
        <f>"PR13000158"</f>
        <v>PR13000158</v>
      </c>
      <c r="E4871" t="str">
        <f>"Y"</f>
        <v>Y</v>
      </c>
      <c r="F4871" t="str">
        <f>"חשבוניות מרכזות"</f>
        <v>חשבוניות מרכזות</v>
      </c>
      <c r="G4871" t="str">
        <f>"700065"</f>
        <v>700065</v>
      </c>
      <c r="H4871" t="str">
        <f>"אלתא מערכות בע""מ"</f>
        <v>אלתא מערכות בע"מ</v>
      </c>
      <c r="I4871" t="str">
        <f>"10"</f>
        <v>10</v>
      </c>
      <c r="J4871" t="str">
        <f>"000"</f>
        <v>000</v>
      </c>
      <c r="K4871" t="str">
        <f>"SYSTEM SERVER RACK - KUBIA"</f>
        <v>SYSTEM SERVER RACK - KUBIA</v>
      </c>
      <c r="L4871">
        <v>1</v>
      </c>
      <c r="M4871" t="str">
        <f>"יח"</f>
        <v>יח</v>
      </c>
      <c r="N4871">
        <v>1</v>
      </c>
      <c r="O4871" t="str">
        <f>"יח"</f>
        <v>יח</v>
      </c>
      <c r="P4871" s="2">
        <v>7918</v>
      </c>
      <c r="Q4871" t="str">
        <f>"$"</f>
        <v>$</v>
      </c>
      <c r="R4871" t="str">
        <f>"הזמנה"</f>
        <v>הזמנה</v>
      </c>
      <c r="S4871">
        <v>0</v>
      </c>
      <c r="T4871" s="2">
        <v>7918</v>
      </c>
      <c r="U4871">
        <v>0</v>
      </c>
      <c r="V4871" s="2">
        <v>7918</v>
      </c>
      <c r="W4871" t="str">
        <f>"$"</f>
        <v>$</v>
      </c>
      <c r="X4871">
        <v>0</v>
      </c>
      <c r="Y4871">
        <v>0</v>
      </c>
      <c r="Z4871">
        <v>0</v>
      </c>
      <c r="AA4871" t="str">
        <f>"Y"</f>
        <v>Y</v>
      </c>
      <c r="AB4871" t="str">
        <f>"SO130000458"</f>
        <v>SO130000458</v>
      </c>
      <c r="AC4871">
        <v>1</v>
      </c>
      <c r="AD4871" s="1">
        <v>41403</v>
      </c>
      <c r="AM4871" t="str">
        <f>"10"</f>
        <v>10</v>
      </c>
      <c r="AN4871" t="str">
        <f>"500000"</f>
        <v>500000</v>
      </c>
      <c r="AO4871" t="str">
        <f>"הכנסות  מלקוחות"</f>
        <v>הכנסות  מלקוחות</v>
      </c>
      <c r="AQ4871" t="str">
        <f>"007"</f>
        <v>007</v>
      </c>
      <c r="AR4871">
        <v>0</v>
      </c>
      <c r="AS4871">
        <v>0</v>
      </c>
      <c r="AT4871">
        <v>3.57</v>
      </c>
      <c r="AX4871" t="str">
        <f>"E000145856"</f>
        <v>E000145856</v>
      </c>
      <c r="BD4871" t="str">
        <f>"רוני דידי"</f>
        <v>רוני דידי</v>
      </c>
    </row>
    <row r="4872" spans="1:56" x14ac:dyDescent="0.3">
      <c r="A4872" s="1">
        <v>41403</v>
      </c>
      <c r="B4872" t="str">
        <f>"SI130000281"</f>
        <v>SI130000281</v>
      </c>
      <c r="C4872" t="str">
        <f>"PR13000158"</f>
        <v>PR13000158</v>
      </c>
      <c r="D4872" t="str">
        <f>"PR13000158"</f>
        <v>PR13000158</v>
      </c>
      <c r="E4872" t="str">
        <f>"Y"</f>
        <v>Y</v>
      </c>
      <c r="F4872" t="str">
        <f>"חשבוניות מרכזות"</f>
        <v>חשבוניות מרכזות</v>
      </c>
      <c r="G4872" t="str">
        <f>"700065"</f>
        <v>700065</v>
      </c>
      <c r="H4872" t="str">
        <f>"אלתא מערכות בע""מ"</f>
        <v>אלתא מערכות בע"מ</v>
      </c>
      <c r="I4872" t="str">
        <f>"10"</f>
        <v>10</v>
      </c>
      <c r="J4872" t="str">
        <f>"000"</f>
        <v>000</v>
      </c>
      <c r="K4872" t="str">
        <f>"SIGNAL PROC.RACK SOCD- KUBIA"</f>
        <v>SIGNAL PROC.RACK SOCD- KUBIA</v>
      </c>
      <c r="L4872">
        <v>1</v>
      </c>
      <c r="M4872" t="str">
        <f>"יח"</f>
        <v>יח</v>
      </c>
      <c r="N4872">
        <v>1</v>
      </c>
      <c r="O4872" t="str">
        <f>"יח"</f>
        <v>יח</v>
      </c>
      <c r="P4872" s="2">
        <v>2001</v>
      </c>
      <c r="Q4872" t="str">
        <f>"$"</f>
        <v>$</v>
      </c>
      <c r="R4872" t="str">
        <f>"הזמנה"</f>
        <v>הזמנה</v>
      </c>
      <c r="S4872">
        <v>0</v>
      </c>
      <c r="T4872" s="2">
        <v>2001</v>
      </c>
      <c r="U4872">
        <v>0</v>
      </c>
      <c r="V4872" s="2">
        <v>2001</v>
      </c>
      <c r="W4872" t="str">
        <f>"$"</f>
        <v>$</v>
      </c>
      <c r="X4872">
        <v>0</v>
      </c>
      <c r="Y4872">
        <v>0</v>
      </c>
      <c r="Z4872">
        <v>0</v>
      </c>
      <c r="AA4872" t="str">
        <f>"Y"</f>
        <v>Y</v>
      </c>
      <c r="AB4872" t="str">
        <f>"SO130000458"</f>
        <v>SO130000458</v>
      </c>
      <c r="AC4872">
        <v>2</v>
      </c>
      <c r="AD4872" s="1">
        <v>41403</v>
      </c>
      <c r="AM4872" t="str">
        <f>"10"</f>
        <v>10</v>
      </c>
      <c r="AN4872" t="str">
        <f>"500000"</f>
        <v>500000</v>
      </c>
      <c r="AO4872" t="str">
        <f>"הכנסות  מלקוחות"</f>
        <v>הכנסות  מלקוחות</v>
      </c>
      <c r="AQ4872" t="str">
        <f>"007"</f>
        <v>007</v>
      </c>
      <c r="AR4872">
        <v>0</v>
      </c>
      <c r="AS4872">
        <v>0</v>
      </c>
      <c r="AT4872">
        <v>3.57</v>
      </c>
      <c r="AX4872" t="str">
        <f>"E000145856"</f>
        <v>E000145856</v>
      </c>
      <c r="BD4872" t="str">
        <f>"רוני דידי"</f>
        <v>רוני דידי</v>
      </c>
    </row>
    <row r="4873" spans="1:56" x14ac:dyDescent="0.3">
      <c r="A4873" s="1">
        <v>41403</v>
      </c>
      <c r="B4873" t="str">
        <f>"SI130000281"</f>
        <v>SI130000281</v>
      </c>
      <c r="C4873" t="str">
        <f>"PR13000158"</f>
        <v>PR13000158</v>
      </c>
      <c r="D4873" t="str">
        <f>"PR13000158"</f>
        <v>PR13000158</v>
      </c>
      <c r="E4873" t="str">
        <f>"Y"</f>
        <v>Y</v>
      </c>
      <c r="F4873" t="str">
        <f>"חשבוניות מרכזות"</f>
        <v>חשבוניות מרכזות</v>
      </c>
      <c r="G4873" t="str">
        <f>"700065"</f>
        <v>700065</v>
      </c>
      <c r="H4873" t="str">
        <f>"אלתא מערכות בע""מ"</f>
        <v>אלתא מערכות בע"מ</v>
      </c>
      <c r="I4873" t="str">
        <f>"10"</f>
        <v>10</v>
      </c>
      <c r="J4873" t="str">
        <f>"000"</f>
        <v>000</v>
      </c>
      <c r="K4873" t="str">
        <f>"ROOM WIRING SOCD - KUBIA"</f>
        <v>ROOM WIRING SOCD - KUBIA</v>
      </c>
      <c r="L4873">
        <v>1</v>
      </c>
      <c r="M4873" t="str">
        <f>"יח"</f>
        <v>יח</v>
      </c>
      <c r="N4873">
        <v>1</v>
      </c>
      <c r="O4873" t="str">
        <f>"יח"</f>
        <v>יח</v>
      </c>
      <c r="P4873" s="2">
        <v>9115</v>
      </c>
      <c r="Q4873" t="str">
        <f>"$"</f>
        <v>$</v>
      </c>
      <c r="R4873" t="str">
        <f>"הזמנה"</f>
        <v>הזמנה</v>
      </c>
      <c r="S4873">
        <v>0</v>
      </c>
      <c r="T4873" s="2">
        <v>9115</v>
      </c>
      <c r="U4873">
        <v>0</v>
      </c>
      <c r="V4873" s="2">
        <v>9115</v>
      </c>
      <c r="W4873" t="str">
        <f>"$"</f>
        <v>$</v>
      </c>
      <c r="X4873">
        <v>0</v>
      </c>
      <c r="Y4873">
        <v>0</v>
      </c>
      <c r="Z4873">
        <v>0</v>
      </c>
      <c r="AA4873" t="str">
        <f>"Y"</f>
        <v>Y</v>
      </c>
      <c r="AB4873" t="str">
        <f>"SO130000458"</f>
        <v>SO130000458</v>
      </c>
      <c r="AC4873">
        <v>3</v>
      </c>
      <c r="AD4873" s="1">
        <v>41403</v>
      </c>
      <c r="AM4873" t="str">
        <f>"10"</f>
        <v>10</v>
      </c>
      <c r="AN4873" t="str">
        <f>"500000"</f>
        <v>500000</v>
      </c>
      <c r="AO4873" t="str">
        <f>"הכנסות  מלקוחות"</f>
        <v>הכנסות  מלקוחות</v>
      </c>
      <c r="AQ4873" t="str">
        <f>"007"</f>
        <v>007</v>
      </c>
      <c r="AR4873">
        <v>0</v>
      </c>
      <c r="AS4873">
        <v>0</v>
      </c>
      <c r="AT4873">
        <v>3.57</v>
      </c>
      <c r="AX4873" t="str">
        <f>"E000145856"</f>
        <v>E000145856</v>
      </c>
      <c r="BD4873" t="str">
        <f>"רוני דידי"</f>
        <v>רוני דידי</v>
      </c>
    </row>
    <row r="4874" spans="1:56" x14ac:dyDescent="0.3">
      <c r="A4874" s="1">
        <v>41403</v>
      </c>
      <c r="B4874" t="str">
        <f>"SI130000281"</f>
        <v>SI130000281</v>
      </c>
      <c r="C4874" t="str">
        <f>"PR13000158"</f>
        <v>PR13000158</v>
      </c>
      <c r="D4874" t="str">
        <f>"PR13000158"</f>
        <v>PR13000158</v>
      </c>
      <c r="E4874" t="str">
        <f>"Y"</f>
        <v>Y</v>
      </c>
      <c r="F4874" t="str">
        <f>"חשבוניות מרכזות"</f>
        <v>חשבוניות מרכזות</v>
      </c>
      <c r="G4874" t="str">
        <f>"700065"</f>
        <v>700065</v>
      </c>
      <c r="H4874" t="str">
        <f>"אלתא מערכות בע""מ"</f>
        <v>אלתא מערכות בע"מ</v>
      </c>
      <c r="I4874" t="str">
        <f>"10"</f>
        <v>10</v>
      </c>
      <c r="J4874" t="str">
        <f>"000"</f>
        <v>000</v>
      </c>
      <c r="K4874" t="str">
        <f>"OPERATOR TABLE SOCD - KUBIA"</f>
        <v>OPERATOR TABLE SOCD - KUBIA</v>
      </c>
      <c r="L4874">
        <v>1</v>
      </c>
      <c r="M4874" t="str">
        <f>"יח"</f>
        <v>יח</v>
      </c>
      <c r="N4874">
        <v>1</v>
      </c>
      <c r="O4874" t="str">
        <f>"יח"</f>
        <v>יח</v>
      </c>
      <c r="P4874" s="2">
        <v>4974</v>
      </c>
      <c r="Q4874" t="str">
        <f>"$"</f>
        <v>$</v>
      </c>
      <c r="R4874" t="str">
        <f>"הזמנה"</f>
        <v>הזמנה</v>
      </c>
      <c r="S4874">
        <v>0</v>
      </c>
      <c r="T4874" s="2">
        <v>4974</v>
      </c>
      <c r="U4874">
        <v>0</v>
      </c>
      <c r="V4874" s="2">
        <v>4974</v>
      </c>
      <c r="W4874" t="str">
        <f>"$"</f>
        <v>$</v>
      </c>
      <c r="X4874">
        <v>0</v>
      </c>
      <c r="Y4874">
        <v>0</v>
      </c>
      <c r="Z4874">
        <v>0</v>
      </c>
      <c r="AA4874" t="str">
        <f>"Y"</f>
        <v>Y</v>
      </c>
      <c r="AB4874" t="str">
        <f>"SO130000458"</f>
        <v>SO130000458</v>
      </c>
      <c r="AC4874">
        <v>4</v>
      </c>
      <c r="AD4874" s="1">
        <v>41403</v>
      </c>
      <c r="AM4874" t="str">
        <f>"10"</f>
        <v>10</v>
      </c>
      <c r="AN4874" t="str">
        <f>"500000"</f>
        <v>500000</v>
      </c>
      <c r="AO4874" t="str">
        <f>"הכנסות  מלקוחות"</f>
        <v>הכנסות  מלקוחות</v>
      </c>
      <c r="AQ4874" t="str">
        <f>"007"</f>
        <v>007</v>
      </c>
      <c r="AR4874">
        <v>0</v>
      </c>
      <c r="AS4874">
        <v>0</v>
      </c>
      <c r="AT4874">
        <v>3.57</v>
      </c>
      <c r="AX4874" t="str">
        <f>"E000145856"</f>
        <v>E000145856</v>
      </c>
      <c r="BD4874" t="str">
        <f>"רוני דידי"</f>
        <v>רוני דידי</v>
      </c>
    </row>
    <row r="4875" spans="1:56" x14ac:dyDescent="0.3">
      <c r="A4875" s="1">
        <v>41403</v>
      </c>
      <c r="B4875" t="str">
        <f>"SI130000281"</f>
        <v>SI130000281</v>
      </c>
      <c r="C4875" t="str">
        <f>"PR13000158"</f>
        <v>PR13000158</v>
      </c>
      <c r="D4875" t="str">
        <f>"PR13000158"</f>
        <v>PR13000158</v>
      </c>
      <c r="E4875" t="str">
        <f>"Y"</f>
        <v>Y</v>
      </c>
      <c r="F4875" t="str">
        <f>"חשבוניות מרכזות"</f>
        <v>חשבוניות מרכזות</v>
      </c>
      <c r="G4875" t="str">
        <f>"700065"</f>
        <v>700065</v>
      </c>
      <c r="H4875" t="str">
        <f>"אלתא מערכות בע""מ"</f>
        <v>אלתא מערכות בע"מ</v>
      </c>
      <c r="I4875" t="str">
        <f>"10"</f>
        <v>10</v>
      </c>
      <c r="J4875" t="str">
        <f>"000"</f>
        <v>000</v>
      </c>
      <c r="K4875" t="str">
        <f>"ש- ע ייצור והרכבה NRE עבור 1031P606,303"</f>
        <v>ש- ע ייצור והרכבה NRE עבור 1031P606,303</v>
      </c>
      <c r="L4875">
        <v>1</v>
      </c>
      <c r="M4875" t="str">
        <f>"יח"</f>
        <v>יח</v>
      </c>
      <c r="N4875">
        <v>1</v>
      </c>
      <c r="O4875" t="str">
        <f>"יח"</f>
        <v>יח</v>
      </c>
      <c r="P4875" s="2">
        <v>1152</v>
      </c>
      <c r="Q4875" t="str">
        <f>"$"</f>
        <v>$</v>
      </c>
      <c r="R4875" t="str">
        <f>"הזמנה"</f>
        <v>הזמנה</v>
      </c>
      <c r="S4875">
        <v>0</v>
      </c>
      <c r="T4875" s="2">
        <v>1152</v>
      </c>
      <c r="U4875">
        <v>0</v>
      </c>
      <c r="V4875" s="2">
        <v>1152</v>
      </c>
      <c r="W4875" t="str">
        <f>"$"</f>
        <v>$</v>
      </c>
      <c r="X4875">
        <v>0</v>
      </c>
      <c r="Y4875">
        <v>0</v>
      </c>
      <c r="Z4875">
        <v>0</v>
      </c>
      <c r="AA4875" t="str">
        <f>"Y"</f>
        <v>Y</v>
      </c>
      <c r="AB4875" t="str">
        <f>"SO130000458"</f>
        <v>SO130000458</v>
      </c>
      <c r="AC4875">
        <v>5</v>
      </c>
      <c r="AD4875" s="1">
        <v>41403</v>
      </c>
      <c r="AM4875" t="str">
        <f>"10"</f>
        <v>10</v>
      </c>
      <c r="AN4875" t="str">
        <f>"500000"</f>
        <v>500000</v>
      </c>
      <c r="AO4875" t="str">
        <f>"הכנסות  מלקוחות"</f>
        <v>הכנסות  מלקוחות</v>
      </c>
      <c r="AQ4875" t="str">
        <f>"007"</f>
        <v>007</v>
      </c>
      <c r="AR4875">
        <v>0</v>
      </c>
      <c r="AS4875">
        <v>0</v>
      </c>
      <c r="AT4875">
        <v>3.57</v>
      </c>
      <c r="AX4875" t="str">
        <f>"E000145856"</f>
        <v>E000145856</v>
      </c>
      <c r="BD4875" t="str">
        <f>"רוני דידי"</f>
        <v>רוני דידי</v>
      </c>
    </row>
    <row r="4876" spans="1:56" x14ac:dyDescent="0.3">
      <c r="A4876" s="1">
        <v>41371</v>
      </c>
      <c r="B4876" t="str">
        <f>"SI130000187"</f>
        <v>SI130000187</v>
      </c>
      <c r="E4876" t="str">
        <f>"Y"</f>
        <v>Y</v>
      </c>
      <c r="F4876" t="str">
        <f>"חשבוניות מרכזות"</f>
        <v>חשבוניות מרכזות</v>
      </c>
      <c r="G4876" t="str">
        <f>"700065"</f>
        <v>700065</v>
      </c>
      <c r="H4876" t="str">
        <f>"אלתא מערכות בע""מ"</f>
        <v>אלתא מערכות בע"מ</v>
      </c>
      <c r="J4876" t="str">
        <f>"000"</f>
        <v>000</v>
      </c>
      <c r="K4876" t="str">
        <f>"שינוי לוגיקת פיקוד בלוח PDP בחול"</f>
        <v>שינוי לוגיקת פיקוד בלוח PDP בחול</v>
      </c>
      <c r="L4876">
        <v>1</v>
      </c>
      <c r="M4876" t="str">
        <f>"יח"</f>
        <v>יח</v>
      </c>
      <c r="N4876">
        <v>1</v>
      </c>
      <c r="O4876" t="str">
        <f>"יח"</f>
        <v>יח</v>
      </c>
      <c r="P4876" s="2">
        <v>3420</v>
      </c>
      <c r="Q4876" t="str">
        <f>"$"</f>
        <v>$</v>
      </c>
      <c r="R4876" t="str">
        <f>"הזמנה"</f>
        <v>הזמנה</v>
      </c>
      <c r="S4876">
        <v>0</v>
      </c>
      <c r="T4876" s="2">
        <v>3420</v>
      </c>
      <c r="U4876">
        <v>0</v>
      </c>
      <c r="V4876" s="2">
        <v>3420</v>
      </c>
      <c r="W4876" t="str">
        <f>"$"</f>
        <v>$</v>
      </c>
      <c r="X4876">
        <v>0</v>
      </c>
      <c r="Y4876">
        <v>0</v>
      </c>
      <c r="Z4876">
        <v>0</v>
      </c>
      <c r="AA4876" t="str">
        <f>"Y"</f>
        <v>Y</v>
      </c>
      <c r="AB4876" t="str">
        <f>"SO13000008"</f>
        <v>SO13000008</v>
      </c>
      <c r="AC4876">
        <v>1</v>
      </c>
      <c r="AD4876" s="1">
        <v>41284</v>
      </c>
      <c r="AN4876" t="str">
        <f>"500000"</f>
        <v>500000</v>
      </c>
      <c r="AO4876" t="str">
        <f>"הכנסות  מלקוחות"</f>
        <v>הכנסות  מלקוחות</v>
      </c>
      <c r="AQ4876" t="str">
        <f>"007"</f>
        <v>007</v>
      </c>
      <c r="AR4876">
        <v>0</v>
      </c>
      <c r="AS4876">
        <v>0</v>
      </c>
      <c r="AT4876">
        <v>3.6309999999999998</v>
      </c>
      <c r="AX4876" t="str">
        <f>"E000134372"</f>
        <v>E000134372</v>
      </c>
      <c r="BD4876" t="str">
        <f>"רוני דידי"</f>
        <v>רוני דידי</v>
      </c>
    </row>
    <row r="4877" spans="1:56" x14ac:dyDescent="0.3">
      <c r="A4877" s="1">
        <v>41353</v>
      </c>
      <c r="B4877" t="str">
        <f>"SI130000171"</f>
        <v>SI130000171</v>
      </c>
      <c r="C4877" t="str">
        <f>"PR12000055"</f>
        <v>PR12000055</v>
      </c>
      <c r="D4877" t="str">
        <f>"PR12000055"</f>
        <v>PR12000055</v>
      </c>
      <c r="E4877" t="str">
        <f>"Y"</f>
        <v>Y</v>
      </c>
      <c r="F4877" t="str">
        <f>"חשבוניות מרכזות"</f>
        <v>חשבוניות מרכזות</v>
      </c>
      <c r="G4877" t="str">
        <f>"700065"</f>
        <v>700065</v>
      </c>
      <c r="H4877" t="str">
        <f>"אלתא מערכות בע""מ"</f>
        <v>אלתא מערכות בע"מ</v>
      </c>
      <c r="J4877" t="str">
        <f>"OP-AR22802.1"</f>
        <v>OP-AR22802.1</v>
      </c>
      <c r="K4877" t="str">
        <f>"CABLE ASSAY W101-1L1R1 1030F601-001"</f>
        <v>CABLE ASSAY W101-1L1R1 1030F601-001</v>
      </c>
      <c r="L4877">
        <v>1</v>
      </c>
      <c r="M4877" t="str">
        <f>"יח"</f>
        <v>יח</v>
      </c>
      <c r="N4877">
        <v>1</v>
      </c>
      <c r="O4877" t="str">
        <f>"יח"</f>
        <v>יח</v>
      </c>
      <c r="P4877" s="2">
        <v>4378.54</v>
      </c>
      <c r="Q4877" t="str">
        <f>"$"</f>
        <v>$</v>
      </c>
      <c r="R4877" t="str">
        <f>"תעודת משלוח"</f>
        <v>תעודת משלוח</v>
      </c>
      <c r="S4877">
        <v>0</v>
      </c>
      <c r="T4877" s="2">
        <v>4378.54</v>
      </c>
      <c r="U4877">
        <v>0</v>
      </c>
      <c r="V4877" s="2">
        <v>4378.54</v>
      </c>
      <c r="W4877" t="str">
        <f>"$"</f>
        <v>$</v>
      </c>
      <c r="X4877">
        <v>0</v>
      </c>
      <c r="Y4877">
        <v>0</v>
      </c>
      <c r="Z4877">
        <v>0</v>
      </c>
      <c r="AA4877" t="str">
        <f>"Y"</f>
        <v>Y</v>
      </c>
      <c r="AB4877" t="str">
        <f>"SO13000007"</f>
        <v>SO13000007</v>
      </c>
      <c r="AC4877">
        <v>1</v>
      </c>
      <c r="AD4877" s="1">
        <v>41284</v>
      </c>
      <c r="AE4877" t="str">
        <f>"SH13000123"</f>
        <v>SH13000123</v>
      </c>
      <c r="AF4877" t="str">
        <f>"משלוחים ללקוח"</f>
        <v>משלוחים ללקוח</v>
      </c>
      <c r="AG4877" s="1">
        <v>41352</v>
      </c>
      <c r="AN4877" t="str">
        <f>"500000"</f>
        <v>500000</v>
      </c>
      <c r="AO4877" t="str">
        <f>"הכנסות  מלקוחות"</f>
        <v>הכנסות  מלקוחות</v>
      </c>
      <c r="AQ4877" t="str">
        <f>"007"</f>
        <v>007</v>
      </c>
      <c r="AR4877">
        <v>0</v>
      </c>
      <c r="AS4877">
        <v>0</v>
      </c>
      <c r="AT4877">
        <v>3.6819999999999999</v>
      </c>
      <c r="AX4877" t="str">
        <f>"E000138546"</f>
        <v>E000138546</v>
      </c>
      <c r="BD4877" t="str">
        <f>"רוני דידי"</f>
        <v>רוני דידי</v>
      </c>
    </row>
    <row r="4878" spans="1:56" x14ac:dyDescent="0.3">
      <c r="A4878" s="1">
        <v>41353</v>
      </c>
      <c r="B4878" t="str">
        <f>"SI130000171"</f>
        <v>SI130000171</v>
      </c>
      <c r="C4878" t="str">
        <f>"PR12000055"</f>
        <v>PR12000055</v>
      </c>
      <c r="D4878" t="str">
        <f>"PR12000055"</f>
        <v>PR12000055</v>
      </c>
      <c r="E4878" t="str">
        <f>"Y"</f>
        <v>Y</v>
      </c>
      <c r="F4878" t="str">
        <f>"חשבוניות מרכזות"</f>
        <v>חשבוניות מרכזות</v>
      </c>
      <c r="G4878" t="str">
        <f>"700065"</f>
        <v>700065</v>
      </c>
      <c r="H4878" t="str">
        <f>"אלתא מערכות בע""מ"</f>
        <v>אלתא מערכות בע"מ</v>
      </c>
      <c r="J4878" t="str">
        <f>"OP-AR22802.2"</f>
        <v>OP-AR22802.2</v>
      </c>
      <c r="K4878" t="str">
        <f>"CABLE ASSAY W101-2 1L1R2 1030F602-001"</f>
        <v>CABLE ASSAY W101-2 1L1R2 1030F602-001</v>
      </c>
      <c r="L4878">
        <v>1</v>
      </c>
      <c r="M4878" t="str">
        <f>"יח"</f>
        <v>יח</v>
      </c>
      <c r="N4878">
        <v>1</v>
      </c>
      <c r="O4878" t="str">
        <f>"יח"</f>
        <v>יח</v>
      </c>
      <c r="P4878" s="2">
        <v>4378.54</v>
      </c>
      <c r="Q4878" t="str">
        <f>"$"</f>
        <v>$</v>
      </c>
      <c r="R4878" t="str">
        <f>"תעודת משלוח"</f>
        <v>תעודת משלוח</v>
      </c>
      <c r="S4878">
        <v>0</v>
      </c>
      <c r="T4878" s="2">
        <v>4378.54</v>
      </c>
      <c r="U4878">
        <v>0</v>
      </c>
      <c r="V4878" s="2">
        <v>4378.54</v>
      </c>
      <c r="W4878" t="str">
        <f>"$"</f>
        <v>$</v>
      </c>
      <c r="X4878">
        <v>0</v>
      </c>
      <c r="Y4878">
        <v>0</v>
      </c>
      <c r="Z4878">
        <v>0</v>
      </c>
      <c r="AA4878" t="str">
        <f>"Y"</f>
        <v>Y</v>
      </c>
      <c r="AB4878" t="str">
        <f>"SO13000007"</f>
        <v>SO13000007</v>
      </c>
      <c r="AC4878">
        <v>2</v>
      </c>
      <c r="AD4878" s="1">
        <v>41284</v>
      </c>
      <c r="AE4878" t="str">
        <f>"SH13000123"</f>
        <v>SH13000123</v>
      </c>
      <c r="AF4878" t="str">
        <f>"משלוחים ללקוח"</f>
        <v>משלוחים ללקוח</v>
      </c>
      <c r="AG4878" s="1">
        <v>41352</v>
      </c>
      <c r="AN4878" t="str">
        <f>"500000"</f>
        <v>500000</v>
      </c>
      <c r="AO4878" t="str">
        <f>"הכנסות  מלקוחות"</f>
        <v>הכנסות  מלקוחות</v>
      </c>
      <c r="AQ4878" t="str">
        <f>"007"</f>
        <v>007</v>
      </c>
      <c r="AR4878">
        <v>0</v>
      </c>
      <c r="AS4878">
        <v>0</v>
      </c>
      <c r="AT4878">
        <v>3.6819999999999999</v>
      </c>
      <c r="AX4878" t="str">
        <f>"E000138546"</f>
        <v>E000138546</v>
      </c>
      <c r="BD4878" t="str">
        <f>"רוני דידי"</f>
        <v>רוני דידי</v>
      </c>
    </row>
    <row r="4879" spans="1:56" x14ac:dyDescent="0.3">
      <c r="A4879" s="1">
        <v>41353</v>
      </c>
      <c r="B4879" t="str">
        <f>"SI130000171"</f>
        <v>SI130000171</v>
      </c>
      <c r="C4879" t="str">
        <f>"PR12000055"</f>
        <v>PR12000055</v>
      </c>
      <c r="D4879" t="str">
        <f>"PR12000055"</f>
        <v>PR12000055</v>
      </c>
      <c r="E4879" t="str">
        <f>"Y"</f>
        <v>Y</v>
      </c>
      <c r="F4879" t="str">
        <f>"חשבוניות מרכזות"</f>
        <v>חשבוניות מרכזות</v>
      </c>
      <c r="G4879" t="str">
        <f>"700065"</f>
        <v>700065</v>
      </c>
      <c r="H4879" t="str">
        <f>"אלתא מערכות בע""מ"</f>
        <v>אלתא מערכות בע"מ</v>
      </c>
      <c r="J4879" t="str">
        <f>"OP-AR22802.4"</f>
        <v>OP-AR22802.4</v>
      </c>
      <c r="K4879" t="str">
        <f>"CABLE ASSAY W101-4 1L2S2 1030F604-001"</f>
        <v>CABLE ASSAY W101-4 1L2S2 1030F604-001</v>
      </c>
      <c r="L4879">
        <v>1</v>
      </c>
      <c r="M4879" t="str">
        <f>"יח"</f>
        <v>יח</v>
      </c>
      <c r="N4879">
        <v>1</v>
      </c>
      <c r="O4879" t="str">
        <f>"יח"</f>
        <v>יח</v>
      </c>
      <c r="P4879" s="2">
        <v>3647.85</v>
      </c>
      <c r="Q4879" t="str">
        <f>"$"</f>
        <v>$</v>
      </c>
      <c r="R4879" t="str">
        <f>"תעודת משלוח"</f>
        <v>תעודת משלוח</v>
      </c>
      <c r="S4879">
        <v>0</v>
      </c>
      <c r="T4879" s="2">
        <v>3647.85</v>
      </c>
      <c r="U4879">
        <v>0</v>
      </c>
      <c r="V4879" s="2">
        <v>3647.85</v>
      </c>
      <c r="W4879" t="str">
        <f>"$"</f>
        <v>$</v>
      </c>
      <c r="X4879">
        <v>0</v>
      </c>
      <c r="Y4879">
        <v>0</v>
      </c>
      <c r="Z4879">
        <v>0</v>
      </c>
      <c r="AA4879" t="str">
        <f>"Y"</f>
        <v>Y</v>
      </c>
      <c r="AB4879" t="str">
        <f>"SO13000007"</f>
        <v>SO13000007</v>
      </c>
      <c r="AC4879">
        <v>3</v>
      </c>
      <c r="AD4879" s="1">
        <v>41284</v>
      </c>
      <c r="AE4879" t="str">
        <f>"SH13000123"</f>
        <v>SH13000123</v>
      </c>
      <c r="AF4879" t="str">
        <f>"משלוחים ללקוח"</f>
        <v>משלוחים ללקוח</v>
      </c>
      <c r="AG4879" s="1">
        <v>41352</v>
      </c>
      <c r="AN4879" t="str">
        <f>"500000"</f>
        <v>500000</v>
      </c>
      <c r="AO4879" t="str">
        <f>"הכנסות  מלקוחות"</f>
        <v>הכנסות  מלקוחות</v>
      </c>
      <c r="AQ4879" t="str">
        <f>"007"</f>
        <v>007</v>
      </c>
      <c r="AR4879">
        <v>0</v>
      </c>
      <c r="AS4879">
        <v>0</v>
      </c>
      <c r="AT4879">
        <v>3.6819999999999999</v>
      </c>
      <c r="AX4879" t="str">
        <f>"E000138546"</f>
        <v>E000138546</v>
      </c>
      <c r="BD4879" t="str">
        <f>"רוני דידי"</f>
        <v>רוני דידי</v>
      </c>
    </row>
    <row r="4880" spans="1:56" x14ac:dyDescent="0.3">
      <c r="A4880" s="1">
        <v>41353</v>
      </c>
      <c r="B4880" t="str">
        <f>"SI130000171"</f>
        <v>SI130000171</v>
      </c>
      <c r="C4880" t="str">
        <f>"PR12000055"</f>
        <v>PR12000055</v>
      </c>
      <c r="D4880" t="str">
        <f>"PR12000055"</f>
        <v>PR12000055</v>
      </c>
      <c r="E4880" t="str">
        <f>"Y"</f>
        <v>Y</v>
      </c>
      <c r="F4880" t="str">
        <f>"חשבוניות מרכזות"</f>
        <v>חשבוניות מרכזות</v>
      </c>
      <c r="G4880" t="str">
        <f>"700065"</f>
        <v>700065</v>
      </c>
      <c r="H4880" t="str">
        <f>"אלתא מערכות בע""מ"</f>
        <v>אלתא מערכות בע"מ</v>
      </c>
      <c r="J4880" t="str">
        <f>"OP-AR22802.5"</f>
        <v>OP-AR22802.5</v>
      </c>
      <c r="K4880" t="str">
        <f>"CABLE ASSAY W101-5 1L3T1 1030F605-001"</f>
        <v>CABLE ASSAY W101-5 1L3T1 1030F605-001</v>
      </c>
      <c r="L4880">
        <v>1</v>
      </c>
      <c r="M4880" t="str">
        <f>"יח"</f>
        <v>יח</v>
      </c>
      <c r="N4880">
        <v>1</v>
      </c>
      <c r="O4880" t="str">
        <f>"יח"</f>
        <v>יח</v>
      </c>
      <c r="P4880" s="2">
        <v>4378.54</v>
      </c>
      <c r="Q4880" t="str">
        <f>"$"</f>
        <v>$</v>
      </c>
      <c r="R4880" t="str">
        <f>"תעודת משלוח"</f>
        <v>תעודת משלוח</v>
      </c>
      <c r="S4880">
        <v>0</v>
      </c>
      <c r="T4880" s="2">
        <v>4378.54</v>
      </c>
      <c r="U4880">
        <v>0</v>
      </c>
      <c r="V4880" s="2">
        <v>4378.54</v>
      </c>
      <c r="W4880" t="str">
        <f>"$"</f>
        <v>$</v>
      </c>
      <c r="X4880">
        <v>0</v>
      </c>
      <c r="Y4880">
        <v>0</v>
      </c>
      <c r="Z4880">
        <v>0</v>
      </c>
      <c r="AA4880" t="str">
        <f>"Y"</f>
        <v>Y</v>
      </c>
      <c r="AB4880" t="str">
        <f>"SO13000007"</f>
        <v>SO13000007</v>
      </c>
      <c r="AC4880">
        <v>4</v>
      </c>
      <c r="AD4880" s="1">
        <v>41284</v>
      </c>
      <c r="AE4880" t="str">
        <f>"SH13000123"</f>
        <v>SH13000123</v>
      </c>
      <c r="AF4880" t="str">
        <f>"משלוחים ללקוח"</f>
        <v>משלוחים ללקוח</v>
      </c>
      <c r="AG4880" s="1">
        <v>41352</v>
      </c>
      <c r="AN4880" t="str">
        <f>"500000"</f>
        <v>500000</v>
      </c>
      <c r="AO4880" t="str">
        <f>"הכנסות  מלקוחות"</f>
        <v>הכנסות  מלקוחות</v>
      </c>
      <c r="AQ4880" t="str">
        <f>"007"</f>
        <v>007</v>
      </c>
      <c r="AR4880">
        <v>0</v>
      </c>
      <c r="AS4880">
        <v>0</v>
      </c>
      <c r="AT4880">
        <v>3.6819999999999999</v>
      </c>
      <c r="AX4880" t="str">
        <f>"E000138546"</f>
        <v>E000138546</v>
      </c>
      <c r="BD4880" t="str">
        <f>"רוני דידי"</f>
        <v>רוני דידי</v>
      </c>
    </row>
    <row r="4881" spans="1:56" x14ac:dyDescent="0.3">
      <c r="A4881" s="1">
        <v>41353</v>
      </c>
      <c r="B4881" t="str">
        <f>"SI130000171"</f>
        <v>SI130000171</v>
      </c>
      <c r="C4881" t="str">
        <f>"PR12000055"</f>
        <v>PR12000055</v>
      </c>
      <c r="D4881" t="str">
        <f>"PR12000055"</f>
        <v>PR12000055</v>
      </c>
      <c r="E4881" t="str">
        <f>"Y"</f>
        <v>Y</v>
      </c>
      <c r="F4881" t="str">
        <f>"חשבוניות מרכזות"</f>
        <v>חשבוניות מרכזות</v>
      </c>
      <c r="G4881" t="str">
        <f>"700065"</f>
        <v>700065</v>
      </c>
      <c r="H4881" t="str">
        <f>"אלתא מערכות בע""מ"</f>
        <v>אלתא מערכות בע"מ</v>
      </c>
      <c r="J4881" t="str">
        <f>"OP-AR22802.6"</f>
        <v>OP-AR22802.6</v>
      </c>
      <c r="K4881" t="str">
        <f>"CABLE ASSAY W101-6 1L3T2 1030F606-001"</f>
        <v>CABLE ASSAY W101-6 1L3T2 1030F606-001</v>
      </c>
      <c r="L4881">
        <v>1</v>
      </c>
      <c r="M4881" t="str">
        <f>"יח"</f>
        <v>יח</v>
      </c>
      <c r="N4881">
        <v>1</v>
      </c>
      <c r="O4881" t="str">
        <f>"יח"</f>
        <v>יח</v>
      </c>
      <c r="P4881" s="2">
        <v>4378.54</v>
      </c>
      <c r="Q4881" t="str">
        <f>"$"</f>
        <v>$</v>
      </c>
      <c r="R4881" t="str">
        <f>"תעודת משלוח"</f>
        <v>תעודת משלוח</v>
      </c>
      <c r="S4881">
        <v>0</v>
      </c>
      <c r="T4881" s="2">
        <v>4378.54</v>
      </c>
      <c r="U4881">
        <v>0</v>
      </c>
      <c r="V4881" s="2">
        <v>4378.54</v>
      </c>
      <c r="W4881" t="str">
        <f>"$"</f>
        <v>$</v>
      </c>
      <c r="X4881">
        <v>0</v>
      </c>
      <c r="Y4881">
        <v>0</v>
      </c>
      <c r="Z4881">
        <v>0</v>
      </c>
      <c r="AA4881" t="str">
        <f>"Y"</f>
        <v>Y</v>
      </c>
      <c r="AB4881" t="str">
        <f>"SO13000007"</f>
        <v>SO13000007</v>
      </c>
      <c r="AC4881">
        <v>5</v>
      </c>
      <c r="AD4881" s="1">
        <v>41284</v>
      </c>
      <c r="AE4881" t="str">
        <f>"SH13000123"</f>
        <v>SH13000123</v>
      </c>
      <c r="AF4881" t="str">
        <f>"משלוחים ללקוח"</f>
        <v>משלוחים ללקוח</v>
      </c>
      <c r="AG4881" s="1">
        <v>41352</v>
      </c>
      <c r="AN4881" t="str">
        <f>"500000"</f>
        <v>500000</v>
      </c>
      <c r="AO4881" t="str">
        <f>"הכנסות  מלקוחות"</f>
        <v>הכנסות  מלקוחות</v>
      </c>
      <c r="AQ4881" t="str">
        <f>"007"</f>
        <v>007</v>
      </c>
      <c r="AR4881">
        <v>0</v>
      </c>
      <c r="AS4881">
        <v>0</v>
      </c>
      <c r="AT4881">
        <v>3.6819999999999999</v>
      </c>
      <c r="AX4881" t="str">
        <f>"E000138546"</f>
        <v>E000138546</v>
      </c>
      <c r="BD4881" t="str">
        <f>"רוני דידי"</f>
        <v>רוני דידי</v>
      </c>
    </row>
    <row r="4882" spans="1:56" x14ac:dyDescent="0.3">
      <c r="A4882" s="1">
        <v>41353</v>
      </c>
      <c r="B4882" t="str">
        <f>"SI130000171"</f>
        <v>SI130000171</v>
      </c>
      <c r="C4882" t="str">
        <f>"PR12000055"</f>
        <v>PR12000055</v>
      </c>
      <c r="D4882" t="str">
        <f>"PR12000055"</f>
        <v>PR12000055</v>
      </c>
      <c r="E4882" t="str">
        <f>"Y"</f>
        <v>Y</v>
      </c>
      <c r="F4882" t="str">
        <f>"חשבוניות מרכזות"</f>
        <v>חשבוניות מרכזות</v>
      </c>
      <c r="G4882" t="str">
        <f>"700065"</f>
        <v>700065</v>
      </c>
      <c r="H4882" t="str">
        <f>"אלתא מערכות בע""מ"</f>
        <v>אלתא מערכות בע"מ</v>
      </c>
      <c r="J4882" t="str">
        <f>"OP-AR22802.7"</f>
        <v>OP-AR22802.7</v>
      </c>
      <c r="K4882" t="str">
        <f>"CABLE ASSAY W101-7 NATURAL 1 1030F607-001"</f>
        <v>CABLE ASSAY W101-7 NATURAL 1 1030F607-001</v>
      </c>
      <c r="L4882">
        <v>1</v>
      </c>
      <c r="M4882" t="str">
        <f>"יח"</f>
        <v>יח</v>
      </c>
      <c r="N4882">
        <v>1</v>
      </c>
      <c r="O4882" t="str">
        <f>"יח"</f>
        <v>יח</v>
      </c>
      <c r="P4882" s="2">
        <v>4378.54</v>
      </c>
      <c r="Q4882" t="str">
        <f>"$"</f>
        <v>$</v>
      </c>
      <c r="R4882" t="str">
        <f>"תעודת משלוח"</f>
        <v>תעודת משלוח</v>
      </c>
      <c r="S4882">
        <v>0</v>
      </c>
      <c r="T4882" s="2">
        <v>4378.54</v>
      </c>
      <c r="U4882">
        <v>0</v>
      </c>
      <c r="V4882" s="2">
        <v>4378.54</v>
      </c>
      <c r="W4882" t="str">
        <f>"$"</f>
        <v>$</v>
      </c>
      <c r="X4882">
        <v>0</v>
      </c>
      <c r="Y4882">
        <v>0</v>
      </c>
      <c r="Z4882">
        <v>0</v>
      </c>
      <c r="AA4882" t="str">
        <f>"Y"</f>
        <v>Y</v>
      </c>
      <c r="AB4882" t="str">
        <f>"SO13000007"</f>
        <v>SO13000007</v>
      </c>
      <c r="AC4882">
        <v>6</v>
      </c>
      <c r="AD4882" s="1">
        <v>41284</v>
      </c>
      <c r="AE4882" t="str">
        <f>"SH13000123"</f>
        <v>SH13000123</v>
      </c>
      <c r="AF4882" t="str">
        <f>"משלוחים ללקוח"</f>
        <v>משלוחים ללקוח</v>
      </c>
      <c r="AG4882" s="1">
        <v>41352</v>
      </c>
      <c r="AN4882" t="str">
        <f>"500000"</f>
        <v>500000</v>
      </c>
      <c r="AO4882" t="str">
        <f>"הכנסות  מלקוחות"</f>
        <v>הכנסות  מלקוחות</v>
      </c>
      <c r="AQ4882" t="str">
        <f>"007"</f>
        <v>007</v>
      </c>
      <c r="AR4882">
        <v>0</v>
      </c>
      <c r="AS4882">
        <v>0</v>
      </c>
      <c r="AT4882">
        <v>3.6819999999999999</v>
      </c>
      <c r="AX4882" t="str">
        <f>"E000138546"</f>
        <v>E000138546</v>
      </c>
      <c r="BD4882" t="str">
        <f>"רוני דידי"</f>
        <v>רוני דידי</v>
      </c>
    </row>
    <row r="4883" spans="1:56" x14ac:dyDescent="0.3">
      <c r="A4883" s="1">
        <v>41353</v>
      </c>
      <c r="B4883" t="str">
        <f>"SI130000171"</f>
        <v>SI130000171</v>
      </c>
      <c r="C4883" t="str">
        <f>"PR12000055"</f>
        <v>PR12000055</v>
      </c>
      <c r="D4883" t="str">
        <f>"PR12000055"</f>
        <v>PR12000055</v>
      </c>
      <c r="E4883" t="str">
        <f>"Y"</f>
        <v>Y</v>
      </c>
      <c r="F4883" t="str">
        <f>"חשבוניות מרכזות"</f>
        <v>חשבוניות מרכזות</v>
      </c>
      <c r="G4883" t="str">
        <f>"700065"</f>
        <v>700065</v>
      </c>
      <c r="H4883" t="str">
        <f>"אלתא מערכות בע""מ"</f>
        <v>אלתא מערכות בע"מ</v>
      </c>
      <c r="J4883" t="str">
        <f>"OP-AR22802.8"</f>
        <v>OP-AR22802.8</v>
      </c>
      <c r="K4883" t="str">
        <f>"CABLE ASSAY W101-8 NATURAL 2 1030F608-001"</f>
        <v>CABLE ASSAY W101-8 NATURAL 2 1030F608-001</v>
      </c>
      <c r="L4883">
        <v>1</v>
      </c>
      <c r="M4883" t="str">
        <f>"יח"</f>
        <v>יח</v>
      </c>
      <c r="N4883">
        <v>1</v>
      </c>
      <c r="O4883" t="str">
        <f>"יח"</f>
        <v>יח</v>
      </c>
      <c r="P4883" s="2">
        <v>3676.74</v>
      </c>
      <c r="Q4883" t="str">
        <f>"$"</f>
        <v>$</v>
      </c>
      <c r="R4883" t="str">
        <f>"תעודת משלוח"</f>
        <v>תעודת משלוח</v>
      </c>
      <c r="S4883">
        <v>0</v>
      </c>
      <c r="T4883" s="2">
        <v>3676.74</v>
      </c>
      <c r="U4883">
        <v>0</v>
      </c>
      <c r="V4883" s="2">
        <v>3676.74</v>
      </c>
      <c r="W4883" t="str">
        <f>"$"</f>
        <v>$</v>
      </c>
      <c r="X4883">
        <v>0</v>
      </c>
      <c r="Y4883">
        <v>0</v>
      </c>
      <c r="Z4883">
        <v>0</v>
      </c>
      <c r="AA4883" t="str">
        <f>"Y"</f>
        <v>Y</v>
      </c>
      <c r="AB4883" t="str">
        <f>"SO13000007"</f>
        <v>SO13000007</v>
      </c>
      <c r="AC4883">
        <v>7</v>
      </c>
      <c r="AD4883" s="1">
        <v>41284</v>
      </c>
      <c r="AE4883" t="str">
        <f>"SH13000123"</f>
        <v>SH13000123</v>
      </c>
      <c r="AF4883" t="str">
        <f>"משלוחים ללקוח"</f>
        <v>משלוחים ללקוח</v>
      </c>
      <c r="AG4883" s="1">
        <v>41352</v>
      </c>
      <c r="AN4883" t="str">
        <f>"500000"</f>
        <v>500000</v>
      </c>
      <c r="AO4883" t="str">
        <f>"הכנסות  מלקוחות"</f>
        <v>הכנסות  מלקוחות</v>
      </c>
      <c r="AQ4883" t="str">
        <f>"007"</f>
        <v>007</v>
      </c>
      <c r="AR4883">
        <v>0</v>
      </c>
      <c r="AS4883">
        <v>0</v>
      </c>
      <c r="AT4883">
        <v>3.6819999999999999</v>
      </c>
      <c r="AX4883" t="str">
        <f>"E000138546"</f>
        <v>E000138546</v>
      </c>
      <c r="BD4883" t="str">
        <f>"רוני דידי"</f>
        <v>רוני דידי</v>
      </c>
    </row>
    <row r="4884" spans="1:56" x14ac:dyDescent="0.3">
      <c r="A4884" s="1">
        <v>41353</v>
      </c>
      <c r="B4884" t="str">
        <f>"SI130000171"</f>
        <v>SI130000171</v>
      </c>
      <c r="C4884" t="str">
        <f>"PR12000055"</f>
        <v>PR12000055</v>
      </c>
      <c r="D4884" t="str">
        <f>"PR12000055"</f>
        <v>PR12000055</v>
      </c>
      <c r="E4884" t="str">
        <f>"Y"</f>
        <v>Y</v>
      </c>
      <c r="F4884" t="str">
        <f>"חשבוניות מרכזות"</f>
        <v>חשבוניות מרכזות</v>
      </c>
      <c r="G4884" t="str">
        <f>"700065"</f>
        <v>700065</v>
      </c>
      <c r="H4884" t="str">
        <f>"אלתא מערכות בע""מ"</f>
        <v>אלתא מערכות בע"מ</v>
      </c>
      <c r="J4884" t="str">
        <f>"OP-AR22802.9"</f>
        <v>OP-AR22802.9</v>
      </c>
      <c r="K4884" t="str">
        <f>"CABLE ASSAY W101-9 GND 1030F609-001"</f>
        <v>CABLE ASSAY W101-9 GND 1030F609-001</v>
      </c>
      <c r="L4884">
        <v>1</v>
      </c>
      <c r="M4884" t="str">
        <f>"יח"</f>
        <v>יח</v>
      </c>
      <c r="N4884">
        <v>1</v>
      </c>
      <c r="O4884" t="str">
        <f>"יח"</f>
        <v>יח</v>
      </c>
      <c r="P4884" s="2">
        <v>4321.68</v>
      </c>
      <c r="Q4884" t="str">
        <f>"$"</f>
        <v>$</v>
      </c>
      <c r="R4884" t="str">
        <f>"תעודת משלוח"</f>
        <v>תעודת משלוח</v>
      </c>
      <c r="S4884">
        <v>0</v>
      </c>
      <c r="T4884" s="2">
        <v>4321.68</v>
      </c>
      <c r="U4884">
        <v>0</v>
      </c>
      <c r="V4884" s="2">
        <v>4321.68</v>
      </c>
      <c r="W4884" t="str">
        <f>"$"</f>
        <v>$</v>
      </c>
      <c r="X4884">
        <v>0</v>
      </c>
      <c r="Y4884">
        <v>0</v>
      </c>
      <c r="Z4884">
        <v>0</v>
      </c>
      <c r="AA4884" t="str">
        <f>"Y"</f>
        <v>Y</v>
      </c>
      <c r="AB4884" t="str">
        <f>"SO13000007"</f>
        <v>SO13000007</v>
      </c>
      <c r="AC4884">
        <v>8</v>
      </c>
      <c r="AD4884" s="1">
        <v>41284</v>
      </c>
      <c r="AE4884" t="str">
        <f>"SH13000123"</f>
        <v>SH13000123</v>
      </c>
      <c r="AF4884" t="str">
        <f>"משלוחים ללקוח"</f>
        <v>משלוחים ללקוח</v>
      </c>
      <c r="AG4884" s="1">
        <v>41352</v>
      </c>
      <c r="AN4884" t="str">
        <f>"500000"</f>
        <v>500000</v>
      </c>
      <c r="AO4884" t="str">
        <f>"הכנסות  מלקוחות"</f>
        <v>הכנסות  מלקוחות</v>
      </c>
      <c r="AQ4884" t="str">
        <f>"007"</f>
        <v>007</v>
      </c>
      <c r="AR4884">
        <v>0</v>
      </c>
      <c r="AS4884">
        <v>0</v>
      </c>
      <c r="AT4884">
        <v>3.6819999999999999</v>
      </c>
      <c r="AX4884" t="str">
        <f>"E000138546"</f>
        <v>E000138546</v>
      </c>
      <c r="BD4884" t="str">
        <f>"רוני דידי"</f>
        <v>רוני דידי</v>
      </c>
    </row>
    <row r="4885" spans="1:56" x14ac:dyDescent="0.3">
      <c r="A4885" s="1">
        <v>41353</v>
      </c>
      <c r="B4885" t="str">
        <f>"SI130000171"</f>
        <v>SI130000171</v>
      </c>
      <c r="C4885" t="str">
        <f>"PR12000055"</f>
        <v>PR12000055</v>
      </c>
      <c r="D4885" t="str">
        <f>"PR12000055"</f>
        <v>PR12000055</v>
      </c>
      <c r="E4885" t="str">
        <f>"Y"</f>
        <v>Y</v>
      </c>
      <c r="F4885" t="str">
        <f>"חשבוניות מרכזות"</f>
        <v>חשבוניות מרכזות</v>
      </c>
      <c r="G4885" t="str">
        <f>"700065"</f>
        <v>700065</v>
      </c>
      <c r="H4885" t="str">
        <f>"אלתא מערכות בע""מ"</f>
        <v>אלתא מערכות בע"מ</v>
      </c>
      <c r="J4885" t="str">
        <f>"OP-AR22802.10"</f>
        <v>OP-AR22802.10</v>
      </c>
      <c r="K4885" t="str">
        <f>"CABLE ASSAY W102 PDCS TO EMS 1030F610-001"</f>
        <v>CABLE ASSAY W102 PDCS TO EMS 1030F610-001</v>
      </c>
      <c r="L4885">
        <v>1</v>
      </c>
      <c r="M4885" t="str">
        <f>"יח"</f>
        <v>יח</v>
      </c>
      <c r="N4885">
        <v>1</v>
      </c>
      <c r="O4885" t="str">
        <f>"יח"</f>
        <v>יח</v>
      </c>
      <c r="P4885" s="2">
        <v>3505.25</v>
      </c>
      <c r="Q4885" t="str">
        <f>"$"</f>
        <v>$</v>
      </c>
      <c r="R4885" t="str">
        <f>"תעודת משלוח"</f>
        <v>תעודת משלוח</v>
      </c>
      <c r="S4885">
        <v>0</v>
      </c>
      <c r="T4885" s="2">
        <v>3505.25</v>
      </c>
      <c r="U4885">
        <v>0</v>
      </c>
      <c r="V4885" s="2">
        <v>3505.25</v>
      </c>
      <c r="W4885" t="str">
        <f>"$"</f>
        <v>$</v>
      </c>
      <c r="X4885">
        <v>0</v>
      </c>
      <c r="Y4885">
        <v>0</v>
      </c>
      <c r="Z4885">
        <v>0</v>
      </c>
      <c r="AA4885" t="str">
        <f>"Y"</f>
        <v>Y</v>
      </c>
      <c r="AB4885" t="str">
        <f>"SO13000007"</f>
        <v>SO13000007</v>
      </c>
      <c r="AC4885">
        <v>9</v>
      </c>
      <c r="AD4885" s="1">
        <v>41284</v>
      </c>
      <c r="AE4885" t="str">
        <f>"SH13000123"</f>
        <v>SH13000123</v>
      </c>
      <c r="AF4885" t="str">
        <f>"משלוחים ללקוח"</f>
        <v>משלוחים ללקוח</v>
      </c>
      <c r="AG4885" s="1">
        <v>41352</v>
      </c>
      <c r="AN4885" t="str">
        <f>"500000"</f>
        <v>500000</v>
      </c>
      <c r="AO4885" t="str">
        <f>"הכנסות  מלקוחות"</f>
        <v>הכנסות  מלקוחות</v>
      </c>
      <c r="AQ4885" t="str">
        <f>"007"</f>
        <v>007</v>
      </c>
      <c r="AR4885">
        <v>0</v>
      </c>
      <c r="AS4885">
        <v>0</v>
      </c>
      <c r="AT4885">
        <v>3.6819999999999999</v>
      </c>
      <c r="AX4885" t="str">
        <f>"E000138546"</f>
        <v>E000138546</v>
      </c>
      <c r="BD4885" t="str">
        <f>"רוני דידי"</f>
        <v>רוני דידי</v>
      </c>
    </row>
    <row r="4886" spans="1:56" x14ac:dyDescent="0.3">
      <c r="A4886" s="1">
        <v>41353</v>
      </c>
      <c r="B4886" t="str">
        <f>"SI130000171"</f>
        <v>SI130000171</v>
      </c>
      <c r="C4886" t="str">
        <f>"PR12000055"</f>
        <v>PR12000055</v>
      </c>
      <c r="D4886" t="str">
        <f>"PR12000055"</f>
        <v>PR12000055</v>
      </c>
      <c r="E4886" t="str">
        <f>"Y"</f>
        <v>Y</v>
      </c>
      <c r="F4886" t="str">
        <f>"חשבוניות מרכזות"</f>
        <v>חשבוניות מרכזות</v>
      </c>
      <c r="G4886" t="str">
        <f>"700065"</f>
        <v>700065</v>
      </c>
      <c r="H4886" t="str">
        <f>"אלתא מערכות בע""מ"</f>
        <v>אלתא מערכות בע"מ</v>
      </c>
      <c r="J4886" t="str">
        <f>"OP-AR22802.11"</f>
        <v>OP-AR22802.11</v>
      </c>
      <c r="K4886" t="str">
        <f>"CABLE ASSAY W103 PDCS TO RCS 1030F611-001"</f>
        <v>CABLE ASSAY W103 PDCS TO RCS 1030F611-001</v>
      </c>
      <c r="L4886">
        <v>1</v>
      </c>
      <c r="M4886" t="str">
        <f>"יח"</f>
        <v>יח</v>
      </c>
      <c r="N4886">
        <v>1</v>
      </c>
      <c r="O4886" t="str">
        <f>"יח"</f>
        <v>יח</v>
      </c>
      <c r="P4886">
        <v>823.89</v>
      </c>
      <c r="Q4886" t="str">
        <f>"$"</f>
        <v>$</v>
      </c>
      <c r="R4886" t="str">
        <f>"תעודת משלוח"</f>
        <v>תעודת משלוח</v>
      </c>
      <c r="S4886">
        <v>0</v>
      </c>
      <c r="T4886">
        <v>823.89</v>
      </c>
      <c r="U4886">
        <v>0</v>
      </c>
      <c r="V4886">
        <v>823.89</v>
      </c>
      <c r="W4886" t="str">
        <f>"$"</f>
        <v>$</v>
      </c>
      <c r="X4886">
        <v>0</v>
      </c>
      <c r="Y4886">
        <v>0</v>
      </c>
      <c r="Z4886">
        <v>0</v>
      </c>
      <c r="AA4886" t="str">
        <f>"Y"</f>
        <v>Y</v>
      </c>
      <c r="AB4886" t="str">
        <f>"SO13000007"</f>
        <v>SO13000007</v>
      </c>
      <c r="AC4886">
        <v>10</v>
      </c>
      <c r="AD4886" s="1">
        <v>41284</v>
      </c>
      <c r="AE4886" t="str">
        <f>"SH13000123"</f>
        <v>SH13000123</v>
      </c>
      <c r="AF4886" t="str">
        <f>"משלוחים ללקוח"</f>
        <v>משלוחים ללקוח</v>
      </c>
      <c r="AG4886" s="1">
        <v>41352</v>
      </c>
      <c r="AN4886" t="str">
        <f>"500000"</f>
        <v>500000</v>
      </c>
      <c r="AO4886" t="str">
        <f>"הכנסות  מלקוחות"</f>
        <v>הכנסות  מלקוחות</v>
      </c>
      <c r="AQ4886" t="str">
        <f>"007"</f>
        <v>007</v>
      </c>
      <c r="AR4886">
        <v>0</v>
      </c>
      <c r="AS4886">
        <v>0</v>
      </c>
      <c r="AT4886">
        <v>3.6819999999999999</v>
      </c>
      <c r="AX4886" t="str">
        <f>"E000138546"</f>
        <v>E000138546</v>
      </c>
      <c r="BD4886" t="str">
        <f>"רוני דידי"</f>
        <v>רוני דידי</v>
      </c>
    </row>
    <row r="4887" spans="1:56" x14ac:dyDescent="0.3">
      <c r="A4887" s="1">
        <v>41353</v>
      </c>
      <c r="B4887" t="str">
        <f>"SI130000171"</f>
        <v>SI130000171</v>
      </c>
      <c r="C4887" t="str">
        <f>"PR12000055"</f>
        <v>PR12000055</v>
      </c>
      <c r="D4887" t="str">
        <f>"PR12000055"</f>
        <v>PR12000055</v>
      </c>
      <c r="E4887" t="str">
        <f>"Y"</f>
        <v>Y</v>
      </c>
      <c r="F4887" t="str">
        <f>"חשבוניות מרכזות"</f>
        <v>חשבוניות מרכזות</v>
      </c>
      <c r="G4887" t="str">
        <f>"700065"</f>
        <v>700065</v>
      </c>
      <c r="H4887" t="str">
        <f>"אלתא מערכות בע""מ"</f>
        <v>אלתא מערכות בע"מ</v>
      </c>
      <c r="J4887" t="str">
        <f>"OP-AR22802.12"</f>
        <v>OP-AR22802.12</v>
      </c>
      <c r="K4887" t="str">
        <f>"CABLE ASSAY W104 PDCS TO MMS 1030F612-001"</f>
        <v>CABLE ASSAY W104 PDCS TO MMS 1030F612-001</v>
      </c>
      <c r="L4887">
        <v>1</v>
      </c>
      <c r="M4887" t="str">
        <f>"יח"</f>
        <v>יח</v>
      </c>
      <c r="N4887">
        <v>1</v>
      </c>
      <c r="O4887" t="str">
        <f>"יח"</f>
        <v>יח</v>
      </c>
      <c r="P4887" s="2">
        <v>3343.08</v>
      </c>
      <c r="Q4887" t="str">
        <f>"$"</f>
        <v>$</v>
      </c>
      <c r="R4887" t="str">
        <f>"תעודת משלוח"</f>
        <v>תעודת משלוח</v>
      </c>
      <c r="S4887">
        <v>0</v>
      </c>
      <c r="T4887" s="2">
        <v>3343.08</v>
      </c>
      <c r="U4887">
        <v>0</v>
      </c>
      <c r="V4887" s="2">
        <v>3343.08</v>
      </c>
      <c r="W4887" t="str">
        <f>"$"</f>
        <v>$</v>
      </c>
      <c r="X4887">
        <v>0</v>
      </c>
      <c r="Y4887">
        <v>0</v>
      </c>
      <c r="Z4887">
        <v>0</v>
      </c>
      <c r="AA4887" t="str">
        <f>"Y"</f>
        <v>Y</v>
      </c>
      <c r="AB4887" t="str">
        <f>"SO13000007"</f>
        <v>SO13000007</v>
      </c>
      <c r="AC4887">
        <v>11</v>
      </c>
      <c r="AD4887" s="1">
        <v>41284</v>
      </c>
      <c r="AE4887" t="str">
        <f>"SH13000123"</f>
        <v>SH13000123</v>
      </c>
      <c r="AF4887" t="str">
        <f>"משלוחים ללקוח"</f>
        <v>משלוחים ללקוח</v>
      </c>
      <c r="AG4887" s="1">
        <v>41352</v>
      </c>
      <c r="AN4887" t="str">
        <f>"500000"</f>
        <v>500000</v>
      </c>
      <c r="AO4887" t="str">
        <f>"הכנסות  מלקוחות"</f>
        <v>הכנסות  מלקוחות</v>
      </c>
      <c r="AQ4887" t="str">
        <f>"007"</f>
        <v>007</v>
      </c>
      <c r="AR4887">
        <v>0</v>
      </c>
      <c r="AS4887">
        <v>0</v>
      </c>
      <c r="AT4887">
        <v>3.6819999999999999</v>
      </c>
      <c r="AX4887" t="str">
        <f>"E000138546"</f>
        <v>E000138546</v>
      </c>
      <c r="BD4887" t="str">
        <f>"רוני דידי"</f>
        <v>רוני דידי</v>
      </c>
    </row>
    <row r="4888" spans="1:56" x14ac:dyDescent="0.3">
      <c r="A4888" s="1">
        <v>41353</v>
      </c>
      <c r="B4888" t="str">
        <f>"SI130000171"</f>
        <v>SI130000171</v>
      </c>
      <c r="C4888" t="str">
        <f>"PR12000055"</f>
        <v>PR12000055</v>
      </c>
      <c r="D4888" t="str">
        <f>"PR12000055"</f>
        <v>PR12000055</v>
      </c>
      <c r="E4888" t="str">
        <f>"Y"</f>
        <v>Y</v>
      </c>
      <c r="F4888" t="str">
        <f>"חשבוניות מרכזות"</f>
        <v>חשבוניות מרכזות</v>
      </c>
      <c r="G4888" t="str">
        <f>"700065"</f>
        <v>700065</v>
      </c>
      <c r="H4888" t="str">
        <f>"אלתא מערכות בע""מ"</f>
        <v>אלתא מערכות בע"מ</v>
      </c>
      <c r="J4888" t="str">
        <f>"OP-AR22802.13"</f>
        <v>OP-AR22802.13</v>
      </c>
      <c r="K4888" t="str">
        <f>"CABLE ASSAY W105 PDCS TO AGCS 1030F613-001"</f>
        <v>CABLE ASSAY W105 PDCS TO AGCS 1030F613-001</v>
      </c>
      <c r="L4888">
        <v>1</v>
      </c>
      <c r="M4888" t="str">
        <f>"יח"</f>
        <v>יח</v>
      </c>
      <c r="N4888">
        <v>1</v>
      </c>
      <c r="O4888" t="str">
        <f>"יח"</f>
        <v>יח</v>
      </c>
      <c r="P4888" s="2">
        <v>3970.32</v>
      </c>
      <c r="Q4888" t="str">
        <f>"$"</f>
        <v>$</v>
      </c>
      <c r="R4888" t="str">
        <f>"תעודת משלוח"</f>
        <v>תעודת משלוח</v>
      </c>
      <c r="S4888">
        <v>0</v>
      </c>
      <c r="T4888" s="2">
        <v>3970.32</v>
      </c>
      <c r="U4888">
        <v>0</v>
      </c>
      <c r="V4888" s="2">
        <v>3970.32</v>
      </c>
      <c r="W4888" t="str">
        <f>"$"</f>
        <v>$</v>
      </c>
      <c r="X4888">
        <v>0</v>
      </c>
      <c r="Y4888">
        <v>0</v>
      </c>
      <c r="Z4888">
        <v>0</v>
      </c>
      <c r="AA4888" t="str">
        <f>"Y"</f>
        <v>Y</v>
      </c>
      <c r="AB4888" t="str">
        <f>"SO13000007"</f>
        <v>SO13000007</v>
      </c>
      <c r="AC4888">
        <v>12</v>
      </c>
      <c r="AD4888" s="1">
        <v>41284</v>
      </c>
      <c r="AE4888" t="str">
        <f>"SH13000123"</f>
        <v>SH13000123</v>
      </c>
      <c r="AF4888" t="str">
        <f>"משלוחים ללקוח"</f>
        <v>משלוחים ללקוח</v>
      </c>
      <c r="AG4888" s="1">
        <v>41352</v>
      </c>
      <c r="AN4888" t="str">
        <f>"500000"</f>
        <v>500000</v>
      </c>
      <c r="AO4888" t="str">
        <f>"הכנסות  מלקוחות"</f>
        <v>הכנסות  מלקוחות</v>
      </c>
      <c r="AQ4888" t="str">
        <f>"007"</f>
        <v>007</v>
      </c>
      <c r="AR4888">
        <v>0</v>
      </c>
      <c r="AS4888">
        <v>0</v>
      </c>
      <c r="AT4888">
        <v>3.6819999999999999</v>
      </c>
      <c r="AX4888" t="str">
        <f>"E000138546"</f>
        <v>E000138546</v>
      </c>
      <c r="BD4888" t="str">
        <f>"רוני דידי"</f>
        <v>רוני דידי</v>
      </c>
    </row>
    <row r="4889" spans="1:56" x14ac:dyDescent="0.3">
      <c r="A4889" s="1">
        <v>41353</v>
      </c>
      <c r="B4889" t="str">
        <f>"SI130000171"</f>
        <v>SI130000171</v>
      </c>
      <c r="C4889" t="str">
        <f>"PR12000055"</f>
        <v>PR12000055</v>
      </c>
      <c r="D4889" t="str">
        <f>"PR12000055"</f>
        <v>PR12000055</v>
      </c>
      <c r="E4889" t="str">
        <f>"Y"</f>
        <v>Y</v>
      </c>
      <c r="F4889" t="str">
        <f>"חשבוניות מרכזות"</f>
        <v>חשבוניות מרכזות</v>
      </c>
      <c r="G4889" t="str">
        <f>"700065"</f>
        <v>700065</v>
      </c>
      <c r="H4889" t="str">
        <f>"אלתא מערכות בע""מ"</f>
        <v>אלתא מערכות בע"מ</v>
      </c>
      <c r="J4889" t="str">
        <f>"OP-AR22802.14"</f>
        <v>OP-AR22802.14</v>
      </c>
      <c r="K4889" t="str">
        <f>"TCOM POWER CONNCTOR SET 1030F614-001"</f>
        <v>TCOM POWER CONNCTOR SET 1030F614-001</v>
      </c>
      <c r="L4889">
        <v>1</v>
      </c>
      <c r="M4889" t="str">
        <f>"יח"</f>
        <v>יח</v>
      </c>
      <c r="N4889">
        <v>1</v>
      </c>
      <c r="O4889" t="str">
        <f>"יח"</f>
        <v>יח</v>
      </c>
      <c r="P4889" s="2">
        <v>3488.48</v>
      </c>
      <c r="Q4889" t="str">
        <f>"$"</f>
        <v>$</v>
      </c>
      <c r="R4889" t="str">
        <f>"תעודת משלוח"</f>
        <v>תעודת משלוח</v>
      </c>
      <c r="S4889">
        <v>0</v>
      </c>
      <c r="T4889" s="2">
        <v>3488.48</v>
      </c>
      <c r="U4889">
        <v>0</v>
      </c>
      <c r="V4889" s="2">
        <v>3488.48</v>
      </c>
      <c r="W4889" t="str">
        <f>"$"</f>
        <v>$</v>
      </c>
      <c r="X4889">
        <v>0</v>
      </c>
      <c r="Y4889">
        <v>0</v>
      </c>
      <c r="Z4889">
        <v>0</v>
      </c>
      <c r="AA4889" t="str">
        <f>"Y"</f>
        <v>Y</v>
      </c>
      <c r="AB4889" t="str">
        <f>"SO13000007"</f>
        <v>SO13000007</v>
      </c>
      <c r="AC4889">
        <v>13</v>
      </c>
      <c r="AD4889" s="1">
        <v>41284</v>
      </c>
      <c r="AE4889" t="str">
        <f>"SH13000123"</f>
        <v>SH13000123</v>
      </c>
      <c r="AF4889" t="str">
        <f>"משלוחים ללקוח"</f>
        <v>משלוחים ללקוח</v>
      </c>
      <c r="AG4889" s="1">
        <v>41352</v>
      </c>
      <c r="AN4889" t="str">
        <f>"500000"</f>
        <v>500000</v>
      </c>
      <c r="AO4889" t="str">
        <f>"הכנסות  מלקוחות"</f>
        <v>הכנסות  מלקוחות</v>
      </c>
      <c r="AQ4889" t="str">
        <f>"007"</f>
        <v>007</v>
      </c>
      <c r="AR4889">
        <v>0</v>
      </c>
      <c r="AS4889">
        <v>0</v>
      </c>
      <c r="AT4889">
        <v>3.6819999999999999</v>
      </c>
      <c r="AX4889" t="str">
        <f>"E000138546"</f>
        <v>E000138546</v>
      </c>
      <c r="BD4889" t="str">
        <f>"רוני דידי"</f>
        <v>רוני דידי</v>
      </c>
    </row>
    <row r="4890" spans="1:56" x14ac:dyDescent="0.3">
      <c r="A4890" s="1">
        <v>41353</v>
      </c>
      <c r="B4890" t="str">
        <f>"SI130000171"</f>
        <v>SI130000171</v>
      </c>
      <c r="C4890" t="str">
        <f>"PR12000055"</f>
        <v>PR12000055</v>
      </c>
      <c r="D4890" t="str">
        <f>"PR12000055"</f>
        <v>PR12000055</v>
      </c>
      <c r="E4890" t="str">
        <f>"Y"</f>
        <v>Y</v>
      </c>
      <c r="F4890" t="str">
        <f>"חשבוניות מרכזות"</f>
        <v>חשבוניות מרכזות</v>
      </c>
      <c r="G4890" t="str">
        <f>"700065"</f>
        <v>700065</v>
      </c>
      <c r="H4890" t="str">
        <f>"אלתא מערכות בע""מ"</f>
        <v>אלתא מערכות בע"מ</v>
      </c>
      <c r="J4890" t="str">
        <f>"OP-AR22802.3"</f>
        <v>OP-AR22802.3</v>
      </c>
      <c r="K4890" t="str">
        <f>"CABLE ASSAY W101-3 1L2S1 1030F603-001"</f>
        <v>CABLE ASSAY W101-3 1L2S1 1030F603-001</v>
      </c>
      <c r="L4890">
        <v>1</v>
      </c>
      <c r="M4890" t="str">
        <f>"יח"</f>
        <v>יח</v>
      </c>
      <c r="N4890">
        <v>1</v>
      </c>
      <c r="O4890" t="str">
        <f>"יח"</f>
        <v>יח</v>
      </c>
      <c r="P4890" s="2">
        <v>4378.54</v>
      </c>
      <c r="Q4890" t="str">
        <f>"$"</f>
        <v>$</v>
      </c>
      <c r="R4890" t="str">
        <f>"תעודת משלוח"</f>
        <v>תעודת משלוח</v>
      </c>
      <c r="S4890">
        <v>0</v>
      </c>
      <c r="T4890" s="2">
        <v>4378.54</v>
      </c>
      <c r="U4890">
        <v>0</v>
      </c>
      <c r="V4890" s="2">
        <v>4378.54</v>
      </c>
      <c r="W4890" t="str">
        <f>"$"</f>
        <v>$</v>
      </c>
      <c r="X4890">
        <v>0</v>
      </c>
      <c r="Y4890">
        <v>0</v>
      </c>
      <c r="Z4890">
        <v>0</v>
      </c>
      <c r="AA4890" t="str">
        <f>"Y"</f>
        <v>Y</v>
      </c>
      <c r="AB4890" t="str">
        <f>"SO13000007"</f>
        <v>SO13000007</v>
      </c>
      <c r="AC4890">
        <v>14</v>
      </c>
      <c r="AD4890" s="1">
        <v>41284</v>
      </c>
      <c r="AE4890" t="str">
        <f>"SH13000123"</f>
        <v>SH13000123</v>
      </c>
      <c r="AF4890" t="str">
        <f>"משלוחים ללקוח"</f>
        <v>משלוחים ללקוח</v>
      </c>
      <c r="AG4890" s="1">
        <v>41352</v>
      </c>
      <c r="AN4890" t="str">
        <f>"500000"</f>
        <v>500000</v>
      </c>
      <c r="AO4890" t="str">
        <f>"הכנסות  מלקוחות"</f>
        <v>הכנסות  מלקוחות</v>
      </c>
      <c r="AQ4890" t="str">
        <f>"007"</f>
        <v>007</v>
      </c>
      <c r="AR4890">
        <v>0</v>
      </c>
      <c r="AS4890">
        <v>0</v>
      </c>
      <c r="AT4890">
        <v>3.6819999999999999</v>
      </c>
      <c r="AX4890" t="str">
        <f>"E000138546"</f>
        <v>E000138546</v>
      </c>
      <c r="BD4890" t="str">
        <f>"רוני דידי"</f>
        <v>רוני דידי</v>
      </c>
    </row>
    <row r="4891" spans="1:56" x14ac:dyDescent="0.3">
      <c r="A4891" s="1">
        <v>41336</v>
      </c>
      <c r="B4891" t="str">
        <f>"SI130000100"</f>
        <v>SI130000100</v>
      </c>
      <c r="C4891" t="str">
        <f>"PR13000036"</f>
        <v>PR13000036</v>
      </c>
      <c r="D4891" t="str">
        <f>"PR13000036"</f>
        <v>PR13000036</v>
      </c>
      <c r="E4891" t="str">
        <f>"Y"</f>
        <v>Y</v>
      </c>
      <c r="F4891" t="str">
        <f>"חשבוניות מרכזות"</f>
        <v>חשבוניות מרכזות</v>
      </c>
      <c r="G4891" t="str">
        <f>"700065"</f>
        <v>700065</v>
      </c>
      <c r="H4891" t="str">
        <f>"אלתא מערכות בע""מ"</f>
        <v>אלתא מערכות בע"מ</v>
      </c>
      <c r="J4891" t="str">
        <f>"000"</f>
        <v>000</v>
      </c>
      <c r="K4891" t="str">
        <f>"ROOM WIRING 1031P605-001"</f>
        <v>ROOM WIRING 1031P605-001</v>
      </c>
      <c r="L4891">
        <v>1</v>
      </c>
      <c r="M4891" t="str">
        <f>"יח"</f>
        <v>יח</v>
      </c>
      <c r="N4891">
        <v>1</v>
      </c>
      <c r="O4891" t="str">
        <f>"יח"</f>
        <v>יח</v>
      </c>
      <c r="P4891" s="2">
        <v>1455</v>
      </c>
      <c r="Q4891" t="str">
        <f>"$"</f>
        <v>$</v>
      </c>
      <c r="R4891" t="str">
        <f>"הזמנה"</f>
        <v>הזמנה</v>
      </c>
      <c r="S4891">
        <v>0</v>
      </c>
      <c r="T4891" s="2">
        <v>1455</v>
      </c>
      <c r="U4891">
        <v>0</v>
      </c>
      <c r="V4891" s="2">
        <v>1455</v>
      </c>
      <c r="W4891" t="str">
        <f>"$"</f>
        <v>$</v>
      </c>
      <c r="X4891">
        <v>0</v>
      </c>
      <c r="Y4891">
        <v>0</v>
      </c>
      <c r="Z4891">
        <v>0</v>
      </c>
      <c r="AA4891" t="str">
        <f>"Y"</f>
        <v>Y</v>
      </c>
      <c r="AB4891" t="str">
        <f>"SO13000009"</f>
        <v>SO13000009</v>
      </c>
      <c r="AC4891">
        <v>1</v>
      </c>
      <c r="AD4891" s="1">
        <v>41284</v>
      </c>
      <c r="AN4891" t="str">
        <f>"500000"</f>
        <v>500000</v>
      </c>
      <c r="AO4891" t="str">
        <f>"הכנסות  מלקוחות"</f>
        <v>הכנסות  מלקוחות</v>
      </c>
      <c r="AQ4891" t="str">
        <f>"007"</f>
        <v>007</v>
      </c>
      <c r="AR4891">
        <v>0</v>
      </c>
      <c r="AS4891">
        <v>0</v>
      </c>
      <c r="AT4891">
        <v>3.7229999999999999</v>
      </c>
      <c r="AX4891" t="str">
        <f>"E000141468"</f>
        <v>E000141468</v>
      </c>
      <c r="BD4891" t="str">
        <f>"רוני דידי"</f>
        <v>רוני דידי</v>
      </c>
    </row>
    <row r="4892" spans="1:56" x14ac:dyDescent="0.3">
      <c r="A4892" s="1">
        <v>41336</v>
      </c>
      <c r="B4892" t="str">
        <f>"SI130000100"</f>
        <v>SI130000100</v>
      </c>
      <c r="C4892" t="str">
        <f>"PR13000036"</f>
        <v>PR13000036</v>
      </c>
      <c r="D4892" t="str">
        <f>"PR13000036"</f>
        <v>PR13000036</v>
      </c>
      <c r="E4892" t="str">
        <f>"Y"</f>
        <v>Y</v>
      </c>
      <c r="F4892" t="str">
        <f>"חשבוניות מרכזות"</f>
        <v>חשבוניות מרכזות</v>
      </c>
      <c r="G4892" t="str">
        <f>"700065"</f>
        <v>700065</v>
      </c>
      <c r="H4892" t="str">
        <f>"אלתא מערכות בע""מ"</f>
        <v>אלתא מערכות בע"מ</v>
      </c>
      <c r="J4892" t="str">
        <f>"000"</f>
        <v>000</v>
      </c>
      <c r="K4892" t="str">
        <f>"RS232 AND 1PPS CONVEERTER"</f>
        <v>RS232 AND 1PPS CONVEERTER</v>
      </c>
      <c r="L4892">
        <v>1</v>
      </c>
      <c r="M4892" t="str">
        <f>"יח"</f>
        <v>יח</v>
      </c>
      <c r="N4892">
        <v>1</v>
      </c>
      <c r="O4892" t="str">
        <f>"יח"</f>
        <v>יח</v>
      </c>
      <c r="P4892" s="2">
        <v>1756</v>
      </c>
      <c r="Q4892" t="str">
        <f>"$"</f>
        <v>$</v>
      </c>
      <c r="R4892" t="str">
        <f>"הזמנה"</f>
        <v>הזמנה</v>
      </c>
      <c r="S4892">
        <v>0</v>
      </c>
      <c r="T4892" s="2">
        <v>1756</v>
      </c>
      <c r="U4892">
        <v>0</v>
      </c>
      <c r="V4892" s="2">
        <v>1756</v>
      </c>
      <c r="W4892" t="str">
        <f>"$"</f>
        <v>$</v>
      </c>
      <c r="X4892">
        <v>0</v>
      </c>
      <c r="Y4892">
        <v>0</v>
      </c>
      <c r="Z4892">
        <v>0</v>
      </c>
      <c r="AA4892" t="str">
        <f>"Y"</f>
        <v>Y</v>
      </c>
      <c r="AB4892" t="str">
        <f>"SO13000009"</f>
        <v>SO13000009</v>
      </c>
      <c r="AC4892">
        <v>4</v>
      </c>
      <c r="AD4892" s="1">
        <v>41284</v>
      </c>
      <c r="AN4892" t="str">
        <f>"500000"</f>
        <v>500000</v>
      </c>
      <c r="AO4892" t="str">
        <f>"הכנסות  מלקוחות"</f>
        <v>הכנסות  מלקוחות</v>
      </c>
      <c r="AQ4892" t="str">
        <f>"007"</f>
        <v>007</v>
      </c>
      <c r="AR4892">
        <v>0</v>
      </c>
      <c r="AS4892">
        <v>0</v>
      </c>
      <c r="AT4892">
        <v>3.7229999999999999</v>
      </c>
      <c r="AX4892" t="str">
        <f>"E000141468"</f>
        <v>E000141468</v>
      </c>
      <c r="BD4892" t="str">
        <f>"רוני דידי"</f>
        <v>רוני דידי</v>
      </c>
    </row>
    <row r="4893" spans="1:56" x14ac:dyDescent="0.3">
      <c r="A4893" s="1">
        <v>41336</v>
      </c>
      <c r="B4893" t="str">
        <f>"SI130000100"</f>
        <v>SI130000100</v>
      </c>
      <c r="C4893" t="str">
        <f>"PR13000036"</f>
        <v>PR13000036</v>
      </c>
      <c r="D4893" t="str">
        <f>"PR13000036"</f>
        <v>PR13000036</v>
      </c>
      <c r="E4893" t="str">
        <f>"Y"</f>
        <v>Y</v>
      </c>
      <c r="F4893" t="str">
        <f>"חשבוניות מרכזות"</f>
        <v>חשבוניות מרכזות</v>
      </c>
      <c r="G4893" t="str">
        <f>"700065"</f>
        <v>700065</v>
      </c>
      <c r="H4893" t="str">
        <f>"אלתא מערכות בע""מ"</f>
        <v>אלתא מערכות בע"מ</v>
      </c>
      <c r="J4893" t="str">
        <f>"000"</f>
        <v>000</v>
      </c>
      <c r="K4893" t="str">
        <f>"ROOM WIRING 1031P605-001"</f>
        <v>ROOM WIRING 1031P605-001</v>
      </c>
      <c r="L4893">
        <v>1</v>
      </c>
      <c r="M4893" t="str">
        <f>"יח"</f>
        <v>יח</v>
      </c>
      <c r="N4893">
        <v>1</v>
      </c>
      <c r="O4893" t="str">
        <f>"יח"</f>
        <v>יח</v>
      </c>
      <c r="P4893" s="2">
        <v>15264</v>
      </c>
      <c r="Q4893" t="str">
        <f>"$"</f>
        <v>$</v>
      </c>
      <c r="R4893" t="str">
        <f>"הזמנה"</f>
        <v>הזמנה</v>
      </c>
      <c r="S4893">
        <v>0</v>
      </c>
      <c r="T4893" s="2">
        <v>15264</v>
      </c>
      <c r="U4893">
        <v>0</v>
      </c>
      <c r="V4893" s="2">
        <v>15264</v>
      </c>
      <c r="W4893" t="str">
        <f>"$"</f>
        <v>$</v>
      </c>
      <c r="X4893">
        <v>0</v>
      </c>
      <c r="Y4893">
        <v>0</v>
      </c>
      <c r="Z4893">
        <v>0</v>
      </c>
      <c r="AA4893" t="str">
        <f>"Y"</f>
        <v>Y</v>
      </c>
      <c r="AB4893" t="str">
        <f>"SO13000009"</f>
        <v>SO13000009</v>
      </c>
      <c r="AC4893">
        <v>5</v>
      </c>
      <c r="AD4893" s="1">
        <v>41284</v>
      </c>
      <c r="AN4893" t="str">
        <f>"500000"</f>
        <v>500000</v>
      </c>
      <c r="AO4893" t="str">
        <f>"הכנסות  מלקוחות"</f>
        <v>הכנסות  מלקוחות</v>
      </c>
      <c r="AQ4893" t="str">
        <f>"007"</f>
        <v>007</v>
      </c>
      <c r="AR4893">
        <v>0</v>
      </c>
      <c r="AS4893">
        <v>0</v>
      </c>
      <c r="AT4893">
        <v>3.7229999999999999</v>
      </c>
      <c r="AX4893" t="str">
        <f>"E000141468"</f>
        <v>E000141468</v>
      </c>
      <c r="BD4893" t="str">
        <f>"רוני דידי"</f>
        <v>רוני דידי</v>
      </c>
    </row>
    <row r="4894" spans="1:56" x14ac:dyDescent="0.3">
      <c r="A4894" s="1">
        <v>41336</v>
      </c>
      <c r="B4894" t="str">
        <f>"SI130000100"</f>
        <v>SI130000100</v>
      </c>
      <c r="C4894" t="str">
        <f>"PR13000036"</f>
        <v>PR13000036</v>
      </c>
      <c r="D4894" t="str">
        <f>"PR13000036"</f>
        <v>PR13000036</v>
      </c>
      <c r="E4894" t="str">
        <f>"Y"</f>
        <v>Y</v>
      </c>
      <c r="F4894" t="str">
        <f>"חשבוניות מרכזות"</f>
        <v>חשבוניות מרכזות</v>
      </c>
      <c r="G4894" t="str">
        <f>"700065"</f>
        <v>700065</v>
      </c>
      <c r="H4894" t="str">
        <f>"אלתא מערכות בע""מ"</f>
        <v>אלתא מערכות בע"מ</v>
      </c>
      <c r="J4894" t="str">
        <f>"000"</f>
        <v>000</v>
      </c>
      <c r="K4894" t="str">
        <f>"RS232 AND 1 PPS CONVEERTER"</f>
        <v>RS232 AND 1 PPS CONVEERTER</v>
      </c>
      <c r="L4894">
        <v>1</v>
      </c>
      <c r="M4894" t="str">
        <f>"יח"</f>
        <v>יח</v>
      </c>
      <c r="N4894">
        <v>1</v>
      </c>
      <c r="O4894" t="str">
        <f>"יח"</f>
        <v>יח</v>
      </c>
      <c r="P4894" s="2">
        <v>1756</v>
      </c>
      <c r="Q4894" t="str">
        <f>"$"</f>
        <v>$</v>
      </c>
      <c r="R4894" t="str">
        <f>"הזמנה"</f>
        <v>הזמנה</v>
      </c>
      <c r="S4894">
        <v>0</v>
      </c>
      <c r="T4894" s="2">
        <v>1756</v>
      </c>
      <c r="U4894">
        <v>0</v>
      </c>
      <c r="V4894" s="2">
        <v>1756</v>
      </c>
      <c r="W4894" t="str">
        <f>"$"</f>
        <v>$</v>
      </c>
      <c r="X4894">
        <v>0</v>
      </c>
      <c r="Y4894">
        <v>0</v>
      </c>
      <c r="Z4894">
        <v>0</v>
      </c>
      <c r="AA4894" t="str">
        <f>"Y"</f>
        <v>Y</v>
      </c>
      <c r="AB4894" t="str">
        <f>"SO13000009"</f>
        <v>SO13000009</v>
      </c>
      <c r="AC4894">
        <v>8</v>
      </c>
      <c r="AD4894" s="1">
        <v>41284</v>
      </c>
      <c r="AN4894" t="str">
        <f>"500000"</f>
        <v>500000</v>
      </c>
      <c r="AO4894" t="str">
        <f>"הכנסות  מלקוחות"</f>
        <v>הכנסות  מלקוחות</v>
      </c>
      <c r="AQ4894" t="str">
        <f>"007"</f>
        <v>007</v>
      </c>
      <c r="AR4894">
        <v>0</v>
      </c>
      <c r="AS4894">
        <v>0</v>
      </c>
      <c r="AT4894">
        <v>3.7229999999999999</v>
      </c>
      <c r="AX4894" t="str">
        <f>"E000141468"</f>
        <v>E000141468</v>
      </c>
      <c r="BD4894" t="str">
        <f>"רוני דידי"</f>
        <v>רוני דידי</v>
      </c>
    </row>
    <row r="4895" spans="1:56" x14ac:dyDescent="0.3">
      <c r="A4895" s="1">
        <v>41336</v>
      </c>
      <c r="B4895" t="str">
        <f>"SI130000099"</f>
        <v>SI130000099</v>
      </c>
      <c r="C4895" t="str">
        <f>"PR13000085"</f>
        <v>PR13000085</v>
      </c>
      <c r="D4895" t="str">
        <f>"PR13000085"</f>
        <v>PR13000085</v>
      </c>
      <c r="E4895" t="str">
        <f>"Y"</f>
        <v>Y</v>
      </c>
      <c r="F4895" t="str">
        <f>"חשבוניות מרכזות"</f>
        <v>חשבוניות מרכזות</v>
      </c>
      <c r="G4895" t="str">
        <f>"700065"</f>
        <v>700065</v>
      </c>
      <c r="H4895" t="str">
        <f>"אלתא מערכות בע""מ"</f>
        <v>אלתא מערכות בע"מ</v>
      </c>
      <c r="J4895" t="str">
        <f>"000"</f>
        <v>000</v>
      </c>
      <c r="K4895" t="str">
        <f>"בד' עמידה בלחות HVJB 1026L230-001"</f>
        <v>בד' עמידה בלחות HVJB 1026L230-001</v>
      </c>
      <c r="L4895">
        <v>1</v>
      </c>
      <c r="M4895" t="str">
        <f>"יח"</f>
        <v>יח</v>
      </c>
      <c r="N4895">
        <v>1</v>
      </c>
      <c r="O4895" t="str">
        <f>"יח"</f>
        <v>יח</v>
      </c>
      <c r="P4895" s="2">
        <v>6055</v>
      </c>
      <c r="Q4895" t="str">
        <f>"$"</f>
        <v>$</v>
      </c>
      <c r="R4895" t="str">
        <f>"הזמנה"</f>
        <v>הזמנה</v>
      </c>
      <c r="S4895">
        <v>0</v>
      </c>
      <c r="T4895" s="2">
        <v>6055</v>
      </c>
      <c r="U4895">
        <v>0</v>
      </c>
      <c r="V4895" s="2">
        <v>6055</v>
      </c>
      <c r="W4895" t="str">
        <f>"$"</f>
        <v>$</v>
      </c>
      <c r="X4895">
        <v>0</v>
      </c>
      <c r="Y4895">
        <v>0</v>
      </c>
      <c r="Z4895">
        <v>0</v>
      </c>
      <c r="AA4895" t="str">
        <f>"Y"</f>
        <v>Y</v>
      </c>
      <c r="AB4895" t="str">
        <f>"SO130000235"</f>
        <v>SO130000235</v>
      </c>
      <c r="AC4895">
        <v>1</v>
      </c>
      <c r="AD4895" s="1">
        <v>41336</v>
      </c>
      <c r="AN4895" t="str">
        <f>"500000"</f>
        <v>500000</v>
      </c>
      <c r="AO4895" t="str">
        <f>"הכנסות  מלקוחות"</f>
        <v>הכנסות  מלקוחות</v>
      </c>
      <c r="AQ4895" t="str">
        <f>"007"</f>
        <v>007</v>
      </c>
      <c r="AR4895">
        <v>0</v>
      </c>
      <c r="AS4895">
        <v>0</v>
      </c>
      <c r="AT4895">
        <v>3.7229999999999999</v>
      </c>
      <c r="AX4895" t="str">
        <f>"E000146348"</f>
        <v>E000146348</v>
      </c>
      <c r="BD4895" t="str">
        <f>"רוני דידי"</f>
        <v>רוני דידי</v>
      </c>
    </row>
    <row r="4896" spans="1:56" x14ac:dyDescent="0.3">
      <c r="A4896" s="1">
        <v>41317</v>
      </c>
      <c r="B4896" t="str">
        <f>"SI130000038"</f>
        <v>SI130000038</v>
      </c>
      <c r="C4896" t="str">
        <f>"PR12000061"</f>
        <v>PR12000061</v>
      </c>
      <c r="D4896" t="str">
        <f>"PR12000061"</f>
        <v>PR12000061</v>
      </c>
      <c r="E4896" t="str">
        <f>"Y"</f>
        <v>Y</v>
      </c>
      <c r="F4896" t="str">
        <f>"חשבוניות מרכזות"</f>
        <v>חשבוניות מרכזות</v>
      </c>
      <c r="G4896" t="str">
        <f>"700065"</f>
        <v>700065</v>
      </c>
      <c r="H4896" t="str">
        <f>"אלתא מערכות בע""מ"</f>
        <v>אלתא מערכות בע"מ</v>
      </c>
      <c r="I4896" t="str">
        <f>"01"</f>
        <v>01</v>
      </c>
      <c r="J4896" t="str">
        <f>"GN9900001"</f>
        <v>GN9900001</v>
      </c>
      <c r="K4896" t="str">
        <f>"NRE- עלויות תכנון"</f>
        <v>NRE- עלויות תכנון</v>
      </c>
      <c r="L4896">
        <v>0.34</v>
      </c>
      <c r="M4896" t="str">
        <f>"חל"</f>
        <v>חל</v>
      </c>
      <c r="N4896">
        <v>0.34</v>
      </c>
      <c r="O4896" t="str">
        <f>"חל"</f>
        <v>חל</v>
      </c>
      <c r="P4896" s="2">
        <v>20000</v>
      </c>
      <c r="Q4896" t="str">
        <f>"$"</f>
        <v>$</v>
      </c>
      <c r="R4896" t="str">
        <f>"תעודת משלוח"</f>
        <v>תעודת משלוח</v>
      </c>
      <c r="S4896">
        <v>0</v>
      </c>
      <c r="T4896" s="2">
        <v>6800</v>
      </c>
      <c r="U4896">
        <v>0</v>
      </c>
      <c r="V4896" s="2">
        <v>6800</v>
      </c>
      <c r="W4896" t="str">
        <f>"$"</f>
        <v>$</v>
      </c>
      <c r="X4896">
        <v>0</v>
      </c>
      <c r="Y4896">
        <v>0</v>
      </c>
      <c r="Z4896">
        <v>0</v>
      </c>
      <c r="AA4896" t="str">
        <f>"Y"</f>
        <v>Y</v>
      </c>
      <c r="AB4896" t="str">
        <f>"SO130000065"</f>
        <v>SO130000065</v>
      </c>
      <c r="AC4896">
        <v>1</v>
      </c>
      <c r="AD4896" s="1">
        <v>41297</v>
      </c>
      <c r="AE4896" t="str">
        <f>"SH13P000212"</f>
        <v>SH13P000212</v>
      </c>
      <c r="AF4896" t="str">
        <f>"משלוחים ללקוח"</f>
        <v>משלוחים ללקוח</v>
      </c>
      <c r="AG4896" s="1">
        <v>41317</v>
      </c>
      <c r="AM4896" t="str">
        <f>"01"</f>
        <v>01</v>
      </c>
      <c r="AN4896" t="str">
        <f>"500000"</f>
        <v>500000</v>
      </c>
      <c r="AO4896" t="str">
        <f>"הכנסות  מלקוחות"</f>
        <v>הכנסות  מלקוחות</v>
      </c>
      <c r="AQ4896" t="str">
        <f>"007"</f>
        <v>007</v>
      </c>
      <c r="AR4896">
        <v>0</v>
      </c>
      <c r="AS4896">
        <v>0</v>
      </c>
      <c r="AT4896">
        <v>3.7010000000000001</v>
      </c>
      <c r="AX4896" t="str">
        <f>"E000119136"</f>
        <v>E000119136</v>
      </c>
      <c r="BD4896" t="str">
        <f>"רוני דידי"</f>
        <v>רוני דידי</v>
      </c>
    </row>
    <row r="4897" spans="1:56" x14ac:dyDescent="0.3">
      <c r="A4897" s="1">
        <v>41317</v>
      </c>
      <c r="B4897" t="str">
        <f>"SI130000037"</f>
        <v>SI130000037</v>
      </c>
      <c r="C4897" t="str">
        <f>"PR12000061"</f>
        <v>PR12000061</v>
      </c>
      <c r="D4897" t="str">
        <f>"PR12000061"</f>
        <v>PR12000061</v>
      </c>
      <c r="E4897" t="str">
        <f>"Y"</f>
        <v>Y</v>
      </c>
      <c r="F4897" t="str">
        <f>"חשבוניות מרכזות"</f>
        <v>חשבוניות מרכזות</v>
      </c>
      <c r="G4897" t="str">
        <f>"700065"</f>
        <v>700065</v>
      </c>
      <c r="H4897" t="str">
        <f>"אלתא מערכות בע""מ"</f>
        <v>אלתא מערכות בע"מ</v>
      </c>
      <c r="J4897" t="str">
        <f>"OP-AR12324"</f>
        <v>OP-AR12324</v>
      </c>
      <c r="K4897" t="str">
        <f>"לוח חלוקה DC PDB מק""ט לקוח 1025A690-001"</f>
        <v>לוח חלוקה DC PDB מק"ט לקוח 1025A690-001</v>
      </c>
      <c r="L4897">
        <v>1</v>
      </c>
      <c r="M4897" t="str">
        <f>"יח"</f>
        <v>יח</v>
      </c>
      <c r="N4897">
        <v>1</v>
      </c>
      <c r="O4897" t="str">
        <f>"יח"</f>
        <v>יח</v>
      </c>
      <c r="P4897" s="2">
        <v>58509</v>
      </c>
      <c r="Q4897" t="str">
        <f>"$"</f>
        <v>$</v>
      </c>
      <c r="R4897" t="str">
        <f>"תעודת משלוח"</f>
        <v>תעודת משלוח</v>
      </c>
      <c r="S4897">
        <v>0</v>
      </c>
      <c r="T4897" s="2">
        <v>58509</v>
      </c>
      <c r="U4897">
        <v>0</v>
      </c>
      <c r="V4897" s="2">
        <v>58509</v>
      </c>
      <c r="W4897" t="str">
        <f>"$"</f>
        <v>$</v>
      </c>
      <c r="X4897">
        <v>0</v>
      </c>
      <c r="Y4897">
        <v>0</v>
      </c>
      <c r="Z4897">
        <v>0</v>
      </c>
      <c r="AA4897" t="str">
        <f>"Y"</f>
        <v>Y</v>
      </c>
      <c r="AB4897" t="str">
        <f>"SO130000065"</f>
        <v>SO130000065</v>
      </c>
      <c r="AC4897">
        <v>9</v>
      </c>
      <c r="AD4897" s="1">
        <v>41297</v>
      </c>
      <c r="AE4897" t="str">
        <f>"SH13000015"</f>
        <v>SH13000015</v>
      </c>
      <c r="AF4897" t="str">
        <f>"משלוחים ללקוח"</f>
        <v>משלוחים ללקוח</v>
      </c>
      <c r="AG4897" s="1">
        <v>41309</v>
      </c>
      <c r="AN4897" t="str">
        <f>"500000"</f>
        <v>500000</v>
      </c>
      <c r="AO4897" t="str">
        <f>"הכנסות  מלקוחות"</f>
        <v>הכנסות  מלקוחות</v>
      </c>
      <c r="AQ4897" t="str">
        <f>"007"</f>
        <v>007</v>
      </c>
      <c r="AR4897">
        <v>0</v>
      </c>
      <c r="AS4897">
        <v>0</v>
      </c>
      <c r="AT4897">
        <v>3.7010000000000001</v>
      </c>
      <c r="AX4897" t="str">
        <f>"E000119136"</f>
        <v>E000119136</v>
      </c>
      <c r="BD4897" t="str">
        <f>"רוני דידי"</f>
        <v>רוני דידי</v>
      </c>
    </row>
    <row r="4898" spans="1:56" x14ac:dyDescent="0.3">
      <c r="A4898" s="1">
        <v>41305</v>
      </c>
      <c r="B4898" t="str">
        <f>"SI130000025"</f>
        <v>SI130000025</v>
      </c>
      <c r="C4898" t="str">
        <f>"PR13000036"</f>
        <v>PR13000036</v>
      </c>
      <c r="D4898" t="str">
        <f>"PR13000036"</f>
        <v>PR13000036</v>
      </c>
      <c r="E4898" t="str">
        <f>"Y"</f>
        <v>Y</v>
      </c>
      <c r="F4898" t="str">
        <f>"חשבוניות מרכזות"</f>
        <v>חשבוניות מרכזות</v>
      </c>
      <c r="G4898" t="str">
        <f>"700065"</f>
        <v>700065</v>
      </c>
      <c r="H4898" t="str">
        <f>"אלתא מערכות בע""מ"</f>
        <v>אלתא מערכות בע"מ</v>
      </c>
      <c r="I4898" t="str">
        <f>"01"</f>
        <v>01</v>
      </c>
      <c r="J4898" t="str">
        <f>"000"</f>
        <v>000</v>
      </c>
      <c r="K4898" t="str">
        <f>"TECHNICAL STATION 1031P401-001"</f>
        <v>TECHNICAL STATION 1031P401-001</v>
      </c>
      <c r="L4898">
        <v>1</v>
      </c>
      <c r="M4898" t="str">
        <f>"יח"</f>
        <v>יח</v>
      </c>
      <c r="N4898">
        <v>1</v>
      </c>
      <c r="O4898" t="str">
        <f>"יח"</f>
        <v>יח</v>
      </c>
      <c r="P4898" s="2">
        <v>8448</v>
      </c>
      <c r="Q4898" t="str">
        <f>"$"</f>
        <v>$</v>
      </c>
      <c r="R4898" t="str">
        <f>"תעודת משלוח"</f>
        <v>תעודת משלוח</v>
      </c>
      <c r="S4898">
        <v>0</v>
      </c>
      <c r="T4898" s="2">
        <v>8448</v>
      </c>
      <c r="U4898">
        <v>0</v>
      </c>
      <c r="V4898" s="2">
        <v>8448</v>
      </c>
      <c r="W4898" t="str">
        <f>"$"</f>
        <v>$</v>
      </c>
      <c r="X4898">
        <v>0</v>
      </c>
      <c r="Y4898">
        <v>0</v>
      </c>
      <c r="Z4898">
        <v>0</v>
      </c>
      <c r="AA4898" t="str">
        <f>"Y"</f>
        <v>Y</v>
      </c>
      <c r="AB4898" t="str">
        <f>"SO13000009"</f>
        <v>SO13000009</v>
      </c>
      <c r="AC4898">
        <v>2</v>
      </c>
      <c r="AD4898" s="1">
        <v>41284</v>
      </c>
      <c r="AE4898" t="str">
        <f>"SH13P000164"</f>
        <v>SH13P000164</v>
      </c>
      <c r="AF4898" t="str">
        <f>"משלוחים ללקוח"</f>
        <v>משלוחים ללקוח</v>
      </c>
      <c r="AG4898" s="1">
        <v>41309</v>
      </c>
      <c r="AM4898" t="str">
        <f>"01"</f>
        <v>01</v>
      </c>
      <c r="AN4898" t="str">
        <f>"500000"</f>
        <v>500000</v>
      </c>
      <c r="AO4898" t="str">
        <f>"הכנסות  מלקוחות"</f>
        <v>הכנסות  מלקוחות</v>
      </c>
      <c r="AQ4898" t="str">
        <f>"007"</f>
        <v>007</v>
      </c>
      <c r="AR4898">
        <v>0</v>
      </c>
      <c r="AS4898">
        <v>0</v>
      </c>
      <c r="AT4898">
        <v>3.6819999999999999</v>
      </c>
      <c r="AX4898" t="str">
        <f>"E000141468"</f>
        <v>E000141468</v>
      </c>
      <c r="BD4898" t="str">
        <f>"רוני דידי"</f>
        <v>רוני דידי</v>
      </c>
    </row>
    <row r="4899" spans="1:56" x14ac:dyDescent="0.3">
      <c r="A4899" s="1">
        <v>41305</v>
      </c>
      <c r="B4899" t="str">
        <f>"SI130000025"</f>
        <v>SI130000025</v>
      </c>
      <c r="C4899" t="str">
        <f>"PR13000036"</f>
        <v>PR13000036</v>
      </c>
      <c r="D4899" t="str">
        <f>"PR13000036"</f>
        <v>PR13000036</v>
      </c>
      <c r="E4899" t="str">
        <f>"Y"</f>
        <v>Y</v>
      </c>
      <c r="F4899" t="str">
        <f>"חשבוניות מרכזות"</f>
        <v>חשבוניות מרכזות</v>
      </c>
      <c r="G4899" t="str">
        <f>"700065"</f>
        <v>700065</v>
      </c>
      <c r="H4899" t="str">
        <f>"אלתא מערכות בע""מ"</f>
        <v>אלתא מערכות בע"מ</v>
      </c>
      <c r="I4899" t="str">
        <f>"01"</f>
        <v>01</v>
      </c>
      <c r="J4899" t="str">
        <f>"000"</f>
        <v>000</v>
      </c>
      <c r="K4899" t="str">
        <f>"PRCU AND CRCU RACK 1031P610-001"</f>
        <v>PRCU AND CRCU RACK 1031P610-001</v>
      </c>
      <c r="L4899">
        <v>1</v>
      </c>
      <c r="M4899" t="str">
        <f>"יח"</f>
        <v>יח</v>
      </c>
      <c r="N4899">
        <v>1</v>
      </c>
      <c r="O4899" t="str">
        <f>"יח"</f>
        <v>יח</v>
      </c>
      <c r="P4899">
        <v>395</v>
      </c>
      <c r="Q4899" t="str">
        <f>"$"</f>
        <v>$</v>
      </c>
      <c r="R4899" t="str">
        <f>"תעודת משלוח"</f>
        <v>תעודת משלוח</v>
      </c>
      <c r="S4899">
        <v>0</v>
      </c>
      <c r="T4899">
        <v>395</v>
      </c>
      <c r="U4899">
        <v>0</v>
      </c>
      <c r="V4899">
        <v>395</v>
      </c>
      <c r="W4899" t="str">
        <f>"$"</f>
        <v>$</v>
      </c>
      <c r="X4899">
        <v>0</v>
      </c>
      <c r="Y4899">
        <v>0</v>
      </c>
      <c r="Z4899">
        <v>0</v>
      </c>
      <c r="AA4899" t="str">
        <f>"Y"</f>
        <v>Y</v>
      </c>
      <c r="AB4899" t="str">
        <f>"SO13000009"</f>
        <v>SO13000009</v>
      </c>
      <c r="AC4899">
        <v>3</v>
      </c>
      <c r="AD4899" s="1">
        <v>41284</v>
      </c>
      <c r="AE4899" t="str">
        <f>"SH13P000164"</f>
        <v>SH13P000164</v>
      </c>
      <c r="AF4899" t="str">
        <f>"משלוחים ללקוח"</f>
        <v>משלוחים ללקוח</v>
      </c>
      <c r="AG4899" s="1">
        <v>41309</v>
      </c>
      <c r="AM4899" t="str">
        <f>"01"</f>
        <v>01</v>
      </c>
      <c r="AN4899" t="str">
        <f>"500000"</f>
        <v>500000</v>
      </c>
      <c r="AO4899" t="str">
        <f>"הכנסות  מלקוחות"</f>
        <v>הכנסות  מלקוחות</v>
      </c>
      <c r="AQ4899" t="str">
        <f>"007"</f>
        <v>007</v>
      </c>
      <c r="AR4899">
        <v>0</v>
      </c>
      <c r="AS4899">
        <v>0</v>
      </c>
      <c r="AT4899">
        <v>3.6819999999999999</v>
      </c>
      <c r="AX4899" t="str">
        <f>"E000141468"</f>
        <v>E000141468</v>
      </c>
      <c r="BD4899" t="str">
        <f>"רוני דידי"</f>
        <v>רוני דידי</v>
      </c>
    </row>
    <row r="4900" spans="1:56" x14ac:dyDescent="0.3">
      <c r="A4900" s="1">
        <v>41305</v>
      </c>
      <c r="B4900" t="str">
        <f>"SI130000025"</f>
        <v>SI130000025</v>
      </c>
      <c r="C4900" t="str">
        <f>"PR13000036"</f>
        <v>PR13000036</v>
      </c>
      <c r="D4900" t="str">
        <f>"PR13000036"</f>
        <v>PR13000036</v>
      </c>
      <c r="E4900" t="str">
        <f>"Y"</f>
        <v>Y</v>
      </c>
      <c r="F4900" t="str">
        <f>"חשבוניות מרכזות"</f>
        <v>חשבוניות מרכזות</v>
      </c>
      <c r="G4900" t="str">
        <f>"700065"</f>
        <v>700065</v>
      </c>
      <c r="H4900" t="str">
        <f>"אלתא מערכות בע""מ"</f>
        <v>אלתא מערכות בע"מ</v>
      </c>
      <c r="I4900" t="str">
        <f>"01"</f>
        <v>01</v>
      </c>
      <c r="J4900" t="str">
        <f>"000"</f>
        <v>000</v>
      </c>
      <c r="K4900" t="str">
        <f>"OPERATIONAL STATION 1031P301-001"</f>
        <v>OPERATIONAL STATION 1031P301-001</v>
      </c>
      <c r="L4900">
        <v>1</v>
      </c>
      <c r="M4900" t="str">
        <f>"יח"</f>
        <v>יח</v>
      </c>
      <c r="N4900">
        <v>1</v>
      </c>
      <c r="O4900" t="str">
        <f>"יח"</f>
        <v>יח</v>
      </c>
      <c r="P4900" s="2">
        <v>2868</v>
      </c>
      <c r="Q4900" t="str">
        <f>"$"</f>
        <v>$</v>
      </c>
      <c r="R4900" t="str">
        <f>"תעודת משלוח"</f>
        <v>תעודת משלוח</v>
      </c>
      <c r="S4900">
        <v>0</v>
      </c>
      <c r="T4900" s="2">
        <v>2868</v>
      </c>
      <c r="U4900">
        <v>0</v>
      </c>
      <c r="V4900" s="2">
        <v>2868</v>
      </c>
      <c r="W4900" t="str">
        <f>"$"</f>
        <v>$</v>
      </c>
      <c r="X4900">
        <v>0</v>
      </c>
      <c r="Y4900">
        <v>0</v>
      </c>
      <c r="Z4900">
        <v>0</v>
      </c>
      <c r="AA4900" t="str">
        <f>"Y"</f>
        <v>Y</v>
      </c>
      <c r="AB4900" t="str">
        <f>"SO13000009"</f>
        <v>SO13000009</v>
      </c>
      <c r="AC4900">
        <v>6</v>
      </c>
      <c r="AD4900" s="1">
        <v>41284</v>
      </c>
      <c r="AE4900" t="str">
        <f>"SH13P000164"</f>
        <v>SH13P000164</v>
      </c>
      <c r="AF4900" t="str">
        <f>"משלוחים ללקוח"</f>
        <v>משלוחים ללקוח</v>
      </c>
      <c r="AG4900" s="1">
        <v>41309</v>
      </c>
      <c r="AM4900" t="str">
        <f>"01"</f>
        <v>01</v>
      </c>
      <c r="AN4900" t="str">
        <f>"500000"</f>
        <v>500000</v>
      </c>
      <c r="AO4900" t="str">
        <f>"הכנסות  מלקוחות"</f>
        <v>הכנסות  מלקוחות</v>
      </c>
      <c r="AQ4900" t="str">
        <f>"007"</f>
        <v>007</v>
      </c>
      <c r="AR4900">
        <v>0</v>
      </c>
      <c r="AS4900">
        <v>0</v>
      </c>
      <c r="AT4900">
        <v>3.6819999999999999</v>
      </c>
      <c r="AX4900" t="str">
        <f>"E000141468"</f>
        <v>E000141468</v>
      </c>
      <c r="BD4900" t="str">
        <f>"רוני דידי"</f>
        <v>רוני דידי</v>
      </c>
    </row>
    <row r="4901" spans="1:56" x14ac:dyDescent="0.3">
      <c r="A4901" s="1">
        <v>41305</v>
      </c>
      <c r="B4901" t="str">
        <f>"SI130000025"</f>
        <v>SI130000025</v>
      </c>
      <c r="C4901" t="str">
        <f>"PR13000036"</f>
        <v>PR13000036</v>
      </c>
      <c r="D4901" t="str">
        <f>"PR13000036"</f>
        <v>PR13000036</v>
      </c>
      <c r="E4901" t="str">
        <f>"Y"</f>
        <v>Y</v>
      </c>
      <c r="F4901" t="str">
        <f>"חשבוניות מרכזות"</f>
        <v>חשבוניות מרכזות</v>
      </c>
      <c r="G4901" t="str">
        <f>"700065"</f>
        <v>700065</v>
      </c>
      <c r="H4901" t="str">
        <f>"אלתא מערכות בע""מ"</f>
        <v>אלתא מערכות בע"מ</v>
      </c>
      <c r="I4901" t="str">
        <f>"01"</f>
        <v>01</v>
      </c>
      <c r="J4901" t="str">
        <f>"000"</f>
        <v>000</v>
      </c>
      <c r="K4901" t="str">
        <f>"TECHNICAL STATION 1031P401-001"</f>
        <v>TECHNICAL STATION 1031P401-001</v>
      </c>
      <c r="L4901">
        <v>1</v>
      </c>
      <c r="M4901" t="str">
        <f>"יח"</f>
        <v>יח</v>
      </c>
      <c r="N4901">
        <v>1</v>
      </c>
      <c r="O4901" t="str">
        <f>"יח"</f>
        <v>יח</v>
      </c>
      <c r="P4901" s="2">
        <v>4554</v>
      </c>
      <c r="Q4901" t="str">
        <f>"$"</f>
        <v>$</v>
      </c>
      <c r="R4901" t="str">
        <f>"תעודת משלוח"</f>
        <v>תעודת משלוח</v>
      </c>
      <c r="S4901">
        <v>0</v>
      </c>
      <c r="T4901" s="2">
        <v>4554</v>
      </c>
      <c r="U4901">
        <v>0</v>
      </c>
      <c r="V4901" s="2">
        <v>4554</v>
      </c>
      <c r="W4901" t="str">
        <f>"$"</f>
        <v>$</v>
      </c>
      <c r="X4901">
        <v>0</v>
      </c>
      <c r="Y4901">
        <v>0</v>
      </c>
      <c r="Z4901">
        <v>0</v>
      </c>
      <c r="AA4901" t="str">
        <f>"Y"</f>
        <v>Y</v>
      </c>
      <c r="AB4901" t="str">
        <f>"SO13000009"</f>
        <v>SO13000009</v>
      </c>
      <c r="AC4901">
        <v>7</v>
      </c>
      <c r="AD4901" s="1">
        <v>41284</v>
      </c>
      <c r="AE4901" t="str">
        <f>"SH13P000164"</f>
        <v>SH13P000164</v>
      </c>
      <c r="AF4901" t="str">
        <f>"משלוחים ללקוח"</f>
        <v>משלוחים ללקוח</v>
      </c>
      <c r="AG4901" s="1">
        <v>41309</v>
      </c>
      <c r="AM4901" t="str">
        <f>"01"</f>
        <v>01</v>
      </c>
      <c r="AN4901" t="str">
        <f>"500000"</f>
        <v>500000</v>
      </c>
      <c r="AO4901" t="str">
        <f>"הכנסות  מלקוחות"</f>
        <v>הכנסות  מלקוחות</v>
      </c>
      <c r="AQ4901" t="str">
        <f>"007"</f>
        <v>007</v>
      </c>
      <c r="AR4901">
        <v>0</v>
      </c>
      <c r="AS4901">
        <v>0</v>
      </c>
      <c r="AT4901">
        <v>3.6819999999999999</v>
      </c>
      <c r="AX4901" t="str">
        <f>"E000141468"</f>
        <v>E000141468</v>
      </c>
      <c r="BD4901" t="str">
        <f>"רוני דידי"</f>
        <v>רוני דידי</v>
      </c>
    </row>
    <row r="4902" spans="1:56" x14ac:dyDescent="0.3">
      <c r="A4902" s="1">
        <v>41305</v>
      </c>
      <c r="B4902" t="str">
        <f>"SI130000025"</f>
        <v>SI130000025</v>
      </c>
      <c r="C4902" t="str">
        <f>"PR13000036"</f>
        <v>PR13000036</v>
      </c>
      <c r="D4902" t="str">
        <f>"PR13000036"</f>
        <v>PR13000036</v>
      </c>
      <c r="E4902" t="str">
        <f>"Y"</f>
        <v>Y</v>
      </c>
      <c r="F4902" t="str">
        <f>"חשבוניות מרכזות"</f>
        <v>חשבוניות מרכזות</v>
      </c>
      <c r="G4902" t="str">
        <f>"700065"</f>
        <v>700065</v>
      </c>
      <c r="H4902" t="str">
        <f>"אלתא מערכות בע""מ"</f>
        <v>אלתא מערכות בע"מ</v>
      </c>
      <c r="I4902" t="str">
        <f>"01"</f>
        <v>01</v>
      </c>
      <c r="J4902" t="str">
        <f>"000"</f>
        <v>000</v>
      </c>
      <c r="K4902" t="str">
        <f>"IOC RACK 1031P601-001"</f>
        <v>IOC RACK 1031P601-001</v>
      </c>
      <c r="L4902">
        <v>1</v>
      </c>
      <c r="M4902" t="str">
        <f>"יח"</f>
        <v>יח</v>
      </c>
      <c r="N4902">
        <v>1</v>
      </c>
      <c r="O4902" t="str">
        <f>"יח"</f>
        <v>יח</v>
      </c>
      <c r="P4902" s="2">
        <v>6325</v>
      </c>
      <c r="Q4902" t="str">
        <f>"$"</f>
        <v>$</v>
      </c>
      <c r="R4902" t="str">
        <f>"תעודת משלוח"</f>
        <v>תעודת משלוח</v>
      </c>
      <c r="S4902">
        <v>0</v>
      </c>
      <c r="T4902" s="2">
        <v>6325</v>
      </c>
      <c r="U4902">
        <v>0</v>
      </c>
      <c r="V4902" s="2">
        <v>6325</v>
      </c>
      <c r="W4902" t="str">
        <f>"$"</f>
        <v>$</v>
      </c>
      <c r="X4902">
        <v>0</v>
      </c>
      <c r="Y4902">
        <v>0</v>
      </c>
      <c r="Z4902">
        <v>0</v>
      </c>
      <c r="AA4902" t="str">
        <f>"Y"</f>
        <v>Y</v>
      </c>
      <c r="AB4902" t="str">
        <f>"SO13000009"</f>
        <v>SO13000009</v>
      </c>
      <c r="AC4902">
        <v>9</v>
      </c>
      <c r="AD4902" s="1">
        <v>41284</v>
      </c>
      <c r="AE4902" t="str">
        <f>"SH13P000164"</f>
        <v>SH13P000164</v>
      </c>
      <c r="AF4902" t="str">
        <f>"משלוחים ללקוח"</f>
        <v>משלוחים ללקוח</v>
      </c>
      <c r="AG4902" s="1">
        <v>41309</v>
      </c>
      <c r="AM4902" t="str">
        <f>"01"</f>
        <v>01</v>
      </c>
      <c r="AN4902" t="str">
        <f>"500000"</f>
        <v>500000</v>
      </c>
      <c r="AO4902" t="str">
        <f>"הכנסות  מלקוחות"</f>
        <v>הכנסות  מלקוחות</v>
      </c>
      <c r="AQ4902" t="str">
        <f>"007"</f>
        <v>007</v>
      </c>
      <c r="AR4902">
        <v>0</v>
      </c>
      <c r="AS4902">
        <v>0</v>
      </c>
      <c r="AT4902">
        <v>3.6819999999999999</v>
      </c>
      <c r="AX4902" t="str">
        <f>"E000141468"</f>
        <v>E000141468</v>
      </c>
      <c r="BD4902" t="str">
        <f>"רוני דידי"</f>
        <v>רוני דידי</v>
      </c>
    </row>
    <row r="4903" spans="1:56" x14ac:dyDescent="0.3">
      <c r="A4903" s="1">
        <v>41305</v>
      </c>
      <c r="B4903" t="str">
        <f>"SI130000024"</f>
        <v>SI130000024</v>
      </c>
      <c r="C4903" t="str">
        <f>"PR12000054"</f>
        <v>PR12000054</v>
      </c>
      <c r="E4903" t="str">
        <f>"Y"</f>
        <v>Y</v>
      </c>
      <c r="F4903" t="str">
        <f>"חשבוניות מרכזות"</f>
        <v>חשבוניות מרכזות</v>
      </c>
      <c r="G4903" t="str">
        <f>"700065"</f>
        <v>700065</v>
      </c>
      <c r="H4903" t="str">
        <f>"אלתא מערכות בע""מ"</f>
        <v>אלתא מערכות בע"מ</v>
      </c>
      <c r="I4903" t="str">
        <f>"10"</f>
        <v>10</v>
      </c>
      <c r="J4903" t="str">
        <f>"OP-AR09107"</f>
        <v>OP-AR09107</v>
      </c>
      <c r="K4903" t="str">
        <f>"לוח AUX BOX מק""ט לקוח 1026L320-001"</f>
        <v>לוח AUX BOX מק"ט לקוח 1026L320-001</v>
      </c>
      <c r="L4903">
        <v>1</v>
      </c>
      <c r="M4903" t="str">
        <f>"יח"</f>
        <v>יח</v>
      </c>
      <c r="N4903">
        <v>1</v>
      </c>
      <c r="O4903" t="str">
        <f>"יח"</f>
        <v>יח</v>
      </c>
      <c r="P4903" s="2">
        <v>10450</v>
      </c>
      <c r="Q4903" t="str">
        <f>"$"</f>
        <v>$</v>
      </c>
      <c r="R4903" t="str">
        <f>"תעודת משלוח"</f>
        <v>תעודת משלוח</v>
      </c>
      <c r="S4903">
        <v>0</v>
      </c>
      <c r="T4903" s="2">
        <v>10450</v>
      </c>
      <c r="U4903">
        <v>0</v>
      </c>
      <c r="V4903" s="2">
        <v>10450</v>
      </c>
      <c r="W4903" t="str">
        <f>"$"</f>
        <v>$</v>
      </c>
      <c r="X4903">
        <v>0</v>
      </c>
      <c r="Y4903">
        <v>0</v>
      </c>
      <c r="Z4903">
        <v>0</v>
      </c>
      <c r="AA4903" t="str">
        <f>"Y"</f>
        <v>Y</v>
      </c>
      <c r="AB4903" t="str">
        <f>"SO12T000001"</f>
        <v>SO12T000001</v>
      </c>
      <c r="AC4903">
        <v>52</v>
      </c>
      <c r="AD4903" s="1">
        <v>41256</v>
      </c>
      <c r="AE4903" t="str">
        <f>"SH13T000002"</f>
        <v>SH13T000002</v>
      </c>
      <c r="AF4903" t="str">
        <f>"משלוחים ללקוח"</f>
        <v>משלוחים ללקוח</v>
      </c>
      <c r="AG4903" s="1">
        <v>41309</v>
      </c>
      <c r="AM4903" t="str">
        <f>"10"</f>
        <v>10</v>
      </c>
      <c r="AN4903" t="str">
        <f>"500000"</f>
        <v>500000</v>
      </c>
      <c r="AO4903" t="str">
        <f>"הכנסות  מלקוחות"</f>
        <v>הכנסות  מלקוחות</v>
      </c>
      <c r="AQ4903" t="str">
        <f>"007"</f>
        <v>007</v>
      </c>
      <c r="AR4903">
        <v>0</v>
      </c>
      <c r="AS4903">
        <v>0</v>
      </c>
      <c r="AT4903">
        <v>3.6819999999999999</v>
      </c>
      <c r="AX4903" t="str">
        <f>"E000093662"</f>
        <v>E000093662</v>
      </c>
      <c r="BD4903" t="str">
        <f>"רוני דידי"</f>
        <v>רוני דידי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חשבוניות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Yehoshua Hadad</dc:creator>
  <cp:lastModifiedBy>Yehoshua Hadad</cp:lastModifiedBy>
  <dcterms:created xsi:type="dcterms:W3CDTF">2023-11-16T19:10:32Z</dcterms:created>
  <dcterms:modified xsi:type="dcterms:W3CDTF">2023-11-16T19:10:46Z</dcterms:modified>
</cp:coreProperties>
</file>